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roups" sheetId="1" r:id="rId3"/>
    <sheet state="visible" name="Archived Groups" sheetId="2" r:id="rId4"/>
    <sheet state="visible" name="Assignments" sheetId="3" r:id="rId5"/>
    <sheet state="visible" name="Copy of Assignments" sheetId="4" r:id="rId6"/>
    <sheet state="visible" name="Baseline" sheetId="5" r:id="rId7"/>
    <sheet state="visible" name="Comprehensive" sheetId="6" r:id="rId8"/>
    <sheet state="visible" name="Actionability" sheetId="7" r:id="rId9"/>
    <sheet state="visible" name="Gene" sheetId="8" r:id="rId10"/>
    <sheet state="visible" name="Variant" sheetId="9" r:id="rId11"/>
    <sheet state="visible" name="Dosage" sheetId="10" r:id="rId12"/>
    <sheet state="visible" name="Somatic" sheetId="11" r:id="rId13"/>
    <sheet state="visible" name="Surveys" sheetId="12" r:id="rId14"/>
    <sheet state="visible" name="Volunteer Survey" sheetId="13" r:id="rId15"/>
    <sheet state="visible" name="Gene Attestations" sheetId="14" r:id="rId16"/>
    <sheet state="visible" name="Dosage Attestations" sheetId="15" r:id="rId17"/>
    <sheet state="visible" name="Somatic Attestation" sheetId="16" r:id="rId18"/>
    <sheet state="visible" name="Variant Attestations" sheetId="17" r:id="rId19"/>
    <sheet state="visible" name="Steps" sheetId="18" r:id="rId20"/>
    <sheet state="visible" name="Status Change Survey" sheetId="19" r:id="rId21"/>
    <sheet state="visible" name="Aggragate for Import " sheetId="20" r:id="rId22"/>
  </sheets>
  <definedNames>
    <definedName hidden="1" localSheetId="7" name="_xlnm._FilterDatabase">Gene!$A$1:$G$72</definedName>
    <definedName hidden="1" localSheetId="11" name="Z_5D0D3789_3B3F_4C1E_9519_EA1440E6015A_.wvu.FilterData">Surveys!$A$1:$L$123</definedName>
    <definedName hidden="1" localSheetId="11" name="Z_B9B40D7A_6EAE_4980_8EA7_1E95F9ED6C6F_.wvu.FilterData">Surveys!$A$1:$L$533</definedName>
  </definedNames>
  <calcPr/>
  <customWorkbookViews>
    <customWorkbookView activeSheetId="0" maximized="1" tabRatio="600" windowHeight="0" windowWidth="0" guid="{5D0D3789-3B3F-4C1E-9519-EA1440E6015A}" name="Filter 2"/>
    <customWorkbookView activeSheetId="0" maximized="1" tabRatio="600" windowHeight="0" windowWidth="0" guid="{B9B40D7A-6EAE-4980-8EA7-1E95F9ED6C6F}" name="Filter 1"/>
  </customWorkbookViews>
</workbook>
</file>

<file path=xl/sharedStrings.xml><?xml version="1.0" encoding="utf-8"?>
<sst xmlns="http://schemas.openxmlformats.org/spreadsheetml/2006/main" count="12826" uniqueCount="3150">
  <si>
    <t xml:space="preserve">Status </t>
  </si>
  <si>
    <t>Date group began accepting</t>
  </si>
  <si>
    <t>Status Changes (Dates, can add multiple)</t>
  </si>
  <si>
    <t>WG/EP Name</t>
  </si>
  <si>
    <t xml:space="preserve">Curation Effort </t>
  </si>
  <si>
    <t xml:space="preserve">CDWG </t>
  </si>
  <si>
    <t>Coordinator</t>
  </si>
  <si>
    <t>Volunteer status</t>
  </si>
  <si>
    <t>Grant</t>
  </si>
  <si>
    <t>Co-chair(s)</t>
  </si>
  <si>
    <t>VolunteerType</t>
  </si>
  <si>
    <t xml:space="preserve">day &amp; time of regular calls </t>
  </si>
  <si>
    <t>Request and requirements</t>
  </si>
  <si>
    <t>Currently Accepting Volunteers</t>
  </si>
  <si>
    <t>Currently Not Accepting Volunteers</t>
  </si>
  <si>
    <t>Initial group</t>
  </si>
  <si>
    <t>TP53 VCEP</t>
  </si>
  <si>
    <t>Actionability WG</t>
  </si>
  <si>
    <t>Variant</t>
  </si>
  <si>
    <t>Actionability</t>
  </si>
  <si>
    <t>Hereditary Cancer</t>
  </si>
  <si>
    <t>Christine Pak</t>
  </si>
  <si>
    <t>ECEI</t>
  </si>
  <si>
    <t>Katrina Goddard, Bradford Powell, Adam Buchanan</t>
  </si>
  <si>
    <t>Deb Ritter</t>
  </si>
  <si>
    <t>Stanford/Baylor</t>
  </si>
  <si>
    <t xml:space="preserve">Sharon Savage </t>
  </si>
  <si>
    <t>baseline or comprehensive</t>
  </si>
  <si>
    <t xml:space="preserve">comprehensive </t>
  </si>
  <si>
    <t>This group will need curators for TP53 variants, to curate a set of variants with the EP rules.</t>
  </si>
  <si>
    <t>Currently Accepting with Conditions</t>
  </si>
  <si>
    <t>Dosage Sensitivity WG</t>
  </si>
  <si>
    <t>Follow- Up Survey Date</t>
  </si>
  <si>
    <t>Dosage</t>
  </si>
  <si>
    <t>N/A</t>
  </si>
  <si>
    <t>Erin Riggs/Kelly Toner</t>
  </si>
  <si>
    <t>Harvard/Geisinger</t>
  </si>
  <si>
    <t>Erica Anderson, Erik Thorland</t>
  </si>
  <si>
    <t>Volunteer Information</t>
  </si>
  <si>
    <t>2nd Thurs @ 2pm</t>
  </si>
  <si>
    <t>background in cytogenetics</t>
  </si>
  <si>
    <t>Preferred C3 effort and/or biocurator type</t>
  </si>
  <si>
    <t>Preferred ClinGen curation effort</t>
  </si>
  <si>
    <t>Currently NOT Accepting Volunteers</t>
  </si>
  <si>
    <t>Not accepting as of 8-30-19 (CT)</t>
  </si>
  <si>
    <t>Aminoacidopathy (AA)</t>
  </si>
  <si>
    <t>Gene</t>
  </si>
  <si>
    <t>IEM</t>
  </si>
  <si>
    <t>Meredith Weaver</t>
  </si>
  <si>
    <t>Bill Craigen</t>
  </si>
  <si>
    <t xml:space="preserve">baseline or comprehensive  </t>
  </si>
  <si>
    <t>Accepting volunteers (10/9/19), No longer accepting volunteers (8/28/19)</t>
  </si>
  <si>
    <t>Autism/ID GCEP</t>
  </si>
  <si>
    <t>Neurodevelopmental</t>
  </si>
  <si>
    <t>David Miller, Christian Schaaf</t>
  </si>
  <si>
    <t>Expert Panels / Working Groups requested</t>
  </si>
  <si>
    <t>1st &amp; 3rd Wed. @ 2 pm</t>
  </si>
  <si>
    <t>any</t>
  </si>
  <si>
    <t>Timestamp</t>
  </si>
  <si>
    <t>Brain Malformations GCEP</t>
  </si>
  <si>
    <t>Catherine Shain/Abbe Lai</t>
  </si>
  <si>
    <t>NICHD U25</t>
  </si>
  <si>
    <t>Ann Poduri, Tim Yu</t>
  </si>
  <si>
    <t>Comprehensive</t>
  </si>
  <si>
    <t>Experienced curators preferred or experience with brain malformation and/or somatic variants</t>
  </si>
  <si>
    <t>Newly forming (May 9 2019)</t>
  </si>
  <si>
    <t>Charcot Marie Tooth (CMT)</t>
  </si>
  <si>
    <t>Neuromuscular</t>
  </si>
  <si>
    <t>Dana Bis-Brewer, Chandler Douglas, Lisa Kurtz</t>
  </si>
  <si>
    <t>Stefan Zuchner</t>
  </si>
  <si>
    <t>TBD</t>
  </si>
  <si>
    <t>a familiarity with the different forms of inherited neuropathies either at the clinical or molecular genetic level</t>
  </si>
  <si>
    <t xml:space="preserve">Date Assigned </t>
  </si>
  <si>
    <t xml:space="preserve">Training Date </t>
  </si>
  <si>
    <t>Training Attended</t>
  </si>
  <si>
    <t>Attestation signed</t>
  </si>
  <si>
    <t>Curation Effort</t>
  </si>
  <si>
    <t>WG /EP</t>
  </si>
  <si>
    <t>Number of Curation Activities Participating</t>
  </si>
  <si>
    <t>Three Month Survey</t>
  </si>
  <si>
    <t>Six Month Survey</t>
  </si>
  <si>
    <t>Name</t>
  </si>
  <si>
    <t>Email address</t>
  </si>
  <si>
    <t>Role</t>
  </si>
  <si>
    <t>Volunteer Type</t>
  </si>
  <si>
    <t xml:space="preserve">First Choice </t>
  </si>
  <si>
    <t>Newly forming (May 8 2019)</t>
  </si>
  <si>
    <t>Second Choice</t>
  </si>
  <si>
    <t>Congenital Myopathies GCEP</t>
  </si>
  <si>
    <t>Third Choice</t>
  </si>
  <si>
    <t xml:space="preserve">Fourth Choice </t>
  </si>
  <si>
    <t xml:space="preserve">Fifth Choice </t>
  </si>
  <si>
    <t>Experience</t>
  </si>
  <si>
    <t>more than 1?</t>
  </si>
  <si>
    <t>Liz Kearns</t>
  </si>
  <si>
    <t>Ozge Birsoy, Carsten Bonnemann</t>
  </si>
  <si>
    <t>2nd and 4th Monday @ 9 am</t>
  </si>
  <si>
    <t>some prior experience in human genetics would be important and some experience related to variant review/interpretation in research or clinical setting would be desired. Prior knowledge of NMD would be beneficial but not required</t>
  </si>
  <si>
    <t>Other WGs/EPs if preference not available</t>
  </si>
  <si>
    <t>No longer accepting volunteers (8-28-19)</t>
  </si>
  <si>
    <t>Dilated Cardiomyopathy (DCM) GCEP</t>
  </si>
  <si>
    <t>Cardiovascular</t>
  </si>
  <si>
    <t>Notes</t>
  </si>
  <si>
    <t>Ray Hershberger</t>
  </si>
  <si>
    <t>Epilepsy GCEP</t>
  </si>
  <si>
    <t>Erin Riggs</t>
  </si>
  <si>
    <t>Ingo Helbig, Heather Mefford</t>
  </si>
  <si>
    <t>1st &amp; 3rd Tues. @ 12 pm</t>
  </si>
  <si>
    <t>Contacted</t>
  </si>
  <si>
    <t>Hemostasis/Thrombosis GCEP</t>
  </si>
  <si>
    <t>Hemostasis/Thrombosis</t>
  </si>
  <si>
    <t>Kristy Lee</t>
  </si>
  <si>
    <t>Kathleen Freson/Michele Lambert</t>
  </si>
  <si>
    <t>comprehensive</t>
  </si>
  <si>
    <t>Added conditions (May 9 2019)</t>
  </si>
  <si>
    <t>Hereditary Cancer GCEP</t>
  </si>
  <si>
    <t>Xi Luo</t>
  </si>
  <si>
    <t>Yes</t>
  </si>
  <si>
    <t>Sharon Plon</t>
  </si>
  <si>
    <t>Prior curation experience preferable and a PhD</t>
  </si>
  <si>
    <t>Newly forming (May 2019)</t>
  </si>
  <si>
    <t>Limb Girdle Muscular Dystrophy (LGMD) GCEP</t>
  </si>
  <si>
    <t>Gene Disease Validity</t>
  </si>
  <si>
    <t>Epilepsy</t>
  </si>
  <si>
    <t>C. Chris Weihl</t>
  </si>
  <si>
    <t>Declined</t>
  </si>
  <si>
    <t>Monogenic Diabetes GCEP</t>
  </si>
  <si>
    <t>Rhea Cosentino</t>
  </si>
  <si>
    <t>Toni Pollin</t>
  </si>
  <si>
    <t>Gene curation experience is preferred</t>
  </si>
  <si>
    <t>No</t>
  </si>
  <si>
    <t>Took survey to indicate no longer accepting volunteers</t>
  </si>
  <si>
    <t xml:space="preserve">Mitochondrial Diseases GCEP </t>
  </si>
  <si>
    <t xml:space="preserve">Gene </t>
  </si>
  <si>
    <t>Elizabeth McCormick</t>
  </si>
  <si>
    <t>NICHD U24</t>
  </si>
  <si>
    <t>Somatic Cancer</t>
  </si>
  <si>
    <t>Marni Falk, Xiaowu Gai</t>
  </si>
  <si>
    <t>Pediatric cancer</t>
  </si>
  <si>
    <t>Only</t>
  </si>
  <si>
    <t>Newly forming (May 9, 2019)</t>
  </si>
  <si>
    <t>Genitourinary tract cancers</t>
  </si>
  <si>
    <t>Somatic</t>
  </si>
  <si>
    <t>ID Autism</t>
  </si>
  <si>
    <t>Shruti Rao</t>
  </si>
  <si>
    <t>ECEI, Baylor/Stanford</t>
  </si>
  <si>
    <t>Removed newly forming (May 9 2019)</t>
  </si>
  <si>
    <t>Pancreatic Cancer WG - Somatic</t>
  </si>
  <si>
    <t>Matthew McCoy, Gagandeep Brar</t>
  </si>
  <si>
    <t>Curators with any level of expertise will be accepted to curate in CIViC. Experienced curators prefered to create Assertions in CIViC</t>
  </si>
  <si>
    <t>Pediatric Cancer WG</t>
  </si>
  <si>
    <t>Deb Ritter / Shruti Rao</t>
  </si>
  <si>
    <t>ECEI, Stanford/Baylor</t>
  </si>
  <si>
    <t>Gordana Raca, Angshumoy Roy</t>
  </si>
  <si>
    <t>baseline or comprehensive (has different meaning for somatic cancer, see description in request/requirements)</t>
  </si>
  <si>
    <t>This is somatic cancer. We will be using CIViC to curate. Volunteers can be either baseline or comprehensive. For somatic, baseline would be adding Evidence items to CIViC occasionally, while comprehensive would be participating in creating Assertions within CIViC.</t>
  </si>
  <si>
    <t>Subha Madhavan, Shashi Kulkarni</t>
  </si>
  <si>
    <t>3rd Mon. @ 3</t>
  </si>
  <si>
    <t>Initial group (newly forming/accepting)</t>
  </si>
  <si>
    <t>NOT Accepting (March 2019 due to reorganization)</t>
  </si>
  <si>
    <t>Assigned</t>
  </si>
  <si>
    <t>Somatic Nonsmall cell lung cancer</t>
  </si>
  <si>
    <t>Shruti Rao, Deb ritter</t>
  </si>
  <si>
    <t>Dosage Sensitivity</t>
  </si>
  <si>
    <t>Recurrent CNVs</t>
  </si>
  <si>
    <t>Initial Group (accepting)</t>
  </si>
  <si>
    <t>Somatic TP53</t>
  </si>
  <si>
    <r>
      <t>Update May 2019:</t>
    </r>
    <r>
      <rPr/>
      <t xml:space="preserve"> Changed name from FAO VCEP to ACADVL VCEP, added hyperlink to page. </t>
    </r>
    <r>
      <t xml:space="preserve">Update 8-30-19: </t>
    </r>
    <r>
      <rPr/>
      <t xml:space="preserve"> Requires variant curation experience</t>
    </r>
  </si>
  <si>
    <t>Unresponsive</t>
  </si>
  <si>
    <t>ACADVL</t>
  </si>
  <si>
    <t>Rong Mao, Heather Beaudet</t>
  </si>
  <si>
    <t>Requires variant curation experience as of 8-30-19</t>
  </si>
  <si>
    <t>Brain Malformations VCEP</t>
  </si>
  <si>
    <t>Dilated Cardiomyopathy</t>
  </si>
  <si>
    <r>
      <t xml:space="preserve">Added conditions (May 9 2019), </t>
    </r>
    <r>
      <rPr>
        <b/>
      </rPr>
      <t>Update 8-26-19:</t>
    </r>
    <r>
      <t xml:space="preserve"> Only accpeting "high level candidate" presumed to require priori knowledge with CDH1 curation and variant curation</t>
    </r>
  </si>
  <si>
    <t>CDH1</t>
  </si>
  <si>
    <t>Rachid Karam/Intan Schrader</t>
  </si>
  <si>
    <t>3rd Mon. @ 4 pm</t>
  </si>
  <si>
    <t>Prior variant curationi experience and PhD</t>
  </si>
  <si>
    <t>Somatic WG</t>
  </si>
  <si>
    <r>
      <t>Update 8-10-19:</t>
    </r>
    <r>
      <rPr/>
      <t xml:space="preserve"> Requires variant curation experience</t>
    </r>
  </si>
  <si>
    <t>Cerebral Creatine Deficiency Syndrome</t>
  </si>
  <si>
    <t>Baseline and Comprehensive</t>
  </si>
  <si>
    <t>variant curation experience and need to attend calls</t>
  </si>
  <si>
    <r>
      <t>Update 8-21-19:</t>
    </r>
    <r>
      <rPr/>
      <t xml:space="preserve"> Can accept 2-3 more volunteers</t>
    </r>
  </si>
  <si>
    <t>Coagulation Factor Deficiency VCEP</t>
  </si>
  <si>
    <t>variant curation experience and some background or interest in disease</t>
  </si>
  <si>
    <t>Colorectal Cancer VCEP</t>
  </si>
  <si>
    <t xml:space="preserve">Deb Ritter </t>
  </si>
  <si>
    <t>Marc Greenblat, Matt Ferber</t>
  </si>
  <si>
    <t xml:space="preserve">this group is still in the very early stages of transition to Expert Panel from gene curation. </t>
  </si>
  <si>
    <t>Newly forming August 2019</t>
  </si>
  <si>
    <t>Update 8-21-19: Accepting volunteers</t>
  </si>
  <si>
    <t>Congenital Myopathies VCEP</t>
  </si>
  <si>
    <t>Neurouscular</t>
  </si>
  <si>
    <t>2nd &amp; 4th Monday @ 9 am</t>
  </si>
  <si>
    <t>some prior experience in human genetics would be important and some experience related to variant review/interpretation in research or clinical setting would be desired.Prior knowledge of NMD would be beneficial but not required</t>
  </si>
  <si>
    <t>ID/Autism</t>
  </si>
  <si>
    <t>Familial Hypercholesterolemia (FH) VCEP</t>
  </si>
  <si>
    <t>Hannah Wand</t>
  </si>
  <si>
    <t>Malfalda Bourbon and Joshua Knowles</t>
  </si>
  <si>
    <t>FBN1 VCEP</t>
  </si>
  <si>
    <t>Baseline</t>
  </si>
  <si>
    <t>Julie De Backer</t>
  </si>
  <si>
    <t>Hearing Loss VCEP</t>
  </si>
  <si>
    <t>Hearing Loss CDWG</t>
  </si>
  <si>
    <t>Andrea Oza</t>
  </si>
  <si>
    <t>Ahmad Abou Tayoun, Sami Amr, Heidi Rehm</t>
  </si>
  <si>
    <t>2nd &amp; 4th Wed. @ 8 am</t>
  </si>
  <si>
    <t>need variant curation experience</t>
  </si>
  <si>
    <t>confirmed not accepting (3-28-19/ CT)</t>
  </si>
  <si>
    <t>Hereditary Breast/Ovarian/Pancreatic VCEP</t>
  </si>
  <si>
    <t>Marcy Richardson</t>
  </si>
  <si>
    <t>Fergus Couch</t>
  </si>
  <si>
    <t>Inherited Cardiomyopathy VCEP</t>
  </si>
  <si>
    <t>Lisa Kurtz</t>
  </si>
  <si>
    <t>Birgit Funke</t>
  </si>
  <si>
    <t>experience with variant analysis required; mol dx lab directors preferred</t>
  </si>
  <si>
    <t>Updated 10/24/19 to not accepting volunteers - LK</t>
  </si>
  <si>
    <t>Mitochondrial Diseases VCEP</t>
  </si>
  <si>
    <t>Hemo/Thrombo</t>
  </si>
  <si>
    <t>Monogenic Diabetes VCEP</t>
  </si>
  <si>
    <t>Variant curation experience is preferred</t>
  </si>
  <si>
    <r>
      <t xml:space="preserve">Added conditions (May 9 2019), </t>
    </r>
    <r>
      <rPr>
        <b/>
      </rPr>
      <t>Update 8-26-19:</t>
    </r>
    <r>
      <t xml:space="preserve"> Only accepting "high level canddiates" presuming they need priori variant curation experinece as well as knowledge of myeloid malignancies. </t>
    </r>
    <r>
      <rPr>
        <b/>
      </rPr>
      <t>Update 11-11-19:</t>
    </r>
    <r>
      <t xml:space="preserve"> No longer accepting volunteers</t>
    </r>
  </si>
  <si>
    <t>Myeloid Malignancy VCEP</t>
  </si>
  <si>
    <t>Stanford/Baylor (ASH)</t>
  </si>
  <si>
    <t>Lucy Godley, David Wu</t>
  </si>
  <si>
    <t xml:space="preserve">2nd Wed. @ 4 pm and 4th Wed @ 12 pm </t>
  </si>
  <si>
    <t>Prior variant curation experience and a PhD</t>
  </si>
  <si>
    <t>Newly forming (May 14, 2019)</t>
  </si>
  <si>
    <t>Peroxisomal Disorders</t>
  </si>
  <si>
    <t>Variant curation experience preferred</t>
  </si>
  <si>
    <r>
      <t>Update 8-21-19:</t>
    </r>
    <r>
      <rPr/>
      <t xml:space="preserve"> Can accept 2-3 more volunteers</t>
    </r>
  </si>
  <si>
    <t>Platelet Disorders VCEP</t>
  </si>
  <si>
    <t>Jorge DiPaola, Wolfgang Bergmeier</t>
  </si>
  <si>
    <t>Experienced curators or experience in Glanzmann disease</t>
  </si>
  <si>
    <t>PTEN VCEP</t>
  </si>
  <si>
    <t>Jessi Mester</t>
  </si>
  <si>
    <t>Charis Eng, Madhuri Hegde</t>
  </si>
  <si>
    <t>For now, only experienced clinical laboratory curators considered. After training process up and running, glad to have others who complete the training process.</t>
  </si>
  <si>
    <r>
      <t>Update 8-22-19:</t>
    </r>
    <r>
      <rPr/>
      <t xml:space="preserve"> Accepting 1-2 volunteers with experience in RASopathy</t>
    </r>
  </si>
  <si>
    <t>RASopathy VCEP</t>
  </si>
  <si>
    <t>RASopathy</t>
  </si>
  <si>
    <t>Danielle Azzariti</t>
  </si>
  <si>
    <t>Bruce Gelb, Lisa Vincent</t>
  </si>
  <si>
    <t>Experienced curators preferred or experiences with RASopathies</t>
  </si>
  <si>
    <t xml:space="preserve">Somatic/Germline VCEP </t>
  </si>
  <si>
    <t>Sharon Plon, Mike Walsh</t>
  </si>
  <si>
    <t>Storage Disease</t>
  </si>
  <si>
    <t>Catherine Rehder, Jenny Goldstein</t>
  </si>
  <si>
    <t>2nd &amp; 4th Tues @ 2 pm</t>
  </si>
  <si>
    <t>Variant Pathogenicity</t>
  </si>
  <si>
    <t>Hearing Loss</t>
  </si>
  <si>
    <r>
      <t xml:space="preserve">Solicited KL for info on 3-28-19(CT), leaving as accepting for now. Update: Accepting volunteers that have expertise in TP53. </t>
    </r>
    <r>
      <rPr>
        <b/>
      </rPr>
      <t>Update:</t>
    </r>
    <r>
      <t xml:space="preserve"> As of 1-27-20 this group has suspend accepting volunteers (CT).</t>
    </r>
  </si>
  <si>
    <t>this group will need curators for TP53 variants, to curate a set of variants with the EP rules</t>
  </si>
  <si>
    <t>VHL VCEP</t>
  </si>
  <si>
    <t>Raymond Kim</t>
  </si>
  <si>
    <t>1st Tues. @ 12 pm EST</t>
  </si>
  <si>
    <t xml:space="preserve">particularly interested in expertise for functional analysis of VHL </t>
  </si>
  <si>
    <t>Forming Group as of 8-30-19</t>
  </si>
  <si>
    <t>DICER1 VCEP</t>
  </si>
  <si>
    <t>Megan Frone</t>
  </si>
  <si>
    <r>
      <t xml:space="preserve">Priori knowledge or interest in the DICER1 gene and or syndrome preferred. Review of </t>
    </r>
    <r>
      <rPr>
        <b/>
      </rPr>
      <t>CV required</t>
    </r>
    <r>
      <t xml:space="preserve"> before entry</t>
    </r>
  </si>
  <si>
    <t>Phenyketonuria (PAH)</t>
  </si>
  <si>
    <t>Metabolism</t>
  </si>
  <si>
    <t>UNC/ Baylor</t>
  </si>
  <si>
    <t>Bill Craigen, Rong Mao</t>
  </si>
  <si>
    <t>n/a</t>
  </si>
  <si>
    <t>OTC VCEP</t>
  </si>
  <si>
    <t>requires variant curation experience only.</t>
  </si>
  <si>
    <t>Accepted 1 curator in June 2019</t>
  </si>
  <si>
    <t>Update: not accepting as of 8-21-19</t>
  </si>
  <si>
    <t>Maliginant hyperthermia susceptibility- RYR1VCEP</t>
  </si>
  <si>
    <t>Jennifer Johnston</t>
  </si>
  <si>
    <t>Broad/Geisinger</t>
  </si>
  <si>
    <t>Newly forming in May 9 2019</t>
  </si>
  <si>
    <r>
      <t>Update 8-21-19:</t>
    </r>
    <r>
      <rPr/>
      <t xml:space="preserve"> Accpeting 1-2 volunteers</t>
    </r>
  </si>
  <si>
    <t>Newly forming in August 2019</t>
  </si>
  <si>
    <t>Limb Girdle Muscular dystrophy (LGMD) GCEP</t>
  </si>
  <si>
    <t>Chris Weihl</t>
  </si>
  <si>
    <t>2nd &amp; 4th Tuesdays @2-3pm</t>
  </si>
  <si>
    <t>Newly forming in December 2019</t>
  </si>
  <si>
    <t>von Willebrand Disease VCEP</t>
  </si>
  <si>
    <t>David Lillicrap, Jill Johnsen, and Dan Hampshire</t>
  </si>
  <si>
    <t>Inherited Retinal Diseases GCEP</t>
  </si>
  <si>
    <t>Ocular</t>
  </si>
  <si>
    <t>Glaucoma/Neuro Ocular GCEP</t>
  </si>
  <si>
    <t>Mitochondrial GCEP</t>
  </si>
  <si>
    <t>Newly Forming in January 2020</t>
  </si>
  <si>
    <t>Pulmonary Hypertension (PH) GCEP</t>
  </si>
  <si>
    <t>Carrie Welch</t>
  </si>
  <si>
    <t>Trained before C3</t>
  </si>
  <si>
    <t>On original volunteer doc, assigned in the first draft, Reported to be no longer part of the group on the coordinator 6-month survey</t>
  </si>
  <si>
    <t xml:space="preserve">Epilepsy </t>
  </si>
  <si>
    <t>Aminoacidopathy</t>
  </si>
  <si>
    <t>On original volunteer doc, assigned in the first draft. Reported to no longer be part of the group on the 6 month coordinator survey</t>
  </si>
  <si>
    <t>pancreatic cancer taskforce</t>
  </si>
  <si>
    <t>pediatric cancer taskforce</t>
  </si>
  <si>
    <t>pediatric and pancreatic cancer taskforces</t>
  </si>
  <si>
    <t>First</t>
  </si>
  <si>
    <t>-</t>
  </si>
  <si>
    <t>On original volunteer doc, assigned in the first draft</t>
  </si>
  <si>
    <t>Brain Malformations</t>
  </si>
  <si>
    <t>Mito</t>
  </si>
  <si>
    <t>Coagulation Factor Deficiency</t>
  </si>
  <si>
    <t>TP53</t>
  </si>
  <si>
    <t>Pancreatic cancer taskforce</t>
  </si>
  <si>
    <t>In contact with ID autism group, Liz took the survey</t>
  </si>
  <si>
    <t>Pediatric cancer taskforce</t>
  </si>
  <si>
    <t>PAH</t>
  </si>
  <si>
    <t>Cardiomyopathy</t>
  </si>
  <si>
    <t>Monogenic Diabetes</t>
  </si>
  <si>
    <t>Platelet Disorders</t>
  </si>
  <si>
    <t>NA</t>
  </si>
  <si>
    <t>RYR1</t>
  </si>
  <si>
    <t>unknown</t>
  </si>
  <si>
    <t>Switched from Baseline to Comprehensive once contacted by Gene</t>
  </si>
  <si>
    <t>hematological cancer taskforce</t>
  </si>
  <si>
    <t>Reported to no longer be part of the group on the 6 month coordinator survey</t>
  </si>
  <si>
    <t>Pediatric cancer and Hematological cancer taskforce</t>
  </si>
  <si>
    <t>Genitourinary cancer taskforce</t>
  </si>
  <si>
    <t>Hematological Cancer taskforce</t>
  </si>
  <si>
    <t>Unassigned</t>
  </si>
  <si>
    <t>assigned to Epilepsy but never completed training</t>
  </si>
  <si>
    <r>
      <t xml:space="preserve">11/07/18
</t>
    </r>
    <r>
      <rPr>
        <b/>
      </rPr>
      <t>REcontacted June 2019 and responsive, changed status</t>
    </r>
  </si>
  <si>
    <t>Was assigned to Gene on 11/26 then became unresponsive. Reached out in March 2019 and was sent the follow up email</t>
  </si>
  <si>
    <t>Reported to be no longer part of the group on the 6 month coordinator survey</t>
  </si>
  <si>
    <t xml:space="preserve">WG </t>
  </si>
  <si>
    <t>Reported to have become unresponsive after joining a group on the 6 month coordinator survey</t>
  </si>
  <si>
    <t>Out on maternity leave - will contact once back at work</t>
  </si>
  <si>
    <r>
      <t xml:space="preserve">01/09/18
</t>
    </r>
    <r>
      <rPr>
        <b/>
      </rPr>
      <t>Unresponsive as of 7-7-19</t>
    </r>
  </si>
  <si>
    <r>
      <t xml:space="preserve">Note: </t>
    </r>
    <r>
      <rPr/>
      <t xml:space="preserve"> email address given was exu@fulgentgenetics.com, however as of July 9, 2019, this is no longer a contact email and no forwarding email provided.</t>
    </r>
  </si>
  <si>
    <t>Actively curating for the acitonability WG</t>
  </si>
  <si>
    <t>Attestation Signed</t>
  </si>
  <si>
    <t>Curation Effort Assigned To</t>
  </si>
  <si>
    <t xml:space="preserve">Name </t>
  </si>
  <si>
    <t xml:space="preserve">e-mail </t>
  </si>
  <si>
    <t xml:space="preserve">Baseline v. Comprehensive </t>
  </si>
  <si>
    <t>WG/EP Preference</t>
  </si>
  <si>
    <t>October 2019: Seemed interested, but never finished the training</t>
  </si>
  <si>
    <t>11/22/2019: Actively curating for the actionability WG</t>
  </si>
  <si>
    <t>Completed AWG training and assigned first topics to curate in March 2019, but she never finished the first curations</t>
  </si>
  <si>
    <t>Reported to have become unresponsive after joining a group on the 6 month coordinator survey; 11/22/2019: Actively curating on AWG</t>
  </si>
  <si>
    <t>Follow up email</t>
  </si>
  <si>
    <t>12/18/18 (assigned)
declined(5-2-19)
Renewed interest 8/12/19</t>
  </si>
  <si>
    <t>Attended training, but never completed the other training activities or the attestation</t>
  </si>
  <si>
    <t>Originally chose Baseline, changed to comprehensive after trained for Somatic</t>
  </si>
  <si>
    <t>Notes specifc to this page</t>
  </si>
  <si>
    <t>Trained before C3 started</t>
  </si>
  <si>
    <t xml:space="preserve">              </t>
  </si>
  <si>
    <t>8/12/19, 12/20/19</t>
  </si>
  <si>
    <t>7-9-19 (status changed to unresponsive)</t>
  </si>
  <si>
    <t>Originally choose Comprehensive curation, however they are an undergraduate and it is unclear the level of genetics knowledge. Moved to Baseline on April 16, 2019 (intialled by: CLT)</t>
  </si>
  <si>
    <t>Originally choose  Baseline curation, however they state they are interested in the RUR1 group and are part of Les Biesecker's lab. Moved to Comprehensive 4-29-19 CT</t>
  </si>
  <si>
    <r>
      <t>Note:</t>
    </r>
    <r>
      <rPr/>
      <t xml:space="preserve"> email address returned a change to runquist@alumni.bcm.edu as of 7-9-19 CLT. Updated.</t>
    </r>
  </si>
  <si>
    <t>Switched from Baseline to Comprehensive (prior to any Baseline training) on 10/08/19</t>
  </si>
  <si>
    <t>Second</t>
  </si>
  <si>
    <t>Already in a GCEP, duplicate volunteer</t>
  </si>
  <si>
    <t xml:space="preserve">She attended the Variant training on 05/23/19 but decided that she wanted to do Baseline. </t>
  </si>
  <si>
    <t>Training for VCEP, would like to add GCEP, duplicate volunteer</t>
  </si>
  <si>
    <t>Already a member of the Aminoacidopathy GCEP</t>
  </si>
  <si>
    <t>Recontact Later</t>
  </si>
  <si>
    <t>ORiginally choose Comprehensive, however they are a high school student, so we will start with Baseline, per CLT 6-17-19. Was trained by Somatic on 9/11/19 then decided on 10/17/19 to switch to Baseline Curation -LK</t>
  </si>
  <si>
    <t>Email</t>
  </si>
  <si>
    <t>Status</t>
  </si>
  <si>
    <t>Training Date</t>
  </si>
  <si>
    <t>WG/EP</t>
  </si>
  <si>
    <t>3 months post training</t>
  </si>
  <si>
    <t>3 Month Survey Sent</t>
  </si>
  <si>
    <t>6 Months Post Training</t>
  </si>
  <si>
    <t>6 Month Survey Sent</t>
  </si>
  <si>
    <r>
      <t xml:space="preserve">Originally choose Comprehensive, however they may be best suited for Baseline with a focus on genes/variants in which they are suspected to have (patient) </t>
    </r>
    <r>
      <rPr>
        <b/>
      </rPr>
      <t>CLT 7-2-19</t>
    </r>
  </si>
  <si>
    <t>Name (First and Last)</t>
  </si>
  <si>
    <t xml:space="preserve">Institution </t>
  </si>
  <si>
    <t>Address</t>
  </si>
  <si>
    <t>E-mail Address</t>
  </si>
  <si>
    <t>I am a... (choose one that most accurately describes yourself)</t>
  </si>
  <si>
    <t>How did you find out about the ClinGen volunteer efforts?</t>
  </si>
  <si>
    <t>How would you describe the amount of time you are able to commit to ClinGen curation activities?</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</si>
  <si>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[First Choice ]</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</si>
  <si>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[Second Choice]</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</si>
  <si>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[Third Choice]</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</si>
  <si>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[Fourth Choice ]</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</si>
  <si>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[Fifth Choice]</t>
  </si>
  <si>
    <t>Do you have any previous experience with the type of curation activity you selected for the previous question?  If yes, please describe briefly.</t>
  </si>
  <si>
    <t>Are you interested/able to work on more than one curation activity? Please note that this would likely increase your time commitment.</t>
  </si>
  <si>
    <t xml:space="preserve">Are you interested in a particular ClinGen Expert Panel/Working Group?  A current list of Expert Panels/Working Groups can be found here: https://clinicalgenome.org/working-groups/community-curation-committee-c3/. Note that we will take your request into consideration, however, groups' status on accepting volunteers may change . </t>
  </si>
  <si>
    <t/>
  </si>
  <si>
    <t>If you indicated a preference for a certain expert panel, or to work within a certain disease area (e.g. cancer, neurodevelopmental disorders, cardiovascular diseases, etc.), would you still be willing to volunteer if there were no available opportunities in this area?</t>
  </si>
  <si>
    <t>What would you like to accomplish by volunteering with ClinGen?</t>
  </si>
  <si>
    <t>Are there any genes and/or disease areas you are particularly interested in?</t>
  </si>
  <si>
    <t>What motivated you to volunteer in ClinGen curation efforts?</t>
  </si>
  <si>
    <t>What is your highest level of education?</t>
  </si>
  <si>
    <t>If you have an advanced genetic certification or fellowship (i.e. CGC or FACMG), please indicate:</t>
  </si>
  <si>
    <t>What timezone are you in? Please refer to this link for options: https://www.timeanddate.com/</t>
  </si>
  <si>
    <t>Suneeta Mandava</t>
  </si>
  <si>
    <t>Personalis</t>
  </si>
  <si>
    <t>suneeta.mandava@gmail.com</t>
  </si>
  <si>
    <t>Variant Analyst/Scientist</t>
  </si>
  <si>
    <t>Interested to curate genes for somatic cancer; would like to start slow and expand over time</t>
  </si>
  <si>
    <t>Gene-Disease Validity</t>
  </si>
  <si>
    <t>Clinical Actionability</t>
  </si>
  <si>
    <t>I am clinical genomics variant scientist in somatic cancers for the last almost 5 years</t>
  </si>
  <si>
    <t>Possibly</t>
  </si>
  <si>
    <t>somatic cancer TP53</t>
  </si>
  <si>
    <t>Maybe -- please contact me with other options, and I will decide based on what is available</t>
  </si>
  <si>
    <t>Edwin Kim</t>
  </si>
  <si>
    <t>University of Pennsylvania</t>
  </si>
  <si>
    <t>20701 N Scottsdale Rd #107 Scottsdale AZ 85255</t>
  </si>
  <si>
    <t>Edwinkimmd@gmail.com</t>
  </si>
  <si>
    <t>Physician (Non-geneticist)</t>
  </si>
  <si>
    <t>Before medical school, I worked in microbial genomics at the Joint Genome Institute. My work involved curating output from bioinformatics algorithms and curating information into public genomic databases. My work culminated in building an education module to promote genomics in undergraduate classes. Many years later, I find myself completing a clinical fellowship I  Addiction Psychiatry. I foresee an increasing interest in the genomics of substance use disorders and addiction. This will require building a robust database, then to train a generation of clinicians/researchers adept at querying the database. I would like to be one to train these first cohorts.</t>
  </si>
  <si>
    <t>Working with Bioinformaticians and microbial researchers at the Lawrence Berkeley/Livermore DOE Joint Genome Institute and curating in-house data for output to public research databases.</t>
  </si>
  <si>
    <t>Possibly after gaining some more exposure and increasing experience.</t>
  </si>
  <si>
    <t>Julyann Pérez Mayoral</t>
  </si>
  <si>
    <t>University of Puerto Rico Comprehensive Cancer Center</t>
  </si>
  <si>
    <t>Centro Medico Rio Piedras Lab #9 San Juan, P.R. 00936</t>
  </si>
  <si>
    <t>julyann.perez@upr.edu</t>
  </si>
  <si>
    <t>Post Doc/Resident/Fellow (MD and/or PhD)</t>
  </si>
  <si>
    <t>I am interested in Variant Classification, especially for cancers such as Colorectal and Breast Cancer, as well as, hereditary cancers.</t>
  </si>
  <si>
    <t>Variant Curation Panel</t>
  </si>
  <si>
    <t>Xiaodong Wang</t>
  </si>
  <si>
    <t>Cipher Gene, Ltd</t>
  </si>
  <si>
    <t>xdwang@ciphergene.com</t>
  </si>
  <si>
    <t>I used to be wormbase biocurator. I am familiar with curation process. I was trained as molecular geneticist. I am now leading my own variant interpretation group in a genetic testing startup company. We do lots of genetic testing on neurodevelopmental disorder patients, particularly with epilepsy, seizures, ID/DD.</t>
  </si>
  <si>
    <t xml:space="preserve">I am familiar with ACMG for variant classification, which I do daily. </t>
  </si>
  <si>
    <t>Epilepsy group</t>
  </si>
  <si>
    <t>Jun Shen</t>
  </si>
  <si>
    <t>BWH</t>
  </si>
  <si>
    <t>221 Longwood Ave., Boston, MA 02115</t>
  </si>
  <si>
    <t>jshen5@bwh.harvard.edu</t>
  </si>
  <si>
    <t>Clinical laboratory geneticist</t>
  </si>
  <si>
    <t>I am a member of the hearing loss working group.</t>
  </si>
  <si>
    <t>I work on the HL-EP</t>
  </si>
  <si>
    <t>I'm already on the HL-EP</t>
  </si>
  <si>
    <t>Jennifer Howe</t>
  </si>
  <si>
    <t>The Hospital for Sick Children</t>
  </si>
  <si>
    <t>Toronto, Canada</t>
  </si>
  <si>
    <t>jhowe@sickkids.ca</t>
  </si>
  <si>
    <t>Senior Project Manager</t>
  </si>
  <si>
    <t>From the ASD Gene list meeting held in Toronto in Sept 2018 - I would like to assist in curating genes for ASD</t>
  </si>
  <si>
    <t>Autism and Intellectual Disability</t>
  </si>
  <si>
    <t>No - I am only interested in the group(s) I previously indicated</t>
  </si>
  <si>
    <t>Kalpana Panneerselvam</t>
  </si>
  <si>
    <t xml:space="preserve">Excelra knowledge solutions </t>
  </si>
  <si>
    <t>India</t>
  </si>
  <si>
    <t>kalpanarpanneerselvam@gmail.com</t>
  </si>
  <si>
    <t>Biocurator</t>
  </si>
  <si>
    <t>While browsing about institutions that are involved in curating genetic variants, I got to know about ClinGen. I would like to explore how I can work towards bringing more clarity on gene-disease and gene-drug relationship; I am open to work with any disease or gene</t>
  </si>
  <si>
    <t xml:space="preserve">I have worked as curator for Ingenuity Variant Analysis product by Qiagen </t>
  </si>
  <si>
    <t xml:space="preserve">Mitochondrial diseases </t>
  </si>
  <si>
    <t>Yes- I am willing to volunteer with any available ClinGen group</t>
  </si>
  <si>
    <t>Justin Schleede Phd</t>
  </si>
  <si>
    <t>LabCorp</t>
  </si>
  <si>
    <t>schleej@labcorp.com</t>
  </si>
  <si>
    <t>I have access to a huge database and feel my input would be of value to the group.</t>
  </si>
  <si>
    <t>Yes, I review literature and classify genes as part of my daily workflow</t>
  </si>
  <si>
    <t xml:space="preserve">Juan Carlos Diaz </t>
  </si>
  <si>
    <t xml:space="preserve">looking for a postdoc </t>
  </si>
  <si>
    <t>80 Behr apt 301 San Francisco, CA. Zip 94131</t>
  </si>
  <si>
    <t xml:space="preserve">cuallijuan@hotmail.com </t>
  </si>
  <si>
    <t>Scientific Researcher</t>
  </si>
  <si>
    <t xml:space="preserve">I have a PhD from Rice University in Biosciences. I found new missense mutations in the gene Vkorc1 in rodents, Mus musculus, in the USA that I am working to publish. I am really interested to work in ClinGen because I would like to keep myself updated and learning. I think I can participate in the curation for anticoagulants resistant if is a plan to do that, I understand well the system and the genes involved but I don't mind helping in other gene systems. I am interested in the genes associated with obesity as well. </t>
  </si>
  <si>
    <t xml:space="preserve">No </t>
  </si>
  <si>
    <t>Gene Curation Expert Panels</t>
  </si>
  <si>
    <t>Indu Raja</t>
  </si>
  <si>
    <t>Sidra Medicine</t>
  </si>
  <si>
    <t>indudraja@gmail.com</t>
  </si>
  <si>
    <t>laboratory technologist</t>
  </si>
  <si>
    <t>ClinGen Genome Dosage resources are used by our lab for microarray data analysis. As there is an explosion of big data with newer technologies and research, it is imperative that this information be translated into a clinical setting in a meaningful way, hence I would be interested in doing my part in curation and making the data publicly available. Neurodevelopmental disorders/ASD/leukemia's are some of my areas of interest.</t>
  </si>
  <si>
    <t>Tomohiko Ai</t>
  </si>
  <si>
    <t>Ohio State University</t>
  </si>
  <si>
    <t>336 BRT W. 12 Ave. Columbus, Ohio 43210</t>
  </si>
  <si>
    <t>Tomohiko.Ai@osumc.edu</t>
  </si>
  <si>
    <t>I have been adjudicating variants of DCM at Ohio State University. I have been performing translational research in cardiovascular medicine. I am interested in underling molecular mechanisms of cardiomayopathy and arrhythmias.</t>
  </si>
  <si>
    <t>I have experiences with variant pathogenicity.</t>
  </si>
  <si>
    <t>Rajavarman Kittu</t>
  </si>
  <si>
    <t>kokilaben dhirubhai ambani hospital and medical research centre</t>
  </si>
  <si>
    <t>Four Bungalows, Andheri West, Mumbai, Maharashtra, India 400053</t>
  </si>
  <si>
    <t>rajavarman21@gmail.com</t>
  </si>
  <si>
    <t>when i attended the webinar meeting realised there are bunch of interesting people working behind clingen. My passion is to work in clinical genomics space.Also, I strongly believe   my contributing  to ClinGen would  help the clingen database to improve better at the same time, my knowledge and understanding over the variant interpretation skills will also get improve.So considering the mutual benefits i would like to be active member of the ClinGen team and contributing as much as i can.</t>
  </si>
  <si>
    <t>Yea being variant analyst I'm doing curation in and out before reporting any patient observed in patient</t>
  </si>
  <si>
    <t>As mentioned above in the table( ranking) i prefer to contribute. if that is not possible i would like to be any ClinGen Expert Panel/Working Group where there is need for help.</t>
  </si>
  <si>
    <t>Rhea Vallente</t>
  </si>
  <si>
    <t>Fulgent Genetics</t>
  </si>
  <si>
    <t>rvallente@fulgentgenetics.com</t>
  </si>
  <si>
    <t>I would like to help out in curating variants related to hearing loss because I managed a next-gen hearing loss panel when I worked as a Human Molecular Geneticist at PreventionGenetics. I am now working as a Genomic Curation Scientist at FulgentGenetics.</t>
  </si>
  <si>
    <t>Yes. I have been curating variants for five years, starting at PreventionGenetics, then I moved to EGL Genetics, and now I'm working for Fulgent Genetics.</t>
  </si>
  <si>
    <t>Hearing loss</t>
  </si>
  <si>
    <t>Caitlin Hale</t>
  </si>
  <si>
    <t>Lucile Packard Children's Hospital Stanford</t>
  </si>
  <si>
    <t>CHale@stanfordchildrens.org</t>
  </si>
  <si>
    <t>Genetic counselor</t>
  </si>
  <si>
    <t>I heard about ClinGen from a colleague. As a clinical genetic counselor, I am often in the frustrating position of discussing results of unknown significance. I appreciate ClinGen's efforts to standardize and improve variant interpretation. I am particularly interested in genes associated with syndromic forms of intellectual disability.</t>
  </si>
  <si>
    <t>I have 3.5 years of experience as a pediatric genetic counselor. In this position, I have gained significant experience in interpreting lab results and conducting curation activity via literature searches, database searches, etc. to ensure that our clinical interpretation is in agreement with the lab's interpretation.</t>
  </si>
  <si>
    <t>I would be most interested in areas related to pediatric medical genetics (autism, ID, neurodevelopmental disorders), but I am open to  any group that is accepting volunteers.</t>
  </si>
  <si>
    <t>Melissa Murfin</t>
  </si>
  <si>
    <t>Elon University</t>
  </si>
  <si>
    <t>Department of Physician Assistant Studies
2087 Campus Box</t>
  </si>
  <si>
    <t>mmurfin@elon.edu</t>
  </si>
  <si>
    <t>Pharmacist/PA-C, PA program director</t>
  </si>
  <si>
    <t xml:space="preserve">I am interested in being part of bringing personalized medicine to prescribers and patients to improve outcomes and care. I found you on the NHGRI website. I would love to see everyone get a PGx profile so that we as providers can make more informed treatment choices for our patients. I'm most interested in clinically actionable pharmacogenetic areas. </t>
  </si>
  <si>
    <t>I am open to any opportunity</t>
  </si>
  <si>
    <t>Ana León</t>
  </si>
  <si>
    <t>Universidad Politécnica de Valencia</t>
  </si>
  <si>
    <t>aleon@pros.upv.es</t>
  </si>
  <si>
    <t>PhD Student</t>
  </si>
  <si>
    <t>I am finishing my PhD in Computer Science. The topic of my thesis is the development of a method to build Genomic Information Systems to support the identification of relevant variants involved in the development of diseases. I am working with experts in the identification of variants associated to epilepsy, breast cancer, migraine, Alzheimer and Crohn's disease. I would like to get involved in the curation process of Clingen to improve my skills and identify new areas were Information Systems could be useful to automate and support the work of the clinicians and geneticists.</t>
  </si>
  <si>
    <t>During my research I worked in the identification of variants and genes associated with the studied diseases.</t>
  </si>
  <si>
    <t>Catalina Betancur</t>
  </si>
  <si>
    <t>France</t>
  </si>
  <si>
    <t>Catalina.Betancur@inserm.fr</t>
  </si>
  <si>
    <t>Casey Brew</t>
  </si>
  <si>
    <t>Ann &amp; Robert H. Lurie Children's Hospital</t>
  </si>
  <si>
    <t>426 W. Belmont Ave Apt 1408, Chicago, IL, 60657</t>
  </si>
  <si>
    <t>cbrew@luriechildrens.org</t>
  </si>
  <si>
    <t xml:space="preserve">I started working as a laboratory genetic counseling doing variant interpretation about 6 months ago, mainly specializing in connective tissue disorders and cardiomyopathy. ClinGen and ClinVar have been regular resources for me in this position. I am interested in continuing to learn more about the process of gene/variant curation as well as to continue building my expertise in the connective tissue/cardiology areas. </t>
  </si>
  <si>
    <t xml:space="preserve">I have experience in sequence variant interpretation and report writing for clinical cases through our in-house molecular diagnostics lab. </t>
  </si>
  <si>
    <t>I would be most interested in the Inherited Cardiomyopathy Variant Curation Expert Panel, but I am open to just about anything.</t>
  </si>
  <si>
    <t>Shulin Zhang</t>
  </si>
  <si>
    <t>University of Kentucky, UKHealthCare</t>
  </si>
  <si>
    <t>800 Rose Street, MS117, Lexington KY, 40536</t>
  </si>
  <si>
    <t>shulin.zhang@uky.edu</t>
  </si>
  <si>
    <t xml:space="preserve">ClinGen curation expert panel's guidelines/recommendations play an indispensable role in the variant curation process in my laboratory. My lab at University of Kentucky offers genetic testing for both somatic and inherited conditions. Since I joined this laboratory in June 2018, my main goals focus on the developing genetic testing for cardiovascular conditions, mitochondrial/metabolic conditions, ophthalmological conditions, neonatal WES, cancer predispositions and pediatric cancers. Currently, I am particularly interested in joining the curation expert panel  for 1) dosage sensitive genes 2) mitochondrial conditions 3) cardiovascular conditions. </t>
  </si>
  <si>
    <t>1) Dosage sensitivity working group expert panel (inherited cancers) 2) Colorectal cancer 3) mitochondrial diseases</t>
  </si>
  <si>
    <t>Marwan Shinawi</t>
  </si>
  <si>
    <t>Washington University School of Medicine</t>
  </si>
  <si>
    <t>One Childrens Place, Northwest Tower, 9132</t>
  </si>
  <si>
    <t>mshinawi@wustl.edu</t>
  </si>
  <si>
    <t>Clinical Medical Geneticist</t>
  </si>
  <si>
    <t xml:space="preserve">I am a clinical geneticist and have special interest in genomic medicine and disease gene discovery. I lead the effort to establish an exome clinic five years ago at Washington University School of Medicine. I have good experience in interpretation of exome results, exploring genotype phenotype correlation, and using in silico tools for variant classification. I hear about ClinGen through scientific conferences and colleagues in the field of medical genetics.   </t>
  </si>
  <si>
    <t>To some extent</t>
  </si>
  <si>
    <t>Autism and Intellectual Disability Gene Curation Expert Panel</t>
  </si>
  <si>
    <t>Adam Coovadia</t>
  </si>
  <si>
    <t>Saint Petersburg College</t>
  </si>
  <si>
    <t>1201 Fairway Ave South</t>
  </si>
  <si>
    <t>coovadiaa@gmail.com</t>
  </si>
  <si>
    <t>Former Lab Operations Director/Molecular Genetics Lab Supervisor and College Professor of Bioinformatics, Genetics, Cell Biology, Biotechnology</t>
  </si>
  <si>
    <t xml:space="preserve">I have been involved with variant science for 13 years both as the Supervisor of the clinical molecular genetics lab at Johns Hopkins Medicine/All Children's Hospital and the Director of Lab Operations at EvolveGene/Cooper Genomics. In addition, I have been an active CAP lab inspector of molecular labs for 10 years now. I have contributed to HGMD, ClinVar and other databases. I am interested in assisting with this project so as to help resolve and or reduce variant discrepancies and learn something along the way! While my experience is in germ line variants for genes typically associated with carrier tests and or esoteric tests, I am open to assisting with any gene and or disease, as needed.  </t>
  </si>
  <si>
    <t>Volkan Okur</t>
  </si>
  <si>
    <t>Baylor college of Medicine</t>
  </si>
  <si>
    <t>Houston, Texas</t>
  </si>
  <si>
    <t>vokur@bcm.edu</t>
  </si>
  <si>
    <t>Clinical medical geneticist/Clinical laboratory geneticist/Post Doc/Resident/Fellow (MD and/or Phd)/Scientific Researcher/Variant Analyst/Scientist</t>
  </si>
  <si>
    <t>any expert panel of hereditary cancer and/or inborn errors of metabolism domains. ClinVar experts can decide where I would be of the most help.</t>
  </si>
  <si>
    <r>
      <t>NOTE:</t>
    </r>
    <r>
      <rPr/>
      <t xml:space="preserve"> Changed address and email. Originally from Columbia University NY </t>
    </r>
    <r>
      <t>CLT 7-8-19</t>
    </r>
  </si>
  <si>
    <t>Mythily Ganapathi</t>
  </si>
  <si>
    <t>Columbia University Medical Center</t>
  </si>
  <si>
    <t>New York CIty</t>
  </si>
  <si>
    <t>mg3560@cumc.columbia.edu</t>
  </si>
  <si>
    <t>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t>
  </si>
  <si>
    <t>Leslie Oldfield</t>
  </si>
  <si>
    <t>UHN</t>
  </si>
  <si>
    <t>leslie.oldfield@gmail.com</t>
  </si>
  <si>
    <t>Research Associate</t>
  </si>
  <si>
    <t>Breast and Ovarian Cancer Gene Curation Expert Panel, Colon Cancer and Polyposis Gene Curation Expert Panel, and the Hereditary Cancer Gene Curation Expert Panel</t>
  </si>
  <si>
    <t>Breast and Ovarian Cancer Gene Curation Expert Panel, Colon Cancer and Polyposis Gene Curation Expert Panel, and the Hereditary Cancer Gene Curation Expert Pane</t>
  </si>
  <si>
    <t>John Shoffner</t>
  </si>
  <si>
    <t>Georgia</t>
  </si>
  <si>
    <t>jmsiv9903@icloud.com</t>
  </si>
  <si>
    <t>Clinical medical geneticist/Clinical laboratory geneticist and Neurology, Biochemical and Molecular Genetics</t>
  </si>
  <si>
    <t>Mitochondrial disease gene and variant expert curation panel; Dilated cardiomyopathy; Fatty acid oxidation; Neuromuscular disease</t>
  </si>
  <si>
    <t>Isabelle Thiffault</t>
  </si>
  <si>
    <t>Children's Mercy Hospital</t>
  </si>
  <si>
    <t>Kansas CIty, MO</t>
  </si>
  <si>
    <t>ithiffault@cmh.edu</t>
  </si>
  <si>
    <t>Undergraduate</t>
  </si>
  <si>
    <t>Mitochondrial or ASD/ID</t>
  </si>
  <si>
    <t>Ye Cao</t>
  </si>
  <si>
    <t>ye.cao@bcm.edu</t>
  </si>
  <si>
    <t>Clinical laboratory geneticist and Post Doc/Resident/Fellow (MD and/or PhD)</t>
  </si>
  <si>
    <t>Hereditary Cancer Gene Curation Expert Panel</t>
  </si>
  <si>
    <t>Samar Khalefa</t>
  </si>
  <si>
    <t>Egypt</t>
  </si>
  <si>
    <t>samarkhalifa@hotmail.com</t>
  </si>
  <si>
    <t>High School Student</t>
  </si>
  <si>
    <t>Autism and Intellectual Disability Gene Curation Expert Panel. I hope to involve in all Expert Panels/Working Groups related to brain genome.</t>
  </si>
  <si>
    <t>Colin Ellis</t>
  </si>
  <si>
    <t>PA</t>
  </si>
  <si>
    <t>colin.ellis@uphs.upenn.edu</t>
  </si>
  <si>
    <t>Epilepsy WG</t>
  </si>
  <si>
    <t>Mansour Zamanpoor</t>
  </si>
  <si>
    <t>WRGL</t>
  </si>
  <si>
    <t>New Zealand</t>
  </si>
  <si>
    <t>mansour.zamanpoor@ccdhb.org.nz</t>
  </si>
  <si>
    <t>Clinical laboratory genetist, PhD candidate</t>
  </si>
  <si>
    <t>Hereditary cancer and neuro-developmental disorders</t>
  </si>
  <si>
    <t>Benjamin Kang</t>
  </si>
  <si>
    <t>EGL Genetics/Emory University SOM</t>
  </si>
  <si>
    <t>GA</t>
  </si>
  <si>
    <t>bekang@emory.edu</t>
  </si>
  <si>
    <t>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t>
  </si>
  <si>
    <t>Ljubica Caldovic</t>
  </si>
  <si>
    <t>Children's National Medical Center</t>
  </si>
  <si>
    <t>Washington, DC</t>
  </si>
  <si>
    <t>lcaldovic@childrensnational.org</t>
  </si>
  <si>
    <t>Scientific Researcher, Variant Analyst/Scientist</t>
  </si>
  <si>
    <t>Aminoacidopathy working group/expert panel; Metabolism expert panel</t>
  </si>
  <si>
    <t>John Millichap</t>
  </si>
  <si>
    <t>Ann &amp; Robert H. Lurie Children's Hospital of Chicago</t>
  </si>
  <si>
    <t>Chicago, IL</t>
  </si>
  <si>
    <t>jmillichap@luriechildrens.org</t>
  </si>
  <si>
    <t>Epilepsy WG/EP</t>
  </si>
  <si>
    <t>Vladimir Lialine</t>
  </si>
  <si>
    <t>Twixsoft LLC</t>
  </si>
  <si>
    <t>Connecticut</t>
  </si>
  <si>
    <t>vlad@twixsoft.com</t>
  </si>
  <si>
    <t>Scientific Researcher, Graduate Student, Citizen Scientist/Patient Advocate</t>
  </si>
  <si>
    <t>Declined in an email on 10/7/19 - will reach back out in December 2020 to curate when she has a less busy schedule. Change to Comprehensive curation on 12/4/19</t>
  </si>
  <si>
    <t>Excelra Knowledge Solutions</t>
  </si>
  <si>
    <t>Biocurator, Variant Analyst/Scientist</t>
  </si>
  <si>
    <t>Somatic/Germline Variant Curation Group; Hereditary Cancer Gene Curation Expert Panel</t>
  </si>
  <si>
    <t>Vaidehi Jobanputra</t>
  </si>
  <si>
    <t>New York Genome Center</t>
  </si>
  <si>
    <t xml:space="preserve">New York  </t>
  </si>
  <si>
    <t>vjobanputra@nygenome.org</t>
  </si>
  <si>
    <t>Khushnooda Ramzan</t>
  </si>
  <si>
    <t>King Faisal Specialist Hospital and Research Centre</t>
  </si>
  <si>
    <t>Saudi Arabia</t>
  </si>
  <si>
    <t>khushnooda@gmail.com</t>
  </si>
  <si>
    <t>Scientific Research/ Variant Analyst</t>
  </si>
  <si>
    <t>Experience with Mendelian disorders, not noted for curation. Hearing Loss (most experience with pubs), Cardiovascular KCNQ1 Variant
Storage Diseases Variant Curation Expert Panel</t>
  </si>
  <si>
    <t>Erik Thorland</t>
  </si>
  <si>
    <t xml:space="preserve">Mayo Clinic </t>
  </si>
  <si>
    <t>MN</t>
  </si>
  <si>
    <t>thorland.erik@mayo.edu</t>
  </si>
  <si>
    <t>I'm specifically interested in the epilespy gene curation group.  I'm already involved in the dosage sensitivity working group.</t>
  </si>
  <si>
    <t>Olivia Rennie</t>
  </si>
  <si>
    <t>olivia.rennie@sickkids.ca</t>
  </si>
  <si>
    <t>ID/Autism Gene Curation Expert Panel</t>
  </si>
  <si>
    <t>Kira Dies</t>
  </si>
  <si>
    <t>Boston Children's Hospital</t>
  </si>
  <si>
    <t>Boston, MA</t>
  </si>
  <si>
    <t>Kira.Dies@childrens.harvard.edu</t>
  </si>
  <si>
    <t>ASD/NDD</t>
  </si>
  <si>
    <t>ID/Autism Expert Panel</t>
  </si>
  <si>
    <t>Ny Hoang</t>
  </si>
  <si>
    <t>ny.hoang@sickkids.ca</t>
  </si>
  <si>
    <t>Autism and ID working group</t>
  </si>
  <si>
    <t>Jacob Vorstman</t>
  </si>
  <si>
    <t>jacob.vorstman@sickkids.ca</t>
  </si>
  <si>
    <t>Post Doc/Resident/Fellow (MD and/or Phd), Scientific Researcher, Physician (non-geneticist)</t>
  </si>
  <si>
    <t>Autism Spectrum Disorder - see previous and ongoing discussions following the Toronto ASD gene list meeting this fall</t>
  </si>
  <si>
    <t>Sainan Wei</t>
  </si>
  <si>
    <t>University of Kentucky</t>
  </si>
  <si>
    <t>Kentucky</t>
  </si>
  <si>
    <t xml:space="preserve">sainan.wei@uky.edu </t>
  </si>
  <si>
    <t>Hereditary cancer gene Acinoacidopathy gene fatty acid oxidation gene</t>
  </si>
  <si>
    <t>Hereditary cancer gene Aminoacidopathy gene fatty acid oxidation gene</t>
  </si>
  <si>
    <t>Preti Jain</t>
  </si>
  <si>
    <t>Yale University</t>
  </si>
  <si>
    <t>preti.jain@yale.edu</t>
  </si>
  <si>
    <t>cardiomyopathy, Somatic/Germline Variant Curation, Hereditary Cancer</t>
  </si>
  <si>
    <t>Andrea Vaags</t>
  </si>
  <si>
    <t>Trillium Health Partners - Credit Valley Hospital</t>
  </si>
  <si>
    <t>Canada</t>
  </si>
  <si>
    <t>andrea.vaags@thp.ca</t>
  </si>
  <si>
    <t>Somatic/Germline Variant Curation Group (In progress); Breast and Ovarian Cancer Gene Curation Expert Panel; Hereditary Cancer Gene Curation Expert Panel (In progress); Somatic/Germline Variant Curation Group (In progress)</t>
  </si>
  <si>
    <t>George Burghel</t>
  </si>
  <si>
    <t>Manchester Centre for Genomic Medicine</t>
  </si>
  <si>
    <t>Manchester, UK</t>
  </si>
  <si>
    <t>george.burghel@mft.nhs.uk</t>
  </si>
  <si>
    <t xml:space="preserve">Experience with Dosage sensitivity but not curation. </t>
  </si>
  <si>
    <t xml:space="preserve">Experience with Dosage sensistivy but not curation. </t>
  </si>
  <si>
    <t>Coumarane Mani</t>
  </si>
  <si>
    <t>ARUP Laboratories</t>
  </si>
  <si>
    <t>SLC, Utah</t>
  </si>
  <si>
    <t>coumarane.mani@aruplab.com</t>
  </si>
  <si>
    <t>1. Somatic/Germline Variant Curation Group 2. Myeloid Malignancy Variant Curation Expert Panel</t>
  </si>
  <si>
    <t>Mahesh Iddawela</t>
  </si>
  <si>
    <t>Monash University</t>
  </si>
  <si>
    <t>Victoria, Australia</t>
  </si>
  <si>
    <t>mahesh.iddawela@monash.edu</t>
  </si>
  <si>
    <t>Clinician Scientist Medical Oncology</t>
  </si>
  <si>
    <t>Somatic Cancer (TP53), Breast/Ovarian cancer</t>
  </si>
  <si>
    <t>Diogo Ventura Lovato</t>
  </si>
  <si>
    <t>Tismoo Biotech</t>
  </si>
  <si>
    <t>Brazil</t>
  </si>
  <si>
    <t>diogo.v.lovato@gmail.com</t>
  </si>
  <si>
    <t>Clinical laboratory geneticist, Scientific Researcher, Biocurator, Variant Analyst/Scientist</t>
  </si>
  <si>
    <t>Autism and Intellectual Disability, Epilepsy</t>
  </si>
  <si>
    <t>Rhonda N.T. Lassiter, PhD</t>
  </si>
  <si>
    <t>Ambry Genetics</t>
  </si>
  <si>
    <t>15 Argonaut, CA</t>
  </si>
  <si>
    <t>rlassiter@ambrygen.com</t>
  </si>
  <si>
    <t>I currently use ClinGen as a significant resource and would like to contribute to the progress of gene and variant curation. I am interested in Neurogenetics.</t>
  </si>
  <si>
    <t xml:space="preserve">Yes, I am employed as a Variant Scientist. I work on variant and gene curation for neurology panels and exome. </t>
  </si>
  <si>
    <t>Autism and ID, Epilepsy, RASopathy, Pediatric, Neurodevelopmental</t>
  </si>
  <si>
    <t>Sameeha Shirwadkar</t>
  </si>
  <si>
    <t>sameeha9@gmail.com</t>
  </si>
  <si>
    <t>Biocurator and Variant Analyst Scientist</t>
  </si>
  <si>
    <t>yes</t>
  </si>
  <si>
    <t>Somatic/Germline Variant Curation Group and TP53 Variant Curation Expert Panel</t>
  </si>
  <si>
    <t>Heather Williams</t>
  </si>
  <si>
    <t>King's College Hospital</t>
  </si>
  <si>
    <t>London, UK</t>
  </si>
  <si>
    <t>heather.williams30@nhs.net</t>
  </si>
  <si>
    <t>Myeloid Malignancy Variant Curation Expert Panel Somatic/Germline Variant Curation Group</t>
  </si>
  <si>
    <t>Laura Richards</t>
  </si>
  <si>
    <t>University of Toronto / Princess Margaret Cancer Centre</t>
  </si>
  <si>
    <t>lauram.richards@mail.utoronto.ca</t>
  </si>
  <si>
    <t>Graduate Student</t>
  </si>
  <si>
    <t>All expert panels in Hereditary Cancer CDWG</t>
  </si>
  <si>
    <t>Aysegul Ozanturk</t>
  </si>
  <si>
    <t>Invitae</t>
  </si>
  <si>
    <t>MA</t>
  </si>
  <si>
    <t>aozanturk@gmail.com</t>
  </si>
  <si>
    <t>I would say mostly rare disorders. I have an expertise on ciliary disorders/ Syndromic IDs/ inborn error of metabolic disorders. Happy to share my resume.</t>
  </si>
  <si>
    <t>Kaylee Barber</t>
  </si>
  <si>
    <t>GenPath/BioReference</t>
  </si>
  <si>
    <t>NJ</t>
  </si>
  <si>
    <t>kbarber@bioreference.com</t>
  </si>
  <si>
    <t>Somatic Cancer Working Group, Somatic/Germline Variant Curation Group</t>
  </si>
  <si>
    <t>Wan-Hsin Lin</t>
  </si>
  <si>
    <t>Mayo Clinic</t>
  </si>
  <si>
    <t>Jacksonville, FL</t>
  </si>
  <si>
    <t>lin.wanhsin@mayo.edu</t>
  </si>
  <si>
    <t>no</t>
  </si>
  <si>
    <t>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t>
  </si>
  <si>
    <t>Stefan Rentas</t>
  </si>
  <si>
    <t>The Children's Hospital of Philadelphia</t>
  </si>
  <si>
    <t>rentass@email.chop.edu</t>
  </si>
  <si>
    <t>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t>
  </si>
  <si>
    <t>Willonie Mendonca</t>
  </si>
  <si>
    <t>Genedx/BioReference Labs</t>
  </si>
  <si>
    <t>Seattle, WA</t>
  </si>
  <si>
    <t>willonie@gmail.com</t>
  </si>
  <si>
    <t>Somatic cancer working groupHereditary cancer working group</t>
  </si>
  <si>
    <t>Iman Haroun</t>
  </si>
  <si>
    <t>Reading Hospital</t>
  </si>
  <si>
    <t>iman.haroun@readinghealth.org</t>
  </si>
  <si>
    <t>Somatic Cancer, Pancreatic</t>
  </si>
  <si>
    <t>Daniel Bellissimo</t>
  </si>
  <si>
    <t xml:space="preserve">University of Pittsburgh  </t>
  </si>
  <si>
    <t>BELLISSIMOD@MAIL.MAGEE.EDU</t>
  </si>
  <si>
    <t>I was told work groups were being formed for Platelet/Bleeding Disorders and VWD. I would be interested in those work groups.</t>
  </si>
  <si>
    <t xml:space="preserve">Alexa Dickson </t>
  </si>
  <si>
    <t>MO</t>
  </si>
  <si>
    <t>alexa.dickson@aruplab.com</t>
  </si>
  <si>
    <t>retinal disease working group</t>
  </si>
  <si>
    <t>Luke Drury</t>
  </si>
  <si>
    <t>Prevention Genetics</t>
  </si>
  <si>
    <t>WI</t>
  </si>
  <si>
    <t>luke.drury@preventiongenetics.com</t>
  </si>
  <si>
    <t>any WG</t>
  </si>
  <si>
    <t>Lynne Rosenblum</t>
  </si>
  <si>
    <t>Integrated Genetics/LabCorp</t>
  </si>
  <si>
    <t>lynne.rosenblum@integratedgenetics.com</t>
  </si>
  <si>
    <t>storage disease and somatic/germline working groups, but am open to other opportunities.</t>
  </si>
  <si>
    <t>Yang Wang</t>
  </si>
  <si>
    <t>PerkinElmer Genomics</t>
  </si>
  <si>
    <t>yangwangcmg@gmail.com</t>
  </si>
  <si>
    <t>hereditary cancer panel and inborn error of metabolism, if not a Baseline Biocurator</t>
  </si>
  <si>
    <t xml:space="preserve">Elaine Spector </t>
  </si>
  <si>
    <t>Univ of Colorado, Children's Hospital</t>
  </si>
  <si>
    <t>CO</t>
  </si>
  <si>
    <t>elaine.spector@childrenscolorado.org</t>
  </si>
  <si>
    <t>Inborn Errors of Metabolism Clinical Domain Working Group . Amino Acid and Fatty Acid Working Groups.</t>
  </si>
  <si>
    <t>Samya Chakravorty</t>
  </si>
  <si>
    <t>Emory University School of Medicine, Department of Human Genetics</t>
  </si>
  <si>
    <t>samya.chakravorty@emory.edu</t>
  </si>
  <si>
    <t>1. Storage Diseases Variant Curation Expert Panel 2. Epilepsy Gene Curation Expert Panel 3. Cardiovascular Dilated Cardiomyopathy Gene Curation Expert Panel</t>
  </si>
  <si>
    <t>Marco Leung</t>
  </si>
  <si>
    <t>Center for Applied Genomics - Children's Hospital of Philadelphia</t>
  </si>
  <si>
    <t>leungm@email.chop.edu</t>
  </si>
  <si>
    <t>Hereditary cancers; neurodevelopmental disorders; polivy making</t>
  </si>
  <si>
    <t>Emily Groopman</t>
  </si>
  <si>
    <t>NY</t>
  </si>
  <si>
    <t>ee.groopman@gmail.com</t>
  </si>
  <si>
    <t>Aminoacidopathy Gene Curation Expert Panel, Storage Diseases Variant Curation Expert Panel, and Hereditary Cancer Gene Curation Expert Pane</t>
  </si>
  <si>
    <t xml:space="preserve">Rhonda Lassiter </t>
  </si>
  <si>
    <t>CA</t>
  </si>
  <si>
    <t>I am interested in any of the Neurodevelopmental Disorders CDWG's. I am happy to help wherever there is a need.</t>
  </si>
  <si>
    <t xml:space="preserve">Emma Reble </t>
  </si>
  <si>
    <t>St. Michael's Hospital</t>
  </si>
  <si>
    <t>reblee@smh.ca</t>
  </si>
  <si>
    <t>I am interest in the neurodevelopmental disorder CDWG, particularly the Autism and ID group.</t>
  </si>
  <si>
    <t>Bryony Thompson</t>
  </si>
  <si>
    <t>Department of Pathology, Royal Melbourne Hospital</t>
  </si>
  <si>
    <t>Bryony.Thompson@mh.org.au</t>
  </si>
  <si>
    <t>CDH1 Variant Curation Expert Panel</t>
  </si>
  <si>
    <t>Qiliang Ding</t>
  </si>
  <si>
    <t xml:space="preserve">Cornell University </t>
  </si>
  <si>
    <t>qd29@cornell.edu</t>
  </si>
  <si>
    <t>I am interested in all working groups.</t>
  </si>
  <si>
    <t>Amy Donahue</t>
  </si>
  <si>
    <t>Froedtert &amp; The Medical College of Wisconsin</t>
  </si>
  <si>
    <t>adonahue@mcw.edu</t>
  </si>
  <si>
    <t>Any of the cardiac or neuro as well as the mitochondrial and monogenetic diabetes groups would fit within my clinical specialties. If there is the potential to start an ophthalmology/eye disorders group, I would love to be involved there. Thank you for the opportunity!</t>
  </si>
  <si>
    <t>Dave Ferguson</t>
  </si>
  <si>
    <t>UCI</t>
  </si>
  <si>
    <t>Irvine, CA</t>
  </si>
  <si>
    <t>dferguso@uci.edu</t>
  </si>
  <si>
    <t>Mitochondrial Disease Variant Curation Expert Panel (In progress) Autism and Intellectual Disability Gene Curation Expert Panel</t>
  </si>
  <si>
    <t>Santhi Ramachandran</t>
  </si>
  <si>
    <t>Kerala, India</t>
  </si>
  <si>
    <t>santhialways4u@gmail.com</t>
  </si>
  <si>
    <t>I would like to work with variant curation expert panel or gene curation expert panel</t>
  </si>
  <si>
    <t>Megan Nathan</t>
  </si>
  <si>
    <t>Providence Alaska Medical Center</t>
  </si>
  <si>
    <t>Anchorage, AK</t>
  </si>
  <si>
    <t>mlnathan.genetics@gmail.com</t>
  </si>
  <si>
    <t>I would be most interested in the following groups (1 = top choice; 5 = last choice) 1. Breast/Ovarian Cancer (newly forming) 2. Colorectal Cancer (newly forming) 3. PTEN* 4. CDH1 5. VHL (Von Hippel-Lindau)*</t>
  </si>
  <si>
    <t>Ellen Xu</t>
  </si>
  <si>
    <t xml:space="preserve">CA </t>
  </si>
  <si>
    <t>Dosage sensitivity, hereditary cancer</t>
  </si>
  <si>
    <r>
      <t xml:space="preserve">Note: </t>
    </r>
    <r>
      <rPr/>
      <t xml:space="preserve"> email address given was exu@fulgentgenetics.com, however as of July 9, 2019, this is no longer a contact email and no forwarding email provided.</t>
    </r>
  </si>
  <si>
    <t>Alisdair Philp</t>
  </si>
  <si>
    <t>University of Kansas Hospitals System</t>
  </si>
  <si>
    <t>Kansas City, MO</t>
  </si>
  <si>
    <t>arphilp@gmail.com</t>
  </si>
  <si>
    <t>Cnv</t>
  </si>
  <si>
    <t>Jenna Guiltinan</t>
  </si>
  <si>
    <t>jenna.guiltinan@invitae.com</t>
  </si>
  <si>
    <t>Dosage- Hereditary Cancer sounds the most interesting to me, but any of the dosage sensitivity working groups would be great!</t>
  </si>
  <si>
    <t>Ron Agatep</t>
  </si>
  <si>
    <t>Shared Health Manitoba</t>
  </si>
  <si>
    <t xml:space="preserve">820 Sherbrook St.  </t>
  </si>
  <si>
    <t>ragatep@sharedhealthmb.ca</t>
  </si>
  <si>
    <t>I am a molecular geneticist interested in curation.  I have a specific interest in cancer with a PhD in melanoma genetics (CDK4, CDKN2A) and would be interested in contributing to these genes.  As a resident to Manitoba with several founder specific mutations I would also be interested in leading working on rare diseases specific to our region (possibly working with local experts).  Our centre has long history of performing HBOC.</t>
  </si>
  <si>
    <t>Gene-Disease Validity, Somatic Cancer</t>
  </si>
  <si>
    <t>Hereditary Breast and Ovarian Cancer</t>
  </si>
  <si>
    <t>Danielle Croucher</t>
  </si>
  <si>
    <t>University of Toronto</t>
  </si>
  <si>
    <t>d.croucher@mail.utoronto.ca</t>
  </si>
  <si>
    <t>Myeloid Malignancy Variant Curation Expert Panel, Somatic/Germline Variant Curation Group, TP53 Variant Curation Expert Panel, Hereditary Cancer Gene Curation Expert Panel, Breast and Ovarian Cancer Gene Curation Expert Panel</t>
  </si>
  <si>
    <t>Fadel Alyaquob</t>
  </si>
  <si>
    <t>falyaqoub1@yahoo.com</t>
  </si>
  <si>
    <t>Hilary Racher</t>
  </si>
  <si>
    <t>Impact Genetics</t>
  </si>
  <si>
    <t>racherh@dynacare.ca</t>
  </si>
  <si>
    <t>Somatic/Germline Variant Curation Group Hereditary Cancer Gene Curation Expert Panel Sequence Variant Interpretation</t>
  </si>
  <si>
    <t>Juan Dong</t>
  </si>
  <si>
    <t>juan.dong@preventiongenetics.com</t>
  </si>
  <si>
    <t>Familial Thoracic Aortic Aneurysm and Dissection Gene Curation Expert Pane</t>
  </si>
  <si>
    <t>Julie Kaylor</t>
  </si>
  <si>
    <t>InformedDNA</t>
  </si>
  <si>
    <t>Arkansas</t>
  </si>
  <si>
    <t>jkaylor@informeddna.com</t>
  </si>
  <si>
    <t>David Ng</t>
  </si>
  <si>
    <t>NIH</t>
  </si>
  <si>
    <t>MD</t>
  </si>
  <si>
    <t>davidng@mail.nih.gov</t>
  </si>
  <si>
    <t>Clinical medical geneticist/Variant Analyst/Scientist</t>
  </si>
  <si>
    <t>Cardiology.</t>
  </si>
  <si>
    <t>Nan Jiang</t>
  </si>
  <si>
    <t>University of California, San Diego</t>
  </si>
  <si>
    <t>naj018@ucsd.edu</t>
  </si>
  <si>
    <t xml:space="preserve">I heard about ClinGen from some published papers.I would like to contribute to the community with my experience and knowledge at the same time learn more about how to interpret genetic variants in a comprehensive way. I am particularly interested in neural tube defect. </t>
  </si>
  <si>
    <t xml:space="preserve">Yes. I work in a clinical genetics research lab identifying disease genes in pediatric neurological disorders using whole exome and whole genome sequencing. I do variants pathogenicity curation in daily bases. </t>
  </si>
  <si>
    <t xml:space="preserve">I am particularly interested in the variant and gene curation expert panels under dosage sensitivity working group. </t>
  </si>
  <si>
    <t>Michelle Green</t>
  </si>
  <si>
    <t>NC</t>
  </si>
  <si>
    <t>Michelle.green@n-of-one.com</t>
  </si>
  <si>
    <t>Mahsa</t>
  </si>
  <si>
    <t>New Mexico State University</t>
  </si>
  <si>
    <t>New Mexico</t>
  </si>
  <si>
    <t>mahsash@nmsu.edu</t>
  </si>
  <si>
    <t>mfgreen14@gmail.com</t>
  </si>
  <si>
    <t>Xinkun "Sequen" Wang</t>
  </si>
  <si>
    <t>Northwestern University</t>
  </si>
  <si>
    <t>xinkun.wang@northwestern.edu</t>
  </si>
  <si>
    <t>Epilepsy Gene Curation Expert Panel Autism and Intellectual Disability Gene Curation Expert Panel</t>
  </si>
  <si>
    <t>Siddharth Banka</t>
  </si>
  <si>
    <t>Siddharth.Banka@manchester.ac.uk</t>
  </si>
  <si>
    <t>Neurodevelopmental Disorders, experience with curating CNVs (potentially Dosage)</t>
  </si>
  <si>
    <t>Anna Tanska</t>
  </si>
  <si>
    <t>Peter mac</t>
  </si>
  <si>
    <t>"anna.tanska@petermac.org "</t>
  </si>
  <si>
    <t>Somatic cancer WG</t>
  </si>
  <si>
    <t>Amanda Fortier</t>
  </si>
  <si>
    <t>ACL Laboratories</t>
  </si>
  <si>
    <t>IL</t>
  </si>
  <si>
    <t>amanda.fortier@advocatehealth.com</t>
  </si>
  <si>
    <t>Yes, if needed. I am open to considering this type of activity.</t>
  </si>
  <si>
    <t>Qiuxiang Ou</t>
  </si>
  <si>
    <t>University of Alberta</t>
  </si>
  <si>
    <t>dorothy.ou@gmail.com</t>
  </si>
  <si>
    <t xml:space="preserve">My academic background is oncology. I learnt this opportunity from the website of ClinGen when I was searching for resources I needed. </t>
  </si>
  <si>
    <t>Somatic Cancer Working Group</t>
  </si>
  <si>
    <t>Kylin Boehler</t>
  </si>
  <si>
    <t>Quest Diagnostics</t>
  </si>
  <si>
    <t>OH</t>
  </si>
  <si>
    <t>kylin.y.boehler@questdiagnostics.com</t>
  </si>
  <si>
    <t>I am mainly interested in the Hereditary Cancer Gene Dosage Sensitivity Curation group.</t>
  </si>
  <si>
    <t>Lisa Diller</t>
  </si>
  <si>
    <t>Dana-Farber Cancer Institute</t>
  </si>
  <si>
    <t>lisa_diller@dfci.harvard.edu</t>
  </si>
  <si>
    <t>Nharimann Azima</t>
  </si>
  <si>
    <t>naa3f@gwu.edu</t>
  </si>
  <si>
    <t>Analyst</t>
  </si>
  <si>
    <t>I am flexible</t>
  </si>
  <si>
    <t>Krzysztof Szczaluba</t>
  </si>
  <si>
    <t>Dept of Medical Genetics. Warsaw Medical University</t>
  </si>
  <si>
    <t>Warsaw, Poland</t>
  </si>
  <si>
    <t>krzysztof.szczaluba@gmail.com</t>
  </si>
  <si>
    <t>autism/ID, epi, brovca</t>
  </si>
  <si>
    <t>Robin Bennett</t>
  </si>
  <si>
    <t>University of Washington</t>
  </si>
  <si>
    <t>robinb@uw.edu</t>
  </si>
  <si>
    <t>Variant curation expert panels: PTEN, VHL, CDH1, Colorectal cancer, breast-ovarian</t>
  </si>
  <si>
    <t>Fiona Curtis</t>
  </si>
  <si>
    <t>Eastern Health/Memorial University of NL</t>
  </si>
  <si>
    <t>NL, Canada</t>
  </si>
  <si>
    <t>fionakatherinecurtis@yahoo.ca</t>
  </si>
  <si>
    <t>inherited cardiomyopathy or other CV diseases</t>
  </si>
  <si>
    <t>Jennifer Marie Lee</t>
  </si>
  <si>
    <t>National Cancer Institute</t>
  </si>
  <si>
    <t>Jennifer.Lee2@nih.gov</t>
  </si>
  <si>
    <t>Laura Fuqua</t>
  </si>
  <si>
    <t>laura.fuqua@gmail.com</t>
  </si>
  <si>
    <t>Morgan Similuk</t>
  </si>
  <si>
    <t>NIAID/NIH</t>
  </si>
  <si>
    <t>Bethesda, MD</t>
  </si>
  <si>
    <t>Morgan.similuk@nih.gov</t>
  </si>
  <si>
    <t>Sandra P Smieszek</t>
  </si>
  <si>
    <t>DC</t>
  </si>
  <si>
    <t>sps92@case.edu</t>
  </si>
  <si>
    <t>Autism</t>
  </si>
  <si>
    <t>Can Ding</t>
  </si>
  <si>
    <t>Institut für Humangenetik</t>
  </si>
  <si>
    <t>Langenbeckstr. 1, 55131 Mainz, Germany</t>
  </si>
  <si>
    <t>can.ding@unimedizin-mainz.de</t>
  </si>
  <si>
    <t xml:space="preserve">I am a medical clinical genetist in training. Previously I was a neurologist in training and during my PhD I conducted reaserch in muscular disorders. Thus, neurogenetist is my special interest. </t>
  </si>
  <si>
    <t>I have over two years experiences in variant classification.</t>
  </si>
  <si>
    <t>I would be interested in a muscular disorder group.</t>
  </si>
  <si>
    <t>Milda Auglyte</t>
  </si>
  <si>
    <t>Hospital Universitario Puerta de Hierro Majadahonda</t>
  </si>
  <si>
    <t>Spain</t>
  </si>
  <si>
    <t>mildaaug@gmail.com</t>
  </si>
  <si>
    <t>I found Clinical Genome website by an accident by searching genetic variants for my work. This curation community intrigue me by variety of different working groups and at the same time by theirs topics.</t>
  </si>
  <si>
    <t>During my master's I performed NSCLC solid and liquid biopsies testing by target NGS. Nowadays, I'm still continuing this path, but additionally I am working with hereditary breast and ovarian cancer clinical testing.</t>
  </si>
  <si>
    <t>I would be interested in newly forming groups: Breast/Ovarian Cancer, Nonsmall cell lung cancer and Somatic TP53.</t>
  </si>
  <si>
    <t>I would like to get more knowledge of how to work in the international scientific community and also I would like to know how big genetic data is curated. At the same time, how to get the best of it and how to improve clinical testing.</t>
  </si>
  <si>
    <t>Particulary I am interest in opportunities of somatic and hereditary cancers testing in clinical laboratories. At the same time, I am interest in pathogenesis of NSCLC, breast and ovarian cancer at molecular level. Furthermore, interested in TP53 gene mutations and pathogenesis.</t>
  </si>
  <si>
    <t>Andres Ressia</t>
  </si>
  <si>
    <t>TRIO Oncology</t>
  </si>
  <si>
    <t>Dr. Emilio Frugoni 906 apto 301</t>
  </si>
  <si>
    <t>andresressiacolino@gmail.com</t>
  </si>
  <si>
    <t>Post-Bachelors</t>
  </si>
  <si>
    <t>I knew about ClinGen for my work in a national program on Familial Hypercholesterolaemia  in Uruguay. My interest comes from the interest in linking clinic and genetics.</t>
  </si>
  <si>
    <t>Breast/Ovarian Cancer (newly forming)</t>
  </si>
  <si>
    <t>I'd like to be updated and somehow related to the development of precision medicine.</t>
  </si>
  <si>
    <t>Breast Cancer, as I work in an organization now that deals with this disease.</t>
  </si>
  <si>
    <t>Parisa Lotfi</t>
  </si>
  <si>
    <t>TX</t>
  </si>
  <si>
    <t>Parisa_Lotfi@yahoo.com</t>
  </si>
  <si>
    <t>Post Doc/Resident/Fellow (MD and/or Phd), Scientific Researcher</t>
  </si>
  <si>
    <t>intellectual disability/autism group</t>
  </si>
  <si>
    <t>Huei San Leong</t>
  </si>
  <si>
    <t>PETER MACCALLUM CANCER CENTRE</t>
  </si>
  <si>
    <t>hueisan.leong@petermac.org</t>
  </si>
  <si>
    <t>1) Breast/Ovarian Cancer 2) Colorectal Cancer 3) CDH1</t>
  </si>
  <si>
    <t>Pandurang Kolekar</t>
  </si>
  <si>
    <t>Thermo Fisher Scientific</t>
  </si>
  <si>
    <t>pandurang.kolekar@gmail.com</t>
  </si>
  <si>
    <t>"Scientific Researcher, Biocurator, Variant Analyst/Scientist, Other (please specify): Bioinformatics Engineer"</t>
  </si>
  <si>
    <t>Samata Singhi</t>
  </si>
  <si>
    <t>Kennedy Krieger Institute/ Johns Hopkins Hospital</t>
  </si>
  <si>
    <t>1204 Linden Green, Baltimore, MD 21217</t>
  </si>
  <si>
    <t>samata.singhi@gmail.com</t>
  </si>
  <si>
    <t>I am interested in epilepsy genetics and heard about ClinGen from Ann Poduri</t>
  </si>
  <si>
    <t>Learn about epilepsy genetics and use that knowledge to help my patients</t>
  </si>
  <si>
    <t>Szabolcs Szelinger</t>
  </si>
  <si>
    <t>Translational Genomics Research Institute</t>
  </si>
  <si>
    <t>445 N. 5th St Phoenix AZ 85004</t>
  </si>
  <si>
    <t>sszelinger@tgen.org</t>
  </si>
  <si>
    <t xml:space="preserve">I am an ACMG Candidate Fellow working in a CLIA/CAP clinical laboratory and also in basic research. Joining ClinGen curation team would allow me to learn best practices in the assessment of genetic variants, potentially could guide interpretation workflow and variant/gene reporting in the clinical laboratory, and it would assist with in my research interest of rare, pediatric disease gene identification. </t>
  </si>
  <si>
    <t xml:space="preserve">As an ACMG fellow at UCLA, and at the CLIA lab I work, we routinely assess variants for pathogenicity and disease-gene validity. In addition, I have experience in curating somatic mutations for actionability. In the research laboratory we sequenced and interpreted hundreds of trio exomes in rare pediatric disease. </t>
  </si>
  <si>
    <t>There are many interesting groups such as the mitochondrial disease, inherited cardiomyopathy, Epilepsy and Somatic TP53 group.</t>
  </si>
  <si>
    <t>I would like to learn best practices for variant/gene assessment and contribute to better understanding of gene/variant-phenotype association. In addition, would like to interface with other scientists/clinicians.</t>
  </si>
  <si>
    <t>Congenital Myasthenic Syndrome and GFPT1 gene. Beta-propeller Protein-Associated Neurodegeneration (BPAN) and WDR45 gene. Also interested in hereditary cancer predisposition syndromes.</t>
  </si>
  <si>
    <t>Jianhong Zhou</t>
  </si>
  <si>
    <t>jhzhou2008@hotmail.com</t>
  </si>
  <si>
    <t>Post Doc/Resident/Fellow (MD and/or Phd), Scientific Researcher, Focus on bioinformatics and computational biology</t>
  </si>
  <si>
    <t>Somatic Cancer WG</t>
  </si>
  <si>
    <t>Ramesh Vaidyanathan</t>
  </si>
  <si>
    <t>Not Applicable</t>
  </si>
  <si>
    <t>2 Windhaven Circle</t>
  </si>
  <si>
    <t>vaid@rocketmail.com</t>
  </si>
  <si>
    <t>Biotech Professional with Biochemistry and Genomics background and a Citizen Scientist</t>
  </si>
  <si>
    <t xml:space="preserve">I came to know about ClinGen curation through the All of Us Research Program (NIH).  Given my background, I understand that in order to take full advantage of the technological advancements in Genomics we need more data and I am excited about this initiative by NIH.  The UK BioBank released genomics data of 500,000 Britons and within a couple of days scientists doubled the number of  genetic markers linked to diseases and traits.   </t>
  </si>
  <si>
    <t>I am learning open source programing tools (Python) to handle genomics data and want to use this knowledge to help with ClinGen  curation.</t>
  </si>
  <si>
    <t>While I have a very broad interest, I am intrigued by reports that highlight  the role that microbiomes in health.</t>
  </si>
  <si>
    <t>Ranjit Shetty</t>
  </si>
  <si>
    <t>Novartis</t>
  </si>
  <si>
    <t>Cambridge MA</t>
  </si>
  <si>
    <t>ranjit.shetty@novartis.com</t>
  </si>
  <si>
    <t>I work in a Precision Medicine group at Novartis. I have previously used various sources (COSMIC etc) for evaluating my NGS data</t>
  </si>
  <si>
    <t>Evaluating TP53 and NF2 variants from NGS data</t>
  </si>
  <si>
    <t>Further my understanding and help in the curation</t>
  </si>
  <si>
    <t>TP53/Breast Cancer</t>
  </si>
  <si>
    <t>Brooke H. Miller</t>
  </si>
  <si>
    <t>Self/University of Florida</t>
  </si>
  <si>
    <t>4171 San Marino Blvd, Apt. 208, West Palm Beach, FL 33409</t>
  </si>
  <si>
    <t>brooke.h.miller@gmail.com</t>
  </si>
  <si>
    <t>Helped a friend interpret a Genomind report, got sucked down rabbit hole of PGX, eventually came across ClinGen via the FDA website</t>
  </si>
  <si>
    <t>Yes--used inbred strain haplotype mapping, gene expression analysis, and re-sequencing to identify SNPs associated with behavioral despair and antidepressant efficacy in mice. Research profile available: https://www.researchgate.net/profile/Brooke_Miller3</t>
  </si>
  <si>
    <t>Not at the moment, but wouldn't rule out future involvement</t>
  </si>
  <si>
    <t>Stay current with data and best practices of PGX</t>
  </si>
  <si>
    <t>Psychiatry (main), circadian rhythms, sleep, general neuroscience</t>
  </si>
  <si>
    <t>Elizabeth Spiteri</t>
  </si>
  <si>
    <t>Stanford Medicine</t>
  </si>
  <si>
    <t>901 Varian Way</t>
  </si>
  <si>
    <t>espiteri@gmail.com</t>
  </si>
  <si>
    <t>I utilize the ClinGen Dosage Map and noticed there were additional groups being formed</t>
  </si>
  <si>
    <t>I have participated in a Clinical Genomics Consortium for Copy Number Variants</t>
  </si>
  <si>
    <t xml:space="preserve">In addition to the somatic panel curation I would also be interested in Breast/Ovarian or Colon Cancer Expert panels </t>
  </si>
  <si>
    <t xml:space="preserve">I would like to provide my input and experience and learn from others. </t>
  </si>
  <si>
    <t>Inherited and somatic cancer as well as copy number variants</t>
  </si>
  <si>
    <t>Yasser Sullcahuaman</t>
  </si>
  <si>
    <t>Instituto Nacional de Enfermedades Neoplasicas</t>
  </si>
  <si>
    <t>Av. Angamos Este  F- 53, Urb. Juan XXII, Distrito de San Borja, LIMA- Peru</t>
  </si>
  <si>
    <t>ysullcahuaman@gmail.com</t>
  </si>
  <si>
    <t>I am interested because I am a geneticist and every year I treat more than 500 patients with suspected hereditary cancer and many times the results of the genetic test are not clear and the relation of the genotype to the phenotype is still to be determined.I found clingen online while looking for how to classify genetic variants of Peruvian population</t>
  </si>
  <si>
    <t>improve my abilities to classify genetic variants and establish the relationship with hereditary cancer</t>
  </si>
  <si>
    <t>Hereditary Cancer, Breast cancer</t>
  </si>
  <si>
    <t>HUILING XU</t>
  </si>
  <si>
    <t>Peter MacCallum Cancer Centre</t>
  </si>
  <si>
    <t>305 Grattan Street
Melbourne VIC 3000
Australia</t>
  </si>
  <si>
    <t>huiling.xu@petermac.org</t>
  </si>
  <si>
    <t>Variant Analyst/Scientist - Academic</t>
  </si>
  <si>
    <t>The clinicalgenome.org website</t>
  </si>
  <si>
    <t>I am a senior clinical genomic analyst/scientist in the Molecular Pathology Section of the Department of Pathology, Peter MacCallum Cancer Centre, Australia. I have been involved in interpreting and reporting cancer genomic alterations to guide targeted therapy in multiple government-funded prospective precision oncology programs for the past four years. I have extensive knowledge of clinical laboratory practise, cancer biology, targeted therapy, and clinical care. 
I am also a researcher with 20 years cancer research experience and have a strong track record in cancer research. I have a career total of 54 publications including a number of papers in the highly influential clinical and scientific journals.</t>
  </si>
  <si>
    <t>Somatic cancer working groups</t>
  </si>
  <si>
    <t>Contribute to this global effort to maintain standards for interpreting variants and to help resolve differences in interpretation and combine evidence to clarify the significance of variants</t>
  </si>
  <si>
    <t>Solid tumours</t>
  </si>
  <si>
    <t>I want to contribute as a measure to promote precision medicine standards.</t>
  </si>
  <si>
    <t>Ph.D.</t>
  </si>
  <si>
    <t>Nilufar Inamdar</t>
  </si>
  <si>
    <t>Cairo Diagnostics (Part time project)</t>
  </si>
  <si>
    <t>43-23 Colden St, Flushing, NY 11355</t>
  </si>
  <si>
    <t>inamdar555@yahoo.com</t>
  </si>
  <si>
    <t>Mitochondrial or Aminoaciopathy</t>
  </si>
  <si>
    <t>Work towards ClinGen's goals</t>
  </si>
  <si>
    <t>Open</t>
  </si>
  <si>
    <t>I want to be involved with ClinGen.</t>
  </si>
  <si>
    <t>Not yet. Will take ABMGG Cert Exam 2019</t>
  </si>
  <si>
    <t>Michael McLachlan</t>
  </si>
  <si>
    <t>Fujifilm Cellular Dynamics, Inc</t>
  </si>
  <si>
    <t>1102 Feather Edge Dr</t>
  </si>
  <si>
    <t>mikejmclachlan@gmail.com</t>
  </si>
  <si>
    <t>No curation experience but professional experience with genome analysis and disease models</t>
  </si>
  <si>
    <t>Switched from Baseline to Comprehensive on 10/09/19</t>
  </si>
  <si>
    <t>Contribute to better analysis of genomic information</t>
  </si>
  <si>
    <t>Cardiovascular, neurodegeneration</t>
  </si>
  <si>
    <t>Anand Narayanan</t>
  </si>
  <si>
    <t>100 YORK ST
3B</t>
  </si>
  <si>
    <t>anandnpillai@gmail.com</t>
  </si>
  <si>
    <t>Networking</t>
  </si>
  <si>
    <t xml:space="preserve">I have served as a liaison of groups comprising clinicians, genetic counselors, researchers and bioinformatic staff. I am involved in the novel gene discovery and characterization </t>
  </si>
  <si>
    <t>Would like to volunteer and get familiar with the Clinical and Molecular lab techniques</t>
  </si>
  <si>
    <t>Genes involved in cardiovascular and metabolic diseases</t>
  </si>
  <si>
    <t>I was encouraged by a mentor.</t>
  </si>
  <si>
    <t>None</t>
  </si>
  <si>
    <t>Rebekah Waikel</t>
  </si>
  <si>
    <t xml:space="preserve">University of Kentucky </t>
  </si>
  <si>
    <t>rebekah.waikel@uky.edu</t>
  </si>
  <si>
    <t>ClinGen conference advertisements (i.e. booth, workshop, presentation)</t>
  </si>
  <si>
    <t>Inherited cardiopathy</t>
  </si>
  <si>
    <t>Learn and contribute</t>
  </si>
  <si>
    <t>BAG3 or cardiovascular disease</t>
  </si>
  <si>
    <t>I want to contribute to promote enhanced patient care.</t>
  </si>
  <si>
    <t>Soon to be GC (June 2019)</t>
  </si>
  <si>
    <t>Urjit Patel</t>
  </si>
  <si>
    <t>Quest Diagnostics, Marlborough</t>
  </si>
  <si>
    <t>177 Crescent St Apt 21</t>
  </si>
  <si>
    <t>urjit.x.patel@questdiagnostics.com</t>
  </si>
  <si>
    <t>Variant Analyst/Scientist - Industry</t>
  </si>
  <si>
    <t>Networking, The clinicalgenome.org website, Dr. Marina DiStefano</t>
  </si>
  <si>
    <t>Gene curation and experience with dosage sensitivity of genes.</t>
  </si>
  <si>
    <t>Epilepsy, neurodevelopmental disorders.</t>
  </si>
  <si>
    <t>Almost done with my Master's degree in Biotechnology.</t>
  </si>
  <si>
    <t>Lesley Northrop</t>
  </si>
  <si>
    <t>Celmatix</t>
  </si>
  <si>
    <t>165 E66th Street
Apt. 12H</t>
  </si>
  <si>
    <t>lesleyenorthrop@gmail.com</t>
  </si>
  <si>
    <t>ClinGen affiliated emails and/or newsletters</t>
  </si>
  <si>
    <t>within my own institution designing a panel following ClinGen guidelines</t>
  </si>
  <si>
    <t>Gene Curation - Epilepsy or Autism &amp; ID</t>
  </si>
  <si>
    <t>gaining knowledge and keeping up-to-date with the guidelines</t>
  </si>
  <si>
    <t>FACMG</t>
  </si>
  <si>
    <t>Hafsa Amtul</t>
  </si>
  <si>
    <t>Rush University</t>
  </si>
  <si>
    <t>9029 federal ct apt 1h</t>
  </si>
  <si>
    <t>hafsa.amtul2502@gmail.com</t>
  </si>
  <si>
    <t>ClinGen website</t>
  </si>
  <si>
    <t>drug toxicity associated with tpmt genetic variants *1, *2, *3A, *3B</t>
  </si>
  <si>
    <t xml:space="preserve">Dosage- Neurodevelopemental, Pediatric, Nonsmall cell lung cancer, 
Somatic TP53 </t>
  </si>
  <si>
    <t>Deeper understanding of the advancement in clinical genomics</t>
  </si>
  <si>
    <t xml:space="preserve">CYP450 enzyme coding genes, TPMT gene, VKORC </t>
  </si>
  <si>
    <t>Master’s degree</t>
  </si>
  <si>
    <t>Manya Warrier</t>
  </si>
  <si>
    <t>769 Franklin Tree Drive, Concord, NC 28027</t>
  </si>
  <si>
    <t>manyawarrier@gmail.com</t>
  </si>
  <si>
    <t xml:space="preserve">I would like to get experience in this area as it will be a good addition to my career as a Variant Scientist. </t>
  </si>
  <si>
    <t>Fatty Acid Oxidation/Breast/Ovarian Cancer/Inherited Cardiomyopathy/Mitochondrial diseases</t>
  </si>
  <si>
    <t>I want to gain curation experience/improve my resume.</t>
  </si>
  <si>
    <t>Angela Pickart</t>
  </si>
  <si>
    <t>Rochester, MN</t>
  </si>
  <si>
    <t>pickart.angela@mayo.edu</t>
  </si>
  <si>
    <t>Colleagues</t>
  </si>
  <si>
    <t>I work for a clinical laboratory and both assess gene-disease validity and provide variant annotation for a variety of molecular tests, including large epilepsy panels</t>
  </si>
  <si>
    <t>Both contribute to the efforts of ClinGen and learn from experts in the field</t>
  </si>
  <si>
    <t>CGC</t>
  </si>
  <si>
    <t>Jing Xie</t>
  </si>
  <si>
    <t>jingxiegene@gmail.com</t>
  </si>
  <si>
    <t xml:space="preserve">Yes, as a clinical laboratory director, I have been heavily involved in variant pathogenicity evaluation myself and variant analyst training. Meanwhile, I also worked on gene-disease curation periodically for our interpretation pipeline. </t>
  </si>
  <si>
    <t>Gene Curation Panel: Hereditary Cancer; Storage Diseases. Variant Curation Panel: Breast/Ovarian Cancer; Colorectal Cancer; Fatty Acid Oxidation; Cerebral Creatine Deficiency Syndrome</t>
  </si>
  <si>
    <t>Contribute my personal experience with molecular laboratory genetics to establish gene and variants curation standards for our community.</t>
  </si>
  <si>
    <t>Hereditary cancer; Muscular dystrophy; Metabolic disease.</t>
  </si>
  <si>
    <t>Jianli Dong</t>
  </si>
  <si>
    <t>The University of Texas Medical Branch</t>
  </si>
  <si>
    <t>301 University Blvd, Galveston, TX 77555</t>
  </si>
  <si>
    <t>jidong@utmb.edu</t>
  </si>
  <si>
    <t>Breast/Ovarian Cancer (newly forming), Dosage- Hereditary Cancer (newly forming)*, Colorectal Cancer (newly forming), Somatic Cancer</t>
  </si>
  <si>
    <t>Support and participate in ClinGen efforts</t>
  </si>
  <si>
    <t>cancer related genes</t>
  </si>
  <si>
    <t>Kathryn Kronquist</t>
  </si>
  <si>
    <t>University of Colorado Department of Pediatrics</t>
  </si>
  <si>
    <t>13123East 16th Avenue, B120, Aurora CO 80045</t>
  </si>
  <si>
    <t>Kathryn.Kronquist@childrenscolorado.org</t>
  </si>
  <si>
    <t>applying ACMG Guidelines for variant curation in daily work</t>
  </si>
  <si>
    <t>epilepsy, RASopathy</t>
  </si>
  <si>
    <t>challenging work with colleagues</t>
  </si>
  <si>
    <t>Germline genetics in general</t>
  </si>
  <si>
    <t>Kristen L Deak</t>
  </si>
  <si>
    <t>Duke University</t>
  </si>
  <si>
    <t xml:space="preserve">2531 Erwin Road, Wadsworth Building 0213c, Durham, NC 27705 </t>
  </si>
  <si>
    <t>kristen.deak@duke.edu</t>
  </si>
  <si>
    <t>Not other than evaluation and signout of patient reports</t>
  </si>
  <si>
    <t xml:space="preserve">Help the community, advance variant knowledge, connect with colleagues </t>
  </si>
  <si>
    <t>ALPL, any glycogen storage disorder, somatic (solid and myeloid)</t>
  </si>
  <si>
    <t>I want to help out the community.</t>
  </si>
  <si>
    <t>FACMG , Cytogenetics, Molecular</t>
  </si>
  <si>
    <t>Venkataswamy Eswarachari</t>
  </si>
  <si>
    <t>MedGenome Labs Limited</t>
  </si>
  <si>
    <t>3rd Floor, Narayana Netralaya Building, Narayana Health City, 258/A Hosur Road, Bommasandra, Bangalore, Karnataka, India - 560099</t>
  </si>
  <si>
    <t>venkataswamy@medgenome.com</t>
  </si>
  <si>
    <t xml:space="preserve">Not professionally but for clinical reporting I have done some curation. </t>
  </si>
  <si>
    <t xml:space="preserve">I have a great passion for genetics and its application in clinical diagnosis. I strongly believe in genetic databases curated from the publications as potential source for correct diagnosis in a clinical setup. So volunteering with ClinGen, I think I can contribute to the society indirectly.  </t>
  </si>
  <si>
    <t xml:space="preserve">I am interested in all. </t>
  </si>
  <si>
    <t>I do not have these certifications</t>
  </si>
  <si>
    <t>Tyler Parris</t>
  </si>
  <si>
    <t>Massachusetts General Hospital</t>
  </si>
  <si>
    <t>25 Morrissey Blvd, Apt 1236, Boston MA 02125</t>
  </si>
  <si>
    <t>tylerchristianparrismd@gmail.com</t>
  </si>
  <si>
    <t>GeneDx testing results packet of a patient</t>
  </si>
  <si>
    <t>Learn more and help solidify renal genetics.</t>
  </si>
  <si>
    <t>Renal</t>
  </si>
  <si>
    <t>M.D.</t>
  </si>
  <si>
    <t>Edward Shadiack</t>
  </si>
  <si>
    <t>VA</t>
  </si>
  <si>
    <t>1200 NE Central Ave, Seaside Park, NJ 08752</t>
  </si>
  <si>
    <t>shadiaec@gmail.com</t>
  </si>
  <si>
    <t>No experience whatsoever</t>
  </si>
  <si>
    <t>Mitochondrial Diseases</t>
  </si>
  <si>
    <t>Improve my understanding of genetics and contribute something</t>
  </si>
  <si>
    <t>Areas of interest include adult neurologic and rheumatic disorders</t>
  </si>
  <si>
    <t>D.O.</t>
  </si>
  <si>
    <t>Barbara Vona</t>
  </si>
  <si>
    <t>University of Tuebingen, Dept. of Otolaryngology, Hearing Research Centre</t>
  </si>
  <si>
    <t>Elfriede-Aulhorn-Str. 5</t>
  </si>
  <si>
    <t>barbara.vona@uni-tuebingen.de</t>
  </si>
  <si>
    <t>Half variant analyst, half scientific researcher</t>
  </si>
  <si>
    <t>Networking, Colleagues, Twitter</t>
  </si>
  <si>
    <t>LOVD3 variant curation for several hearing loss genes (STRC, GRHL2, CEACAM16, S1PR2)</t>
  </si>
  <si>
    <t>Hearing Loss Variant and Gene Curation Expert Panels</t>
  </si>
  <si>
    <t>Contributing to the massive efforts for variant and gene annotation and curation, dynamic networking and pooling of variants and clinical info for improved variant prioritization and gene-disease validation</t>
  </si>
  <si>
    <t>Viridiana Murillo</t>
  </si>
  <si>
    <t>Keck Graduate Institute</t>
  </si>
  <si>
    <t>725 N. Mountain Ave</t>
  </si>
  <si>
    <t>vmurillo18@students.kgi.edu</t>
  </si>
  <si>
    <t>Diane Zastrow</t>
  </si>
  <si>
    <t xml:space="preserve">We have had some introduction to variant curation using the ACMG guidelines in my Human Genomics course and a training we attended on variant curation. </t>
  </si>
  <si>
    <t>Metabolism (PAH) workgroup and/or  Epilepsy work group</t>
  </si>
  <si>
    <t xml:space="preserve">I would like to complement my education and prepare for a potential career 
 relating to variant interpretation or as a variant curator. I believe this would be an excellent opportunity. </t>
  </si>
  <si>
    <t xml:space="preserve">Metabolism (PAH) and Epilepsy </t>
  </si>
  <si>
    <t>I want to gain curation experience and help the community</t>
  </si>
  <si>
    <t>Current M.S. Human Genetics and Genomic Data Analytics student</t>
  </si>
  <si>
    <t>Sharon Suchy</t>
  </si>
  <si>
    <t xml:space="preserve">GeneDx </t>
  </si>
  <si>
    <t>207 Perry Parkway, Gaithersburg, MD</t>
  </si>
  <si>
    <t>ssuchy@genedx.com</t>
  </si>
  <si>
    <t>yes, assessing variant pathogenicity /clinical actionability issues</t>
  </si>
  <si>
    <t>lysosomal storage, inborn errors of metabolism</t>
  </si>
  <si>
    <t>Help in the effort to standardize the classification of variants</t>
  </si>
  <si>
    <t>Lysosomal storage disorders, fatty acid oxidation, newborn screen inborn errors of metabolism, creatine def., congen disorders of glycosylation</t>
  </si>
  <si>
    <t>GIFTY BHAT</t>
  </si>
  <si>
    <t>University of Illinois at Chicago</t>
  </si>
  <si>
    <t>41 E 8th st apt 3202 chicago IL 60605</t>
  </si>
  <si>
    <t>drgiftybhat@gmail.com</t>
  </si>
  <si>
    <t>ACMG Conference 2019, ClinGen conference advertisements (i.e. booth, workshop, presentation)</t>
  </si>
  <si>
    <t>Research activity for 6 months for neurodevelopmental disorders in consanguineous population</t>
  </si>
  <si>
    <t>Neurodevelopmental/intellectual disability, Rett-Angelman syndrome, PTEN related disorders</t>
  </si>
  <si>
    <t>Improve phentyping of patients with neurogenetic disorders</t>
  </si>
  <si>
    <t>Neurogenetic disorder; intellectual disability, Rett-Angelman syndrome</t>
  </si>
  <si>
    <t>Theodore E. Wilson</t>
  </si>
  <si>
    <t>Indiana University / Riley Children’s Hospital</t>
  </si>
  <si>
    <t>974 West Walnut, Indianapolis, IN 46202</t>
  </si>
  <si>
    <t>theowils@iu.edu</t>
  </si>
  <si>
    <t>ACMG Conference 2019, Colleagues, Suggestion from mentor</t>
  </si>
  <si>
    <t>During my fellowship I worked closely with ARUP Molecular geneticists to call variant pathogenicity based on the 2015 criteria.</t>
  </si>
  <si>
    <t>cardiomyopathy</t>
  </si>
  <si>
    <t xml:space="preserve">Be involved in the process that directly affects my patients. </t>
  </si>
  <si>
    <t xml:space="preserve">Pediatrics </t>
  </si>
  <si>
    <t>FAAP &amp; FACMGG</t>
  </si>
  <si>
    <t>Christina Y Hung</t>
  </si>
  <si>
    <t>3 Blackfan Circle, Boston, MA 02115</t>
  </si>
  <si>
    <t>christina.hung@childrens.harvard.edu</t>
  </si>
  <si>
    <t>ACMG Conference 2019, Colleagues</t>
  </si>
  <si>
    <t>ABMGG training/fellowships</t>
  </si>
  <si>
    <t>Inborn error of Metabolism, Lysosomal Storage Disorders, Aminoacidopathy; have talked to Meredith Weaver regarding options of joining Metabolism Workgroup</t>
  </si>
  <si>
    <t>contribute and stay up to date with classification standards in the field and the evolving disease knowledge</t>
  </si>
  <si>
    <t>Inborn errors of metabolism (e.g. lysosomal), Kabuki Syndrome, CENPT</t>
  </si>
  <si>
    <t>FACMG (Clinical Molecular and Clinical Biochem)</t>
  </si>
  <si>
    <t>Alka Chaubey</t>
  </si>
  <si>
    <t xml:space="preserve">Perkin Elmer Genomics </t>
  </si>
  <si>
    <t>103 Lauren circle , Greenwood 29649</t>
  </si>
  <si>
    <t>ACMG Conference 2019</t>
  </si>
  <si>
    <t>Participated in pilot dosage sensitivity effort of analyzing and curating CNVs</t>
  </si>
  <si>
    <t xml:space="preserve">Dosage sensitivity and somatic cancer </t>
  </si>
  <si>
    <t xml:space="preserve">Contribute to dosage sensitivity workgroup </t>
  </si>
  <si>
    <t>Dosage sensitive genes</t>
  </si>
  <si>
    <r>
      <t>Note:</t>
    </r>
    <r>
      <rPr/>
      <t xml:space="preserve"> on 7-9-19 the email of alka.chaubey@perkinelmer.con returned undeliverable. No update to email given.</t>
    </r>
  </si>
  <si>
    <t>Junyu Zhang</t>
  </si>
  <si>
    <t>IPMCH, Shanghai Jiao Tong University</t>
  </si>
  <si>
    <t>junyuzhang@hotmail.com</t>
  </si>
  <si>
    <t xml:space="preserve">Curate more than 1000 variants in Chinese patients </t>
  </si>
  <si>
    <t>Third</t>
  </si>
  <si>
    <t>Yes. Brain Malformations</t>
  </si>
  <si>
    <t>Gain experience and promote enhanced patient care in China</t>
  </si>
  <si>
    <t>reproductive diseases/ brain malformations/ F8 and F9/ Actionability WG/ hearing loss</t>
  </si>
  <si>
    <t>Chinese Genetic Counselor</t>
  </si>
  <si>
    <t>Jing Zhang</t>
  </si>
  <si>
    <t>WuXi NextCODE</t>
  </si>
  <si>
    <t>jzhang@wuxinextcode.com</t>
  </si>
  <si>
    <t>ACMG Conference 2019, ClinGen affiliated emails and/or newsletters, The clinicalgenome.org website</t>
  </si>
  <si>
    <t xml:space="preserve">As the director of clinical genomic interpretation division of WuXi NextCODE, I do gene/variant curation on daily basis. </t>
  </si>
  <si>
    <t>Contribute to high standard gene/variant curation effort</t>
  </si>
  <si>
    <t>Neurological disorders related genes/variants</t>
  </si>
  <si>
    <t>Mary-Alice Abbott</t>
  </si>
  <si>
    <t>Baystate Medical Center</t>
  </si>
  <si>
    <t>50 Wason Ave Springfield, MA</t>
  </si>
  <si>
    <t>Maryalice.abbott@baystatehealth.org</t>
  </si>
  <si>
    <t xml:space="preserve">As clinical geneticist I regularly interpret clinical significance of gene variants for my patients but do not have formal variant interpretation experience </t>
  </si>
  <si>
    <t>LSD, ID, actionability</t>
  </si>
  <si>
    <t>Contribute to improvement of the clinical value and utility of genetic testing results, collaborate with peers, experts</t>
  </si>
  <si>
    <t>ID, LSD esp pompe, newborn screening, Anomalies and dysmorphisms, general clinical genetics adult and pedi</t>
  </si>
  <si>
    <t>MD PhD</t>
  </si>
  <si>
    <t>Emily Higgs</t>
  </si>
  <si>
    <t>Stanford University</t>
  </si>
  <si>
    <t>ehiggs@stanford.edu</t>
  </si>
  <si>
    <t xml:space="preserve">For the past year I have been doing variant interpretation for 'healthy exomes' in the research setting and supervising Master of Genetic Counseling students' variant interpretation rotations.  </t>
  </si>
  <si>
    <t xml:space="preserve">Dosage- Neurodevelopemental; Gene curation - Intellectual Disability and Autism,
Epilepsy, Hereditary Cancer, Mitochondrial Diseases, Brain Malformations, Monogenic Diabetes; Variant curation - VHL, CDH1, Brain Malformations, Monogenic Diabetes, Colorectal Cancer </t>
  </si>
  <si>
    <t xml:space="preserve">ClinGen is an invaluable resource that I use often in my role as a variant curator. I appreciate how collaboration and resources like ClinGen can continue to improve the variant curation process for everyone in the field of genomics and I would love to contribute to this. </t>
  </si>
  <si>
    <t xml:space="preserve">I previously worked in clinical neurology and hereditary cancer, now I work in genomics research analyzing 'healthy exomes'. I am passionate about all of these areas. </t>
  </si>
  <si>
    <t xml:space="preserve">Fellow of the Human Genetics Society of Australasia (certified Genetic Counselor in Australia, now working in USA) </t>
  </si>
  <si>
    <t>Matt Wright</t>
  </si>
  <si>
    <t xml:space="preserve">Stanford University </t>
  </si>
  <si>
    <t>wrightmw@stanford.edu</t>
  </si>
  <si>
    <t>I’m already a part of ClinGen</t>
  </si>
  <si>
    <t>Most of my experience is gene-level curation but I’m especially interested in the variant curator’s experience</t>
  </si>
  <si>
    <t xml:space="preserve">Hearing Loss or Brain Malformations or Cardiomyopathy </t>
  </si>
  <si>
    <t>Getting to know the travails of a ClinGen curator from a first-hand perspective.</t>
  </si>
  <si>
    <t>Opsin genes, but I know color blindness is not even remotely on your radar right now :-)</t>
  </si>
  <si>
    <t>Samantha Chill</t>
  </si>
  <si>
    <t>George Mason University</t>
  </si>
  <si>
    <t>4923 Americana Dr, Annandale VA 22003</t>
  </si>
  <si>
    <t>slsevilla@gmail.com</t>
  </si>
  <si>
    <t>I would like to continue to explore various aspects of genetics by contributing my expertise to the field, and to learn additional skills.</t>
  </si>
  <si>
    <t>Kristin Maloney</t>
  </si>
  <si>
    <t>University of Maryland School of Medicine</t>
  </si>
  <si>
    <t>685 W. Baltimore St, MSTF 3-14H, Baltimore, MD  21201</t>
  </si>
  <si>
    <t>kmaloney1@som.umaryland.edu</t>
  </si>
  <si>
    <t>I don't have much experience with somatic variant interpretation, but am a biocurator on the monogenic diabetes expert panel.</t>
  </si>
  <si>
    <t>Somatic cancer (am already on the monogenic diabetes expert panel)</t>
  </si>
  <si>
    <t>I would like to learn more about somatic variant interpretation</t>
  </si>
  <si>
    <t>Somatic cancer</t>
  </si>
  <si>
    <t>HECTOR RODRIGO MENDEZ</t>
  </si>
  <si>
    <t>National Medical Genetics Centre</t>
  </si>
  <si>
    <t>Las Heras 2670</t>
  </si>
  <si>
    <t>rodrigomendezh@gmail.com</t>
  </si>
  <si>
    <t>My Master´s thesis project was about the utility of whole Exome sequencing in some patient in the NICU.</t>
  </si>
  <si>
    <t>Intellectual Disability and Autism, RASopathy</t>
  </si>
  <si>
    <t>I would like to get a deep insight into clinical bioinformatics and clinical genetics fields in order to understand the genotype-phenotype correlation.</t>
  </si>
  <si>
    <t>Mendelian disorders in general. I would like to know more about rasopathies.</t>
  </si>
  <si>
    <t>M.I. anwar</t>
  </si>
  <si>
    <t>lahore leads university</t>
  </si>
  <si>
    <t>pakistan</t>
  </si>
  <si>
    <t>mimtiazanwar@gmail.com</t>
  </si>
  <si>
    <t>YES I AM</t>
  </si>
  <si>
    <t>I want to contribute due to personal experience with genetic disorders.</t>
  </si>
  <si>
    <t>Bachelor’s degree</t>
  </si>
  <si>
    <t>Karen Hanson</t>
  </si>
  <si>
    <t xml:space="preserve">ICF international, </t>
  </si>
  <si>
    <t>12256 CARROLL MILL RD</t>
  </si>
  <si>
    <t>krhms3@gmail.com</t>
  </si>
  <si>
    <t>brain malformations, cancer</t>
  </si>
  <si>
    <t>better understanding of variant curation, contribute to the effort to better understand genetic variation</t>
  </si>
  <si>
    <t>not in particular</t>
  </si>
  <si>
    <t>MS, MBA</t>
  </si>
  <si>
    <t>Daniel Reich</t>
  </si>
  <si>
    <t>500 Chipeta Way, Salt Lake City, UT 84108</t>
  </si>
  <si>
    <t>daniel.reich@aruplab.com</t>
  </si>
  <si>
    <t>As a variant scientist, I have been doing variant classification for clinical genetics tests for ~10 months. I have been involved in discussing gene-disease validity, though only for the last 1-2 months.</t>
  </si>
  <si>
    <t>Cerebral Creatine Deficiency Syndromes</t>
  </si>
  <si>
    <t>Contribute to the clinical genetics field and meet others in this community.</t>
  </si>
  <si>
    <t>Carnitine deficiencies, cardiomyopathy, epilepsy</t>
  </si>
  <si>
    <t>Christine Preston</t>
  </si>
  <si>
    <t>Stanford</t>
  </si>
  <si>
    <t>christip@stanford.edu</t>
  </si>
  <si>
    <t>Dosage Sensitivity Working Group</t>
  </si>
  <si>
    <t>Learn more about the biocuration process and contribute to the ClinGen curation efforts</t>
  </si>
  <si>
    <t>Gene Dosage Curation</t>
  </si>
  <si>
    <t>Julie Hathaway</t>
  </si>
  <si>
    <t>Blueprint Genetics</t>
  </si>
  <si>
    <t>1623 East 2nd Avenue
Apt. 403</t>
  </si>
  <si>
    <t>julie.hathaway@blueprintgenetics.com</t>
  </si>
  <si>
    <t xml:space="preserve">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t>
  </si>
  <si>
    <t xml:space="preserve">Cardiomyopathy (or arrhythmias if available- I tried to be involved in the KCNQ1 variant curation group but I understand their group is now full) </t>
  </si>
  <si>
    <t xml:space="preserve">I have worked in cardiac genetics (arrhythmias and cardiomyopathies) for the last 8 years- I saw and experienced how the lack of variant interpretation standards AND the inclusion of genes with limited evidence led to reclassification of variants and "back-peddling" with patients and families. I would hope to contribute to educating the genetics and non-genetics community about gene-disease associations, ensuring industry is providing the most clinically relevant tests, improving the community's ability to interpret genetic test results by providing evidence based standards. </t>
  </si>
  <si>
    <t xml:space="preserve">Cardiomyopathies and arrhythmias. I would be happy to work on any gene in this area. </t>
  </si>
  <si>
    <t>Jose Maria Urbano</t>
  </si>
  <si>
    <t>University of Cambridge</t>
  </si>
  <si>
    <t>jmu22@cam.ac.uk</t>
  </si>
  <si>
    <t>Biocuration conference 2019</t>
  </si>
  <si>
    <t>I am a Drosophila biocurator. I've been working for FlyBase for 4 years</t>
  </si>
  <si>
    <t>Alexander Ing</t>
  </si>
  <si>
    <t>225 E. Chicago Ave Box 82 Chicago IL 60611</t>
  </si>
  <si>
    <t>aing@luriechildrens.org</t>
  </si>
  <si>
    <t>ACMG Conference 2019, ClinGen conference advertisements (i.e. booth, workshop, presentation), Colleagues, Suggestion from mentor</t>
  </si>
  <si>
    <t>I am a laboratory genetic counselor and my responsibilities are centered around variant interpretation and test reporting. I have served in this role for 4 years. I have some gene curation experience.</t>
  </si>
  <si>
    <t>epilepsy</t>
  </si>
  <si>
    <t xml:space="preserve">Increase knowledge of disease area and curation, collaboration on projects </t>
  </si>
  <si>
    <t>Primary Ciliary Dyskinesia, Epilepsy, Primary Immunodeficiency</t>
  </si>
  <si>
    <t>Jun Liao</t>
  </si>
  <si>
    <t>3959 Broadway, CHC-Room 406C, New York, NY 10032</t>
  </si>
  <si>
    <t>jl5098@cumc.columbia.edu</t>
  </si>
  <si>
    <t>As a laboratory director, I sign out WES, NGS panel, and microarray cases daily. So I am very familiar with curation activities for variant pathogenicity, gene-disease validity, and dosage sensitivity.</t>
  </si>
  <si>
    <t>1. Lysosomal Storage Disorders VCEP; 2. ID/Autism GCEP</t>
  </si>
  <si>
    <t>contribute to the community and learn from other experts</t>
  </si>
  <si>
    <t>HEXA, HEXB, GBA</t>
  </si>
  <si>
    <t>Maki Kaneko</t>
  </si>
  <si>
    <t>Children's Hospital Los Angeles</t>
  </si>
  <si>
    <t>4650 Sunset Blvd, #173, Los Angeles, CA 90027</t>
  </si>
  <si>
    <t>mkaneko@chla.usc.edu</t>
  </si>
  <si>
    <t>Gene-Disease Validity Curation for epilepsy</t>
  </si>
  <si>
    <t>Emma Leach</t>
  </si>
  <si>
    <t>BC Inherited Arrhythmia Program</t>
  </si>
  <si>
    <t>211-1033 Davie St., Vancouver, BC V6E 1M7</t>
  </si>
  <si>
    <t>eleach@providencehealth.bc.ca</t>
  </si>
  <si>
    <t>ClinGen conference advertisements (i.e. booth, workshop, presentation), Colleagues, The clinicalgenome.org website</t>
  </si>
  <si>
    <t>previously published systematic literature review</t>
  </si>
  <si>
    <t>Cardiovascular, particular inherited arrhythmias and arrhythmogenic cardiomyopathies. I'm currently interested in TTN</t>
  </si>
  <si>
    <t>Megan Lynch</t>
  </si>
  <si>
    <t>University of Maryland Baltimore</t>
  </si>
  <si>
    <t>807 West Barre St. Baltimore, MD 21230</t>
  </si>
  <si>
    <t>megan.lynch@umaryland.edu</t>
  </si>
  <si>
    <t>any of the cardiovascular working groups</t>
  </si>
  <si>
    <t>background and knowledge surrounding the rules of annotation in cardio variants</t>
  </si>
  <si>
    <t>Suvina To</t>
  </si>
  <si>
    <t>ActX, Inc.</t>
  </si>
  <si>
    <t>suvina@gmail.com</t>
  </si>
  <si>
    <t>ACMG Conference 2019, Monogenic Diabetes Group</t>
  </si>
  <si>
    <t>I am a variant curation specialist in my company</t>
  </si>
  <si>
    <t>monogenic diabetes</t>
  </si>
  <si>
    <t>Keep up and refine my skills while helping to improve public resources</t>
  </si>
  <si>
    <t>Lemuel Racacho</t>
  </si>
  <si>
    <t>Newborn Screening Ontario</t>
  </si>
  <si>
    <t>lracacho@cheo.on.ca</t>
  </si>
  <si>
    <t>ClinGen conference advertisements (i.e. booth, workshop, presentation), Networking, Colleagues, ClinGen affiliated emails and/or newsletters, The clinicalgenome.org website</t>
  </si>
  <si>
    <t>Yes, I currently interpret variants for mitochondrial based disorders</t>
  </si>
  <si>
    <t>Inborn errors of metabolism; Low penetrance/risk allele</t>
  </si>
  <si>
    <t>Bo Yuan</t>
  </si>
  <si>
    <t>Baylor College of Medicine</t>
  </si>
  <si>
    <t>2450 Holcombe Blvd, Suite 200F, Houston, TX 77021</t>
  </si>
  <si>
    <t>by2@bcm.edu</t>
  </si>
  <si>
    <t>I have been involved in some gene curation using ClinGen format. Variant curation is part of my routine practice.</t>
  </si>
  <si>
    <t>Improve the understanding of gene-disease relationship.</t>
  </si>
  <si>
    <t>I volunteered in the gene/variant curation for the MTOR-PI3K-AKT pathway.</t>
  </si>
  <si>
    <t>Dual board eligible Clinical Molecular Genetics, Clinical Cytogenetics</t>
  </si>
  <si>
    <t>Avinash Dharmadhikari</t>
  </si>
  <si>
    <t>Columbia University</t>
  </si>
  <si>
    <t>630 W. 168th St., New York, NY 10032</t>
  </si>
  <si>
    <t>avd2129@cumc.columbia.edu</t>
  </si>
  <si>
    <t>Previously variant analyst/curator at Baylor Genetics and Natera; currently LGG fellow at Columbia University</t>
  </si>
  <si>
    <t>Hearing Loss VCEP &amp; GCEP or Dosage Sensitivity WG or ID/Autism GCEP</t>
  </si>
  <si>
    <t>Get involved in improving gene/variant curation efforts; networking</t>
  </si>
  <si>
    <t>Currently 1st year LGG fellow</t>
  </si>
  <si>
    <t>Sara Fitzgerald-Butt</t>
  </si>
  <si>
    <t>Indiana University School of Medicine</t>
  </si>
  <si>
    <t>975 W. Walnut IB-130 Indianapolis IN 46202</t>
  </si>
  <si>
    <t>sfitzge@iu.edu</t>
  </si>
  <si>
    <t>I was part of a research team that reinterpreted the variants seen in our pediatric arrhythmia patients following the release of the 2015 ACMG/AMP guidelines.  Also, as a genetic counselor, I an evaluating the interpretation of the clinical laboratory.</t>
  </si>
  <si>
    <t>Cardiovascular, cardiomyopathy, Long QT syndrome, FBN1</t>
  </si>
  <si>
    <t>cardiomyopathy, congenital heart disease</t>
  </si>
  <si>
    <t>Emory University</t>
  </si>
  <si>
    <t>615 Michael Street NE
Whitehead Building Level 3, Suite 301</t>
  </si>
  <si>
    <t>ACMG Conference 2019, ClinGen conference advertisements (i.e. booth, workshop, presentation), Networking, Colleagues</t>
  </si>
  <si>
    <t xml:space="preserve">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t>
  </si>
  <si>
    <t>Lysosomal Storage Disorders, Epilepsy</t>
  </si>
  <si>
    <t xml:space="preserve">Being working on clinical genetics in a research lab setting and reporting back research reports to patients/physicians, I want to use my knowledge and be part of the effort of the community for gene/variant curation with so much large scale sequencing efforts worldwide in both disease and health. This will make the diagnostic journey efficient for patients. Also, as everyday we keep learning new cases, some of which challenges the common paradigm, I want to learn and enhance my expertise in careful assessment of gene/variant annotation going forward which will help in my clinical research as well. </t>
  </si>
  <si>
    <t xml:space="preserve">I work on neuromuscular disease area broadly, focusing on limb girdle muscular dystrophy (including DMD/BMD, GNE myopathy), and Pompe disease mostly and also started collaborative project in epilepsy. I work regularly for molecular diagnostics (clinical part), and do clinical research (research part) on mapping pheno-genotype correlation using functional genomic tools related to genes associated with muscular dystrophy and epilepsy. </t>
  </si>
  <si>
    <t>Not yet, but my research is based on clinical genetics</t>
  </si>
  <si>
    <t>Fareed Al Qusous</t>
  </si>
  <si>
    <t>Mr</t>
  </si>
  <si>
    <t>2 Garstand road canterbury halls</t>
  </si>
  <si>
    <t>Fareedh.al.qusous@hotmail.com</t>
  </si>
  <si>
    <t>Undergraduate Student</t>
  </si>
  <si>
    <t>google</t>
  </si>
  <si>
    <t>I'd like to contribute to research by uploading my genome and hopefully be able to verify that I have made a contribution to genetic research</t>
  </si>
  <si>
    <t>Baldness, androgenic alopecia</t>
  </si>
  <si>
    <t xml:space="preserve">currently a 2nd year medical student </t>
  </si>
  <si>
    <t>Mi-Ae Jang</t>
  </si>
  <si>
    <t>Soonchunhyang University Hospital</t>
  </si>
  <si>
    <t>170 Jomaru-ro, Wonmi-gu, Bucheon, Gyenggido, South Korea</t>
  </si>
  <si>
    <t>miaeyaho@gmail.com</t>
  </si>
  <si>
    <t>Variant curation expert panel for myeloid malignancy and brain malformation</t>
  </si>
  <si>
    <t>I'd like to expand my experience for gene and/or variant curation of various genetic diseases.</t>
  </si>
  <si>
    <t>I'm particularly interested in genes associated with epilepsy and/or hematologic malignancy.</t>
  </si>
  <si>
    <t>Alison Bright</t>
  </si>
  <si>
    <t>200 Forest St, Marlborough, MA</t>
  </si>
  <si>
    <t>alison.r.bright@questdiagnostics.com</t>
  </si>
  <si>
    <t>Networking, Heard abt it from Marina DiStefano (Clinical Molecular Genetics Fellow)</t>
  </si>
  <si>
    <t>6 years as a variant scientist: past 2 years focused on CNVs identified by microarray. Prior to that was focused on SNVs identified by single gene and panel tests.</t>
  </si>
  <si>
    <t>My goals are 2-fold: increase the coverage of the ClinGen Dosage Sensitivity Map (a tool I am constantly using/benefiting from) and learn more abt the field.</t>
  </si>
  <si>
    <t>Dosage sensitivity of any gene covered by constitutional chromosomal microarray analysis</t>
  </si>
  <si>
    <t>Chloe Whitten</t>
  </si>
  <si>
    <t>cwhitten@ambrygen.com</t>
  </si>
  <si>
    <t>Recent graduate, can help with more admin tasks</t>
  </si>
  <si>
    <t>I don’t have experience with curation but I am eager to learn and have experience with more administrative/tedious tasks. I’d love to be involved but I understand that I do not have an clinical degrees</t>
  </si>
  <si>
    <t>FBN1, PKU or LSD</t>
  </si>
  <si>
    <t xml:space="preserve">I’d like to diversify my experience. As a current clinical assistant in the industry side, I’d love to get more involved in research efforts to progress the field. </t>
  </si>
  <si>
    <t>I’m interested in neurology as a field, but I’m open to any field</t>
  </si>
  <si>
    <t>Jaclyn Murry</t>
  </si>
  <si>
    <t>UCLA</t>
  </si>
  <si>
    <t>1400 Kelton ave, apt 111</t>
  </si>
  <si>
    <t>jmurry@mednet.ucla.edu</t>
  </si>
  <si>
    <t>Colleagues, ClinGen affiliated emails and/or newsletters</t>
  </si>
  <si>
    <t>Currently review CMA cases on service</t>
  </si>
  <si>
    <t>Interest in CNVs</t>
  </si>
  <si>
    <t xml:space="preserve">Be current with emerging CNV resources. </t>
  </si>
  <si>
    <t>Current LGG fellow</t>
  </si>
  <si>
    <t>Ying Zou</t>
  </si>
  <si>
    <t>University of Maryland</t>
  </si>
  <si>
    <t>655 W. Baltimore st., BRB-7-025, Baltimore, MD 21201</t>
  </si>
  <si>
    <t xml:space="preserve"> yzou19@jhmi.edu</t>
  </si>
  <si>
    <t>somatic cancer</t>
  </si>
  <si>
    <t>variant curation and help train others</t>
  </si>
  <si>
    <t>cancer mutations</t>
  </si>
  <si>
    <t>MD., PHD</t>
  </si>
  <si>
    <t>JIXIA LIU</t>
  </si>
  <si>
    <t>Sema4 Genomics</t>
  </si>
  <si>
    <t>72 E 97th st
Unit 13</t>
  </si>
  <si>
    <t>jixialiu@gmail.com</t>
  </si>
  <si>
    <t>Clinical Variant Curator</t>
  </si>
  <si>
    <t>I have had one year working experience with variant pathogenicity  in carrier testing. I have some knowledge about Gene-Disease Validity and Somatic Cancer curation by attending seminars and working on research project.</t>
  </si>
  <si>
    <t>I am in Variant Curation for Lysosomal Storage Disorders now, and would be interested in any gene curation group as well.</t>
  </si>
  <si>
    <t xml:space="preserve">Familiar myself with ACMG guideline and specific gene curation guideline for certain disease, gain experiences in gene curation and somatic cancer </t>
  </si>
  <si>
    <t>GAA, PAH ... metabolic diseases; somatic cancer</t>
  </si>
  <si>
    <t>Catherine Driscoll</t>
  </si>
  <si>
    <t>NHGRI, NIH</t>
  </si>
  <si>
    <t>50 South Dr., room 5142, Bethesda, MD 20814</t>
  </si>
  <si>
    <t>kate.driscoll@nih.gov</t>
  </si>
  <si>
    <t>Suggestion from mentor</t>
  </si>
  <si>
    <t>Yes, my main task at work is annotation of variants in Dr. Biesecker's lab</t>
  </si>
  <si>
    <t>Yes, RYR1 MHS</t>
  </si>
  <si>
    <t>Contribute to the RYR1 working group</t>
  </si>
  <si>
    <t>ABMGG Clinical Molecular Genetics Fellow</t>
  </si>
  <si>
    <t>Sara King</t>
  </si>
  <si>
    <t>UMUC</t>
  </si>
  <si>
    <t>sking127@student.umuc.edu</t>
  </si>
  <si>
    <t>Gifty Bhat</t>
  </si>
  <si>
    <t>Intellectual disability and autism</t>
  </si>
  <si>
    <t>Ashley Marsh</t>
  </si>
  <si>
    <t>9500 Gilman Dr, La Jolla, CA 92093</t>
  </si>
  <si>
    <t>amarsh@ucsd.edu</t>
  </si>
  <si>
    <t>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t>
  </si>
  <si>
    <t>•	Brain Malformations Variant Curation Expert Panel
•	Brain Malformations Gene Curation Expert Panel</t>
  </si>
  <si>
    <t xml:space="preserve">I would like to improve my ability to evaluate and assess the clinical validity of gene-disease associations as well as the pathogenicity of DNA sequence variants following ACMG/AMP and custom guidelines. In addition, I would like to participate in the development of classification guidelines, including specific guidelines for genes associated with neurodevelopmental disorders, as well as tools and databases for variant assessment. Overall, I want to improve my human genetics knowledge and skills as a clinical geneticist so I can make a greater impact towards improving patient health in my future career. </t>
  </si>
  <si>
    <t>•	Neurodevelopmental disorders
•	Disorders of axon guidance
•	Inherited cardiomyopathies</t>
  </si>
  <si>
    <t>Kevin Colclough</t>
  </si>
  <si>
    <t>Royal Devon &amp; Exeter NHS Trust</t>
  </si>
  <si>
    <t>Barrack Road, Exeter, Devon, UK EX2 5DW</t>
  </si>
  <si>
    <t>kevin.colclough@nhs.net</t>
  </si>
  <si>
    <t>I routinely perform variant pathogenicity classification and gene-disease validity as part of my routine diagnostic laboratory work.</t>
  </si>
  <si>
    <t>I am a member of the variant curation and gene curation expert panels for monogenic diabetes.</t>
  </si>
  <si>
    <t>Improve quality of genetic testing and reporting for monogenic diabetes</t>
  </si>
  <si>
    <t>All genes associated with monogenic diabetes</t>
  </si>
  <si>
    <t>I want to improve the quality of genetic testing and reporting for monogenic diabetes in laboratories across the world.</t>
  </si>
  <si>
    <t>Erin Sybouts</t>
  </si>
  <si>
    <t>UT Health San Antonio</t>
  </si>
  <si>
    <t>sybouts@livemail.uthscsa.edu</t>
  </si>
  <si>
    <t>ACMG Conference 2019, The clinicalgenome.org website</t>
  </si>
  <si>
    <t>Gain more experience with clinical variant curation and classification.</t>
  </si>
  <si>
    <t>I have experience analyzing variants related to DNA repair and replication in cancer, but I would be willing to participate in other areas too.</t>
  </si>
  <si>
    <t>Jimena Murguia</t>
  </si>
  <si>
    <t>Laboratoire National de Santé</t>
  </si>
  <si>
    <t>jimena887@yahoo.es</t>
  </si>
  <si>
    <t>Robert Lewis</t>
  </si>
  <si>
    <t>University of California, Irvine School of Medicine</t>
  </si>
  <si>
    <t>350 Sprague Hall Irvine CA 92617</t>
  </si>
  <si>
    <t>rglewis@uci.edu</t>
  </si>
  <si>
    <t>Networking, Suggestion from mentor</t>
  </si>
  <si>
    <t>Learn how it is determined that particular genes are associated with diseases</t>
  </si>
  <si>
    <t>Dopamine and acetylcholine receptors  / Neurological and Psychiatry Diseases</t>
  </si>
  <si>
    <t>FEN GUO</t>
  </si>
  <si>
    <t>Wisconsin State Laboratory of Hygiene</t>
  </si>
  <si>
    <t xml:space="preserve">	465 Henry Mall   Madison, WI 53706</t>
  </si>
  <si>
    <t>fguo34@wisc.edu</t>
  </si>
  <si>
    <t>ACMG Conference 2019, Networking, Colleagues</t>
  </si>
  <si>
    <t>Gene Curation Expert Panels-Hereditary Cancer</t>
  </si>
  <si>
    <t>help to contribute the curation of gene/variants</t>
  </si>
  <si>
    <t>Hereditary cancer, no matter which genes</t>
  </si>
  <si>
    <t>LGG fellow</t>
  </si>
  <si>
    <t>Elizabeth Palmer</t>
  </si>
  <si>
    <t>Genetics of Learning Disability</t>
  </si>
  <si>
    <t>Sydney, Australia</t>
  </si>
  <si>
    <t>elizabeth.palmer1@health.nsw.gov.au</t>
  </si>
  <si>
    <t xml:space="preserve">member of AUSTRALIAN FUNCTIONAL GENOMICS CLINICAL REVIEW PANEL. Variant curation as part of my PhD and clinical research practice. </t>
  </si>
  <si>
    <t>epilepsy / ID and autism</t>
  </si>
  <si>
    <t xml:space="preserve">participate in international effort to bring up standards of care for variant curation and thus improve patient care. </t>
  </si>
  <si>
    <t>epilepsy/ intellectual disability and autism</t>
  </si>
  <si>
    <t>FRACP (HGSA)</t>
  </si>
  <si>
    <t>Vira Lamtieva</t>
  </si>
  <si>
    <t>Clinic of Reproductive Medicine "Nadiya"</t>
  </si>
  <si>
    <t>Kyiv, Ukraine</t>
  </si>
  <si>
    <t>lamteva.vera@gmail.com</t>
  </si>
  <si>
    <t xml:space="preserve">I don't have curation experience but I have been learning variant analysis and interpretation since 2016. Our lab has been offering WES interpretation for some time, and it is currently my working responsibility. Yet I have analysed up to 10 cases so far. </t>
  </si>
  <si>
    <t>Brain malformations, Lysosomal storage diseases, Mitochondrial diseases, Intellectual Disability/Autism</t>
  </si>
  <si>
    <t>I'm willing to further expand my expertise in variant interpretation and, armed with genetic knowledge, make a contribution to genomic medicine</t>
  </si>
  <si>
    <t>Neurodevelopmental disorders</t>
  </si>
  <si>
    <t>Lisa Dyer</t>
  </si>
  <si>
    <t>Lisa.Dyer@cchmc.org</t>
  </si>
  <si>
    <t>Andrea Hallberg</t>
  </si>
  <si>
    <t>University of Iowa</t>
  </si>
  <si>
    <t>1422 Aber Ave, Iowa City, IA</t>
  </si>
  <si>
    <t>hallberg.andrea@gmail.com</t>
  </si>
  <si>
    <t xml:space="preserve">I would like to gain experience in variant curation to be able to pursue a career in variant curation. </t>
  </si>
  <si>
    <t>Bianca Tesi</t>
  </si>
  <si>
    <t>Karolinska University Hospital</t>
  </si>
  <si>
    <t>Department of Clinical Genetics L3:04 Karolinska University Hospital 17176 Stockholm</t>
  </si>
  <si>
    <t>bianca.tesi@sll.se</t>
  </si>
  <si>
    <t>ClinGen conference advertisements (i.e. booth, workshop, presentation), The clinicalgenome.org website</t>
  </si>
  <si>
    <t>Experienced with reading literature, evaluating results in the clinical setting.</t>
  </si>
  <si>
    <t>myeloid neoplasm, hereditary cancer</t>
  </si>
  <si>
    <t>I would like to learn more about ClinGen policies for curation of gene/variants for clinical use</t>
  </si>
  <si>
    <t>hereditary cancer, myeloid neoplasm</t>
  </si>
  <si>
    <t>Lisa Chen</t>
  </si>
  <si>
    <t>BGI</t>
  </si>
  <si>
    <t>lisa498484901@gmail.com</t>
  </si>
  <si>
    <t>I have been doing variant classification for 4 years.</t>
  </si>
  <si>
    <t>Congenital Myopathies</t>
  </si>
  <si>
    <t>I want to gain curation experience.</t>
  </si>
  <si>
    <t>Ingrid Paine</t>
  </si>
  <si>
    <t>1 Baylor plaza, Houston, Tx 77030 USA</t>
  </si>
  <si>
    <t>runquist@alumni.bcm.edu</t>
  </si>
  <si>
    <t>I heard about the working groups at a lecture by Heidi Rehm at the Jackson Lab Short Course</t>
  </si>
  <si>
    <t>Epilepsy genes and neurodevelopmental</t>
  </si>
  <si>
    <t>I’d like to contribute and learn from my colleagues in the field to variant curation</t>
  </si>
  <si>
    <t>MD or PhD (Not sure - Liz)</t>
  </si>
  <si>
    <t>Note: updated email address due to return of email 7-9-19 CLT</t>
  </si>
  <si>
    <t>Michelle Paczosa</t>
  </si>
  <si>
    <t>Michelle.K.Paczosa@questdiagnostics.com</t>
  </si>
  <si>
    <t>1. Recurrent 2. Neurodevelopmental 3. Cancer 4. Mitochondrial 5.Hereditary Cancer 6. Monogenic Diabetes</t>
  </si>
  <si>
    <t>555 University Ave., Toronto, Ontario, M5G 1X8</t>
  </si>
  <si>
    <t>Networking, Colleagues, Suggestion from mentor, Educational coursework, ClinGen affiliated emails and/or newsletters, The clinicalgenome.org website</t>
  </si>
  <si>
    <t>As noted above, I am currently a gene-disease curator with the ID &amp; ASD EP.</t>
  </si>
  <si>
    <t xml:space="preserve">I am open to any variant curation EPs that are currently looking for volunteers. </t>
  </si>
  <si>
    <t>I am currently a gene curator with the ID &amp; ASD EP, and am interested in becoming involved with variant curation, as well as explore another disease area (in addition to continue volunteering as a gene curator with the ID &amp; ASD EP). It has been a fantastic experience to see how ClinGen's work is building a more solid understanding of genetics for various disease entities, and I would love to contribute in a greater capacity to its curation efforts.</t>
  </si>
  <si>
    <t>I am quite open and interested in exploring any of the disease areas ClinGen is currently investigating.</t>
  </si>
  <si>
    <t>Aleš Maver</t>
  </si>
  <si>
    <t>Clinical institute od Medical Genetics, Ljubljana, Slovenia</t>
  </si>
  <si>
    <t>Slajmerjeva 3</t>
  </si>
  <si>
    <t>ales.maver@kclj.si</t>
  </si>
  <si>
    <t>ClinGen conference advertisements (i.e. booth, workshop, presentation), Networking, Colleagues, ClinGen affiliated emails and/or newsletters, The clinicalgenome.org website, Collaborating in the variant discrepancy resolution project</t>
  </si>
  <si>
    <t xml:space="preserve">Not extensive, but I am the responsible person for ClinVar deposits and data sharing at our institution. I also participate in the Variant discrepancy resolution project led by Steven Harrison. </t>
  </si>
  <si>
    <t>Variant Curation Expert Panels and Gene Curation Expert Panels</t>
  </si>
  <si>
    <t xml:space="preserve">Annually, I participate in interpretation of exome/genome sequencing in about 1000 patients. In the process, I commonly perform extensive research on a variety of variant-gene-phenotype associations and would like to contribute and share some of this effort to improve genome data interpretation for others. </t>
  </si>
  <si>
    <t xml:space="preserve">Rare genetic syndromes, intellectual disability, neuromuscular disorders (paticularly myopathies), cardiomyopathy, hearing loss and eye disorders. </t>
  </si>
  <si>
    <t>Léon Tshilolo</t>
  </si>
  <si>
    <t>Centre Hospitalier Monkole/CEFA  (Centre de Formation et d'Appui Sanitaire</t>
  </si>
  <si>
    <t>Avenue Ngafani; 4804, Mont Ngafula. Kinshasa</t>
  </si>
  <si>
    <t>leon.tshilolo2012@gmail.com</t>
  </si>
  <si>
    <t>hematologist, expert of SCD</t>
  </si>
  <si>
    <t>hemoglobinopathies</t>
  </si>
  <si>
    <t>To know more on the hemoglobinopathies and to share our experience</t>
  </si>
  <si>
    <t>Sickle cell disease</t>
  </si>
  <si>
    <t>Non</t>
  </si>
  <si>
    <t>Danielle Mouhlas</t>
  </si>
  <si>
    <t xml:space="preserve">Nationwide Children's Hospital </t>
  </si>
  <si>
    <t>700 Children's Dr. Columbus Ohio 43205</t>
  </si>
  <si>
    <t>danielle.mouhlas@nationwidechildrens.org</t>
  </si>
  <si>
    <t xml:space="preserve">I have performed some variant interpretation for clinical report writing. </t>
  </si>
  <si>
    <t xml:space="preserve">I would like become more proficient in variant interpretation, broaden my skills, and help contribute to the curation database to contribute to patient case. </t>
  </si>
  <si>
    <t xml:space="preserve">Most of my experience has been with RASopathies but I am open to any area. </t>
  </si>
  <si>
    <t>Emma Reble</t>
  </si>
  <si>
    <t xml:space="preserve">This is my second time filing out this survey. I am doing the variant curation training and have re-filled out this survey to participate in the gene curation training in the future. </t>
  </si>
  <si>
    <t xml:space="preserve">I would like to contribute to the genetics/research community and gain more knowledge from genetics experts. </t>
  </si>
  <si>
    <t>Robert Butler</t>
  </si>
  <si>
    <t>NorthShore University HealthSystem</t>
  </si>
  <si>
    <t>1001 University Place, Evanston, IL, 60201</t>
  </si>
  <si>
    <t>rbutler@northshore.org</t>
  </si>
  <si>
    <t>ClinVar Website</t>
  </si>
  <si>
    <t xml:space="preserve">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t>
  </si>
  <si>
    <t xml:space="preserve">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t>
  </si>
  <si>
    <t>I would like to participate in interesting research and gain expertise in clinical variant interpretation.</t>
  </si>
  <si>
    <t>I am primarily interested in computational challenges surrounding variant interpretation.</t>
  </si>
  <si>
    <t>111 Michigan AVe NW; Washington DC 20010</t>
  </si>
  <si>
    <t>Networking, Colleagues</t>
  </si>
  <si>
    <t>I am currently a member of the aminoacidopathy expert panel and curator for the NAGS gene. Because of my expertise in molecular biology, biochemistry, genetics and genomics I am really interested in variant curation</t>
  </si>
  <si>
    <t>I am a member of the aminoacidopathy expert panel</t>
  </si>
  <si>
    <t>Become familiar with criteria for evaluating gene-disease associations and variant pathogenicity</t>
  </si>
  <si>
    <t>All urea cycle disorders</t>
  </si>
  <si>
    <t>Joy Goffena</t>
  </si>
  <si>
    <t>Roundup Memorial Healthcare</t>
  </si>
  <si>
    <t>324 3rd St W Roundup, MT 59072</t>
  </si>
  <si>
    <t>joy.goffena@gmail.com</t>
  </si>
  <si>
    <t xml:space="preserve">I would like gain genetic curation experience while contributing to the goals of ClinGen. </t>
  </si>
  <si>
    <t>Hereditary cancer, hearing loss, dementia, autism</t>
  </si>
  <si>
    <t>Amruta Phatak</t>
  </si>
  <si>
    <t>Indiana University</t>
  </si>
  <si>
    <t>arphatak@iu.edu</t>
  </si>
  <si>
    <t>This is an excellent way to support an important cause and also an invaluable learning opportunity.</t>
  </si>
  <si>
    <t>Cardiomyopathies</t>
  </si>
  <si>
    <t>Marcela Dias Hanna</t>
  </si>
  <si>
    <t>SQNW 107 Bloco D apt 407</t>
  </si>
  <si>
    <t>marcelahanna8@gmail.com</t>
  </si>
  <si>
    <t>2018 NSGC</t>
  </si>
  <si>
    <t>No.</t>
  </si>
  <si>
    <t>In order of preference: Gene curations: brain malformations; Variant: platelet disorder, TP53, VHL, brain malformations; Somatic: prediatric</t>
  </si>
  <si>
    <t>Gain experience with curation and improve my resume for my applications to the genetic counseling programs.</t>
  </si>
  <si>
    <t>Cath Tyner</t>
  </si>
  <si>
    <t>1127 N BRANCIFORTE AVE, SANTA CRUZ CA 95062</t>
  </si>
  <si>
    <t>cathtyner@gmail.com</t>
  </si>
  <si>
    <t>Software QA Engineer at Invitae</t>
  </si>
  <si>
    <t>Youtube</t>
  </si>
  <si>
    <t>QA software which is used in gene curation for Invitae</t>
  </si>
  <si>
    <t>Community contribution and professional experience</t>
  </si>
  <si>
    <t>Myalgic encephalomyelitis/chronic fatigue syndrome (ME/CFS)</t>
  </si>
  <si>
    <t xml:space="preserve">Abdelazeem Elhabyan </t>
  </si>
  <si>
    <t>Tanta university Faculty of Medicine</t>
  </si>
  <si>
    <t>Tanta , Ali Dawood street from Kafr Essam street Dr.Abdelhameed Elhabyan house</t>
  </si>
  <si>
    <t>Abdelazeem_abdelhameed2015505@yahoo.com</t>
  </si>
  <si>
    <t>Twitter</t>
  </si>
  <si>
    <t xml:space="preserve">I have received training In mapping,  variant calling using galaxy project and received many online courses in genomics </t>
  </si>
  <si>
    <t xml:space="preserve">Hereditary cancer </t>
  </si>
  <si>
    <t xml:space="preserve">Gian more insights into clinical genomics ,networking with other specialists, join research groups </t>
  </si>
  <si>
    <t xml:space="preserve">Cancer Genomics and hereditary disorders </t>
  </si>
  <si>
    <t xml:space="preserve">International leaders in Genomic medicine program by NHS England /Trainer @galaxyproject.org for middle east / more than 30 online courses </t>
  </si>
  <si>
    <t>Claudia Gonzaga-Jauregui</t>
  </si>
  <si>
    <t>Regeneron Genetics Center</t>
  </si>
  <si>
    <t>777 Old Saw Mill River Road</t>
  </si>
  <si>
    <t>cgonzagaj@gmail.com</t>
  </si>
  <si>
    <t>Yes, I have analyzed more than 5,000 probands and families segregating Mendelian and yet uncharacterized rare genetic disorders and identified and published more than 20 novel disease gene associations, as well as characterized pathogenic variants in known disease genes to enable diagnoses in patients with suspected genetic disorders. I have also analyzed and curated pathogenic and likely pathogenic variation in large population cohorts such as the Gesinger DiscovEHR collaboration and the UK Bionbank to assess clinical actionability of pathogenic variation and prevalence of disease in unascertained populations.</t>
  </si>
  <si>
    <t>Intellectual Disability and Autism, Brain Malformations, Charcot-Marie-Tooth Disease</t>
  </si>
  <si>
    <t>Contribute to the curation of genomic variants of clinical significance that can aid in accurate patient diagnosis.</t>
  </si>
  <si>
    <t>Neurodevelopmental disorders are of great interest but have worked in a variaty of rare and Mendelian genetic disorders</t>
  </si>
  <si>
    <t>Altovise Ewing</t>
  </si>
  <si>
    <t>23andMe</t>
  </si>
  <si>
    <t>1520 Southwest Expressway</t>
  </si>
  <si>
    <t>altovisee@gmail.com</t>
  </si>
  <si>
    <t>Genetic counselor and health equity scientist</t>
  </si>
  <si>
    <t>CCG 2019</t>
  </si>
  <si>
    <t>Hereditary cancer</t>
  </si>
  <si>
    <t>Ensure that the topics of health equity and representation of underserved populations are seriously considered in the variant interpretation process.</t>
  </si>
  <si>
    <t>I want to ensure to genomic health equity.</t>
  </si>
  <si>
    <t xml:space="preserve">Postdoctoral fellowship </t>
  </si>
  <si>
    <t>CGC/ LCGC</t>
  </si>
  <si>
    <t>Laura Sack</t>
  </si>
  <si>
    <t>GeneDx</t>
  </si>
  <si>
    <t>laura@sack.io</t>
  </si>
  <si>
    <t>Yes, in interpreting CNVs in clinical cases, I assess dosage sensitivity and gene-disease associations in order to determine variant pathogenicity</t>
  </si>
  <si>
    <t>Dosage-Recurrent Regions, Dosage- Neurodevelopemental, Hereditary Cancer, Intellectual Disability and Autism, Epilepsy</t>
  </si>
  <si>
    <t>Enhance our collective understanding of the clinical genome to provide better information to patients, and gain further experience working on gene/disease curation</t>
  </si>
  <si>
    <t>CNVs, cancer, neurodevelopmental</t>
  </si>
  <si>
    <t>EST</t>
  </si>
  <si>
    <t>Janel Case</t>
  </si>
  <si>
    <t>Scripps Health</t>
  </si>
  <si>
    <t>janelcase@live.com</t>
  </si>
  <si>
    <t>NSGC</t>
  </si>
  <si>
    <t xml:space="preserve">Variant curation internship at Illumina </t>
  </si>
  <si>
    <t xml:space="preserve">Any hereditary cancer related groups </t>
  </si>
  <si>
    <t xml:space="preserve">Build skills, networking </t>
  </si>
  <si>
    <t>Cancer related genes</t>
  </si>
  <si>
    <t>LCGC</t>
  </si>
  <si>
    <t>PST</t>
  </si>
  <si>
    <t>Carolina Bustamante</t>
  </si>
  <si>
    <t>Richet</t>
  </si>
  <si>
    <t>Av. das Américas, 13331. Recreio, Rio de Janeiro, Brazil</t>
  </si>
  <si>
    <t>carolina.bustamante@gmail.com</t>
  </si>
  <si>
    <t>Yes, I worked as bioinformatician performing NGS analyses and variant interpretation in a genetic diagnostic lab that sequenced cerca 600 samples a month.</t>
  </si>
  <si>
    <t xml:space="preserve">Cancer, Hereditary Cancer, Colorectal Cancer, Genitourinary Tract Cancers, TP53, PTEN, CDH1, FBN1. </t>
  </si>
  <si>
    <t>More expertise</t>
  </si>
  <si>
    <t>Hereditary Breast and Ovarian Cancer, Lung Cancer, Colorectal Cancer</t>
  </si>
  <si>
    <t xml:space="preserve">BRT (UTC -3) </t>
  </si>
  <si>
    <t>Natalie Hollister</t>
  </si>
  <si>
    <t>UNC Chapel Hill</t>
  </si>
  <si>
    <t>nsh10@alumni.duke.edu</t>
  </si>
  <si>
    <t>I want to further my own scientific knowledge to enhance my career in research</t>
  </si>
  <si>
    <t>Autism/ASD</t>
  </si>
  <si>
    <t>Jean Davidson</t>
  </si>
  <si>
    <t>Cal Poly, San Luis Obispo</t>
  </si>
  <si>
    <t>1180 Vista del Lago</t>
  </si>
  <si>
    <t>jdavid06@calpoly.edu</t>
  </si>
  <si>
    <t xml:space="preserve">I was a member of the Undiagnosed Disease Network at Stanford University as a genomics coordinator, as well as a member of the ENCODE coordination center at Stanford.  </t>
  </si>
  <si>
    <t xml:space="preserve">mitochondrial diseases, dilated cardiomyopathy, </t>
  </si>
  <si>
    <t xml:space="preserve">Improving outreach, community engagement, incorporating variant curation into my genetics/bioinformatics college courses. </t>
  </si>
  <si>
    <t>mutations in regulatory regions, non-coding variants</t>
  </si>
  <si>
    <t>PDT</t>
  </si>
  <si>
    <t>Timo Dereani</t>
  </si>
  <si>
    <t>bio.logis Center for Human Genetics</t>
  </si>
  <si>
    <t>Altenhöferallee 3, 60438 Frankfurt am Main</t>
  </si>
  <si>
    <t>dereani@biologis.diagnosticum.eu</t>
  </si>
  <si>
    <t>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t>
  </si>
  <si>
    <t>Monogenic Diabetes, Hereditary Cancer</t>
  </si>
  <si>
    <t>enhance genetic diagnostics</t>
  </si>
  <si>
    <t>MODY, CFTR, Hereditary Cancer Syndromes in general</t>
  </si>
  <si>
    <t>CET</t>
  </si>
  <si>
    <t>Konstantinos Varvagiannis</t>
  </si>
  <si>
    <t>Currently working in private practice (will possibly move to academic hospital again)</t>
  </si>
  <si>
    <t>Athens - Greece</t>
  </si>
  <si>
    <t>knsvarv@ath.forthnet.gr</t>
  </si>
  <si>
    <t>ClinGen conference advertisements (i.e. booth, workshop, presentation), The clinicalgenome.org website, Twitter</t>
  </si>
  <si>
    <t>Genomics England PanelApp - ID/epilepsy panels - (reviews available after filtering the respective panels' activity / : https://panelapp.genomicsengland.co.uk/panels/activity/?panel=285  -  https://panelapp.genomicsengland.co.uk/panels/activity/?panel=402 )</t>
  </si>
  <si>
    <t>Intellectual Disability and Autism / Epilepsy</t>
  </si>
  <si>
    <t>Contribute to the development of evidence-based reference panels</t>
  </si>
  <si>
    <t>Intellectual disability and autism / epilepsy</t>
  </si>
  <si>
    <t>Most of the above (get involved, network, help the community, improve my resume). Arbitrary selection of genes in current gene panels (usually 1000 up to 2500 genes tested for ID).</t>
  </si>
  <si>
    <t>FMH - Swiss Board Certification in Clinical Genetics</t>
  </si>
  <si>
    <t>GMT+3</t>
  </si>
  <si>
    <t>Jennifer Bullard</t>
  </si>
  <si>
    <t>University of South Alabama</t>
  </si>
  <si>
    <t>jenniferluja@gmail.com</t>
  </si>
  <si>
    <t>Contribute to the molecular genetic community and gain more knowledge in the process.</t>
  </si>
  <si>
    <t>I am interested in mitochrondrial diseases</t>
  </si>
  <si>
    <t>Currently working on DrPH</t>
  </si>
  <si>
    <t>CDT CENTRAL TIME ZONE</t>
  </si>
  <si>
    <t>Greg Lennon</t>
  </si>
  <si>
    <t>SNPedia</t>
  </si>
  <si>
    <t>9812 Falls Rd #114-237, Potomac MD 20854</t>
  </si>
  <si>
    <t>greg.lennon@gmail.com</t>
  </si>
  <si>
    <t>Curation of SNPedia (since 2006)</t>
  </si>
  <si>
    <t>Actionability Working Group</t>
  </si>
  <si>
    <t>Increase amount of publicly accessible curated information</t>
  </si>
  <si>
    <t>Actionable genes/disease areas</t>
  </si>
  <si>
    <t>11/19/2019: Prefers gene or variant curation instead of actionability. AWG coordinator forwarded email to Courtney for follow up</t>
  </si>
  <si>
    <t>EDT (UTC/GMT -4 hours)</t>
  </si>
  <si>
    <t>Pamela</t>
  </si>
  <si>
    <t>Versiti Blood Research Institute</t>
  </si>
  <si>
    <t>8727 Watertown Plank Rd.</t>
  </si>
  <si>
    <t>pchristopherson@versiti.org</t>
  </si>
  <si>
    <t>Submission of variants to LOVD</t>
  </si>
  <si>
    <t>Already on VWD working group</t>
  </si>
  <si>
    <t>Curate variants</t>
  </si>
  <si>
    <t>VWD</t>
  </si>
  <si>
    <t>CDT</t>
  </si>
  <si>
    <t>Ernie Hobbs</t>
  </si>
  <si>
    <t>Congenica</t>
  </si>
  <si>
    <t>4452 Lochurst Drive, Pfafftown, NC 27040</t>
  </si>
  <si>
    <t>ernie.hobbs@congenica.com</t>
  </si>
  <si>
    <t>Citizen Scientist/Patient Advocate</t>
  </si>
  <si>
    <t>No (but have worked for several companies that offered genomic analysis software)</t>
  </si>
  <si>
    <t>to learn more about variant curation, and to eventually be proficient in interpreting results</t>
  </si>
  <si>
    <t>whole genome or exome. No particular region, but focus on rare disease</t>
  </si>
  <si>
    <t>I was encouraged by someone affiliated with ClinGen.</t>
  </si>
  <si>
    <t>Sandy Au</t>
  </si>
  <si>
    <t>The University of Hong Kong</t>
  </si>
  <si>
    <t>30 Hospital Road, Sai Ying Pun</t>
  </si>
  <si>
    <t>alkuen@hku.hk</t>
  </si>
  <si>
    <t xml:space="preserve">I am working in a prenatal diagnostic laboratory and perform WES for prenatal cases. We have experience in variant classification and clinical reporting. </t>
  </si>
  <si>
    <t>Variant Curation Expert Panels</t>
  </si>
  <si>
    <t xml:space="preserve">Broaden my knowledge in variant classification, explore my career interest in clinical genetics, able to interact with diversify group of medical and scientific experts who contribute to better patient care through precision medicine </t>
  </si>
  <si>
    <t>Prenatal diagnostics</t>
  </si>
  <si>
    <t>nil</t>
  </si>
  <si>
    <t>HKT</t>
  </si>
  <si>
    <t>Generoso</t>
  </si>
  <si>
    <t>Dante Labs</t>
  </si>
  <si>
    <t xml:space="preserve">Corso Federico II 72 B </t>
  </si>
  <si>
    <t>generoso@dantelabs.com</t>
  </si>
  <si>
    <t>Yes, I have curated few variants for people who receive WES data.</t>
  </si>
  <si>
    <t>I would like to partecipate in the standardization efforts to validate clinical variants</t>
  </si>
  <si>
    <t>Not a gene in particular. Mostly interested in drug effect genes</t>
  </si>
  <si>
    <t>I do not have a certification but I am going to get the italian license to provide counseling</t>
  </si>
  <si>
    <t xml:space="preserve">Hemantkumar Nemade </t>
  </si>
  <si>
    <t>Basavatarakam Indo American Cancer Hospital and Research Institute Hyderabad India</t>
  </si>
  <si>
    <t>Department of Surgical Oncology, Basavatarakam Indo American Cancer Hospital and Research Institute, Road number 10, Banjara Hills Hyderabad India 500034</t>
  </si>
  <si>
    <t>drhemantnemade@gmail.com</t>
  </si>
  <si>
    <t>Educational coursework, Youtube</t>
  </si>
  <si>
    <t xml:space="preserve">Not genetic but I have collected and analyzed cancer database. Trained in statistics </t>
  </si>
  <si>
    <t>To further my knowledge, hone statistical skills,  learn analysis of genomic data</t>
  </si>
  <si>
    <t>Head neck cancer, p53 NOTCH, RET and RAS, Rb</t>
  </si>
  <si>
    <t>IST UTC/ GMT +5.30</t>
  </si>
  <si>
    <t>Christina Bridges</t>
  </si>
  <si>
    <t>Fullerton Genetics &amp; UNC</t>
  </si>
  <si>
    <t>9 Vanderbilt Park Dr, Asheville NC 28801</t>
  </si>
  <si>
    <t>c.bridges@med.unc.edu</t>
  </si>
  <si>
    <t>Some experience as part of my work in clinical genetics laboratory, as well as pursuit on my own of additional educational opportunities, such as those provided through ClinGen (thank you!) as well as other resources (professional clinical group featured presentations, publications from ACMG/AMP, etc.).</t>
  </si>
  <si>
    <t xml:space="preserve">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t>
  </si>
  <si>
    <t xml:space="preserve">Contribution toward knowledgebase that empowers better patient diagnoses and care, plus fuels medical research and therapeutic advances--while also learning from leading experts in the field and improving my own skills.  </t>
  </si>
  <si>
    <t>Interest in all areas but most particularly cancers.</t>
  </si>
  <si>
    <t>All of the above except having been encouraged by a mentor or someone affiliated with ClinGen!</t>
  </si>
  <si>
    <t>EDT (UTC-5)</t>
  </si>
  <si>
    <t>Laetitia Meyrueix</t>
  </si>
  <si>
    <t>University of North Carolina at Chapel Hill</t>
  </si>
  <si>
    <t>509 Stonehill Road Chapel Hill NC 27516</t>
  </si>
  <si>
    <t>lmeyruei@email.unc.edu</t>
  </si>
  <si>
    <t>Networking, Co-director of UNC Clinical Fellowship</t>
  </si>
  <si>
    <t>I do not per se have experience. I am familiar with the topics.</t>
  </si>
  <si>
    <t xml:space="preserve">Learn more about the clinical implications of genetic research and promote precision medicine. </t>
  </si>
  <si>
    <t>Previous work with NPC1 and Cav1. Particularly interested in epigenetics and diseases relating to inborn errors in metabolism -- I am a Nutrition PhD student.</t>
  </si>
  <si>
    <t>Eastern Standard Time</t>
  </si>
  <si>
    <t>Malak Ashraf</t>
  </si>
  <si>
    <t>El Qalyubia STEM School.</t>
  </si>
  <si>
    <t xml:space="preserve">10 Ali el shazly st. Dar el salaam, Cairo, Egypt. </t>
  </si>
  <si>
    <t>malak.2118144@stemkalubya.moe.edu.eg</t>
  </si>
  <si>
    <t>I did not have the opportunity to have a sufficient experiences, but i think passion will make me do it. i am a reader in pathology and virology, so, i think am a good candidate to be a member in one of these great working groups.</t>
  </si>
  <si>
    <t>yes, i am interested in joining Somatic Cancer working group!</t>
  </si>
  <si>
    <t xml:space="preserve">By being a volunteer in such a great community of biologists, curators, and experts like ClinGen definitely is a great opportunity for any person. But for me, it will not be just a volunteering work experience. i am willing with all passion and pleasure for being a curator, find solutions for those great challenges named with "Diseases", and discover cures for them. 
And for being an inspired person, who is only inspires by her passion, i will accomplish what i have always needed to accomplish by being a volunteer in ClinGen's curation groups.  </t>
  </si>
  <si>
    <t>I am interested in Cancer diseases and Virologist infections.</t>
  </si>
  <si>
    <t>Some high school education</t>
  </si>
  <si>
    <t>No, I do not have.</t>
  </si>
  <si>
    <t>GMT+2</t>
  </si>
  <si>
    <r>
      <t xml:space="preserve">originally choose Comprehensive, howeve rchanged to Baseline based on skill level. </t>
    </r>
    <r>
      <rPr>
        <b/>
      </rPr>
      <t>CLT 6-17-19</t>
    </r>
  </si>
  <si>
    <t>Abul Kalam Azad</t>
  </si>
  <si>
    <t>Montefiore Medical Center</t>
  </si>
  <si>
    <t>1641 Metropolitan Ave
Apt 3A</t>
  </si>
  <si>
    <t>azadak@gmail.com</t>
  </si>
  <si>
    <t>Gaining in-depth knowledge of variant curation and disease phenotype</t>
  </si>
  <si>
    <t>1044 West Walnut Street
R4-W204
IUPUI, Indianapolis</t>
  </si>
  <si>
    <t>Learning opportunities</t>
  </si>
  <si>
    <t>Cardiovascular/Cardiomyopathy</t>
  </si>
  <si>
    <t>EDT</t>
  </si>
  <si>
    <t>Priyabrata Panigrahi</t>
  </si>
  <si>
    <t>Innoplexus Pvt Ltd</t>
  </si>
  <si>
    <t>Midas Tower, Phase1, Hinjawadi</t>
  </si>
  <si>
    <t>pb.panigrahi86@gmail.com</t>
  </si>
  <si>
    <t>I have experience of performing somatic cancer variant detection NGS based pipelines, downstream variant annotation methods and have good exposure to databases like dbsnp etc.</t>
  </si>
  <si>
    <t>Dont know</t>
  </si>
  <si>
    <t>It is a good platform for me to learn how "how quality clingen data is curated" and also through this volunteer activity, I may get chance to interact with many other volunteers, peers, PIs. Overall a fruitful experience.</t>
  </si>
  <si>
    <t>IST</t>
  </si>
  <si>
    <t>José Patricio Miranda Marín</t>
  </si>
  <si>
    <t>Pontificia Universidad Católica de Chile</t>
  </si>
  <si>
    <t>Avda. Libertador Bernardo O'Higgins 340</t>
  </si>
  <si>
    <t>jose.miranda@uc.cl</t>
  </si>
  <si>
    <t>yes, I am the Lab Director of the Medical Genomic Unit at the Pontificia Universidad Católica de Chile, and we regularly send submissions to ClinVar (https://www.ncbi.nlm.nih.gov/clinvar/submitters/506969/)</t>
  </si>
  <si>
    <t>Monogenic Diabetes Variant Curation Expert Panel or Mitochondrial Disease Variant Curation Expert Panel</t>
  </si>
  <si>
    <t>As a ClinGen volunteer, I would like to collaborate in strengthening this database for clinical use, thus collaborating in an advance in the implementation of genomic medicine.</t>
  </si>
  <si>
    <t>Genes related to monogenic diabetes and those related to mitochondrial diabetes/diseases</t>
  </si>
  <si>
    <t>Chile Standard Time UTC-4</t>
  </si>
  <si>
    <t>Helen O'Shea</t>
  </si>
  <si>
    <t>Department of Clinical Genetics, Children's Health Ireland</t>
  </si>
  <si>
    <t>Children's Health Ireland at Crumlin D12 N512</t>
  </si>
  <si>
    <t>helen.oshea@olchc.ie</t>
  </si>
  <si>
    <t>I am involved in neurodevelopmental disorders research using exome sequencing and variant assessment.</t>
  </si>
  <si>
    <t>Neurodevelopmental disorders, cardiovascular diseases and cancer</t>
  </si>
  <si>
    <t>To further expand my variant assessment skills and contribute to curated data</t>
  </si>
  <si>
    <t>I am involved in variant assessment and wish to expand this skill</t>
  </si>
  <si>
    <t>IST (Irish Standard Time)</t>
  </si>
  <si>
    <t>Panos Sergouniotis</t>
  </si>
  <si>
    <t>University of Manchester, UK</t>
  </si>
  <si>
    <t>Manchester Centre for Genomic Medicine, St Mary's Hospital, Oxford Road, Manchester M13 9WL, UK</t>
  </si>
  <si>
    <t>panagiotis.sergouniotis@manchester.ac.uk</t>
  </si>
  <si>
    <t>I am a qualified Ophthalmologist (FEBO, FRCOphth) with an interest in Ophtalmic Genetics</t>
  </si>
  <si>
    <t>Yes. I have worked as a curator for PanelApp (https://panelapp.genomicsengland.co.uk/) and I have significantly contributed to HPO and Orphanet (e.g. https://www.ncbi.nlm.nih.gov/pubmed/30626441)</t>
  </si>
  <si>
    <t>Dosage Sensitivity Curation</t>
  </si>
  <si>
    <t>To improve the quality of curation of the genes realted to inherited ophthalmic disorders</t>
  </si>
  <si>
    <t>Monogenic ophthalmic disorders, both syndromic and nonsyndromic (e.g. retinitis pigmentosa)</t>
  </si>
  <si>
    <t>(M.D., Ph.D.)</t>
  </si>
  <si>
    <t>My PhD was on Ophthalmic Genetics</t>
  </si>
  <si>
    <t>BST (London)</t>
  </si>
  <si>
    <t>Marc Lataillade</t>
  </si>
  <si>
    <t>Rutgers University</t>
  </si>
  <si>
    <t>23 William Street</t>
  </si>
  <si>
    <t>marclataillade258@gmail.com</t>
  </si>
  <si>
    <t>I isolated genes with PCR and screened exons for a local variant of ebidermolysis bullosa.</t>
  </si>
  <si>
    <t>Of the panels listed I am interested in the aminoacidopathy and VHL group.</t>
  </si>
  <si>
    <t>Gain experience analyzing genetic variants</t>
  </si>
  <si>
    <t>Skin or hair diseases, hypertrichosis</t>
  </si>
  <si>
    <t xml:space="preserve">Sarah Payne </t>
  </si>
  <si>
    <t xml:space="preserve">12228 SW 7th Circle </t>
  </si>
  <si>
    <t>sarahhale79@gmail.com</t>
  </si>
  <si>
    <t xml:space="preserve">Female family with unknown genetic disorder </t>
  </si>
  <si>
    <t>Facebook</t>
  </si>
  <si>
    <t xml:space="preserve">I've been in medical trials </t>
  </si>
  <si>
    <t xml:space="preserve">Myself &amp; two daughters have an unknown genetic disorder it's affecting our daily lives. No one in our state does genetic testing </t>
  </si>
  <si>
    <t xml:space="preserve">We've been told we may have ehlers danlos, marfans, or loeys Dietz </t>
  </si>
  <si>
    <t>Central</t>
  </si>
  <si>
    <r>
      <t xml:space="preserve">Originally choose Comprehensive, however Baseline may best suit them, and we can direct it towards Loeys-Dietz, marfan, of EDS genes/variants. </t>
    </r>
    <r>
      <rPr>
        <b/>
      </rPr>
      <t>CLT 7-2-19</t>
    </r>
  </si>
  <si>
    <t>Lori Millner</t>
  </si>
  <si>
    <t>Bluewater Diagnostic Lab</t>
  </si>
  <si>
    <t>3410 Hardwood Forest Dr.</t>
  </si>
  <si>
    <t>lorimillner77@gmail.com</t>
  </si>
  <si>
    <t>Clinical Lab Director</t>
  </si>
  <si>
    <t>Yes, I performed NGS somatic mutation panels on single cells.</t>
  </si>
  <si>
    <t xml:space="preserve">Experience and to help the field of precision medicine. </t>
  </si>
  <si>
    <t>Oncology</t>
  </si>
  <si>
    <t>Agnes Sebastian</t>
  </si>
  <si>
    <t>agnes.sebastian@mail.utoronto.ca</t>
  </si>
  <si>
    <t>Someone's profile on LinkedIn</t>
  </si>
  <si>
    <t>No - any group related to cancer or hearing loss is preferable</t>
  </si>
  <si>
    <t>Contribute to a world-renowned resource for genotype-phenotype associations, and learn about the process for curating genes</t>
  </si>
  <si>
    <t>Cancer including hereditary cancer, hearing loss, TP53</t>
  </si>
  <si>
    <t>I do variant analysis adjacent to my laboratory work and would like to contribute to enhancing the databases used for variant analysis, which will ultimately improve precision medicine and enhance patient care</t>
  </si>
  <si>
    <t>Eastern Standard Time (EST)</t>
  </si>
  <si>
    <t>Xiangqiang Shao</t>
  </si>
  <si>
    <t>University of Wisconsin-Madison</t>
  </si>
  <si>
    <t>465 Henry Mall, Room 345, Madison, WI, 53706</t>
  </si>
  <si>
    <t>xshao5@wisc.edu</t>
  </si>
  <si>
    <t>Switched from Baseline to Comprehensive on 10/8/19</t>
  </si>
  <si>
    <t>I currently do microarray analysis for clinical samples at Wisconsin State Lab of Hygiene to determine the pathogenicity of the CNVs we detected, and I am working on a project to develop a NGS panel for Familial Hypercholesterolemia.</t>
  </si>
  <si>
    <t>Epilepsy, and Intellectual Disability and Autism</t>
  </si>
  <si>
    <t xml:space="preserve">I would love to get more training on dosage and variant curation, and I would also like to contribute more to clinical genetics field by joining a curation group. </t>
  </si>
  <si>
    <t xml:space="preserve">Familial Hypercholesterolemia, but I am happy to be matched to any group that need help. </t>
  </si>
  <si>
    <t>Central Time Zone.</t>
  </si>
  <si>
    <t>Pradeep Varathan</t>
  </si>
  <si>
    <t>IUPUI-Indianapolis</t>
  </si>
  <si>
    <t>725W,11th Street Apt 28, Indianapolis, IN 46202</t>
  </si>
  <si>
    <t>pradluzog@gmail.com</t>
  </si>
  <si>
    <t>Youtube, edx courses</t>
  </si>
  <si>
    <t>I would like to learn the techniques and help in curation process, as to accelerate the research process.</t>
  </si>
  <si>
    <t>Yes. I would love to work with the neurodegenerative disorder related genes as I have tremendous interest in that topic.</t>
  </si>
  <si>
    <t>Terri McVeigh</t>
  </si>
  <si>
    <t xml:space="preserve">Royal Marsden NHS Foundation Trust </t>
  </si>
  <si>
    <t>Cancer Genetics Unit, The Royal Marsden, Fulham Road, London SW3 6JJ</t>
  </si>
  <si>
    <t>terri.mcveigh@rmh.nhs.uk</t>
  </si>
  <si>
    <t xml:space="preserve">I work as a Medical Geneticist so routinely interrogate variants from the point of view of pathogenicity, actionability and relationship to the patient phenotype. Furthermore, I actively participate in the molecular tumour board,  where we interrogate similar features of somatic variants. </t>
  </si>
  <si>
    <t>I would like to gain experience in curation, as well as getting more involved with the international Clinical Genetics community</t>
  </si>
  <si>
    <t xml:space="preserve">Hereditary Cancer </t>
  </si>
  <si>
    <t>MB BAO BCh, Dip (Medical Science), MSc, PhD</t>
  </si>
  <si>
    <t xml:space="preserve">Certificate in Medical Genetics (Royal College of Pathologists), Certificate of Satisfactory Completion of Specialist Training in Clinical Genetics (Royal College of Physicians of Ireland) </t>
  </si>
  <si>
    <t xml:space="preserve">BST (GMT+1) </t>
  </si>
  <si>
    <t>Gretchen Cote</t>
  </si>
  <si>
    <t>Virginia Division of Consolidated Laboratory Services</t>
  </si>
  <si>
    <t>gretchen.cote@dgs.virginia.gov</t>
  </si>
  <si>
    <t>Bioinformatician focusing on Variant Interpretation</t>
  </si>
  <si>
    <t>I participate and weekly variant interpretation meetings for variant based newborn screening for Pompe and MPS1</t>
  </si>
  <si>
    <t>Lysosomal Storage Disorders</t>
  </si>
  <si>
    <t>Expand curation of IDUA and GAA variants and improve interpretation skills</t>
  </si>
  <si>
    <t>GAA, IDUA</t>
  </si>
  <si>
    <t>Mayher Patel</t>
  </si>
  <si>
    <t>Broad Institute</t>
  </si>
  <si>
    <t>mayher@broadinstitute.org</t>
  </si>
  <si>
    <t>Bryan Gall</t>
  </si>
  <si>
    <t>Center for Genomic Interpretation</t>
  </si>
  <si>
    <t>bgall005@gmail.com</t>
  </si>
  <si>
    <t>Manual variant interpretation using ClinGen resources</t>
  </si>
  <si>
    <t>Colorectal Cancer, Familial Hypercholesterolemia, and Myeloid Malignancy</t>
  </si>
  <si>
    <t>Gain experience in the field while working to improve the ClinGen database</t>
  </si>
  <si>
    <t>I want to network.</t>
  </si>
  <si>
    <t>Hwaida Hannoush</t>
  </si>
  <si>
    <t>ACMG</t>
  </si>
  <si>
    <t>8816 Bells Mill Road Potomac , MD 20854</t>
  </si>
  <si>
    <t>hhannoush@acmg.net</t>
  </si>
  <si>
    <t xml:space="preserve">ACMG training </t>
  </si>
  <si>
    <t>Cardiomyopathy, Familial Hypercholesterolemia</t>
  </si>
  <si>
    <t xml:space="preserve">I would like to be able to curate and discover  new  genes related to diseases. </t>
  </si>
  <si>
    <t xml:space="preserve">As my specialty is cardiology, I  interested in  cardiovascular diseases  and prevention. </t>
  </si>
  <si>
    <t>Rawan Awwad</t>
  </si>
  <si>
    <t>GeneMatters</t>
  </si>
  <si>
    <t>Michigan</t>
  </si>
  <si>
    <t>rawan.awwad@gmail.com</t>
  </si>
  <si>
    <t xml:space="preserve">No but I know I can pick it up </t>
  </si>
  <si>
    <t xml:space="preserve">Clinical actionability for Peds </t>
  </si>
  <si>
    <t xml:space="preserve">More hands on experience with curation and variant classification, applying my clinical expertise to assist in interpretation, and network with like-minded CGC/scientists </t>
  </si>
  <si>
    <t xml:space="preserve">Pediatrics, General Genetics, Neuro, Cardio </t>
  </si>
  <si>
    <t>Yanhui Li</t>
  </si>
  <si>
    <t>University of Texas Southwestern Medical Center</t>
  </si>
  <si>
    <t>yxl280@gmail.com</t>
  </si>
  <si>
    <t>Gain Variant curation experiences.</t>
  </si>
  <si>
    <t>I am interested in Pediatric Disease and cancer areas.</t>
  </si>
  <si>
    <t>Central Time Zone</t>
  </si>
  <si>
    <t>Leila Jamal</t>
  </si>
  <si>
    <t>900 Rockville Pike, Bethesda, MD 20892</t>
  </si>
  <si>
    <t>leila.jamal@nih.gov</t>
  </si>
  <si>
    <t xml:space="preserve">I have PhD training in public health and have also written clinical test reports for study participants enrolled in a large sequencing research protocol at NIAID (on which I am a co-investigator).   </t>
  </si>
  <si>
    <t xml:space="preserve">I am most interested in the Pediatric Actionability Working Group and/or the Charcot-Marie-Tooth Gene Curation Group.  I would consider joining other gene or variant curation working groups as well.   </t>
  </si>
  <si>
    <t>I would like to learn more about evaluating actionability and/or the gene and variant curation process, and I'd also like to contribute to the development of a better evidence base for genomic medicine</t>
  </si>
  <si>
    <t>I am a certified genetic counselor (CGC)</t>
  </si>
  <si>
    <t>Eastern</t>
  </si>
  <si>
    <t>Shahad Rahawi</t>
  </si>
  <si>
    <t>2113 Lime Rock Court, El Cajon, CA 92019</t>
  </si>
  <si>
    <t>shahadrahawi@gmail.com</t>
  </si>
  <si>
    <t>brief variant interpretation activities in "analyze your genome" class in grad school</t>
  </si>
  <si>
    <t>Learn variant interpretation and contribute to the scientific field</t>
  </si>
  <si>
    <t>John Beilby</t>
  </si>
  <si>
    <t>PathWest</t>
  </si>
  <si>
    <t>Diagnostic Genomics, Level 2 PP Block, Queen Elizabeth II Medical Centre, Nedlands, WA. 6009</t>
  </si>
  <si>
    <t>John.Beilby@health.wa.gov.au</t>
  </si>
  <si>
    <t>Regular classification of variants to incorporate into patient reports.</t>
  </si>
  <si>
    <t>Cancer and cardiovascular diseases.</t>
  </si>
  <si>
    <t>To get a better understanding of variant classification.</t>
  </si>
  <si>
    <t>FFSc(RCPA)</t>
  </si>
  <si>
    <t>AWST</t>
  </si>
  <si>
    <t>Parham Habibzadeh</t>
  </si>
  <si>
    <t>Persian Bayangene Research and Training Center, Shiraz University of Medical Sciences</t>
  </si>
  <si>
    <t>parham.habibzadeh@yahoo.com</t>
  </si>
  <si>
    <t>Cardiomyopathy, Brain Malformations</t>
  </si>
  <si>
    <t>UTC +4:30</t>
  </si>
  <si>
    <t>Xiaolin Hu</t>
  </si>
  <si>
    <t>Cincinnati Children's hospital</t>
  </si>
  <si>
    <t>3333 Burnet ave, Cincinnati, OH, 45219</t>
  </si>
  <si>
    <t>xiaolin.hu@cchmc.org</t>
  </si>
  <si>
    <t>Yes, as part of our fellow's training</t>
  </si>
  <si>
    <t>hereditary cancer, somatic cancer, Mitochondrial Diseases</t>
  </si>
  <si>
    <t>gain experience and understand the current standards</t>
  </si>
  <si>
    <t>cancer</t>
  </si>
  <si>
    <t>NO</t>
  </si>
  <si>
    <t>Leighton Telling</t>
  </si>
  <si>
    <t>Formerly UNC</t>
  </si>
  <si>
    <t>lptellin@ncsu.edu</t>
  </si>
  <si>
    <t>Former UNC ClinGen Research Assistant</t>
  </si>
  <si>
    <t>I would like to broaden my experience within ClinGen and gain experience in gene curation.</t>
  </si>
  <si>
    <t>Panieh Terraf</t>
  </si>
  <si>
    <t>Harvard Medical School - Brigham and Women's Hospital</t>
  </si>
  <si>
    <t xml:space="preserve">75 Francis St. Boston MA 02115 - Dept. of Pathology </t>
  </si>
  <si>
    <t>pterraf@bwh.harvard.edu</t>
  </si>
  <si>
    <t>Variant Pathogenicity, Dosage Sensitivity</t>
  </si>
  <si>
    <t xml:space="preserve">Yes, in somatic cancer variant curation through my clinical training at the Brigham and Women's Hospital. </t>
  </si>
  <si>
    <t xml:space="preserve">Variant curation: myeloid malignancy, colorectal cancer, cardiomyopathy 
Somatic cancer working group: All, particularly pediatrics.
Dosage sensitivity: hereditary cancers, neurodevelopmental </t>
  </si>
  <si>
    <t xml:space="preserve">Gain experience and contribute to the community </t>
  </si>
  <si>
    <t xml:space="preserve">Currently a clinical laboratory genetics and genomics (LGG) fellow in training </t>
  </si>
  <si>
    <t>Jennifer Hull</t>
  </si>
  <si>
    <t>Keck Graduate Institute (KGI)</t>
  </si>
  <si>
    <t>4720 Coronado lane La Verne, CA 91750</t>
  </si>
  <si>
    <t>jhull86@gmail.com</t>
  </si>
  <si>
    <t>Phenylketonuria Variant Curation Expert Panel, epilepsy, CMT, hypercholesterolemia, colorectal cancer</t>
  </si>
  <si>
    <t xml:space="preserve">I hope to contribute to the information available on variants. </t>
  </si>
  <si>
    <t>Eric Kil</t>
  </si>
  <si>
    <t>535 Watson Dr, Claremont, CA 91711</t>
  </si>
  <si>
    <t>ekil18@students.kgi.edu</t>
  </si>
  <si>
    <t>I am interested in neuro-related conditions and cancer.</t>
  </si>
  <si>
    <t>Improve the accuracy of clinical genetic data to support researchers/clinicians make better, more informed decisions</t>
  </si>
  <si>
    <t>Oncology, Neurodegeneration, Neuroinflammation, Aging, Metabolism</t>
  </si>
  <si>
    <t>Joseph Steward</t>
  </si>
  <si>
    <t>Moore’s cancer center</t>
  </si>
  <si>
    <t>4360 Alabama St. San Diego CA</t>
  </si>
  <si>
    <t>jsteward2930@gmail.com</t>
  </si>
  <si>
    <t xml:space="preserve">Pancreatic </t>
  </si>
  <si>
    <t>Gain experience in cancer genomic biomarker curation</t>
  </si>
  <si>
    <t xml:space="preserve">Oncology Therapeutic Biomarkers </t>
  </si>
  <si>
    <t>NANDITA MULLAPUDI</t>
  </si>
  <si>
    <t>Hong Kong University of Science and Technology</t>
  </si>
  <si>
    <t>19-21 TIN HAU TEMPLE ROAD, NORTH POINT, HONG KONG.</t>
  </si>
  <si>
    <t>mnandita@gmail.com</t>
  </si>
  <si>
    <t>I am not currently signing up for being an active member, but I would like to eventually. I would like to state that I have almost two years of experience working with a molecular diagnostics company, wherein I was responsible for setting up the variant analyses and interpretation processes for a variety of inherited disorders.</t>
  </si>
  <si>
    <t>Intellectual disability and autism, Mitochondrial diseases, Hearing loss, Familial hypercholesterolemia</t>
  </si>
  <si>
    <t>I would like to contribute to building an accurate and actionable knowledgebase. And I would like to keep in touch with my skills and training in variant analysis.</t>
  </si>
  <si>
    <t>GMT + 8</t>
  </si>
  <si>
    <t>Hari Subramanian</t>
  </si>
  <si>
    <t>The University of Chicago</t>
  </si>
  <si>
    <t>hsubramanian@bsd.uchicago.edu</t>
  </si>
  <si>
    <t>Bioinformatician, Clinical Diagnostics Lab</t>
  </si>
  <si>
    <t>ClinGen conference advertisements (i.e. booth, workshop, presentation), Colleagues, ClinGen affiliated emails and/or newsletters, The clinicalgenome.org website</t>
  </si>
  <si>
    <t>CDT, Central</t>
  </si>
  <si>
    <t>Georgios Tsaousis</t>
  </si>
  <si>
    <t>Genekor Medical SA</t>
  </si>
  <si>
    <t>52 Spaton Ave, Athens, Greece</t>
  </si>
  <si>
    <t>gtsaousis@genekor.com</t>
  </si>
  <si>
    <t>ClinGen affiliated emails and/or newsletters, The clinicalgenome.org website, Twitter</t>
  </si>
  <si>
    <t>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t>
  </si>
  <si>
    <t>Hereditary Cancer, Somatic/Germline Variant Curation, Colorectal Cancer, PTEN, TP53, CDH1</t>
  </si>
  <si>
    <t>Contribute to global curation processes for the interpretation of the clinical significance of variants and aid in making clinical data publicly available.</t>
  </si>
  <si>
    <t>Hereditary Cancer and the related genes</t>
  </si>
  <si>
    <t>EEST (Eastern European Summer Time) UTC/GMT +3 hours</t>
  </si>
  <si>
    <t>Jessica Hatton</t>
  </si>
  <si>
    <t>9609 Medical Center Drive</t>
  </si>
  <si>
    <t>jessica.hatton@nih.gov</t>
  </si>
  <si>
    <t>Further ClinGen curation efforts and gain expertise in variant biocuration</t>
  </si>
  <si>
    <t>TP53, Li-Fraumeni syndrome</t>
  </si>
  <si>
    <t>ABGC Board Eligible</t>
  </si>
  <si>
    <t>Xia Tian</t>
  </si>
  <si>
    <t>Wuxi Nextcode</t>
  </si>
  <si>
    <t>xtian@wuxinextcode.com</t>
  </si>
  <si>
    <t>eight years' experience of gene/variant curation and clinical case review</t>
  </si>
  <si>
    <t>Mitochondrial Diseases(gene/variant) and Somatic Cancer</t>
  </si>
  <si>
    <t>Make contributions to clinical diagnosis and get training to better serve the society</t>
  </si>
  <si>
    <t xml:space="preserve">mitochondrial disease and somatic cancer </t>
  </si>
  <si>
    <t>MEGHA DANI</t>
  </si>
  <si>
    <t>Mind Speed Foundation</t>
  </si>
  <si>
    <t>136 Vivekanand Nagar, Nagpur 440015  India</t>
  </si>
  <si>
    <t>meghamdani@gmail.com</t>
  </si>
  <si>
    <t>I owned and worked for my clinical biochemistry/diagnostics laboratory but I have not done Genetics for lack for facilities.  I want to learn Genetics, its use in identification of various genetic disorders, learning new genetic techniques</t>
  </si>
  <si>
    <t>Educational coursework</t>
  </si>
  <si>
    <t>India Standard Time</t>
  </si>
  <si>
    <t>SAILATHA RAVI</t>
  </si>
  <si>
    <t>Medlish Communications</t>
  </si>
  <si>
    <t>New no. 7, 5th cross street, Indranagar, Adyar</t>
  </si>
  <si>
    <t>sailatha.ravi@gmail.com</t>
  </si>
  <si>
    <t>I would like to learn and apply the whole process of curating a clinical genome</t>
  </si>
  <si>
    <t>No. I am more interested in the process of how it is done.</t>
  </si>
  <si>
    <t>IST(Indian Standard time) UTC/GMT+5.30 hours</t>
  </si>
  <si>
    <t>Pamela Ajuyah</t>
  </si>
  <si>
    <t>GenomeOne</t>
  </si>
  <si>
    <t>pamela.a.ajuyah@gmail.com</t>
  </si>
  <si>
    <t>Increased understanding of genetics</t>
  </si>
  <si>
    <t>Cardiomyopathies, Cancer, Developmental disorders</t>
  </si>
  <si>
    <t>Australian Eastern Standard Time</t>
  </si>
  <si>
    <t>Yasser Sullcahuaman Allende</t>
  </si>
  <si>
    <t>IGENOMICA</t>
  </si>
  <si>
    <t>F 53  Urb. Juan XXIII, San Borja
lima peru</t>
  </si>
  <si>
    <t>ysullcahuaman@hotmail.com</t>
  </si>
  <si>
    <t>Yasser</t>
  </si>
  <si>
    <t>I would like to contribute to the knowledge of hereditary cancer and improve my skills as a geneticist doctor dedicated to cancer</t>
  </si>
  <si>
    <t>medical geneticist</t>
  </si>
  <si>
    <t>Lima</t>
  </si>
  <si>
    <t>Ellie Jhun</t>
  </si>
  <si>
    <t>Base10 Genetics</t>
  </si>
  <si>
    <t>ejhun@base10genetics.com</t>
  </si>
  <si>
    <t>Pharmacogenomics fellowship program at the University of Chicago</t>
  </si>
  <si>
    <t>Accelerate clinical actionability of pharmacogenomics</t>
  </si>
  <si>
    <t>Pharmacogenomics</t>
  </si>
  <si>
    <t>PharmD/PhD</t>
  </si>
  <si>
    <t>ABCP</t>
  </si>
  <si>
    <t>Venkatesan Sengoda Gounder</t>
  </si>
  <si>
    <t>USDA-ARS</t>
  </si>
  <si>
    <t>3 Bannock Glen Pl, Sacramento CA 95835</t>
  </si>
  <si>
    <t>agrivenkat@gmail.com</t>
  </si>
  <si>
    <t xml:space="preserve">I want to be Clinical Variant Curator/or Scientist based on experiences in molecular biology </t>
  </si>
  <si>
    <t>I can work any area of interest</t>
  </si>
  <si>
    <t>Ronaldo da Silva Francisco Junior</t>
  </si>
  <si>
    <t>Bioinformatics Laboratory-LABINFO - National Laboratory of Scientific Computation LNCC/MCTIC</t>
  </si>
  <si>
    <t>Av. Getulio Vargas, 333, Quitandinha CEP: 25651-075 - Petrópolis - Rio de Janeiro - Brazil</t>
  </si>
  <si>
    <t>ronaldoj@lncc.br</t>
  </si>
  <si>
    <t>Yes. I am currently working as a bioinformatician using WES data to perform the diagnosis and filtering of genetic variants in patients with Primary Immudeficiency Disorders</t>
  </si>
  <si>
    <t>Yes. RASopathy, Cardiomyopathy, Congenital Myopathies (newly forming), Mitochondrial diseases, Dosage-Recurrent Regions</t>
  </si>
  <si>
    <t>I would like to improve my expertise in analyzing genetic variants associated with human genetic diseases.</t>
  </si>
  <si>
    <t>Primary Immudeficiency Disorders / Intellectual Disability and Autism</t>
  </si>
  <si>
    <t>BRT UTC-3h</t>
  </si>
  <si>
    <t>Krista Bluske</t>
  </si>
  <si>
    <t>Illumina</t>
  </si>
  <si>
    <t>kbluske@illumina.com</t>
  </si>
  <si>
    <t xml:space="preserve">Yes, our group at Illumina is already contributing RUGD gene curations to ClinGen and we are active collaborators. I am trained in the ClinGen gene curation protocol. </t>
  </si>
  <si>
    <t>Mitochondrial Diseases expert panel (already participating), the soon-to-be-formed RUGD expert panel</t>
  </si>
  <si>
    <t>contribute to the scientific community by submitting gene curations from our RUGD cWGS test</t>
  </si>
  <si>
    <t>Rare and Undignosed genetic disease (RUGD), mitochondrial diseases</t>
  </si>
  <si>
    <t>Central (CDT)</t>
  </si>
  <si>
    <t>Raman Bansal</t>
  </si>
  <si>
    <t>ARS</t>
  </si>
  <si>
    <t>rbansal.osu@gmail.com</t>
  </si>
  <si>
    <t>MB (ASCP), DABCC (MD)</t>
  </si>
  <si>
    <t>FENGLI ZHANG</t>
  </si>
  <si>
    <t>UW Madison</t>
  </si>
  <si>
    <t>fengli.zhang@slh.wisc.edu</t>
  </si>
  <si>
    <t>Cancer</t>
  </si>
  <si>
    <t>CG, MB</t>
  </si>
  <si>
    <t>Amanda Clause</t>
  </si>
  <si>
    <t>1501 Tyler Ct.</t>
  </si>
  <si>
    <t>aclause@illumina.com</t>
  </si>
  <si>
    <t>Yes; currently curate variants and GDAs for a clinical whole genome sequencing test</t>
  </si>
  <si>
    <t>mitochondrial diseases, rare disease</t>
  </si>
  <si>
    <t>sharing gene curation data, contributing to development of well-curated clinical genome</t>
  </si>
  <si>
    <t>rare disease</t>
  </si>
  <si>
    <t>Sara Spencer</t>
  </si>
  <si>
    <t>Northwestern Medicine/Northwestern University</t>
  </si>
  <si>
    <t>675 N. St. Clair Ste 14-200</t>
  </si>
  <si>
    <t>saspence@nm.org</t>
  </si>
  <si>
    <t xml:space="preserve">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t>
  </si>
  <si>
    <t>Gene Curation Expert Panels - Epilepsy 
Variant Curation Expert Panels - Brain Malformations</t>
  </si>
  <si>
    <t>I would like to gain formal exposure to variant interpretation and gene-disease validity curation. I would also like to add to the ClinGen goal of building a genomic knowledge base to improve patient care.</t>
  </si>
  <si>
    <t>I am open to helping with all genes and diseases.</t>
  </si>
  <si>
    <t>Niroshi Senaratne</t>
  </si>
  <si>
    <t>University of California, Los Angeles</t>
  </si>
  <si>
    <t>niroshi.senaratne@gmail.com</t>
  </si>
  <si>
    <t>Yes, having worked on constitutional chromosomal microarrays during my fellowship (referred for a variety of indications including autism and other neurodevelopmental disorders) I have often had to research novel CNVs for evidence of dosage pathogenicity.</t>
  </si>
  <si>
    <t>Dosage sensitivity (neurodevelopmental genes subgroup)</t>
  </si>
  <si>
    <t>I would like to contribute to genetic resources for our community (including myself!)</t>
  </si>
  <si>
    <t>I am particularly interested in interpretation of constitutional CNVs</t>
  </si>
  <si>
    <t>Completed ABMGG fellowship; boards pending</t>
  </si>
  <si>
    <t>Pacific time</t>
  </si>
  <si>
    <t>UNIVERSITY OF WISCONSIN</t>
  </si>
  <si>
    <t xml:space="preserve">YES. </t>
  </si>
  <si>
    <t>CG,MB</t>
  </si>
  <si>
    <t>Madhu Ouseph</t>
  </si>
  <si>
    <t>3377 Hillview Avenue, Palo Alto, CA</t>
  </si>
  <si>
    <t>mouseph@stanford.edu</t>
  </si>
  <si>
    <t>Currently involved in annotation of variants identified in NGS assays</t>
  </si>
  <si>
    <t>Myeloid Malignancy</t>
  </si>
  <si>
    <t xml:space="preserve">Contribute to better understanding of genotype-phenotype correlations </t>
  </si>
  <si>
    <t xml:space="preserve">Myeloid neoplasia related genes (I am a trained hematopathologist) </t>
  </si>
  <si>
    <t>M.D., Ph.D.</t>
  </si>
  <si>
    <t>Currently doing molecular genetic pathology fellowship</t>
  </si>
  <si>
    <t xml:space="preserve">Pacific Daylight Time (PDT) </t>
  </si>
  <si>
    <t>Janey Youngblom</t>
  </si>
  <si>
    <t>California State University, Stanislaus</t>
  </si>
  <si>
    <t>1083 El Paseo St., Turlock, CA 95380</t>
  </si>
  <si>
    <t>jyoungblom1@csustan.edu</t>
  </si>
  <si>
    <t xml:space="preserve">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t>
  </si>
  <si>
    <t>Familial Hypercholesterolemia</t>
  </si>
  <si>
    <t>Gain more knowledge about the variant curation process and be able to integrate that knowledge into the undergraduate and graduate level curriculum.  These students can then contribute to the variant curation endeavor.</t>
  </si>
  <si>
    <t>cancer and cardiovascular diseases</t>
  </si>
  <si>
    <t>I want to learn more specific details about the variant curation process and staying updated on any of the latest developments in order to train undergraduate/graduate students to participate in the variant curation process.</t>
  </si>
  <si>
    <t xml:space="preserve">PST </t>
  </si>
  <si>
    <t>Andrew Stergachis</t>
  </si>
  <si>
    <t>Brigham and Women's Hospital</t>
  </si>
  <si>
    <t>75 Francis St, Boston MA 02445</t>
  </si>
  <si>
    <t>astergachis@bwh.harvard.edu</t>
  </si>
  <si>
    <t>Involved in the Partners BioBank return of results committee where we discuss the actionability of different genes.</t>
  </si>
  <si>
    <t xml:space="preserve">Possibly </t>
  </si>
  <si>
    <t>I would like to become an active member of the curation group.</t>
  </si>
  <si>
    <t>Adult onset metabolic disorders.</t>
  </si>
  <si>
    <t>Finishing a clinical genetics fellowship this year at the Harvard Combined Residency Program</t>
  </si>
  <si>
    <t>Lalitha Venkateswaran</t>
  </si>
  <si>
    <t>Self-employed (Genomics and LifeSciences)</t>
  </si>
  <si>
    <t>Pune, India</t>
  </si>
  <si>
    <t>lalithapv19@gmail.com</t>
  </si>
  <si>
    <t>Yes! I have led a team of curators in several Genomic projects. I have worked with Blueprint Genetics and Sema4. I have conducted training and workshops on the basics of curation and scientific writing.</t>
  </si>
  <si>
    <t>I would like to learn and understand the nuances of variant classification and analysis.</t>
  </si>
  <si>
    <t>Oncogenes</t>
  </si>
  <si>
    <t>Caterina Clementi</t>
  </si>
  <si>
    <t>Celmatix, Inc.</t>
  </si>
  <si>
    <t>14 wall street</t>
  </si>
  <si>
    <t>caterina.clementi@gmail.com</t>
  </si>
  <si>
    <t>Yes, I applied the ClinGen framework to score the clinical validity of gene-condition associations in the context of reproductive conditions</t>
  </si>
  <si>
    <t>Metabolic conditions</t>
  </si>
  <si>
    <t>Gain experience</t>
  </si>
  <si>
    <t>I am interested in conditions affecting reproductive health</t>
  </si>
  <si>
    <t>EDT UTC -4</t>
  </si>
  <si>
    <t>Catherine Spellicy</t>
  </si>
  <si>
    <t>Myriad Women's Health</t>
  </si>
  <si>
    <t>233 School Rd Asheville NC 28806</t>
  </si>
  <si>
    <t>cspellic@counsyl.com</t>
  </si>
  <si>
    <t>Many hours experience with variant analysis and classification.</t>
  </si>
  <si>
    <t>Sequence Variant Interpretation</t>
  </si>
  <si>
    <t>To contribute to the effort to standardize and expand knowledge among and across laboratories/institutions.</t>
  </si>
  <si>
    <t>Sequencing Variant Interpretation or Neurodevelopmental diseases</t>
  </si>
  <si>
    <t>Julie P Taylor</t>
  </si>
  <si>
    <t xml:space="preserve">Illumina </t>
  </si>
  <si>
    <t>jtaylor1@illumina.com</t>
  </si>
  <si>
    <t>ClinGen Gene Curation is part of my role as a curation scientist at Illumina.</t>
  </si>
  <si>
    <t>Eastern European (summertime)</t>
  </si>
  <si>
    <t>Charlene Preys</t>
  </si>
  <si>
    <t>Endicott College/Genomes2People</t>
  </si>
  <si>
    <t>41 Avenue Louis Pasture Boston, MA 02115</t>
  </si>
  <si>
    <t>clpreys@bwh.harvard.edu</t>
  </si>
  <si>
    <t>TP53 or Mitochondrial (will gladly help any panel/working group) - Hereditary cancer, Hemostasis or Congenital Myopathy</t>
  </si>
  <si>
    <t xml:space="preserve">As a personal goal, I want to learn about specific diseases that people are concerned about. Larger scale, I do want to help push the scientific community forward. </t>
  </si>
  <si>
    <t>Cancers and PGx</t>
  </si>
  <si>
    <t>HS diploma; Anticipated undergraduate graduation May 2020</t>
  </si>
  <si>
    <t>ET</t>
  </si>
  <si>
    <t>Edgar Ramirez</t>
  </si>
  <si>
    <t>Imagine Biotechnologies</t>
  </si>
  <si>
    <t>Paseo de la Rosita 507-A. Campestre La Rosita. Torreón, Coahuila, México. CP 27250</t>
  </si>
  <si>
    <t>e.ramirezr@hotmail.com</t>
  </si>
  <si>
    <t>I was lead scientist for variant interpretation at a clinical laboratory</t>
  </si>
  <si>
    <t>Learn more about variant interpretation</t>
  </si>
  <si>
    <t>Laura Roht</t>
  </si>
  <si>
    <t>Tartu University Hospital, Department of Clinical Genetics</t>
  </si>
  <si>
    <t>Puusepa Street 2, Tartu/Hariduse Street 6, Tallinn, Estonia</t>
  </si>
  <si>
    <t>laura.roht@kliinikum.ee</t>
  </si>
  <si>
    <t>Learn and get more experience, use this in my Phd studies and hopefully in my clinical work aswell</t>
  </si>
  <si>
    <t>Lynch syndrome as this is the subject of my PhD Studies</t>
  </si>
  <si>
    <t>UTC+3h, UTC+2h</t>
  </si>
  <si>
    <t xml:space="preserve">Donia Hany Mostafa </t>
  </si>
  <si>
    <t>Kalubya STEM School</t>
  </si>
  <si>
    <t>29 Obyda Ebn El Graah ST. Imbabah-Giza-Cairo-Egypt</t>
  </si>
  <si>
    <t>donia.1518105@stemkalubya.moe.edu.eg</t>
  </si>
  <si>
    <t xml:space="preserve">Yes, I am very interested about being in group that will help me to do many researches and will help me to be through a new experience. </t>
  </si>
  <si>
    <t>It will learn how to be accurate while doing any research. Continuous discussion on prominent topics in gene therapy and alternative therapy explored for them will be a great additional for me. And I hope it will help me to collect and interpret biological information.</t>
  </si>
  <si>
    <t>"I have a form of Parkinson disease which i do not like. My legs do not move when my brain tell them to. It is very frustrating" this sentence was said by George H.W.Bush. That inspired me and make me very interested and passionate about finding a therapy to the Parkinson disease and I am sure that ClinGen will help me to find it.</t>
  </si>
  <si>
    <t>Xin Chen</t>
  </si>
  <si>
    <t>2205 Tech Drive, Evanston, IL 60208</t>
  </si>
  <si>
    <t>chenx30nju@gmail.com</t>
  </si>
  <si>
    <t xml:space="preserve">During my PhD study, I summarized all the reported mutations of the gene SETX that were reported to cause neurodegenerative disease AOA2, generated the mutations in the budding yeast model, and experimentally verified the defects caused by the mutations. </t>
  </si>
  <si>
    <t>I am open to any opportunity.</t>
  </si>
  <si>
    <t>I would like to gain knowledge about diseases and working as a curator, apply my expertise to help the community, explore useful findings from data currently available, and make good connection between basic and translational research for my studies.</t>
  </si>
  <si>
    <t>I have broad interests. In particular, as working in a skin stem cell lab, I'm more familiar and interested in skin diseases, such as squamous cell carcinoma, and key regulators of skin, such as TP63 and chromatin remodelers.</t>
  </si>
  <si>
    <t>CDT, USA</t>
  </si>
  <si>
    <t>Survey retaken by Liz - question not originally answered.</t>
  </si>
  <si>
    <t>Survey retaken by Liz - question not originally answered</t>
  </si>
  <si>
    <t>Elaine Spector</t>
  </si>
  <si>
    <t>Kelly McGoldrick</t>
  </si>
  <si>
    <t>kmcgoldrick@ambrygenetics.com</t>
  </si>
  <si>
    <t>I am a variant curation scientist at Ambry Genetics</t>
  </si>
  <si>
    <t>Already a member of TP53 and VHL groups</t>
  </si>
  <si>
    <t>TP53, VHL</t>
  </si>
  <si>
    <t>Patricia Harper</t>
  </si>
  <si>
    <t>CHEO, Ottawa Ontario, Canada</t>
  </si>
  <si>
    <t>pharper@cheo.on.ca</t>
  </si>
  <si>
    <t>Yes, currently a member of the ClinGen Cardiomyopathy VCC</t>
  </si>
  <si>
    <t>Hereditary cancer (and/or associated genes such as TP53)</t>
  </si>
  <si>
    <t>Contributing to scientific literature of genetic variants to improve patient care</t>
  </si>
  <si>
    <t>Hereditary cancer syndrome genes</t>
  </si>
  <si>
    <t xml:space="preserve">Rasha hekal </t>
  </si>
  <si>
    <t xml:space="preserve">STEM GHARBIYA </t>
  </si>
  <si>
    <t xml:space="preserve">Kom Hamada El behira </t>
  </si>
  <si>
    <t>rasha.hekal.152003@gmail.com</t>
  </si>
  <si>
    <t>ClinGen conference advertisements (i.e. booth, workshop, presentation), The clinicalgenome.org website, Facebook</t>
  </si>
  <si>
    <t>No I didn't have but I have a lot of information.</t>
  </si>
  <si>
    <t xml:space="preserve">Yes I am very interested to join this group. </t>
  </si>
  <si>
    <t>I would like to gain experience and a something can help me in my CV.</t>
  </si>
  <si>
    <t xml:space="preserve">No .there are not. </t>
  </si>
  <si>
    <t>Nathaniel Jue</t>
  </si>
  <si>
    <t>California State University, Monterey Bay</t>
  </si>
  <si>
    <t>100 Campus Ctr., Seaside, CA 93955</t>
  </si>
  <si>
    <t>njue@csumb.edu</t>
  </si>
  <si>
    <t>De novo genome annotation</t>
  </si>
  <si>
    <t>Develop course-based research experience for undergraduates on contributing to ClinGen</t>
  </si>
  <si>
    <t>GACI</t>
  </si>
  <si>
    <t>I want to improve my ability to educate students</t>
  </si>
  <si>
    <t>Pacific</t>
  </si>
  <si>
    <t xml:space="preserve">Nihal Ahmed </t>
  </si>
  <si>
    <t>Stem gharbiya</t>
  </si>
  <si>
    <t>3 El-shafey Ahmed st. From El-madina El-monawara Ard El-lwa, Giza, Egypt.</t>
  </si>
  <si>
    <t>nihalahmed087@gmail.com</t>
  </si>
  <si>
    <t>No, this is the first time for me to join something like this</t>
  </si>
  <si>
    <t xml:space="preserve">Not so interested </t>
  </si>
  <si>
    <t xml:space="preserve">To gain more experience and this is good for my CV </t>
  </si>
  <si>
    <t xml:space="preserve">Heart diseases </t>
  </si>
  <si>
    <t>Xiaoting Ma</t>
  </si>
  <si>
    <t>Boston Children's Hospital_Genetics&amp;Genomics Department</t>
  </si>
  <si>
    <t>Center for Life Science 15030.9, 3 Blackfan Circle, Boston, MA, 02115</t>
  </si>
  <si>
    <t>Xiaoting.Ma@childrens.harvard.edu</t>
  </si>
  <si>
    <t>I am open to any opportunities</t>
  </si>
  <si>
    <t>To learn the method and to practice the gene curation process, and to gain a more comprehensive understanding of clinical genetics as well as to make a contribution to the community.</t>
  </si>
  <si>
    <t>endocrinological diseases, cancer, craniofacial anomalies</t>
  </si>
  <si>
    <t>Saja El Yaacoub</t>
  </si>
  <si>
    <t>Arizona State University</t>
  </si>
  <si>
    <t>saja.alyaacoub@live.com</t>
  </si>
  <si>
    <t>I would like to get involved more in Genetic researches and to enrich my knowledge so that I can further continue to my PhD.</t>
  </si>
  <si>
    <t>G6PD</t>
  </si>
  <si>
    <t>+3h EEST</t>
  </si>
  <si>
    <t>Andrew Langlois</t>
  </si>
  <si>
    <t>Lenoir Rhyne University School of Public Health</t>
  </si>
  <si>
    <t>447 Hidden Lake Parkway, Nebo, NC 28761</t>
  </si>
  <si>
    <t>andrewlanglois001@gmail.com</t>
  </si>
  <si>
    <t>Online search</t>
  </si>
  <si>
    <t>Learn more about your work.</t>
  </si>
  <si>
    <t>All</t>
  </si>
  <si>
    <t>Brandon Chalazan</t>
  </si>
  <si>
    <t>University of British Columbia</t>
  </si>
  <si>
    <t>Apartment 3009
939 Homer Street
Vancouver, BC, CAN
V6B2W6</t>
  </si>
  <si>
    <t>brandon.chalazan@cw.bc.ca</t>
  </si>
  <si>
    <t>Yes - I have designed candidate SNP and gene panels, designed specific variant filtering criteria and commonly use ACMG / AMP / ACGS criteria.</t>
  </si>
  <si>
    <t>All inherited cardiovascular genetic conditions.  However, I want to form a Atrial Fibrillation working expert panel.</t>
  </si>
  <si>
    <t>Devising gene specific criteria for cardiovascular genetic conditions.</t>
  </si>
  <si>
    <t>I have a large interest / expertise working with most cardiovascular genes from a basic science / computational / clinical perspective.  This knowledge came by working with atrial fibrillation genes, which have multiple genes that overlap with other cardiac phenotypes.</t>
  </si>
  <si>
    <t>Resident - Medical Genetics (FRCPC)</t>
  </si>
  <si>
    <t>PDT - GMT-7</t>
  </si>
  <si>
    <t>jean-leon chong</t>
  </si>
  <si>
    <t>Apt 408, 108 Ephesus Church Rd. Chapel Hill, NC</t>
  </si>
  <si>
    <t>leon0044@gmail.com</t>
  </si>
  <si>
    <t>biochemical genetics lab director</t>
  </si>
  <si>
    <t xml:space="preserve">some experience during fellowship training </t>
  </si>
  <si>
    <t>improve patient care</t>
  </si>
  <si>
    <t>lysosomal storage disorders (or other metabolic disorders)</t>
  </si>
  <si>
    <t>biochemical genetics fellow (2016-2018) at ARUP lab</t>
  </si>
  <si>
    <t>eastern</t>
  </si>
  <si>
    <t>Terra Brannan</t>
  </si>
  <si>
    <t>15 Argonaut, Aliso Viejo, CA 92656</t>
  </si>
  <si>
    <t>tbrannan@ambrygen.com</t>
  </si>
  <si>
    <t>Yes, I have been performing variant assessment since December 2018</t>
  </si>
  <si>
    <t xml:space="preserve">Gain more expertise </t>
  </si>
  <si>
    <t>Ankita Patel</t>
  </si>
  <si>
    <t>Independent</t>
  </si>
  <si>
    <t>2222 Long Cove Ct</t>
  </si>
  <si>
    <t>aspatel1@yahoo.com</t>
  </si>
  <si>
    <t>Independent cytogenetic consultant</t>
  </si>
  <si>
    <t xml:space="preserve">Part of the CLinGen CNV </t>
  </si>
  <si>
    <t>no- can owrk on where there is need</t>
  </si>
  <si>
    <t>Keep up to date with genetics literature and contribute to the Clingen effort</t>
  </si>
  <si>
    <t>FACMG- Clinical cytogenetics</t>
  </si>
  <si>
    <t>central</t>
  </si>
  <si>
    <t>Jordan Stern</t>
  </si>
  <si>
    <t>Michigan State University</t>
  </si>
  <si>
    <t>2838 Crestscene Trl</t>
  </si>
  <si>
    <t>jordanjnstern@gmail.com</t>
  </si>
  <si>
    <t>Colleagues, The clinicalgenome.org website</t>
  </si>
  <si>
    <t xml:space="preserve">I want to understand more about how/why these genetic changes happen and be able to collaborate with other scientists </t>
  </si>
  <si>
    <t>MTHFR</t>
  </si>
  <si>
    <t>Chris Darnell</t>
  </si>
  <si>
    <t>Bluewater Diagnostic Laboratory</t>
  </si>
  <si>
    <t>221 S. Bardstown Road, Mount Washington, KY 40047</t>
  </si>
  <si>
    <t>chris.darnell@bluewaterdxlab.com</t>
  </si>
  <si>
    <t>Laboratory Technical Supervisor</t>
  </si>
  <si>
    <t>Colleagues, Suggestion from mentor</t>
  </si>
  <si>
    <t>I would like to enhance my curation skills through experience with curation of Gene-Disease Associations.</t>
  </si>
  <si>
    <t xml:space="preserve">Sally Pea </t>
  </si>
  <si>
    <t xml:space="preserve">No affiliation </t>
  </si>
  <si>
    <t xml:space="preserve">8111 Knollview Court </t>
  </si>
  <si>
    <t>spea@live.com</t>
  </si>
  <si>
    <t>Received an email</t>
  </si>
  <si>
    <t>Congenital Myopathies or Limb Girdle Dystrophies or anywhere needed</t>
  </si>
  <si>
    <t xml:space="preserve">As someone with a rare genetic disease I would like to support the cause in a meaningful way. I’m no longer able to work full time in my chosen profession so I have the time available in my schedule to help. </t>
  </si>
  <si>
    <t xml:space="preserve">Congenital Myopathies </t>
  </si>
  <si>
    <t>Sali Farhan</t>
  </si>
  <si>
    <t>Massachusetts General Hospital/Broad Institute</t>
  </si>
  <si>
    <t>sfarhan@broadinstitute.org</t>
  </si>
  <si>
    <t>Networking, Heidi Rehm</t>
  </si>
  <si>
    <t>Contributing expertise</t>
  </si>
  <si>
    <t>Neurodegenerative disease</t>
  </si>
  <si>
    <t>CCMG - in training</t>
  </si>
  <si>
    <t xml:space="preserve">Julie Kim </t>
  </si>
  <si>
    <t>NHGRI</t>
  </si>
  <si>
    <t>6700B Rockledge Dr. Bethesda, MD 20817</t>
  </si>
  <si>
    <t>serin.kim@nih.gov</t>
  </si>
  <si>
    <t>Scientific Program Analyst at NHGRI</t>
  </si>
  <si>
    <t>working as a ClinGen program analyst</t>
  </si>
  <si>
    <t>Cardiomyopathy, Brain Malformations, hearing loss</t>
  </si>
  <si>
    <t xml:space="preserve">As a program analyst for ClinGen, I would love to learn more about the specifics of curation. </t>
  </si>
  <si>
    <t xml:space="preserve">I am particularly interested in the Hereditary Cancer and Neurodevelopmental disorders. I am also open to other areas.  </t>
  </si>
  <si>
    <t xml:space="preserve">eastern timezone </t>
  </si>
  <si>
    <t>Jamie Maciaszek</t>
  </si>
  <si>
    <t>St. Jude Children's Research Hospital</t>
  </si>
  <si>
    <t>262 Danny Thomas Place, Mail Stop 1170, Memphis, TN 38105</t>
  </si>
  <si>
    <t>jamie.maciaszek@stjude.org</t>
  </si>
  <si>
    <t>Suggestion from mentor, ClinGen affiliated emails and/or newsletters</t>
  </si>
  <si>
    <t>working on SJFAMILY study to curate variants in suspected cases of hereditary cancer</t>
  </si>
  <si>
    <t>Myeloid Malignancy, Hereditary Cancer</t>
  </si>
  <si>
    <t>I currently curate variants as part of research studies. I would like to use mu current skills to aid the community and learn from more experienced experts.</t>
  </si>
  <si>
    <t>pediatric cancer</t>
  </si>
  <si>
    <t>CST</t>
  </si>
  <si>
    <t>Olivier Bluteau</t>
  </si>
  <si>
    <t>APHP</t>
  </si>
  <si>
    <t>Hôpital Universitaire Pitié Salpêtrière - CGMC. 
Bâtiment de Pharmacie. 
47/83 Bd de L'Hôpital. 
75651 PARIS Cedex 13
FRANCE</t>
  </si>
  <si>
    <t>olivier.bluteau@aphp.fr</t>
  </si>
  <si>
    <t>Familial Hypercholesterolemia Variant Curation Expert Panel</t>
  </si>
  <si>
    <t>Genes related to Familial Hypercholesterolemia</t>
  </si>
  <si>
    <t>Paris, France CEST</t>
  </si>
  <si>
    <t>Alexandra Miller</t>
  </si>
  <si>
    <t>miller.alexandra@mayo.edu</t>
  </si>
  <si>
    <t>FH VCEP</t>
  </si>
  <si>
    <t>Improving my variant curation skills</t>
  </si>
  <si>
    <t>Familial Hypercholesterolemia (LDLR, APOB,  PCSK9)</t>
  </si>
  <si>
    <t>Zonggao Shi</t>
  </si>
  <si>
    <t>St Jude Children's Research Hospital</t>
  </si>
  <si>
    <t>262 Danny Thomas Place, Memphis, TN 38105</t>
  </si>
  <si>
    <t>zshi1@stjude.org</t>
  </si>
  <si>
    <t>Networking, Colleagues, The clinicalgenome.org website</t>
  </si>
  <si>
    <t xml:space="preserve">Yes, currently working as an analyst for the manual review of variants and a member of our somatic cancer variant pathogenicity committee in St Jude Children's Clinical Genomics Team. </t>
  </si>
  <si>
    <t>Yes, Somatic Cancer Pediatric Taskforce would be a good match</t>
  </si>
  <si>
    <t>To better the variant analysis community and precision medicine in general</t>
  </si>
  <si>
    <t>Genes related to brain tumors and soft tissue tumors</t>
  </si>
  <si>
    <t>Linlin Zhang</t>
  </si>
  <si>
    <t>The Third Affiliated Hospital of Zhengzhou University</t>
  </si>
  <si>
    <t>7 Kangfu Qian Street, Zhengzhou, Henan, China</t>
  </si>
  <si>
    <t>linlinzhang277@gmail.com</t>
  </si>
  <si>
    <t>ClinGen conference advertisements (i.e. booth, workshop, presentation), Networking, Colleagues</t>
  </si>
  <si>
    <t>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t>
  </si>
  <si>
    <t>Dosage Sensitivity Working Group  or Variant Curation Expert Panels in Phenylketonuria</t>
  </si>
  <si>
    <t>I want to do dosage sensitivity and variant pathogenicity curation work.</t>
  </si>
  <si>
    <t>Dosage Sensitivity and Phenylketonuria(PAH gene)</t>
  </si>
  <si>
    <t>Beijing</t>
  </si>
  <si>
    <t>Marco Montes de Oca</t>
  </si>
  <si>
    <t>The University of Melbourne</t>
  </si>
  <si>
    <t>40 Koornang Rd, Carnegie, Melbourne, VIC, Australia</t>
  </si>
  <si>
    <t>montesm@student.unimelb.edu.au</t>
  </si>
  <si>
    <t>I am interested in the following working groups:
- Brain Malformations Variant Curation Expert Panel
- Mitochondrial Diseases Gene Curation Expert Panel</t>
  </si>
  <si>
    <t>I am currently studying a Master of Science (Bioinformatics) and I am interested in becoming a Biocurator in the long-term. Volunteering with ClinGen could be a good opportunity to gain curation experience.</t>
  </si>
  <si>
    <t>+10</t>
  </si>
  <si>
    <t>Indegene</t>
  </si>
  <si>
    <t xml:space="preserve">Av. Rio Branco, 148. </t>
  </si>
  <si>
    <t xml:space="preserve">Yes, I work in a clinical laboratory with NGS panels </t>
  </si>
  <si>
    <t>Cancer, lung cancer, Hereditary cancer, cardiomyopathy, TP53, colorectal cancer, genitourinary tract cancer</t>
  </si>
  <si>
    <t>Increase curation skills</t>
  </si>
  <si>
    <t>Lung cancer</t>
  </si>
  <si>
    <t>UTC/GMT -3 hours</t>
  </si>
  <si>
    <t>Alex Gout</t>
  </si>
  <si>
    <t>alex.gout@stjude.org</t>
  </si>
  <si>
    <t>somatic cancer working group - pediatric</t>
  </si>
  <si>
    <t>Enhance my understanding as to the effects of germline and somatic variants on pediatric cancer patients</t>
  </si>
  <si>
    <t>American CDT</t>
  </si>
  <si>
    <t>Kim Phuong Tong</t>
  </si>
  <si>
    <t>Former Research Supervisor, University of MD</t>
  </si>
  <si>
    <t>1930 Stomeleaf Dr Tyler, TX 75703</t>
  </si>
  <si>
    <t>ktongpotter@yahoo.com</t>
  </si>
  <si>
    <t>Toni Pollin, PhD</t>
  </si>
  <si>
    <t>Return to science.  Giving back.</t>
  </si>
  <si>
    <t>Food allergy</t>
  </si>
  <si>
    <t>Heather Harris</t>
  </si>
  <si>
    <t>Ancestry</t>
  </si>
  <si>
    <t>3133 Texas St Oakland, CA, 94602</t>
  </si>
  <si>
    <t>heatherkharris1@gmail.com</t>
  </si>
  <si>
    <t>Conference</t>
  </si>
  <si>
    <t xml:space="preserve">Limited experience with creating variant descriptions for lab report writing. </t>
  </si>
  <si>
    <t xml:space="preserve">Contribute to the genetics community and play a role in publicly available knowledge/resources that may lead to better patient care. I’d also like to learn and grow professionally. </t>
  </si>
  <si>
    <t>Certified genetic counselor</t>
  </si>
  <si>
    <t>Pacific standard time</t>
  </si>
  <si>
    <t>C. Anwar A. Chahal</t>
  </si>
  <si>
    <t>3400 Spruce Street, Philadelphia, PA 19104</t>
  </si>
  <si>
    <t>anwar.chahal@uphs.upenn.edu</t>
  </si>
  <si>
    <t>Clinician Scientist, EP and Inherited CV Diseases, in final year clinical EP Fellowship</t>
  </si>
  <si>
    <t>ASHG 2019, Colleagues, Suggestion from mentor</t>
  </si>
  <si>
    <t>Not curation, experience in geneomics (PhD, American Heart Association)</t>
  </si>
  <si>
    <t>Congenital myopathies, Cardiomyopathy* (these are my areas of expertise/interest)</t>
  </si>
  <si>
    <t>Contribute to the field, become a better clinican academic</t>
  </si>
  <si>
    <t>Cardiomyopathies, channelopathies, sudden death syndromes (including SCD, SUDS, SIDS, SUDEP)</t>
  </si>
  <si>
    <t>Fellowship in Inherited CV Diseases from Barts/University College London</t>
  </si>
  <si>
    <t>Eastern Daylight Time</t>
  </si>
  <si>
    <t>Kaitlin Lenhart</t>
  </si>
  <si>
    <t>University of Wisconsin - Madison</t>
  </si>
  <si>
    <t>465 Henry Mall, HMS-411, Madison WI, 53706</t>
  </si>
  <si>
    <t>kaitlin.lenhart@slh.wisc.edu</t>
  </si>
  <si>
    <t>Contribute my background expertise to the ClinGen community</t>
  </si>
  <si>
    <t>Congenital myopathies, neuromuscular disorders</t>
  </si>
  <si>
    <t>ABMGG Board-Eligible</t>
  </si>
  <si>
    <t>YANYI YAO</t>
  </si>
  <si>
    <t>Brigham and Women's hospital</t>
  </si>
  <si>
    <t>259 kent street</t>
  </si>
  <si>
    <t>yaoyanyi@hotmail.com</t>
  </si>
  <si>
    <t>I attended Interpreting Genomes for Rare Disease 2019.</t>
  </si>
  <si>
    <t xml:space="preserve">Limb Girdle Muscular Dystrophy </t>
  </si>
  <si>
    <t>Learn how to curate a gene as well as how to interpretate variants.</t>
  </si>
  <si>
    <t>EDT UTC -4 hours</t>
  </si>
  <si>
    <t>Ikeoluwa Osei-Owusu</t>
  </si>
  <si>
    <t>Johns Hopkins University School of Medicine</t>
  </si>
  <si>
    <t>733 N Broadway, MRB 515, Baltimore MD 21205</t>
  </si>
  <si>
    <t>ikeoluwa@jhmi.edu</t>
  </si>
  <si>
    <t>ASHG 2018</t>
  </si>
  <si>
    <t xml:space="preserve">My PhD thesis has required the need to associate genes found to be deleterious in whole genome sequence analyses with known diseases. Thereby, I am familiar with databases such as ClinVar, Online Mendelian Inheritance in Man (OMIM), Development Disorder Genotype - Phenotype Database (DDG2P), and Simons Foundation Autism Research Initiative (SFARI). In addition, I have presented papers on the use of in silico algorithms as a ACMG variant interpretation criteria and its implications on ClinVar submissions. </t>
  </si>
  <si>
    <t>Neurodevelopmental Dosage Sensitivity Working Group; Brain Malformations Gene Curation Expert Panel; Brain Malformations Variant Curation Expert Panel; Pediatric Actionability Working Group</t>
  </si>
  <si>
    <t xml:space="preserve">I would like to strengthen my knowledge of the process of determining variant/gene association with disease. </t>
  </si>
  <si>
    <t>Developmental and psychiatric disorders in children and adults</t>
  </si>
  <si>
    <t>Daniela Martiniuc</t>
  </si>
  <si>
    <t>UC Davis Comprehensive Cancer Center</t>
  </si>
  <si>
    <t>2501 X street, building 30, Sacramento, CA 95817</t>
  </si>
  <si>
    <t>dmartiniuc@ucdavis.edu</t>
  </si>
  <si>
    <t xml:space="preserve">presented at NorCal GC conference </t>
  </si>
  <si>
    <t>I have no experience with curation</t>
  </si>
  <si>
    <t xml:space="preserve">1) Learn about variant curation 2) Contribute to this very important field </t>
  </si>
  <si>
    <t>In general, hereditary cancer (my sub-specialty) but am interested in any hereditary cancer risk genes</t>
  </si>
  <si>
    <t>bullet points 1, 2, 3, and lastly, 8</t>
  </si>
  <si>
    <t xml:space="preserve">LCGC </t>
  </si>
  <si>
    <t xml:space="preserve">pacific </t>
  </si>
  <si>
    <t>Emilie Lalonde</t>
  </si>
  <si>
    <t>Children's Hospital of Philadelphia</t>
  </si>
  <si>
    <t>3500 Civic Center Blvd</t>
  </si>
  <si>
    <t>lalondee@email.chop.edu</t>
  </si>
  <si>
    <t>Yes within CHOP/Penn labs for new test design and/or standard variant interpretation</t>
  </si>
  <si>
    <t>Somatic cancer WG, hereditary cancer EP, RASopathy EP, Myeloid Malignancy EP, dosage hereditary cancer WG, others as needed</t>
  </si>
  <si>
    <t>Help curate genes and/or variants for the broader community; network with other genetic professionals</t>
  </si>
  <si>
    <t xml:space="preserve">Somatic and/or hereditary cancer; primary immunodeficiency; </t>
  </si>
  <si>
    <t>ABMGG LGG board eligible (results pending)</t>
  </si>
  <si>
    <t>Elizabeth Ewen</t>
  </si>
  <si>
    <t>Agilent</t>
  </si>
  <si>
    <t>403 Prudden Lane Orange, CT 06477</t>
  </si>
  <si>
    <t>elizabeth.ewen@agilent.com</t>
  </si>
  <si>
    <t>ASHG 2019, Networking, Colleagues</t>
  </si>
  <si>
    <t>Helping customers find clinically relevant/pathogenic variants</t>
  </si>
  <si>
    <t>Help improve the quality of data in the database</t>
  </si>
  <si>
    <t>EST- NYC</t>
  </si>
  <si>
    <t>Brigette Brown-Kipphut</t>
  </si>
  <si>
    <t>Agilent - previously CHOP</t>
  </si>
  <si>
    <t>brigette.kipphut@agilent.com</t>
  </si>
  <si>
    <t>ASHG 2019, Colleagues</t>
  </si>
  <si>
    <t>Yes - performed variant analysis for NGS at CHOP and internally at Agilent</t>
  </si>
  <si>
    <t xml:space="preserve">assist with variant analysis to help make a difference in a patient’s life </t>
  </si>
  <si>
    <t xml:space="preserve">Pediatric </t>
  </si>
  <si>
    <t>KC Vavra</t>
  </si>
  <si>
    <t>Agilent Technologies</t>
  </si>
  <si>
    <t>kc.vavra@agilent.com</t>
  </si>
  <si>
    <t>Variant curation in tumor/normal matched samples in ovarian cancer for a private database. Currently assisting customers or Agilent with various curation databases and understanding of curated variants.</t>
  </si>
  <si>
    <t>Chisato Yamasaki</t>
  </si>
  <si>
    <t>Osaka Univ., Japan</t>
  </si>
  <si>
    <t>cyamasak@eth.med.osaka-u.ac.jp</t>
  </si>
  <si>
    <t>ASHG 2019</t>
  </si>
  <si>
    <t>H-inv</t>
  </si>
  <si>
    <t>Beth Stronach</t>
  </si>
  <si>
    <t>University of Pittsburgh</t>
  </si>
  <si>
    <t>6016 Bryant St</t>
  </si>
  <si>
    <t>stronach@pitt.edu</t>
  </si>
  <si>
    <t>Not formally, but as a practicing basic research scientist for over a decade, and a molecular biologist and developmental geneticist by training, I could be useful.</t>
  </si>
  <si>
    <t>RASopathy, neurodevelopmental, or myopathy groups</t>
  </si>
  <si>
    <t xml:space="preserve">educate myself and contribute to knowledge base </t>
  </si>
  <si>
    <t>-4 EDT USA</t>
  </si>
  <si>
    <t>Eileen Chen</t>
  </si>
  <si>
    <t>Singapore General Hospital</t>
  </si>
  <si>
    <t>Academia, 20 College Road, Singapore 169856</t>
  </si>
  <si>
    <t>eileen.chen.x.q@sgh.com.sg</t>
  </si>
  <si>
    <t xml:space="preserve">No, only minimal training. </t>
  </si>
  <si>
    <t>Yes. Somatic Cancer Working Group as the first choice.</t>
  </si>
  <si>
    <t>Upgrade my skills in variant curation and keep updated in the field</t>
  </si>
  <si>
    <t>CRC, Lung caner, melanoma, GIST</t>
  </si>
  <si>
    <t>Jennifer Sloan</t>
  </si>
  <si>
    <t>10 Center Dr. Bldg 10 Room 7N248B</t>
  </si>
  <si>
    <t>jsloan@mail.nih.gov</t>
  </si>
  <si>
    <t>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t>
  </si>
  <si>
    <t>OTC</t>
  </si>
  <si>
    <t>To help the genetics community with variant interpretation</t>
  </si>
  <si>
    <t>methylmalonic acidemia and cobalamin disorders, propionic acidemia</t>
  </si>
  <si>
    <t>CGC and took Clinical Molecular boards 8/19</t>
  </si>
  <si>
    <t>Vasiliki Rahimzadeh</t>
  </si>
  <si>
    <t>1215 Welch rd modular A, Stanford CA 95305</t>
  </si>
  <si>
    <t>vrahim@stanford.edu</t>
  </si>
  <si>
    <t xml:space="preserve">Postdoctoral fellow </t>
  </si>
  <si>
    <t xml:space="preserve">No, but have a basic theoretical background of genomic/genetic science </t>
  </si>
  <si>
    <t xml:space="preserve">Yes, pediatric cancer or rare genetic disease </t>
  </si>
  <si>
    <t>Learn the processes of accurate variant  curation, classification and interpretation for pathogenicity</t>
  </si>
  <si>
    <t xml:space="preserve">Pediatric cancer and rare genetic disease </t>
  </si>
  <si>
    <t>Guadalupe Carvajal</t>
  </si>
  <si>
    <t>KGI</t>
  </si>
  <si>
    <t>716 Valencia Avenue</t>
  </si>
  <si>
    <t>gcarvajal18@students.kgi.edu</t>
  </si>
  <si>
    <t>Very basic work done in class</t>
  </si>
  <si>
    <t xml:space="preserve">Learn how to do variant interpretation and how to use in silico models and population databases. </t>
  </si>
  <si>
    <t>I am interested in cancer.</t>
  </si>
  <si>
    <t>Is part of my graduate coursework.</t>
  </si>
  <si>
    <t xml:space="preserve">Pacific Daylight Time </t>
  </si>
  <si>
    <t>Liang Guo</t>
  </si>
  <si>
    <t>CVPath Institute</t>
  </si>
  <si>
    <t>19 Firstfield Road, Gaithersburg, MD 20878</t>
  </si>
  <si>
    <t>lguo@cvpath.org</t>
  </si>
  <si>
    <t>Yes, curation of hypertrophic cardiomyopathy</t>
  </si>
  <si>
    <t>Cardiovascular working group</t>
  </si>
  <si>
    <t>Contribute to Cardiovascular work group</t>
  </si>
  <si>
    <t>Familial Hypercholesterolemia Variants and Cardiomyopathy variants</t>
  </si>
  <si>
    <t>Sha Tang</t>
  </si>
  <si>
    <t>Wuxi NextCode</t>
  </si>
  <si>
    <t>stang@wuxinextcode.cm</t>
  </si>
  <si>
    <t>Yes, my previous work at Ambry Genetics involved development clinical validity scheme and I am experienced in variant classifications.</t>
  </si>
  <si>
    <t>Intellectual Disability and Autism, Mitochondrial Diseases</t>
  </si>
  <si>
    <t>Learning and contributing.</t>
  </si>
  <si>
    <t>Mitochondrial disease, neurodevelopmental disorders, esp. autism</t>
  </si>
  <si>
    <t>Patrick Forny</t>
  </si>
  <si>
    <t>University Children's Hospital Zurich</t>
  </si>
  <si>
    <t>patrick.forny@kispi.uzh.ch</t>
  </si>
  <si>
    <t>Gene-Disease Validity, Variant Pathogenicity</t>
  </si>
  <si>
    <t>methylmalonic aciduria or inborn errors of metabolism in general</t>
  </si>
  <si>
    <t>Central European Time</t>
  </si>
  <si>
    <t>Ximena Bonilla</t>
  </si>
  <si>
    <t>ETHZ</t>
  </si>
  <si>
    <t>Biomedical informatics, department of computer sciences.CAB building F52.2
Universitätstrasse, 6
8006 Zurich, Switzerland</t>
  </si>
  <si>
    <t>ximena.bonilla@inf.ethz.ch</t>
  </si>
  <si>
    <t>Regarding "Variant pathogenicity", I carried out variant pathogenicity assessments for Mendelian disease routinely during my PhD, and have worked as a variant interpretation specialist at a medical genetics department (Universidad Autónoma de Nuevo León, Mexico). Regarding "dosage sensitivity", I am currently working on the effect of mitochondria mutation burden in metabolic disorders (non-mitochondrial disorders). Regarding "gene-disease validity", I have medical training and although I am not a clinical geneticist I have ample experience in genotype/phenotype associations and dissection of complex phenotypes and their link to genetics.</t>
  </si>
  <si>
    <t>Understanding the effect of as many genetic variants as possible to inform research efforts in treatments and understanding of pathomolecular mechanisms. To increase the quality of genetic counselling as well.</t>
  </si>
  <si>
    <t xml:space="preserve">metabolic Mendelian disorders, somatic mosaicism </t>
  </si>
  <si>
    <t>UTC +1</t>
  </si>
  <si>
    <t>Steve Waring</t>
  </si>
  <si>
    <t>Essentia Institute of Rural Health</t>
  </si>
  <si>
    <t>502 E 2nd St, 6AV-2, Duluth MN 55805</t>
  </si>
  <si>
    <t>stephen.waring@essentiahealth.org</t>
  </si>
  <si>
    <t>Colleagues, ClinGen affiliated emails and/or newsletters, The clinicalgenome.org website</t>
  </si>
  <si>
    <t>Genetic epidemiology research involving gene-gene and gene-env interactions; PGx</t>
  </si>
  <si>
    <t>Open to assignment based on greatest need</t>
  </si>
  <si>
    <t>Contribute to the future of medicine and transform clinical practice.</t>
  </si>
  <si>
    <t>Alzheimer’s and Non-Alzheimer’s Dementia</t>
  </si>
  <si>
    <t>1641 Metropolitan Ave Apt 3A</t>
  </si>
  <si>
    <t>Lise Graversen</t>
  </si>
  <si>
    <t xml:space="preserve">The Royal Melbourne Hospital </t>
  </si>
  <si>
    <t>lisega@rm.dk</t>
  </si>
  <si>
    <t>Insight mismatch repair</t>
  </si>
  <si>
    <t xml:space="preserve">I would like to use the software to curate variants for the Insight database </t>
  </si>
  <si>
    <t xml:space="preserve">Lynch syndrome </t>
  </si>
  <si>
    <t>+11</t>
  </si>
  <si>
    <t>Ke Yu</t>
  </si>
  <si>
    <t>zhejiang Biosan Biochemical Technologies Co.,Ltd</t>
  </si>
  <si>
    <t>yukefg@163.com</t>
  </si>
  <si>
    <t>CST (UTC +8)</t>
  </si>
  <si>
    <t>JELENA BREZO</t>
  </si>
  <si>
    <t>1447 E KRISTIANNA CIR, SALT LAKE CITY, UT</t>
  </si>
  <si>
    <t>dnalphabet@gmail.com</t>
  </si>
  <si>
    <t>As a lab director, I reviewed interpretations for  a number of phenotypes</t>
  </si>
  <si>
    <t>No specific interest</t>
  </si>
  <si>
    <t>Help community</t>
  </si>
  <si>
    <t>PHarmacogenomics, cancers, neurodevelopmental, carrier/recessive</t>
  </si>
  <si>
    <t>MDT</t>
  </si>
  <si>
    <t>Qing Zhang</t>
  </si>
  <si>
    <t>Fred Hutchinson Cancer Research Center</t>
  </si>
  <si>
    <t>qz1seattle@yahoo.com</t>
  </si>
  <si>
    <t>to gain deeper experience</t>
  </si>
  <si>
    <t>cancer related</t>
  </si>
  <si>
    <t>Cassandra Barrett</t>
  </si>
  <si>
    <t>University of Utah</t>
  </si>
  <si>
    <t>564 Hollywood Ave, Salt Lake City UT 84105</t>
  </si>
  <si>
    <t>cas9bar@gmail.com</t>
  </si>
  <si>
    <t>PhD in genetic engineering; currently in a genetic counseling graduate program</t>
  </si>
  <si>
    <t>NSGC Conference 2019</t>
  </si>
  <si>
    <t>I've done literature research before related to the effects of specific epigenetic modifiers on phenotype, but that's about it.</t>
  </si>
  <si>
    <t>I'd like to keep my research and analytical skills from my PhD fresh while applying them to medical genetics, which is a new context for me. I'm interested in possibly working in variant curation after finishing my GCMS and would like to see what it's like. I'm also just interested in contributing to the field! I really value professional service and think it's important to contribute to the quality of our shared resources.</t>
  </si>
  <si>
    <t xml:space="preserve">My PhD work was on chromatin remodelers and histone modifiers. I'm particularly interested in neurological and psychiatric disorders as well as genes encoding epigenetic regulators. </t>
  </si>
  <si>
    <t>Mountain</t>
  </si>
  <si>
    <t>Punithavathi Sundaramurthy</t>
  </si>
  <si>
    <t>San Jose State University</t>
  </si>
  <si>
    <t>PunitSundar95@gmail.com</t>
  </si>
  <si>
    <t>I read an article which mentioned ClinGen</t>
  </si>
  <si>
    <t>I would like to expand my knowledge in scientific literature by curating information related to genetics. I'm a Bioinformatics graduate student, so I want to help in any way I can.</t>
  </si>
  <si>
    <t>Pacific Standard Time</t>
  </si>
  <si>
    <t>Madhulatha Pantrangi</t>
  </si>
  <si>
    <t>PrevntionGenetics</t>
  </si>
  <si>
    <t>3800 S. Business Park Avenue</t>
  </si>
  <si>
    <t>madhu.pantrangi@preventiongenetics.com</t>
  </si>
  <si>
    <t>ASHG Conference 2019, ACMG Conference 2019, ClinGen conference advertisements (i.e. booth, workshop, presentation), Networking, Colleagues, The clinicalgenome.org website</t>
  </si>
  <si>
    <t xml:space="preserve">Peroxisomal Disorders </t>
  </si>
  <si>
    <t xml:space="preserve">Help interpret genes and variants that impacts human health care and gain knowledge about the clinical relevance of the genes and variants  </t>
  </si>
  <si>
    <t>I am flexible but I have diagnostic specialization in human ocular genetics</t>
  </si>
  <si>
    <t>Celeste Bento</t>
  </si>
  <si>
    <t>Centro Hospitalar e Universitário de Coimbra, Portugal</t>
  </si>
  <si>
    <t>Hospital Pediátrico</t>
  </si>
  <si>
    <t>celeste.bento@chuc.min-saude.pt</t>
  </si>
  <si>
    <t xml:space="preserve">I need to apply the ACMG rules in my everyday work </t>
  </si>
  <si>
    <t>I'm in the Core Task Team of ClinGen Haemoglobinopathy EP</t>
  </si>
  <si>
    <t>Learn what I need as part of the Core Task Team of ClinGen Haemoglobinopathy EP</t>
  </si>
  <si>
    <t>Haemoglobinopathies, Congenital Erythrocytosis</t>
  </si>
  <si>
    <t>ErCLG</t>
  </si>
  <si>
    <t>Lisbon, Portugal</t>
  </si>
  <si>
    <t>Gokce Toruner</t>
  </si>
  <si>
    <t>UT MD Anderson Cancer Center</t>
  </si>
  <si>
    <t>1515 Holcombe Avenue
Unit 350</t>
  </si>
  <si>
    <t>gatoruner@mdanderson.org</t>
  </si>
  <si>
    <t>ASHG Conference 2019</t>
  </si>
  <si>
    <t>Adult Solid Tumors</t>
  </si>
  <si>
    <t>MD, PhD</t>
  </si>
  <si>
    <t>Cental Standard Time, Houston TX</t>
  </si>
  <si>
    <t>rekha aaron</t>
  </si>
  <si>
    <t>christian medical college</t>
  </si>
  <si>
    <t>ot block, 5 th floor,cmc velllore</t>
  </si>
  <si>
    <t>rekha.a@cmcvellore.ac.in</t>
  </si>
  <si>
    <t xml:space="preserve">My work regularly involved in variant analysis, interpretation &amp; reporting </t>
  </si>
  <si>
    <t>mitochondrial ,neurodevelopmental disorders,myopathies</t>
  </si>
  <si>
    <t>Be a part of this consortium to contribute as well as learn about variant interpretation and its relevance which would be used for patient care and service.</t>
  </si>
  <si>
    <t>Neurological/neuromuscular diseases,Mitochondrial,inborn errors of metabolism</t>
  </si>
  <si>
    <t>none</t>
  </si>
  <si>
    <t>IST UTC+5.30h</t>
  </si>
  <si>
    <t>Larissa Waldman</t>
  </si>
  <si>
    <t xml:space="preserve">1504-386 Yonge St. </t>
  </si>
  <si>
    <t>larissa.waldman@gmail.com</t>
  </si>
  <si>
    <t>Hereditary cancer, myeloid malignancy, pediatric somatic</t>
  </si>
  <si>
    <t>Contribute to variant curation efforts, maintain this skill set (not currently working in a lab role)</t>
  </si>
  <si>
    <t xml:space="preserve">Pediatric oncology </t>
  </si>
  <si>
    <t>Prasad Rao Kopparapu</t>
  </si>
  <si>
    <t>Vanderbilt University Medical Center</t>
  </si>
  <si>
    <t>2140 Acklen Ave Apt 16</t>
  </si>
  <si>
    <t>prasaad82@gmail.com</t>
  </si>
  <si>
    <t>Variant Curation Expert Panels-TP53*, Somatic Cancer Working Group-Pediatric,</t>
  </si>
  <si>
    <t>be well versed with variant interpretation</t>
  </si>
  <si>
    <t>not really</t>
  </si>
  <si>
    <t>CST (UTC-6)</t>
  </si>
  <si>
    <t>Wellington Regional Genetics Laboratory</t>
  </si>
  <si>
    <t>Wellington Hospital</t>
  </si>
  <si>
    <t>ClinGen affiliated emails and/or newsletters, The clinicalgenome.org website</t>
  </si>
  <si>
    <t xml:space="preserve">I am actively involved in variant curation in a diagnostic genomic laboratory </t>
  </si>
  <si>
    <t>I am a diagnostic genomics scientist and would like to be involved with ClinGen and contribute to promoting enhanced patient care. I am also motivated due to personal experience with genetic disorders.</t>
  </si>
  <si>
    <t>Intellectual Disability and Autism, Mitochondrial Diseases and/or Cardiomyopathy</t>
  </si>
  <si>
    <t>MHGSA in Diagnostic Genomics</t>
  </si>
  <si>
    <t>NZDT</t>
  </si>
  <si>
    <t>Mark Shlapobersky</t>
  </si>
  <si>
    <t>Barzilai Medical Center</t>
  </si>
  <si>
    <t>marks@bmc.gov.il</t>
  </si>
  <si>
    <t>Director of Pathology lab</t>
  </si>
  <si>
    <t>AMP Conference 2019</t>
  </si>
  <si>
    <t>I was a curator for Pathway Genomics and Human Longevity</t>
  </si>
  <si>
    <t>To contribute to ClinGen and experience</t>
  </si>
  <si>
    <t>IDT</t>
  </si>
  <si>
    <t>Marie-Luise Brennan</t>
  </si>
  <si>
    <t>ACMG / NHGRI</t>
  </si>
  <si>
    <t>7101 Wisconsin Ave, #1101, Bethesda, MD 20814</t>
  </si>
  <si>
    <t>mbrennan@acmg.net</t>
  </si>
  <si>
    <t>Colleagues, Educational coursework</t>
  </si>
  <si>
    <t xml:space="preserve">No prior experience with curation. </t>
  </si>
  <si>
    <t>Low penetrance/risk alleles; gene curation (monogenic diabetes; any); dosage sens (neurodev or recurrent regions). Preferences listed, happy to join where needed.</t>
  </si>
  <si>
    <t>Understand the process better; and contribute to curation</t>
  </si>
  <si>
    <t xml:space="preserve">Epigenetics/modifiers/adult care. </t>
  </si>
  <si>
    <t>Shawn Gessay</t>
  </si>
  <si>
    <t xml:space="preserve">UT Health San Antonio </t>
  </si>
  <si>
    <t>326 Madison St Apt 8 San Antonio TX 78204</t>
  </si>
  <si>
    <t>gessays75@gmail.com</t>
  </si>
  <si>
    <t xml:space="preserve">I'm interested in learning more about variant curation processes. </t>
  </si>
  <si>
    <t xml:space="preserve">Pediatric hematology/oncology or adult neurology </t>
  </si>
  <si>
    <t>Angela Hoang</t>
  </si>
  <si>
    <t>ahoang18@students.kgi.edu</t>
  </si>
  <si>
    <t>Networking, Suggestion from mentor, Educational coursework</t>
  </si>
  <si>
    <t xml:space="preserve">Yes, I have educational experience with variant classification and gene-disease association. </t>
  </si>
  <si>
    <t xml:space="preserve">I would like to gain more curation experience outside of my education and contribute to advancing scientific knowledge </t>
  </si>
  <si>
    <t>Poornima Vijayan</t>
  </si>
  <si>
    <t xml:space="preserve">University of Toronto </t>
  </si>
  <si>
    <t xml:space="preserve">38 Grenville Street,  Toronto , Ontario </t>
  </si>
  <si>
    <t>poornima2785@gmail.com</t>
  </si>
  <si>
    <t>I am a student of medical genomics</t>
  </si>
  <si>
    <t>Gain some experience in variant curating</t>
  </si>
  <si>
    <t>Adriana Bastos Carvalho</t>
  </si>
  <si>
    <t>Federal University of Rio de Janeiro</t>
  </si>
  <si>
    <t>Av Carlos Chagas Filho 373
Bloco G, Sala G2-053, Rio de Janeiro, RJ, Brazil, 21941-902</t>
  </si>
  <si>
    <t>carvalhoab@biof.ufrj.br</t>
  </si>
  <si>
    <t>No. Although I have never worked in curation activities, I work with in vitro models to investigate variant pathogenicity.</t>
  </si>
  <si>
    <t>Cardiomyopathy Variant Curation Expert Panel</t>
  </si>
  <si>
    <t>To contribute to the advancement of clinical genomics</t>
  </si>
  <si>
    <t>Cardiovascular diseases</t>
  </si>
  <si>
    <t>UTC -3</t>
  </si>
  <si>
    <t>Megan Puckelwartz</t>
  </si>
  <si>
    <t>303 E. Superior SQ 5-511 Chicago, Il 60611</t>
  </si>
  <si>
    <t>m.puckelwartz@northwestern.edu</t>
  </si>
  <si>
    <t>I perform molecular autopsy using whole genome sequencing on sudden death subjects.  I also curate variants for cardiomyopathy subjects for research purposes.</t>
  </si>
  <si>
    <t>Aid in cardiac disease variant adjudication</t>
  </si>
  <si>
    <t>Sudden death, arrhythmia, cardiomyopathy</t>
  </si>
  <si>
    <t>Nicole Hinceman</t>
  </si>
  <si>
    <t>207 Perry Parkway, Gaithersburg, MD 20877</t>
  </si>
  <si>
    <t>nhinceman@genedx.com</t>
  </si>
  <si>
    <t>Prospective Genetic Counseling Student &amp; Variant Analyst (currently a Genetic Counseling Assistant)</t>
  </si>
  <si>
    <t>PhD in Molecular Biology, specifically developing mouse models of cancer, working in cancer clinical trials at the Institute of Cancer Research in London, UK</t>
  </si>
  <si>
    <t>Pediatric Somatic Cancer Working Group</t>
  </si>
  <si>
    <t>After a career hiatus to raise children, I would like to use my PhD in Molecular Biology to learn more about (and contribute to) to the current curation process and ACMG/AMP guidelines now that I have entered the working world of clinical genetics again</t>
  </si>
  <si>
    <t>Interested in most genes and/or diseases, but particularly interested in cancer</t>
  </si>
  <si>
    <t>Ekaterini Iordanou</t>
  </si>
  <si>
    <t>Dayton Children's Hospital</t>
  </si>
  <si>
    <t>iordanoue@childrensdayton.org</t>
  </si>
  <si>
    <t>I would like to gain curation experience and enhance patient care</t>
  </si>
  <si>
    <t>Laurie Connors</t>
  </si>
  <si>
    <t>Vanderbilt University</t>
  </si>
  <si>
    <t>Nashville, TN</t>
  </si>
  <si>
    <t>laurie.m.connors@vanderbilt.edu</t>
  </si>
  <si>
    <t>Clinical geneticist, Genetic Nurse Practitioner</t>
  </si>
  <si>
    <t>Hereditary Cancer, PTEN, VHL</t>
  </si>
  <si>
    <t>Improve access and outcomes in hereditary cancer</t>
  </si>
  <si>
    <t>PALB2, ATM, and PTEN</t>
  </si>
  <si>
    <t>Doctorate in Nursing Practice</t>
  </si>
  <si>
    <t>APNG (Advanced Practice Nurse in Genetics) AGN-BC (Advanced Genetics Nurse- Board Certified)</t>
  </si>
  <si>
    <t>central time</t>
  </si>
  <si>
    <t>Jian Zhao</t>
  </si>
  <si>
    <t>jian.zhao@aruplab.com</t>
  </si>
  <si>
    <t>I was a variant analyst at EGL Genetics before joining ARUP for LGG fellowship</t>
  </si>
  <si>
    <t>Neurodevelopmental Genes</t>
  </si>
  <si>
    <t>I am a LGG fellow at ARUP</t>
  </si>
  <si>
    <t>Tess Levy</t>
  </si>
  <si>
    <t>Mount Sinai - Seaver Autism Center</t>
  </si>
  <si>
    <t xml:space="preserve">1300 Hudson St. Hoboken NJ </t>
  </si>
  <si>
    <t>tess.levy@mssm.edu</t>
  </si>
  <si>
    <t xml:space="preserve">Interpretation of whole genome sequences for individuals with undiagnosed neurodevelopment disorders </t>
  </si>
  <si>
    <t>ASD/ID</t>
  </si>
  <si>
    <t>Be involved with gene curation</t>
  </si>
  <si>
    <t xml:space="preserve">Autism/ID : specifically - FOXP1, ADNP, SHANK3, DDX3X </t>
  </si>
  <si>
    <t xml:space="preserve">Xiaoyan Guo </t>
  </si>
  <si>
    <t>Department of Reproductive Endocrinology, Zhejiang Provincial People’s Hospital, People’s Hospital of Hangzhou Medical College</t>
  </si>
  <si>
    <t>540842557@qq.com</t>
  </si>
  <si>
    <t>Infertility</t>
  </si>
  <si>
    <t>Benjamin Clyde</t>
  </si>
  <si>
    <t>500 Chipeta Way</t>
  </si>
  <si>
    <t>benjamin.clyde@aruplab.com</t>
  </si>
  <si>
    <t>Hereditary Cancer Dosage Sensitivity Subgroup</t>
  </si>
  <si>
    <t xml:space="preserve">I would like to gain curation experience and help the medical community by providing accurate information that would help both patients and physicians. </t>
  </si>
  <si>
    <t>Hematologic malignancies and imprinting disorders!</t>
  </si>
  <si>
    <t>Mountain Time</t>
  </si>
  <si>
    <t>cynthia chow</t>
  </si>
  <si>
    <t>BC Cancer Agency</t>
  </si>
  <si>
    <t>600 west 10th ave</t>
  </si>
  <si>
    <t>cchow3@bccancer.bc.ca</t>
  </si>
  <si>
    <t>Variant Analyst for an In-house Oncopanel and Myeloid Panels</t>
  </si>
  <si>
    <t>I have 3 years experience in variant assesment/interpretation for myeloid and oncopanels.  I currently prepare and interpret for the medical staff to use to correlate with other clinical findings.</t>
  </si>
  <si>
    <t>Very excited to be a part of an external curation community to learn and share knowledge which can also be applied to the local communities</t>
  </si>
  <si>
    <t>Myeloid neoplasms and Solid tumours</t>
  </si>
  <si>
    <t>2542 Webb St, Philadelphia, PA 19125</t>
  </si>
  <si>
    <t>marcoleung@me.com</t>
  </si>
  <si>
    <t>Determining gene-disease validity and variant pathogenicity is my everyday job</t>
  </si>
  <si>
    <t>I want to help to curate some of the cancer genes that are still lacking concrete evidence.</t>
  </si>
  <si>
    <t>FACMG - Clinical Molecular Genetics</t>
  </si>
  <si>
    <t>Alaa Koleilat</t>
  </si>
  <si>
    <t>200 1st St. SW Rochester, MN 55905</t>
  </si>
  <si>
    <t>koleilat.alaa@mayo.edu</t>
  </si>
  <si>
    <t>mitochondrial disease, pediatric somatic cancer</t>
  </si>
  <si>
    <t>I would like to go through the process of curating a variant</t>
  </si>
  <si>
    <t>Thanuja Selvanayagam</t>
  </si>
  <si>
    <t xml:space="preserve">Children's Hospital of Eastern Ontario </t>
  </si>
  <si>
    <t>401 Smyth Rd, Ottawa, ON K1H 8L1</t>
  </si>
  <si>
    <t>tselvanayagam@cheo.on.ca</t>
  </si>
  <si>
    <t xml:space="preserve">Cardiomyopathy </t>
  </si>
  <si>
    <t xml:space="preserve">I am hoping to get involved in ClinGen to gain experience with gene curation particularly for dilated cardiomyopathy. </t>
  </si>
  <si>
    <t>DCM</t>
  </si>
  <si>
    <t>Shrutika Jadhav</t>
  </si>
  <si>
    <t>525 Penn Avenue, Pittsburgh, Pennsylvania</t>
  </si>
  <si>
    <t>shrutikajadhav18@gmail.com</t>
  </si>
  <si>
    <t xml:space="preserve">Brain Malformations, Intellectual Disability and Autism, Pediatric </t>
  </si>
  <si>
    <t>Gain experience, learn new skills</t>
  </si>
  <si>
    <t>Alzheimer disease, autoimmune diseases</t>
  </si>
  <si>
    <t>B.Tech in genetic engineering</t>
  </si>
  <si>
    <t>JACQUELINE BATANIAN</t>
  </si>
  <si>
    <t>SAINT LOUIS UNIVERSITY</t>
  </si>
  <si>
    <t>1465 SOUTH GRAND BLVD</t>
  </si>
  <si>
    <t>JACQUELINE.BATANIAN@HEALTH.SLU.EDU</t>
  </si>
  <si>
    <t>I used to navigate literature to determine the nature of copy number variants identified by Oligo/SNP Agilent microarray.</t>
  </si>
  <si>
    <t>Cardiovascular diseases and Pediatric cancer</t>
  </si>
  <si>
    <t>Expanding my knowledge in genes</t>
  </si>
  <si>
    <t>Constitutional and Cancer</t>
  </si>
  <si>
    <t>ACMG C</t>
  </si>
  <si>
    <t>Central time</t>
  </si>
  <si>
    <t>nj2421@cumc.columbia.edu</t>
  </si>
  <si>
    <t xml:space="preserve">Yes. I am currently a LGG fellow at Columbia. I do SOMA analysis, WES variant curation on daily bases. </t>
  </si>
  <si>
    <t>Hereditary Cancer, Brain Malformations , Somatic Cancer Pediatric</t>
  </si>
  <si>
    <t>I would like to be involved with ClinGen, gain more curation experiences and know more people in this field</t>
  </si>
  <si>
    <t>Cancer, Neurological diseases</t>
  </si>
  <si>
    <t>currently a LGG fellow</t>
  </si>
  <si>
    <t>Jaime Nagy</t>
  </si>
  <si>
    <t>200 Hawkins Dr, Iowa City, IA, 52242</t>
  </si>
  <si>
    <t>jaime-nagy@uiowa.edu</t>
  </si>
  <si>
    <t>Review and interpretation of clinical CMA cases</t>
  </si>
  <si>
    <t>Dosage Sensitivity working group</t>
  </si>
  <si>
    <t>I would like to contribute to the effort of promoting consistency of CNV interpretation across clinical laboratories. I think the ClinGen Dosage Sensitivity Map is a valuable resource when evaluating copy number changes.</t>
  </si>
  <si>
    <t>ABMGG, Clinical Cytogenetics</t>
  </si>
  <si>
    <t>Laboratory Technologist</t>
  </si>
  <si>
    <t>Gene curation (Intellectual disability &amp; Autism), Dosage Sensitivity &amp; Clinical Actionability</t>
  </si>
  <si>
    <t>As part of my efforts in ClinGen curation, I hope to help patients have an earlier and accurate diagnosis. In the process, I hope to increase my working knowledge in data analysis and variant reporting.</t>
  </si>
  <si>
    <t>ASD, Neurological disorders.</t>
  </si>
  <si>
    <t>MB (ASCP)</t>
  </si>
  <si>
    <t>UTC +3	AST Arabia Standard Time</t>
  </si>
  <si>
    <t>Kendrah Kidd</t>
  </si>
  <si>
    <t xml:space="preserve">I have attended the live Webex session training for the Gene Curation Interface (GCI). </t>
  </si>
  <si>
    <t>Wake Forest School of Medicine</t>
  </si>
  <si>
    <t xml:space="preserve">I have watched the Gene curation classifications video and understand the ClinGen Gene-Disease Validity classification system.  </t>
  </si>
  <si>
    <t>Internal Medicine - Section on Nephrology
Gray G120 Nephrology Research
Medical Center Blvd
Winston-Salem, NC 27157</t>
  </si>
  <si>
    <t xml:space="preserve">I have watched the gene curation scoring overview video and understand the basics of this framework. </t>
  </si>
  <si>
    <t>kkidd@wakehealth.edu</t>
  </si>
  <si>
    <t xml:space="preserve">I have watched the lumping and splitting tutorial and understand the process of defining the most appropriate disease entity. </t>
  </si>
  <si>
    <t xml:space="preserve">I have reviewed the interactive example powerpoints and understand the process that goes into curating different inheritance patterns. </t>
  </si>
  <si>
    <t xml:space="preserve">I have reviewed the Gene Curation Standard Operating Procedures and understand this curation process.  </t>
  </si>
  <si>
    <t>McKusick Genetics Course, Jackson Laboratory 2019</t>
  </si>
  <si>
    <t>I, (your name below), attest that I have completed all the elements of the Gene Disease Validity Training.                                            *Please sign your name below.   e.g. John Doe</t>
  </si>
  <si>
    <t>Put the date below</t>
  </si>
  <si>
    <t xml:space="preserve">Yes, I manage our Autosomal Dominant Tubulointerstitial Kidney Disease  pathogenic variant registry and have a database of variants found in families that have segregation and clinical data, as well as any literature associated with the variant.  </t>
  </si>
  <si>
    <t xml:space="preserve">I would be interested in forming one for inherited kidney diseases </t>
  </si>
  <si>
    <t>I came to look over variants in UMOD for a paper and noticed this gene had not been curated yet.  I would like to volunteer to curate mutations in UMOD and gain knowledge in curation of variants.</t>
  </si>
  <si>
    <t xml:space="preserve">Autosomal Dominant Tubulointerstitial Kidney Disease - currently known mutations in UMOD, MUC1, REN </t>
  </si>
  <si>
    <t>Joanne Adelberg</t>
  </si>
  <si>
    <t>NIH/CC</t>
  </si>
  <si>
    <t>1805 Midlothian Court</t>
  </si>
  <si>
    <t>joanneadelberg@gmail.com</t>
  </si>
  <si>
    <t>Olivia Rennie; Dec. 12, 2018</t>
  </si>
  <si>
    <t>Will work on groups with the most need-excited for the learning opportunity</t>
  </si>
  <si>
    <t>Learn more about curation and data in Newborn Screening Disorders</t>
  </si>
  <si>
    <t>Newborn Screening</t>
  </si>
  <si>
    <t>Volkan Okur, 12/12/2018</t>
  </si>
  <si>
    <t>Genetic Counselor, no CGC</t>
  </si>
  <si>
    <t>Erika Meaddough</t>
  </si>
  <si>
    <t>Clemson University</t>
  </si>
  <si>
    <t>meaddough@yahoo.com</t>
  </si>
  <si>
    <t>Mansour Zamanpoor 13/12/2018</t>
  </si>
  <si>
    <t>drug metabolizing enzymes</t>
  </si>
  <si>
    <t>Colin Ellis 12/12/18</t>
  </si>
  <si>
    <t>Vijay Ganesh</t>
  </si>
  <si>
    <t>Broad Institute; Brigham and Women's Hospital</t>
  </si>
  <si>
    <t>60 Fenwood Road, Boston, MA 02115</t>
  </si>
  <si>
    <t>vganesh@bwh.harvard.edu</t>
  </si>
  <si>
    <t>John M Shoffner MD</t>
  </si>
  <si>
    <t>Limb Girdle Muscular Dystrophy; Congenital Myopathies; Charcot-Marie Tooth</t>
  </si>
  <si>
    <t>Ny Hoang Dec12/18</t>
  </si>
  <si>
    <t>Contribute to gene curation and variant curation to improve clinical care.</t>
  </si>
  <si>
    <t>Muscular dystrophy; Congenital myopathy</t>
  </si>
  <si>
    <t>Benjamin Kang 12/12/2018</t>
  </si>
  <si>
    <t xml:space="preserve">Blueprint Genetics </t>
  </si>
  <si>
    <t xml:space="preserve">2505 3rd Ave, Suite 204
Seattle WA 98121
</t>
  </si>
  <si>
    <t>Mythily Ganapathi ; 12-12-2018</t>
  </si>
  <si>
    <t xml:space="preserve">Gain experience with variant interpretation, gene validity curation- gain a better understanding of gene-disease relationships. </t>
  </si>
  <si>
    <t xml:space="preserve">Cardiomyopathy, arrhythmias is area that I have worked in. </t>
  </si>
  <si>
    <t>Kira Dies 12/13/18</t>
  </si>
  <si>
    <t>Devon Thrush</t>
  </si>
  <si>
    <t>Ambry</t>
  </si>
  <si>
    <t>1416 Florence Ave</t>
  </si>
  <si>
    <t>dthrush@ambrygen.com</t>
  </si>
  <si>
    <t xml:space="preserve">I currently perform this type of work in my job. </t>
  </si>
  <si>
    <t>I want to contribute to these community efforts and the work is important to the field</t>
  </si>
  <si>
    <t xml:space="preserve">I currently evaluate rare disease genes, as well as hereditary cancer genes, cardio genes.  In a previous job I worked with muscular dystrophy genes.  </t>
  </si>
  <si>
    <t xml:space="preserve">Kalpana Panneerselvam </t>
  </si>
  <si>
    <t>Shiloh Martin</t>
  </si>
  <si>
    <t>1400 16th Street</t>
  </si>
  <si>
    <t>shiloh.martin@invitae.com</t>
  </si>
  <si>
    <t>I currently do gene-disease curations and variant interpretation at Invitae</t>
  </si>
  <si>
    <t>I am interested in working with an Immunology GCEP.  I don't think such a GCEP exists at this time, but I have been told that one is possibly forming, so I would be interested in joining that group once formed.</t>
  </si>
  <si>
    <t>Expand my knowledge about gene-disease curation frameworks and variant interpretation frameworks</t>
  </si>
  <si>
    <t>Immunology</t>
  </si>
  <si>
    <t>Jennifer Holle</t>
  </si>
  <si>
    <t>jennifer.holle@invitae.com</t>
  </si>
  <si>
    <t>Yes, I do variant pathogenicity curation in my job, as well as gene-disease validity curation (though I do less of this).</t>
  </si>
  <si>
    <t>Samantha Sevilla Chill</t>
  </si>
  <si>
    <t>The primary immunodeficiency group - didn't see it on the list, but I know it's upcoming</t>
  </si>
  <si>
    <t xml:space="preserve">Help with the Clinical Immunology Societies curation of primary immunodeficiency genes, network, volunteer. </t>
  </si>
  <si>
    <t>N. Inamdar</t>
  </si>
  <si>
    <t>George Jour</t>
  </si>
  <si>
    <t>NYU Langone Health</t>
  </si>
  <si>
    <t>240 east 38th street 22nd floor</t>
  </si>
  <si>
    <t>george.jour@nyulangone.org</t>
  </si>
  <si>
    <t>I did help curate an internal database during my fellowship for an inherited cancer NGS panel</t>
  </si>
  <si>
    <t>Rasopathies; hearing Loss; inherited cancers</t>
  </si>
  <si>
    <t>I would like to help curate more variants and provide a better understanding of the phenotype genotype correlations</t>
  </si>
  <si>
    <t>NF1; PTPN11</t>
  </si>
  <si>
    <t>MGP</t>
  </si>
  <si>
    <t>Emily Hansen-Kiss</t>
  </si>
  <si>
    <t>University of Texas Health Science Center at Houston, School of Dentistry</t>
  </si>
  <si>
    <t>7500 Cambridge St., Suite 4410, Houston, TX 77054</t>
  </si>
  <si>
    <t>Rodrigo Méndez</t>
  </si>
  <si>
    <t>Emily.HansenKiss@uth.tmc.edu</t>
  </si>
  <si>
    <t>No official training or experience, but clinical experience working with patients with mutations within the PTEN gene and identifying when phenotype is a good match for genotype.</t>
  </si>
  <si>
    <t>PTEN</t>
  </si>
  <si>
    <t>Gain experience with variant curation and share my experience/interest with one of my favorite genes.</t>
  </si>
  <si>
    <t>Chitra Chandrasekaran</t>
  </si>
  <si>
    <t>Texas Wesleyan University</t>
  </si>
  <si>
    <t>1201 Wesleyan, Fort Worth Texas 76105</t>
  </si>
  <si>
    <t>cchandrasekaran@txwes.edu</t>
  </si>
  <si>
    <t>Biology Professor</t>
  </si>
  <si>
    <t>Web search</t>
  </si>
  <si>
    <t>I do not have any previous experience with the activities mentioned above.</t>
  </si>
  <si>
    <t>I am interested in helping support research initiatives into the genomic basis of disease.</t>
  </si>
  <si>
    <t>My background is in the molecular and cell biology of cancer (colon cancer), with a focus on the role of tumor suppressor genes (p53, pRB, etc) in the role of intestinal cancer development; I remain very interested in the underlying genetic bases of cancer development, with a particular interest in both intestinal cancer and breast cancer.  I also have an interest in looking at the genetic causes of type II diabetes, and currently work on modeling aspects of insulin resistance in the model organism Drosophila melanogaster.</t>
  </si>
  <si>
    <t>Central Time (Central Daylight Time starting in March)</t>
  </si>
  <si>
    <t>Silke Waap</t>
  </si>
  <si>
    <t>Cardiff School of Biosciences, UK</t>
  </si>
  <si>
    <t>silkewaap@gmail.com</t>
  </si>
  <si>
    <t xml:space="preserve">My scientific research expertise has been on evolutionary processes, involving gene variation (SNPs) and laboratory next generation sequencing techniques and bioinformatic analyses of genetic barcodes. </t>
  </si>
  <si>
    <t xml:space="preserve">I would like to enhance my scientific skills and experience to potentially become a scientific curator </t>
  </si>
  <si>
    <t>Western European Time</t>
  </si>
  <si>
    <t>Emilie Hulse</t>
  </si>
  <si>
    <t>Germantown, MD</t>
  </si>
  <si>
    <t>ehulse@genedx.com</t>
  </si>
  <si>
    <t>Genetic Counseling Assistant</t>
  </si>
  <si>
    <t>I am more interested in becoming an active member of a curation group. I am willing to attend conference calls, as well as spend time outside of calls performing curation and entering information into ClinGen interfaces (estimated 8-10 hours of participation per month)</t>
  </si>
  <si>
    <t>no preference</t>
  </si>
  <si>
    <t>I want to help impact patient care by helping identify gene-disease relationships and recognizing areas in which clinical decisions could positively affect a patient's life.</t>
  </si>
  <si>
    <t>TTR, Pediatrics, Complex Diseases</t>
  </si>
  <si>
    <t>Emma Wilcox</t>
  </si>
  <si>
    <t xml:space="preserve">Stephen Wicks </t>
  </si>
  <si>
    <t>University of Colorado</t>
  </si>
  <si>
    <t>13001 E. 17th Place, MS F563 Building 500, Aurora, CO. 80045</t>
  </si>
  <si>
    <t>stephenwicks1@gmail.com</t>
  </si>
  <si>
    <t>Have been signing out both hematological and solid tumor cancer clinical cases from adult and pediatric populations.</t>
  </si>
  <si>
    <t>Somatic Cancer WG / Hereditary Cancer Panel</t>
  </si>
  <si>
    <t>Better resources in dealing with difficult interpretations of cases.</t>
  </si>
  <si>
    <t>Fen Guo</t>
  </si>
  <si>
    <t xml:space="preserve">Pediatric cancers, ALL, Trisomy 21, CFTR, ARID1A &amp; B </t>
  </si>
  <si>
    <t>ABMGG Fellowship</t>
  </si>
  <si>
    <t>Board eligible ABMGG</t>
  </si>
  <si>
    <t>Mountain Standard Time UTC/GMT -7 hours</t>
  </si>
  <si>
    <t>Saurav Guha</t>
  </si>
  <si>
    <t>101 6th Ave, New York, NY 10013</t>
  </si>
  <si>
    <t>sauravguha@gmail.com</t>
  </si>
  <si>
    <t>ACMG Conference 2019, ClinGen conference advertisements (i.e. booth, workshop, presentation), Networking, Colleagues, ClinGen affiliated emails and/or newsletters, The clinicalgenome.org website, The Community Curation Committee webpage</t>
  </si>
  <si>
    <t>I am more interested in participating as time allows. I am willing to read scientific articles and identify evidence that may be useful for ClinGen curation activities at my own pace</t>
  </si>
  <si>
    <t>Revathi Rajkumar</t>
  </si>
  <si>
    <t xml:space="preserve">Yes, I do regularly classify and report genetic variants. </t>
  </si>
  <si>
    <t>Neurodevelopmental Disorders CDWG</t>
  </si>
  <si>
    <t xml:space="preserve">Neurodevelopmental Disorders </t>
  </si>
  <si>
    <t>New York</t>
  </si>
  <si>
    <t>Hannah Lilligren</t>
  </si>
  <si>
    <t>305 Pueblo Road, Corona, CA 92882</t>
  </si>
  <si>
    <t>hannah.lilligren@gmail.com</t>
  </si>
  <si>
    <t>Rajiv Machado</t>
  </si>
  <si>
    <t>Develop grace and speed in curation as well as more confidence in my ability</t>
  </si>
  <si>
    <t>HBOP EP</t>
  </si>
  <si>
    <t>DICER1, Colorectal Cancer, or inhereted retinal diseases</t>
  </si>
  <si>
    <t>gaining research experience and learning for the best</t>
  </si>
  <si>
    <t>GMT +2</t>
  </si>
  <si>
    <t>Raiana Barbosa</t>
  </si>
  <si>
    <t>Av. Carlos Chagas Filho 373 Bloco G - Sala G2-053</t>
  </si>
  <si>
    <t>rapa_andrade@hotmail.com</t>
  </si>
  <si>
    <t>Laura Southgate</t>
  </si>
  <si>
    <t>No, I don't.</t>
  </si>
  <si>
    <t>Yes, I am interested in Familial Hypercholesterolemia and FBN1 panels.</t>
  </si>
  <si>
    <t>I'd like to getting more experience and expertise.</t>
  </si>
  <si>
    <t>Familial Hypercholesterolemia and arrhythmias.</t>
  </si>
  <si>
    <t>UTC-3h</t>
  </si>
  <si>
    <t>Xiaoyan Guo</t>
  </si>
  <si>
    <t>Sarada Gandhi Kolli</t>
  </si>
  <si>
    <t>Mater Misericordiae University Hospital</t>
  </si>
  <si>
    <t>Next generation Sequencing Lab, Mater Misericordiae University Hospital, Mater Misericordiae Wing Level 0, Mortuary entrance, North Circular Road, Dublin 7, D07 R2WY</t>
  </si>
  <si>
    <t>saradagandhikolli@mater.ie</t>
  </si>
  <si>
    <t>Micheala Aldred</t>
  </si>
  <si>
    <t>Our lab is currently working on classification of pathogenic variants. We are focusing on cardiac variants for now but plan on expanding the departments in the future.</t>
  </si>
  <si>
    <t>To get a better understanding of how to curate variants, get to know experiences at different levels from various scientists of how to deal with complex variants.</t>
  </si>
  <si>
    <t>Our lab is currently focusing on cardiology and we are in our initial stages of variant classification</t>
  </si>
  <si>
    <t>Britt Johnson</t>
  </si>
  <si>
    <t xml:space="preserve">Dublin, Ireland GMT </t>
  </si>
  <si>
    <t>Eah Keomanee</t>
  </si>
  <si>
    <t>101 Bucknell Ave #228-1</t>
  </si>
  <si>
    <t>ekeomanee19@students.kgi.edu</t>
  </si>
  <si>
    <t xml:space="preserve">To gain more exposure to the field, get an insight on the community and to gain experience before I graduate. </t>
  </si>
  <si>
    <t>Jair Tenorio</t>
  </si>
  <si>
    <t>Tiago Fernando Chaves</t>
  </si>
  <si>
    <t>Universidade Federal de Santa Catarina</t>
  </si>
  <si>
    <t>tiagochavo@msn.com</t>
  </si>
  <si>
    <t>Julie Kim</t>
  </si>
  <si>
    <t>No curatorial experience</t>
  </si>
  <si>
    <t>Dosage-Recurrent Regions and Dosage- Neurodevelopmental</t>
  </si>
  <si>
    <t>Divya Pandya</t>
  </si>
  <si>
    <t>neurodevelopmental disorders</t>
  </si>
  <si>
    <t>BRT	- Brasília Time</t>
  </si>
  <si>
    <t>Emilia Swietlik</t>
  </si>
  <si>
    <t>Christina A. Eichstaedt</t>
  </si>
  <si>
    <t xml:space="preserve">I have attended the live Zoom session training for Dosage Sensitivity Curation. </t>
  </si>
  <si>
    <t>I have read the original publication outlining the dosage evaluation process (Riggs et al., 2012).</t>
  </si>
  <si>
    <t>I, (your name below), attest that I have completed all the elements of the Dosage Sensitivity Curation training. *Please sign your name below (e.g. John Doe)</t>
  </si>
  <si>
    <t>Today's date (write the date below)</t>
  </si>
  <si>
    <t>20/12/2018</t>
  </si>
  <si>
    <t>12/24/2018</t>
  </si>
  <si>
    <t>02/01/2019</t>
  </si>
  <si>
    <t>1/8/2019</t>
  </si>
  <si>
    <t>Madeline Hughes</t>
  </si>
  <si>
    <t>Justin Schleede</t>
  </si>
  <si>
    <t>02/08/2019</t>
  </si>
  <si>
    <t>April 29, 2019</t>
  </si>
  <si>
    <t>shulin zhang</t>
  </si>
  <si>
    <t>4/30/2019</t>
  </si>
  <si>
    <t>05/08/2019</t>
  </si>
  <si>
    <t>9/10/19</t>
  </si>
  <si>
    <t>September 10, 2019</t>
  </si>
  <si>
    <t>9/11/19</t>
  </si>
  <si>
    <t>2019/09/23</t>
  </si>
  <si>
    <t>I have attended the live Zoom training session on Somatic Variant Curation</t>
  </si>
  <si>
    <t>I have reviewed the publication titled 'Somatic cancer variant curation and harmonization through consensus minimum variant level data' https://www.ncbi.nlm.nih.gov/pubmed/27814769</t>
  </si>
  <si>
    <t>I, (your name below), attest that I have completed all the elements of the Somatic Cancer Training. *Please sign your name below. e.g. John Doe</t>
  </si>
  <si>
    <t>I have created an account in CIViC: https://civicdb.org/home</t>
  </si>
  <si>
    <t>I have signed up for a practice curation assignment in CIViC: https://docs.google.com/spreadsheets/d/1vBDR3xVaKgkOSW_7VTO8Mxe2wo1WCJV1mbT3nO1lCM4/edit#gid=0</t>
  </si>
  <si>
    <t>I have chosen a curation activity/disease task force. (Please list your choice below)</t>
  </si>
  <si>
    <t>Email Contact</t>
  </si>
  <si>
    <t>Spreadsheet Changes</t>
  </si>
  <si>
    <t>Post-Survey Contact</t>
  </si>
  <si>
    <t>automated email</t>
  </si>
  <si>
    <t>Initial Contact</t>
  </si>
  <si>
    <t>Change Status to "Contacted"</t>
  </si>
  <si>
    <t>Liz</t>
  </si>
  <si>
    <t>Assigning and Scheduling Training</t>
  </si>
  <si>
    <t>Change Status to "Assigned", add the date assigned, the training date and Curation Effort</t>
  </si>
  <si>
    <t>Post-training email with Attestation</t>
  </si>
  <si>
    <t>Indicate that training was attended and the attestation was signed</t>
  </si>
  <si>
    <t>Contacting Volunteer about WG/EP assignment</t>
  </si>
  <si>
    <t>Change Status to "Assigned" and add the WG/EP the volunteer was assigned to</t>
  </si>
  <si>
    <t>Contact Cordinator about volunteers assigned to their WG/EP</t>
  </si>
  <si>
    <t>Name:</t>
  </si>
  <si>
    <t>Curation Activity:</t>
  </si>
  <si>
    <t>Expert Panel or Working Group:</t>
  </si>
  <si>
    <t>Change Status to:</t>
  </si>
  <si>
    <t>What are the conditions that you are accepting volunteers under?</t>
  </si>
  <si>
    <t>How much work does a volunteer need to do to get acknowledgement for their contribution? (ex. attend 50% of the calls and perform 5 curations)</t>
  </si>
  <si>
    <t>How much work does a volunteer need to do to get authorship on a paper? (ex. attend 75% of the calls and perform 8 curations)</t>
  </si>
  <si>
    <t>Please note any other comments you have on volunteer acknowledgement and authorship:</t>
  </si>
  <si>
    <t>Approximately how many volunteers is your EP/WG willing to accept?</t>
  </si>
  <si>
    <t>What are the conditions that a volunteer could get acknowledgement for their contribution?</t>
  </si>
  <si>
    <t>What are the conditions that a volunteer could get authorship on a paper?</t>
  </si>
  <si>
    <t>VWD VCEP</t>
  </si>
  <si>
    <t>Accepting Volunteers</t>
  </si>
  <si>
    <t>not determined yet</t>
  </si>
  <si>
    <t>Mito GCEP</t>
  </si>
  <si>
    <t>Not Accepting Volunteers</t>
  </si>
  <si>
    <t>Inherited Retinal Disease GCEP (in development))</t>
  </si>
  <si>
    <t>undecided</t>
  </si>
  <si>
    <t>expect authorship</t>
  </si>
  <si>
    <t>4-5</t>
  </si>
  <si>
    <t>Glaucoma/Neuro Ocular GCEP (in development)</t>
  </si>
  <si>
    <t>undecuded</t>
  </si>
  <si>
    <t>authorship expected</t>
  </si>
  <si>
    <t xml:space="preserve">attend monthly VCEP calls, help input and curate variants for VHL </t>
  </si>
  <si>
    <t>1-3</t>
  </si>
  <si>
    <t>Jessica Mester</t>
  </si>
  <si>
    <t>Accepting Volunteers with Conditions</t>
  </si>
  <si>
    <t>1 named Emily Hansen-Kiss who has just signed up for training, and I'll take one more who's interested in our group after review of their CV</t>
  </si>
  <si>
    <t>Attend biocurator calls, attend most VCEP calls, curate at least 2 variants per quarter once training complete</t>
  </si>
  <si>
    <t>Biocurator calls are scheduled based on group availability, so will not be a challenge to attend.  VCEP calls are scheduled based primarily on expert panel members' availability, biocurators are expected to present the variants they've worked on and should attend all calls for which they're available.</t>
  </si>
  <si>
    <t>2 new ones</t>
  </si>
  <si>
    <t>RASopathy GCEP</t>
  </si>
  <si>
    <t>duplicate record</t>
  </si>
  <si>
    <r>
      <t xml:space="preserve">11/07/18
</t>
    </r>
    <r>
      <rPr>
        <b/>
      </rPr>
      <t>REcontacted June 2019 and responsive, changed status</t>
    </r>
  </si>
  <si>
    <r>
      <t xml:space="preserve">01/09/18
</t>
    </r>
    <r>
      <rPr>
        <b/>
      </rPr>
      <t>Unresponsive as of 7-7-19</t>
    </r>
  </si>
  <si>
    <r>
      <t xml:space="preserve">Note: </t>
    </r>
    <r>
      <rPr/>
      <t xml:space="preserve"> email address given was exu@fulgentgenetics.com, however as of July 9, 2019, this is no longer a contact email and no forwarding email provided.</t>
    </r>
  </si>
  <si>
    <r>
      <t>Note:</t>
    </r>
    <r>
      <rPr/>
      <t xml:space="preserve"> email address returned a change to runquist@alumni.bcm.edu as of 7-9-19 CLT. Updated.</t>
    </r>
  </si>
  <si>
    <r>
      <t xml:space="preserve">Originally choose Comprehensive, however they may be best suited for Baseline with a focus on genes/variants in which they are suspected to have (patient) </t>
    </r>
    <r>
      <rPr>
        <b/>
      </rPr>
      <t>CLT 7-2-19</t>
    </r>
  </si>
</sst>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mm yyyy"/>
    <numFmt numFmtId="165" formatCode="mm/dd/yyyy"/>
    <numFmt numFmtId="166" formatCode="m/d/yyyy h:mm:ss"/>
    <numFmt numFmtId="167" formatCode="m/d/yy"/>
    <numFmt numFmtId="168" formatCode="m/d/yyyy"/>
    <numFmt numFmtId="169" formatCode="mmmm d yyyy"/>
    <numFmt numFmtId="170" formatCode="mm/dd/yy"/>
    <numFmt numFmtId="171" formatCode="m-d-yy"/>
  </numFmts>
  <fonts count="25">
    <font>
      <sz val="10.0"/>
      <color rgb="FF000000"/>
      <name val="Arial"/>
    </font>
    <font>
      <b/>
      <sz val="10.0"/>
      <color rgb="FF000000"/>
      <name val="Arial"/>
    </font>
    <font>
      <name val="Arial"/>
    </font>
    <font>
      <sz val="10.0"/>
      <name val="Arial"/>
    </font>
    <font>
      <sz val="10.0"/>
    </font>
    <font>
      <b/>
      <sz val="11.0"/>
      <color rgb="FF000000"/>
      <name val="Arial"/>
    </font>
    <font/>
    <font>
      <sz val="11.0"/>
      <name val="Arial"/>
    </font>
    <font>
      <b/>
      <name val="Arial"/>
    </font>
    <font>
      <b/>
      <color rgb="FF000000"/>
      <name val="Arial"/>
    </font>
    <font>
      <sz val="10.0"/>
      <name val="Calibri"/>
    </font>
    <font>
      <sz val="11.0"/>
      <name val="Inconsolata"/>
    </font>
    <font>
      <sz val="11.0"/>
      <color rgb="FF000000"/>
      <name val="Inconsolata"/>
    </font>
    <font>
      <color rgb="FF000000"/>
      <name val="Arial"/>
    </font>
    <font>
      <b/>
      <sz val="10.0"/>
      <name val="Arial"/>
    </font>
    <font>
      <color rgb="FF000000"/>
      <name val="Roboto"/>
    </font>
    <font>
      <b/>
    </font>
    <font>
      <b/>
      <sz val="11.0"/>
      <name val="Arial"/>
    </font>
    <font>
      <b/>
      <sz val="12.0"/>
      <color rgb="FF000000"/>
      <name val="Arial"/>
    </font>
    <font>
      <b/>
      <sz val="12.0"/>
    </font>
    <font>
      <sz val="12.0"/>
    </font>
    <font>
      <sz val="11.0"/>
      <color rgb="FF000000"/>
      <name val="Arial"/>
    </font>
    <font>
      <sz val="11.0"/>
      <color rgb="FF000000"/>
    </font>
    <font>
      <color rgb="FF333E48"/>
      <name val="National2"/>
    </font>
    <font>
      <u/>
      <sz val="11.0"/>
      <color rgb="FF0000FF"/>
      <name val="Calibri"/>
    </font>
  </fonts>
  <fills count="8">
    <fill>
      <patternFill patternType="none"/>
    </fill>
    <fill>
      <patternFill patternType="lightGray"/>
    </fill>
    <fill>
      <patternFill patternType="solid">
        <fgColor rgb="FFFFFFFF"/>
        <bgColor rgb="FFFFFFFF"/>
      </patternFill>
    </fill>
    <fill>
      <patternFill patternType="solid">
        <fgColor rgb="FFFFF2CC"/>
        <bgColor rgb="FFFFF2CC"/>
      </patternFill>
    </fill>
    <fill>
      <patternFill patternType="solid">
        <fgColor rgb="FFB4A7D6"/>
        <bgColor rgb="FFB4A7D6"/>
      </patternFill>
    </fill>
    <fill>
      <patternFill patternType="solid">
        <fgColor rgb="FFD9D2E9"/>
        <bgColor rgb="FFD9D2E9"/>
      </patternFill>
    </fill>
    <fill>
      <patternFill patternType="solid">
        <fgColor rgb="FFFFFF00"/>
        <bgColor rgb="FFFFFF00"/>
      </patternFill>
    </fill>
    <fill>
      <patternFill patternType="solid">
        <fgColor rgb="FFEAD1DC"/>
        <bgColor rgb="FFEAD1DC"/>
      </patternFill>
    </fill>
  </fills>
  <borders count="9">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right/>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185">
    <xf borderId="0" fillId="0" fontId="0" numFmtId="0" xfId="0" applyAlignment="1" applyFont="1">
      <alignment readingOrder="0" shrinkToFit="0" vertical="bottom" wrapText="0"/>
    </xf>
    <xf borderId="0" fillId="0" fontId="1" numFmtId="0" xfId="0" applyAlignment="1" applyFont="1">
      <alignment horizontal="center" vertical="bottom"/>
    </xf>
    <xf borderId="1" fillId="2" fontId="2" numFmtId="0" xfId="0" applyAlignment="1" applyBorder="1" applyFill="1" applyFont="1">
      <alignment horizontal="center" readingOrder="0" vertical="bottom"/>
    </xf>
    <xf borderId="0" fillId="0" fontId="1" numFmtId="0" xfId="0" applyAlignment="1" applyFont="1">
      <alignment horizontal="center" readingOrder="0" vertical="bottom"/>
    </xf>
    <xf borderId="0" fillId="0" fontId="1" numFmtId="0" xfId="0" applyAlignment="1" applyFont="1">
      <alignment horizontal="center" readingOrder="0" shrinkToFit="0" vertical="bottom" wrapText="1"/>
    </xf>
    <xf borderId="0" fillId="0" fontId="1" numFmtId="0" xfId="0" applyAlignment="1" applyFont="1">
      <alignment horizontal="center" shrinkToFit="0" vertical="bottom" wrapText="1"/>
    </xf>
    <xf borderId="0" fillId="0" fontId="3" numFmtId="0" xfId="0" applyAlignment="1" applyFont="1">
      <alignment horizontal="center" vertical="bottom"/>
    </xf>
    <xf borderId="0" fillId="0" fontId="4" numFmtId="0" xfId="0" applyAlignment="1" applyFont="1">
      <alignment horizontal="center"/>
    </xf>
    <xf borderId="2" fillId="2" fontId="5" numFmtId="0" xfId="0" applyAlignment="1" applyBorder="1" applyFont="1">
      <alignment horizontal="center" vertical="bottom"/>
    </xf>
    <xf borderId="3" fillId="0" fontId="6" numFmtId="0" xfId="0" applyBorder="1" applyFont="1"/>
    <xf borderId="0" fillId="0" fontId="3" numFmtId="0" xfId="0" applyAlignment="1" applyFont="1">
      <alignment horizontal="center" readingOrder="0" vertical="bottom"/>
    </xf>
    <xf borderId="0" fillId="0" fontId="3" numFmtId="0" xfId="0" applyAlignment="1" applyFont="1">
      <alignment horizontal="center" readingOrder="0" shrinkToFit="0" vertical="bottom" wrapText="1"/>
    </xf>
    <xf borderId="0" fillId="3" fontId="7" numFmtId="0" xfId="0" applyAlignment="1" applyFill="1" applyFont="1">
      <alignment horizontal="center" vertical="bottom"/>
    </xf>
    <xf borderId="0" fillId="3" fontId="3" numFmtId="0" xfId="0" applyAlignment="1" applyFont="1">
      <alignment horizontal="center" readingOrder="0" shrinkToFit="0" vertical="bottom" wrapText="1"/>
    </xf>
    <xf borderId="0" fillId="0" fontId="7" numFmtId="0" xfId="0" applyAlignment="1" applyFont="1">
      <alignment horizontal="center" readingOrder="0" vertical="bottom"/>
    </xf>
    <xf borderId="0" fillId="0" fontId="3" numFmtId="0" xfId="0" applyAlignment="1" applyFont="1">
      <alignment horizontal="center" readingOrder="0" vertical="bottom"/>
    </xf>
    <xf borderId="0" fillId="0" fontId="7" numFmtId="0" xfId="0" applyAlignment="1" applyFont="1">
      <alignment horizontal="center" vertical="bottom"/>
    </xf>
    <xf borderId="0" fillId="0" fontId="3" numFmtId="0" xfId="0" applyAlignment="1" applyFont="1">
      <alignment horizontal="center" readingOrder="0" shrinkToFit="0" vertical="bottom" wrapText="1"/>
    </xf>
    <xf borderId="0" fillId="0" fontId="7" numFmtId="0" xfId="0" applyAlignment="1" applyFont="1">
      <alignment horizontal="center" shrinkToFit="0" vertical="bottom" wrapText="1"/>
    </xf>
    <xf borderId="0" fillId="0" fontId="3" numFmtId="0" xfId="0" applyAlignment="1" applyFont="1">
      <alignment horizontal="center" shrinkToFit="0" vertical="bottom" wrapText="1"/>
    </xf>
    <xf borderId="0" fillId="0" fontId="7" numFmtId="0" xfId="0" applyAlignment="1" applyFont="1">
      <alignment horizontal="center" readingOrder="0" shrinkToFit="0" vertical="bottom" wrapText="1"/>
    </xf>
    <xf borderId="0" fillId="0" fontId="2" numFmtId="0" xfId="0" applyAlignment="1" applyFont="1">
      <alignment vertical="bottom"/>
    </xf>
    <xf borderId="4" fillId="0" fontId="6" numFmtId="0" xfId="0" applyBorder="1" applyFont="1"/>
    <xf borderId="0" fillId="0" fontId="3" numFmtId="0" xfId="0" applyAlignment="1" applyFont="1">
      <alignment horizontal="center" vertical="bottom"/>
    </xf>
    <xf borderId="1" fillId="2" fontId="5" numFmtId="0" xfId="0" applyAlignment="1" applyBorder="1" applyFont="1">
      <alignment horizontal="center" vertical="bottom"/>
    </xf>
    <xf borderId="0" fillId="3" fontId="3" numFmtId="0" xfId="0" applyAlignment="1" applyFont="1">
      <alignment horizontal="center" shrinkToFit="0" vertical="bottom" wrapText="1"/>
    </xf>
    <xf borderId="2" fillId="2" fontId="5" numFmtId="0" xfId="0" applyAlignment="1" applyBorder="1" applyFont="1">
      <alignment horizontal="center" readingOrder="0" vertical="bottom"/>
    </xf>
    <xf borderId="0" fillId="0" fontId="3" numFmtId="0" xfId="0" applyAlignment="1" applyFont="1">
      <alignment horizontal="center" shrinkToFit="0" vertical="bottom" wrapText="1"/>
    </xf>
    <xf borderId="5" fillId="2" fontId="5" numFmtId="0" xfId="0" applyAlignment="1" applyBorder="1" applyFont="1">
      <alignment horizontal="center" shrinkToFit="0" vertical="bottom" wrapText="1"/>
    </xf>
    <xf borderId="0" fillId="3" fontId="3" numFmtId="0" xfId="0" applyAlignment="1" applyFont="1">
      <alignment horizontal="center" readingOrder="0" shrinkToFit="0" vertical="bottom" wrapText="1"/>
    </xf>
    <xf borderId="1" fillId="2" fontId="8" numFmtId="0" xfId="0" applyAlignment="1" applyBorder="1" applyFont="1">
      <alignment horizontal="center" shrinkToFit="0" vertical="bottom" wrapText="0"/>
    </xf>
    <xf borderId="1" fillId="2" fontId="8" numFmtId="0" xfId="0" applyAlignment="1" applyBorder="1" applyFont="1">
      <alignment horizontal="center" vertical="bottom"/>
    </xf>
    <xf borderId="0" fillId="2" fontId="0" numFmtId="0" xfId="0" applyAlignment="1" applyFont="1">
      <alignment horizontal="center" vertical="bottom"/>
    </xf>
    <xf borderId="5" fillId="2" fontId="8" numFmtId="0" xfId="0" applyAlignment="1" applyBorder="1" applyFont="1">
      <alignment horizontal="center" shrinkToFit="0" vertical="bottom" wrapText="0"/>
    </xf>
    <xf borderId="0" fillId="2" fontId="0" numFmtId="0" xfId="0" applyAlignment="1" applyFont="1">
      <alignment horizontal="center" readingOrder="0" vertical="bottom"/>
    </xf>
    <xf borderId="0" fillId="2" fontId="2" numFmtId="0" xfId="0" applyAlignment="1" applyFont="1">
      <alignment horizontal="center" vertical="bottom"/>
    </xf>
    <xf borderId="6" fillId="0" fontId="3" numFmtId="0" xfId="0" applyAlignment="1" applyBorder="1" applyFont="1">
      <alignment horizontal="center" shrinkToFit="0" vertical="bottom" wrapText="1"/>
    </xf>
    <xf borderId="0" fillId="2" fontId="2" numFmtId="0" xfId="0" applyAlignment="1" applyFont="1">
      <alignment horizontal="center" shrinkToFit="0" vertical="bottom" wrapText="1"/>
    </xf>
    <xf borderId="0" fillId="0" fontId="3" numFmtId="164" xfId="0" applyAlignment="1" applyFont="1" applyNumberFormat="1">
      <alignment horizontal="center" readingOrder="0" vertical="bottom"/>
    </xf>
    <xf borderId="0" fillId="0" fontId="4" numFmtId="0" xfId="0" applyFont="1"/>
    <xf borderId="1" fillId="2" fontId="8" numFmtId="0" xfId="0" applyAlignment="1" applyBorder="1" applyFont="1">
      <alignment horizontal="center" readingOrder="0" shrinkToFit="0" vertical="bottom" wrapText="1"/>
    </xf>
    <xf borderId="1" fillId="2" fontId="5" numFmtId="0" xfId="0" applyAlignment="1" applyBorder="1" applyFont="1">
      <alignment horizontal="center" shrinkToFit="0" vertical="bottom" wrapText="1"/>
    </xf>
    <xf borderId="6" fillId="0" fontId="3" numFmtId="0" xfId="0" applyAlignment="1" applyBorder="1" applyFont="1">
      <alignment horizontal="center" readingOrder="0" shrinkToFit="0" vertical="bottom" wrapText="1"/>
    </xf>
    <xf borderId="1" fillId="2" fontId="5" numFmtId="0" xfId="0" applyAlignment="1" applyBorder="1" applyFont="1">
      <alignment horizontal="center" readingOrder="0" shrinkToFit="0" vertical="bottom" wrapText="1"/>
    </xf>
    <xf borderId="6" fillId="0" fontId="3" numFmtId="0" xfId="0" applyAlignment="1" applyBorder="1" applyFont="1">
      <alignment horizontal="center" vertical="bottom"/>
    </xf>
    <xf borderId="7" fillId="0" fontId="6" numFmtId="0" xfId="0" applyBorder="1" applyFont="1"/>
    <xf borderId="0" fillId="2" fontId="9" numFmtId="0" xfId="0" applyAlignment="1" applyFont="1">
      <alignment horizontal="center" readingOrder="0" shrinkToFit="0" wrapText="1"/>
    </xf>
    <xf borderId="0" fillId="2" fontId="8" numFmtId="0" xfId="0" applyAlignment="1" applyFont="1">
      <alignment horizontal="center" readingOrder="0" shrinkToFit="0" vertical="bottom" wrapText="1"/>
    </xf>
    <xf borderId="0" fillId="0" fontId="6" numFmtId="0" xfId="0" applyAlignment="1" applyFont="1">
      <alignment horizontal="center" readingOrder="0"/>
    </xf>
    <xf borderId="0" fillId="0" fontId="6" numFmtId="165" xfId="0" applyAlignment="1" applyFont="1" applyNumberFormat="1">
      <alignment horizontal="center" readingOrder="0"/>
    </xf>
    <xf borderId="0" fillId="0" fontId="6" numFmtId="166" xfId="0" applyAlignment="1" applyFont="1" applyNumberFormat="1">
      <alignment horizontal="center"/>
    </xf>
    <xf borderId="0" fillId="0" fontId="6" numFmtId="0" xfId="0" applyAlignment="1" applyFont="1">
      <alignment horizontal="center" readingOrder="0" shrinkToFit="0" wrapText="1"/>
    </xf>
    <xf borderId="0" fillId="0" fontId="3" numFmtId="164" xfId="0" applyAlignment="1" applyFont="1" applyNumberFormat="1">
      <alignment horizontal="center" readingOrder="0" shrinkToFit="0" vertical="bottom" wrapText="1"/>
    </xf>
    <xf borderId="0" fillId="0" fontId="6" numFmtId="0" xfId="0" applyAlignment="1" applyFont="1">
      <alignment horizontal="center" shrinkToFit="0" wrapText="1"/>
    </xf>
    <xf borderId="0" fillId="4" fontId="3" numFmtId="0" xfId="0" applyAlignment="1" applyFill="1" applyFont="1">
      <alignment horizontal="center" readingOrder="0" shrinkToFit="0" vertical="bottom" wrapText="1"/>
    </xf>
    <xf borderId="0" fillId="0" fontId="6" numFmtId="0" xfId="0" applyAlignment="1" applyFont="1">
      <alignment horizontal="center"/>
    </xf>
    <xf borderId="0" fillId="0" fontId="6" numFmtId="167" xfId="0" applyAlignment="1" applyFont="1" applyNumberFormat="1">
      <alignment horizontal="center" readingOrder="0"/>
    </xf>
    <xf borderId="0" fillId="0" fontId="10" numFmtId="0" xfId="0" applyAlignment="1" applyFont="1">
      <alignment horizontal="center" shrinkToFit="0" vertical="bottom" wrapText="1"/>
    </xf>
    <xf borderId="0" fillId="0" fontId="10" numFmtId="0" xfId="0" applyAlignment="1" applyFont="1">
      <alignment horizontal="center" readingOrder="0" vertical="bottom"/>
    </xf>
    <xf borderId="0" fillId="0" fontId="10" numFmtId="0" xfId="0" applyAlignment="1" applyFont="1">
      <alignment horizontal="center" vertical="bottom"/>
    </xf>
    <xf borderId="0" fillId="2" fontId="11" numFmtId="0" xfId="0" applyAlignment="1" applyFont="1">
      <alignment horizontal="center"/>
    </xf>
    <xf borderId="0" fillId="0" fontId="10" numFmtId="0" xfId="0" applyAlignment="1" applyFont="1">
      <alignment horizontal="center" readingOrder="0" shrinkToFit="0" vertical="bottom" wrapText="1"/>
    </xf>
    <xf borderId="0" fillId="3" fontId="3" numFmtId="0" xfId="0" applyAlignment="1" applyFont="1">
      <alignment horizontal="center" vertical="bottom"/>
    </xf>
    <xf borderId="6" fillId="0" fontId="10" numFmtId="0" xfId="0" applyAlignment="1" applyBorder="1" applyFont="1">
      <alignment horizontal="center" shrinkToFit="0" vertical="bottom" wrapText="1"/>
    </xf>
    <xf borderId="0" fillId="0" fontId="6" numFmtId="0" xfId="0" applyAlignment="1" applyFont="1">
      <alignment horizontal="center" shrinkToFit="0" wrapText="0"/>
    </xf>
    <xf borderId="0" fillId="0" fontId="6" numFmtId="168" xfId="0" applyAlignment="1" applyFont="1" applyNumberFormat="1">
      <alignment horizontal="center" readingOrder="0"/>
    </xf>
    <xf borderId="0" fillId="2" fontId="11" numFmtId="0" xfId="0" applyAlignment="1" applyFont="1">
      <alignment horizontal="center" shrinkToFit="0" wrapText="0"/>
    </xf>
    <xf borderId="6" fillId="0" fontId="3" numFmtId="0" xfId="0" applyAlignment="1" applyBorder="1" applyFont="1">
      <alignment horizontal="center" shrinkToFit="0" vertical="bottom" wrapText="1"/>
    </xf>
    <xf borderId="0" fillId="2" fontId="12" numFmtId="0" xfId="0" applyAlignment="1" applyFont="1">
      <alignment horizontal="center"/>
    </xf>
    <xf borderId="0" fillId="2" fontId="13" numFmtId="0" xfId="0" applyAlignment="1" applyFont="1">
      <alignment horizontal="center" readingOrder="0"/>
    </xf>
    <xf borderId="0" fillId="0" fontId="14" numFmtId="0" xfId="0" applyAlignment="1" applyFont="1">
      <alignment horizontal="center" readingOrder="0" shrinkToFit="0" vertical="bottom" wrapText="1"/>
    </xf>
    <xf borderId="0" fillId="3" fontId="10" numFmtId="0" xfId="0" applyAlignment="1" applyFont="1">
      <alignment horizontal="center" shrinkToFit="0" vertical="bottom" wrapText="1"/>
    </xf>
    <xf borderId="0" fillId="0" fontId="3" numFmtId="169" xfId="0" applyAlignment="1" applyFont="1" applyNumberFormat="1">
      <alignment horizontal="center" readingOrder="0" vertical="bottom"/>
    </xf>
    <xf borderId="0" fillId="0" fontId="6" numFmtId="170" xfId="0" applyAlignment="1" applyFont="1" applyNumberFormat="1">
      <alignment horizontal="center" readingOrder="0"/>
    </xf>
    <xf borderId="0" fillId="0" fontId="0" numFmtId="0" xfId="0" applyAlignment="1" applyFont="1">
      <alignment horizontal="center" vertical="bottom"/>
    </xf>
    <xf borderId="0" fillId="3" fontId="3" numFmtId="0" xfId="0" applyAlignment="1" applyFont="1">
      <alignment horizontal="center" vertical="bottom"/>
    </xf>
    <xf borderId="0" fillId="3" fontId="10" numFmtId="0" xfId="0" applyAlignment="1" applyFont="1">
      <alignment horizontal="center" readingOrder="0" shrinkToFit="0" vertical="bottom" wrapText="1"/>
    </xf>
    <xf borderId="0" fillId="2" fontId="0" numFmtId="0" xfId="0" applyAlignment="1" applyFont="1">
      <alignment horizontal="center" shrinkToFit="0" vertical="bottom" wrapText="1"/>
    </xf>
    <xf borderId="0" fillId="0" fontId="3" numFmtId="171" xfId="0" applyAlignment="1" applyFont="1" applyNumberFormat="1">
      <alignment horizontal="center" readingOrder="0" vertical="bottom"/>
    </xf>
    <xf borderId="0" fillId="0" fontId="6" numFmtId="167" xfId="0" applyAlignment="1" applyFont="1" applyNumberFormat="1">
      <alignment horizontal="center" readingOrder="0" shrinkToFit="0" wrapText="1"/>
    </xf>
    <xf borderId="0" fillId="2" fontId="15" numFmtId="0" xfId="0" applyAlignment="1" applyFont="1">
      <alignment horizontal="center" readingOrder="0" shrinkToFit="0" wrapText="1"/>
    </xf>
    <xf borderId="0" fillId="2" fontId="7" numFmtId="0" xfId="0" applyAlignment="1" applyFont="1">
      <alignment horizontal="center" readingOrder="0"/>
    </xf>
    <xf borderId="0" fillId="5" fontId="6" numFmtId="0" xfId="0" applyAlignment="1" applyFill="1" applyFont="1">
      <alignment horizontal="center" readingOrder="0"/>
    </xf>
    <xf borderId="0" fillId="5" fontId="6" numFmtId="167" xfId="0" applyAlignment="1" applyFont="1" applyNumberFormat="1">
      <alignment horizontal="center" readingOrder="0"/>
    </xf>
    <xf borderId="0" fillId="5" fontId="6" numFmtId="0" xfId="0" applyAlignment="1" applyFont="1">
      <alignment horizontal="center" readingOrder="0" shrinkToFit="0" wrapText="1"/>
    </xf>
    <xf borderId="0" fillId="5" fontId="6" numFmtId="0" xfId="0" applyAlignment="1" applyFont="1">
      <alignment horizontal="center"/>
    </xf>
    <xf borderId="0" fillId="0" fontId="6" numFmtId="166" xfId="0" applyAlignment="1" applyFont="1" applyNumberFormat="1">
      <alignment horizontal="center"/>
    </xf>
    <xf borderId="0" fillId="0" fontId="6" numFmtId="170" xfId="0" applyAlignment="1" applyFont="1" applyNumberFormat="1">
      <alignment horizontal="center" readingOrder="0" shrinkToFit="0" wrapText="1"/>
    </xf>
    <xf borderId="0" fillId="2" fontId="15" numFmtId="0" xfId="0" applyAlignment="1" applyFont="1">
      <alignment horizontal="center" readingOrder="0"/>
    </xf>
    <xf borderId="0" fillId="2" fontId="15" numFmtId="167" xfId="0" applyAlignment="1" applyFont="1" applyNumberFormat="1">
      <alignment horizontal="center" readingOrder="0"/>
    </xf>
    <xf borderId="0" fillId="0" fontId="6" numFmtId="168" xfId="0" applyAlignment="1" applyFont="1" applyNumberFormat="1">
      <alignment horizontal="center" readingOrder="0" shrinkToFit="0" wrapText="1"/>
    </xf>
    <xf borderId="1" fillId="2" fontId="5" numFmtId="0" xfId="0" applyAlignment="1" applyBorder="1" applyFont="1">
      <alignment horizontal="center" readingOrder="0" vertical="bottom"/>
    </xf>
    <xf borderId="0" fillId="2" fontId="15" numFmtId="0" xfId="0" applyAlignment="1" applyFont="1">
      <alignment readingOrder="0"/>
    </xf>
    <xf borderId="0" fillId="0" fontId="6" numFmtId="168" xfId="0" applyAlignment="1" applyFont="1" applyNumberFormat="1">
      <alignment horizontal="center"/>
    </xf>
    <xf borderId="0" fillId="0" fontId="6" numFmtId="167" xfId="0" applyAlignment="1" applyFont="1" applyNumberFormat="1">
      <alignment horizontal="center"/>
    </xf>
    <xf borderId="0" fillId="5" fontId="6" numFmtId="166" xfId="0" applyAlignment="1" applyFont="1" applyNumberFormat="1">
      <alignment horizontal="center"/>
    </xf>
    <xf borderId="0" fillId="5" fontId="6" numFmtId="170" xfId="0" applyAlignment="1" applyFont="1" applyNumberFormat="1">
      <alignment horizontal="center" readingOrder="0" shrinkToFit="0" wrapText="1"/>
    </xf>
    <xf borderId="0" fillId="5" fontId="11" numFmtId="0" xfId="0" applyAlignment="1" applyFont="1">
      <alignment horizontal="center"/>
    </xf>
    <xf borderId="0" fillId="5" fontId="6" numFmtId="0" xfId="0" applyAlignment="1" applyFont="1">
      <alignment horizontal="center" shrinkToFit="0" wrapText="0"/>
    </xf>
    <xf borderId="0" fillId="5" fontId="11" numFmtId="0" xfId="0" applyAlignment="1" applyFont="1">
      <alignment horizontal="center" shrinkToFit="0" wrapText="0"/>
    </xf>
    <xf borderId="0" fillId="5" fontId="6" numFmtId="0" xfId="0" applyAlignment="1" applyFont="1">
      <alignment horizontal="center" shrinkToFit="0" wrapText="1"/>
    </xf>
    <xf borderId="0" fillId="0" fontId="11" numFmtId="0" xfId="0" applyAlignment="1" applyFont="1">
      <alignment horizontal="center"/>
    </xf>
    <xf borderId="0" fillId="0" fontId="11" numFmtId="0" xfId="0" applyAlignment="1" applyFont="1">
      <alignment horizontal="center" shrinkToFit="0" wrapText="0"/>
    </xf>
    <xf borderId="0" fillId="0" fontId="16" numFmtId="0" xfId="0" applyAlignment="1" applyFont="1">
      <alignment horizontal="center" readingOrder="0" shrinkToFit="0" wrapText="1"/>
    </xf>
    <xf borderId="0" fillId="0" fontId="6" numFmtId="165" xfId="0" applyAlignment="1" applyFont="1" applyNumberFormat="1">
      <alignment horizontal="center"/>
    </xf>
    <xf borderId="0" fillId="0" fontId="6" numFmtId="170" xfId="0" applyAlignment="1" applyFont="1" applyNumberFormat="1">
      <alignment horizontal="center"/>
    </xf>
    <xf borderId="0" fillId="0" fontId="16" numFmtId="0" xfId="0" applyAlignment="1" applyFont="1">
      <alignment horizontal="center" readingOrder="0"/>
    </xf>
    <xf borderId="7" fillId="2" fontId="5" numFmtId="0" xfId="0" applyAlignment="1" applyBorder="1" applyFont="1">
      <alignment horizontal="center" vertical="bottom"/>
    </xf>
    <xf borderId="8" fillId="2" fontId="5" numFmtId="0" xfId="0" applyAlignment="1" applyBorder="1" applyFont="1">
      <alignment horizontal="center" vertical="bottom"/>
    </xf>
    <xf borderId="8" fillId="2" fontId="5" numFmtId="0" xfId="0" applyAlignment="1" applyBorder="1" applyFont="1">
      <alignment horizontal="center" readingOrder="0" vertical="bottom"/>
    </xf>
    <xf borderId="1" fillId="0" fontId="17" numFmtId="0" xfId="0" applyAlignment="1" applyBorder="1" applyFont="1">
      <alignment horizontal="center" readingOrder="0" vertical="bottom"/>
    </xf>
    <xf borderId="1" fillId="0" fontId="17" numFmtId="0" xfId="0" applyAlignment="1" applyBorder="1" applyFont="1">
      <alignment horizontal="center" vertical="bottom"/>
    </xf>
    <xf borderId="1" fillId="0" fontId="16" numFmtId="0" xfId="0" applyAlignment="1" applyBorder="1" applyFont="1">
      <alignment readingOrder="0"/>
    </xf>
    <xf borderId="0" fillId="0" fontId="6" numFmtId="168" xfId="0" applyFont="1" applyNumberFormat="1"/>
    <xf borderId="0" fillId="0" fontId="6" numFmtId="170" xfId="0" applyFont="1" applyNumberFormat="1"/>
    <xf borderId="0" fillId="0" fontId="6" numFmtId="167" xfId="0" applyFont="1" applyNumberFormat="1"/>
    <xf borderId="0" fillId="0" fontId="6" numFmtId="0" xfId="0" applyAlignment="1" applyFont="1">
      <alignment readingOrder="0"/>
    </xf>
    <xf borderId="0" fillId="2" fontId="12" numFmtId="165" xfId="0" applyFont="1" applyNumberFormat="1"/>
    <xf borderId="0" fillId="0" fontId="6" numFmtId="165" xfId="0" applyFont="1" applyNumberFormat="1"/>
    <xf borderId="0" fillId="0" fontId="6" numFmtId="167" xfId="0" applyAlignment="1" applyFont="1" applyNumberFormat="1">
      <alignment readingOrder="0"/>
    </xf>
    <xf borderId="2" fillId="0" fontId="17" numFmtId="0" xfId="0" applyAlignment="1" applyBorder="1" applyFont="1">
      <alignment horizontal="center" vertical="bottom"/>
    </xf>
    <xf borderId="7" fillId="0" fontId="17" numFmtId="0" xfId="0" applyAlignment="1" applyBorder="1" applyFont="1">
      <alignment horizontal="center" vertical="bottom"/>
    </xf>
    <xf borderId="8" fillId="0" fontId="17" numFmtId="0" xfId="0" applyAlignment="1" applyBorder="1" applyFont="1">
      <alignment horizontal="center" vertical="bottom"/>
    </xf>
    <xf borderId="8" fillId="0" fontId="17" numFmtId="0" xfId="0" applyAlignment="1" applyBorder="1" applyFont="1">
      <alignment horizontal="center" readingOrder="0" vertical="bottom"/>
    </xf>
    <xf borderId="1" fillId="0" fontId="16" numFmtId="0" xfId="0" applyAlignment="1" applyBorder="1" applyFont="1">
      <alignment readingOrder="0" shrinkToFit="0" wrapText="1"/>
    </xf>
    <xf borderId="1" fillId="0" fontId="6" numFmtId="0" xfId="0" applyAlignment="1" applyBorder="1" applyFont="1">
      <alignment readingOrder="0"/>
    </xf>
    <xf borderId="0" fillId="0" fontId="6" numFmtId="0" xfId="0" applyAlignment="1" applyFont="1">
      <alignment shrinkToFit="0" wrapText="1"/>
    </xf>
    <xf borderId="0" fillId="2" fontId="12" numFmtId="0" xfId="0" applyFont="1"/>
    <xf borderId="0" fillId="2" fontId="6" numFmtId="0" xfId="0" applyFont="1"/>
    <xf borderId="0" fillId="2" fontId="6" numFmtId="170" xfId="0" applyFont="1" applyNumberFormat="1"/>
    <xf borderId="0" fillId="2" fontId="6" numFmtId="168" xfId="0" applyFont="1" applyNumberFormat="1"/>
    <xf borderId="0" fillId="2" fontId="6" numFmtId="0" xfId="0" applyAlignment="1" applyFont="1">
      <alignment horizontal="center"/>
    </xf>
    <xf borderId="0" fillId="2" fontId="6" numFmtId="0" xfId="0" applyAlignment="1" applyFont="1">
      <alignment shrinkToFit="0" wrapText="1"/>
    </xf>
    <xf borderId="0" fillId="3" fontId="6" numFmtId="0" xfId="0" applyFont="1"/>
    <xf borderId="0" fillId="2" fontId="6" numFmtId="167" xfId="0" applyFont="1" applyNumberFormat="1"/>
    <xf borderId="0" fillId="2" fontId="12" numFmtId="168" xfId="0" applyFont="1" applyNumberFormat="1"/>
    <xf borderId="0" fillId="2" fontId="18" numFmtId="0" xfId="0" applyAlignment="1" applyFont="1">
      <alignment horizontal="center" readingOrder="0"/>
    </xf>
    <xf borderId="0" fillId="0" fontId="19" numFmtId="0" xfId="0" applyAlignment="1" applyFont="1">
      <alignment horizontal="center" readingOrder="0" shrinkToFit="0" wrapText="1"/>
    </xf>
    <xf borderId="0" fillId="0" fontId="19" numFmtId="0" xfId="0" applyAlignment="1" applyFont="1">
      <alignment horizontal="center" readingOrder="0"/>
    </xf>
    <xf borderId="0" fillId="0" fontId="20" numFmtId="0" xfId="0" applyAlignment="1" applyFont="1">
      <alignment horizontal="center" readingOrder="0"/>
    </xf>
    <xf borderId="0" fillId="0" fontId="20" numFmtId="0" xfId="0" applyAlignment="1" applyFont="1">
      <alignment horizontal="center"/>
    </xf>
    <xf borderId="0" fillId="2" fontId="0" numFmtId="166" xfId="0" applyAlignment="1" applyFont="1" applyNumberFormat="1">
      <alignment horizontal="center"/>
    </xf>
    <xf borderId="0" fillId="2" fontId="0" numFmtId="0" xfId="0" applyAlignment="1" applyFont="1">
      <alignment horizontal="center"/>
    </xf>
    <xf borderId="0" fillId="2" fontId="12" numFmtId="165" xfId="0" applyAlignment="1" applyFont="1" applyNumberFormat="1">
      <alignment horizontal="center"/>
    </xf>
    <xf borderId="0" fillId="0" fontId="4" numFmtId="0" xfId="0" applyAlignment="1" applyFont="1">
      <alignment horizontal="center" readingOrder="0"/>
    </xf>
    <xf borderId="0" fillId="2" fontId="6" numFmtId="14" xfId="0" applyAlignment="1" applyFont="1" applyNumberFormat="1">
      <alignment horizontal="center"/>
    </xf>
    <xf borderId="0" fillId="2" fontId="12" numFmtId="167" xfId="0" applyAlignment="1" applyFont="1" applyNumberFormat="1">
      <alignment horizontal="center"/>
    </xf>
    <xf borderId="0" fillId="0" fontId="12" numFmtId="14" xfId="0" applyAlignment="1" applyFont="1" applyNumberFormat="1">
      <alignment horizontal="center"/>
    </xf>
    <xf borderId="0" fillId="0" fontId="3" numFmtId="166" xfId="0" applyAlignment="1" applyFont="1" applyNumberFormat="1">
      <alignment horizontal="center"/>
    </xf>
    <xf borderId="0" fillId="0" fontId="3" numFmtId="0" xfId="0" applyAlignment="1" applyFont="1">
      <alignment horizontal="center"/>
    </xf>
    <xf borderId="0" fillId="0" fontId="6" numFmtId="14" xfId="0" applyAlignment="1" applyFont="1" applyNumberFormat="1">
      <alignment horizontal="center"/>
    </xf>
    <xf borderId="0" fillId="0" fontId="3" numFmtId="166" xfId="0" applyAlignment="1" applyFont="1" applyNumberFormat="1">
      <alignment horizontal="center"/>
    </xf>
    <xf borderId="0" fillId="0" fontId="16" numFmtId="0" xfId="0" applyAlignment="1" applyFont="1">
      <alignment readingOrder="0" shrinkToFit="0" wrapText="1"/>
    </xf>
    <xf borderId="0" fillId="0" fontId="16" numFmtId="0" xfId="0" applyAlignment="1" applyFont="1">
      <alignment shrinkToFit="0" wrapText="1"/>
    </xf>
    <xf borderId="0" fillId="0" fontId="6" numFmtId="166" xfId="0" applyAlignment="1" applyFont="1" applyNumberFormat="1">
      <alignment readingOrder="0"/>
    </xf>
    <xf borderId="0" fillId="0" fontId="6" numFmtId="0" xfId="0" applyAlignment="1" applyFont="1">
      <alignment readingOrder="0"/>
    </xf>
    <xf borderId="0" fillId="2" fontId="21" numFmtId="0" xfId="0" applyAlignment="1" applyFont="1">
      <alignment horizontal="left" readingOrder="0"/>
    </xf>
    <xf borderId="0" fillId="0" fontId="16" numFmtId="0" xfId="0" applyAlignment="1" applyFont="1">
      <alignment readingOrder="0"/>
    </xf>
    <xf borderId="0" fillId="0" fontId="6" numFmtId="166" xfId="0" applyAlignment="1" applyFont="1" applyNumberFormat="1">
      <alignment readingOrder="0"/>
    </xf>
    <xf borderId="0" fillId="2" fontId="22" numFmtId="0" xfId="0" applyAlignment="1" applyFont="1">
      <alignment readingOrder="0"/>
    </xf>
    <xf borderId="0" fillId="2" fontId="21" numFmtId="0" xfId="0" applyAlignment="1" applyFont="1">
      <alignment readingOrder="0"/>
    </xf>
    <xf borderId="0" fillId="2" fontId="23" numFmtId="0" xfId="0" applyAlignment="1" applyFont="1">
      <alignment horizontal="left" readingOrder="0"/>
    </xf>
    <xf borderId="0" fillId="0" fontId="22" numFmtId="0" xfId="0" applyAlignment="1" applyFont="1">
      <alignment readingOrder="0"/>
    </xf>
    <xf borderId="0" fillId="2" fontId="24" numFmtId="0" xfId="0" applyAlignment="1" applyFont="1">
      <alignment readingOrder="0"/>
    </xf>
    <xf borderId="0" fillId="0" fontId="6" numFmtId="0" xfId="0" applyAlignment="1" applyFont="1">
      <alignment horizontal="center" shrinkToFit="0" vertical="bottom" wrapText="0"/>
    </xf>
    <xf borderId="0" fillId="0" fontId="3" numFmtId="166" xfId="0" applyAlignment="1" applyFont="1" applyNumberFormat="1">
      <alignment horizontal="center" readingOrder="0"/>
    </xf>
    <xf borderId="0" fillId="0" fontId="3" numFmtId="0" xfId="0" applyAlignment="1" applyFont="1">
      <alignment horizontal="center" readingOrder="0"/>
    </xf>
    <xf borderId="0" fillId="6" fontId="6" numFmtId="166" xfId="0" applyAlignment="1" applyFill="1" applyFont="1" applyNumberFormat="1">
      <alignment readingOrder="0"/>
    </xf>
    <xf borderId="0" fillId="6" fontId="6" numFmtId="0" xfId="0" applyAlignment="1" applyFont="1">
      <alignment readingOrder="0"/>
    </xf>
    <xf borderId="0" fillId="6" fontId="6" numFmtId="0" xfId="0" applyFont="1"/>
    <xf borderId="0" fillId="6" fontId="6" numFmtId="0" xfId="0" applyAlignment="1" applyFont="1">
      <alignment shrinkToFit="0" wrapText="1"/>
    </xf>
    <xf borderId="0" fillId="6" fontId="6" numFmtId="0" xfId="0" applyAlignment="1" applyFont="1">
      <alignment readingOrder="0"/>
    </xf>
    <xf borderId="0" fillId="0" fontId="6" numFmtId="0" xfId="0" applyAlignment="1" applyFont="1">
      <alignment readingOrder="0" shrinkToFit="0" wrapText="1"/>
    </xf>
    <xf quotePrefix="1" borderId="0" fillId="0" fontId="6" numFmtId="0" xfId="0" applyAlignment="1" applyFont="1">
      <alignment readingOrder="0"/>
    </xf>
    <xf borderId="1" fillId="0" fontId="19" numFmtId="0" xfId="0" applyAlignment="1" applyBorder="1" applyFont="1">
      <alignment horizontal="center" readingOrder="0" shrinkToFit="0" wrapText="1"/>
    </xf>
    <xf borderId="1" fillId="7" fontId="19" numFmtId="0" xfId="0" applyAlignment="1" applyBorder="1" applyFill="1" applyFont="1">
      <alignment horizontal="center" readingOrder="0"/>
    </xf>
    <xf borderId="1" fillId="7" fontId="19" numFmtId="0" xfId="0" applyAlignment="1" applyBorder="1" applyFont="1">
      <alignment horizontal="center" readingOrder="0" vertical="center"/>
    </xf>
    <xf borderId="1" fillId="0" fontId="4" numFmtId="0" xfId="0" applyAlignment="1" applyBorder="1" applyFont="1">
      <alignment horizontal="center" readingOrder="0" shrinkToFit="0" wrapText="1"/>
    </xf>
    <xf borderId="1" fillId="0" fontId="6" numFmtId="0" xfId="0" applyAlignment="1" applyBorder="1" applyFont="1">
      <alignment horizontal="center" readingOrder="0"/>
    </xf>
    <xf borderId="1" fillId="0" fontId="6" numFmtId="0" xfId="0" applyAlignment="1" applyBorder="1" applyFont="1">
      <alignment horizontal="center" readingOrder="0" vertical="center"/>
    </xf>
    <xf borderId="1" fillId="0" fontId="4" numFmtId="0" xfId="0" applyAlignment="1" applyBorder="1" applyFont="1">
      <alignment horizontal="center" readingOrder="0" shrinkToFit="0" wrapText="1"/>
    </xf>
    <xf borderId="0" fillId="0" fontId="6" numFmtId="0" xfId="0" applyAlignment="1" applyFont="1">
      <alignment horizontal="center" vertical="center"/>
    </xf>
    <xf borderId="0" fillId="2" fontId="12" numFmtId="166" xfId="0" applyFont="1" applyNumberFormat="1"/>
    <xf borderId="0" fillId="2" fontId="12" numFmtId="0" xfId="0" applyFont="1"/>
    <xf borderId="0" fillId="2" fontId="12" numFmtId="166" xfId="0" applyFont="1" applyNumberFormat="1"/>
  </cellXfs>
  <cellStyles count="1">
    <cellStyle xfId="0" name="Normal" builtinId="0"/>
  </cellStyles>
  <dxfs count="2">
    <dxf>
      <font/>
      <fill>
        <patternFill patternType="solid">
          <fgColor rgb="FFF4C7C3"/>
          <bgColor rgb="FFF4C7C3"/>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22" Type="http://schemas.openxmlformats.org/officeDocument/2006/relationships/worksheet" Target="worksheets/sheet20.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mailto:mlnathan.genetics@gmail.com"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2" width="36.0"/>
    <col customWidth="1" min="3" max="3" width="37.43"/>
    <col customWidth="1" min="4" max="5" width="38.71"/>
    <col customWidth="1" min="6" max="6" width="22.14"/>
    <col customWidth="1" min="7" max="7" width="28.71"/>
    <col customWidth="1" min="8" max="8" width="22.43"/>
    <col customWidth="1" min="9" max="9" width="33.86"/>
    <col customWidth="1" min="10" max="10" width="27.29"/>
    <col customWidth="1" min="11" max="11" width="31.57"/>
    <col customWidth="1" min="12" max="12" width="49.0"/>
  </cols>
  <sheetData>
    <row r="1" ht="29.25" customHeight="1">
      <c r="A1" s="1" t="s">
        <v>0</v>
      </c>
      <c r="B1" s="3" t="s">
        <v>1</v>
      </c>
      <c r="C1" s="4" t="s">
        <v>2</v>
      </c>
      <c r="D1" s="5" t="s">
        <v>3</v>
      </c>
      <c r="E1" s="3" t="s">
        <v>4</v>
      </c>
      <c r="F1" s="1" t="s">
        <v>5</v>
      </c>
      <c r="G1" s="1" t="s">
        <v>6</v>
      </c>
      <c r="H1" s="1" t="s">
        <v>8</v>
      </c>
      <c r="I1" s="5" t="s">
        <v>9</v>
      </c>
      <c r="J1" s="1" t="s">
        <v>10</v>
      </c>
      <c r="K1" s="3" t="s">
        <v>11</v>
      </c>
      <c r="L1" s="5" t="s">
        <v>12</v>
      </c>
      <c r="M1" s="6"/>
      <c r="N1" s="6"/>
      <c r="O1" s="6"/>
      <c r="P1" s="6"/>
      <c r="Q1" s="6"/>
      <c r="R1" s="6"/>
      <c r="S1" s="6"/>
      <c r="T1" s="6"/>
      <c r="U1" s="6"/>
      <c r="V1" s="6"/>
      <c r="W1" s="6"/>
      <c r="X1" s="6"/>
      <c r="Y1" s="6"/>
      <c r="Z1" s="6"/>
      <c r="AA1" s="6"/>
      <c r="AB1" s="6"/>
      <c r="AC1" s="6"/>
      <c r="AD1" s="7"/>
    </row>
    <row r="2" ht="18.75" customHeight="1">
      <c r="A2" s="10" t="s">
        <v>13</v>
      </c>
      <c r="B2" s="10" t="s">
        <v>15</v>
      </c>
      <c r="C2" s="11"/>
      <c r="D2" s="13" t="s">
        <v>17</v>
      </c>
      <c r="E2" s="15" t="s">
        <v>19</v>
      </c>
      <c r="F2" s="15" t="s">
        <v>19</v>
      </c>
      <c r="G2" s="15" t="s">
        <v>21</v>
      </c>
      <c r="H2" s="15" t="s">
        <v>22</v>
      </c>
      <c r="I2" s="17" t="s">
        <v>23</v>
      </c>
      <c r="J2" s="15" t="s">
        <v>27</v>
      </c>
      <c r="K2" s="6"/>
      <c r="L2" s="19"/>
      <c r="M2" s="6"/>
      <c r="N2" s="6"/>
      <c r="O2" s="6"/>
      <c r="P2" s="6"/>
      <c r="Q2" s="6"/>
      <c r="R2" s="6"/>
      <c r="S2" s="6"/>
      <c r="T2" s="6"/>
      <c r="U2" s="6"/>
      <c r="V2" s="6"/>
      <c r="W2" s="6"/>
      <c r="X2" s="6"/>
      <c r="Y2" s="6"/>
      <c r="Z2" s="6"/>
      <c r="AA2" s="6"/>
      <c r="AB2" s="6"/>
      <c r="AC2" s="6"/>
      <c r="AD2" s="7"/>
    </row>
    <row r="3" ht="15.75" customHeight="1">
      <c r="A3" s="23" t="s">
        <v>30</v>
      </c>
      <c r="B3" s="10" t="s">
        <v>15</v>
      </c>
      <c r="C3" s="11"/>
      <c r="D3" s="25" t="s">
        <v>31</v>
      </c>
      <c r="E3" s="10" t="s">
        <v>33</v>
      </c>
      <c r="F3" s="23" t="s">
        <v>34</v>
      </c>
      <c r="G3" s="23" t="s">
        <v>35</v>
      </c>
      <c r="H3" s="23" t="s">
        <v>36</v>
      </c>
      <c r="I3" s="27" t="s">
        <v>37</v>
      </c>
      <c r="J3" s="23" t="s">
        <v>27</v>
      </c>
      <c r="K3" s="10" t="s">
        <v>39</v>
      </c>
      <c r="L3" s="27" t="s">
        <v>40</v>
      </c>
      <c r="M3" s="6"/>
      <c r="N3" s="6"/>
      <c r="O3" s="6"/>
      <c r="P3" s="6"/>
      <c r="Q3" s="6"/>
      <c r="R3" s="6"/>
      <c r="S3" s="6"/>
      <c r="T3" s="6"/>
      <c r="U3" s="6"/>
      <c r="V3" s="6"/>
      <c r="W3" s="6"/>
      <c r="X3" s="6"/>
      <c r="Y3" s="6"/>
      <c r="Z3" s="6"/>
      <c r="AA3" s="6"/>
      <c r="AB3" s="6"/>
      <c r="AC3" s="6"/>
      <c r="AD3" s="7"/>
    </row>
    <row r="4">
      <c r="A4" s="10" t="s">
        <v>43</v>
      </c>
      <c r="B4" s="10" t="s">
        <v>15</v>
      </c>
      <c r="C4" s="11" t="s">
        <v>44</v>
      </c>
      <c r="D4" s="29" t="s">
        <v>45</v>
      </c>
      <c r="E4" s="10" t="s">
        <v>46</v>
      </c>
      <c r="F4" s="23" t="s">
        <v>47</v>
      </c>
      <c r="G4" s="23" t="s">
        <v>48</v>
      </c>
      <c r="H4" s="23" t="s">
        <v>22</v>
      </c>
      <c r="I4" s="27" t="s">
        <v>49</v>
      </c>
      <c r="J4" s="23" t="s">
        <v>50</v>
      </c>
      <c r="K4" s="23"/>
      <c r="L4" s="19"/>
      <c r="M4" s="6"/>
      <c r="N4" s="6"/>
      <c r="O4" s="6"/>
      <c r="P4" s="6"/>
      <c r="Q4" s="6"/>
      <c r="R4" s="6"/>
      <c r="S4" s="6"/>
      <c r="T4" s="6"/>
      <c r="U4" s="6"/>
      <c r="V4" s="6"/>
      <c r="W4" s="6"/>
      <c r="X4" s="6"/>
      <c r="Y4" s="6"/>
      <c r="Z4" s="6"/>
      <c r="AA4" s="6"/>
      <c r="AB4" s="6"/>
      <c r="AC4" s="6"/>
      <c r="AD4" s="7"/>
    </row>
    <row r="5" ht="16.5" customHeight="1">
      <c r="A5" s="10" t="s">
        <v>13</v>
      </c>
      <c r="B5" s="10" t="s">
        <v>15</v>
      </c>
      <c r="C5" s="11" t="s">
        <v>51</v>
      </c>
      <c r="D5" s="29" t="s">
        <v>52</v>
      </c>
      <c r="E5" s="10" t="s">
        <v>46</v>
      </c>
      <c r="F5" s="23" t="s">
        <v>53</v>
      </c>
      <c r="G5" s="23" t="s">
        <v>35</v>
      </c>
      <c r="H5" s="23" t="s">
        <v>36</v>
      </c>
      <c r="I5" s="27" t="s">
        <v>54</v>
      </c>
      <c r="J5" s="32" t="s">
        <v>27</v>
      </c>
      <c r="K5" s="34" t="s">
        <v>56</v>
      </c>
      <c r="L5" s="36" t="s">
        <v>57</v>
      </c>
      <c r="M5" s="6"/>
      <c r="N5" s="6"/>
      <c r="O5" s="6"/>
      <c r="P5" s="6"/>
      <c r="Q5" s="6"/>
      <c r="R5" s="6"/>
      <c r="S5" s="6"/>
      <c r="T5" s="6"/>
      <c r="U5" s="6"/>
      <c r="V5" s="6"/>
      <c r="W5" s="6"/>
      <c r="X5" s="6"/>
      <c r="Y5" s="6"/>
      <c r="Z5" s="6"/>
      <c r="AA5" s="6"/>
      <c r="AB5" s="6"/>
      <c r="AC5" s="6"/>
      <c r="AD5" s="7"/>
    </row>
    <row r="6">
      <c r="A6" s="23" t="s">
        <v>30</v>
      </c>
      <c r="B6" s="38">
        <v>43525.0</v>
      </c>
      <c r="C6" s="39"/>
      <c r="D6" s="29" t="s">
        <v>59</v>
      </c>
      <c r="E6" s="10" t="s">
        <v>46</v>
      </c>
      <c r="F6" s="23" t="s">
        <v>53</v>
      </c>
      <c r="G6" s="23" t="s">
        <v>60</v>
      </c>
      <c r="H6" s="23" t="s">
        <v>61</v>
      </c>
      <c r="I6" s="27" t="s">
        <v>62</v>
      </c>
      <c r="J6" s="15" t="s">
        <v>63</v>
      </c>
      <c r="K6" s="6"/>
      <c r="L6" s="36" t="s">
        <v>64</v>
      </c>
      <c r="M6" s="6"/>
      <c r="N6" s="6"/>
      <c r="O6" s="6"/>
      <c r="P6" s="6"/>
      <c r="Q6" s="6"/>
      <c r="R6" s="6"/>
      <c r="S6" s="6"/>
      <c r="T6" s="6"/>
      <c r="U6" s="6"/>
      <c r="V6" s="6"/>
      <c r="W6" s="6"/>
      <c r="X6" s="6"/>
      <c r="Y6" s="6"/>
      <c r="Z6" s="6"/>
      <c r="AA6" s="6"/>
      <c r="AB6" s="6"/>
      <c r="AC6" s="6"/>
      <c r="AD6" s="7"/>
    </row>
    <row r="7">
      <c r="A7" s="10" t="s">
        <v>30</v>
      </c>
      <c r="B7" s="10" t="s">
        <v>65</v>
      </c>
      <c r="C7" s="27"/>
      <c r="D7" s="17" t="s">
        <v>66</v>
      </c>
      <c r="E7" s="15" t="s">
        <v>46</v>
      </c>
      <c r="F7" s="15" t="s">
        <v>67</v>
      </c>
      <c r="G7" s="17" t="s">
        <v>68</v>
      </c>
      <c r="H7" s="15" t="s">
        <v>22</v>
      </c>
      <c r="I7" s="17" t="s">
        <v>69</v>
      </c>
      <c r="J7" s="15" t="s">
        <v>63</v>
      </c>
      <c r="K7" s="15" t="s">
        <v>70</v>
      </c>
      <c r="L7" s="42" t="s">
        <v>71</v>
      </c>
      <c r="M7" s="44"/>
      <c r="N7" s="44"/>
      <c r="O7" s="44"/>
      <c r="P7" s="44"/>
      <c r="Q7" s="44"/>
      <c r="R7" s="44"/>
      <c r="S7" s="6"/>
      <c r="T7" s="6"/>
      <c r="U7" s="6"/>
      <c r="V7" s="6"/>
      <c r="W7" s="6"/>
      <c r="X7" s="6"/>
      <c r="Y7" s="6"/>
      <c r="Z7" s="6"/>
      <c r="AA7" s="6"/>
      <c r="AB7" s="6"/>
      <c r="AC7" s="6"/>
      <c r="AD7" s="7"/>
    </row>
    <row r="8">
      <c r="A8" s="10" t="s">
        <v>13</v>
      </c>
      <c r="B8" s="10" t="s">
        <v>86</v>
      </c>
      <c r="C8" s="27"/>
      <c r="D8" s="17" t="s">
        <v>88</v>
      </c>
      <c r="E8" s="15" t="s">
        <v>46</v>
      </c>
      <c r="F8" s="15" t="s">
        <v>67</v>
      </c>
      <c r="G8" s="15" t="s">
        <v>94</v>
      </c>
      <c r="H8" s="15" t="s">
        <v>22</v>
      </c>
      <c r="I8" s="17" t="s">
        <v>95</v>
      </c>
      <c r="J8" s="15" t="s">
        <v>63</v>
      </c>
      <c r="K8" s="15" t="s">
        <v>96</v>
      </c>
      <c r="L8" s="17" t="s">
        <v>97</v>
      </c>
      <c r="M8" s="6"/>
      <c r="N8" s="6"/>
      <c r="O8" s="6"/>
      <c r="P8" s="6"/>
      <c r="Q8" s="6"/>
      <c r="R8" s="6"/>
      <c r="S8" s="6"/>
      <c r="T8" s="6"/>
      <c r="U8" s="6"/>
      <c r="V8" s="6"/>
      <c r="W8" s="6"/>
      <c r="X8" s="6"/>
      <c r="Y8" s="6"/>
      <c r="Z8" s="6"/>
      <c r="AA8" s="6"/>
      <c r="AB8" s="6"/>
      <c r="AC8" s="6"/>
      <c r="AD8" s="7"/>
    </row>
    <row r="9" ht="18.75" customHeight="1">
      <c r="A9" s="10" t="s">
        <v>43</v>
      </c>
      <c r="B9" s="10" t="s">
        <v>65</v>
      </c>
      <c r="C9" s="11" t="s">
        <v>99</v>
      </c>
      <c r="D9" s="17" t="s">
        <v>100</v>
      </c>
      <c r="E9" s="15" t="s">
        <v>46</v>
      </c>
      <c r="F9" s="15" t="s">
        <v>101</v>
      </c>
      <c r="G9" s="15" t="s">
        <v>94</v>
      </c>
      <c r="H9" s="15" t="s">
        <v>22</v>
      </c>
      <c r="I9" s="17" t="s">
        <v>103</v>
      </c>
      <c r="J9" s="15" t="s">
        <v>63</v>
      </c>
      <c r="K9" s="15" t="s">
        <v>70</v>
      </c>
      <c r="L9" s="17" t="s">
        <v>70</v>
      </c>
      <c r="M9" s="6"/>
      <c r="N9" s="6"/>
      <c r="O9" s="6"/>
      <c r="P9" s="6"/>
      <c r="Q9" s="6"/>
      <c r="R9" s="6"/>
      <c r="S9" s="6"/>
      <c r="T9" s="6"/>
      <c r="U9" s="6"/>
      <c r="V9" s="6"/>
      <c r="W9" s="6"/>
      <c r="X9" s="6"/>
      <c r="Y9" s="6"/>
      <c r="Z9" s="6"/>
      <c r="AA9" s="6"/>
      <c r="AB9" s="6"/>
      <c r="AC9" s="6"/>
      <c r="AD9" s="7"/>
    </row>
    <row r="10">
      <c r="A10" s="10" t="s">
        <v>43</v>
      </c>
      <c r="B10" s="10" t="s">
        <v>15</v>
      </c>
      <c r="C10" s="11" t="s">
        <v>99</v>
      </c>
      <c r="D10" s="25" t="s">
        <v>104</v>
      </c>
      <c r="E10" s="10" t="s">
        <v>46</v>
      </c>
      <c r="F10" s="23" t="s">
        <v>53</v>
      </c>
      <c r="G10" s="10" t="s">
        <v>105</v>
      </c>
      <c r="H10" s="23" t="s">
        <v>36</v>
      </c>
      <c r="I10" s="27" t="s">
        <v>106</v>
      </c>
      <c r="J10" s="32" t="s">
        <v>27</v>
      </c>
      <c r="K10" s="34" t="s">
        <v>107</v>
      </c>
      <c r="L10" s="27" t="s">
        <v>57</v>
      </c>
      <c r="M10" s="6"/>
      <c r="N10" s="6"/>
      <c r="O10" s="6"/>
      <c r="P10" s="6"/>
      <c r="Q10" s="6"/>
      <c r="R10" s="6"/>
      <c r="S10" s="6"/>
      <c r="T10" s="6"/>
      <c r="U10" s="6"/>
      <c r="V10" s="6"/>
      <c r="W10" s="6"/>
      <c r="X10" s="6"/>
      <c r="Y10" s="6"/>
      <c r="Z10" s="6"/>
      <c r="AA10" s="6"/>
      <c r="AB10" s="6"/>
      <c r="AC10" s="6"/>
      <c r="AD10" s="7"/>
    </row>
    <row r="11">
      <c r="A11" s="23" t="s">
        <v>30</v>
      </c>
      <c r="B11" s="10" t="s">
        <v>15</v>
      </c>
      <c r="C11" s="11"/>
      <c r="D11" s="27" t="s">
        <v>109</v>
      </c>
      <c r="E11" s="10" t="s">
        <v>46</v>
      </c>
      <c r="F11" s="23" t="s">
        <v>110</v>
      </c>
      <c r="G11" s="23" t="s">
        <v>111</v>
      </c>
      <c r="H11" s="23" t="s">
        <v>22</v>
      </c>
      <c r="I11" s="27" t="s">
        <v>112</v>
      </c>
      <c r="J11" s="23" t="s">
        <v>113</v>
      </c>
      <c r="K11" s="23"/>
      <c r="L11" s="19"/>
      <c r="M11" s="6"/>
      <c r="N11" s="6"/>
      <c r="O11" s="6"/>
      <c r="P11" s="6"/>
      <c r="Q11" s="6"/>
      <c r="R11" s="6"/>
      <c r="S11" s="6"/>
      <c r="T11" s="6"/>
      <c r="U11" s="6"/>
      <c r="V11" s="6"/>
      <c r="W11" s="6"/>
      <c r="X11" s="6"/>
      <c r="Y11" s="6"/>
      <c r="Z11" s="6"/>
      <c r="AA11" s="6"/>
      <c r="AB11" s="6"/>
      <c r="AC11" s="6"/>
      <c r="AD11" s="7"/>
    </row>
    <row r="12">
      <c r="A12" s="23" t="s">
        <v>13</v>
      </c>
      <c r="B12" s="10" t="s">
        <v>15</v>
      </c>
      <c r="C12" s="11" t="s">
        <v>114</v>
      </c>
      <c r="D12" s="27" t="s">
        <v>115</v>
      </c>
      <c r="E12" s="10" t="s">
        <v>46</v>
      </c>
      <c r="F12" s="23" t="s">
        <v>20</v>
      </c>
      <c r="G12" s="23" t="s">
        <v>116</v>
      </c>
      <c r="H12" s="23" t="s">
        <v>25</v>
      </c>
      <c r="I12" s="27" t="s">
        <v>118</v>
      </c>
      <c r="J12" s="23" t="s">
        <v>113</v>
      </c>
      <c r="K12" s="23"/>
      <c r="L12" s="42" t="s">
        <v>119</v>
      </c>
      <c r="M12" s="6"/>
      <c r="N12" s="6"/>
      <c r="O12" s="6"/>
      <c r="P12" s="6"/>
      <c r="Q12" s="6"/>
      <c r="R12" s="6"/>
      <c r="S12" s="6"/>
      <c r="T12" s="6"/>
      <c r="U12" s="6"/>
      <c r="V12" s="6"/>
      <c r="W12" s="6"/>
      <c r="X12" s="6"/>
      <c r="Y12" s="6"/>
      <c r="Z12" s="6"/>
      <c r="AA12" s="6"/>
      <c r="AB12" s="6"/>
      <c r="AC12" s="6"/>
      <c r="AD12" s="7"/>
    </row>
    <row r="13">
      <c r="A13" s="10" t="s">
        <v>13</v>
      </c>
      <c r="B13" s="10" t="s">
        <v>120</v>
      </c>
      <c r="C13" s="27"/>
      <c r="D13" s="17" t="s">
        <v>121</v>
      </c>
      <c r="E13" s="15" t="s">
        <v>46</v>
      </c>
      <c r="F13" s="15" t="s">
        <v>67</v>
      </c>
      <c r="G13" s="15" t="s">
        <v>94</v>
      </c>
      <c r="H13" s="15" t="s">
        <v>22</v>
      </c>
      <c r="I13" s="17" t="s">
        <v>124</v>
      </c>
      <c r="J13" s="15" t="s">
        <v>63</v>
      </c>
      <c r="K13" s="15" t="s">
        <v>70</v>
      </c>
      <c r="L13" s="42" t="s">
        <v>70</v>
      </c>
      <c r="M13" s="44"/>
      <c r="N13" s="44"/>
      <c r="O13" s="44"/>
      <c r="P13" s="44"/>
      <c r="Q13" s="44"/>
      <c r="R13" s="44"/>
      <c r="S13" s="44"/>
      <c r="T13" s="44"/>
      <c r="U13" s="44"/>
      <c r="V13" s="44"/>
      <c r="W13" s="44"/>
      <c r="X13" s="44"/>
      <c r="Y13" s="44"/>
      <c r="Z13" s="6"/>
      <c r="AA13" s="6"/>
      <c r="AB13" s="6"/>
      <c r="AC13" s="6"/>
      <c r="AD13" s="7"/>
    </row>
    <row r="14">
      <c r="A14" s="10" t="s">
        <v>13</v>
      </c>
      <c r="B14" s="38">
        <v>43525.0</v>
      </c>
      <c r="C14" s="52"/>
      <c r="D14" s="54" t="s">
        <v>126</v>
      </c>
      <c r="E14" s="15" t="s">
        <v>46</v>
      </c>
      <c r="F14" s="15" t="s">
        <v>47</v>
      </c>
      <c r="G14" s="15" t="s">
        <v>127</v>
      </c>
      <c r="H14" s="15" t="s">
        <v>61</v>
      </c>
      <c r="I14" s="17" t="s">
        <v>128</v>
      </c>
      <c r="J14" s="15" t="s">
        <v>63</v>
      </c>
      <c r="K14" s="6"/>
      <c r="L14" s="42" t="s">
        <v>129</v>
      </c>
      <c r="M14" s="44"/>
      <c r="N14" s="44"/>
      <c r="O14" s="6"/>
      <c r="P14" s="6"/>
      <c r="Q14" s="6"/>
      <c r="R14" s="6"/>
      <c r="S14" s="6"/>
      <c r="T14" s="6"/>
      <c r="U14" s="6"/>
      <c r="V14" s="6"/>
      <c r="W14" s="6"/>
      <c r="X14" s="6"/>
      <c r="Y14" s="6"/>
      <c r="Z14" s="6"/>
      <c r="AA14" s="6"/>
      <c r="AB14" s="6"/>
      <c r="AC14" s="6"/>
      <c r="AD14" s="7"/>
    </row>
    <row r="15">
      <c r="A15" s="10" t="s">
        <v>43</v>
      </c>
      <c r="B15" s="10" t="s">
        <v>15</v>
      </c>
      <c r="C15" s="11" t="s">
        <v>131</v>
      </c>
      <c r="D15" s="11" t="s">
        <v>132</v>
      </c>
      <c r="E15" s="10" t="s">
        <v>133</v>
      </c>
      <c r="F15" s="23" t="s">
        <v>47</v>
      </c>
      <c r="G15" s="23" t="s">
        <v>134</v>
      </c>
      <c r="H15" s="23" t="s">
        <v>135</v>
      </c>
      <c r="I15" s="27" t="s">
        <v>137</v>
      </c>
      <c r="J15" s="23" t="s">
        <v>27</v>
      </c>
      <c r="K15" s="23"/>
      <c r="L15" s="36" t="s">
        <v>57</v>
      </c>
      <c r="M15" s="44"/>
      <c r="N15" s="44"/>
      <c r="O15" s="6"/>
      <c r="P15" s="6"/>
      <c r="Q15" s="6"/>
      <c r="R15" s="6"/>
      <c r="S15" s="6"/>
      <c r="T15" s="6"/>
      <c r="U15" s="6"/>
      <c r="V15" s="6"/>
      <c r="W15" s="6"/>
      <c r="X15" s="6"/>
      <c r="Y15" s="6"/>
      <c r="Z15" s="6"/>
      <c r="AA15" s="6"/>
      <c r="AB15" s="6"/>
      <c r="AC15" s="6"/>
      <c r="AD15" s="7"/>
    </row>
    <row r="16">
      <c r="A16" s="10" t="s">
        <v>13</v>
      </c>
      <c r="B16" s="10" t="s">
        <v>140</v>
      </c>
      <c r="C16" s="27"/>
      <c r="D16" s="17" t="s">
        <v>141</v>
      </c>
      <c r="E16" s="15" t="s">
        <v>142</v>
      </c>
      <c r="F16" s="15" t="s">
        <v>136</v>
      </c>
      <c r="G16" s="15" t="s">
        <v>144</v>
      </c>
      <c r="H16" s="15" t="s">
        <v>145</v>
      </c>
      <c r="I16" s="19"/>
      <c r="J16" s="15" t="s">
        <v>63</v>
      </c>
      <c r="K16" s="15" t="s">
        <v>70</v>
      </c>
      <c r="L16" s="42" t="s">
        <v>70</v>
      </c>
      <c r="M16" s="44"/>
      <c r="N16" s="44"/>
      <c r="O16" s="6"/>
      <c r="P16" s="6"/>
      <c r="Q16" s="6"/>
      <c r="R16" s="6"/>
      <c r="S16" s="6"/>
      <c r="T16" s="6"/>
      <c r="U16" s="6"/>
      <c r="V16" s="6"/>
      <c r="W16" s="6"/>
      <c r="X16" s="6"/>
      <c r="Y16" s="6"/>
      <c r="Z16" s="6"/>
      <c r="AA16" s="6"/>
      <c r="AB16" s="6"/>
      <c r="AC16" s="6"/>
      <c r="AD16" s="7"/>
    </row>
    <row r="17">
      <c r="A17" s="23" t="s">
        <v>30</v>
      </c>
      <c r="B17" s="10" t="s">
        <v>15</v>
      </c>
      <c r="C17" s="11" t="s">
        <v>146</v>
      </c>
      <c r="D17" s="57" t="s">
        <v>147</v>
      </c>
      <c r="E17" s="58" t="s">
        <v>142</v>
      </c>
      <c r="F17" s="59" t="s">
        <v>136</v>
      </c>
      <c r="G17" s="59" t="s">
        <v>144</v>
      </c>
      <c r="H17" s="23" t="s">
        <v>22</v>
      </c>
      <c r="I17" s="61" t="s">
        <v>148</v>
      </c>
      <c r="J17" s="62"/>
      <c r="K17" s="6"/>
      <c r="L17" s="63" t="s">
        <v>149</v>
      </c>
      <c r="M17" s="44"/>
      <c r="N17" s="44"/>
      <c r="O17" s="6"/>
      <c r="P17" s="6"/>
      <c r="Q17" s="6"/>
      <c r="R17" s="6"/>
      <c r="S17" s="6"/>
      <c r="T17" s="6"/>
      <c r="U17" s="6"/>
      <c r="V17" s="6"/>
      <c r="W17" s="6"/>
      <c r="X17" s="6"/>
      <c r="Y17" s="6"/>
      <c r="Z17" s="6"/>
      <c r="AA17" s="6"/>
      <c r="AB17" s="6"/>
      <c r="AC17" s="6"/>
      <c r="AD17" s="7"/>
    </row>
    <row r="18">
      <c r="A18" s="23" t="s">
        <v>13</v>
      </c>
      <c r="B18" s="10" t="s">
        <v>15</v>
      </c>
      <c r="C18" s="11"/>
      <c r="D18" s="25" t="s">
        <v>150</v>
      </c>
      <c r="E18" s="10" t="s">
        <v>142</v>
      </c>
      <c r="F18" s="23" t="s">
        <v>136</v>
      </c>
      <c r="G18" s="23" t="s">
        <v>151</v>
      </c>
      <c r="H18" s="23" t="s">
        <v>152</v>
      </c>
      <c r="I18" s="27" t="s">
        <v>153</v>
      </c>
      <c r="J18" s="27" t="s">
        <v>154</v>
      </c>
      <c r="K18" s="23"/>
      <c r="L18" s="27" t="s">
        <v>155</v>
      </c>
      <c r="M18" s="6"/>
      <c r="N18" s="6"/>
      <c r="O18" s="6"/>
      <c r="P18" s="6"/>
      <c r="Q18" s="6"/>
      <c r="R18" s="6"/>
      <c r="S18" s="6"/>
      <c r="T18" s="6"/>
      <c r="U18" s="6"/>
      <c r="V18" s="6"/>
      <c r="W18" s="6"/>
      <c r="X18" s="6"/>
      <c r="Y18" s="6"/>
      <c r="Z18" s="6"/>
      <c r="AA18" s="6"/>
      <c r="AB18" s="6"/>
      <c r="AC18" s="6"/>
      <c r="AD18" s="7"/>
    </row>
    <row r="19">
      <c r="A19" s="10" t="s">
        <v>13</v>
      </c>
      <c r="B19" s="10" t="s">
        <v>15</v>
      </c>
      <c r="C19" s="11"/>
      <c r="D19" s="25" t="s">
        <v>136</v>
      </c>
      <c r="E19" s="10" t="s">
        <v>142</v>
      </c>
      <c r="F19" s="23" t="s">
        <v>136</v>
      </c>
      <c r="G19" s="23" t="s">
        <v>144</v>
      </c>
      <c r="H19" s="23" t="s">
        <v>22</v>
      </c>
      <c r="I19" s="27" t="s">
        <v>156</v>
      </c>
      <c r="J19" s="62"/>
      <c r="K19" s="15" t="s">
        <v>157</v>
      </c>
      <c r="L19" s="19"/>
      <c r="M19" s="6"/>
      <c r="N19" s="6"/>
      <c r="O19" s="6"/>
      <c r="P19" s="6"/>
      <c r="Q19" s="6"/>
      <c r="R19" s="6"/>
      <c r="S19" s="6"/>
      <c r="T19" s="6"/>
      <c r="U19" s="6"/>
      <c r="V19" s="6"/>
      <c r="W19" s="6"/>
      <c r="X19" s="6"/>
      <c r="Y19" s="6"/>
      <c r="Z19" s="6"/>
      <c r="AA19" s="6"/>
      <c r="AB19" s="6"/>
      <c r="AC19" s="6"/>
      <c r="AD19" s="7"/>
    </row>
    <row r="20">
      <c r="A20" s="10" t="s">
        <v>43</v>
      </c>
      <c r="B20" s="10" t="s">
        <v>158</v>
      </c>
      <c r="C20" s="11" t="s">
        <v>159</v>
      </c>
      <c r="D20" s="17" t="s">
        <v>161</v>
      </c>
      <c r="E20" s="15" t="s">
        <v>142</v>
      </c>
      <c r="F20" s="15" t="s">
        <v>136</v>
      </c>
      <c r="G20" s="15" t="s">
        <v>162</v>
      </c>
      <c r="H20" s="15" t="s">
        <v>25</v>
      </c>
      <c r="I20" s="19"/>
      <c r="J20" s="6"/>
      <c r="K20" s="6"/>
      <c r="L20" s="67"/>
      <c r="M20" s="6"/>
      <c r="N20" s="6"/>
      <c r="O20" s="6"/>
      <c r="P20" s="6"/>
      <c r="Q20" s="6"/>
      <c r="R20" s="6"/>
      <c r="S20" s="6"/>
      <c r="T20" s="6"/>
      <c r="U20" s="6"/>
      <c r="V20" s="6"/>
      <c r="W20" s="6"/>
      <c r="X20" s="6"/>
      <c r="Y20" s="6"/>
      <c r="Z20" s="6"/>
      <c r="AA20" s="6"/>
      <c r="AB20" s="6"/>
      <c r="AC20" s="6"/>
      <c r="AD20" s="7"/>
    </row>
    <row r="21">
      <c r="A21" s="10" t="s">
        <v>43</v>
      </c>
      <c r="B21" s="10" t="s">
        <v>165</v>
      </c>
      <c r="C21" s="11" t="s">
        <v>159</v>
      </c>
      <c r="D21" s="17" t="s">
        <v>166</v>
      </c>
      <c r="E21" s="15" t="s">
        <v>142</v>
      </c>
      <c r="F21" s="15" t="s">
        <v>136</v>
      </c>
      <c r="G21" s="15" t="s">
        <v>162</v>
      </c>
      <c r="H21" s="15" t="s">
        <v>25</v>
      </c>
      <c r="I21" s="19"/>
      <c r="J21" s="6"/>
      <c r="K21" s="6"/>
      <c r="L21" s="19"/>
      <c r="M21" s="6"/>
      <c r="N21" s="6"/>
      <c r="O21" s="6"/>
      <c r="P21" s="6"/>
      <c r="Q21" s="6"/>
      <c r="R21" s="6"/>
      <c r="S21" s="6"/>
      <c r="T21" s="6"/>
      <c r="U21" s="6"/>
      <c r="V21" s="6"/>
      <c r="W21" s="6"/>
      <c r="X21" s="6"/>
      <c r="Y21" s="6"/>
      <c r="Z21" s="6"/>
      <c r="AA21" s="6"/>
      <c r="AB21" s="6"/>
      <c r="AC21" s="6"/>
      <c r="AD21" s="7"/>
    </row>
    <row r="22">
      <c r="A22" s="10" t="s">
        <v>30</v>
      </c>
      <c r="B22" s="10" t="s">
        <v>15</v>
      </c>
      <c r="C22" s="70" t="s">
        <v>167</v>
      </c>
      <c r="D22" s="29" t="s">
        <v>169</v>
      </c>
      <c r="E22" s="10" t="s">
        <v>18</v>
      </c>
      <c r="F22" s="23" t="s">
        <v>47</v>
      </c>
      <c r="G22" s="23" t="s">
        <v>48</v>
      </c>
      <c r="H22" s="23" t="s">
        <v>22</v>
      </c>
      <c r="I22" s="27" t="s">
        <v>170</v>
      </c>
      <c r="J22" s="23" t="s">
        <v>50</v>
      </c>
      <c r="K22" s="23"/>
      <c r="L22" s="17" t="s">
        <v>171</v>
      </c>
      <c r="M22" s="6"/>
      <c r="N22" s="6"/>
      <c r="O22" s="6"/>
      <c r="P22" s="6"/>
      <c r="Q22" s="6"/>
      <c r="R22" s="6"/>
      <c r="S22" s="6"/>
      <c r="T22" s="6"/>
      <c r="U22" s="6"/>
      <c r="V22" s="6"/>
      <c r="W22" s="6"/>
      <c r="X22" s="6"/>
      <c r="Y22" s="6"/>
      <c r="Z22" s="6"/>
      <c r="AA22" s="6"/>
      <c r="AB22" s="6"/>
      <c r="AC22" s="6"/>
      <c r="AD22" s="7"/>
    </row>
    <row r="23">
      <c r="A23" s="23" t="s">
        <v>30</v>
      </c>
      <c r="B23" s="10" t="s">
        <v>15</v>
      </c>
      <c r="C23" s="11"/>
      <c r="D23" s="29" t="s">
        <v>172</v>
      </c>
      <c r="E23" s="10" t="s">
        <v>18</v>
      </c>
      <c r="F23" s="23" t="s">
        <v>53</v>
      </c>
      <c r="G23" s="23" t="s">
        <v>60</v>
      </c>
      <c r="H23" s="23" t="s">
        <v>135</v>
      </c>
      <c r="I23" s="27" t="s">
        <v>62</v>
      </c>
      <c r="J23" s="15" t="s">
        <v>63</v>
      </c>
      <c r="K23" s="6"/>
      <c r="L23" s="27" t="s">
        <v>64</v>
      </c>
      <c r="M23" s="6"/>
      <c r="N23" s="6"/>
      <c r="O23" s="6"/>
      <c r="P23" s="6"/>
      <c r="Q23" s="6"/>
      <c r="R23" s="6"/>
      <c r="S23" s="6"/>
      <c r="T23" s="6"/>
      <c r="U23" s="6"/>
      <c r="V23" s="6"/>
      <c r="W23" s="6"/>
      <c r="X23" s="6"/>
      <c r="Y23" s="6"/>
      <c r="Z23" s="6"/>
      <c r="AA23" s="6"/>
      <c r="AB23" s="6"/>
      <c r="AC23" s="6"/>
      <c r="AD23" s="7"/>
    </row>
    <row r="24">
      <c r="A24" s="10" t="s">
        <v>30</v>
      </c>
      <c r="B24" s="10" t="s">
        <v>15</v>
      </c>
      <c r="C24" s="11" t="s">
        <v>174</v>
      </c>
      <c r="D24" s="71" t="s">
        <v>175</v>
      </c>
      <c r="E24" s="58" t="s">
        <v>18</v>
      </c>
      <c r="F24" s="23" t="s">
        <v>20</v>
      </c>
      <c r="G24" s="23" t="s">
        <v>116</v>
      </c>
      <c r="H24" s="23" t="s">
        <v>25</v>
      </c>
      <c r="I24" s="57" t="s">
        <v>176</v>
      </c>
      <c r="J24" s="23" t="s">
        <v>113</v>
      </c>
      <c r="K24" s="10" t="s">
        <v>177</v>
      </c>
      <c r="L24" s="17" t="s">
        <v>178</v>
      </c>
      <c r="M24" s="6"/>
      <c r="N24" s="6"/>
      <c r="O24" s="6"/>
      <c r="P24" s="6"/>
      <c r="Q24" s="6"/>
      <c r="R24" s="6"/>
      <c r="S24" s="6"/>
      <c r="T24" s="6"/>
      <c r="U24" s="6"/>
      <c r="V24" s="6"/>
      <c r="W24" s="6"/>
      <c r="X24" s="6"/>
      <c r="Y24" s="6"/>
      <c r="Z24" s="6"/>
      <c r="AA24" s="6"/>
      <c r="AB24" s="6"/>
      <c r="AC24" s="6"/>
      <c r="AD24" s="7"/>
    </row>
    <row r="25">
      <c r="A25" s="10" t="s">
        <v>30</v>
      </c>
      <c r="B25" s="38">
        <v>43525.0</v>
      </c>
      <c r="C25" s="70" t="s">
        <v>180</v>
      </c>
      <c r="D25" s="54" t="s">
        <v>181</v>
      </c>
      <c r="E25" s="15" t="s">
        <v>18</v>
      </c>
      <c r="F25" s="15" t="s">
        <v>47</v>
      </c>
      <c r="G25" s="23" t="s">
        <v>48</v>
      </c>
      <c r="H25" s="15" t="s">
        <v>22</v>
      </c>
      <c r="I25" s="19"/>
      <c r="J25" s="15" t="s">
        <v>182</v>
      </c>
      <c r="K25" s="6"/>
      <c r="L25" s="17" t="s">
        <v>183</v>
      </c>
      <c r="M25" s="6"/>
      <c r="N25" s="6"/>
      <c r="O25" s="6"/>
      <c r="P25" s="6"/>
      <c r="Q25" s="6"/>
      <c r="R25" s="6"/>
      <c r="S25" s="6"/>
      <c r="T25" s="6"/>
      <c r="U25" s="6"/>
      <c r="V25" s="6"/>
      <c r="W25" s="6"/>
      <c r="X25" s="6"/>
      <c r="Y25" s="6"/>
      <c r="Z25" s="6"/>
      <c r="AA25" s="6"/>
      <c r="AB25" s="6"/>
      <c r="AC25" s="6"/>
      <c r="AD25" s="7"/>
    </row>
    <row r="26">
      <c r="A26" s="10" t="s">
        <v>30</v>
      </c>
      <c r="B26" s="38">
        <v>43525.0</v>
      </c>
      <c r="C26" s="70" t="s">
        <v>184</v>
      </c>
      <c r="D26" s="54" t="s">
        <v>185</v>
      </c>
      <c r="E26" s="58" t="s">
        <v>18</v>
      </c>
      <c r="F26" s="58" t="s">
        <v>110</v>
      </c>
      <c r="G26" s="59" t="s">
        <v>111</v>
      </c>
      <c r="H26" s="23" t="s">
        <v>22</v>
      </c>
      <c r="I26" s="19"/>
      <c r="J26" s="15" t="s">
        <v>63</v>
      </c>
      <c r="K26" s="6"/>
      <c r="L26" s="42" t="s">
        <v>186</v>
      </c>
      <c r="M26" s="44"/>
      <c r="N26" s="44"/>
      <c r="O26" s="6"/>
      <c r="P26" s="6"/>
      <c r="Q26" s="6"/>
      <c r="R26" s="6"/>
      <c r="S26" s="6"/>
      <c r="T26" s="6"/>
      <c r="U26" s="6"/>
      <c r="V26" s="6"/>
      <c r="W26" s="6"/>
      <c r="X26" s="6"/>
      <c r="Y26" s="6"/>
      <c r="Z26" s="6"/>
      <c r="AA26" s="6"/>
      <c r="AB26" s="6"/>
      <c r="AC26" s="6"/>
      <c r="AD26" s="7"/>
    </row>
    <row r="27">
      <c r="A27" s="23"/>
      <c r="B27" s="10" t="s">
        <v>15</v>
      </c>
      <c r="C27" s="11"/>
      <c r="D27" s="27" t="s">
        <v>187</v>
      </c>
      <c r="E27" s="10" t="s">
        <v>18</v>
      </c>
      <c r="F27" s="23" t="s">
        <v>20</v>
      </c>
      <c r="G27" s="23" t="s">
        <v>188</v>
      </c>
      <c r="H27" s="23" t="s">
        <v>25</v>
      </c>
      <c r="I27" s="27" t="s">
        <v>189</v>
      </c>
      <c r="J27" s="23" t="s">
        <v>50</v>
      </c>
      <c r="K27" s="23"/>
      <c r="L27" s="36" t="s">
        <v>190</v>
      </c>
      <c r="M27" s="44"/>
      <c r="N27" s="44"/>
      <c r="O27" s="44"/>
      <c r="P27" s="6"/>
      <c r="Q27" s="6"/>
      <c r="R27" s="6"/>
      <c r="S27" s="6"/>
      <c r="T27" s="6"/>
      <c r="U27" s="6"/>
      <c r="V27" s="6"/>
      <c r="W27" s="6"/>
      <c r="X27" s="6"/>
      <c r="Y27" s="6"/>
      <c r="Z27" s="6"/>
      <c r="AA27" s="6"/>
      <c r="AB27" s="6"/>
      <c r="AC27" s="6"/>
      <c r="AD27" s="7"/>
    </row>
    <row r="28">
      <c r="A28" s="10" t="s">
        <v>30</v>
      </c>
      <c r="B28" s="10" t="s">
        <v>191</v>
      </c>
      <c r="C28" s="70" t="s">
        <v>192</v>
      </c>
      <c r="D28" s="17" t="s">
        <v>193</v>
      </c>
      <c r="E28" s="15" t="s">
        <v>18</v>
      </c>
      <c r="F28" s="15" t="s">
        <v>194</v>
      </c>
      <c r="G28" s="15" t="s">
        <v>94</v>
      </c>
      <c r="H28" s="15" t="s">
        <v>22</v>
      </c>
      <c r="I28" s="17" t="s">
        <v>95</v>
      </c>
      <c r="J28" s="15" t="s">
        <v>63</v>
      </c>
      <c r="K28" s="15" t="s">
        <v>195</v>
      </c>
      <c r="L28" s="17" t="s">
        <v>196</v>
      </c>
      <c r="M28" s="6"/>
      <c r="N28" s="6"/>
      <c r="O28" s="6"/>
      <c r="P28" s="6"/>
      <c r="Q28" s="6"/>
      <c r="R28" s="6"/>
      <c r="S28" s="6"/>
      <c r="T28" s="6"/>
      <c r="U28" s="6"/>
      <c r="V28" s="6"/>
      <c r="W28" s="6"/>
      <c r="X28" s="6"/>
      <c r="Y28" s="6"/>
      <c r="Z28" s="6"/>
      <c r="AA28" s="6"/>
      <c r="AB28" s="6"/>
      <c r="AC28" s="6"/>
      <c r="AD28" s="7"/>
    </row>
    <row r="29" ht="18.0" customHeight="1">
      <c r="A29" s="10" t="s">
        <v>13</v>
      </c>
      <c r="B29" s="72">
        <v>43594.0</v>
      </c>
      <c r="C29" s="27"/>
      <c r="D29" s="17" t="s">
        <v>198</v>
      </c>
      <c r="E29" s="15" t="s">
        <v>18</v>
      </c>
      <c r="F29" s="15" t="s">
        <v>101</v>
      </c>
      <c r="G29" s="15" t="s">
        <v>199</v>
      </c>
      <c r="H29" s="15" t="s">
        <v>22</v>
      </c>
      <c r="I29" s="17" t="s">
        <v>200</v>
      </c>
      <c r="J29" s="15" t="s">
        <v>63</v>
      </c>
      <c r="K29" s="15"/>
      <c r="L29" s="17" t="s">
        <v>70</v>
      </c>
      <c r="M29" s="6"/>
      <c r="N29" s="6"/>
      <c r="O29" s="6"/>
      <c r="P29" s="6"/>
      <c r="Q29" s="6"/>
      <c r="R29" s="6"/>
      <c r="S29" s="6"/>
      <c r="T29" s="6"/>
      <c r="U29" s="6"/>
      <c r="V29" s="6"/>
      <c r="W29" s="6"/>
      <c r="X29" s="6"/>
      <c r="Y29" s="6"/>
      <c r="Z29" s="6"/>
      <c r="AA29" s="6"/>
      <c r="AB29" s="6"/>
      <c r="AC29" s="6"/>
      <c r="AD29" s="7"/>
    </row>
    <row r="30">
      <c r="A30" s="10" t="s">
        <v>13</v>
      </c>
      <c r="B30" s="72">
        <v>43594.0</v>
      </c>
      <c r="C30" s="27"/>
      <c r="D30" s="17" t="s">
        <v>201</v>
      </c>
      <c r="E30" s="15" t="s">
        <v>18</v>
      </c>
      <c r="F30" s="15" t="s">
        <v>101</v>
      </c>
      <c r="G30" s="15" t="s">
        <v>94</v>
      </c>
      <c r="H30" s="15" t="s">
        <v>22</v>
      </c>
      <c r="I30" s="17" t="s">
        <v>203</v>
      </c>
      <c r="J30" s="15" t="s">
        <v>63</v>
      </c>
      <c r="K30" s="6"/>
      <c r="L30" s="17" t="s">
        <v>70</v>
      </c>
      <c r="M30" s="6"/>
      <c r="N30" s="6"/>
      <c r="O30" s="6"/>
      <c r="P30" s="6"/>
      <c r="Q30" s="6"/>
      <c r="R30" s="6"/>
      <c r="S30" s="6"/>
      <c r="T30" s="6"/>
      <c r="U30" s="6"/>
      <c r="V30" s="6"/>
      <c r="W30" s="6"/>
      <c r="X30" s="6"/>
      <c r="Y30" s="6"/>
      <c r="Z30" s="6"/>
      <c r="AA30" s="6"/>
      <c r="AB30" s="6"/>
      <c r="AC30" s="6"/>
      <c r="AD30" s="7"/>
    </row>
    <row r="31">
      <c r="A31" s="10" t="s">
        <v>30</v>
      </c>
      <c r="B31" s="10" t="s">
        <v>15</v>
      </c>
      <c r="C31" s="11"/>
      <c r="D31" s="13" t="s">
        <v>204</v>
      </c>
      <c r="E31" s="15" t="s">
        <v>18</v>
      </c>
      <c r="F31" s="15" t="s">
        <v>205</v>
      </c>
      <c r="G31" s="15" t="s">
        <v>206</v>
      </c>
      <c r="H31" s="15" t="s">
        <v>36</v>
      </c>
      <c r="I31" s="17" t="s">
        <v>207</v>
      </c>
      <c r="J31" s="15" t="s">
        <v>63</v>
      </c>
      <c r="K31" s="15" t="s">
        <v>208</v>
      </c>
      <c r="L31" s="17" t="s">
        <v>209</v>
      </c>
      <c r="M31" s="6"/>
      <c r="N31" s="6"/>
      <c r="O31" s="6"/>
      <c r="P31" s="6"/>
      <c r="Q31" s="6"/>
      <c r="R31" s="6"/>
      <c r="S31" s="6"/>
      <c r="T31" s="6"/>
      <c r="U31" s="6"/>
      <c r="V31" s="6"/>
      <c r="W31" s="6"/>
      <c r="X31" s="6"/>
      <c r="Y31" s="6"/>
      <c r="Z31" s="6"/>
      <c r="AA31" s="6"/>
      <c r="AB31" s="6"/>
      <c r="AC31" s="6"/>
      <c r="AD31" s="7"/>
    </row>
    <row r="32">
      <c r="A32" s="10" t="s">
        <v>43</v>
      </c>
      <c r="B32" s="10" t="s">
        <v>15</v>
      </c>
      <c r="C32" s="11" t="s">
        <v>210</v>
      </c>
      <c r="D32" s="11" t="s">
        <v>211</v>
      </c>
      <c r="E32" s="10" t="s">
        <v>18</v>
      </c>
      <c r="F32" s="23" t="s">
        <v>20</v>
      </c>
      <c r="G32" s="74" t="s">
        <v>212</v>
      </c>
      <c r="H32" s="23" t="s">
        <v>25</v>
      </c>
      <c r="I32" s="27" t="s">
        <v>213</v>
      </c>
      <c r="J32" s="23" t="s">
        <v>50</v>
      </c>
      <c r="K32" s="23"/>
      <c r="L32" s="27" t="s">
        <v>190</v>
      </c>
      <c r="M32" s="6"/>
      <c r="N32" s="6"/>
      <c r="O32" s="6"/>
      <c r="P32" s="6"/>
      <c r="Q32" s="6"/>
      <c r="R32" s="6"/>
      <c r="S32" s="6"/>
      <c r="T32" s="6"/>
      <c r="U32" s="6"/>
      <c r="V32" s="6"/>
      <c r="W32" s="6"/>
      <c r="X32" s="6"/>
      <c r="Y32" s="6"/>
      <c r="Z32" s="6"/>
      <c r="AA32" s="6"/>
      <c r="AB32" s="6"/>
      <c r="AC32" s="6"/>
      <c r="AD32" s="7"/>
    </row>
    <row r="33">
      <c r="A33" s="23" t="s">
        <v>30</v>
      </c>
      <c r="B33" s="10" t="s">
        <v>15</v>
      </c>
      <c r="C33" s="11"/>
      <c r="D33" s="25" t="s">
        <v>214</v>
      </c>
      <c r="E33" s="10" t="s">
        <v>18</v>
      </c>
      <c r="F33" s="23" t="s">
        <v>101</v>
      </c>
      <c r="G33" s="23" t="s">
        <v>215</v>
      </c>
      <c r="H33" s="23" t="s">
        <v>22</v>
      </c>
      <c r="I33" s="27" t="s">
        <v>216</v>
      </c>
      <c r="J33" s="75"/>
      <c r="K33" s="23"/>
      <c r="L33" s="27" t="s">
        <v>217</v>
      </c>
      <c r="M33" s="6"/>
      <c r="N33" s="6"/>
      <c r="O33" s="6"/>
      <c r="P33" s="6"/>
      <c r="Q33" s="6"/>
      <c r="R33" s="6"/>
      <c r="S33" s="6"/>
      <c r="T33" s="6"/>
      <c r="U33" s="6"/>
      <c r="V33" s="6"/>
      <c r="W33" s="6"/>
      <c r="X33" s="6"/>
      <c r="Y33" s="6"/>
      <c r="Z33" s="6"/>
      <c r="AA33" s="6"/>
      <c r="AB33" s="6"/>
      <c r="AC33" s="6"/>
      <c r="AD33" s="7"/>
    </row>
    <row r="34">
      <c r="A34" s="10" t="s">
        <v>43</v>
      </c>
      <c r="B34" s="10" t="s">
        <v>15</v>
      </c>
      <c r="C34" s="11" t="s">
        <v>218</v>
      </c>
      <c r="D34" s="11" t="s">
        <v>219</v>
      </c>
      <c r="E34" s="10" t="s">
        <v>18</v>
      </c>
      <c r="F34" s="23" t="s">
        <v>47</v>
      </c>
      <c r="G34" s="23" t="s">
        <v>134</v>
      </c>
      <c r="H34" s="23" t="s">
        <v>61</v>
      </c>
      <c r="I34" s="27" t="s">
        <v>137</v>
      </c>
      <c r="J34" s="23" t="s">
        <v>27</v>
      </c>
      <c r="K34" s="23"/>
      <c r="L34" s="27" t="s">
        <v>57</v>
      </c>
      <c r="M34" s="6"/>
      <c r="N34" s="6"/>
      <c r="O34" s="6"/>
      <c r="P34" s="6"/>
      <c r="Q34" s="6"/>
      <c r="R34" s="6"/>
      <c r="S34" s="6"/>
      <c r="T34" s="6"/>
      <c r="U34" s="6"/>
      <c r="V34" s="6"/>
      <c r="W34" s="6"/>
      <c r="X34" s="6"/>
      <c r="Y34" s="6"/>
      <c r="Z34" s="6"/>
      <c r="AA34" s="6"/>
      <c r="AB34" s="6"/>
      <c r="AC34" s="6"/>
      <c r="AD34" s="7"/>
    </row>
    <row r="35">
      <c r="A35" s="10" t="s">
        <v>13</v>
      </c>
      <c r="B35" s="38">
        <v>43525.0</v>
      </c>
      <c r="C35" s="52"/>
      <c r="D35" s="54" t="s">
        <v>221</v>
      </c>
      <c r="E35" s="15" t="s">
        <v>18</v>
      </c>
      <c r="F35" s="15" t="s">
        <v>47</v>
      </c>
      <c r="G35" s="15" t="s">
        <v>127</v>
      </c>
      <c r="H35" s="15" t="s">
        <v>135</v>
      </c>
      <c r="I35" s="17" t="s">
        <v>128</v>
      </c>
      <c r="J35" s="15" t="s">
        <v>63</v>
      </c>
      <c r="K35" s="6"/>
      <c r="L35" s="17" t="s">
        <v>222</v>
      </c>
      <c r="M35" s="6"/>
      <c r="N35" s="6"/>
      <c r="O35" s="6"/>
      <c r="P35" s="6"/>
      <c r="Q35" s="6"/>
      <c r="R35" s="6"/>
      <c r="S35" s="6"/>
      <c r="T35" s="6"/>
      <c r="U35" s="6"/>
      <c r="V35" s="6"/>
      <c r="W35" s="6"/>
      <c r="X35" s="6"/>
      <c r="Y35" s="6"/>
      <c r="Z35" s="6"/>
      <c r="AA35" s="6"/>
      <c r="AB35" s="6"/>
      <c r="AC35" s="6"/>
      <c r="AD35" s="7"/>
    </row>
    <row r="36">
      <c r="A36" s="10" t="s">
        <v>30</v>
      </c>
      <c r="B36" s="10" t="s">
        <v>15</v>
      </c>
      <c r="C36" s="11" t="s">
        <v>223</v>
      </c>
      <c r="D36" s="25" t="s">
        <v>224</v>
      </c>
      <c r="E36" s="10" t="s">
        <v>18</v>
      </c>
      <c r="F36" s="23" t="s">
        <v>20</v>
      </c>
      <c r="G36" s="23" t="s">
        <v>116</v>
      </c>
      <c r="H36" s="23" t="s">
        <v>225</v>
      </c>
      <c r="I36" s="27" t="s">
        <v>226</v>
      </c>
      <c r="J36" s="23" t="s">
        <v>113</v>
      </c>
      <c r="K36" s="10" t="s">
        <v>227</v>
      </c>
      <c r="L36" s="17" t="s">
        <v>228</v>
      </c>
      <c r="M36" s="6"/>
      <c r="N36" s="6"/>
      <c r="O36" s="6"/>
      <c r="P36" s="6"/>
      <c r="Q36" s="6"/>
      <c r="R36" s="6"/>
      <c r="S36" s="6"/>
      <c r="T36" s="6"/>
      <c r="U36" s="6"/>
      <c r="V36" s="6"/>
      <c r="W36" s="6"/>
      <c r="X36" s="6"/>
      <c r="Y36" s="6"/>
      <c r="Z36" s="6"/>
      <c r="AA36" s="6"/>
      <c r="AB36" s="6"/>
      <c r="AC36" s="6"/>
      <c r="AD36" s="7"/>
    </row>
    <row r="37">
      <c r="A37" s="10" t="s">
        <v>30</v>
      </c>
      <c r="B37" s="10" t="s">
        <v>229</v>
      </c>
      <c r="C37" s="27"/>
      <c r="D37" s="17" t="s">
        <v>230</v>
      </c>
      <c r="E37" s="15" t="s">
        <v>18</v>
      </c>
      <c r="F37" s="15" t="s">
        <v>47</v>
      </c>
      <c r="G37" s="15" t="s">
        <v>48</v>
      </c>
      <c r="H37" s="15" t="s">
        <v>22</v>
      </c>
      <c r="I37" s="19"/>
      <c r="J37" s="15" t="s">
        <v>63</v>
      </c>
      <c r="K37" s="15" t="s">
        <v>70</v>
      </c>
      <c r="L37" s="17" t="s">
        <v>231</v>
      </c>
      <c r="M37" s="6"/>
      <c r="N37" s="6"/>
      <c r="O37" s="6"/>
      <c r="P37" s="6"/>
      <c r="Q37" s="6"/>
      <c r="R37" s="6"/>
      <c r="S37" s="6"/>
      <c r="T37" s="6"/>
      <c r="U37" s="6"/>
      <c r="V37" s="6"/>
      <c r="W37" s="6"/>
      <c r="X37" s="6"/>
      <c r="Y37" s="6"/>
      <c r="Z37" s="6"/>
      <c r="AA37" s="6"/>
      <c r="AB37" s="6"/>
      <c r="AC37" s="6"/>
      <c r="AD37" s="7"/>
    </row>
    <row r="38">
      <c r="A38" s="10" t="s">
        <v>30</v>
      </c>
      <c r="B38" s="10" t="s">
        <v>15</v>
      </c>
      <c r="C38" s="70" t="s">
        <v>232</v>
      </c>
      <c r="D38" s="76" t="s">
        <v>233</v>
      </c>
      <c r="E38" s="58" t="s">
        <v>18</v>
      </c>
      <c r="F38" s="59" t="s">
        <v>110</v>
      </c>
      <c r="G38" s="59" t="s">
        <v>111</v>
      </c>
      <c r="H38" s="23" t="s">
        <v>22</v>
      </c>
      <c r="I38" s="57" t="s">
        <v>234</v>
      </c>
      <c r="J38" s="59" t="s">
        <v>113</v>
      </c>
      <c r="K38" s="59"/>
      <c r="L38" s="77" t="s">
        <v>235</v>
      </c>
      <c r="M38" s="6"/>
      <c r="N38" s="6"/>
      <c r="O38" s="6"/>
      <c r="P38" s="6"/>
      <c r="Q38" s="6"/>
      <c r="R38" s="6"/>
      <c r="S38" s="6"/>
      <c r="T38" s="6"/>
      <c r="U38" s="6"/>
      <c r="V38" s="6"/>
      <c r="W38" s="6"/>
      <c r="X38" s="6"/>
      <c r="Y38" s="6"/>
      <c r="Z38" s="6"/>
      <c r="AA38" s="6"/>
      <c r="AB38" s="6"/>
      <c r="AC38" s="6"/>
      <c r="AD38" s="7"/>
    </row>
    <row r="39">
      <c r="A39" s="23" t="s">
        <v>30</v>
      </c>
      <c r="B39" s="10" t="s">
        <v>15</v>
      </c>
      <c r="C39" s="11"/>
      <c r="D39" s="25" t="s">
        <v>236</v>
      </c>
      <c r="E39" s="10" t="s">
        <v>18</v>
      </c>
      <c r="F39" s="23" t="s">
        <v>20</v>
      </c>
      <c r="G39" s="23" t="s">
        <v>237</v>
      </c>
      <c r="H39" s="23" t="s">
        <v>25</v>
      </c>
      <c r="I39" s="27" t="s">
        <v>238</v>
      </c>
      <c r="J39" s="23" t="s">
        <v>113</v>
      </c>
      <c r="K39" s="23"/>
      <c r="L39" s="27" t="s">
        <v>239</v>
      </c>
      <c r="M39" s="6"/>
      <c r="N39" s="6"/>
      <c r="O39" s="6"/>
      <c r="P39" s="6"/>
      <c r="Q39" s="6"/>
      <c r="R39" s="6"/>
      <c r="S39" s="6"/>
      <c r="T39" s="6"/>
      <c r="U39" s="6"/>
      <c r="V39" s="6"/>
      <c r="W39" s="6"/>
      <c r="X39" s="6"/>
      <c r="Y39" s="6"/>
      <c r="Z39" s="6"/>
      <c r="AA39" s="6"/>
      <c r="AB39" s="6"/>
      <c r="AC39" s="6"/>
      <c r="AD39" s="7"/>
    </row>
    <row r="40">
      <c r="A40" s="23" t="s">
        <v>30</v>
      </c>
      <c r="B40" s="10" t="s">
        <v>15</v>
      </c>
      <c r="C40" s="70" t="s">
        <v>240</v>
      </c>
      <c r="D40" s="27" t="s">
        <v>241</v>
      </c>
      <c r="E40" s="10" t="s">
        <v>18</v>
      </c>
      <c r="F40" s="23" t="s">
        <v>242</v>
      </c>
      <c r="G40" s="23" t="s">
        <v>243</v>
      </c>
      <c r="H40" s="23" t="s">
        <v>36</v>
      </c>
      <c r="I40" s="27" t="s">
        <v>244</v>
      </c>
      <c r="J40" s="32" t="s">
        <v>63</v>
      </c>
      <c r="K40" s="32"/>
      <c r="L40" s="77" t="s">
        <v>245</v>
      </c>
      <c r="M40" s="6"/>
      <c r="N40" s="6"/>
      <c r="O40" s="6"/>
      <c r="P40" s="6"/>
      <c r="Q40" s="6"/>
      <c r="R40" s="6"/>
      <c r="S40" s="6"/>
      <c r="T40" s="6"/>
      <c r="U40" s="6"/>
      <c r="V40" s="6"/>
      <c r="W40" s="6"/>
      <c r="X40" s="6"/>
      <c r="Y40" s="6"/>
      <c r="Z40" s="6"/>
      <c r="AA40" s="6"/>
      <c r="AB40" s="6"/>
      <c r="AC40" s="6"/>
      <c r="AD40" s="7"/>
    </row>
    <row r="41">
      <c r="A41" s="23" t="s">
        <v>30</v>
      </c>
      <c r="B41" s="10" t="s">
        <v>15</v>
      </c>
      <c r="C41" s="11"/>
      <c r="D41" s="27" t="s">
        <v>246</v>
      </c>
      <c r="E41" s="10" t="s">
        <v>18</v>
      </c>
      <c r="F41" s="23" t="s">
        <v>136</v>
      </c>
      <c r="G41" s="23" t="s">
        <v>24</v>
      </c>
      <c r="H41" s="23" t="s">
        <v>152</v>
      </c>
      <c r="I41" s="27" t="s">
        <v>247</v>
      </c>
      <c r="J41" s="23" t="s">
        <v>113</v>
      </c>
      <c r="K41" s="23"/>
      <c r="L41" s="19"/>
      <c r="M41" s="6"/>
      <c r="N41" s="6"/>
      <c r="O41" s="6"/>
      <c r="P41" s="6"/>
      <c r="Q41" s="6"/>
      <c r="R41" s="6"/>
      <c r="S41" s="6"/>
      <c r="T41" s="6"/>
      <c r="U41" s="6"/>
      <c r="V41" s="6"/>
      <c r="W41" s="6"/>
      <c r="X41" s="6"/>
      <c r="Y41" s="6"/>
      <c r="Z41" s="6"/>
      <c r="AA41" s="6"/>
      <c r="AB41" s="6"/>
      <c r="AC41" s="6"/>
      <c r="AD41" s="7"/>
    </row>
    <row r="42">
      <c r="A42" s="23" t="s">
        <v>13</v>
      </c>
      <c r="B42" s="10" t="s">
        <v>15</v>
      </c>
      <c r="C42" s="11"/>
      <c r="D42" s="29" t="s">
        <v>248</v>
      </c>
      <c r="E42" s="10" t="s">
        <v>18</v>
      </c>
      <c r="F42" s="23" t="s">
        <v>47</v>
      </c>
      <c r="G42" s="23" t="s">
        <v>48</v>
      </c>
      <c r="H42" s="23" t="s">
        <v>22</v>
      </c>
      <c r="I42" s="27" t="s">
        <v>249</v>
      </c>
      <c r="J42" s="23" t="s">
        <v>50</v>
      </c>
      <c r="K42" s="10" t="s">
        <v>250</v>
      </c>
      <c r="L42" s="19"/>
      <c r="M42" s="6"/>
      <c r="N42" s="6"/>
      <c r="O42" s="6"/>
      <c r="P42" s="6"/>
      <c r="Q42" s="6"/>
      <c r="R42" s="6"/>
      <c r="S42" s="6"/>
      <c r="T42" s="6"/>
      <c r="U42" s="6"/>
      <c r="V42" s="6"/>
      <c r="W42" s="6"/>
      <c r="X42" s="6"/>
      <c r="Y42" s="6"/>
      <c r="Z42" s="6"/>
      <c r="AA42" s="6"/>
      <c r="AB42" s="6"/>
      <c r="AC42" s="6"/>
      <c r="AD42" s="7"/>
    </row>
    <row r="43">
      <c r="A43" s="10" t="s">
        <v>43</v>
      </c>
      <c r="B43" s="10" t="s">
        <v>15</v>
      </c>
      <c r="C43" s="11" t="s">
        <v>253</v>
      </c>
      <c r="D43" s="25" t="s">
        <v>16</v>
      </c>
      <c r="E43" s="10" t="s">
        <v>18</v>
      </c>
      <c r="F43" s="23" t="s">
        <v>20</v>
      </c>
      <c r="G43" s="10" t="s">
        <v>111</v>
      </c>
      <c r="H43" s="23" t="s">
        <v>25</v>
      </c>
      <c r="I43" s="27" t="s">
        <v>26</v>
      </c>
      <c r="J43" s="23" t="s">
        <v>28</v>
      </c>
      <c r="K43" s="23"/>
      <c r="L43" s="27" t="s">
        <v>254</v>
      </c>
      <c r="M43" s="6"/>
      <c r="N43" s="6"/>
      <c r="O43" s="6"/>
      <c r="P43" s="6"/>
      <c r="Q43" s="6"/>
      <c r="R43" s="6"/>
      <c r="S43" s="6"/>
      <c r="T43" s="6"/>
      <c r="U43" s="6"/>
      <c r="V43" s="6"/>
      <c r="W43" s="6"/>
      <c r="X43" s="6"/>
      <c r="Y43" s="6"/>
      <c r="Z43" s="6"/>
      <c r="AA43" s="6"/>
      <c r="AB43" s="6"/>
      <c r="AC43" s="6"/>
      <c r="AD43" s="7"/>
    </row>
    <row r="44">
      <c r="A44" s="23" t="s">
        <v>30</v>
      </c>
      <c r="B44" s="10" t="s">
        <v>15</v>
      </c>
      <c r="C44" s="11"/>
      <c r="D44" s="25" t="s">
        <v>255</v>
      </c>
      <c r="E44" s="10" t="s">
        <v>18</v>
      </c>
      <c r="F44" s="23" t="s">
        <v>20</v>
      </c>
      <c r="G44" s="23" t="s">
        <v>24</v>
      </c>
      <c r="H44" s="23" t="s">
        <v>25</v>
      </c>
      <c r="I44" s="27" t="s">
        <v>256</v>
      </c>
      <c r="J44" s="23" t="s">
        <v>113</v>
      </c>
      <c r="K44" s="10" t="s">
        <v>257</v>
      </c>
      <c r="L44" s="27" t="s">
        <v>258</v>
      </c>
      <c r="M44" s="6"/>
      <c r="N44" s="6"/>
      <c r="O44" s="6"/>
      <c r="P44" s="6"/>
      <c r="Q44" s="6"/>
      <c r="R44" s="6"/>
      <c r="S44" s="6"/>
      <c r="T44" s="6"/>
      <c r="U44" s="6"/>
      <c r="V44" s="6"/>
      <c r="W44" s="6"/>
      <c r="X44" s="6"/>
      <c r="Y44" s="6"/>
      <c r="Z44" s="6"/>
      <c r="AA44" s="6"/>
      <c r="AB44" s="6"/>
      <c r="AC44" s="6"/>
      <c r="AD44" s="7"/>
    </row>
    <row r="45">
      <c r="A45" s="10" t="s">
        <v>13</v>
      </c>
      <c r="B45" s="10" t="s">
        <v>15</v>
      </c>
      <c r="C45" s="11" t="s">
        <v>259</v>
      </c>
      <c r="D45" s="17" t="s">
        <v>260</v>
      </c>
      <c r="E45" s="15" t="s">
        <v>18</v>
      </c>
      <c r="F45" s="15" t="s">
        <v>20</v>
      </c>
      <c r="G45" s="15" t="s">
        <v>261</v>
      </c>
      <c r="H45" s="23" t="s">
        <v>25</v>
      </c>
      <c r="I45" s="19"/>
      <c r="J45" s="6"/>
      <c r="K45" s="6"/>
      <c r="L45" s="17" t="s">
        <v>262</v>
      </c>
      <c r="M45" s="6"/>
      <c r="N45" s="6"/>
      <c r="O45" s="6"/>
      <c r="P45" s="6"/>
      <c r="Q45" s="6"/>
      <c r="R45" s="6"/>
      <c r="S45" s="6"/>
      <c r="T45" s="6"/>
      <c r="U45" s="6"/>
      <c r="V45" s="6"/>
      <c r="W45" s="6"/>
      <c r="X45" s="6"/>
      <c r="Y45" s="6"/>
      <c r="Z45" s="6"/>
      <c r="AA45" s="6"/>
      <c r="AB45" s="6"/>
      <c r="AC45" s="6"/>
      <c r="AD45" s="7"/>
    </row>
    <row r="46">
      <c r="A46" s="10" t="s">
        <v>13</v>
      </c>
      <c r="B46" s="78">
        <v>43704.0</v>
      </c>
      <c r="C46" s="11"/>
      <c r="D46" s="17" t="s">
        <v>263</v>
      </c>
      <c r="E46" s="15" t="s">
        <v>18</v>
      </c>
      <c r="F46" s="15" t="s">
        <v>264</v>
      </c>
      <c r="G46" s="15" t="s">
        <v>48</v>
      </c>
      <c r="H46" s="15" t="s">
        <v>265</v>
      </c>
      <c r="I46" s="17" t="s">
        <v>266</v>
      </c>
      <c r="J46" s="15" t="s">
        <v>63</v>
      </c>
      <c r="K46" s="6"/>
      <c r="L46" s="17" t="s">
        <v>267</v>
      </c>
      <c r="M46" s="6"/>
      <c r="N46" s="6"/>
      <c r="O46" s="6"/>
      <c r="P46" s="6"/>
      <c r="Q46" s="6"/>
      <c r="R46" s="6"/>
      <c r="S46" s="6"/>
      <c r="T46" s="6"/>
      <c r="U46" s="6"/>
      <c r="V46" s="6"/>
      <c r="W46" s="6"/>
      <c r="X46" s="6"/>
      <c r="Y46" s="6"/>
      <c r="Z46" s="6"/>
      <c r="AA46" s="6"/>
      <c r="AB46" s="6"/>
      <c r="AC46" s="6"/>
      <c r="AD46" s="7"/>
    </row>
    <row r="47">
      <c r="A47" s="10" t="s">
        <v>30</v>
      </c>
      <c r="B47" s="78">
        <v>43707.0</v>
      </c>
      <c r="C47" s="11" t="s">
        <v>259</v>
      </c>
      <c r="D47" s="17" t="s">
        <v>268</v>
      </c>
      <c r="E47" s="15" t="s">
        <v>18</v>
      </c>
      <c r="F47" s="15" t="s">
        <v>264</v>
      </c>
      <c r="G47" s="15" t="s">
        <v>48</v>
      </c>
      <c r="H47" s="15" t="s">
        <v>265</v>
      </c>
      <c r="I47" s="17" t="s">
        <v>266</v>
      </c>
      <c r="J47" s="15" t="s">
        <v>63</v>
      </c>
      <c r="K47" s="6"/>
      <c r="L47" s="17" t="s">
        <v>269</v>
      </c>
      <c r="M47" s="6"/>
      <c r="N47" s="6"/>
      <c r="O47" s="6"/>
      <c r="P47" s="6"/>
      <c r="Q47" s="6"/>
      <c r="R47" s="6"/>
      <c r="S47" s="6"/>
      <c r="T47" s="6"/>
      <c r="U47" s="6"/>
      <c r="V47" s="6"/>
      <c r="W47" s="6"/>
      <c r="X47" s="6"/>
      <c r="Y47" s="6"/>
      <c r="Z47" s="6"/>
      <c r="AA47" s="6"/>
      <c r="AB47" s="6"/>
      <c r="AC47" s="6"/>
      <c r="AD47" s="7"/>
    </row>
    <row r="48">
      <c r="A48" s="10" t="s">
        <v>43</v>
      </c>
      <c r="B48" s="10" t="s">
        <v>270</v>
      </c>
      <c r="C48" s="11" t="s">
        <v>271</v>
      </c>
      <c r="D48" s="17" t="s">
        <v>272</v>
      </c>
      <c r="E48" s="15" t="s">
        <v>18</v>
      </c>
      <c r="F48" s="6"/>
      <c r="G48" s="15" t="s">
        <v>273</v>
      </c>
      <c r="H48" s="15" t="s">
        <v>274</v>
      </c>
      <c r="I48" s="19"/>
      <c r="J48" s="15" t="s">
        <v>63</v>
      </c>
      <c r="K48" s="6"/>
      <c r="L48" s="19"/>
      <c r="M48" s="6"/>
      <c r="N48" s="6"/>
      <c r="O48" s="6"/>
      <c r="P48" s="6"/>
      <c r="Q48" s="6"/>
      <c r="R48" s="6"/>
      <c r="S48" s="6"/>
      <c r="T48" s="6"/>
      <c r="U48" s="6"/>
      <c r="V48" s="6"/>
      <c r="W48" s="6"/>
      <c r="X48" s="6"/>
      <c r="Y48" s="6"/>
      <c r="Z48" s="6"/>
      <c r="AA48" s="6"/>
      <c r="AB48" s="6"/>
      <c r="AC48" s="6"/>
      <c r="AD48" s="7"/>
    </row>
    <row r="49">
      <c r="A49" s="10" t="s">
        <v>30</v>
      </c>
      <c r="B49" s="10" t="s">
        <v>275</v>
      </c>
      <c r="C49" s="70" t="s">
        <v>276</v>
      </c>
      <c r="D49" s="17" t="s">
        <v>88</v>
      </c>
      <c r="E49" s="15" t="s">
        <v>46</v>
      </c>
      <c r="F49" s="15" t="s">
        <v>67</v>
      </c>
      <c r="G49" s="15" t="s">
        <v>94</v>
      </c>
      <c r="H49" s="15" t="s">
        <v>22</v>
      </c>
      <c r="I49" s="17" t="s">
        <v>95</v>
      </c>
      <c r="J49" s="15" t="s">
        <v>63</v>
      </c>
      <c r="K49" s="15" t="s">
        <v>195</v>
      </c>
      <c r="L49" s="17" t="s">
        <v>196</v>
      </c>
      <c r="M49" s="6"/>
      <c r="N49" s="6"/>
      <c r="O49" s="6"/>
      <c r="P49" s="6"/>
      <c r="Q49" s="6"/>
      <c r="R49" s="6"/>
      <c r="S49" s="6"/>
      <c r="T49" s="6"/>
      <c r="U49" s="6"/>
      <c r="V49" s="6"/>
      <c r="W49" s="6"/>
      <c r="X49" s="6"/>
      <c r="Y49" s="6"/>
      <c r="Z49" s="6"/>
      <c r="AA49" s="6"/>
      <c r="AB49" s="6"/>
      <c r="AC49" s="6"/>
      <c r="AD49" s="7"/>
    </row>
    <row r="50">
      <c r="A50" s="10" t="s">
        <v>30</v>
      </c>
      <c r="B50" s="10" t="s">
        <v>277</v>
      </c>
      <c r="C50" s="27"/>
      <c r="D50" s="17" t="s">
        <v>278</v>
      </c>
      <c r="E50" s="15" t="s">
        <v>46</v>
      </c>
      <c r="F50" s="15" t="s">
        <v>67</v>
      </c>
      <c r="G50" s="15" t="s">
        <v>94</v>
      </c>
      <c r="H50" s="15" t="s">
        <v>22</v>
      </c>
      <c r="I50" s="17" t="s">
        <v>279</v>
      </c>
      <c r="J50" s="15" t="s">
        <v>63</v>
      </c>
      <c r="K50" s="15" t="s">
        <v>280</v>
      </c>
      <c r="L50" s="19"/>
      <c r="M50" s="6"/>
      <c r="N50" s="6"/>
      <c r="O50" s="6"/>
      <c r="P50" s="6"/>
      <c r="Q50" s="6"/>
      <c r="R50" s="6"/>
      <c r="S50" s="6"/>
      <c r="T50" s="6"/>
      <c r="U50" s="6"/>
      <c r="V50" s="6"/>
      <c r="W50" s="6"/>
      <c r="X50" s="6"/>
      <c r="Y50" s="6"/>
      <c r="Z50" s="6"/>
      <c r="AA50" s="6"/>
      <c r="AB50" s="6"/>
      <c r="AC50" s="6"/>
      <c r="AD50" s="7"/>
    </row>
    <row r="51">
      <c r="A51" s="10" t="s">
        <v>13</v>
      </c>
      <c r="B51" s="10" t="s">
        <v>281</v>
      </c>
      <c r="C51" s="27"/>
      <c r="D51" s="17" t="s">
        <v>282</v>
      </c>
      <c r="E51" s="15" t="s">
        <v>18</v>
      </c>
      <c r="F51" s="6"/>
      <c r="G51" s="15" t="s">
        <v>111</v>
      </c>
      <c r="H51" s="15" t="s">
        <v>22</v>
      </c>
      <c r="I51" s="17" t="s">
        <v>283</v>
      </c>
      <c r="J51" s="15" t="s">
        <v>63</v>
      </c>
      <c r="K51" s="6"/>
      <c r="L51" s="19"/>
      <c r="M51" s="6"/>
      <c r="N51" s="6"/>
      <c r="O51" s="6"/>
      <c r="P51" s="6"/>
      <c r="Q51" s="6"/>
      <c r="R51" s="6"/>
      <c r="S51" s="6"/>
      <c r="T51" s="6"/>
      <c r="U51" s="6"/>
      <c r="V51" s="6"/>
      <c r="W51" s="6"/>
      <c r="X51" s="6"/>
      <c r="Y51" s="6"/>
      <c r="Z51" s="6"/>
      <c r="AA51" s="6"/>
      <c r="AB51" s="6"/>
      <c r="AC51" s="6"/>
      <c r="AD51" s="7"/>
    </row>
    <row r="52">
      <c r="A52" s="10" t="s">
        <v>13</v>
      </c>
      <c r="B52" s="10" t="s">
        <v>281</v>
      </c>
      <c r="C52" s="27"/>
      <c r="D52" s="17" t="s">
        <v>284</v>
      </c>
      <c r="E52" s="15" t="s">
        <v>46</v>
      </c>
      <c r="F52" s="15" t="s">
        <v>285</v>
      </c>
      <c r="G52" s="15" t="s">
        <v>111</v>
      </c>
      <c r="H52" s="15" t="s">
        <v>22</v>
      </c>
      <c r="I52" s="19"/>
      <c r="J52" s="15" t="s">
        <v>63</v>
      </c>
      <c r="K52" s="6"/>
      <c r="L52" s="19"/>
      <c r="M52" s="6"/>
      <c r="N52" s="6"/>
      <c r="O52" s="6"/>
      <c r="P52" s="6"/>
      <c r="Q52" s="6"/>
      <c r="R52" s="6"/>
      <c r="S52" s="6"/>
      <c r="T52" s="6"/>
      <c r="U52" s="6"/>
      <c r="V52" s="6"/>
      <c r="W52" s="6"/>
      <c r="X52" s="6"/>
      <c r="Y52" s="6"/>
      <c r="Z52" s="6"/>
      <c r="AA52" s="6"/>
      <c r="AB52" s="6"/>
      <c r="AC52" s="6"/>
      <c r="AD52" s="7"/>
    </row>
    <row r="53">
      <c r="A53" s="10" t="s">
        <v>13</v>
      </c>
      <c r="B53" s="10" t="s">
        <v>281</v>
      </c>
      <c r="C53" s="27"/>
      <c r="D53" s="17" t="s">
        <v>286</v>
      </c>
      <c r="E53" s="15" t="s">
        <v>46</v>
      </c>
      <c r="F53" s="15" t="s">
        <v>285</v>
      </c>
      <c r="G53" s="15" t="s">
        <v>111</v>
      </c>
      <c r="H53" s="15" t="s">
        <v>22</v>
      </c>
      <c r="I53" s="19"/>
      <c r="J53" s="15" t="s">
        <v>63</v>
      </c>
      <c r="K53" s="6"/>
      <c r="L53" s="19"/>
      <c r="M53" s="6"/>
      <c r="N53" s="6"/>
      <c r="O53" s="6"/>
      <c r="P53" s="6"/>
      <c r="Q53" s="6"/>
      <c r="R53" s="6"/>
      <c r="S53" s="6"/>
      <c r="T53" s="6"/>
      <c r="U53" s="6"/>
      <c r="V53" s="6"/>
      <c r="W53" s="6"/>
      <c r="X53" s="6"/>
      <c r="Y53" s="6"/>
      <c r="Z53" s="6"/>
      <c r="AA53" s="6"/>
      <c r="AB53" s="6"/>
      <c r="AC53" s="6"/>
      <c r="AD53" s="7"/>
    </row>
    <row r="54">
      <c r="A54" s="10" t="s">
        <v>13</v>
      </c>
      <c r="B54" s="10" t="s">
        <v>288</v>
      </c>
      <c r="C54" s="27"/>
      <c r="D54" s="17" t="s">
        <v>289</v>
      </c>
      <c r="E54" s="15" t="s">
        <v>46</v>
      </c>
      <c r="F54" s="6"/>
      <c r="G54" s="15" t="s">
        <v>290</v>
      </c>
      <c r="H54" s="6"/>
      <c r="I54" s="19"/>
      <c r="J54" s="6"/>
      <c r="K54" s="6"/>
      <c r="L54" s="19"/>
      <c r="M54" s="6"/>
      <c r="N54" s="6"/>
      <c r="O54" s="6"/>
      <c r="P54" s="6"/>
      <c r="Q54" s="6"/>
      <c r="R54" s="6"/>
      <c r="S54" s="6"/>
      <c r="T54" s="6"/>
      <c r="U54" s="6"/>
      <c r="V54" s="6"/>
      <c r="W54" s="6"/>
      <c r="X54" s="6"/>
      <c r="Y54" s="6"/>
      <c r="Z54" s="6"/>
      <c r="AA54" s="6"/>
      <c r="AB54" s="6"/>
      <c r="AC54" s="6"/>
      <c r="AD54" s="7"/>
    </row>
    <row r="55">
      <c r="A55" s="23"/>
      <c r="B55" s="23"/>
      <c r="C55" s="27"/>
      <c r="D55" s="19"/>
      <c r="E55" s="6"/>
      <c r="F55" s="6"/>
      <c r="G55" s="6"/>
      <c r="H55" s="6"/>
      <c r="I55" s="19"/>
      <c r="J55" s="6"/>
      <c r="K55" s="6"/>
      <c r="L55" s="19"/>
      <c r="M55" s="6"/>
      <c r="N55" s="6"/>
      <c r="O55" s="6"/>
      <c r="P55" s="6"/>
      <c r="Q55" s="6"/>
      <c r="R55" s="6"/>
      <c r="S55" s="6"/>
      <c r="T55" s="6"/>
      <c r="U55" s="6"/>
      <c r="V55" s="6"/>
      <c r="W55" s="6"/>
      <c r="X55" s="6"/>
      <c r="Y55" s="6"/>
      <c r="Z55" s="6"/>
      <c r="AA55" s="6"/>
      <c r="AB55" s="6"/>
      <c r="AC55" s="6"/>
      <c r="AD55" s="7"/>
    </row>
    <row r="56">
      <c r="A56" s="23"/>
      <c r="B56" s="23"/>
      <c r="C56" s="27"/>
      <c r="D56" s="19"/>
      <c r="E56" s="6"/>
      <c r="F56" s="6"/>
      <c r="G56" s="6"/>
      <c r="H56" s="6"/>
      <c r="I56" s="19"/>
      <c r="J56" s="6"/>
      <c r="K56" s="6"/>
      <c r="L56" s="19"/>
      <c r="M56" s="6"/>
      <c r="N56" s="6"/>
      <c r="O56" s="6"/>
      <c r="P56" s="6"/>
      <c r="Q56" s="6"/>
      <c r="R56" s="6"/>
      <c r="S56" s="6"/>
      <c r="T56" s="6"/>
      <c r="U56" s="6"/>
      <c r="V56" s="6"/>
      <c r="W56" s="6"/>
      <c r="X56" s="6"/>
      <c r="Y56" s="6"/>
      <c r="Z56" s="6"/>
      <c r="AA56" s="6"/>
      <c r="AB56" s="6"/>
      <c r="AC56" s="6"/>
      <c r="AD56" s="7"/>
    </row>
    <row r="57">
      <c r="A57" s="23"/>
      <c r="B57" s="23"/>
      <c r="C57" s="27"/>
      <c r="D57" s="19"/>
      <c r="E57" s="6"/>
      <c r="F57" s="6"/>
      <c r="G57" s="6"/>
      <c r="H57" s="6"/>
      <c r="I57" s="19"/>
      <c r="J57" s="6"/>
      <c r="K57" s="6"/>
      <c r="L57" s="19"/>
      <c r="M57" s="6"/>
      <c r="N57" s="6"/>
      <c r="O57" s="6"/>
      <c r="P57" s="6"/>
      <c r="Q57" s="6"/>
      <c r="R57" s="6"/>
      <c r="S57" s="6"/>
      <c r="T57" s="6"/>
      <c r="U57" s="6"/>
      <c r="V57" s="6"/>
      <c r="W57" s="6"/>
      <c r="X57" s="6"/>
      <c r="Y57" s="6"/>
      <c r="Z57" s="6"/>
      <c r="AA57" s="6"/>
      <c r="AB57" s="6"/>
      <c r="AC57" s="6"/>
      <c r="AD57" s="7"/>
    </row>
    <row r="58">
      <c r="A58" s="23"/>
      <c r="B58" s="23"/>
      <c r="C58" s="27"/>
      <c r="D58" s="19"/>
      <c r="E58" s="6"/>
      <c r="F58" s="6"/>
      <c r="G58" s="6"/>
      <c r="H58" s="6"/>
      <c r="I58" s="19"/>
      <c r="J58" s="6"/>
      <c r="K58" s="6"/>
      <c r="L58" s="19"/>
      <c r="M58" s="6"/>
      <c r="N58" s="6"/>
      <c r="O58" s="6"/>
      <c r="P58" s="6"/>
      <c r="Q58" s="6"/>
      <c r="R58" s="6"/>
      <c r="S58" s="6"/>
      <c r="T58" s="6"/>
      <c r="U58" s="6"/>
      <c r="V58" s="6"/>
      <c r="W58" s="6"/>
      <c r="X58" s="6"/>
      <c r="Y58" s="6"/>
      <c r="Z58" s="6"/>
      <c r="AA58" s="6"/>
      <c r="AB58" s="6"/>
      <c r="AC58" s="6"/>
      <c r="AD58" s="7"/>
    </row>
    <row r="59">
      <c r="A59" s="23"/>
      <c r="B59" s="23"/>
      <c r="C59" s="27"/>
      <c r="D59" s="19"/>
      <c r="E59" s="6"/>
      <c r="F59" s="6"/>
      <c r="G59" s="6"/>
      <c r="H59" s="6"/>
      <c r="I59" s="19"/>
      <c r="J59" s="6"/>
      <c r="K59" s="6"/>
      <c r="L59" s="19"/>
      <c r="M59" s="6"/>
      <c r="N59" s="6"/>
      <c r="O59" s="6"/>
      <c r="P59" s="6"/>
      <c r="Q59" s="6"/>
      <c r="R59" s="6"/>
      <c r="S59" s="6"/>
      <c r="T59" s="6"/>
      <c r="U59" s="6"/>
      <c r="V59" s="6"/>
      <c r="W59" s="6"/>
      <c r="X59" s="6"/>
      <c r="Y59" s="6"/>
      <c r="Z59" s="6"/>
      <c r="AA59" s="6"/>
      <c r="AB59" s="6"/>
      <c r="AC59" s="6"/>
      <c r="AD59" s="7"/>
    </row>
    <row r="60">
      <c r="A60" s="23"/>
      <c r="B60" s="23"/>
      <c r="C60" s="27"/>
      <c r="D60" s="19"/>
      <c r="E60" s="6"/>
      <c r="F60" s="6"/>
      <c r="G60" s="6"/>
      <c r="H60" s="6"/>
      <c r="I60" s="19"/>
      <c r="J60" s="6"/>
      <c r="K60" s="6"/>
      <c r="L60" s="19"/>
      <c r="M60" s="6"/>
      <c r="N60" s="6"/>
      <c r="O60" s="6"/>
      <c r="P60" s="6"/>
      <c r="Q60" s="6"/>
      <c r="R60" s="6"/>
      <c r="S60" s="6"/>
      <c r="T60" s="6"/>
      <c r="U60" s="6"/>
      <c r="V60" s="6"/>
      <c r="W60" s="6"/>
      <c r="X60" s="6"/>
      <c r="Y60" s="6"/>
      <c r="Z60" s="6"/>
      <c r="AA60" s="6"/>
      <c r="AB60" s="6"/>
      <c r="AC60" s="6"/>
      <c r="AD60" s="7"/>
    </row>
    <row r="61">
      <c r="A61" s="23"/>
      <c r="B61" s="23"/>
      <c r="C61" s="27"/>
      <c r="D61" s="19"/>
      <c r="E61" s="6"/>
      <c r="F61" s="6"/>
      <c r="G61" s="6"/>
      <c r="H61" s="6"/>
      <c r="I61" s="19"/>
      <c r="J61" s="6"/>
      <c r="K61" s="6"/>
      <c r="L61" s="19"/>
      <c r="M61" s="6"/>
      <c r="N61" s="6"/>
      <c r="O61" s="6"/>
      <c r="P61" s="6"/>
      <c r="Q61" s="6"/>
      <c r="R61" s="6"/>
      <c r="S61" s="6"/>
      <c r="T61" s="6"/>
      <c r="U61" s="6"/>
      <c r="V61" s="6"/>
      <c r="W61" s="6"/>
      <c r="X61" s="6"/>
      <c r="Y61" s="6"/>
      <c r="Z61" s="6"/>
      <c r="AA61" s="6"/>
      <c r="AB61" s="6"/>
      <c r="AC61" s="6"/>
      <c r="AD61" s="7"/>
    </row>
    <row r="62">
      <c r="A62" s="23"/>
      <c r="B62" s="23"/>
      <c r="C62" s="27"/>
      <c r="D62" s="19"/>
      <c r="E62" s="6"/>
      <c r="F62" s="6"/>
      <c r="G62" s="6"/>
      <c r="H62" s="6"/>
      <c r="I62" s="19"/>
      <c r="J62" s="6"/>
      <c r="K62" s="6"/>
      <c r="L62" s="19"/>
      <c r="M62" s="6"/>
      <c r="N62" s="6"/>
      <c r="O62" s="6"/>
      <c r="P62" s="6"/>
      <c r="Q62" s="6"/>
      <c r="R62" s="6"/>
      <c r="S62" s="6"/>
      <c r="T62" s="6"/>
      <c r="U62" s="6"/>
      <c r="V62" s="6"/>
      <c r="W62" s="6"/>
      <c r="X62" s="6"/>
      <c r="Y62" s="6"/>
      <c r="Z62" s="6"/>
      <c r="AA62" s="6"/>
      <c r="AB62" s="6"/>
      <c r="AC62" s="6"/>
      <c r="AD62" s="7"/>
    </row>
    <row r="63">
      <c r="A63" s="23"/>
      <c r="B63" s="23"/>
      <c r="C63" s="27"/>
      <c r="D63" s="19"/>
      <c r="E63" s="6"/>
      <c r="F63" s="6"/>
      <c r="G63" s="6"/>
      <c r="H63" s="6"/>
      <c r="I63" s="19"/>
      <c r="J63" s="6"/>
      <c r="K63" s="6"/>
      <c r="L63" s="19"/>
      <c r="M63" s="6"/>
      <c r="N63" s="6"/>
      <c r="O63" s="6"/>
      <c r="P63" s="6"/>
      <c r="Q63" s="6"/>
      <c r="R63" s="6"/>
      <c r="S63" s="6"/>
      <c r="T63" s="6"/>
      <c r="U63" s="6"/>
      <c r="V63" s="6"/>
      <c r="W63" s="6"/>
      <c r="X63" s="6"/>
      <c r="Y63" s="6"/>
      <c r="Z63" s="6"/>
      <c r="AA63" s="6"/>
      <c r="AB63" s="6"/>
      <c r="AC63" s="6"/>
      <c r="AD63" s="7"/>
    </row>
    <row r="64">
      <c r="A64" s="23"/>
      <c r="B64" s="23"/>
      <c r="C64" s="27"/>
      <c r="D64" s="19"/>
      <c r="E64" s="6"/>
      <c r="F64" s="6"/>
      <c r="G64" s="6"/>
      <c r="H64" s="6"/>
      <c r="I64" s="19"/>
      <c r="J64" s="6"/>
      <c r="K64" s="6"/>
      <c r="L64" s="19"/>
      <c r="M64" s="6"/>
      <c r="N64" s="6"/>
      <c r="O64" s="6"/>
      <c r="P64" s="6"/>
      <c r="Q64" s="6"/>
      <c r="R64" s="6"/>
      <c r="S64" s="6"/>
      <c r="T64" s="6"/>
      <c r="U64" s="6"/>
      <c r="V64" s="6"/>
      <c r="W64" s="6"/>
      <c r="X64" s="6"/>
      <c r="Y64" s="6"/>
      <c r="Z64" s="6"/>
      <c r="AA64" s="6"/>
      <c r="AB64" s="6"/>
      <c r="AC64" s="6"/>
      <c r="AD64" s="7"/>
    </row>
    <row r="65">
      <c r="A65" s="23"/>
      <c r="B65" s="23"/>
      <c r="C65" s="27"/>
      <c r="D65" s="19"/>
      <c r="E65" s="6"/>
      <c r="F65" s="6"/>
      <c r="G65" s="6"/>
      <c r="H65" s="6"/>
      <c r="I65" s="19"/>
      <c r="J65" s="6"/>
      <c r="K65" s="6"/>
      <c r="L65" s="19"/>
      <c r="M65" s="6"/>
      <c r="N65" s="6"/>
      <c r="O65" s="6"/>
      <c r="P65" s="6"/>
      <c r="Q65" s="6"/>
      <c r="R65" s="6"/>
      <c r="S65" s="6"/>
      <c r="T65" s="6"/>
      <c r="U65" s="6"/>
      <c r="V65" s="6"/>
      <c r="W65" s="6"/>
      <c r="X65" s="6"/>
      <c r="Y65" s="6"/>
      <c r="Z65" s="6"/>
      <c r="AA65" s="6"/>
      <c r="AB65" s="6"/>
      <c r="AC65" s="6"/>
      <c r="AD65" s="7"/>
    </row>
    <row r="66">
      <c r="A66" s="23"/>
      <c r="B66" s="23"/>
      <c r="C66" s="27"/>
      <c r="D66" s="19"/>
      <c r="E66" s="6"/>
      <c r="F66" s="6"/>
      <c r="G66" s="6"/>
      <c r="H66" s="6"/>
      <c r="I66" s="19"/>
      <c r="J66" s="6"/>
      <c r="K66" s="6"/>
      <c r="L66" s="19"/>
      <c r="M66" s="6"/>
      <c r="N66" s="6"/>
      <c r="O66" s="6"/>
      <c r="P66" s="6"/>
      <c r="Q66" s="6"/>
      <c r="R66" s="6"/>
      <c r="S66" s="6"/>
      <c r="T66" s="6"/>
      <c r="U66" s="6"/>
      <c r="V66" s="6"/>
      <c r="W66" s="6"/>
      <c r="X66" s="6"/>
      <c r="Y66" s="6"/>
      <c r="Z66" s="6"/>
      <c r="AA66" s="6"/>
      <c r="AB66" s="6"/>
      <c r="AC66" s="6"/>
      <c r="AD66" s="7"/>
    </row>
    <row r="67">
      <c r="A67" s="23"/>
      <c r="B67" s="23"/>
      <c r="C67" s="27"/>
      <c r="D67" s="19"/>
      <c r="E67" s="6"/>
      <c r="F67" s="6"/>
      <c r="G67" s="6"/>
      <c r="H67" s="6"/>
      <c r="I67" s="19"/>
      <c r="J67" s="6"/>
      <c r="K67" s="6"/>
      <c r="L67" s="19"/>
      <c r="M67" s="6"/>
      <c r="N67" s="6"/>
      <c r="O67" s="6"/>
      <c r="P67" s="6"/>
      <c r="Q67" s="6"/>
      <c r="R67" s="6"/>
      <c r="S67" s="6"/>
      <c r="T67" s="6"/>
      <c r="U67" s="6"/>
      <c r="V67" s="6"/>
      <c r="W67" s="6"/>
      <c r="X67" s="6"/>
      <c r="Y67" s="6"/>
      <c r="Z67" s="6"/>
      <c r="AA67" s="6"/>
      <c r="AB67" s="6"/>
      <c r="AC67" s="6"/>
      <c r="AD67" s="7"/>
    </row>
    <row r="68">
      <c r="A68" s="23"/>
      <c r="B68" s="23"/>
      <c r="C68" s="27"/>
      <c r="D68" s="19"/>
      <c r="E68" s="6"/>
      <c r="F68" s="6"/>
      <c r="G68" s="6"/>
      <c r="H68" s="6"/>
      <c r="I68" s="19"/>
      <c r="J68" s="6"/>
      <c r="K68" s="6"/>
      <c r="L68" s="19"/>
      <c r="M68" s="6"/>
      <c r="N68" s="6"/>
      <c r="O68" s="6"/>
      <c r="P68" s="6"/>
      <c r="Q68" s="6"/>
      <c r="R68" s="6"/>
      <c r="S68" s="6"/>
      <c r="T68" s="6"/>
      <c r="U68" s="6"/>
      <c r="V68" s="6"/>
      <c r="W68" s="6"/>
      <c r="X68" s="6"/>
      <c r="Y68" s="6"/>
      <c r="Z68" s="6"/>
      <c r="AA68" s="6"/>
      <c r="AB68" s="6"/>
      <c r="AC68" s="6"/>
      <c r="AD68" s="7"/>
    </row>
    <row r="69">
      <c r="A69" s="23"/>
      <c r="B69" s="23"/>
      <c r="C69" s="27"/>
      <c r="D69" s="19"/>
      <c r="E69" s="6"/>
      <c r="F69" s="6"/>
      <c r="G69" s="6"/>
      <c r="H69" s="6"/>
      <c r="I69" s="19"/>
      <c r="J69" s="6"/>
      <c r="K69" s="6"/>
      <c r="L69" s="19"/>
      <c r="M69" s="6"/>
      <c r="N69" s="6"/>
      <c r="O69" s="6"/>
      <c r="P69" s="6"/>
      <c r="Q69" s="6"/>
      <c r="R69" s="6"/>
      <c r="S69" s="6"/>
      <c r="T69" s="6"/>
      <c r="U69" s="6"/>
      <c r="V69" s="6"/>
      <c r="W69" s="6"/>
      <c r="X69" s="6"/>
      <c r="Y69" s="6"/>
      <c r="Z69" s="6"/>
      <c r="AA69" s="6"/>
      <c r="AB69" s="6"/>
      <c r="AC69" s="6"/>
      <c r="AD69" s="7"/>
    </row>
    <row r="70">
      <c r="A70" s="23"/>
      <c r="B70" s="23"/>
      <c r="C70" s="27"/>
      <c r="D70" s="19"/>
      <c r="E70" s="6"/>
      <c r="F70" s="6"/>
      <c r="G70" s="6"/>
      <c r="H70" s="6"/>
      <c r="I70" s="19"/>
      <c r="J70" s="6"/>
      <c r="K70" s="6"/>
      <c r="L70" s="19"/>
      <c r="M70" s="6"/>
      <c r="N70" s="6"/>
      <c r="O70" s="6"/>
      <c r="P70" s="6"/>
      <c r="Q70" s="6"/>
      <c r="R70" s="6"/>
      <c r="S70" s="6"/>
      <c r="T70" s="6"/>
      <c r="U70" s="6"/>
      <c r="V70" s="6"/>
      <c r="W70" s="6"/>
      <c r="X70" s="6"/>
      <c r="Y70" s="6"/>
      <c r="Z70" s="6"/>
      <c r="AA70" s="6"/>
      <c r="AB70" s="6"/>
      <c r="AC70" s="6"/>
      <c r="AD70" s="7"/>
    </row>
    <row r="71">
      <c r="A71" s="23"/>
      <c r="B71" s="23"/>
      <c r="C71" s="27"/>
      <c r="D71" s="19"/>
      <c r="E71" s="6"/>
      <c r="F71" s="6"/>
      <c r="G71" s="6"/>
      <c r="H71" s="6"/>
      <c r="I71" s="19"/>
      <c r="J71" s="6"/>
      <c r="K71" s="6"/>
      <c r="L71" s="19"/>
      <c r="M71" s="6"/>
      <c r="N71" s="6"/>
      <c r="O71" s="6"/>
      <c r="P71" s="6"/>
      <c r="Q71" s="6"/>
      <c r="R71" s="6"/>
      <c r="S71" s="6"/>
      <c r="T71" s="6"/>
      <c r="U71" s="6"/>
      <c r="V71" s="6"/>
      <c r="W71" s="6"/>
      <c r="X71" s="6"/>
      <c r="Y71" s="6"/>
      <c r="Z71" s="6"/>
      <c r="AA71" s="6"/>
      <c r="AB71" s="6"/>
      <c r="AC71" s="6"/>
      <c r="AD71" s="7"/>
    </row>
    <row r="72">
      <c r="A72" s="23"/>
      <c r="B72" s="23"/>
      <c r="C72" s="27"/>
      <c r="D72" s="19"/>
      <c r="E72" s="6"/>
      <c r="F72" s="6"/>
      <c r="G72" s="6"/>
      <c r="H72" s="6"/>
      <c r="I72" s="19"/>
      <c r="J72" s="6"/>
      <c r="K72" s="6"/>
      <c r="L72" s="19"/>
      <c r="M72" s="6"/>
      <c r="N72" s="6"/>
      <c r="O72" s="6"/>
      <c r="P72" s="6"/>
      <c r="Q72" s="6"/>
      <c r="R72" s="6"/>
      <c r="S72" s="6"/>
      <c r="T72" s="6"/>
      <c r="U72" s="6"/>
      <c r="V72" s="6"/>
      <c r="W72" s="6"/>
      <c r="X72" s="6"/>
      <c r="Y72" s="6"/>
      <c r="Z72" s="6"/>
      <c r="AA72" s="6"/>
      <c r="AB72" s="6"/>
      <c r="AC72" s="6"/>
      <c r="AD72" s="7"/>
    </row>
    <row r="73">
      <c r="A73" s="23"/>
      <c r="B73" s="23"/>
      <c r="C73" s="27"/>
      <c r="D73" s="19"/>
      <c r="E73" s="6"/>
      <c r="F73" s="6"/>
      <c r="G73" s="6"/>
      <c r="H73" s="6"/>
      <c r="I73" s="19"/>
      <c r="J73" s="6"/>
      <c r="K73" s="6"/>
      <c r="L73" s="19"/>
      <c r="M73" s="6"/>
      <c r="N73" s="6"/>
      <c r="O73" s="6"/>
      <c r="P73" s="6"/>
      <c r="Q73" s="6"/>
      <c r="R73" s="6"/>
      <c r="S73" s="6"/>
      <c r="T73" s="6"/>
      <c r="U73" s="6"/>
      <c r="V73" s="6"/>
      <c r="W73" s="6"/>
      <c r="X73" s="6"/>
      <c r="Y73" s="6"/>
      <c r="Z73" s="6"/>
      <c r="AA73" s="6"/>
      <c r="AB73" s="6"/>
      <c r="AC73" s="6"/>
      <c r="AD73" s="7"/>
    </row>
    <row r="74">
      <c r="A74" s="23"/>
      <c r="B74" s="23"/>
      <c r="C74" s="27"/>
      <c r="D74" s="19"/>
      <c r="E74" s="6"/>
      <c r="F74" s="6"/>
      <c r="G74" s="6"/>
      <c r="H74" s="6"/>
      <c r="I74" s="19"/>
      <c r="J74" s="6"/>
      <c r="K74" s="6"/>
      <c r="L74" s="19"/>
      <c r="M74" s="6"/>
      <c r="N74" s="6"/>
      <c r="O74" s="6"/>
      <c r="P74" s="6"/>
      <c r="Q74" s="6"/>
      <c r="R74" s="6"/>
      <c r="S74" s="6"/>
      <c r="T74" s="6"/>
      <c r="U74" s="6"/>
      <c r="V74" s="6"/>
      <c r="W74" s="6"/>
      <c r="X74" s="6"/>
      <c r="Y74" s="6"/>
      <c r="Z74" s="6"/>
      <c r="AA74" s="6"/>
      <c r="AB74" s="6"/>
      <c r="AC74" s="6"/>
      <c r="AD74" s="7"/>
    </row>
    <row r="75">
      <c r="A75" s="23"/>
      <c r="B75" s="23"/>
      <c r="C75" s="27"/>
      <c r="D75" s="19"/>
      <c r="E75" s="6"/>
      <c r="F75" s="6"/>
      <c r="G75" s="6"/>
      <c r="H75" s="6"/>
      <c r="I75" s="19"/>
      <c r="J75" s="6"/>
      <c r="K75" s="6"/>
      <c r="L75" s="19"/>
      <c r="M75" s="6"/>
      <c r="N75" s="6"/>
      <c r="O75" s="6"/>
      <c r="P75" s="6"/>
      <c r="Q75" s="6"/>
      <c r="R75" s="6"/>
      <c r="S75" s="6"/>
      <c r="T75" s="6"/>
      <c r="U75" s="6"/>
      <c r="V75" s="6"/>
      <c r="W75" s="6"/>
      <c r="X75" s="6"/>
      <c r="Y75" s="6"/>
      <c r="Z75" s="6"/>
      <c r="AA75" s="6"/>
      <c r="AB75" s="6"/>
      <c r="AC75" s="6"/>
      <c r="AD75" s="7"/>
    </row>
    <row r="76">
      <c r="A76" s="23"/>
      <c r="B76" s="23"/>
      <c r="C76" s="27"/>
      <c r="D76" s="19"/>
      <c r="E76" s="6"/>
      <c r="F76" s="6"/>
      <c r="G76" s="6"/>
      <c r="H76" s="6"/>
      <c r="I76" s="19"/>
      <c r="J76" s="6"/>
      <c r="K76" s="6"/>
      <c r="L76" s="19"/>
      <c r="M76" s="6"/>
      <c r="N76" s="6"/>
      <c r="O76" s="6"/>
      <c r="P76" s="6"/>
      <c r="Q76" s="6"/>
      <c r="R76" s="6"/>
      <c r="S76" s="6"/>
      <c r="T76" s="6"/>
      <c r="U76" s="6"/>
      <c r="V76" s="6"/>
      <c r="W76" s="6"/>
      <c r="X76" s="6"/>
      <c r="Y76" s="6"/>
      <c r="Z76" s="6"/>
      <c r="AA76" s="6"/>
      <c r="AB76" s="6"/>
      <c r="AC76" s="6"/>
      <c r="AD76" s="7"/>
    </row>
    <row r="77">
      <c r="A77" s="23"/>
      <c r="B77" s="23"/>
      <c r="C77" s="27"/>
      <c r="D77" s="19"/>
      <c r="E77" s="6"/>
      <c r="F77" s="6"/>
      <c r="G77" s="6"/>
      <c r="H77" s="6"/>
      <c r="I77" s="19"/>
      <c r="J77" s="6"/>
      <c r="K77" s="6"/>
      <c r="L77" s="19"/>
      <c r="M77" s="6"/>
      <c r="N77" s="6"/>
      <c r="O77" s="6"/>
      <c r="P77" s="6"/>
      <c r="Q77" s="6"/>
      <c r="R77" s="6"/>
      <c r="S77" s="6"/>
      <c r="T77" s="6"/>
      <c r="U77" s="6"/>
      <c r="V77" s="6"/>
      <c r="W77" s="6"/>
      <c r="X77" s="6"/>
      <c r="Y77" s="6"/>
      <c r="Z77" s="6"/>
      <c r="AA77" s="6"/>
      <c r="AB77" s="6"/>
      <c r="AC77" s="6"/>
      <c r="AD77" s="7"/>
    </row>
    <row r="78">
      <c r="A78" s="23"/>
      <c r="B78" s="23"/>
      <c r="C78" s="27"/>
      <c r="D78" s="19"/>
      <c r="E78" s="6"/>
      <c r="F78" s="6"/>
      <c r="G78" s="6"/>
      <c r="H78" s="6"/>
      <c r="I78" s="19"/>
      <c r="J78" s="6"/>
      <c r="K78" s="6"/>
      <c r="L78" s="19"/>
      <c r="M78" s="6"/>
      <c r="N78" s="6"/>
      <c r="O78" s="6"/>
      <c r="P78" s="6"/>
      <c r="Q78" s="6"/>
      <c r="R78" s="6"/>
      <c r="S78" s="6"/>
      <c r="T78" s="6"/>
      <c r="U78" s="6"/>
      <c r="V78" s="6"/>
      <c r="W78" s="6"/>
      <c r="X78" s="6"/>
      <c r="Y78" s="6"/>
      <c r="Z78" s="6"/>
      <c r="AA78" s="6"/>
      <c r="AB78" s="6"/>
      <c r="AC78" s="6"/>
      <c r="AD78" s="7"/>
    </row>
    <row r="79">
      <c r="A79" s="23"/>
      <c r="B79" s="23"/>
      <c r="C79" s="27"/>
      <c r="D79" s="19"/>
      <c r="E79" s="6"/>
      <c r="F79" s="6"/>
      <c r="G79" s="6"/>
      <c r="H79" s="6"/>
      <c r="I79" s="19"/>
      <c r="J79" s="6"/>
      <c r="K79" s="6"/>
      <c r="L79" s="19"/>
      <c r="M79" s="6"/>
      <c r="N79" s="6"/>
      <c r="O79" s="6"/>
      <c r="P79" s="6"/>
      <c r="Q79" s="6"/>
      <c r="R79" s="6"/>
      <c r="S79" s="6"/>
      <c r="T79" s="6"/>
      <c r="U79" s="6"/>
      <c r="V79" s="6"/>
      <c r="W79" s="6"/>
      <c r="X79" s="6"/>
      <c r="Y79" s="6"/>
      <c r="Z79" s="6"/>
      <c r="AA79" s="6"/>
      <c r="AB79" s="6"/>
      <c r="AC79" s="6"/>
      <c r="AD79" s="7"/>
    </row>
    <row r="80">
      <c r="A80" s="23"/>
      <c r="B80" s="23"/>
      <c r="C80" s="27"/>
      <c r="D80" s="19"/>
      <c r="E80" s="6"/>
      <c r="F80" s="6"/>
      <c r="G80" s="6"/>
      <c r="H80" s="6"/>
      <c r="I80" s="19"/>
      <c r="J80" s="6"/>
      <c r="K80" s="6"/>
      <c r="L80" s="19"/>
      <c r="M80" s="6"/>
      <c r="N80" s="6"/>
      <c r="O80" s="6"/>
      <c r="P80" s="6"/>
      <c r="Q80" s="6"/>
      <c r="R80" s="6"/>
      <c r="S80" s="6"/>
      <c r="T80" s="6"/>
      <c r="U80" s="6"/>
      <c r="V80" s="6"/>
      <c r="W80" s="6"/>
      <c r="X80" s="6"/>
      <c r="Y80" s="6"/>
      <c r="Z80" s="6"/>
      <c r="AA80" s="6"/>
      <c r="AB80" s="6"/>
      <c r="AC80" s="6"/>
      <c r="AD80" s="7"/>
    </row>
    <row r="81">
      <c r="A81" s="23"/>
      <c r="B81" s="23"/>
      <c r="C81" s="27"/>
      <c r="D81" s="19"/>
      <c r="E81" s="6"/>
      <c r="F81" s="6"/>
      <c r="G81" s="6"/>
      <c r="H81" s="6"/>
      <c r="I81" s="19"/>
      <c r="J81" s="6"/>
      <c r="K81" s="6"/>
      <c r="L81" s="19"/>
      <c r="M81" s="6"/>
      <c r="N81" s="6"/>
      <c r="O81" s="6"/>
      <c r="P81" s="6"/>
      <c r="Q81" s="6"/>
      <c r="R81" s="6"/>
      <c r="S81" s="6"/>
      <c r="T81" s="6"/>
      <c r="U81" s="6"/>
      <c r="V81" s="6"/>
      <c r="W81" s="6"/>
      <c r="X81" s="6"/>
      <c r="Y81" s="6"/>
      <c r="Z81" s="6"/>
      <c r="AA81" s="6"/>
      <c r="AB81" s="6"/>
      <c r="AC81" s="6"/>
      <c r="AD81" s="7"/>
    </row>
    <row r="82">
      <c r="A82" s="23"/>
      <c r="B82" s="23"/>
      <c r="C82" s="27"/>
      <c r="D82" s="19"/>
      <c r="E82" s="6"/>
      <c r="F82" s="6"/>
      <c r="G82" s="6"/>
      <c r="H82" s="6"/>
      <c r="I82" s="19"/>
      <c r="J82" s="6"/>
      <c r="K82" s="6"/>
      <c r="L82" s="19"/>
      <c r="M82" s="6"/>
      <c r="N82" s="6"/>
      <c r="O82" s="6"/>
      <c r="P82" s="6"/>
      <c r="Q82" s="6"/>
      <c r="R82" s="6"/>
      <c r="S82" s="6"/>
      <c r="T82" s="6"/>
      <c r="U82" s="6"/>
      <c r="V82" s="6"/>
      <c r="W82" s="6"/>
      <c r="X82" s="6"/>
      <c r="Y82" s="6"/>
      <c r="Z82" s="6"/>
      <c r="AA82" s="6"/>
      <c r="AB82" s="6"/>
      <c r="AC82" s="6"/>
      <c r="AD82" s="7"/>
    </row>
    <row r="83">
      <c r="A83" s="23"/>
      <c r="B83" s="23"/>
      <c r="C83" s="27"/>
      <c r="D83" s="19"/>
      <c r="E83" s="6"/>
      <c r="F83" s="6"/>
      <c r="G83" s="6"/>
      <c r="H83" s="6"/>
      <c r="I83" s="19"/>
      <c r="J83" s="6"/>
      <c r="K83" s="6"/>
      <c r="L83" s="19"/>
      <c r="M83" s="6"/>
      <c r="N83" s="6"/>
      <c r="O83" s="6"/>
      <c r="P83" s="6"/>
      <c r="Q83" s="6"/>
      <c r="R83" s="6"/>
      <c r="S83" s="6"/>
      <c r="T83" s="6"/>
      <c r="U83" s="6"/>
      <c r="V83" s="6"/>
      <c r="W83" s="6"/>
      <c r="X83" s="6"/>
      <c r="Y83" s="6"/>
      <c r="Z83" s="6"/>
      <c r="AA83" s="6"/>
      <c r="AB83" s="6"/>
      <c r="AC83" s="6"/>
      <c r="AD83" s="7"/>
    </row>
    <row r="84">
      <c r="A84" s="23"/>
      <c r="B84" s="23"/>
      <c r="C84" s="27"/>
      <c r="D84" s="19"/>
      <c r="E84" s="6"/>
      <c r="F84" s="6"/>
      <c r="G84" s="6"/>
      <c r="H84" s="6"/>
      <c r="I84" s="19"/>
      <c r="J84" s="6"/>
      <c r="K84" s="6"/>
      <c r="L84" s="19"/>
      <c r="M84" s="6"/>
      <c r="N84" s="6"/>
      <c r="O84" s="6"/>
      <c r="P84" s="6"/>
      <c r="Q84" s="6"/>
      <c r="R84" s="6"/>
      <c r="S84" s="6"/>
      <c r="T84" s="6"/>
      <c r="U84" s="6"/>
      <c r="V84" s="6"/>
      <c r="W84" s="6"/>
      <c r="X84" s="6"/>
      <c r="Y84" s="6"/>
      <c r="Z84" s="6"/>
      <c r="AA84" s="6"/>
      <c r="AB84" s="6"/>
      <c r="AC84" s="6"/>
      <c r="AD84" s="7"/>
    </row>
    <row r="85">
      <c r="A85" s="23"/>
      <c r="B85" s="23"/>
      <c r="C85" s="27"/>
      <c r="D85" s="19"/>
      <c r="E85" s="6"/>
      <c r="F85" s="6"/>
      <c r="G85" s="6"/>
      <c r="H85" s="6"/>
      <c r="I85" s="19"/>
      <c r="J85" s="6"/>
      <c r="K85" s="6"/>
      <c r="L85" s="19"/>
      <c r="M85" s="6"/>
      <c r="N85" s="6"/>
      <c r="O85" s="6"/>
      <c r="P85" s="6"/>
      <c r="Q85" s="6"/>
      <c r="R85" s="6"/>
      <c r="S85" s="6"/>
      <c r="T85" s="6"/>
      <c r="U85" s="6"/>
      <c r="V85" s="6"/>
      <c r="W85" s="6"/>
      <c r="X85" s="6"/>
      <c r="Y85" s="6"/>
      <c r="Z85" s="6"/>
      <c r="AA85" s="6"/>
      <c r="AB85" s="6"/>
      <c r="AC85" s="6"/>
      <c r="AD85" s="7"/>
    </row>
    <row r="86">
      <c r="A86" s="23"/>
      <c r="B86" s="23"/>
      <c r="C86" s="27"/>
      <c r="D86" s="19"/>
      <c r="E86" s="6"/>
      <c r="F86" s="6"/>
      <c r="G86" s="6"/>
      <c r="H86" s="6"/>
      <c r="I86" s="19"/>
      <c r="J86" s="6"/>
      <c r="K86" s="6"/>
      <c r="L86" s="19"/>
      <c r="M86" s="6"/>
      <c r="N86" s="6"/>
      <c r="O86" s="6"/>
      <c r="P86" s="6"/>
      <c r="Q86" s="6"/>
      <c r="R86" s="6"/>
      <c r="S86" s="6"/>
      <c r="T86" s="6"/>
      <c r="U86" s="6"/>
      <c r="V86" s="6"/>
      <c r="W86" s="6"/>
      <c r="X86" s="6"/>
      <c r="Y86" s="6"/>
      <c r="Z86" s="6"/>
      <c r="AA86" s="6"/>
      <c r="AB86" s="6"/>
      <c r="AC86" s="6"/>
      <c r="AD86" s="7"/>
    </row>
    <row r="87">
      <c r="A87" s="23"/>
      <c r="B87" s="23"/>
      <c r="C87" s="27"/>
      <c r="D87" s="19"/>
      <c r="E87" s="6"/>
      <c r="F87" s="6"/>
      <c r="G87" s="6"/>
      <c r="H87" s="6"/>
      <c r="I87" s="19"/>
      <c r="J87" s="6"/>
      <c r="K87" s="6"/>
      <c r="L87" s="19"/>
      <c r="M87" s="6"/>
      <c r="N87" s="6"/>
      <c r="O87" s="6"/>
      <c r="P87" s="6"/>
      <c r="Q87" s="6"/>
      <c r="R87" s="6"/>
      <c r="S87" s="6"/>
      <c r="T87" s="6"/>
      <c r="U87" s="6"/>
      <c r="V87" s="6"/>
      <c r="W87" s="6"/>
      <c r="X87" s="6"/>
      <c r="Y87" s="6"/>
      <c r="Z87" s="6"/>
      <c r="AA87" s="6"/>
      <c r="AB87" s="6"/>
      <c r="AC87" s="6"/>
      <c r="AD87" s="7"/>
    </row>
    <row r="88">
      <c r="A88" s="23"/>
      <c r="B88" s="23"/>
      <c r="C88" s="27"/>
      <c r="D88" s="19"/>
      <c r="E88" s="6"/>
      <c r="F88" s="6"/>
      <c r="G88" s="6"/>
      <c r="H88" s="6"/>
      <c r="I88" s="19"/>
      <c r="J88" s="6"/>
      <c r="K88" s="6"/>
      <c r="L88" s="19"/>
      <c r="M88" s="6"/>
      <c r="N88" s="6"/>
      <c r="O88" s="6"/>
      <c r="P88" s="6"/>
      <c r="Q88" s="6"/>
      <c r="R88" s="6"/>
      <c r="S88" s="6"/>
      <c r="T88" s="6"/>
      <c r="U88" s="6"/>
      <c r="V88" s="6"/>
      <c r="W88" s="6"/>
      <c r="X88" s="6"/>
      <c r="Y88" s="6"/>
      <c r="Z88" s="6"/>
      <c r="AA88" s="6"/>
      <c r="AB88" s="6"/>
      <c r="AC88" s="6"/>
      <c r="AD88" s="7"/>
    </row>
    <row r="89">
      <c r="A89" s="23"/>
      <c r="B89" s="23"/>
      <c r="C89" s="27"/>
      <c r="D89" s="19"/>
      <c r="E89" s="6"/>
      <c r="F89" s="6"/>
      <c r="G89" s="6"/>
      <c r="H89" s="6"/>
      <c r="I89" s="19"/>
      <c r="J89" s="6"/>
      <c r="K89" s="6"/>
      <c r="L89" s="19"/>
      <c r="M89" s="6"/>
      <c r="N89" s="6"/>
      <c r="O89" s="6"/>
      <c r="P89" s="6"/>
      <c r="Q89" s="6"/>
      <c r="R89" s="6"/>
      <c r="S89" s="6"/>
      <c r="T89" s="6"/>
      <c r="U89" s="6"/>
      <c r="V89" s="6"/>
      <c r="W89" s="6"/>
      <c r="X89" s="6"/>
      <c r="Y89" s="6"/>
      <c r="Z89" s="6"/>
      <c r="AA89" s="6"/>
      <c r="AB89" s="6"/>
      <c r="AC89" s="6"/>
      <c r="AD89" s="7"/>
    </row>
    <row r="90">
      <c r="A90" s="23"/>
      <c r="B90" s="23"/>
      <c r="C90" s="27"/>
      <c r="D90" s="19"/>
      <c r="E90" s="6"/>
      <c r="F90" s="6"/>
      <c r="G90" s="6"/>
      <c r="H90" s="6"/>
      <c r="I90" s="19"/>
      <c r="J90" s="6"/>
      <c r="K90" s="6"/>
      <c r="L90" s="19"/>
      <c r="M90" s="6"/>
      <c r="N90" s="6"/>
      <c r="O90" s="6"/>
      <c r="P90" s="6"/>
      <c r="Q90" s="6"/>
      <c r="R90" s="6"/>
      <c r="S90" s="6"/>
      <c r="T90" s="6"/>
      <c r="U90" s="6"/>
      <c r="V90" s="6"/>
      <c r="W90" s="6"/>
      <c r="X90" s="6"/>
      <c r="Y90" s="6"/>
      <c r="Z90" s="6"/>
      <c r="AA90" s="6"/>
      <c r="AB90" s="6"/>
      <c r="AC90" s="6"/>
      <c r="AD90" s="7"/>
    </row>
    <row r="91">
      <c r="A91" s="23"/>
      <c r="B91" s="23"/>
      <c r="C91" s="27"/>
      <c r="D91" s="19"/>
      <c r="E91" s="6"/>
      <c r="F91" s="6"/>
      <c r="G91" s="6"/>
      <c r="H91" s="6"/>
      <c r="I91" s="19"/>
      <c r="J91" s="6"/>
      <c r="K91" s="6"/>
      <c r="L91" s="19"/>
      <c r="M91" s="6"/>
      <c r="N91" s="6"/>
      <c r="O91" s="6"/>
      <c r="P91" s="6"/>
      <c r="Q91" s="6"/>
      <c r="R91" s="6"/>
      <c r="S91" s="6"/>
      <c r="T91" s="6"/>
      <c r="U91" s="6"/>
      <c r="V91" s="6"/>
      <c r="W91" s="6"/>
      <c r="X91" s="6"/>
      <c r="Y91" s="6"/>
      <c r="Z91" s="6"/>
      <c r="AA91" s="6"/>
      <c r="AB91" s="6"/>
      <c r="AC91" s="6"/>
      <c r="AD91" s="7"/>
    </row>
    <row r="92">
      <c r="A92" s="23"/>
      <c r="B92" s="23"/>
      <c r="C92" s="27"/>
      <c r="D92" s="19"/>
      <c r="E92" s="6"/>
      <c r="F92" s="6"/>
      <c r="G92" s="6"/>
      <c r="H92" s="6"/>
      <c r="I92" s="19"/>
      <c r="J92" s="6"/>
      <c r="K92" s="6"/>
      <c r="L92" s="19"/>
      <c r="M92" s="6"/>
      <c r="N92" s="6"/>
      <c r="O92" s="6"/>
      <c r="P92" s="6"/>
      <c r="Q92" s="6"/>
      <c r="R92" s="6"/>
      <c r="S92" s="6"/>
      <c r="T92" s="6"/>
      <c r="U92" s="6"/>
      <c r="V92" s="6"/>
      <c r="W92" s="6"/>
      <c r="X92" s="6"/>
      <c r="Y92" s="6"/>
      <c r="Z92" s="6"/>
      <c r="AA92" s="6"/>
      <c r="AB92" s="6"/>
      <c r="AC92" s="6"/>
      <c r="AD92" s="7"/>
    </row>
    <row r="93">
      <c r="A93" s="23"/>
      <c r="B93" s="23"/>
      <c r="C93" s="27"/>
      <c r="D93" s="19"/>
      <c r="E93" s="6"/>
      <c r="F93" s="6"/>
      <c r="G93" s="6"/>
      <c r="H93" s="6"/>
      <c r="I93" s="19"/>
      <c r="J93" s="6"/>
      <c r="K93" s="6"/>
      <c r="L93" s="19"/>
      <c r="M93" s="6"/>
      <c r="N93" s="6"/>
      <c r="O93" s="6"/>
      <c r="P93" s="6"/>
      <c r="Q93" s="6"/>
      <c r="R93" s="6"/>
      <c r="S93" s="6"/>
      <c r="T93" s="6"/>
      <c r="U93" s="6"/>
      <c r="V93" s="6"/>
      <c r="W93" s="6"/>
      <c r="X93" s="6"/>
      <c r="Y93" s="6"/>
      <c r="Z93" s="6"/>
      <c r="AA93" s="6"/>
      <c r="AB93" s="6"/>
      <c r="AC93" s="6"/>
      <c r="AD93" s="7"/>
    </row>
    <row r="94">
      <c r="A94" s="23"/>
      <c r="B94" s="23"/>
      <c r="C94" s="27"/>
      <c r="D94" s="19"/>
      <c r="E94" s="6"/>
      <c r="F94" s="6"/>
      <c r="G94" s="6"/>
      <c r="H94" s="6"/>
      <c r="I94" s="19"/>
      <c r="J94" s="6"/>
      <c r="K94" s="6"/>
      <c r="L94" s="19"/>
      <c r="M94" s="6"/>
      <c r="N94" s="6"/>
      <c r="O94" s="6"/>
      <c r="P94" s="6"/>
      <c r="Q94" s="6"/>
      <c r="R94" s="6"/>
      <c r="S94" s="6"/>
      <c r="T94" s="6"/>
      <c r="U94" s="6"/>
      <c r="V94" s="6"/>
      <c r="W94" s="6"/>
      <c r="X94" s="6"/>
      <c r="Y94" s="6"/>
      <c r="Z94" s="6"/>
      <c r="AA94" s="6"/>
      <c r="AB94" s="6"/>
      <c r="AC94" s="6"/>
      <c r="AD94" s="7"/>
    </row>
    <row r="95">
      <c r="A95" s="23"/>
      <c r="B95" s="23"/>
      <c r="C95" s="27"/>
      <c r="D95" s="19"/>
      <c r="E95" s="6"/>
      <c r="F95" s="6"/>
      <c r="G95" s="6"/>
      <c r="H95" s="6"/>
      <c r="I95" s="19"/>
      <c r="J95" s="6"/>
      <c r="K95" s="6"/>
      <c r="L95" s="19"/>
      <c r="M95" s="6"/>
      <c r="N95" s="6"/>
      <c r="O95" s="6"/>
      <c r="P95" s="6"/>
      <c r="Q95" s="6"/>
      <c r="R95" s="6"/>
      <c r="S95" s="6"/>
      <c r="T95" s="6"/>
      <c r="U95" s="6"/>
      <c r="V95" s="6"/>
      <c r="W95" s="6"/>
      <c r="X95" s="6"/>
      <c r="Y95" s="6"/>
      <c r="Z95" s="6"/>
      <c r="AA95" s="6"/>
      <c r="AB95" s="6"/>
      <c r="AC95" s="6"/>
      <c r="AD95" s="7"/>
    </row>
    <row r="96">
      <c r="A96" s="23"/>
      <c r="B96" s="23"/>
      <c r="C96" s="27"/>
      <c r="D96" s="19"/>
      <c r="E96" s="6"/>
      <c r="F96" s="6"/>
      <c r="G96" s="6"/>
      <c r="H96" s="6"/>
      <c r="I96" s="19"/>
      <c r="J96" s="6"/>
      <c r="K96" s="6"/>
      <c r="L96" s="19"/>
      <c r="M96" s="6"/>
      <c r="N96" s="6"/>
      <c r="O96" s="6"/>
      <c r="P96" s="6"/>
      <c r="Q96" s="6"/>
      <c r="R96" s="6"/>
      <c r="S96" s="6"/>
      <c r="T96" s="6"/>
      <c r="U96" s="6"/>
      <c r="V96" s="6"/>
      <c r="W96" s="6"/>
      <c r="X96" s="6"/>
      <c r="Y96" s="6"/>
      <c r="Z96" s="6"/>
      <c r="AA96" s="6"/>
      <c r="AB96" s="6"/>
      <c r="AC96" s="6"/>
      <c r="AD96" s="7"/>
    </row>
    <row r="97">
      <c r="A97" s="23"/>
      <c r="B97" s="23"/>
      <c r="C97" s="27"/>
      <c r="D97" s="19"/>
      <c r="E97" s="6"/>
      <c r="F97" s="6"/>
      <c r="G97" s="6"/>
      <c r="H97" s="6"/>
      <c r="I97" s="19"/>
      <c r="J97" s="6"/>
      <c r="K97" s="6"/>
      <c r="L97" s="19"/>
      <c r="M97" s="6"/>
      <c r="N97" s="6"/>
      <c r="O97" s="6"/>
      <c r="P97" s="6"/>
      <c r="Q97" s="6"/>
      <c r="R97" s="6"/>
      <c r="S97" s="6"/>
      <c r="T97" s="6"/>
      <c r="U97" s="6"/>
      <c r="V97" s="6"/>
      <c r="W97" s="6"/>
      <c r="X97" s="6"/>
      <c r="Y97" s="6"/>
      <c r="Z97" s="6"/>
      <c r="AA97" s="6"/>
      <c r="AB97" s="6"/>
      <c r="AC97" s="6"/>
      <c r="AD97" s="7"/>
    </row>
    <row r="98">
      <c r="A98" s="23"/>
      <c r="B98" s="23"/>
      <c r="C98" s="27"/>
      <c r="D98" s="19"/>
      <c r="E98" s="6"/>
      <c r="F98" s="6"/>
      <c r="G98" s="6"/>
      <c r="H98" s="6"/>
      <c r="I98" s="19"/>
      <c r="J98" s="6"/>
      <c r="K98" s="6"/>
      <c r="L98" s="19"/>
      <c r="M98" s="6"/>
      <c r="N98" s="6"/>
      <c r="O98" s="6"/>
      <c r="P98" s="6"/>
      <c r="Q98" s="6"/>
      <c r="R98" s="6"/>
      <c r="S98" s="6"/>
      <c r="T98" s="6"/>
      <c r="U98" s="6"/>
      <c r="V98" s="6"/>
      <c r="W98" s="6"/>
      <c r="X98" s="6"/>
      <c r="Y98" s="6"/>
      <c r="Z98" s="6"/>
      <c r="AA98" s="6"/>
      <c r="AB98" s="6"/>
      <c r="AC98" s="6"/>
      <c r="AD98" s="7"/>
    </row>
    <row r="99">
      <c r="A99" s="23"/>
      <c r="B99" s="23"/>
      <c r="C99" s="27"/>
      <c r="D99" s="19"/>
      <c r="E99" s="6"/>
      <c r="F99" s="6"/>
      <c r="G99" s="6"/>
      <c r="H99" s="6"/>
      <c r="I99" s="19"/>
      <c r="J99" s="6"/>
      <c r="K99" s="6"/>
      <c r="L99" s="19"/>
      <c r="M99" s="6"/>
      <c r="N99" s="6"/>
      <c r="O99" s="6"/>
      <c r="P99" s="6"/>
      <c r="Q99" s="6"/>
      <c r="R99" s="6"/>
      <c r="S99" s="6"/>
      <c r="T99" s="6"/>
      <c r="U99" s="6"/>
      <c r="V99" s="6"/>
      <c r="W99" s="6"/>
      <c r="X99" s="6"/>
      <c r="Y99" s="6"/>
      <c r="Z99" s="6"/>
      <c r="AA99" s="6"/>
      <c r="AB99" s="6"/>
      <c r="AC99" s="6"/>
      <c r="AD99" s="7"/>
    </row>
    <row r="100">
      <c r="A100" s="23"/>
      <c r="B100" s="23"/>
      <c r="C100" s="27"/>
      <c r="D100" s="19"/>
      <c r="E100" s="6"/>
      <c r="F100" s="6"/>
      <c r="G100" s="6"/>
      <c r="H100" s="6"/>
      <c r="I100" s="19"/>
      <c r="J100" s="6"/>
      <c r="K100" s="6"/>
      <c r="L100" s="19"/>
      <c r="M100" s="6"/>
      <c r="N100" s="6"/>
      <c r="O100" s="6"/>
      <c r="P100" s="6"/>
      <c r="Q100" s="6"/>
      <c r="R100" s="6"/>
      <c r="S100" s="6"/>
      <c r="T100" s="6"/>
      <c r="U100" s="6"/>
      <c r="V100" s="6"/>
      <c r="W100" s="6"/>
      <c r="X100" s="6"/>
      <c r="Y100" s="6"/>
      <c r="Z100" s="6"/>
      <c r="AA100" s="6"/>
      <c r="AB100" s="6"/>
      <c r="AC100" s="6"/>
      <c r="AD100" s="7"/>
    </row>
    <row r="101">
      <c r="A101" s="23"/>
      <c r="B101" s="23"/>
      <c r="C101" s="27"/>
      <c r="D101" s="19"/>
      <c r="E101" s="6"/>
      <c r="F101" s="6"/>
      <c r="G101" s="6"/>
      <c r="H101" s="6"/>
      <c r="I101" s="19"/>
      <c r="J101" s="6"/>
      <c r="K101" s="6"/>
      <c r="L101" s="19"/>
      <c r="M101" s="6"/>
      <c r="N101" s="6"/>
      <c r="O101" s="6"/>
      <c r="P101" s="6"/>
      <c r="Q101" s="6"/>
      <c r="R101" s="6"/>
      <c r="S101" s="6"/>
      <c r="T101" s="6"/>
      <c r="U101" s="6"/>
      <c r="V101" s="6"/>
      <c r="W101" s="6"/>
      <c r="X101" s="6"/>
      <c r="Y101" s="6"/>
      <c r="Z101" s="6"/>
      <c r="AA101" s="6"/>
      <c r="AB101" s="6"/>
      <c r="AC101" s="6"/>
      <c r="AD101" s="7"/>
    </row>
    <row r="102">
      <c r="A102" s="23"/>
      <c r="B102" s="23"/>
      <c r="C102" s="27"/>
      <c r="D102" s="19"/>
      <c r="E102" s="6"/>
      <c r="F102" s="6"/>
      <c r="G102" s="6"/>
      <c r="H102" s="6"/>
      <c r="I102" s="19"/>
      <c r="J102" s="6"/>
      <c r="K102" s="6"/>
      <c r="L102" s="19"/>
      <c r="M102" s="6"/>
      <c r="N102" s="6"/>
      <c r="O102" s="6"/>
      <c r="P102" s="6"/>
      <c r="Q102" s="6"/>
      <c r="R102" s="6"/>
      <c r="S102" s="6"/>
      <c r="T102" s="6"/>
      <c r="U102" s="6"/>
      <c r="V102" s="6"/>
      <c r="W102" s="6"/>
      <c r="X102" s="6"/>
      <c r="Y102" s="6"/>
      <c r="Z102" s="6"/>
      <c r="AA102" s="6"/>
      <c r="AB102" s="6"/>
      <c r="AC102" s="6"/>
      <c r="AD102" s="7"/>
    </row>
    <row r="103">
      <c r="A103" s="23"/>
      <c r="B103" s="23"/>
      <c r="C103" s="27"/>
      <c r="D103" s="19"/>
      <c r="E103" s="6"/>
      <c r="F103" s="6"/>
      <c r="G103" s="6"/>
      <c r="H103" s="6"/>
      <c r="I103" s="19"/>
      <c r="J103" s="6"/>
      <c r="K103" s="6"/>
      <c r="L103" s="19"/>
      <c r="M103" s="6"/>
      <c r="N103" s="6"/>
      <c r="O103" s="6"/>
      <c r="P103" s="6"/>
      <c r="Q103" s="6"/>
      <c r="R103" s="6"/>
      <c r="S103" s="6"/>
      <c r="T103" s="6"/>
      <c r="U103" s="6"/>
      <c r="V103" s="6"/>
      <c r="W103" s="6"/>
      <c r="X103" s="6"/>
      <c r="Y103" s="6"/>
      <c r="Z103" s="6"/>
      <c r="AA103" s="6"/>
      <c r="AB103" s="6"/>
      <c r="AC103" s="6"/>
      <c r="AD103" s="7"/>
    </row>
    <row r="104">
      <c r="A104" s="23"/>
      <c r="B104" s="23"/>
      <c r="C104" s="27"/>
      <c r="D104" s="19"/>
      <c r="E104" s="6"/>
      <c r="F104" s="6"/>
      <c r="G104" s="6"/>
      <c r="H104" s="6"/>
      <c r="I104" s="19"/>
      <c r="J104" s="6"/>
      <c r="K104" s="6"/>
      <c r="L104" s="19"/>
      <c r="M104" s="6"/>
      <c r="N104" s="6"/>
      <c r="O104" s="6"/>
      <c r="P104" s="6"/>
      <c r="Q104" s="6"/>
      <c r="R104" s="6"/>
      <c r="S104" s="6"/>
      <c r="T104" s="6"/>
      <c r="U104" s="6"/>
      <c r="V104" s="6"/>
      <c r="W104" s="6"/>
      <c r="X104" s="6"/>
      <c r="Y104" s="6"/>
      <c r="Z104" s="6"/>
      <c r="AA104" s="6"/>
      <c r="AB104" s="6"/>
      <c r="AC104" s="6"/>
      <c r="AD104" s="7"/>
    </row>
    <row r="105">
      <c r="A105" s="23"/>
      <c r="B105" s="23"/>
      <c r="C105" s="27"/>
      <c r="D105" s="19"/>
      <c r="E105" s="6"/>
      <c r="F105" s="6"/>
      <c r="G105" s="6"/>
      <c r="H105" s="6"/>
      <c r="I105" s="19"/>
      <c r="J105" s="6"/>
      <c r="K105" s="6"/>
      <c r="L105" s="19"/>
      <c r="M105" s="6"/>
      <c r="N105" s="6"/>
      <c r="O105" s="6"/>
      <c r="P105" s="6"/>
      <c r="Q105" s="6"/>
      <c r="R105" s="6"/>
      <c r="S105" s="6"/>
      <c r="T105" s="6"/>
      <c r="U105" s="6"/>
      <c r="V105" s="6"/>
      <c r="W105" s="6"/>
      <c r="X105" s="6"/>
      <c r="Y105" s="6"/>
      <c r="Z105" s="6"/>
      <c r="AA105" s="6"/>
      <c r="AB105" s="6"/>
      <c r="AC105" s="6"/>
      <c r="AD105" s="7"/>
    </row>
    <row r="106">
      <c r="A106" s="23"/>
      <c r="B106" s="23"/>
      <c r="C106" s="27"/>
      <c r="D106" s="19"/>
      <c r="E106" s="6"/>
      <c r="F106" s="6"/>
      <c r="G106" s="6"/>
      <c r="H106" s="6"/>
      <c r="I106" s="19"/>
      <c r="J106" s="6"/>
      <c r="K106" s="6"/>
      <c r="L106" s="19"/>
      <c r="M106" s="6"/>
      <c r="N106" s="6"/>
      <c r="O106" s="6"/>
      <c r="P106" s="6"/>
      <c r="Q106" s="6"/>
      <c r="R106" s="6"/>
      <c r="S106" s="6"/>
      <c r="T106" s="6"/>
      <c r="U106" s="6"/>
      <c r="V106" s="6"/>
      <c r="W106" s="6"/>
      <c r="X106" s="6"/>
      <c r="Y106" s="6"/>
      <c r="Z106" s="6"/>
      <c r="AA106" s="6"/>
      <c r="AB106" s="6"/>
      <c r="AC106" s="6"/>
      <c r="AD106" s="7"/>
    </row>
    <row r="107">
      <c r="A107" s="23"/>
      <c r="B107" s="23"/>
      <c r="C107" s="27"/>
      <c r="D107" s="19"/>
      <c r="E107" s="6"/>
      <c r="F107" s="6"/>
      <c r="G107" s="6"/>
      <c r="H107" s="6"/>
      <c r="I107" s="19"/>
      <c r="J107" s="6"/>
      <c r="K107" s="6"/>
      <c r="L107" s="19"/>
      <c r="M107" s="6"/>
      <c r="N107" s="6"/>
      <c r="O107" s="6"/>
      <c r="P107" s="6"/>
      <c r="Q107" s="6"/>
      <c r="R107" s="6"/>
      <c r="S107" s="6"/>
      <c r="T107" s="6"/>
      <c r="U107" s="6"/>
      <c r="V107" s="6"/>
      <c r="W107" s="6"/>
      <c r="X107" s="6"/>
      <c r="Y107" s="6"/>
      <c r="Z107" s="6"/>
      <c r="AA107" s="6"/>
      <c r="AB107" s="6"/>
      <c r="AC107" s="6"/>
      <c r="AD107" s="7"/>
    </row>
    <row r="108">
      <c r="A108" s="23"/>
      <c r="B108" s="23"/>
      <c r="C108" s="27"/>
      <c r="D108" s="19"/>
      <c r="E108" s="6"/>
      <c r="F108" s="6"/>
      <c r="G108" s="6"/>
      <c r="H108" s="6"/>
      <c r="I108" s="19"/>
      <c r="J108" s="6"/>
      <c r="K108" s="6"/>
      <c r="L108" s="19"/>
      <c r="M108" s="6"/>
      <c r="N108" s="6"/>
      <c r="O108" s="6"/>
      <c r="P108" s="6"/>
      <c r="Q108" s="6"/>
      <c r="R108" s="6"/>
      <c r="S108" s="6"/>
      <c r="T108" s="6"/>
      <c r="U108" s="6"/>
      <c r="V108" s="6"/>
      <c r="W108" s="6"/>
      <c r="X108" s="6"/>
      <c r="Y108" s="6"/>
      <c r="Z108" s="6"/>
      <c r="AA108" s="6"/>
      <c r="AB108" s="6"/>
      <c r="AC108" s="6"/>
      <c r="AD108" s="7"/>
    </row>
    <row r="109">
      <c r="A109" s="23"/>
      <c r="B109" s="23"/>
      <c r="C109" s="27"/>
      <c r="D109" s="19"/>
      <c r="E109" s="6"/>
      <c r="F109" s="6"/>
      <c r="G109" s="6"/>
      <c r="H109" s="6"/>
      <c r="I109" s="19"/>
      <c r="J109" s="6"/>
      <c r="K109" s="6"/>
      <c r="L109" s="19"/>
      <c r="M109" s="6"/>
      <c r="N109" s="6"/>
      <c r="O109" s="6"/>
      <c r="P109" s="6"/>
      <c r="Q109" s="6"/>
      <c r="R109" s="6"/>
      <c r="S109" s="6"/>
      <c r="T109" s="6"/>
      <c r="U109" s="6"/>
      <c r="V109" s="6"/>
      <c r="W109" s="6"/>
      <c r="X109" s="6"/>
      <c r="Y109" s="6"/>
      <c r="Z109" s="6"/>
      <c r="AA109" s="6"/>
      <c r="AB109" s="6"/>
      <c r="AC109" s="6"/>
      <c r="AD109" s="7"/>
    </row>
    <row r="110">
      <c r="A110" s="23"/>
      <c r="B110" s="23"/>
      <c r="C110" s="27"/>
      <c r="D110" s="19"/>
      <c r="E110" s="6"/>
      <c r="F110" s="6"/>
      <c r="G110" s="6"/>
      <c r="H110" s="6"/>
      <c r="I110" s="19"/>
      <c r="J110" s="6"/>
      <c r="K110" s="6"/>
      <c r="L110" s="19"/>
      <c r="M110" s="6"/>
      <c r="N110" s="6"/>
      <c r="O110" s="6"/>
      <c r="P110" s="6"/>
      <c r="Q110" s="6"/>
      <c r="R110" s="6"/>
      <c r="S110" s="6"/>
      <c r="T110" s="6"/>
      <c r="U110" s="6"/>
      <c r="V110" s="6"/>
      <c r="W110" s="6"/>
      <c r="X110" s="6"/>
      <c r="Y110" s="6"/>
      <c r="Z110" s="6"/>
      <c r="AA110" s="6"/>
      <c r="AB110" s="6"/>
      <c r="AC110" s="6"/>
      <c r="AD110" s="7"/>
    </row>
    <row r="111">
      <c r="A111" s="23"/>
      <c r="B111" s="23"/>
      <c r="C111" s="27"/>
      <c r="D111" s="19"/>
      <c r="E111" s="6"/>
      <c r="F111" s="6"/>
      <c r="G111" s="6"/>
      <c r="H111" s="6"/>
      <c r="I111" s="19"/>
      <c r="J111" s="6"/>
      <c r="K111" s="6"/>
      <c r="L111" s="19"/>
      <c r="M111" s="6"/>
      <c r="N111" s="6"/>
      <c r="O111" s="6"/>
      <c r="P111" s="6"/>
      <c r="Q111" s="6"/>
      <c r="R111" s="6"/>
      <c r="S111" s="6"/>
      <c r="T111" s="6"/>
      <c r="U111" s="6"/>
      <c r="V111" s="6"/>
      <c r="W111" s="6"/>
      <c r="X111" s="6"/>
      <c r="Y111" s="6"/>
      <c r="Z111" s="6"/>
      <c r="AA111" s="6"/>
      <c r="AB111" s="6"/>
      <c r="AC111" s="6"/>
      <c r="AD111" s="7"/>
    </row>
    <row r="112">
      <c r="A112" s="23"/>
      <c r="B112" s="23"/>
      <c r="C112" s="27"/>
      <c r="D112" s="19"/>
      <c r="E112" s="6"/>
      <c r="F112" s="6"/>
      <c r="G112" s="6"/>
      <c r="H112" s="6"/>
      <c r="I112" s="19"/>
      <c r="J112" s="6"/>
      <c r="K112" s="6"/>
      <c r="L112" s="19"/>
      <c r="M112" s="6"/>
      <c r="N112" s="6"/>
      <c r="O112" s="6"/>
      <c r="P112" s="6"/>
      <c r="Q112" s="6"/>
      <c r="R112" s="6"/>
      <c r="S112" s="6"/>
      <c r="T112" s="6"/>
      <c r="U112" s="6"/>
      <c r="V112" s="6"/>
      <c r="W112" s="6"/>
      <c r="X112" s="6"/>
      <c r="Y112" s="6"/>
      <c r="Z112" s="6"/>
      <c r="AA112" s="6"/>
      <c r="AB112" s="6"/>
      <c r="AC112" s="6"/>
      <c r="AD112" s="7"/>
    </row>
    <row r="113">
      <c r="A113" s="23"/>
      <c r="B113" s="23"/>
      <c r="C113" s="27"/>
      <c r="D113" s="19"/>
      <c r="E113" s="6"/>
      <c r="F113" s="6"/>
      <c r="G113" s="6"/>
      <c r="H113" s="6"/>
      <c r="I113" s="19"/>
      <c r="J113" s="6"/>
      <c r="K113" s="6"/>
      <c r="L113" s="19"/>
      <c r="M113" s="6"/>
      <c r="N113" s="6"/>
      <c r="O113" s="6"/>
      <c r="P113" s="6"/>
      <c r="Q113" s="6"/>
      <c r="R113" s="6"/>
      <c r="S113" s="6"/>
      <c r="T113" s="6"/>
      <c r="U113" s="6"/>
      <c r="V113" s="6"/>
      <c r="W113" s="6"/>
      <c r="X113" s="6"/>
      <c r="Y113" s="6"/>
      <c r="Z113" s="6"/>
      <c r="AA113" s="6"/>
      <c r="AB113" s="6"/>
      <c r="AC113" s="6"/>
      <c r="AD113" s="7"/>
    </row>
    <row r="114">
      <c r="A114" s="23"/>
      <c r="B114" s="23"/>
      <c r="C114" s="27"/>
      <c r="D114" s="19"/>
      <c r="E114" s="6"/>
      <c r="F114" s="6"/>
      <c r="G114" s="6"/>
      <c r="H114" s="6"/>
      <c r="I114" s="19"/>
      <c r="J114" s="6"/>
      <c r="K114" s="6"/>
      <c r="L114" s="19"/>
      <c r="M114" s="6"/>
      <c r="N114" s="6"/>
      <c r="O114" s="6"/>
      <c r="P114" s="6"/>
      <c r="Q114" s="6"/>
      <c r="R114" s="6"/>
      <c r="S114" s="6"/>
      <c r="T114" s="6"/>
      <c r="U114" s="6"/>
      <c r="V114" s="6"/>
      <c r="W114" s="6"/>
      <c r="X114" s="6"/>
      <c r="Y114" s="6"/>
      <c r="Z114" s="6"/>
      <c r="AA114" s="6"/>
      <c r="AB114" s="6"/>
      <c r="AC114" s="6"/>
      <c r="AD114" s="7"/>
    </row>
    <row r="115">
      <c r="A115" s="23"/>
      <c r="B115" s="23"/>
      <c r="C115" s="27"/>
      <c r="D115" s="19"/>
      <c r="E115" s="6"/>
      <c r="F115" s="6"/>
      <c r="G115" s="6"/>
      <c r="H115" s="6"/>
      <c r="I115" s="19"/>
      <c r="J115" s="6"/>
      <c r="K115" s="6"/>
      <c r="L115" s="19"/>
      <c r="M115" s="6"/>
      <c r="N115" s="6"/>
      <c r="O115" s="6"/>
      <c r="P115" s="6"/>
      <c r="Q115" s="6"/>
      <c r="R115" s="6"/>
      <c r="S115" s="6"/>
      <c r="T115" s="6"/>
      <c r="U115" s="6"/>
      <c r="V115" s="6"/>
      <c r="W115" s="6"/>
      <c r="X115" s="6"/>
      <c r="Y115" s="6"/>
      <c r="Z115" s="6"/>
      <c r="AA115" s="6"/>
      <c r="AB115" s="6"/>
      <c r="AC115" s="6"/>
      <c r="AD115" s="7"/>
    </row>
    <row r="116">
      <c r="A116" s="23"/>
      <c r="B116" s="23"/>
      <c r="C116" s="27"/>
      <c r="D116" s="19"/>
      <c r="E116" s="6"/>
      <c r="F116" s="6"/>
      <c r="G116" s="6"/>
      <c r="H116" s="6"/>
      <c r="I116" s="19"/>
      <c r="J116" s="6"/>
      <c r="K116" s="6"/>
      <c r="L116" s="19"/>
      <c r="M116" s="6"/>
      <c r="N116" s="6"/>
      <c r="O116" s="6"/>
      <c r="P116" s="6"/>
      <c r="Q116" s="6"/>
      <c r="R116" s="6"/>
      <c r="S116" s="6"/>
      <c r="T116" s="6"/>
      <c r="U116" s="6"/>
      <c r="V116" s="6"/>
      <c r="W116" s="6"/>
      <c r="X116" s="6"/>
      <c r="Y116" s="6"/>
      <c r="Z116" s="6"/>
      <c r="AA116" s="6"/>
      <c r="AB116" s="6"/>
      <c r="AC116" s="6"/>
      <c r="AD116" s="7"/>
    </row>
    <row r="117">
      <c r="A117" s="23"/>
      <c r="B117" s="23"/>
      <c r="C117" s="27"/>
      <c r="D117" s="19"/>
      <c r="E117" s="6"/>
      <c r="F117" s="6"/>
      <c r="G117" s="6"/>
      <c r="H117" s="6"/>
      <c r="I117" s="19"/>
      <c r="J117" s="6"/>
      <c r="K117" s="6"/>
      <c r="L117" s="19"/>
      <c r="M117" s="6"/>
      <c r="N117" s="6"/>
      <c r="O117" s="6"/>
      <c r="P117" s="6"/>
      <c r="Q117" s="6"/>
      <c r="R117" s="6"/>
      <c r="S117" s="6"/>
      <c r="T117" s="6"/>
      <c r="U117" s="6"/>
      <c r="V117" s="6"/>
      <c r="W117" s="6"/>
      <c r="X117" s="6"/>
      <c r="Y117" s="6"/>
      <c r="Z117" s="6"/>
      <c r="AA117" s="6"/>
      <c r="AB117" s="6"/>
      <c r="AC117" s="6"/>
      <c r="AD117" s="7"/>
    </row>
    <row r="118">
      <c r="A118" s="23"/>
      <c r="B118" s="23"/>
      <c r="C118" s="27"/>
      <c r="D118" s="19"/>
      <c r="E118" s="6"/>
      <c r="F118" s="6"/>
      <c r="G118" s="6"/>
      <c r="H118" s="6"/>
      <c r="I118" s="19"/>
      <c r="J118" s="6"/>
      <c r="K118" s="6"/>
      <c r="L118" s="19"/>
      <c r="M118" s="6"/>
      <c r="N118" s="6"/>
      <c r="O118" s="6"/>
      <c r="P118" s="6"/>
      <c r="Q118" s="6"/>
      <c r="R118" s="6"/>
      <c r="S118" s="6"/>
      <c r="T118" s="6"/>
      <c r="U118" s="6"/>
      <c r="V118" s="6"/>
      <c r="W118" s="6"/>
      <c r="X118" s="6"/>
      <c r="Y118" s="6"/>
      <c r="Z118" s="6"/>
      <c r="AA118" s="6"/>
      <c r="AB118" s="6"/>
      <c r="AC118" s="6"/>
      <c r="AD118" s="7"/>
    </row>
    <row r="119">
      <c r="A119" s="23"/>
      <c r="B119" s="23"/>
      <c r="C119" s="27"/>
      <c r="D119" s="19"/>
      <c r="E119" s="6"/>
      <c r="F119" s="6"/>
      <c r="G119" s="6"/>
      <c r="H119" s="6"/>
      <c r="I119" s="19"/>
      <c r="J119" s="6"/>
      <c r="K119" s="6"/>
      <c r="L119" s="19"/>
      <c r="M119" s="6"/>
      <c r="N119" s="6"/>
      <c r="O119" s="6"/>
      <c r="P119" s="6"/>
      <c r="Q119" s="6"/>
      <c r="R119" s="6"/>
      <c r="S119" s="6"/>
      <c r="T119" s="6"/>
      <c r="U119" s="6"/>
      <c r="V119" s="6"/>
      <c r="W119" s="6"/>
      <c r="X119" s="6"/>
      <c r="Y119" s="6"/>
      <c r="Z119" s="6"/>
      <c r="AA119" s="6"/>
      <c r="AB119" s="6"/>
      <c r="AC119" s="6"/>
      <c r="AD119" s="7"/>
    </row>
    <row r="120">
      <c r="A120" s="23"/>
      <c r="B120" s="23"/>
      <c r="C120" s="27"/>
      <c r="D120" s="19"/>
      <c r="E120" s="6"/>
      <c r="F120" s="6"/>
      <c r="G120" s="6"/>
      <c r="H120" s="6"/>
      <c r="I120" s="19"/>
      <c r="J120" s="6"/>
      <c r="K120" s="6"/>
      <c r="L120" s="19"/>
      <c r="M120" s="6"/>
      <c r="N120" s="6"/>
      <c r="O120" s="6"/>
      <c r="P120" s="6"/>
      <c r="Q120" s="6"/>
      <c r="R120" s="6"/>
      <c r="S120" s="6"/>
      <c r="T120" s="6"/>
      <c r="U120" s="6"/>
      <c r="V120" s="6"/>
      <c r="W120" s="6"/>
      <c r="X120" s="6"/>
      <c r="Y120" s="6"/>
      <c r="Z120" s="6"/>
      <c r="AA120" s="6"/>
      <c r="AB120" s="6"/>
      <c r="AC120" s="6"/>
      <c r="AD120" s="7"/>
    </row>
    <row r="121">
      <c r="A121" s="23"/>
      <c r="B121" s="23"/>
      <c r="C121" s="27"/>
      <c r="D121" s="19"/>
      <c r="E121" s="6"/>
      <c r="F121" s="6"/>
      <c r="G121" s="6"/>
      <c r="H121" s="6"/>
      <c r="I121" s="19"/>
      <c r="J121" s="6"/>
      <c r="K121" s="6"/>
      <c r="L121" s="19"/>
      <c r="M121" s="6"/>
      <c r="N121" s="6"/>
      <c r="O121" s="6"/>
      <c r="P121" s="6"/>
      <c r="Q121" s="6"/>
      <c r="R121" s="6"/>
      <c r="S121" s="6"/>
      <c r="T121" s="6"/>
      <c r="U121" s="6"/>
      <c r="V121" s="6"/>
      <c r="W121" s="6"/>
      <c r="X121" s="6"/>
      <c r="Y121" s="6"/>
      <c r="Z121" s="6"/>
      <c r="AA121" s="6"/>
      <c r="AB121" s="6"/>
      <c r="AC121" s="6"/>
      <c r="AD121" s="7"/>
    </row>
    <row r="122">
      <c r="A122" s="23"/>
      <c r="B122" s="23"/>
      <c r="C122" s="27"/>
      <c r="D122" s="19"/>
      <c r="E122" s="6"/>
      <c r="F122" s="6"/>
      <c r="G122" s="6"/>
      <c r="H122" s="6"/>
      <c r="I122" s="19"/>
      <c r="J122" s="6"/>
      <c r="K122" s="6"/>
      <c r="L122" s="19"/>
      <c r="M122" s="6"/>
      <c r="N122" s="6"/>
      <c r="O122" s="6"/>
      <c r="P122" s="6"/>
      <c r="Q122" s="6"/>
      <c r="R122" s="6"/>
      <c r="S122" s="6"/>
      <c r="T122" s="6"/>
      <c r="U122" s="6"/>
      <c r="V122" s="6"/>
      <c r="W122" s="6"/>
      <c r="X122" s="6"/>
      <c r="Y122" s="6"/>
      <c r="Z122" s="6"/>
      <c r="AA122" s="6"/>
      <c r="AB122" s="6"/>
      <c r="AC122" s="6"/>
      <c r="AD122" s="7"/>
    </row>
    <row r="123">
      <c r="A123" s="23"/>
      <c r="B123" s="23"/>
      <c r="C123" s="27"/>
      <c r="D123" s="19"/>
      <c r="E123" s="6"/>
      <c r="F123" s="6"/>
      <c r="G123" s="6"/>
      <c r="H123" s="6"/>
      <c r="I123" s="19"/>
      <c r="J123" s="6"/>
      <c r="K123" s="6"/>
      <c r="L123" s="19"/>
      <c r="M123" s="6"/>
      <c r="N123" s="6"/>
      <c r="O123" s="6"/>
      <c r="P123" s="6"/>
      <c r="Q123" s="6"/>
      <c r="R123" s="6"/>
      <c r="S123" s="6"/>
      <c r="T123" s="6"/>
      <c r="U123" s="6"/>
      <c r="V123" s="6"/>
      <c r="W123" s="6"/>
      <c r="X123" s="6"/>
      <c r="Y123" s="6"/>
      <c r="Z123" s="6"/>
      <c r="AA123" s="6"/>
      <c r="AB123" s="6"/>
      <c r="AC123" s="6"/>
      <c r="AD123" s="7"/>
    </row>
    <row r="124">
      <c r="A124" s="23"/>
      <c r="B124" s="23"/>
      <c r="C124" s="27"/>
      <c r="D124" s="19"/>
      <c r="E124" s="6"/>
      <c r="F124" s="6"/>
      <c r="G124" s="6"/>
      <c r="H124" s="6"/>
      <c r="I124" s="19"/>
      <c r="J124" s="6"/>
      <c r="K124" s="6"/>
      <c r="L124" s="19"/>
      <c r="M124" s="6"/>
      <c r="N124" s="6"/>
      <c r="O124" s="6"/>
      <c r="P124" s="6"/>
      <c r="Q124" s="6"/>
      <c r="R124" s="6"/>
      <c r="S124" s="6"/>
      <c r="T124" s="6"/>
      <c r="U124" s="6"/>
      <c r="V124" s="6"/>
      <c r="W124" s="6"/>
      <c r="X124" s="6"/>
      <c r="Y124" s="6"/>
      <c r="Z124" s="6"/>
      <c r="AA124" s="6"/>
      <c r="AB124" s="6"/>
      <c r="AC124" s="6"/>
      <c r="AD124" s="7"/>
    </row>
    <row r="125">
      <c r="A125" s="23"/>
      <c r="B125" s="23"/>
      <c r="C125" s="27"/>
      <c r="D125" s="19"/>
      <c r="E125" s="6"/>
      <c r="F125" s="6"/>
      <c r="G125" s="6"/>
      <c r="H125" s="6"/>
      <c r="I125" s="19"/>
      <c r="J125" s="6"/>
      <c r="K125" s="6"/>
      <c r="L125" s="19"/>
      <c r="M125" s="6"/>
      <c r="N125" s="6"/>
      <c r="O125" s="6"/>
      <c r="P125" s="6"/>
      <c r="Q125" s="6"/>
      <c r="R125" s="6"/>
      <c r="S125" s="6"/>
      <c r="T125" s="6"/>
      <c r="U125" s="6"/>
      <c r="V125" s="6"/>
      <c r="W125" s="6"/>
      <c r="X125" s="6"/>
      <c r="Y125" s="6"/>
      <c r="Z125" s="6"/>
      <c r="AA125" s="6"/>
      <c r="AB125" s="6"/>
      <c r="AC125" s="6"/>
      <c r="AD125" s="7"/>
    </row>
    <row r="126">
      <c r="A126" s="23"/>
      <c r="B126" s="23"/>
      <c r="C126" s="27"/>
      <c r="D126" s="19"/>
      <c r="E126" s="6"/>
      <c r="F126" s="6"/>
      <c r="G126" s="6"/>
      <c r="H126" s="6"/>
      <c r="I126" s="19"/>
      <c r="J126" s="6"/>
      <c r="K126" s="6"/>
      <c r="L126" s="19"/>
      <c r="M126" s="6"/>
      <c r="N126" s="6"/>
      <c r="O126" s="6"/>
      <c r="P126" s="6"/>
      <c r="Q126" s="6"/>
      <c r="R126" s="6"/>
      <c r="S126" s="6"/>
      <c r="T126" s="6"/>
      <c r="U126" s="6"/>
      <c r="V126" s="6"/>
      <c r="W126" s="6"/>
      <c r="X126" s="6"/>
      <c r="Y126" s="6"/>
      <c r="Z126" s="6"/>
      <c r="AA126" s="6"/>
      <c r="AB126" s="6"/>
      <c r="AC126" s="6"/>
      <c r="AD126" s="7"/>
    </row>
    <row r="127">
      <c r="A127" s="23"/>
      <c r="B127" s="23"/>
      <c r="C127" s="27"/>
      <c r="D127" s="19"/>
      <c r="E127" s="6"/>
      <c r="F127" s="6"/>
      <c r="G127" s="6"/>
      <c r="H127" s="6"/>
      <c r="I127" s="19"/>
      <c r="J127" s="6"/>
      <c r="K127" s="6"/>
      <c r="L127" s="19"/>
      <c r="M127" s="6"/>
      <c r="N127" s="6"/>
      <c r="O127" s="6"/>
      <c r="P127" s="6"/>
      <c r="Q127" s="6"/>
      <c r="R127" s="6"/>
      <c r="S127" s="6"/>
      <c r="T127" s="6"/>
      <c r="U127" s="6"/>
      <c r="V127" s="6"/>
      <c r="W127" s="6"/>
      <c r="X127" s="6"/>
      <c r="Y127" s="6"/>
      <c r="Z127" s="6"/>
      <c r="AA127" s="6"/>
      <c r="AB127" s="6"/>
      <c r="AC127" s="6"/>
      <c r="AD127" s="7"/>
    </row>
    <row r="128">
      <c r="A128" s="23"/>
      <c r="B128" s="23"/>
      <c r="C128" s="27"/>
      <c r="D128" s="19"/>
      <c r="E128" s="6"/>
      <c r="F128" s="6"/>
      <c r="G128" s="6"/>
      <c r="H128" s="6"/>
      <c r="I128" s="19"/>
      <c r="J128" s="6"/>
      <c r="K128" s="6"/>
      <c r="L128" s="19"/>
      <c r="M128" s="6"/>
      <c r="N128" s="6"/>
      <c r="O128" s="6"/>
      <c r="P128" s="6"/>
      <c r="Q128" s="6"/>
      <c r="R128" s="6"/>
      <c r="S128" s="6"/>
      <c r="T128" s="6"/>
      <c r="U128" s="6"/>
      <c r="V128" s="6"/>
      <c r="W128" s="6"/>
      <c r="X128" s="6"/>
      <c r="Y128" s="6"/>
      <c r="Z128" s="6"/>
      <c r="AA128" s="6"/>
      <c r="AB128" s="6"/>
      <c r="AC128" s="6"/>
      <c r="AD128" s="7"/>
    </row>
    <row r="129">
      <c r="A129" s="23"/>
      <c r="B129" s="23"/>
      <c r="C129" s="27"/>
      <c r="D129" s="19"/>
      <c r="E129" s="6"/>
      <c r="F129" s="6"/>
      <c r="G129" s="6"/>
      <c r="H129" s="6"/>
      <c r="I129" s="19"/>
      <c r="J129" s="6"/>
      <c r="K129" s="6"/>
      <c r="L129" s="19"/>
      <c r="M129" s="6"/>
      <c r="N129" s="6"/>
      <c r="O129" s="6"/>
      <c r="P129" s="6"/>
      <c r="Q129" s="6"/>
      <c r="R129" s="6"/>
      <c r="S129" s="6"/>
      <c r="T129" s="6"/>
      <c r="U129" s="6"/>
      <c r="V129" s="6"/>
      <c r="W129" s="6"/>
      <c r="X129" s="6"/>
      <c r="Y129" s="6"/>
      <c r="Z129" s="6"/>
      <c r="AA129" s="6"/>
      <c r="AB129" s="6"/>
      <c r="AC129" s="6"/>
      <c r="AD129" s="7"/>
    </row>
    <row r="130">
      <c r="A130" s="23"/>
      <c r="B130" s="23"/>
      <c r="C130" s="27"/>
      <c r="D130" s="19"/>
      <c r="E130" s="6"/>
      <c r="F130" s="6"/>
      <c r="G130" s="6"/>
      <c r="H130" s="6"/>
      <c r="I130" s="19"/>
      <c r="J130" s="6"/>
      <c r="K130" s="6"/>
      <c r="L130" s="19"/>
      <c r="M130" s="6"/>
      <c r="N130" s="6"/>
      <c r="O130" s="6"/>
      <c r="P130" s="6"/>
      <c r="Q130" s="6"/>
      <c r="R130" s="6"/>
      <c r="S130" s="6"/>
      <c r="T130" s="6"/>
      <c r="U130" s="6"/>
      <c r="V130" s="6"/>
      <c r="W130" s="6"/>
      <c r="X130" s="6"/>
      <c r="Y130" s="6"/>
      <c r="Z130" s="6"/>
      <c r="AA130" s="6"/>
      <c r="AB130" s="6"/>
      <c r="AC130" s="6"/>
      <c r="AD130" s="7"/>
    </row>
    <row r="131">
      <c r="A131" s="23"/>
      <c r="B131" s="23"/>
      <c r="C131" s="27"/>
      <c r="D131" s="19"/>
      <c r="E131" s="6"/>
      <c r="F131" s="6"/>
      <c r="G131" s="6"/>
      <c r="H131" s="6"/>
      <c r="I131" s="19"/>
      <c r="J131" s="6"/>
      <c r="K131" s="6"/>
      <c r="L131" s="19"/>
      <c r="M131" s="6"/>
      <c r="N131" s="6"/>
      <c r="O131" s="6"/>
      <c r="P131" s="6"/>
      <c r="Q131" s="6"/>
      <c r="R131" s="6"/>
      <c r="S131" s="6"/>
      <c r="T131" s="6"/>
      <c r="U131" s="6"/>
      <c r="V131" s="6"/>
      <c r="W131" s="6"/>
      <c r="X131" s="6"/>
      <c r="Y131" s="6"/>
      <c r="Z131" s="6"/>
      <c r="AA131" s="6"/>
      <c r="AB131" s="6"/>
      <c r="AC131" s="6"/>
      <c r="AD131" s="7"/>
    </row>
    <row r="132">
      <c r="A132" s="23"/>
      <c r="B132" s="23"/>
      <c r="C132" s="27"/>
      <c r="D132" s="19"/>
      <c r="E132" s="6"/>
      <c r="F132" s="6"/>
      <c r="G132" s="6"/>
      <c r="H132" s="6"/>
      <c r="I132" s="19"/>
      <c r="J132" s="6"/>
      <c r="K132" s="6"/>
      <c r="L132" s="19"/>
      <c r="M132" s="6"/>
      <c r="N132" s="6"/>
      <c r="O132" s="6"/>
      <c r="P132" s="6"/>
      <c r="Q132" s="6"/>
      <c r="R132" s="6"/>
      <c r="S132" s="6"/>
      <c r="T132" s="6"/>
      <c r="U132" s="6"/>
      <c r="V132" s="6"/>
      <c r="W132" s="6"/>
      <c r="X132" s="6"/>
      <c r="Y132" s="6"/>
      <c r="Z132" s="6"/>
      <c r="AA132" s="6"/>
      <c r="AB132" s="6"/>
      <c r="AC132" s="6"/>
      <c r="AD132" s="7"/>
    </row>
    <row r="133">
      <c r="A133" s="23"/>
      <c r="B133" s="23"/>
      <c r="C133" s="27"/>
      <c r="D133" s="19"/>
      <c r="E133" s="6"/>
      <c r="F133" s="6"/>
      <c r="G133" s="6"/>
      <c r="H133" s="6"/>
      <c r="I133" s="19"/>
      <c r="J133" s="6"/>
      <c r="K133" s="6"/>
      <c r="L133" s="19"/>
      <c r="M133" s="6"/>
      <c r="N133" s="6"/>
      <c r="O133" s="6"/>
      <c r="P133" s="6"/>
      <c r="Q133" s="6"/>
      <c r="R133" s="6"/>
      <c r="S133" s="6"/>
      <c r="T133" s="6"/>
      <c r="U133" s="6"/>
      <c r="V133" s="6"/>
      <c r="W133" s="6"/>
      <c r="X133" s="6"/>
      <c r="Y133" s="6"/>
      <c r="Z133" s="6"/>
      <c r="AA133" s="6"/>
      <c r="AB133" s="6"/>
      <c r="AC133" s="6"/>
      <c r="AD133" s="7"/>
    </row>
    <row r="134">
      <c r="A134" s="23"/>
      <c r="B134" s="23"/>
      <c r="C134" s="27"/>
      <c r="D134" s="19"/>
      <c r="E134" s="6"/>
      <c r="F134" s="6"/>
      <c r="G134" s="6"/>
      <c r="H134" s="6"/>
      <c r="I134" s="19"/>
      <c r="J134" s="6"/>
      <c r="K134" s="6"/>
      <c r="L134" s="19"/>
      <c r="M134" s="6"/>
      <c r="N134" s="6"/>
      <c r="O134" s="6"/>
      <c r="P134" s="6"/>
      <c r="Q134" s="6"/>
      <c r="R134" s="6"/>
      <c r="S134" s="6"/>
      <c r="T134" s="6"/>
      <c r="U134" s="6"/>
      <c r="V134" s="6"/>
      <c r="W134" s="6"/>
      <c r="X134" s="6"/>
      <c r="Y134" s="6"/>
      <c r="Z134" s="6"/>
      <c r="AA134" s="6"/>
      <c r="AB134" s="6"/>
      <c r="AC134" s="6"/>
      <c r="AD134" s="7"/>
    </row>
    <row r="135">
      <c r="A135" s="23"/>
      <c r="B135" s="23"/>
      <c r="C135" s="27"/>
      <c r="D135" s="19"/>
      <c r="E135" s="6"/>
      <c r="F135" s="6"/>
      <c r="G135" s="6"/>
      <c r="H135" s="6"/>
      <c r="I135" s="19"/>
      <c r="J135" s="6"/>
      <c r="K135" s="6"/>
      <c r="L135" s="19"/>
      <c r="M135" s="6"/>
      <c r="N135" s="6"/>
      <c r="O135" s="6"/>
      <c r="P135" s="6"/>
      <c r="Q135" s="6"/>
      <c r="R135" s="6"/>
      <c r="S135" s="6"/>
      <c r="T135" s="6"/>
      <c r="U135" s="6"/>
      <c r="V135" s="6"/>
      <c r="W135" s="6"/>
      <c r="X135" s="6"/>
      <c r="Y135" s="6"/>
      <c r="Z135" s="6"/>
      <c r="AA135" s="6"/>
      <c r="AB135" s="6"/>
      <c r="AC135" s="6"/>
      <c r="AD135" s="7"/>
    </row>
    <row r="136">
      <c r="A136" s="23"/>
      <c r="B136" s="23"/>
      <c r="C136" s="27"/>
      <c r="D136" s="19"/>
      <c r="E136" s="6"/>
      <c r="F136" s="6"/>
      <c r="G136" s="6"/>
      <c r="H136" s="6"/>
      <c r="I136" s="19"/>
      <c r="J136" s="6"/>
      <c r="K136" s="6"/>
      <c r="L136" s="19"/>
      <c r="M136" s="6"/>
      <c r="N136" s="6"/>
      <c r="O136" s="6"/>
      <c r="P136" s="6"/>
      <c r="Q136" s="6"/>
      <c r="R136" s="6"/>
      <c r="S136" s="6"/>
      <c r="T136" s="6"/>
      <c r="U136" s="6"/>
      <c r="V136" s="6"/>
      <c r="W136" s="6"/>
      <c r="X136" s="6"/>
      <c r="Y136" s="6"/>
      <c r="Z136" s="6"/>
      <c r="AA136" s="6"/>
      <c r="AB136" s="6"/>
      <c r="AC136" s="6"/>
      <c r="AD136" s="7"/>
    </row>
    <row r="137">
      <c r="A137" s="23"/>
      <c r="B137" s="23"/>
      <c r="C137" s="27"/>
      <c r="D137" s="19"/>
      <c r="E137" s="6"/>
      <c r="F137" s="6"/>
      <c r="G137" s="6"/>
      <c r="H137" s="6"/>
      <c r="I137" s="19"/>
      <c r="J137" s="6"/>
      <c r="K137" s="6"/>
      <c r="L137" s="19"/>
      <c r="M137" s="6"/>
      <c r="N137" s="6"/>
      <c r="O137" s="6"/>
      <c r="P137" s="6"/>
      <c r="Q137" s="6"/>
      <c r="R137" s="6"/>
      <c r="S137" s="6"/>
      <c r="T137" s="6"/>
      <c r="U137" s="6"/>
      <c r="V137" s="6"/>
      <c r="W137" s="6"/>
      <c r="X137" s="6"/>
      <c r="Y137" s="6"/>
      <c r="Z137" s="6"/>
      <c r="AA137" s="6"/>
      <c r="AB137" s="6"/>
      <c r="AC137" s="6"/>
      <c r="AD137" s="7"/>
    </row>
    <row r="138">
      <c r="A138" s="23"/>
      <c r="B138" s="23"/>
      <c r="C138" s="27"/>
      <c r="D138" s="19"/>
      <c r="E138" s="6"/>
      <c r="F138" s="6"/>
      <c r="G138" s="6"/>
      <c r="H138" s="6"/>
      <c r="I138" s="19"/>
      <c r="J138" s="6"/>
      <c r="K138" s="6"/>
      <c r="L138" s="19"/>
      <c r="M138" s="6"/>
      <c r="N138" s="6"/>
      <c r="O138" s="6"/>
      <c r="P138" s="6"/>
      <c r="Q138" s="6"/>
      <c r="R138" s="6"/>
      <c r="S138" s="6"/>
      <c r="T138" s="6"/>
      <c r="U138" s="6"/>
      <c r="V138" s="6"/>
      <c r="W138" s="6"/>
      <c r="X138" s="6"/>
      <c r="Y138" s="6"/>
      <c r="Z138" s="6"/>
      <c r="AA138" s="6"/>
      <c r="AB138" s="6"/>
      <c r="AC138" s="6"/>
      <c r="AD138" s="7"/>
    </row>
    <row r="139">
      <c r="A139" s="23"/>
      <c r="B139" s="23"/>
      <c r="C139" s="27"/>
      <c r="D139" s="19"/>
      <c r="E139" s="6"/>
      <c r="F139" s="6"/>
      <c r="G139" s="6"/>
      <c r="H139" s="6"/>
      <c r="I139" s="19"/>
      <c r="J139" s="6"/>
      <c r="K139" s="6"/>
      <c r="L139" s="19"/>
      <c r="M139" s="6"/>
      <c r="N139" s="6"/>
      <c r="O139" s="6"/>
      <c r="P139" s="6"/>
      <c r="Q139" s="6"/>
      <c r="R139" s="6"/>
      <c r="S139" s="6"/>
      <c r="T139" s="6"/>
      <c r="U139" s="6"/>
      <c r="V139" s="6"/>
      <c r="W139" s="6"/>
      <c r="X139" s="6"/>
      <c r="Y139" s="6"/>
      <c r="Z139" s="6"/>
      <c r="AA139" s="6"/>
      <c r="AB139" s="6"/>
      <c r="AC139" s="6"/>
      <c r="AD139" s="7"/>
    </row>
    <row r="140">
      <c r="A140" s="23"/>
      <c r="B140" s="23"/>
      <c r="C140" s="27"/>
      <c r="D140" s="19"/>
      <c r="E140" s="6"/>
      <c r="F140" s="6"/>
      <c r="G140" s="6"/>
      <c r="H140" s="6"/>
      <c r="I140" s="19"/>
      <c r="J140" s="6"/>
      <c r="K140" s="6"/>
      <c r="L140" s="19"/>
      <c r="M140" s="6"/>
      <c r="N140" s="6"/>
      <c r="O140" s="6"/>
      <c r="P140" s="6"/>
      <c r="Q140" s="6"/>
      <c r="R140" s="6"/>
      <c r="S140" s="6"/>
      <c r="T140" s="6"/>
      <c r="U140" s="6"/>
      <c r="V140" s="6"/>
      <c r="W140" s="6"/>
      <c r="X140" s="6"/>
      <c r="Y140" s="6"/>
      <c r="Z140" s="6"/>
      <c r="AA140" s="6"/>
      <c r="AB140" s="6"/>
      <c r="AC140" s="6"/>
      <c r="AD140" s="7"/>
    </row>
    <row r="141">
      <c r="A141" s="23"/>
      <c r="B141" s="23"/>
      <c r="C141" s="27"/>
      <c r="D141" s="19"/>
      <c r="E141" s="6"/>
      <c r="F141" s="6"/>
      <c r="G141" s="6"/>
      <c r="H141" s="6"/>
      <c r="I141" s="19"/>
      <c r="J141" s="6"/>
      <c r="K141" s="6"/>
      <c r="L141" s="19"/>
      <c r="M141" s="6"/>
      <c r="N141" s="6"/>
      <c r="O141" s="6"/>
      <c r="P141" s="6"/>
      <c r="Q141" s="6"/>
      <c r="R141" s="6"/>
      <c r="S141" s="6"/>
      <c r="T141" s="6"/>
      <c r="U141" s="6"/>
      <c r="V141" s="6"/>
      <c r="W141" s="6"/>
      <c r="X141" s="6"/>
      <c r="Y141" s="6"/>
      <c r="Z141" s="6"/>
      <c r="AA141" s="6"/>
      <c r="AB141" s="6"/>
      <c r="AC141" s="6"/>
      <c r="AD141" s="7"/>
    </row>
    <row r="142">
      <c r="A142" s="23"/>
      <c r="B142" s="23"/>
      <c r="C142" s="27"/>
      <c r="D142" s="19"/>
      <c r="E142" s="6"/>
      <c r="F142" s="6"/>
      <c r="G142" s="6"/>
      <c r="H142" s="6"/>
      <c r="I142" s="19"/>
      <c r="J142" s="6"/>
      <c r="K142" s="6"/>
      <c r="L142" s="19"/>
      <c r="M142" s="6"/>
      <c r="N142" s="6"/>
      <c r="O142" s="6"/>
      <c r="P142" s="6"/>
      <c r="Q142" s="6"/>
      <c r="R142" s="6"/>
      <c r="S142" s="6"/>
      <c r="T142" s="6"/>
      <c r="U142" s="6"/>
      <c r="V142" s="6"/>
      <c r="W142" s="6"/>
      <c r="X142" s="6"/>
      <c r="Y142" s="6"/>
      <c r="Z142" s="6"/>
      <c r="AA142" s="6"/>
      <c r="AB142" s="6"/>
      <c r="AC142" s="6"/>
      <c r="AD142" s="7"/>
    </row>
    <row r="143">
      <c r="A143" s="23"/>
      <c r="B143" s="23"/>
      <c r="C143" s="27"/>
      <c r="D143" s="19"/>
      <c r="E143" s="6"/>
      <c r="F143" s="6"/>
      <c r="G143" s="6"/>
      <c r="H143" s="6"/>
      <c r="I143" s="19"/>
      <c r="J143" s="6"/>
      <c r="K143" s="6"/>
      <c r="L143" s="19"/>
      <c r="M143" s="6"/>
      <c r="N143" s="6"/>
      <c r="O143" s="6"/>
      <c r="P143" s="6"/>
      <c r="Q143" s="6"/>
      <c r="R143" s="6"/>
      <c r="S143" s="6"/>
      <c r="T143" s="6"/>
      <c r="U143" s="6"/>
      <c r="V143" s="6"/>
      <c r="W143" s="6"/>
      <c r="X143" s="6"/>
      <c r="Y143" s="6"/>
      <c r="Z143" s="6"/>
      <c r="AA143" s="6"/>
      <c r="AB143" s="6"/>
      <c r="AC143" s="6"/>
      <c r="AD143" s="7"/>
    </row>
    <row r="144">
      <c r="A144" s="23"/>
      <c r="B144" s="23"/>
      <c r="C144" s="27"/>
      <c r="D144" s="19"/>
      <c r="E144" s="6"/>
      <c r="F144" s="6"/>
      <c r="G144" s="6"/>
      <c r="H144" s="6"/>
      <c r="I144" s="19"/>
      <c r="J144" s="6"/>
      <c r="K144" s="6"/>
      <c r="L144" s="19"/>
      <c r="M144" s="6"/>
      <c r="N144" s="6"/>
      <c r="O144" s="6"/>
      <c r="P144" s="6"/>
      <c r="Q144" s="6"/>
      <c r="R144" s="6"/>
      <c r="S144" s="6"/>
      <c r="T144" s="6"/>
      <c r="U144" s="6"/>
      <c r="V144" s="6"/>
      <c r="W144" s="6"/>
      <c r="X144" s="6"/>
      <c r="Y144" s="6"/>
      <c r="Z144" s="6"/>
      <c r="AA144" s="6"/>
      <c r="AB144" s="6"/>
      <c r="AC144" s="6"/>
      <c r="AD144" s="7"/>
    </row>
    <row r="145">
      <c r="A145" s="23"/>
      <c r="B145" s="23"/>
      <c r="C145" s="27"/>
      <c r="D145" s="19"/>
      <c r="E145" s="6"/>
      <c r="F145" s="6"/>
      <c r="G145" s="6"/>
      <c r="H145" s="6"/>
      <c r="I145" s="19"/>
      <c r="J145" s="6"/>
      <c r="K145" s="6"/>
      <c r="L145" s="19"/>
      <c r="M145" s="6"/>
      <c r="N145" s="6"/>
      <c r="O145" s="6"/>
      <c r="P145" s="6"/>
      <c r="Q145" s="6"/>
      <c r="R145" s="6"/>
      <c r="S145" s="6"/>
      <c r="T145" s="6"/>
      <c r="U145" s="6"/>
      <c r="V145" s="6"/>
      <c r="W145" s="6"/>
      <c r="X145" s="6"/>
      <c r="Y145" s="6"/>
      <c r="Z145" s="6"/>
      <c r="AA145" s="6"/>
      <c r="AB145" s="6"/>
      <c r="AC145" s="6"/>
      <c r="AD145" s="7"/>
    </row>
    <row r="146">
      <c r="A146" s="23"/>
      <c r="B146" s="23"/>
      <c r="C146" s="27"/>
      <c r="D146" s="19"/>
      <c r="E146" s="6"/>
      <c r="F146" s="6"/>
      <c r="G146" s="6"/>
      <c r="H146" s="6"/>
      <c r="I146" s="19"/>
      <c r="J146" s="6"/>
      <c r="K146" s="6"/>
      <c r="L146" s="19"/>
      <c r="M146" s="6"/>
      <c r="N146" s="6"/>
      <c r="O146" s="6"/>
      <c r="P146" s="6"/>
      <c r="Q146" s="6"/>
      <c r="R146" s="6"/>
      <c r="S146" s="6"/>
      <c r="T146" s="6"/>
      <c r="U146" s="6"/>
      <c r="V146" s="6"/>
      <c r="W146" s="6"/>
      <c r="X146" s="6"/>
      <c r="Y146" s="6"/>
      <c r="Z146" s="6"/>
      <c r="AA146" s="6"/>
      <c r="AB146" s="6"/>
      <c r="AC146" s="6"/>
      <c r="AD146" s="7"/>
    </row>
    <row r="147">
      <c r="A147" s="23"/>
      <c r="B147" s="23"/>
      <c r="C147" s="27"/>
      <c r="D147" s="19"/>
      <c r="E147" s="6"/>
      <c r="F147" s="6"/>
      <c r="G147" s="6"/>
      <c r="H147" s="6"/>
      <c r="I147" s="19"/>
      <c r="J147" s="6"/>
      <c r="K147" s="6"/>
      <c r="L147" s="19"/>
      <c r="M147" s="6"/>
      <c r="N147" s="6"/>
      <c r="O147" s="6"/>
      <c r="P147" s="6"/>
      <c r="Q147" s="6"/>
      <c r="R147" s="6"/>
      <c r="S147" s="6"/>
      <c r="T147" s="6"/>
      <c r="U147" s="6"/>
      <c r="V147" s="6"/>
      <c r="W147" s="6"/>
      <c r="X147" s="6"/>
      <c r="Y147" s="6"/>
      <c r="Z147" s="6"/>
      <c r="AA147" s="6"/>
      <c r="AB147" s="6"/>
      <c r="AC147" s="6"/>
      <c r="AD147" s="7"/>
    </row>
    <row r="148">
      <c r="A148" s="23"/>
      <c r="B148" s="23"/>
      <c r="C148" s="27"/>
      <c r="D148" s="19"/>
      <c r="E148" s="6"/>
      <c r="F148" s="6"/>
      <c r="G148" s="6"/>
      <c r="H148" s="6"/>
      <c r="I148" s="19"/>
      <c r="J148" s="6"/>
      <c r="K148" s="6"/>
      <c r="L148" s="19"/>
      <c r="M148" s="6"/>
      <c r="N148" s="6"/>
      <c r="O148" s="6"/>
      <c r="P148" s="6"/>
      <c r="Q148" s="6"/>
      <c r="R148" s="6"/>
      <c r="S148" s="6"/>
      <c r="T148" s="6"/>
      <c r="U148" s="6"/>
      <c r="V148" s="6"/>
      <c r="W148" s="6"/>
      <c r="X148" s="6"/>
      <c r="Y148" s="6"/>
      <c r="Z148" s="6"/>
      <c r="AA148" s="6"/>
      <c r="AB148" s="6"/>
      <c r="AC148" s="6"/>
      <c r="AD148" s="7"/>
    </row>
    <row r="149">
      <c r="A149" s="23"/>
      <c r="B149" s="23"/>
      <c r="C149" s="27"/>
      <c r="D149" s="19"/>
      <c r="E149" s="6"/>
      <c r="F149" s="6"/>
      <c r="G149" s="6"/>
      <c r="H149" s="6"/>
      <c r="I149" s="19"/>
      <c r="J149" s="6"/>
      <c r="K149" s="6"/>
      <c r="L149" s="19"/>
      <c r="M149" s="6"/>
      <c r="N149" s="6"/>
      <c r="O149" s="6"/>
      <c r="P149" s="6"/>
      <c r="Q149" s="6"/>
      <c r="R149" s="6"/>
      <c r="S149" s="6"/>
      <c r="T149" s="6"/>
      <c r="U149" s="6"/>
      <c r="V149" s="6"/>
      <c r="W149" s="6"/>
      <c r="X149" s="6"/>
      <c r="Y149" s="6"/>
      <c r="Z149" s="6"/>
      <c r="AA149" s="6"/>
      <c r="AB149" s="6"/>
      <c r="AC149" s="6"/>
      <c r="AD149" s="7"/>
    </row>
    <row r="150">
      <c r="A150" s="23"/>
      <c r="B150" s="23"/>
      <c r="C150" s="27"/>
      <c r="D150" s="19"/>
      <c r="E150" s="6"/>
      <c r="F150" s="6"/>
      <c r="G150" s="6"/>
      <c r="H150" s="6"/>
      <c r="I150" s="19"/>
      <c r="J150" s="6"/>
      <c r="K150" s="6"/>
      <c r="L150" s="19"/>
      <c r="M150" s="6"/>
      <c r="N150" s="6"/>
      <c r="O150" s="6"/>
      <c r="P150" s="6"/>
      <c r="Q150" s="6"/>
      <c r="R150" s="6"/>
      <c r="S150" s="6"/>
      <c r="T150" s="6"/>
      <c r="U150" s="6"/>
      <c r="V150" s="6"/>
      <c r="W150" s="6"/>
      <c r="X150" s="6"/>
      <c r="Y150" s="6"/>
      <c r="Z150" s="6"/>
      <c r="AA150" s="6"/>
      <c r="AB150" s="6"/>
      <c r="AC150" s="6"/>
      <c r="AD150" s="7"/>
    </row>
    <row r="151">
      <c r="A151" s="23"/>
      <c r="B151" s="23"/>
      <c r="C151" s="27"/>
      <c r="D151" s="19"/>
      <c r="E151" s="6"/>
      <c r="F151" s="6"/>
      <c r="G151" s="6"/>
      <c r="H151" s="6"/>
      <c r="I151" s="19"/>
      <c r="J151" s="6"/>
      <c r="K151" s="6"/>
      <c r="L151" s="19"/>
      <c r="M151" s="6"/>
      <c r="N151" s="6"/>
      <c r="O151" s="6"/>
      <c r="P151" s="6"/>
      <c r="Q151" s="6"/>
      <c r="R151" s="6"/>
      <c r="S151" s="6"/>
      <c r="T151" s="6"/>
      <c r="U151" s="6"/>
      <c r="V151" s="6"/>
      <c r="W151" s="6"/>
      <c r="X151" s="6"/>
      <c r="Y151" s="6"/>
      <c r="Z151" s="6"/>
      <c r="AA151" s="6"/>
      <c r="AB151" s="6"/>
      <c r="AC151" s="6"/>
      <c r="AD151" s="7"/>
    </row>
    <row r="152">
      <c r="A152" s="23"/>
      <c r="B152" s="23"/>
      <c r="C152" s="27"/>
      <c r="D152" s="19"/>
      <c r="E152" s="6"/>
      <c r="F152" s="6"/>
      <c r="G152" s="6"/>
      <c r="H152" s="6"/>
      <c r="I152" s="19"/>
      <c r="J152" s="6"/>
      <c r="K152" s="6"/>
      <c r="L152" s="19"/>
      <c r="M152" s="6"/>
      <c r="N152" s="6"/>
      <c r="O152" s="6"/>
      <c r="P152" s="6"/>
      <c r="Q152" s="6"/>
      <c r="R152" s="6"/>
      <c r="S152" s="6"/>
      <c r="T152" s="6"/>
      <c r="U152" s="6"/>
      <c r="V152" s="6"/>
      <c r="W152" s="6"/>
      <c r="X152" s="6"/>
      <c r="Y152" s="6"/>
      <c r="Z152" s="6"/>
      <c r="AA152" s="6"/>
      <c r="AB152" s="6"/>
      <c r="AC152" s="6"/>
      <c r="AD152" s="7"/>
    </row>
    <row r="153">
      <c r="A153" s="23"/>
      <c r="B153" s="23"/>
      <c r="C153" s="27"/>
      <c r="D153" s="19"/>
      <c r="E153" s="6"/>
      <c r="F153" s="6"/>
      <c r="G153" s="6"/>
      <c r="H153" s="6"/>
      <c r="I153" s="19"/>
      <c r="J153" s="6"/>
      <c r="K153" s="6"/>
      <c r="L153" s="19"/>
      <c r="M153" s="6"/>
      <c r="N153" s="6"/>
      <c r="O153" s="6"/>
      <c r="P153" s="6"/>
      <c r="Q153" s="6"/>
      <c r="R153" s="6"/>
      <c r="S153" s="6"/>
      <c r="T153" s="6"/>
      <c r="U153" s="6"/>
      <c r="V153" s="6"/>
      <c r="W153" s="6"/>
      <c r="X153" s="6"/>
      <c r="Y153" s="6"/>
      <c r="Z153" s="6"/>
      <c r="AA153" s="6"/>
      <c r="AB153" s="6"/>
      <c r="AC153" s="6"/>
      <c r="AD153" s="7"/>
    </row>
    <row r="154">
      <c r="A154" s="23"/>
      <c r="B154" s="23"/>
      <c r="C154" s="27"/>
      <c r="D154" s="19"/>
      <c r="E154" s="6"/>
      <c r="F154" s="6"/>
      <c r="G154" s="6"/>
      <c r="H154" s="6"/>
      <c r="I154" s="19"/>
      <c r="J154" s="6"/>
      <c r="K154" s="6"/>
      <c r="L154" s="19"/>
      <c r="M154" s="6"/>
      <c r="N154" s="6"/>
      <c r="O154" s="6"/>
      <c r="P154" s="6"/>
      <c r="Q154" s="6"/>
      <c r="R154" s="6"/>
      <c r="S154" s="6"/>
      <c r="T154" s="6"/>
      <c r="U154" s="6"/>
      <c r="V154" s="6"/>
      <c r="W154" s="6"/>
      <c r="X154" s="6"/>
      <c r="Y154" s="6"/>
      <c r="Z154" s="6"/>
      <c r="AA154" s="6"/>
      <c r="AB154" s="6"/>
      <c r="AC154" s="6"/>
      <c r="AD154" s="7"/>
    </row>
    <row r="155">
      <c r="A155" s="23"/>
      <c r="B155" s="23"/>
      <c r="C155" s="27"/>
      <c r="D155" s="19"/>
      <c r="E155" s="6"/>
      <c r="F155" s="6"/>
      <c r="G155" s="6"/>
      <c r="H155" s="6"/>
      <c r="I155" s="19"/>
      <c r="J155" s="6"/>
      <c r="K155" s="6"/>
      <c r="L155" s="19"/>
      <c r="M155" s="6"/>
      <c r="N155" s="6"/>
      <c r="O155" s="6"/>
      <c r="P155" s="6"/>
      <c r="Q155" s="6"/>
      <c r="R155" s="6"/>
      <c r="S155" s="6"/>
      <c r="T155" s="6"/>
      <c r="U155" s="6"/>
      <c r="V155" s="6"/>
      <c r="W155" s="6"/>
      <c r="X155" s="6"/>
      <c r="Y155" s="6"/>
      <c r="Z155" s="6"/>
      <c r="AA155" s="6"/>
      <c r="AB155" s="6"/>
      <c r="AC155" s="6"/>
      <c r="AD155" s="7"/>
    </row>
    <row r="156">
      <c r="A156" s="23"/>
      <c r="B156" s="23"/>
      <c r="C156" s="27"/>
      <c r="D156" s="19"/>
      <c r="E156" s="6"/>
      <c r="F156" s="6"/>
      <c r="G156" s="6"/>
      <c r="H156" s="6"/>
      <c r="I156" s="19"/>
      <c r="J156" s="6"/>
      <c r="K156" s="6"/>
      <c r="L156" s="19"/>
      <c r="M156" s="6"/>
      <c r="N156" s="6"/>
      <c r="O156" s="6"/>
      <c r="P156" s="6"/>
      <c r="Q156" s="6"/>
      <c r="R156" s="6"/>
      <c r="S156" s="6"/>
      <c r="T156" s="6"/>
      <c r="U156" s="6"/>
      <c r="V156" s="6"/>
      <c r="W156" s="6"/>
      <c r="X156" s="6"/>
      <c r="Y156" s="6"/>
      <c r="Z156" s="6"/>
      <c r="AA156" s="6"/>
      <c r="AB156" s="6"/>
      <c r="AC156" s="6"/>
      <c r="AD156" s="7"/>
    </row>
    <row r="157">
      <c r="A157" s="23"/>
      <c r="B157" s="23"/>
      <c r="C157" s="27"/>
      <c r="D157" s="19"/>
      <c r="E157" s="6"/>
      <c r="F157" s="6"/>
      <c r="G157" s="6"/>
      <c r="H157" s="6"/>
      <c r="I157" s="19"/>
      <c r="J157" s="6"/>
      <c r="K157" s="6"/>
      <c r="L157" s="19"/>
      <c r="M157" s="6"/>
      <c r="N157" s="6"/>
      <c r="O157" s="6"/>
      <c r="P157" s="6"/>
      <c r="Q157" s="6"/>
      <c r="R157" s="6"/>
      <c r="S157" s="6"/>
      <c r="T157" s="6"/>
      <c r="U157" s="6"/>
      <c r="V157" s="6"/>
      <c r="W157" s="6"/>
      <c r="X157" s="6"/>
      <c r="Y157" s="6"/>
      <c r="Z157" s="6"/>
      <c r="AA157" s="6"/>
      <c r="AB157" s="6"/>
      <c r="AC157" s="6"/>
      <c r="AD157" s="7"/>
    </row>
    <row r="158">
      <c r="A158" s="23"/>
      <c r="B158" s="23"/>
      <c r="C158" s="27"/>
      <c r="D158" s="19"/>
      <c r="E158" s="6"/>
      <c r="F158" s="6"/>
      <c r="G158" s="6"/>
      <c r="H158" s="6"/>
      <c r="I158" s="19"/>
      <c r="J158" s="6"/>
      <c r="K158" s="6"/>
      <c r="L158" s="19"/>
      <c r="M158" s="6"/>
      <c r="N158" s="6"/>
      <c r="O158" s="6"/>
      <c r="P158" s="6"/>
      <c r="Q158" s="6"/>
      <c r="R158" s="6"/>
      <c r="S158" s="6"/>
      <c r="T158" s="6"/>
      <c r="U158" s="6"/>
      <c r="V158" s="6"/>
      <c r="W158" s="6"/>
      <c r="X158" s="6"/>
      <c r="Y158" s="6"/>
      <c r="Z158" s="6"/>
      <c r="AA158" s="6"/>
      <c r="AB158" s="6"/>
      <c r="AC158" s="6"/>
      <c r="AD158" s="7"/>
    </row>
    <row r="159">
      <c r="A159" s="23"/>
      <c r="B159" s="23"/>
      <c r="C159" s="27"/>
      <c r="D159" s="19"/>
      <c r="E159" s="6"/>
      <c r="F159" s="6"/>
      <c r="G159" s="6"/>
      <c r="H159" s="6"/>
      <c r="I159" s="19"/>
      <c r="J159" s="6"/>
      <c r="K159" s="6"/>
      <c r="L159" s="19"/>
      <c r="M159" s="6"/>
      <c r="N159" s="6"/>
      <c r="O159" s="6"/>
      <c r="P159" s="6"/>
      <c r="Q159" s="6"/>
      <c r="R159" s="6"/>
      <c r="S159" s="6"/>
      <c r="T159" s="6"/>
      <c r="U159" s="6"/>
      <c r="V159" s="6"/>
      <c r="W159" s="6"/>
      <c r="X159" s="6"/>
      <c r="Y159" s="6"/>
      <c r="Z159" s="6"/>
      <c r="AA159" s="6"/>
      <c r="AB159" s="6"/>
      <c r="AC159" s="6"/>
      <c r="AD159" s="7"/>
    </row>
    <row r="160">
      <c r="A160" s="23"/>
      <c r="B160" s="23"/>
      <c r="C160" s="27"/>
      <c r="D160" s="19"/>
      <c r="E160" s="6"/>
      <c r="F160" s="6"/>
      <c r="G160" s="6"/>
      <c r="H160" s="6"/>
      <c r="I160" s="19"/>
      <c r="J160" s="6"/>
      <c r="K160" s="6"/>
      <c r="L160" s="19"/>
      <c r="M160" s="6"/>
      <c r="N160" s="6"/>
      <c r="O160" s="6"/>
      <c r="P160" s="6"/>
      <c r="Q160" s="6"/>
      <c r="R160" s="6"/>
      <c r="S160" s="6"/>
      <c r="T160" s="6"/>
      <c r="U160" s="6"/>
      <c r="V160" s="6"/>
      <c r="W160" s="6"/>
      <c r="X160" s="6"/>
      <c r="Y160" s="6"/>
      <c r="Z160" s="6"/>
      <c r="AA160" s="6"/>
      <c r="AB160" s="6"/>
      <c r="AC160" s="6"/>
      <c r="AD160" s="7"/>
    </row>
    <row r="161">
      <c r="A161" s="23"/>
      <c r="B161" s="23"/>
      <c r="C161" s="27"/>
      <c r="D161" s="19"/>
      <c r="E161" s="6"/>
      <c r="F161" s="6"/>
      <c r="G161" s="6"/>
      <c r="H161" s="6"/>
      <c r="I161" s="19"/>
      <c r="J161" s="6"/>
      <c r="K161" s="6"/>
      <c r="L161" s="19"/>
      <c r="M161" s="6"/>
      <c r="N161" s="6"/>
      <c r="O161" s="6"/>
      <c r="P161" s="6"/>
      <c r="Q161" s="6"/>
      <c r="R161" s="6"/>
      <c r="S161" s="6"/>
      <c r="T161" s="6"/>
      <c r="U161" s="6"/>
      <c r="V161" s="6"/>
      <c r="W161" s="6"/>
      <c r="X161" s="6"/>
      <c r="Y161" s="6"/>
      <c r="Z161" s="6"/>
      <c r="AA161" s="6"/>
      <c r="AB161" s="6"/>
      <c r="AC161" s="6"/>
      <c r="AD161" s="7"/>
    </row>
    <row r="162">
      <c r="A162" s="23"/>
      <c r="B162" s="23"/>
      <c r="C162" s="27"/>
      <c r="D162" s="19"/>
      <c r="E162" s="6"/>
      <c r="F162" s="6"/>
      <c r="G162" s="6"/>
      <c r="H162" s="6"/>
      <c r="I162" s="19"/>
      <c r="J162" s="6"/>
      <c r="K162" s="6"/>
      <c r="L162" s="19"/>
      <c r="M162" s="6"/>
      <c r="N162" s="6"/>
      <c r="O162" s="6"/>
      <c r="P162" s="6"/>
      <c r="Q162" s="6"/>
      <c r="R162" s="6"/>
      <c r="S162" s="6"/>
      <c r="T162" s="6"/>
      <c r="U162" s="6"/>
      <c r="V162" s="6"/>
      <c r="W162" s="6"/>
      <c r="X162" s="6"/>
      <c r="Y162" s="6"/>
      <c r="Z162" s="6"/>
      <c r="AA162" s="6"/>
      <c r="AB162" s="6"/>
      <c r="AC162" s="6"/>
      <c r="AD162" s="7"/>
    </row>
    <row r="163">
      <c r="A163" s="23"/>
      <c r="B163" s="23"/>
      <c r="C163" s="27"/>
      <c r="D163" s="19"/>
      <c r="E163" s="6"/>
      <c r="F163" s="6"/>
      <c r="G163" s="6"/>
      <c r="H163" s="6"/>
      <c r="I163" s="19"/>
      <c r="J163" s="6"/>
      <c r="K163" s="6"/>
      <c r="L163" s="19"/>
      <c r="M163" s="6"/>
      <c r="N163" s="6"/>
      <c r="O163" s="6"/>
      <c r="P163" s="6"/>
      <c r="Q163" s="6"/>
      <c r="R163" s="6"/>
      <c r="S163" s="6"/>
      <c r="T163" s="6"/>
      <c r="U163" s="6"/>
      <c r="V163" s="6"/>
      <c r="W163" s="6"/>
      <c r="X163" s="6"/>
      <c r="Y163" s="6"/>
      <c r="Z163" s="6"/>
      <c r="AA163" s="6"/>
      <c r="AB163" s="6"/>
      <c r="AC163" s="6"/>
      <c r="AD163" s="7"/>
    </row>
    <row r="164">
      <c r="A164" s="23"/>
      <c r="B164" s="23"/>
      <c r="C164" s="27"/>
      <c r="D164" s="19"/>
      <c r="E164" s="6"/>
      <c r="F164" s="6"/>
      <c r="G164" s="6"/>
      <c r="H164" s="6"/>
      <c r="I164" s="19"/>
      <c r="J164" s="6"/>
      <c r="K164" s="6"/>
      <c r="L164" s="19"/>
      <c r="M164" s="6"/>
      <c r="N164" s="6"/>
      <c r="O164" s="6"/>
      <c r="P164" s="6"/>
      <c r="Q164" s="6"/>
      <c r="R164" s="6"/>
      <c r="S164" s="6"/>
      <c r="T164" s="6"/>
      <c r="U164" s="6"/>
      <c r="V164" s="6"/>
      <c r="W164" s="6"/>
      <c r="X164" s="6"/>
      <c r="Y164" s="6"/>
      <c r="Z164" s="6"/>
      <c r="AA164" s="6"/>
      <c r="AB164" s="6"/>
      <c r="AC164" s="6"/>
      <c r="AD164" s="7"/>
    </row>
    <row r="165">
      <c r="A165" s="23"/>
      <c r="B165" s="23"/>
      <c r="C165" s="27"/>
      <c r="D165" s="19"/>
      <c r="E165" s="6"/>
      <c r="F165" s="6"/>
      <c r="G165" s="6"/>
      <c r="H165" s="6"/>
      <c r="I165" s="19"/>
      <c r="J165" s="6"/>
      <c r="K165" s="6"/>
      <c r="L165" s="19"/>
      <c r="M165" s="6"/>
      <c r="N165" s="6"/>
      <c r="O165" s="6"/>
      <c r="P165" s="6"/>
      <c r="Q165" s="6"/>
      <c r="R165" s="6"/>
      <c r="S165" s="6"/>
      <c r="T165" s="6"/>
      <c r="U165" s="6"/>
      <c r="V165" s="6"/>
      <c r="W165" s="6"/>
      <c r="X165" s="6"/>
      <c r="Y165" s="6"/>
      <c r="Z165" s="6"/>
      <c r="AA165" s="6"/>
      <c r="AB165" s="6"/>
      <c r="AC165" s="6"/>
      <c r="AD165" s="7"/>
    </row>
    <row r="166">
      <c r="A166" s="23"/>
      <c r="B166" s="23"/>
      <c r="C166" s="27"/>
      <c r="D166" s="19"/>
      <c r="E166" s="6"/>
      <c r="F166" s="6"/>
      <c r="G166" s="6"/>
      <c r="H166" s="6"/>
      <c r="I166" s="19"/>
      <c r="J166" s="6"/>
      <c r="K166" s="6"/>
      <c r="L166" s="19"/>
      <c r="M166" s="6"/>
      <c r="N166" s="6"/>
      <c r="O166" s="6"/>
      <c r="P166" s="6"/>
      <c r="Q166" s="6"/>
      <c r="R166" s="6"/>
      <c r="S166" s="6"/>
      <c r="T166" s="6"/>
      <c r="U166" s="6"/>
      <c r="V166" s="6"/>
      <c r="W166" s="6"/>
      <c r="X166" s="6"/>
      <c r="Y166" s="6"/>
      <c r="Z166" s="6"/>
      <c r="AA166" s="6"/>
      <c r="AB166" s="6"/>
      <c r="AC166" s="6"/>
      <c r="AD166" s="7"/>
    </row>
    <row r="167">
      <c r="A167" s="23"/>
      <c r="B167" s="23"/>
      <c r="C167" s="27"/>
      <c r="D167" s="19"/>
      <c r="E167" s="6"/>
      <c r="F167" s="6"/>
      <c r="G167" s="6"/>
      <c r="H167" s="6"/>
      <c r="I167" s="19"/>
      <c r="J167" s="6"/>
      <c r="K167" s="6"/>
      <c r="L167" s="19"/>
      <c r="M167" s="6"/>
      <c r="N167" s="6"/>
      <c r="O167" s="6"/>
      <c r="P167" s="6"/>
      <c r="Q167" s="6"/>
      <c r="R167" s="6"/>
      <c r="S167" s="6"/>
      <c r="T167" s="6"/>
      <c r="U167" s="6"/>
      <c r="V167" s="6"/>
      <c r="W167" s="6"/>
      <c r="X167" s="6"/>
      <c r="Y167" s="6"/>
      <c r="Z167" s="6"/>
      <c r="AA167" s="6"/>
      <c r="AB167" s="6"/>
      <c r="AC167" s="6"/>
      <c r="AD167" s="7"/>
    </row>
    <row r="168">
      <c r="A168" s="23"/>
      <c r="B168" s="23"/>
      <c r="C168" s="27"/>
      <c r="D168" s="19"/>
      <c r="E168" s="6"/>
      <c r="F168" s="6"/>
      <c r="G168" s="6"/>
      <c r="H168" s="6"/>
      <c r="I168" s="19"/>
      <c r="J168" s="6"/>
      <c r="K168" s="6"/>
      <c r="L168" s="19"/>
      <c r="M168" s="6"/>
      <c r="N168" s="6"/>
      <c r="O168" s="6"/>
      <c r="P168" s="6"/>
      <c r="Q168" s="6"/>
      <c r="R168" s="6"/>
      <c r="S168" s="6"/>
      <c r="T168" s="6"/>
      <c r="U168" s="6"/>
      <c r="V168" s="6"/>
      <c r="W168" s="6"/>
      <c r="X168" s="6"/>
      <c r="Y168" s="6"/>
      <c r="Z168" s="6"/>
      <c r="AA168" s="6"/>
      <c r="AB168" s="6"/>
      <c r="AC168" s="6"/>
      <c r="AD168" s="7"/>
    </row>
    <row r="169">
      <c r="A169" s="23"/>
      <c r="B169" s="23"/>
      <c r="C169" s="27"/>
      <c r="D169" s="19"/>
      <c r="E169" s="6"/>
      <c r="F169" s="6"/>
      <c r="G169" s="6"/>
      <c r="H169" s="6"/>
      <c r="I169" s="19"/>
      <c r="J169" s="6"/>
      <c r="K169" s="6"/>
      <c r="L169" s="19"/>
      <c r="M169" s="6"/>
      <c r="N169" s="6"/>
      <c r="O169" s="6"/>
      <c r="P169" s="6"/>
      <c r="Q169" s="6"/>
      <c r="R169" s="6"/>
      <c r="S169" s="6"/>
      <c r="T169" s="6"/>
      <c r="U169" s="6"/>
      <c r="V169" s="6"/>
      <c r="W169" s="6"/>
      <c r="X169" s="6"/>
      <c r="Y169" s="6"/>
      <c r="Z169" s="6"/>
      <c r="AA169" s="6"/>
      <c r="AB169" s="6"/>
      <c r="AC169" s="6"/>
      <c r="AD169" s="7"/>
    </row>
    <row r="170">
      <c r="A170" s="23"/>
      <c r="B170" s="23"/>
      <c r="C170" s="27"/>
      <c r="D170" s="19"/>
      <c r="E170" s="6"/>
      <c r="F170" s="6"/>
      <c r="G170" s="6"/>
      <c r="H170" s="6"/>
      <c r="I170" s="19"/>
      <c r="J170" s="6"/>
      <c r="K170" s="6"/>
      <c r="L170" s="19"/>
      <c r="M170" s="6"/>
      <c r="N170" s="6"/>
      <c r="O170" s="6"/>
      <c r="P170" s="6"/>
      <c r="Q170" s="6"/>
      <c r="R170" s="6"/>
      <c r="S170" s="6"/>
      <c r="T170" s="6"/>
      <c r="U170" s="6"/>
      <c r="V170" s="6"/>
      <c r="W170" s="6"/>
      <c r="X170" s="6"/>
      <c r="Y170" s="6"/>
      <c r="Z170" s="6"/>
      <c r="AA170" s="6"/>
      <c r="AB170" s="6"/>
      <c r="AC170" s="6"/>
      <c r="AD170" s="7"/>
    </row>
    <row r="171">
      <c r="A171" s="23"/>
      <c r="B171" s="23"/>
      <c r="C171" s="27"/>
      <c r="D171" s="19"/>
      <c r="E171" s="6"/>
      <c r="F171" s="6"/>
      <c r="G171" s="6"/>
      <c r="H171" s="6"/>
      <c r="I171" s="19"/>
      <c r="J171" s="6"/>
      <c r="K171" s="6"/>
      <c r="L171" s="19"/>
      <c r="M171" s="6"/>
      <c r="N171" s="6"/>
      <c r="O171" s="6"/>
      <c r="P171" s="6"/>
      <c r="Q171" s="6"/>
      <c r="R171" s="6"/>
      <c r="S171" s="6"/>
      <c r="T171" s="6"/>
      <c r="U171" s="6"/>
      <c r="V171" s="6"/>
      <c r="W171" s="6"/>
      <c r="X171" s="6"/>
      <c r="Y171" s="6"/>
      <c r="Z171" s="6"/>
      <c r="AA171" s="6"/>
      <c r="AB171" s="6"/>
      <c r="AC171" s="6"/>
      <c r="AD171" s="7"/>
    </row>
    <row r="172">
      <c r="A172" s="23"/>
      <c r="B172" s="23"/>
      <c r="C172" s="27"/>
      <c r="D172" s="19"/>
      <c r="E172" s="6"/>
      <c r="F172" s="6"/>
      <c r="G172" s="6"/>
      <c r="H172" s="6"/>
      <c r="I172" s="19"/>
      <c r="J172" s="6"/>
      <c r="K172" s="6"/>
      <c r="L172" s="19"/>
      <c r="M172" s="6"/>
      <c r="N172" s="6"/>
      <c r="O172" s="6"/>
      <c r="P172" s="6"/>
      <c r="Q172" s="6"/>
      <c r="R172" s="6"/>
      <c r="S172" s="6"/>
      <c r="T172" s="6"/>
      <c r="U172" s="6"/>
      <c r="V172" s="6"/>
      <c r="W172" s="6"/>
      <c r="X172" s="6"/>
      <c r="Y172" s="6"/>
      <c r="Z172" s="6"/>
      <c r="AA172" s="6"/>
      <c r="AB172" s="6"/>
      <c r="AC172" s="6"/>
      <c r="AD172" s="7"/>
    </row>
    <row r="173">
      <c r="A173" s="23"/>
      <c r="B173" s="23"/>
      <c r="C173" s="27"/>
      <c r="D173" s="19"/>
      <c r="E173" s="6"/>
      <c r="F173" s="6"/>
      <c r="G173" s="6"/>
      <c r="H173" s="6"/>
      <c r="I173" s="19"/>
      <c r="J173" s="6"/>
      <c r="K173" s="6"/>
      <c r="L173" s="19"/>
      <c r="M173" s="6"/>
      <c r="N173" s="6"/>
      <c r="O173" s="6"/>
      <c r="P173" s="6"/>
      <c r="Q173" s="6"/>
      <c r="R173" s="6"/>
      <c r="S173" s="6"/>
      <c r="T173" s="6"/>
      <c r="U173" s="6"/>
      <c r="V173" s="6"/>
      <c r="W173" s="6"/>
      <c r="X173" s="6"/>
      <c r="Y173" s="6"/>
      <c r="Z173" s="6"/>
      <c r="AA173" s="6"/>
      <c r="AB173" s="6"/>
      <c r="AC173" s="6"/>
      <c r="AD173" s="7"/>
    </row>
    <row r="174">
      <c r="A174" s="23"/>
      <c r="B174" s="23"/>
      <c r="C174" s="27"/>
      <c r="D174" s="19"/>
      <c r="E174" s="6"/>
      <c r="F174" s="6"/>
      <c r="G174" s="6"/>
      <c r="H174" s="6"/>
      <c r="I174" s="19"/>
      <c r="J174" s="6"/>
      <c r="K174" s="6"/>
      <c r="L174" s="19"/>
      <c r="M174" s="6"/>
      <c r="N174" s="6"/>
      <c r="O174" s="6"/>
      <c r="P174" s="6"/>
      <c r="Q174" s="6"/>
      <c r="R174" s="6"/>
      <c r="S174" s="6"/>
      <c r="T174" s="6"/>
      <c r="U174" s="6"/>
      <c r="V174" s="6"/>
      <c r="W174" s="6"/>
      <c r="X174" s="6"/>
      <c r="Y174" s="6"/>
      <c r="Z174" s="6"/>
      <c r="AA174" s="6"/>
      <c r="AB174" s="6"/>
      <c r="AC174" s="6"/>
      <c r="AD174" s="7"/>
    </row>
    <row r="175">
      <c r="A175" s="23"/>
      <c r="B175" s="23"/>
      <c r="C175" s="27"/>
      <c r="D175" s="19"/>
      <c r="E175" s="6"/>
      <c r="F175" s="6"/>
      <c r="G175" s="6"/>
      <c r="H175" s="6"/>
      <c r="I175" s="19"/>
      <c r="J175" s="6"/>
      <c r="K175" s="6"/>
      <c r="L175" s="19"/>
      <c r="M175" s="6"/>
      <c r="N175" s="6"/>
      <c r="O175" s="6"/>
      <c r="P175" s="6"/>
      <c r="Q175" s="6"/>
      <c r="R175" s="6"/>
      <c r="S175" s="6"/>
      <c r="T175" s="6"/>
      <c r="U175" s="6"/>
      <c r="V175" s="6"/>
      <c r="W175" s="6"/>
      <c r="X175" s="6"/>
      <c r="Y175" s="6"/>
      <c r="Z175" s="6"/>
      <c r="AA175" s="6"/>
      <c r="AB175" s="6"/>
      <c r="AC175" s="6"/>
      <c r="AD175" s="7"/>
    </row>
    <row r="176">
      <c r="A176" s="23"/>
      <c r="B176" s="23"/>
      <c r="C176" s="27"/>
      <c r="D176" s="19"/>
      <c r="E176" s="6"/>
      <c r="F176" s="6"/>
      <c r="G176" s="6"/>
      <c r="H176" s="6"/>
      <c r="I176" s="19"/>
      <c r="J176" s="6"/>
      <c r="K176" s="6"/>
      <c r="L176" s="19"/>
      <c r="M176" s="6"/>
      <c r="N176" s="6"/>
      <c r="O176" s="6"/>
      <c r="P176" s="6"/>
      <c r="Q176" s="6"/>
      <c r="R176" s="6"/>
      <c r="S176" s="6"/>
      <c r="T176" s="6"/>
      <c r="U176" s="6"/>
      <c r="V176" s="6"/>
      <c r="W176" s="6"/>
      <c r="X176" s="6"/>
      <c r="Y176" s="6"/>
      <c r="Z176" s="6"/>
      <c r="AA176" s="6"/>
      <c r="AB176" s="6"/>
      <c r="AC176" s="6"/>
      <c r="AD176" s="7"/>
    </row>
    <row r="177">
      <c r="A177" s="23"/>
      <c r="B177" s="23"/>
      <c r="C177" s="27"/>
      <c r="D177" s="19"/>
      <c r="E177" s="6"/>
      <c r="F177" s="6"/>
      <c r="G177" s="6"/>
      <c r="H177" s="6"/>
      <c r="I177" s="19"/>
      <c r="J177" s="6"/>
      <c r="K177" s="6"/>
      <c r="L177" s="19"/>
      <c r="M177" s="6"/>
      <c r="N177" s="6"/>
      <c r="O177" s="6"/>
      <c r="P177" s="6"/>
      <c r="Q177" s="6"/>
      <c r="R177" s="6"/>
      <c r="S177" s="6"/>
      <c r="T177" s="6"/>
      <c r="U177" s="6"/>
      <c r="V177" s="6"/>
      <c r="W177" s="6"/>
      <c r="X177" s="6"/>
      <c r="Y177" s="6"/>
      <c r="Z177" s="6"/>
      <c r="AA177" s="6"/>
      <c r="AB177" s="6"/>
      <c r="AC177" s="6"/>
      <c r="AD177" s="7"/>
    </row>
    <row r="178">
      <c r="A178" s="23"/>
      <c r="B178" s="23"/>
      <c r="C178" s="27"/>
      <c r="D178" s="19"/>
      <c r="E178" s="6"/>
      <c r="F178" s="6"/>
      <c r="G178" s="6"/>
      <c r="H178" s="6"/>
      <c r="I178" s="19"/>
      <c r="J178" s="6"/>
      <c r="K178" s="6"/>
      <c r="L178" s="19"/>
      <c r="M178" s="6"/>
      <c r="N178" s="6"/>
      <c r="O178" s="6"/>
      <c r="P178" s="6"/>
      <c r="Q178" s="6"/>
      <c r="R178" s="6"/>
      <c r="S178" s="6"/>
      <c r="T178" s="6"/>
      <c r="U178" s="6"/>
      <c r="V178" s="6"/>
      <c r="W178" s="6"/>
      <c r="X178" s="6"/>
      <c r="Y178" s="6"/>
      <c r="Z178" s="6"/>
      <c r="AA178" s="6"/>
      <c r="AB178" s="6"/>
      <c r="AC178" s="6"/>
      <c r="AD178" s="7"/>
    </row>
    <row r="179">
      <c r="A179" s="23"/>
      <c r="B179" s="23"/>
      <c r="C179" s="27"/>
      <c r="D179" s="19"/>
      <c r="E179" s="6"/>
      <c r="F179" s="6"/>
      <c r="G179" s="6"/>
      <c r="H179" s="6"/>
      <c r="I179" s="19"/>
      <c r="J179" s="6"/>
      <c r="K179" s="6"/>
      <c r="L179" s="19"/>
      <c r="M179" s="6"/>
      <c r="N179" s="6"/>
      <c r="O179" s="6"/>
      <c r="P179" s="6"/>
      <c r="Q179" s="6"/>
      <c r="R179" s="6"/>
      <c r="S179" s="6"/>
      <c r="T179" s="6"/>
      <c r="U179" s="6"/>
      <c r="V179" s="6"/>
      <c r="W179" s="6"/>
      <c r="X179" s="6"/>
      <c r="Y179" s="6"/>
      <c r="Z179" s="6"/>
      <c r="AA179" s="6"/>
      <c r="AB179" s="6"/>
      <c r="AC179" s="6"/>
      <c r="AD179" s="7"/>
    </row>
    <row r="180">
      <c r="A180" s="23"/>
      <c r="B180" s="23"/>
      <c r="C180" s="27"/>
      <c r="D180" s="19"/>
      <c r="E180" s="6"/>
      <c r="F180" s="6"/>
      <c r="G180" s="6"/>
      <c r="H180" s="6"/>
      <c r="I180" s="19"/>
      <c r="J180" s="6"/>
      <c r="K180" s="6"/>
      <c r="L180" s="19"/>
      <c r="M180" s="6"/>
      <c r="N180" s="6"/>
      <c r="O180" s="6"/>
      <c r="P180" s="6"/>
      <c r="Q180" s="6"/>
      <c r="R180" s="6"/>
      <c r="S180" s="6"/>
      <c r="T180" s="6"/>
      <c r="U180" s="6"/>
      <c r="V180" s="6"/>
      <c r="W180" s="6"/>
      <c r="X180" s="6"/>
      <c r="Y180" s="6"/>
      <c r="Z180" s="6"/>
      <c r="AA180" s="6"/>
      <c r="AB180" s="6"/>
      <c r="AC180" s="6"/>
      <c r="AD180" s="7"/>
    </row>
    <row r="181">
      <c r="A181" s="23"/>
      <c r="B181" s="23"/>
      <c r="C181" s="27"/>
      <c r="D181" s="19"/>
      <c r="E181" s="6"/>
      <c r="F181" s="6"/>
      <c r="G181" s="6"/>
      <c r="H181" s="6"/>
      <c r="I181" s="19"/>
      <c r="J181" s="6"/>
      <c r="K181" s="6"/>
      <c r="L181" s="19"/>
      <c r="M181" s="6"/>
      <c r="N181" s="6"/>
      <c r="O181" s="6"/>
      <c r="P181" s="6"/>
      <c r="Q181" s="6"/>
      <c r="R181" s="6"/>
      <c r="S181" s="6"/>
      <c r="T181" s="6"/>
      <c r="U181" s="6"/>
      <c r="V181" s="6"/>
      <c r="W181" s="6"/>
      <c r="X181" s="6"/>
      <c r="Y181" s="6"/>
      <c r="Z181" s="6"/>
      <c r="AA181" s="6"/>
      <c r="AB181" s="6"/>
      <c r="AC181" s="6"/>
      <c r="AD181" s="7"/>
    </row>
    <row r="182">
      <c r="A182" s="23"/>
      <c r="B182" s="23"/>
      <c r="C182" s="27"/>
      <c r="D182" s="19"/>
      <c r="E182" s="6"/>
      <c r="F182" s="6"/>
      <c r="G182" s="6"/>
      <c r="H182" s="6"/>
      <c r="I182" s="19"/>
      <c r="J182" s="6"/>
      <c r="K182" s="6"/>
      <c r="L182" s="19"/>
      <c r="M182" s="6"/>
      <c r="N182" s="6"/>
      <c r="O182" s="6"/>
      <c r="P182" s="6"/>
      <c r="Q182" s="6"/>
      <c r="R182" s="6"/>
      <c r="S182" s="6"/>
      <c r="T182" s="6"/>
      <c r="U182" s="6"/>
      <c r="V182" s="6"/>
      <c r="W182" s="6"/>
      <c r="X182" s="6"/>
      <c r="Y182" s="6"/>
      <c r="Z182" s="6"/>
      <c r="AA182" s="6"/>
      <c r="AB182" s="6"/>
      <c r="AC182" s="6"/>
      <c r="AD182" s="7"/>
    </row>
    <row r="183">
      <c r="A183" s="23"/>
      <c r="B183" s="23"/>
      <c r="C183" s="27"/>
      <c r="D183" s="19"/>
      <c r="E183" s="6"/>
      <c r="F183" s="6"/>
      <c r="G183" s="6"/>
      <c r="H183" s="6"/>
      <c r="I183" s="19"/>
      <c r="J183" s="6"/>
      <c r="K183" s="6"/>
      <c r="L183" s="19"/>
      <c r="M183" s="6"/>
      <c r="N183" s="6"/>
      <c r="O183" s="6"/>
      <c r="P183" s="6"/>
      <c r="Q183" s="6"/>
      <c r="R183" s="6"/>
      <c r="S183" s="6"/>
      <c r="T183" s="6"/>
      <c r="U183" s="6"/>
      <c r="V183" s="6"/>
      <c r="W183" s="6"/>
      <c r="X183" s="6"/>
      <c r="Y183" s="6"/>
      <c r="Z183" s="6"/>
      <c r="AA183" s="6"/>
      <c r="AB183" s="6"/>
      <c r="AC183" s="6"/>
      <c r="AD183" s="7"/>
    </row>
    <row r="184">
      <c r="A184" s="23"/>
      <c r="B184" s="23"/>
      <c r="C184" s="27"/>
      <c r="D184" s="19"/>
      <c r="E184" s="6"/>
      <c r="F184" s="6"/>
      <c r="G184" s="6"/>
      <c r="H184" s="6"/>
      <c r="I184" s="19"/>
      <c r="J184" s="6"/>
      <c r="K184" s="6"/>
      <c r="L184" s="19"/>
      <c r="M184" s="6"/>
      <c r="N184" s="6"/>
      <c r="O184" s="6"/>
      <c r="P184" s="6"/>
      <c r="Q184" s="6"/>
      <c r="R184" s="6"/>
      <c r="S184" s="6"/>
      <c r="T184" s="6"/>
      <c r="U184" s="6"/>
      <c r="V184" s="6"/>
      <c r="W184" s="6"/>
      <c r="X184" s="6"/>
      <c r="Y184" s="6"/>
      <c r="Z184" s="6"/>
      <c r="AA184" s="6"/>
      <c r="AB184" s="6"/>
      <c r="AC184" s="6"/>
      <c r="AD184" s="7"/>
    </row>
    <row r="185">
      <c r="A185" s="23"/>
      <c r="B185" s="23"/>
      <c r="C185" s="27"/>
      <c r="D185" s="19"/>
      <c r="E185" s="6"/>
      <c r="F185" s="6"/>
      <c r="G185" s="6"/>
      <c r="H185" s="6"/>
      <c r="I185" s="19"/>
      <c r="J185" s="6"/>
      <c r="K185" s="6"/>
      <c r="L185" s="19"/>
      <c r="M185" s="6"/>
      <c r="N185" s="6"/>
      <c r="O185" s="6"/>
      <c r="P185" s="6"/>
      <c r="Q185" s="6"/>
      <c r="R185" s="6"/>
      <c r="S185" s="6"/>
      <c r="T185" s="6"/>
      <c r="U185" s="6"/>
      <c r="V185" s="6"/>
      <c r="W185" s="6"/>
      <c r="X185" s="6"/>
      <c r="Y185" s="6"/>
      <c r="Z185" s="6"/>
      <c r="AA185" s="6"/>
      <c r="AB185" s="6"/>
      <c r="AC185" s="6"/>
      <c r="AD185" s="7"/>
    </row>
    <row r="186">
      <c r="A186" s="23"/>
      <c r="B186" s="23"/>
      <c r="C186" s="27"/>
      <c r="D186" s="19"/>
      <c r="E186" s="6"/>
      <c r="F186" s="6"/>
      <c r="G186" s="6"/>
      <c r="H186" s="6"/>
      <c r="I186" s="19"/>
      <c r="J186" s="6"/>
      <c r="K186" s="6"/>
      <c r="L186" s="19"/>
      <c r="M186" s="6"/>
      <c r="N186" s="6"/>
      <c r="O186" s="6"/>
      <c r="P186" s="6"/>
      <c r="Q186" s="6"/>
      <c r="R186" s="6"/>
      <c r="S186" s="6"/>
      <c r="T186" s="6"/>
      <c r="U186" s="6"/>
      <c r="V186" s="6"/>
      <c r="W186" s="6"/>
      <c r="X186" s="6"/>
      <c r="Y186" s="6"/>
      <c r="Z186" s="6"/>
      <c r="AA186" s="6"/>
      <c r="AB186" s="6"/>
      <c r="AC186" s="6"/>
      <c r="AD186" s="7"/>
    </row>
    <row r="187">
      <c r="A187" s="23"/>
      <c r="B187" s="23"/>
      <c r="C187" s="27"/>
      <c r="D187" s="19"/>
      <c r="E187" s="6"/>
      <c r="F187" s="6"/>
      <c r="G187" s="6"/>
      <c r="H187" s="6"/>
      <c r="I187" s="19"/>
      <c r="J187" s="6"/>
      <c r="K187" s="6"/>
      <c r="L187" s="19"/>
      <c r="M187" s="6"/>
      <c r="N187" s="6"/>
      <c r="O187" s="6"/>
      <c r="P187" s="6"/>
      <c r="Q187" s="6"/>
      <c r="R187" s="6"/>
      <c r="S187" s="6"/>
      <c r="T187" s="6"/>
      <c r="U187" s="6"/>
      <c r="V187" s="6"/>
      <c r="W187" s="6"/>
      <c r="X187" s="6"/>
      <c r="Y187" s="6"/>
      <c r="Z187" s="6"/>
      <c r="AA187" s="6"/>
      <c r="AB187" s="6"/>
      <c r="AC187" s="6"/>
      <c r="AD187" s="7"/>
    </row>
    <row r="188">
      <c r="A188" s="23"/>
      <c r="B188" s="23"/>
      <c r="C188" s="27"/>
      <c r="D188" s="19"/>
      <c r="E188" s="6"/>
      <c r="F188" s="6"/>
      <c r="G188" s="6"/>
      <c r="H188" s="6"/>
      <c r="I188" s="19"/>
      <c r="J188" s="6"/>
      <c r="K188" s="6"/>
      <c r="L188" s="19"/>
      <c r="M188" s="6"/>
      <c r="N188" s="6"/>
      <c r="O188" s="6"/>
      <c r="P188" s="6"/>
      <c r="Q188" s="6"/>
      <c r="R188" s="6"/>
      <c r="S188" s="6"/>
      <c r="T188" s="6"/>
      <c r="U188" s="6"/>
      <c r="V188" s="6"/>
      <c r="W188" s="6"/>
      <c r="X188" s="6"/>
      <c r="Y188" s="6"/>
      <c r="Z188" s="6"/>
      <c r="AA188" s="6"/>
      <c r="AB188" s="6"/>
      <c r="AC188" s="6"/>
      <c r="AD188" s="7"/>
    </row>
    <row r="189">
      <c r="A189" s="23"/>
      <c r="B189" s="23"/>
      <c r="C189" s="27"/>
      <c r="D189" s="19"/>
      <c r="E189" s="6"/>
      <c r="F189" s="6"/>
      <c r="G189" s="6"/>
      <c r="H189" s="6"/>
      <c r="I189" s="19"/>
      <c r="J189" s="6"/>
      <c r="K189" s="6"/>
      <c r="L189" s="19"/>
      <c r="M189" s="6"/>
      <c r="N189" s="6"/>
      <c r="O189" s="6"/>
      <c r="P189" s="6"/>
      <c r="Q189" s="6"/>
      <c r="R189" s="6"/>
      <c r="S189" s="6"/>
      <c r="T189" s="6"/>
      <c r="U189" s="6"/>
      <c r="V189" s="6"/>
      <c r="W189" s="6"/>
      <c r="X189" s="6"/>
      <c r="Y189" s="6"/>
      <c r="Z189" s="6"/>
      <c r="AA189" s="6"/>
      <c r="AB189" s="6"/>
      <c r="AC189" s="6"/>
      <c r="AD189" s="7"/>
    </row>
    <row r="190">
      <c r="A190" s="23"/>
      <c r="B190" s="23"/>
      <c r="C190" s="27"/>
      <c r="D190" s="19"/>
      <c r="E190" s="6"/>
      <c r="F190" s="6"/>
      <c r="G190" s="6"/>
      <c r="H190" s="6"/>
      <c r="I190" s="19"/>
      <c r="J190" s="6"/>
      <c r="K190" s="6"/>
      <c r="L190" s="19"/>
      <c r="M190" s="6"/>
      <c r="N190" s="6"/>
      <c r="O190" s="6"/>
      <c r="P190" s="6"/>
      <c r="Q190" s="6"/>
      <c r="R190" s="6"/>
      <c r="S190" s="6"/>
      <c r="T190" s="6"/>
      <c r="U190" s="6"/>
      <c r="V190" s="6"/>
      <c r="W190" s="6"/>
      <c r="X190" s="6"/>
      <c r="Y190" s="6"/>
      <c r="Z190" s="6"/>
      <c r="AA190" s="6"/>
      <c r="AB190" s="6"/>
      <c r="AC190" s="6"/>
      <c r="AD190" s="7"/>
    </row>
    <row r="191">
      <c r="A191" s="23"/>
      <c r="B191" s="23"/>
      <c r="C191" s="27"/>
      <c r="D191" s="19"/>
      <c r="E191" s="6"/>
      <c r="F191" s="6"/>
      <c r="G191" s="6"/>
      <c r="H191" s="6"/>
      <c r="I191" s="19"/>
      <c r="J191" s="6"/>
      <c r="K191" s="6"/>
      <c r="L191" s="19"/>
      <c r="M191" s="6"/>
      <c r="N191" s="6"/>
      <c r="O191" s="6"/>
      <c r="P191" s="6"/>
      <c r="Q191" s="6"/>
      <c r="R191" s="6"/>
      <c r="S191" s="6"/>
      <c r="T191" s="6"/>
      <c r="U191" s="6"/>
      <c r="V191" s="6"/>
      <c r="W191" s="6"/>
      <c r="X191" s="6"/>
      <c r="Y191" s="6"/>
      <c r="Z191" s="6"/>
      <c r="AA191" s="6"/>
      <c r="AB191" s="6"/>
      <c r="AC191" s="6"/>
      <c r="AD191" s="7"/>
    </row>
    <row r="192">
      <c r="A192" s="23"/>
      <c r="B192" s="23"/>
      <c r="C192" s="27"/>
      <c r="D192" s="19"/>
      <c r="E192" s="6"/>
      <c r="F192" s="6"/>
      <c r="G192" s="6"/>
      <c r="H192" s="6"/>
      <c r="I192" s="19"/>
      <c r="J192" s="6"/>
      <c r="K192" s="6"/>
      <c r="L192" s="19"/>
      <c r="M192" s="6"/>
      <c r="N192" s="6"/>
      <c r="O192" s="6"/>
      <c r="P192" s="6"/>
      <c r="Q192" s="6"/>
      <c r="R192" s="6"/>
      <c r="S192" s="6"/>
      <c r="T192" s="6"/>
      <c r="U192" s="6"/>
      <c r="V192" s="6"/>
      <c r="W192" s="6"/>
      <c r="X192" s="6"/>
      <c r="Y192" s="6"/>
      <c r="Z192" s="6"/>
      <c r="AA192" s="6"/>
      <c r="AB192" s="6"/>
      <c r="AC192" s="6"/>
      <c r="AD192" s="7"/>
    </row>
    <row r="193">
      <c r="A193" s="23"/>
      <c r="B193" s="23"/>
      <c r="C193" s="27"/>
      <c r="D193" s="19"/>
      <c r="E193" s="6"/>
      <c r="F193" s="6"/>
      <c r="G193" s="6"/>
      <c r="H193" s="6"/>
      <c r="I193" s="19"/>
      <c r="J193" s="6"/>
      <c r="K193" s="6"/>
      <c r="L193" s="19"/>
      <c r="M193" s="6"/>
      <c r="N193" s="6"/>
      <c r="O193" s="6"/>
      <c r="P193" s="6"/>
      <c r="Q193" s="6"/>
      <c r="R193" s="6"/>
      <c r="S193" s="6"/>
      <c r="T193" s="6"/>
      <c r="U193" s="6"/>
      <c r="V193" s="6"/>
      <c r="W193" s="6"/>
      <c r="X193" s="6"/>
      <c r="Y193" s="6"/>
      <c r="Z193" s="6"/>
      <c r="AA193" s="6"/>
      <c r="AB193" s="6"/>
      <c r="AC193" s="6"/>
      <c r="AD193" s="7"/>
    </row>
    <row r="194">
      <c r="A194" s="23"/>
      <c r="B194" s="23"/>
      <c r="C194" s="27"/>
      <c r="D194" s="19"/>
      <c r="E194" s="6"/>
      <c r="F194" s="6"/>
      <c r="G194" s="6"/>
      <c r="H194" s="6"/>
      <c r="I194" s="19"/>
      <c r="J194" s="6"/>
      <c r="K194" s="6"/>
      <c r="L194" s="19"/>
      <c r="M194" s="6"/>
      <c r="N194" s="6"/>
      <c r="O194" s="6"/>
      <c r="P194" s="6"/>
      <c r="Q194" s="6"/>
      <c r="R194" s="6"/>
      <c r="S194" s="6"/>
      <c r="T194" s="6"/>
      <c r="U194" s="6"/>
      <c r="V194" s="6"/>
      <c r="W194" s="6"/>
      <c r="X194" s="6"/>
      <c r="Y194" s="6"/>
      <c r="Z194" s="6"/>
      <c r="AA194" s="6"/>
      <c r="AB194" s="6"/>
      <c r="AC194" s="6"/>
      <c r="AD194" s="7"/>
    </row>
    <row r="195">
      <c r="A195" s="23"/>
      <c r="B195" s="23"/>
      <c r="C195" s="27"/>
      <c r="D195" s="19"/>
      <c r="E195" s="6"/>
      <c r="F195" s="6"/>
      <c r="G195" s="6"/>
      <c r="H195" s="6"/>
      <c r="I195" s="19"/>
      <c r="J195" s="6"/>
      <c r="K195" s="6"/>
      <c r="L195" s="19"/>
      <c r="M195" s="6"/>
      <c r="N195" s="6"/>
      <c r="O195" s="6"/>
      <c r="P195" s="6"/>
      <c r="Q195" s="6"/>
      <c r="R195" s="6"/>
      <c r="S195" s="6"/>
      <c r="T195" s="6"/>
      <c r="U195" s="6"/>
      <c r="V195" s="6"/>
      <c r="W195" s="6"/>
      <c r="X195" s="6"/>
      <c r="Y195" s="6"/>
      <c r="Z195" s="6"/>
      <c r="AA195" s="6"/>
      <c r="AB195" s="6"/>
      <c r="AC195" s="6"/>
      <c r="AD195" s="7"/>
    </row>
    <row r="196">
      <c r="A196" s="23"/>
      <c r="B196" s="23"/>
      <c r="C196" s="27"/>
      <c r="D196" s="19"/>
      <c r="E196" s="6"/>
      <c r="F196" s="6"/>
      <c r="G196" s="6"/>
      <c r="H196" s="6"/>
      <c r="I196" s="19"/>
      <c r="J196" s="6"/>
      <c r="K196" s="6"/>
      <c r="L196" s="19"/>
      <c r="M196" s="6"/>
      <c r="N196" s="6"/>
      <c r="O196" s="6"/>
      <c r="P196" s="6"/>
      <c r="Q196" s="6"/>
      <c r="R196" s="6"/>
      <c r="S196" s="6"/>
      <c r="T196" s="6"/>
      <c r="U196" s="6"/>
      <c r="V196" s="6"/>
      <c r="W196" s="6"/>
      <c r="X196" s="6"/>
      <c r="Y196" s="6"/>
      <c r="Z196" s="6"/>
      <c r="AA196" s="6"/>
      <c r="AB196" s="6"/>
      <c r="AC196" s="6"/>
      <c r="AD196" s="7"/>
    </row>
    <row r="197">
      <c r="A197" s="23"/>
      <c r="B197" s="23"/>
      <c r="C197" s="27"/>
      <c r="D197" s="19"/>
      <c r="E197" s="6"/>
      <c r="F197" s="6"/>
      <c r="G197" s="6"/>
      <c r="H197" s="6"/>
      <c r="I197" s="19"/>
      <c r="J197" s="6"/>
      <c r="K197" s="6"/>
      <c r="L197" s="19"/>
      <c r="M197" s="6"/>
      <c r="N197" s="6"/>
      <c r="O197" s="6"/>
      <c r="P197" s="6"/>
      <c r="Q197" s="6"/>
      <c r="R197" s="6"/>
      <c r="S197" s="6"/>
      <c r="T197" s="6"/>
      <c r="U197" s="6"/>
      <c r="V197" s="6"/>
      <c r="W197" s="6"/>
      <c r="X197" s="6"/>
      <c r="Y197" s="6"/>
      <c r="Z197" s="6"/>
      <c r="AA197" s="6"/>
      <c r="AB197" s="6"/>
      <c r="AC197" s="6"/>
      <c r="AD197" s="7"/>
    </row>
    <row r="198">
      <c r="A198" s="23"/>
      <c r="B198" s="23"/>
      <c r="C198" s="27"/>
      <c r="D198" s="19"/>
      <c r="E198" s="6"/>
      <c r="F198" s="6"/>
      <c r="G198" s="6"/>
      <c r="H198" s="6"/>
      <c r="I198" s="19"/>
      <c r="J198" s="6"/>
      <c r="K198" s="6"/>
      <c r="L198" s="19"/>
      <c r="M198" s="6"/>
      <c r="N198" s="6"/>
      <c r="O198" s="6"/>
      <c r="P198" s="6"/>
      <c r="Q198" s="6"/>
      <c r="R198" s="6"/>
      <c r="S198" s="6"/>
      <c r="T198" s="6"/>
      <c r="U198" s="6"/>
      <c r="V198" s="6"/>
      <c r="W198" s="6"/>
      <c r="X198" s="6"/>
      <c r="Y198" s="6"/>
      <c r="Z198" s="6"/>
      <c r="AA198" s="6"/>
      <c r="AB198" s="6"/>
      <c r="AC198" s="6"/>
      <c r="AD198" s="7"/>
    </row>
    <row r="199">
      <c r="A199" s="23"/>
      <c r="B199" s="23"/>
      <c r="C199" s="27"/>
      <c r="D199" s="19"/>
      <c r="E199" s="6"/>
      <c r="F199" s="6"/>
      <c r="G199" s="6"/>
      <c r="H199" s="6"/>
      <c r="I199" s="19"/>
      <c r="J199" s="6"/>
      <c r="K199" s="6"/>
      <c r="L199" s="19"/>
      <c r="M199" s="6"/>
      <c r="N199" s="6"/>
      <c r="O199" s="6"/>
      <c r="P199" s="6"/>
      <c r="Q199" s="6"/>
      <c r="R199" s="6"/>
      <c r="S199" s="6"/>
      <c r="T199" s="6"/>
      <c r="U199" s="6"/>
      <c r="V199" s="6"/>
      <c r="W199" s="6"/>
      <c r="X199" s="6"/>
      <c r="Y199" s="6"/>
      <c r="Z199" s="6"/>
      <c r="AA199" s="6"/>
      <c r="AB199" s="6"/>
      <c r="AC199" s="6"/>
      <c r="AD199" s="7"/>
    </row>
    <row r="200">
      <c r="A200" s="23"/>
      <c r="B200" s="23"/>
      <c r="C200" s="27"/>
      <c r="D200" s="19"/>
      <c r="E200" s="6"/>
      <c r="F200" s="6"/>
      <c r="G200" s="6"/>
      <c r="H200" s="6"/>
      <c r="I200" s="19"/>
      <c r="J200" s="6"/>
      <c r="K200" s="6"/>
      <c r="L200" s="19"/>
      <c r="M200" s="6"/>
      <c r="N200" s="6"/>
      <c r="O200" s="6"/>
      <c r="P200" s="6"/>
      <c r="Q200" s="6"/>
      <c r="R200" s="6"/>
      <c r="S200" s="6"/>
      <c r="T200" s="6"/>
      <c r="U200" s="6"/>
      <c r="V200" s="6"/>
      <c r="W200" s="6"/>
      <c r="X200" s="6"/>
      <c r="Y200" s="6"/>
      <c r="Z200" s="6"/>
      <c r="AA200" s="6"/>
      <c r="AB200" s="6"/>
      <c r="AC200" s="6"/>
      <c r="AD200" s="7"/>
    </row>
    <row r="201">
      <c r="A201" s="23"/>
      <c r="B201" s="23"/>
      <c r="C201" s="27"/>
      <c r="D201" s="19"/>
      <c r="E201" s="6"/>
      <c r="F201" s="6"/>
      <c r="G201" s="6"/>
      <c r="H201" s="6"/>
      <c r="I201" s="19"/>
      <c r="J201" s="6"/>
      <c r="K201" s="6"/>
      <c r="L201" s="19"/>
      <c r="M201" s="6"/>
      <c r="N201" s="6"/>
      <c r="O201" s="6"/>
      <c r="P201" s="6"/>
      <c r="Q201" s="6"/>
      <c r="R201" s="6"/>
      <c r="S201" s="6"/>
      <c r="T201" s="6"/>
      <c r="U201" s="6"/>
      <c r="V201" s="6"/>
      <c r="W201" s="6"/>
      <c r="X201" s="6"/>
      <c r="Y201" s="6"/>
      <c r="Z201" s="6"/>
      <c r="AA201" s="6"/>
      <c r="AB201" s="6"/>
      <c r="AC201" s="6"/>
      <c r="AD201" s="7"/>
    </row>
    <row r="202">
      <c r="A202" s="23"/>
      <c r="B202" s="23"/>
      <c r="C202" s="27"/>
      <c r="D202" s="19"/>
      <c r="E202" s="6"/>
      <c r="F202" s="6"/>
      <c r="G202" s="6"/>
      <c r="H202" s="6"/>
      <c r="I202" s="19"/>
      <c r="J202" s="6"/>
      <c r="K202" s="6"/>
      <c r="L202" s="19"/>
      <c r="M202" s="6"/>
      <c r="N202" s="6"/>
      <c r="O202" s="6"/>
      <c r="P202" s="6"/>
      <c r="Q202" s="6"/>
      <c r="R202" s="6"/>
      <c r="S202" s="6"/>
      <c r="T202" s="6"/>
      <c r="U202" s="6"/>
      <c r="V202" s="6"/>
      <c r="W202" s="6"/>
      <c r="X202" s="6"/>
      <c r="Y202" s="6"/>
      <c r="Z202" s="6"/>
      <c r="AA202" s="6"/>
      <c r="AB202" s="6"/>
      <c r="AC202" s="6"/>
      <c r="AD202" s="7"/>
    </row>
    <row r="203">
      <c r="A203" s="23"/>
      <c r="B203" s="23"/>
      <c r="C203" s="27"/>
      <c r="D203" s="19"/>
      <c r="E203" s="6"/>
      <c r="F203" s="6"/>
      <c r="G203" s="6"/>
      <c r="H203" s="6"/>
      <c r="I203" s="19"/>
      <c r="J203" s="6"/>
      <c r="K203" s="6"/>
      <c r="L203" s="19"/>
      <c r="M203" s="6"/>
      <c r="N203" s="6"/>
      <c r="O203" s="6"/>
      <c r="P203" s="6"/>
      <c r="Q203" s="6"/>
      <c r="R203" s="6"/>
      <c r="S203" s="6"/>
      <c r="T203" s="6"/>
      <c r="U203" s="6"/>
      <c r="V203" s="6"/>
      <c r="W203" s="6"/>
      <c r="X203" s="6"/>
      <c r="Y203" s="6"/>
      <c r="Z203" s="6"/>
      <c r="AA203" s="6"/>
      <c r="AB203" s="6"/>
      <c r="AC203" s="6"/>
      <c r="AD203" s="7"/>
    </row>
    <row r="204">
      <c r="A204" s="23"/>
      <c r="B204" s="23"/>
      <c r="C204" s="27"/>
      <c r="D204" s="19"/>
      <c r="E204" s="6"/>
      <c r="F204" s="6"/>
      <c r="G204" s="6"/>
      <c r="H204" s="6"/>
      <c r="I204" s="19"/>
      <c r="J204" s="6"/>
      <c r="K204" s="6"/>
      <c r="L204" s="19"/>
      <c r="M204" s="6"/>
      <c r="N204" s="6"/>
      <c r="O204" s="6"/>
      <c r="P204" s="6"/>
      <c r="Q204" s="6"/>
      <c r="R204" s="6"/>
      <c r="S204" s="6"/>
      <c r="T204" s="6"/>
      <c r="U204" s="6"/>
      <c r="V204" s="6"/>
      <c r="W204" s="6"/>
      <c r="X204" s="6"/>
      <c r="Y204" s="6"/>
      <c r="Z204" s="6"/>
      <c r="AA204" s="6"/>
      <c r="AB204" s="6"/>
      <c r="AC204" s="6"/>
      <c r="AD204" s="7"/>
    </row>
    <row r="205">
      <c r="A205" s="23"/>
      <c r="B205" s="23"/>
      <c r="C205" s="27"/>
      <c r="D205" s="19"/>
      <c r="E205" s="6"/>
      <c r="F205" s="6"/>
      <c r="G205" s="6"/>
      <c r="H205" s="6"/>
      <c r="I205" s="19"/>
      <c r="J205" s="6"/>
      <c r="K205" s="6"/>
      <c r="L205" s="19"/>
      <c r="M205" s="6"/>
      <c r="N205" s="6"/>
      <c r="O205" s="6"/>
      <c r="P205" s="6"/>
      <c r="Q205" s="6"/>
      <c r="R205" s="6"/>
      <c r="S205" s="6"/>
      <c r="T205" s="6"/>
      <c r="U205" s="6"/>
      <c r="V205" s="6"/>
      <c r="W205" s="6"/>
      <c r="X205" s="6"/>
      <c r="Y205" s="6"/>
      <c r="Z205" s="6"/>
      <c r="AA205" s="6"/>
      <c r="AB205" s="6"/>
      <c r="AC205" s="6"/>
      <c r="AD205" s="7"/>
    </row>
    <row r="206">
      <c r="A206" s="23"/>
      <c r="B206" s="23"/>
      <c r="C206" s="27"/>
      <c r="D206" s="19"/>
      <c r="E206" s="6"/>
      <c r="F206" s="6"/>
      <c r="G206" s="6"/>
      <c r="H206" s="6"/>
      <c r="I206" s="19"/>
      <c r="J206" s="6"/>
      <c r="K206" s="6"/>
      <c r="L206" s="19"/>
      <c r="M206" s="6"/>
      <c r="N206" s="6"/>
      <c r="O206" s="6"/>
      <c r="P206" s="6"/>
      <c r="Q206" s="6"/>
      <c r="R206" s="6"/>
      <c r="S206" s="6"/>
      <c r="T206" s="6"/>
      <c r="U206" s="6"/>
      <c r="V206" s="6"/>
      <c r="W206" s="6"/>
      <c r="X206" s="6"/>
      <c r="Y206" s="6"/>
      <c r="Z206" s="6"/>
      <c r="AA206" s="6"/>
      <c r="AB206" s="6"/>
      <c r="AC206" s="6"/>
      <c r="AD206" s="7"/>
    </row>
    <row r="207">
      <c r="A207" s="23"/>
      <c r="B207" s="23"/>
      <c r="C207" s="27"/>
      <c r="D207" s="19"/>
      <c r="E207" s="6"/>
      <c r="F207" s="6"/>
      <c r="G207" s="6"/>
      <c r="H207" s="6"/>
      <c r="I207" s="19"/>
      <c r="J207" s="6"/>
      <c r="K207" s="6"/>
      <c r="L207" s="19"/>
      <c r="M207" s="6"/>
      <c r="N207" s="6"/>
      <c r="O207" s="6"/>
      <c r="P207" s="6"/>
      <c r="Q207" s="6"/>
      <c r="R207" s="6"/>
      <c r="S207" s="6"/>
      <c r="T207" s="6"/>
      <c r="U207" s="6"/>
      <c r="V207" s="6"/>
      <c r="W207" s="6"/>
      <c r="X207" s="6"/>
      <c r="Y207" s="6"/>
      <c r="Z207" s="6"/>
      <c r="AA207" s="6"/>
      <c r="AB207" s="6"/>
      <c r="AC207" s="6"/>
      <c r="AD207" s="7"/>
    </row>
    <row r="208">
      <c r="A208" s="23"/>
      <c r="B208" s="23"/>
      <c r="C208" s="27"/>
      <c r="D208" s="19"/>
      <c r="E208" s="6"/>
      <c r="F208" s="6"/>
      <c r="G208" s="6"/>
      <c r="H208" s="6"/>
      <c r="I208" s="19"/>
      <c r="J208" s="6"/>
      <c r="K208" s="6"/>
      <c r="L208" s="19"/>
      <c r="M208" s="6"/>
      <c r="N208" s="6"/>
      <c r="O208" s="6"/>
      <c r="P208" s="6"/>
      <c r="Q208" s="6"/>
      <c r="R208" s="6"/>
      <c r="S208" s="6"/>
      <c r="T208" s="6"/>
      <c r="U208" s="6"/>
      <c r="V208" s="6"/>
      <c r="W208" s="6"/>
      <c r="X208" s="6"/>
      <c r="Y208" s="6"/>
      <c r="Z208" s="6"/>
      <c r="AA208" s="6"/>
      <c r="AB208" s="6"/>
      <c r="AC208" s="6"/>
      <c r="AD208" s="7"/>
    </row>
    <row r="209">
      <c r="A209" s="23"/>
      <c r="B209" s="23"/>
      <c r="C209" s="27"/>
      <c r="D209" s="19"/>
      <c r="E209" s="6"/>
      <c r="F209" s="6"/>
      <c r="G209" s="6"/>
      <c r="H209" s="6"/>
      <c r="I209" s="19"/>
      <c r="J209" s="6"/>
      <c r="K209" s="6"/>
      <c r="L209" s="19"/>
      <c r="M209" s="6"/>
      <c r="N209" s="6"/>
      <c r="O209" s="6"/>
      <c r="P209" s="6"/>
      <c r="Q209" s="6"/>
      <c r="R209" s="6"/>
      <c r="S209" s="6"/>
      <c r="T209" s="6"/>
      <c r="U209" s="6"/>
      <c r="V209" s="6"/>
      <c r="W209" s="6"/>
      <c r="X209" s="6"/>
      <c r="Y209" s="6"/>
      <c r="Z209" s="6"/>
      <c r="AA209" s="6"/>
      <c r="AB209" s="6"/>
      <c r="AC209" s="6"/>
      <c r="AD209" s="7"/>
    </row>
    <row r="210">
      <c r="A210" s="23"/>
      <c r="B210" s="23"/>
      <c r="C210" s="27"/>
      <c r="D210" s="19"/>
      <c r="E210" s="6"/>
      <c r="F210" s="6"/>
      <c r="G210" s="6"/>
      <c r="H210" s="6"/>
      <c r="I210" s="19"/>
      <c r="J210" s="6"/>
      <c r="K210" s="6"/>
      <c r="L210" s="19"/>
      <c r="M210" s="6"/>
      <c r="N210" s="6"/>
      <c r="O210" s="6"/>
      <c r="P210" s="6"/>
      <c r="Q210" s="6"/>
      <c r="R210" s="6"/>
      <c r="S210" s="6"/>
      <c r="T210" s="6"/>
      <c r="U210" s="6"/>
      <c r="V210" s="6"/>
      <c r="W210" s="6"/>
      <c r="X210" s="6"/>
      <c r="Y210" s="6"/>
      <c r="Z210" s="6"/>
      <c r="AA210" s="6"/>
      <c r="AB210" s="6"/>
      <c r="AC210" s="6"/>
      <c r="AD210" s="7"/>
    </row>
    <row r="211">
      <c r="A211" s="23"/>
      <c r="B211" s="23"/>
      <c r="C211" s="27"/>
      <c r="D211" s="19"/>
      <c r="E211" s="6"/>
      <c r="F211" s="6"/>
      <c r="G211" s="6"/>
      <c r="H211" s="6"/>
      <c r="I211" s="19"/>
      <c r="J211" s="6"/>
      <c r="K211" s="6"/>
      <c r="L211" s="19"/>
      <c r="M211" s="6"/>
      <c r="N211" s="6"/>
      <c r="O211" s="6"/>
      <c r="P211" s="6"/>
      <c r="Q211" s="6"/>
      <c r="R211" s="6"/>
      <c r="S211" s="6"/>
      <c r="T211" s="6"/>
      <c r="U211" s="6"/>
      <c r="V211" s="6"/>
      <c r="W211" s="6"/>
      <c r="X211" s="6"/>
      <c r="Y211" s="6"/>
      <c r="Z211" s="6"/>
      <c r="AA211" s="6"/>
      <c r="AB211" s="6"/>
      <c r="AC211" s="6"/>
      <c r="AD211" s="7"/>
    </row>
    <row r="212">
      <c r="A212" s="23"/>
      <c r="B212" s="23"/>
      <c r="C212" s="27"/>
      <c r="D212" s="19"/>
      <c r="E212" s="6"/>
      <c r="F212" s="6"/>
      <c r="G212" s="6"/>
      <c r="H212" s="6"/>
      <c r="I212" s="19"/>
      <c r="J212" s="6"/>
      <c r="K212" s="6"/>
      <c r="L212" s="19"/>
      <c r="M212" s="6"/>
      <c r="N212" s="6"/>
      <c r="O212" s="6"/>
      <c r="P212" s="6"/>
      <c r="Q212" s="6"/>
      <c r="R212" s="6"/>
      <c r="S212" s="6"/>
      <c r="T212" s="6"/>
      <c r="U212" s="6"/>
      <c r="V212" s="6"/>
      <c r="W212" s="6"/>
      <c r="X212" s="6"/>
      <c r="Y212" s="6"/>
      <c r="Z212" s="6"/>
      <c r="AA212" s="6"/>
      <c r="AB212" s="6"/>
      <c r="AC212" s="6"/>
      <c r="AD212" s="7"/>
    </row>
    <row r="213">
      <c r="A213" s="23"/>
      <c r="B213" s="23"/>
      <c r="C213" s="27"/>
      <c r="D213" s="19"/>
      <c r="E213" s="6"/>
      <c r="F213" s="6"/>
      <c r="G213" s="6"/>
      <c r="H213" s="6"/>
      <c r="I213" s="19"/>
      <c r="J213" s="6"/>
      <c r="K213" s="6"/>
      <c r="L213" s="19"/>
      <c r="M213" s="6"/>
      <c r="N213" s="6"/>
      <c r="O213" s="6"/>
      <c r="P213" s="6"/>
      <c r="Q213" s="6"/>
      <c r="R213" s="6"/>
      <c r="S213" s="6"/>
      <c r="T213" s="6"/>
      <c r="U213" s="6"/>
      <c r="V213" s="6"/>
      <c r="W213" s="6"/>
      <c r="X213" s="6"/>
      <c r="Y213" s="6"/>
      <c r="Z213" s="6"/>
      <c r="AA213" s="6"/>
      <c r="AB213" s="6"/>
      <c r="AC213" s="6"/>
      <c r="AD213" s="7"/>
    </row>
    <row r="214">
      <c r="A214" s="23"/>
      <c r="B214" s="23"/>
      <c r="C214" s="27"/>
      <c r="D214" s="19"/>
      <c r="E214" s="6"/>
      <c r="F214" s="6"/>
      <c r="G214" s="6"/>
      <c r="H214" s="6"/>
      <c r="I214" s="19"/>
      <c r="J214" s="6"/>
      <c r="K214" s="6"/>
      <c r="L214" s="19"/>
      <c r="M214" s="6"/>
      <c r="N214" s="6"/>
      <c r="O214" s="6"/>
      <c r="P214" s="6"/>
      <c r="Q214" s="6"/>
      <c r="R214" s="6"/>
      <c r="S214" s="6"/>
      <c r="T214" s="6"/>
      <c r="U214" s="6"/>
      <c r="V214" s="6"/>
      <c r="W214" s="6"/>
      <c r="X214" s="6"/>
      <c r="Y214" s="6"/>
      <c r="Z214" s="6"/>
      <c r="AA214" s="6"/>
      <c r="AB214" s="6"/>
      <c r="AC214" s="6"/>
      <c r="AD214" s="7"/>
    </row>
    <row r="215">
      <c r="A215" s="23"/>
      <c r="B215" s="23"/>
      <c r="C215" s="27"/>
      <c r="D215" s="19"/>
      <c r="E215" s="6"/>
      <c r="F215" s="6"/>
      <c r="G215" s="6"/>
      <c r="H215" s="6"/>
      <c r="I215" s="19"/>
      <c r="J215" s="6"/>
      <c r="K215" s="6"/>
      <c r="L215" s="19"/>
      <c r="M215" s="6"/>
      <c r="N215" s="6"/>
      <c r="O215" s="6"/>
      <c r="P215" s="6"/>
      <c r="Q215" s="6"/>
      <c r="R215" s="6"/>
      <c r="S215" s="6"/>
      <c r="T215" s="6"/>
      <c r="U215" s="6"/>
      <c r="V215" s="6"/>
      <c r="W215" s="6"/>
      <c r="X215" s="6"/>
      <c r="Y215" s="6"/>
      <c r="Z215" s="6"/>
      <c r="AA215" s="6"/>
      <c r="AB215" s="6"/>
      <c r="AC215" s="6"/>
      <c r="AD215" s="7"/>
    </row>
    <row r="216">
      <c r="A216" s="23"/>
      <c r="B216" s="23"/>
      <c r="C216" s="27"/>
      <c r="D216" s="19"/>
      <c r="E216" s="6"/>
      <c r="F216" s="6"/>
      <c r="G216" s="6"/>
      <c r="H216" s="6"/>
      <c r="I216" s="19"/>
      <c r="J216" s="6"/>
      <c r="K216" s="6"/>
      <c r="L216" s="19"/>
      <c r="M216" s="6"/>
      <c r="N216" s="6"/>
      <c r="O216" s="6"/>
      <c r="P216" s="6"/>
      <c r="Q216" s="6"/>
      <c r="R216" s="6"/>
      <c r="S216" s="6"/>
      <c r="T216" s="6"/>
      <c r="U216" s="6"/>
      <c r="V216" s="6"/>
      <c r="W216" s="6"/>
      <c r="X216" s="6"/>
      <c r="Y216" s="6"/>
      <c r="Z216" s="6"/>
      <c r="AA216" s="6"/>
      <c r="AB216" s="6"/>
      <c r="AC216" s="6"/>
      <c r="AD216" s="7"/>
    </row>
    <row r="217">
      <c r="A217" s="23"/>
      <c r="B217" s="23"/>
      <c r="C217" s="27"/>
      <c r="D217" s="19"/>
      <c r="E217" s="6"/>
      <c r="F217" s="6"/>
      <c r="G217" s="6"/>
      <c r="H217" s="6"/>
      <c r="I217" s="19"/>
      <c r="J217" s="6"/>
      <c r="K217" s="6"/>
      <c r="L217" s="19"/>
      <c r="M217" s="6"/>
      <c r="N217" s="6"/>
      <c r="O217" s="6"/>
      <c r="P217" s="6"/>
      <c r="Q217" s="6"/>
      <c r="R217" s="6"/>
      <c r="S217" s="6"/>
      <c r="T217" s="6"/>
      <c r="U217" s="6"/>
      <c r="V217" s="6"/>
      <c r="W217" s="6"/>
      <c r="X217" s="6"/>
      <c r="Y217" s="6"/>
      <c r="Z217" s="6"/>
      <c r="AA217" s="6"/>
      <c r="AB217" s="6"/>
      <c r="AC217" s="6"/>
      <c r="AD217" s="7"/>
    </row>
    <row r="218">
      <c r="A218" s="23"/>
      <c r="B218" s="23"/>
      <c r="C218" s="27"/>
      <c r="D218" s="19"/>
      <c r="E218" s="6"/>
      <c r="F218" s="6"/>
      <c r="G218" s="6"/>
      <c r="H218" s="6"/>
      <c r="I218" s="19"/>
      <c r="J218" s="6"/>
      <c r="K218" s="6"/>
      <c r="L218" s="19"/>
      <c r="M218" s="6"/>
      <c r="N218" s="6"/>
      <c r="O218" s="6"/>
      <c r="P218" s="6"/>
      <c r="Q218" s="6"/>
      <c r="R218" s="6"/>
      <c r="S218" s="6"/>
      <c r="T218" s="6"/>
      <c r="U218" s="6"/>
      <c r="V218" s="6"/>
      <c r="W218" s="6"/>
      <c r="X218" s="6"/>
      <c r="Y218" s="6"/>
      <c r="Z218" s="6"/>
      <c r="AA218" s="6"/>
      <c r="AB218" s="6"/>
      <c r="AC218" s="6"/>
      <c r="AD218" s="7"/>
    </row>
    <row r="219">
      <c r="A219" s="23"/>
      <c r="B219" s="23"/>
      <c r="C219" s="27"/>
      <c r="D219" s="19"/>
      <c r="E219" s="6"/>
      <c r="F219" s="6"/>
      <c r="G219" s="6"/>
      <c r="H219" s="6"/>
      <c r="I219" s="19"/>
      <c r="J219" s="6"/>
      <c r="K219" s="6"/>
      <c r="L219" s="19"/>
      <c r="M219" s="6"/>
      <c r="N219" s="6"/>
      <c r="O219" s="6"/>
      <c r="P219" s="6"/>
      <c r="Q219" s="6"/>
      <c r="R219" s="6"/>
      <c r="S219" s="6"/>
      <c r="T219" s="6"/>
      <c r="U219" s="6"/>
      <c r="V219" s="6"/>
      <c r="W219" s="6"/>
      <c r="X219" s="6"/>
      <c r="Y219" s="6"/>
      <c r="Z219" s="6"/>
      <c r="AA219" s="6"/>
      <c r="AB219" s="6"/>
      <c r="AC219" s="6"/>
      <c r="AD219" s="7"/>
    </row>
    <row r="220">
      <c r="A220" s="23"/>
      <c r="B220" s="23"/>
      <c r="C220" s="27"/>
      <c r="D220" s="19"/>
      <c r="E220" s="6"/>
      <c r="F220" s="6"/>
      <c r="G220" s="6"/>
      <c r="H220" s="6"/>
      <c r="I220" s="19"/>
      <c r="J220" s="6"/>
      <c r="K220" s="6"/>
      <c r="L220" s="19"/>
      <c r="M220" s="6"/>
      <c r="N220" s="6"/>
      <c r="O220" s="6"/>
      <c r="P220" s="6"/>
      <c r="Q220" s="6"/>
      <c r="R220" s="6"/>
      <c r="S220" s="6"/>
      <c r="T220" s="6"/>
      <c r="U220" s="6"/>
      <c r="V220" s="6"/>
      <c r="W220" s="6"/>
      <c r="X220" s="6"/>
      <c r="Y220" s="6"/>
      <c r="Z220" s="6"/>
      <c r="AA220" s="6"/>
      <c r="AB220" s="6"/>
      <c r="AC220" s="6"/>
      <c r="AD220" s="7"/>
    </row>
    <row r="221">
      <c r="A221" s="23"/>
      <c r="B221" s="23"/>
      <c r="C221" s="27"/>
      <c r="D221" s="19"/>
      <c r="E221" s="6"/>
      <c r="F221" s="6"/>
      <c r="G221" s="6"/>
      <c r="H221" s="6"/>
      <c r="I221" s="19"/>
      <c r="J221" s="6"/>
      <c r="K221" s="6"/>
      <c r="L221" s="19"/>
      <c r="M221" s="6"/>
      <c r="N221" s="6"/>
      <c r="O221" s="6"/>
      <c r="P221" s="6"/>
      <c r="Q221" s="6"/>
      <c r="R221" s="6"/>
      <c r="S221" s="6"/>
      <c r="T221" s="6"/>
      <c r="U221" s="6"/>
      <c r="V221" s="6"/>
      <c r="W221" s="6"/>
      <c r="X221" s="6"/>
      <c r="Y221" s="6"/>
      <c r="Z221" s="6"/>
      <c r="AA221" s="6"/>
      <c r="AB221" s="6"/>
      <c r="AC221" s="6"/>
      <c r="AD221" s="7"/>
    </row>
    <row r="222">
      <c r="A222" s="23"/>
      <c r="B222" s="23"/>
      <c r="C222" s="27"/>
      <c r="D222" s="19"/>
      <c r="E222" s="6"/>
      <c r="F222" s="6"/>
      <c r="G222" s="6"/>
      <c r="H222" s="6"/>
      <c r="I222" s="19"/>
      <c r="J222" s="6"/>
      <c r="K222" s="6"/>
      <c r="L222" s="19"/>
      <c r="M222" s="6"/>
      <c r="N222" s="6"/>
      <c r="O222" s="6"/>
      <c r="P222" s="6"/>
      <c r="Q222" s="6"/>
      <c r="R222" s="6"/>
      <c r="S222" s="6"/>
      <c r="T222" s="6"/>
      <c r="U222" s="6"/>
      <c r="V222" s="6"/>
      <c r="W222" s="6"/>
      <c r="X222" s="6"/>
      <c r="Y222" s="6"/>
      <c r="Z222" s="6"/>
      <c r="AA222" s="6"/>
      <c r="AB222" s="6"/>
      <c r="AC222" s="6"/>
      <c r="AD222" s="7"/>
    </row>
    <row r="223">
      <c r="A223" s="23"/>
      <c r="B223" s="23"/>
      <c r="C223" s="27"/>
      <c r="D223" s="19"/>
      <c r="E223" s="6"/>
      <c r="F223" s="6"/>
      <c r="G223" s="6"/>
      <c r="H223" s="6"/>
      <c r="I223" s="19"/>
      <c r="J223" s="6"/>
      <c r="K223" s="6"/>
      <c r="L223" s="19"/>
      <c r="M223" s="6"/>
      <c r="N223" s="6"/>
      <c r="O223" s="6"/>
      <c r="P223" s="6"/>
      <c r="Q223" s="6"/>
      <c r="R223" s="6"/>
      <c r="S223" s="6"/>
      <c r="T223" s="6"/>
      <c r="U223" s="6"/>
      <c r="V223" s="6"/>
      <c r="W223" s="6"/>
      <c r="X223" s="6"/>
      <c r="Y223" s="6"/>
      <c r="Z223" s="6"/>
      <c r="AA223" s="6"/>
      <c r="AB223" s="6"/>
      <c r="AC223" s="6"/>
      <c r="AD223" s="7"/>
    </row>
    <row r="224">
      <c r="A224" s="23"/>
      <c r="B224" s="23"/>
      <c r="C224" s="27"/>
      <c r="D224" s="19"/>
      <c r="E224" s="6"/>
      <c r="F224" s="6"/>
      <c r="G224" s="6"/>
      <c r="H224" s="6"/>
      <c r="I224" s="19"/>
      <c r="J224" s="6"/>
      <c r="K224" s="6"/>
      <c r="L224" s="19"/>
      <c r="M224" s="6"/>
      <c r="N224" s="6"/>
      <c r="O224" s="6"/>
      <c r="P224" s="6"/>
      <c r="Q224" s="6"/>
      <c r="R224" s="6"/>
      <c r="S224" s="6"/>
      <c r="T224" s="6"/>
      <c r="U224" s="6"/>
      <c r="V224" s="6"/>
      <c r="W224" s="6"/>
      <c r="X224" s="6"/>
      <c r="Y224" s="6"/>
      <c r="Z224" s="6"/>
      <c r="AA224" s="6"/>
      <c r="AB224" s="6"/>
      <c r="AC224" s="6"/>
      <c r="AD224" s="7"/>
    </row>
    <row r="225">
      <c r="A225" s="23"/>
      <c r="B225" s="23"/>
      <c r="C225" s="27"/>
      <c r="D225" s="19"/>
      <c r="E225" s="6"/>
      <c r="F225" s="6"/>
      <c r="G225" s="6"/>
      <c r="H225" s="6"/>
      <c r="I225" s="19"/>
      <c r="J225" s="6"/>
      <c r="K225" s="6"/>
      <c r="L225" s="19"/>
      <c r="M225" s="6"/>
      <c r="N225" s="6"/>
      <c r="O225" s="6"/>
      <c r="P225" s="6"/>
      <c r="Q225" s="6"/>
      <c r="R225" s="6"/>
      <c r="S225" s="6"/>
      <c r="T225" s="6"/>
      <c r="U225" s="6"/>
      <c r="V225" s="6"/>
      <c r="W225" s="6"/>
      <c r="X225" s="6"/>
      <c r="Y225" s="6"/>
      <c r="Z225" s="6"/>
      <c r="AA225" s="6"/>
      <c r="AB225" s="6"/>
      <c r="AC225" s="6"/>
      <c r="AD225" s="7"/>
    </row>
    <row r="226">
      <c r="A226" s="23"/>
      <c r="B226" s="23"/>
      <c r="C226" s="27"/>
      <c r="D226" s="19"/>
      <c r="E226" s="6"/>
      <c r="F226" s="6"/>
      <c r="G226" s="6"/>
      <c r="H226" s="6"/>
      <c r="I226" s="19"/>
      <c r="J226" s="6"/>
      <c r="K226" s="6"/>
      <c r="L226" s="19"/>
      <c r="M226" s="6"/>
      <c r="N226" s="6"/>
      <c r="O226" s="6"/>
      <c r="P226" s="6"/>
      <c r="Q226" s="6"/>
      <c r="R226" s="6"/>
      <c r="S226" s="6"/>
      <c r="T226" s="6"/>
      <c r="U226" s="6"/>
      <c r="V226" s="6"/>
      <c r="W226" s="6"/>
      <c r="X226" s="6"/>
      <c r="Y226" s="6"/>
      <c r="Z226" s="6"/>
      <c r="AA226" s="6"/>
      <c r="AB226" s="6"/>
      <c r="AC226" s="6"/>
      <c r="AD226" s="7"/>
    </row>
    <row r="227">
      <c r="A227" s="23"/>
      <c r="B227" s="23"/>
      <c r="C227" s="27"/>
      <c r="D227" s="19"/>
      <c r="E227" s="6"/>
      <c r="F227" s="6"/>
      <c r="G227" s="6"/>
      <c r="H227" s="6"/>
      <c r="I227" s="19"/>
      <c r="J227" s="6"/>
      <c r="K227" s="6"/>
      <c r="L227" s="19"/>
      <c r="M227" s="6"/>
      <c r="N227" s="6"/>
      <c r="O227" s="6"/>
      <c r="P227" s="6"/>
      <c r="Q227" s="6"/>
      <c r="R227" s="6"/>
      <c r="S227" s="6"/>
      <c r="T227" s="6"/>
      <c r="U227" s="6"/>
      <c r="V227" s="6"/>
      <c r="W227" s="6"/>
      <c r="X227" s="6"/>
      <c r="Y227" s="6"/>
      <c r="Z227" s="6"/>
      <c r="AA227" s="6"/>
      <c r="AB227" s="6"/>
      <c r="AC227" s="6"/>
      <c r="AD227" s="7"/>
    </row>
    <row r="228">
      <c r="A228" s="23"/>
      <c r="B228" s="23"/>
      <c r="C228" s="27"/>
      <c r="D228" s="19"/>
      <c r="E228" s="6"/>
      <c r="F228" s="6"/>
      <c r="G228" s="6"/>
      <c r="H228" s="6"/>
      <c r="I228" s="19"/>
      <c r="J228" s="6"/>
      <c r="K228" s="6"/>
      <c r="L228" s="19"/>
      <c r="M228" s="6"/>
      <c r="N228" s="6"/>
      <c r="O228" s="6"/>
      <c r="P228" s="6"/>
      <c r="Q228" s="6"/>
      <c r="R228" s="6"/>
      <c r="S228" s="6"/>
      <c r="T228" s="6"/>
      <c r="U228" s="6"/>
      <c r="V228" s="6"/>
      <c r="W228" s="6"/>
      <c r="X228" s="6"/>
      <c r="Y228" s="6"/>
      <c r="Z228" s="6"/>
      <c r="AA228" s="6"/>
      <c r="AB228" s="6"/>
      <c r="AC228" s="6"/>
      <c r="AD228" s="7"/>
    </row>
    <row r="229">
      <c r="A229" s="23"/>
      <c r="B229" s="23"/>
      <c r="C229" s="27"/>
      <c r="D229" s="19"/>
      <c r="E229" s="6"/>
      <c r="F229" s="6"/>
      <c r="G229" s="6"/>
      <c r="H229" s="6"/>
      <c r="I229" s="19"/>
      <c r="J229" s="6"/>
      <c r="K229" s="6"/>
      <c r="L229" s="19"/>
      <c r="M229" s="6"/>
      <c r="N229" s="6"/>
      <c r="O229" s="6"/>
      <c r="P229" s="6"/>
      <c r="Q229" s="6"/>
      <c r="R229" s="6"/>
      <c r="S229" s="6"/>
      <c r="T229" s="6"/>
      <c r="U229" s="6"/>
      <c r="V229" s="6"/>
      <c r="W229" s="6"/>
      <c r="X229" s="6"/>
      <c r="Y229" s="6"/>
      <c r="Z229" s="6"/>
      <c r="AA229" s="6"/>
      <c r="AB229" s="6"/>
      <c r="AC229" s="6"/>
      <c r="AD229" s="7"/>
    </row>
    <row r="230">
      <c r="A230" s="23"/>
      <c r="B230" s="23"/>
      <c r="C230" s="27"/>
      <c r="D230" s="19"/>
      <c r="E230" s="6"/>
      <c r="F230" s="6"/>
      <c r="G230" s="6"/>
      <c r="H230" s="6"/>
      <c r="I230" s="19"/>
      <c r="J230" s="6"/>
      <c r="K230" s="6"/>
      <c r="L230" s="19"/>
      <c r="M230" s="6"/>
      <c r="N230" s="6"/>
      <c r="O230" s="6"/>
      <c r="P230" s="6"/>
      <c r="Q230" s="6"/>
      <c r="R230" s="6"/>
      <c r="S230" s="6"/>
      <c r="T230" s="6"/>
      <c r="U230" s="6"/>
      <c r="V230" s="6"/>
      <c r="W230" s="6"/>
      <c r="X230" s="6"/>
      <c r="Y230" s="6"/>
      <c r="Z230" s="6"/>
      <c r="AA230" s="6"/>
      <c r="AB230" s="6"/>
      <c r="AC230" s="6"/>
      <c r="AD230" s="7"/>
    </row>
    <row r="231">
      <c r="A231" s="23"/>
      <c r="B231" s="23"/>
      <c r="C231" s="27"/>
      <c r="D231" s="19"/>
      <c r="E231" s="6"/>
      <c r="F231" s="6"/>
      <c r="G231" s="6"/>
      <c r="H231" s="6"/>
      <c r="I231" s="19"/>
      <c r="J231" s="6"/>
      <c r="K231" s="6"/>
      <c r="L231" s="19"/>
      <c r="M231" s="6"/>
      <c r="N231" s="6"/>
      <c r="O231" s="6"/>
      <c r="P231" s="6"/>
      <c r="Q231" s="6"/>
      <c r="R231" s="6"/>
      <c r="S231" s="6"/>
      <c r="T231" s="6"/>
      <c r="U231" s="6"/>
      <c r="V231" s="6"/>
      <c r="W231" s="6"/>
      <c r="X231" s="6"/>
      <c r="Y231" s="6"/>
      <c r="Z231" s="6"/>
      <c r="AA231" s="6"/>
      <c r="AB231" s="6"/>
      <c r="AC231" s="6"/>
      <c r="AD231" s="7"/>
    </row>
    <row r="232">
      <c r="A232" s="23"/>
      <c r="B232" s="23"/>
      <c r="C232" s="27"/>
      <c r="D232" s="19"/>
      <c r="E232" s="6"/>
      <c r="F232" s="6"/>
      <c r="G232" s="6"/>
      <c r="H232" s="6"/>
      <c r="I232" s="19"/>
      <c r="J232" s="6"/>
      <c r="K232" s="6"/>
      <c r="L232" s="19"/>
      <c r="M232" s="6"/>
      <c r="N232" s="6"/>
      <c r="O232" s="6"/>
      <c r="P232" s="6"/>
      <c r="Q232" s="6"/>
      <c r="R232" s="6"/>
      <c r="S232" s="6"/>
      <c r="T232" s="6"/>
      <c r="U232" s="6"/>
      <c r="V232" s="6"/>
      <c r="W232" s="6"/>
      <c r="X232" s="6"/>
      <c r="Y232" s="6"/>
      <c r="Z232" s="6"/>
      <c r="AA232" s="6"/>
      <c r="AB232" s="6"/>
      <c r="AC232" s="6"/>
      <c r="AD232" s="7"/>
    </row>
    <row r="233">
      <c r="A233" s="23"/>
      <c r="B233" s="23"/>
      <c r="C233" s="27"/>
      <c r="D233" s="19"/>
      <c r="E233" s="6"/>
      <c r="F233" s="6"/>
      <c r="G233" s="6"/>
      <c r="H233" s="6"/>
      <c r="I233" s="19"/>
      <c r="J233" s="6"/>
      <c r="K233" s="6"/>
      <c r="L233" s="19"/>
      <c r="M233" s="6"/>
      <c r="N233" s="6"/>
      <c r="O233" s="6"/>
      <c r="P233" s="6"/>
      <c r="Q233" s="6"/>
      <c r="R233" s="6"/>
      <c r="S233" s="6"/>
      <c r="T233" s="6"/>
      <c r="U233" s="6"/>
      <c r="V233" s="6"/>
      <c r="W233" s="6"/>
      <c r="X233" s="6"/>
      <c r="Y233" s="6"/>
      <c r="Z233" s="6"/>
      <c r="AA233" s="6"/>
      <c r="AB233" s="6"/>
      <c r="AC233" s="6"/>
      <c r="AD233" s="7"/>
    </row>
    <row r="234">
      <c r="A234" s="23"/>
      <c r="B234" s="23"/>
      <c r="C234" s="27"/>
      <c r="D234" s="19"/>
      <c r="E234" s="6"/>
      <c r="F234" s="6"/>
      <c r="G234" s="6"/>
      <c r="H234" s="6"/>
      <c r="I234" s="19"/>
      <c r="J234" s="6"/>
      <c r="K234" s="6"/>
      <c r="L234" s="19"/>
      <c r="M234" s="6"/>
      <c r="N234" s="6"/>
      <c r="O234" s="6"/>
      <c r="P234" s="6"/>
      <c r="Q234" s="6"/>
      <c r="R234" s="6"/>
      <c r="S234" s="6"/>
      <c r="T234" s="6"/>
      <c r="U234" s="6"/>
      <c r="V234" s="6"/>
      <c r="W234" s="6"/>
      <c r="X234" s="6"/>
      <c r="Y234" s="6"/>
      <c r="Z234" s="6"/>
      <c r="AA234" s="6"/>
      <c r="AB234" s="6"/>
      <c r="AC234" s="6"/>
      <c r="AD234" s="7"/>
    </row>
    <row r="235">
      <c r="A235" s="23"/>
      <c r="B235" s="23"/>
      <c r="C235" s="27"/>
      <c r="D235" s="19"/>
      <c r="E235" s="6"/>
      <c r="F235" s="6"/>
      <c r="G235" s="6"/>
      <c r="H235" s="6"/>
      <c r="I235" s="19"/>
      <c r="J235" s="6"/>
      <c r="K235" s="6"/>
      <c r="L235" s="19"/>
      <c r="M235" s="6"/>
      <c r="N235" s="6"/>
      <c r="O235" s="6"/>
      <c r="P235" s="6"/>
      <c r="Q235" s="6"/>
      <c r="R235" s="6"/>
      <c r="S235" s="6"/>
      <c r="T235" s="6"/>
      <c r="U235" s="6"/>
      <c r="V235" s="6"/>
      <c r="W235" s="6"/>
      <c r="X235" s="6"/>
      <c r="Y235" s="6"/>
      <c r="Z235" s="6"/>
      <c r="AA235" s="6"/>
      <c r="AB235" s="6"/>
      <c r="AC235" s="6"/>
      <c r="AD235" s="7"/>
    </row>
    <row r="236">
      <c r="A236" s="23"/>
      <c r="B236" s="23"/>
      <c r="C236" s="27"/>
      <c r="D236" s="19"/>
      <c r="E236" s="6"/>
      <c r="F236" s="6"/>
      <c r="G236" s="6"/>
      <c r="H236" s="6"/>
      <c r="I236" s="19"/>
      <c r="J236" s="6"/>
      <c r="K236" s="6"/>
      <c r="L236" s="19"/>
      <c r="M236" s="6"/>
      <c r="N236" s="6"/>
      <c r="O236" s="6"/>
      <c r="P236" s="6"/>
      <c r="Q236" s="6"/>
      <c r="R236" s="6"/>
      <c r="S236" s="6"/>
      <c r="T236" s="6"/>
      <c r="U236" s="6"/>
      <c r="V236" s="6"/>
      <c r="W236" s="6"/>
      <c r="X236" s="6"/>
      <c r="Y236" s="6"/>
      <c r="Z236" s="6"/>
      <c r="AA236" s="6"/>
      <c r="AB236" s="6"/>
      <c r="AC236" s="6"/>
      <c r="AD236" s="7"/>
    </row>
    <row r="237">
      <c r="A237" s="23"/>
      <c r="B237" s="23"/>
      <c r="C237" s="27"/>
      <c r="D237" s="19"/>
      <c r="E237" s="6"/>
      <c r="F237" s="6"/>
      <c r="G237" s="6"/>
      <c r="H237" s="6"/>
      <c r="I237" s="19"/>
      <c r="J237" s="6"/>
      <c r="K237" s="6"/>
      <c r="L237" s="19"/>
      <c r="M237" s="6"/>
      <c r="N237" s="6"/>
      <c r="O237" s="6"/>
      <c r="P237" s="6"/>
      <c r="Q237" s="6"/>
      <c r="R237" s="6"/>
      <c r="S237" s="6"/>
      <c r="T237" s="6"/>
      <c r="U237" s="6"/>
      <c r="V237" s="6"/>
      <c r="W237" s="6"/>
      <c r="X237" s="6"/>
      <c r="Y237" s="6"/>
      <c r="Z237" s="6"/>
      <c r="AA237" s="6"/>
      <c r="AB237" s="6"/>
      <c r="AC237" s="6"/>
      <c r="AD237" s="7"/>
    </row>
    <row r="238">
      <c r="A238" s="23"/>
      <c r="B238" s="23"/>
      <c r="C238" s="27"/>
      <c r="D238" s="19"/>
      <c r="E238" s="6"/>
      <c r="F238" s="6"/>
      <c r="G238" s="6"/>
      <c r="H238" s="6"/>
      <c r="I238" s="19"/>
      <c r="J238" s="6"/>
      <c r="K238" s="6"/>
      <c r="L238" s="19"/>
      <c r="M238" s="6"/>
      <c r="N238" s="6"/>
      <c r="O238" s="6"/>
      <c r="P238" s="6"/>
      <c r="Q238" s="6"/>
      <c r="R238" s="6"/>
      <c r="S238" s="6"/>
      <c r="T238" s="6"/>
      <c r="U238" s="6"/>
      <c r="V238" s="6"/>
      <c r="W238" s="6"/>
      <c r="X238" s="6"/>
      <c r="Y238" s="6"/>
      <c r="Z238" s="6"/>
      <c r="AA238" s="6"/>
      <c r="AB238" s="6"/>
      <c r="AC238" s="6"/>
      <c r="AD238" s="7"/>
    </row>
    <row r="239">
      <c r="A239" s="23"/>
      <c r="B239" s="23"/>
      <c r="C239" s="27"/>
      <c r="D239" s="19"/>
      <c r="E239" s="6"/>
      <c r="F239" s="6"/>
      <c r="G239" s="6"/>
      <c r="H239" s="6"/>
      <c r="I239" s="19"/>
      <c r="J239" s="6"/>
      <c r="K239" s="6"/>
      <c r="L239" s="19"/>
      <c r="M239" s="6"/>
      <c r="N239" s="6"/>
      <c r="O239" s="6"/>
      <c r="P239" s="6"/>
      <c r="Q239" s="6"/>
      <c r="R239" s="6"/>
      <c r="S239" s="6"/>
      <c r="T239" s="6"/>
      <c r="U239" s="6"/>
      <c r="V239" s="6"/>
      <c r="W239" s="6"/>
      <c r="X239" s="6"/>
      <c r="Y239" s="6"/>
      <c r="Z239" s="6"/>
      <c r="AA239" s="6"/>
      <c r="AB239" s="6"/>
      <c r="AC239" s="6"/>
      <c r="AD239" s="7"/>
    </row>
    <row r="240">
      <c r="A240" s="23"/>
      <c r="B240" s="23"/>
      <c r="C240" s="27"/>
      <c r="D240" s="19"/>
      <c r="E240" s="6"/>
      <c r="F240" s="6"/>
      <c r="G240" s="6"/>
      <c r="H240" s="6"/>
      <c r="I240" s="19"/>
      <c r="J240" s="6"/>
      <c r="K240" s="6"/>
      <c r="L240" s="19"/>
      <c r="M240" s="6"/>
      <c r="N240" s="6"/>
      <c r="O240" s="6"/>
      <c r="P240" s="6"/>
      <c r="Q240" s="6"/>
      <c r="R240" s="6"/>
      <c r="S240" s="6"/>
      <c r="T240" s="6"/>
      <c r="U240" s="6"/>
      <c r="V240" s="6"/>
      <c r="W240" s="6"/>
      <c r="X240" s="6"/>
      <c r="Y240" s="6"/>
      <c r="Z240" s="6"/>
      <c r="AA240" s="6"/>
      <c r="AB240" s="6"/>
      <c r="AC240" s="6"/>
      <c r="AD240" s="7"/>
    </row>
    <row r="241">
      <c r="A241" s="23"/>
      <c r="B241" s="23"/>
      <c r="C241" s="27"/>
      <c r="D241" s="19"/>
      <c r="E241" s="6"/>
      <c r="F241" s="6"/>
      <c r="G241" s="6"/>
      <c r="H241" s="6"/>
      <c r="I241" s="19"/>
      <c r="J241" s="6"/>
      <c r="K241" s="6"/>
      <c r="L241" s="19"/>
      <c r="M241" s="6"/>
      <c r="N241" s="6"/>
      <c r="O241" s="6"/>
      <c r="P241" s="6"/>
      <c r="Q241" s="6"/>
      <c r="R241" s="6"/>
      <c r="S241" s="6"/>
      <c r="T241" s="6"/>
      <c r="U241" s="6"/>
      <c r="V241" s="6"/>
      <c r="W241" s="6"/>
      <c r="X241" s="6"/>
      <c r="Y241" s="6"/>
      <c r="Z241" s="6"/>
      <c r="AA241" s="6"/>
      <c r="AB241" s="6"/>
      <c r="AC241" s="6"/>
      <c r="AD241" s="7"/>
    </row>
    <row r="242">
      <c r="A242" s="23"/>
      <c r="B242" s="23"/>
      <c r="C242" s="27"/>
      <c r="D242" s="19"/>
      <c r="E242" s="6"/>
      <c r="F242" s="6"/>
      <c r="G242" s="6"/>
      <c r="H242" s="6"/>
      <c r="I242" s="19"/>
      <c r="J242" s="6"/>
      <c r="K242" s="6"/>
      <c r="L242" s="19"/>
      <c r="M242" s="6"/>
      <c r="N242" s="6"/>
      <c r="O242" s="6"/>
      <c r="P242" s="6"/>
      <c r="Q242" s="6"/>
      <c r="R242" s="6"/>
      <c r="S242" s="6"/>
      <c r="T242" s="6"/>
      <c r="U242" s="6"/>
      <c r="V242" s="6"/>
      <c r="W242" s="6"/>
      <c r="X242" s="6"/>
      <c r="Y242" s="6"/>
      <c r="Z242" s="6"/>
      <c r="AA242" s="6"/>
      <c r="AB242" s="6"/>
      <c r="AC242" s="6"/>
      <c r="AD242" s="7"/>
    </row>
    <row r="243">
      <c r="A243" s="23"/>
      <c r="B243" s="23"/>
      <c r="C243" s="27"/>
      <c r="D243" s="19"/>
      <c r="E243" s="6"/>
      <c r="F243" s="6"/>
      <c r="G243" s="6"/>
      <c r="H243" s="6"/>
      <c r="I243" s="19"/>
      <c r="J243" s="6"/>
      <c r="K243" s="6"/>
      <c r="L243" s="19"/>
      <c r="M243" s="6"/>
      <c r="N243" s="6"/>
      <c r="O243" s="6"/>
      <c r="P243" s="6"/>
      <c r="Q243" s="6"/>
      <c r="R243" s="6"/>
      <c r="S243" s="6"/>
      <c r="T243" s="6"/>
      <c r="U243" s="6"/>
      <c r="V243" s="6"/>
      <c r="W243" s="6"/>
      <c r="X243" s="6"/>
      <c r="Y243" s="6"/>
      <c r="Z243" s="6"/>
      <c r="AA243" s="6"/>
      <c r="AB243" s="6"/>
      <c r="AC243" s="6"/>
      <c r="AD243" s="7"/>
    </row>
    <row r="244">
      <c r="A244" s="23"/>
      <c r="B244" s="23"/>
      <c r="C244" s="27"/>
      <c r="D244" s="19"/>
      <c r="E244" s="6"/>
      <c r="F244" s="6"/>
      <c r="G244" s="6"/>
      <c r="H244" s="6"/>
      <c r="I244" s="19"/>
      <c r="J244" s="6"/>
      <c r="K244" s="6"/>
      <c r="L244" s="19"/>
      <c r="M244" s="6"/>
      <c r="N244" s="6"/>
      <c r="O244" s="6"/>
      <c r="P244" s="6"/>
      <c r="Q244" s="6"/>
      <c r="R244" s="6"/>
      <c r="S244" s="6"/>
      <c r="T244" s="6"/>
      <c r="U244" s="6"/>
      <c r="V244" s="6"/>
      <c r="W244" s="6"/>
      <c r="X244" s="6"/>
      <c r="Y244" s="6"/>
      <c r="Z244" s="6"/>
      <c r="AA244" s="6"/>
      <c r="AB244" s="6"/>
      <c r="AC244" s="6"/>
      <c r="AD244" s="7"/>
    </row>
    <row r="245">
      <c r="A245" s="23"/>
      <c r="B245" s="23"/>
      <c r="C245" s="27"/>
      <c r="D245" s="19"/>
      <c r="E245" s="6"/>
      <c r="F245" s="6"/>
      <c r="G245" s="6"/>
      <c r="H245" s="6"/>
      <c r="I245" s="19"/>
      <c r="J245" s="6"/>
      <c r="K245" s="6"/>
      <c r="L245" s="19"/>
      <c r="M245" s="6"/>
      <c r="N245" s="6"/>
      <c r="O245" s="6"/>
      <c r="P245" s="6"/>
      <c r="Q245" s="6"/>
      <c r="R245" s="6"/>
      <c r="S245" s="6"/>
      <c r="T245" s="6"/>
      <c r="U245" s="6"/>
      <c r="V245" s="6"/>
      <c r="W245" s="6"/>
      <c r="X245" s="6"/>
      <c r="Y245" s="6"/>
      <c r="Z245" s="6"/>
      <c r="AA245" s="6"/>
      <c r="AB245" s="6"/>
      <c r="AC245" s="6"/>
      <c r="AD245" s="7"/>
    </row>
    <row r="246">
      <c r="A246" s="23"/>
      <c r="B246" s="23"/>
      <c r="C246" s="27"/>
      <c r="D246" s="19"/>
      <c r="E246" s="6"/>
      <c r="F246" s="6"/>
      <c r="G246" s="6"/>
      <c r="H246" s="6"/>
      <c r="I246" s="19"/>
      <c r="J246" s="6"/>
      <c r="K246" s="6"/>
      <c r="L246" s="19"/>
      <c r="M246" s="6"/>
      <c r="N246" s="6"/>
      <c r="O246" s="6"/>
      <c r="P246" s="6"/>
      <c r="Q246" s="6"/>
      <c r="R246" s="6"/>
      <c r="S246" s="6"/>
      <c r="T246" s="6"/>
      <c r="U246" s="6"/>
      <c r="V246" s="6"/>
      <c r="W246" s="6"/>
      <c r="X246" s="6"/>
      <c r="Y246" s="6"/>
      <c r="Z246" s="6"/>
      <c r="AA246" s="6"/>
      <c r="AB246" s="6"/>
      <c r="AC246" s="6"/>
      <c r="AD246" s="7"/>
    </row>
    <row r="247">
      <c r="A247" s="23"/>
      <c r="B247" s="23"/>
      <c r="C247" s="27"/>
      <c r="D247" s="19"/>
      <c r="E247" s="6"/>
      <c r="F247" s="6"/>
      <c r="G247" s="6"/>
      <c r="H247" s="6"/>
      <c r="I247" s="19"/>
      <c r="J247" s="6"/>
      <c r="K247" s="6"/>
      <c r="L247" s="19"/>
      <c r="M247" s="6"/>
      <c r="N247" s="6"/>
      <c r="O247" s="6"/>
      <c r="P247" s="6"/>
      <c r="Q247" s="6"/>
      <c r="R247" s="6"/>
      <c r="S247" s="6"/>
      <c r="T247" s="6"/>
      <c r="U247" s="6"/>
      <c r="V247" s="6"/>
      <c r="W247" s="6"/>
      <c r="X247" s="6"/>
      <c r="Y247" s="6"/>
      <c r="Z247" s="6"/>
      <c r="AA247" s="6"/>
      <c r="AB247" s="6"/>
      <c r="AC247" s="6"/>
      <c r="AD247" s="7"/>
    </row>
    <row r="248">
      <c r="A248" s="23"/>
      <c r="B248" s="23"/>
      <c r="C248" s="27"/>
      <c r="D248" s="19"/>
      <c r="E248" s="6"/>
      <c r="F248" s="6"/>
      <c r="G248" s="6"/>
      <c r="H248" s="6"/>
      <c r="I248" s="19"/>
      <c r="J248" s="6"/>
      <c r="K248" s="6"/>
      <c r="L248" s="19"/>
      <c r="M248" s="6"/>
      <c r="N248" s="6"/>
      <c r="O248" s="6"/>
      <c r="P248" s="6"/>
      <c r="Q248" s="6"/>
      <c r="R248" s="6"/>
      <c r="S248" s="6"/>
      <c r="T248" s="6"/>
      <c r="U248" s="6"/>
      <c r="V248" s="6"/>
      <c r="W248" s="6"/>
      <c r="X248" s="6"/>
      <c r="Y248" s="6"/>
      <c r="Z248" s="6"/>
      <c r="AA248" s="6"/>
      <c r="AB248" s="6"/>
      <c r="AC248" s="6"/>
      <c r="AD248" s="7"/>
    </row>
    <row r="249">
      <c r="A249" s="23"/>
      <c r="B249" s="23"/>
      <c r="C249" s="27"/>
      <c r="D249" s="19"/>
      <c r="E249" s="6"/>
      <c r="F249" s="6"/>
      <c r="G249" s="6"/>
      <c r="H249" s="6"/>
      <c r="I249" s="19"/>
      <c r="J249" s="6"/>
      <c r="K249" s="6"/>
      <c r="L249" s="19"/>
      <c r="M249" s="6"/>
      <c r="N249" s="6"/>
      <c r="O249" s="6"/>
      <c r="P249" s="6"/>
      <c r="Q249" s="6"/>
      <c r="R249" s="6"/>
      <c r="S249" s="6"/>
      <c r="T249" s="6"/>
      <c r="U249" s="6"/>
      <c r="V249" s="6"/>
      <c r="W249" s="6"/>
      <c r="X249" s="6"/>
      <c r="Y249" s="6"/>
      <c r="Z249" s="6"/>
      <c r="AA249" s="6"/>
      <c r="AB249" s="6"/>
      <c r="AC249" s="6"/>
      <c r="AD249" s="7"/>
    </row>
    <row r="250">
      <c r="A250" s="23"/>
      <c r="B250" s="23"/>
      <c r="C250" s="27"/>
      <c r="D250" s="19"/>
      <c r="E250" s="6"/>
      <c r="F250" s="6"/>
      <c r="G250" s="6"/>
      <c r="H250" s="6"/>
      <c r="I250" s="19"/>
      <c r="J250" s="6"/>
      <c r="K250" s="6"/>
      <c r="L250" s="19"/>
      <c r="M250" s="6"/>
      <c r="N250" s="6"/>
      <c r="O250" s="6"/>
      <c r="P250" s="6"/>
      <c r="Q250" s="6"/>
      <c r="R250" s="6"/>
      <c r="S250" s="6"/>
      <c r="T250" s="6"/>
      <c r="U250" s="6"/>
      <c r="V250" s="6"/>
      <c r="W250" s="6"/>
      <c r="X250" s="6"/>
      <c r="Y250" s="6"/>
      <c r="Z250" s="6"/>
      <c r="AA250" s="6"/>
      <c r="AB250" s="6"/>
      <c r="AC250" s="6"/>
      <c r="AD250" s="7"/>
    </row>
    <row r="251">
      <c r="A251" s="23"/>
      <c r="B251" s="23"/>
      <c r="C251" s="27"/>
      <c r="D251" s="19"/>
      <c r="E251" s="6"/>
      <c r="F251" s="6"/>
      <c r="G251" s="6"/>
      <c r="H251" s="6"/>
      <c r="I251" s="19"/>
      <c r="J251" s="6"/>
      <c r="K251" s="6"/>
      <c r="L251" s="19"/>
      <c r="M251" s="6"/>
      <c r="N251" s="6"/>
      <c r="O251" s="6"/>
      <c r="P251" s="6"/>
      <c r="Q251" s="6"/>
      <c r="R251" s="6"/>
      <c r="S251" s="6"/>
      <c r="T251" s="6"/>
      <c r="U251" s="6"/>
      <c r="V251" s="6"/>
      <c r="W251" s="6"/>
      <c r="X251" s="6"/>
      <c r="Y251" s="6"/>
      <c r="Z251" s="6"/>
      <c r="AA251" s="6"/>
      <c r="AB251" s="6"/>
      <c r="AC251" s="6"/>
      <c r="AD251" s="7"/>
    </row>
    <row r="252">
      <c r="A252" s="23"/>
      <c r="B252" s="23"/>
      <c r="C252" s="27"/>
      <c r="D252" s="19"/>
      <c r="E252" s="6"/>
      <c r="F252" s="6"/>
      <c r="G252" s="6"/>
      <c r="H252" s="6"/>
      <c r="I252" s="19"/>
      <c r="J252" s="6"/>
      <c r="K252" s="6"/>
      <c r="L252" s="19"/>
      <c r="M252" s="6"/>
      <c r="N252" s="6"/>
      <c r="O252" s="6"/>
      <c r="P252" s="6"/>
      <c r="Q252" s="6"/>
      <c r="R252" s="6"/>
      <c r="S252" s="6"/>
      <c r="T252" s="6"/>
      <c r="U252" s="6"/>
      <c r="V252" s="6"/>
      <c r="W252" s="6"/>
      <c r="X252" s="6"/>
      <c r="Y252" s="6"/>
      <c r="Z252" s="6"/>
      <c r="AA252" s="6"/>
      <c r="AB252" s="6"/>
      <c r="AC252" s="6"/>
      <c r="AD252" s="7"/>
    </row>
    <row r="253">
      <c r="A253" s="23"/>
      <c r="B253" s="23"/>
      <c r="C253" s="27"/>
      <c r="D253" s="19"/>
      <c r="E253" s="6"/>
      <c r="F253" s="6"/>
      <c r="G253" s="6"/>
      <c r="H253" s="6"/>
      <c r="I253" s="19"/>
      <c r="J253" s="6"/>
      <c r="K253" s="6"/>
      <c r="L253" s="19"/>
      <c r="M253" s="6"/>
      <c r="N253" s="6"/>
      <c r="O253" s="6"/>
      <c r="P253" s="6"/>
      <c r="Q253" s="6"/>
      <c r="R253" s="6"/>
      <c r="S253" s="6"/>
      <c r="T253" s="6"/>
      <c r="U253" s="6"/>
      <c r="V253" s="6"/>
      <c r="W253" s="6"/>
      <c r="X253" s="6"/>
      <c r="Y253" s="6"/>
      <c r="Z253" s="6"/>
      <c r="AA253" s="6"/>
      <c r="AB253" s="6"/>
      <c r="AC253" s="6"/>
      <c r="AD253" s="7"/>
    </row>
    <row r="254">
      <c r="A254" s="23"/>
      <c r="B254" s="23"/>
      <c r="C254" s="27"/>
      <c r="D254" s="19"/>
      <c r="E254" s="6"/>
      <c r="F254" s="6"/>
      <c r="G254" s="6"/>
      <c r="H254" s="6"/>
      <c r="I254" s="19"/>
      <c r="J254" s="6"/>
      <c r="K254" s="6"/>
      <c r="L254" s="19"/>
      <c r="M254" s="6"/>
      <c r="N254" s="6"/>
      <c r="O254" s="6"/>
      <c r="P254" s="6"/>
      <c r="Q254" s="6"/>
      <c r="R254" s="6"/>
      <c r="S254" s="6"/>
      <c r="T254" s="6"/>
      <c r="U254" s="6"/>
      <c r="V254" s="6"/>
      <c r="W254" s="6"/>
      <c r="X254" s="6"/>
      <c r="Y254" s="6"/>
      <c r="Z254" s="6"/>
      <c r="AA254" s="6"/>
      <c r="AB254" s="6"/>
      <c r="AC254" s="6"/>
      <c r="AD254" s="7"/>
    </row>
    <row r="255">
      <c r="A255" s="23"/>
      <c r="B255" s="23"/>
      <c r="C255" s="27"/>
      <c r="D255" s="19"/>
      <c r="E255" s="6"/>
      <c r="F255" s="6"/>
      <c r="G255" s="6"/>
      <c r="H255" s="6"/>
      <c r="I255" s="19"/>
      <c r="J255" s="6"/>
      <c r="K255" s="6"/>
      <c r="L255" s="19"/>
      <c r="M255" s="6"/>
      <c r="N255" s="6"/>
      <c r="O255" s="6"/>
      <c r="P255" s="6"/>
      <c r="Q255" s="6"/>
      <c r="R255" s="6"/>
      <c r="S255" s="6"/>
      <c r="T255" s="6"/>
      <c r="U255" s="6"/>
      <c r="V255" s="6"/>
      <c r="W255" s="6"/>
      <c r="X255" s="6"/>
      <c r="Y255" s="6"/>
      <c r="Z255" s="6"/>
      <c r="AA255" s="6"/>
      <c r="AB255" s="6"/>
      <c r="AC255" s="6"/>
      <c r="AD255" s="7"/>
    </row>
    <row r="256">
      <c r="A256" s="23"/>
      <c r="B256" s="23"/>
      <c r="C256" s="27"/>
      <c r="D256" s="19"/>
      <c r="E256" s="6"/>
      <c r="F256" s="6"/>
      <c r="G256" s="6"/>
      <c r="H256" s="6"/>
      <c r="I256" s="19"/>
      <c r="J256" s="6"/>
      <c r="K256" s="6"/>
      <c r="L256" s="19"/>
      <c r="M256" s="6"/>
      <c r="N256" s="6"/>
      <c r="O256" s="6"/>
      <c r="P256" s="6"/>
      <c r="Q256" s="6"/>
      <c r="R256" s="6"/>
      <c r="S256" s="6"/>
      <c r="T256" s="6"/>
      <c r="U256" s="6"/>
      <c r="V256" s="6"/>
      <c r="W256" s="6"/>
      <c r="X256" s="6"/>
      <c r="Y256" s="6"/>
      <c r="Z256" s="6"/>
      <c r="AA256" s="6"/>
      <c r="AB256" s="6"/>
      <c r="AC256" s="6"/>
      <c r="AD256" s="7"/>
    </row>
    <row r="257">
      <c r="A257" s="23"/>
      <c r="B257" s="23"/>
      <c r="C257" s="27"/>
      <c r="D257" s="19"/>
      <c r="E257" s="6"/>
      <c r="F257" s="6"/>
      <c r="G257" s="6"/>
      <c r="H257" s="6"/>
      <c r="I257" s="19"/>
      <c r="J257" s="6"/>
      <c r="K257" s="6"/>
      <c r="L257" s="19"/>
      <c r="M257" s="6"/>
      <c r="N257" s="6"/>
      <c r="O257" s="6"/>
      <c r="P257" s="6"/>
      <c r="Q257" s="6"/>
      <c r="R257" s="6"/>
      <c r="S257" s="6"/>
      <c r="T257" s="6"/>
      <c r="U257" s="6"/>
      <c r="V257" s="6"/>
      <c r="W257" s="6"/>
      <c r="X257" s="6"/>
      <c r="Y257" s="6"/>
      <c r="Z257" s="6"/>
      <c r="AA257" s="6"/>
      <c r="AB257" s="6"/>
      <c r="AC257" s="6"/>
      <c r="AD257" s="7"/>
    </row>
    <row r="258">
      <c r="A258" s="23"/>
      <c r="B258" s="23"/>
      <c r="C258" s="27"/>
      <c r="D258" s="19"/>
      <c r="E258" s="6"/>
      <c r="F258" s="6"/>
      <c r="G258" s="6"/>
      <c r="H258" s="6"/>
      <c r="I258" s="19"/>
      <c r="J258" s="6"/>
      <c r="K258" s="6"/>
      <c r="L258" s="19"/>
      <c r="M258" s="6"/>
      <c r="N258" s="6"/>
      <c r="O258" s="6"/>
      <c r="P258" s="6"/>
      <c r="Q258" s="6"/>
      <c r="R258" s="6"/>
      <c r="S258" s="6"/>
      <c r="T258" s="6"/>
      <c r="U258" s="6"/>
      <c r="V258" s="6"/>
      <c r="W258" s="6"/>
      <c r="X258" s="6"/>
      <c r="Y258" s="6"/>
      <c r="Z258" s="6"/>
      <c r="AA258" s="6"/>
      <c r="AB258" s="6"/>
      <c r="AC258" s="6"/>
      <c r="AD258" s="7"/>
    </row>
    <row r="259">
      <c r="A259" s="23"/>
      <c r="B259" s="23"/>
      <c r="C259" s="27"/>
      <c r="D259" s="19"/>
      <c r="E259" s="6"/>
      <c r="F259" s="6"/>
      <c r="G259" s="6"/>
      <c r="H259" s="6"/>
      <c r="I259" s="19"/>
      <c r="J259" s="6"/>
      <c r="K259" s="6"/>
      <c r="L259" s="19"/>
      <c r="M259" s="6"/>
      <c r="N259" s="6"/>
      <c r="O259" s="6"/>
      <c r="P259" s="6"/>
      <c r="Q259" s="6"/>
      <c r="R259" s="6"/>
      <c r="S259" s="6"/>
      <c r="T259" s="6"/>
      <c r="U259" s="6"/>
      <c r="V259" s="6"/>
      <c r="W259" s="6"/>
      <c r="X259" s="6"/>
      <c r="Y259" s="6"/>
      <c r="Z259" s="6"/>
      <c r="AA259" s="6"/>
      <c r="AB259" s="6"/>
      <c r="AC259" s="6"/>
      <c r="AD259" s="7"/>
    </row>
    <row r="260">
      <c r="A260" s="23"/>
      <c r="B260" s="23"/>
      <c r="C260" s="27"/>
      <c r="D260" s="19"/>
      <c r="E260" s="6"/>
      <c r="F260" s="6"/>
      <c r="G260" s="6"/>
      <c r="H260" s="6"/>
      <c r="I260" s="19"/>
      <c r="J260" s="6"/>
      <c r="K260" s="6"/>
      <c r="L260" s="19"/>
      <c r="M260" s="6"/>
      <c r="N260" s="6"/>
      <c r="O260" s="6"/>
      <c r="P260" s="6"/>
      <c r="Q260" s="6"/>
      <c r="R260" s="6"/>
      <c r="S260" s="6"/>
      <c r="T260" s="6"/>
      <c r="U260" s="6"/>
      <c r="V260" s="6"/>
      <c r="W260" s="6"/>
      <c r="X260" s="6"/>
      <c r="Y260" s="6"/>
      <c r="Z260" s="6"/>
      <c r="AA260" s="6"/>
      <c r="AB260" s="6"/>
      <c r="AC260" s="6"/>
      <c r="AD260" s="7"/>
    </row>
    <row r="261">
      <c r="A261" s="23"/>
      <c r="B261" s="23"/>
      <c r="C261" s="27"/>
      <c r="D261" s="19"/>
      <c r="E261" s="6"/>
      <c r="F261" s="6"/>
      <c r="G261" s="6"/>
      <c r="H261" s="6"/>
      <c r="I261" s="19"/>
      <c r="J261" s="6"/>
      <c r="K261" s="6"/>
      <c r="L261" s="19"/>
      <c r="M261" s="6"/>
      <c r="N261" s="6"/>
      <c r="O261" s="6"/>
      <c r="P261" s="6"/>
      <c r="Q261" s="6"/>
      <c r="R261" s="6"/>
      <c r="S261" s="6"/>
      <c r="T261" s="6"/>
      <c r="U261" s="6"/>
      <c r="V261" s="6"/>
      <c r="W261" s="6"/>
      <c r="X261" s="6"/>
      <c r="Y261" s="6"/>
      <c r="Z261" s="6"/>
      <c r="AA261" s="6"/>
      <c r="AB261" s="6"/>
      <c r="AC261" s="6"/>
      <c r="AD261" s="7"/>
    </row>
    <row r="262">
      <c r="A262" s="23"/>
      <c r="B262" s="23"/>
      <c r="C262" s="27"/>
      <c r="D262" s="19"/>
      <c r="E262" s="6"/>
      <c r="F262" s="6"/>
      <c r="G262" s="6"/>
      <c r="H262" s="6"/>
      <c r="I262" s="19"/>
      <c r="J262" s="6"/>
      <c r="K262" s="6"/>
      <c r="L262" s="19"/>
      <c r="M262" s="6"/>
      <c r="N262" s="6"/>
      <c r="O262" s="6"/>
      <c r="P262" s="6"/>
      <c r="Q262" s="6"/>
      <c r="R262" s="6"/>
      <c r="S262" s="6"/>
      <c r="T262" s="6"/>
      <c r="U262" s="6"/>
      <c r="V262" s="6"/>
      <c r="W262" s="6"/>
      <c r="X262" s="6"/>
      <c r="Y262" s="6"/>
      <c r="Z262" s="6"/>
      <c r="AA262" s="6"/>
      <c r="AB262" s="6"/>
      <c r="AC262" s="6"/>
      <c r="AD262" s="7"/>
    </row>
    <row r="263">
      <c r="A263" s="23"/>
      <c r="B263" s="23"/>
      <c r="C263" s="27"/>
      <c r="D263" s="19"/>
      <c r="E263" s="6"/>
      <c r="F263" s="6"/>
      <c r="G263" s="6"/>
      <c r="H263" s="6"/>
      <c r="I263" s="19"/>
      <c r="J263" s="6"/>
      <c r="K263" s="6"/>
      <c r="L263" s="19"/>
      <c r="M263" s="6"/>
      <c r="N263" s="6"/>
      <c r="O263" s="6"/>
      <c r="P263" s="6"/>
      <c r="Q263" s="6"/>
      <c r="R263" s="6"/>
      <c r="S263" s="6"/>
      <c r="T263" s="6"/>
      <c r="U263" s="6"/>
      <c r="V263" s="6"/>
      <c r="W263" s="6"/>
      <c r="X263" s="6"/>
      <c r="Y263" s="6"/>
      <c r="Z263" s="6"/>
      <c r="AA263" s="6"/>
      <c r="AB263" s="6"/>
      <c r="AC263" s="6"/>
      <c r="AD263" s="7"/>
    </row>
    <row r="264">
      <c r="A264" s="23"/>
      <c r="B264" s="23"/>
      <c r="C264" s="27"/>
      <c r="D264" s="19"/>
      <c r="E264" s="6"/>
      <c r="F264" s="6"/>
      <c r="G264" s="6"/>
      <c r="H264" s="6"/>
      <c r="I264" s="19"/>
      <c r="J264" s="6"/>
      <c r="K264" s="6"/>
      <c r="L264" s="19"/>
      <c r="M264" s="6"/>
      <c r="N264" s="6"/>
      <c r="O264" s="6"/>
      <c r="P264" s="6"/>
      <c r="Q264" s="6"/>
      <c r="R264" s="6"/>
      <c r="S264" s="6"/>
      <c r="T264" s="6"/>
      <c r="U264" s="6"/>
      <c r="V264" s="6"/>
      <c r="W264" s="6"/>
      <c r="X264" s="6"/>
      <c r="Y264" s="6"/>
      <c r="Z264" s="6"/>
      <c r="AA264" s="6"/>
      <c r="AB264" s="6"/>
      <c r="AC264" s="6"/>
      <c r="AD264" s="7"/>
    </row>
    <row r="265">
      <c r="A265" s="23"/>
      <c r="B265" s="23"/>
      <c r="C265" s="27"/>
      <c r="D265" s="19"/>
      <c r="E265" s="6"/>
      <c r="F265" s="6"/>
      <c r="G265" s="6"/>
      <c r="H265" s="6"/>
      <c r="I265" s="19"/>
      <c r="J265" s="6"/>
      <c r="K265" s="6"/>
      <c r="L265" s="19"/>
      <c r="M265" s="6"/>
      <c r="N265" s="6"/>
      <c r="O265" s="6"/>
      <c r="P265" s="6"/>
      <c r="Q265" s="6"/>
      <c r="R265" s="6"/>
      <c r="S265" s="6"/>
      <c r="T265" s="6"/>
      <c r="U265" s="6"/>
      <c r="V265" s="6"/>
      <c r="W265" s="6"/>
      <c r="X265" s="6"/>
      <c r="Y265" s="6"/>
      <c r="Z265" s="6"/>
      <c r="AA265" s="6"/>
      <c r="AB265" s="6"/>
      <c r="AC265" s="6"/>
      <c r="AD265" s="7"/>
    </row>
    <row r="266">
      <c r="A266" s="23"/>
      <c r="B266" s="23"/>
      <c r="C266" s="27"/>
      <c r="D266" s="19"/>
      <c r="E266" s="6"/>
      <c r="F266" s="6"/>
      <c r="G266" s="6"/>
      <c r="H266" s="6"/>
      <c r="I266" s="19"/>
      <c r="J266" s="6"/>
      <c r="K266" s="6"/>
      <c r="L266" s="19"/>
      <c r="M266" s="6"/>
      <c r="N266" s="6"/>
      <c r="O266" s="6"/>
      <c r="P266" s="6"/>
      <c r="Q266" s="6"/>
      <c r="R266" s="6"/>
      <c r="S266" s="6"/>
      <c r="T266" s="6"/>
      <c r="U266" s="6"/>
      <c r="V266" s="6"/>
      <c r="W266" s="6"/>
      <c r="X266" s="6"/>
      <c r="Y266" s="6"/>
      <c r="Z266" s="6"/>
      <c r="AA266" s="6"/>
      <c r="AB266" s="6"/>
      <c r="AC266" s="6"/>
      <c r="AD266" s="7"/>
    </row>
    <row r="267">
      <c r="A267" s="23"/>
      <c r="B267" s="23"/>
      <c r="C267" s="27"/>
      <c r="D267" s="19"/>
      <c r="E267" s="6"/>
      <c r="F267" s="6"/>
      <c r="G267" s="6"/>
      <c r="H267" s="6"/>
      <c r="I267" s="19"/>
      <c r="J267" s="6"/>
      <c r="K267" s="6"/>
      <c r="L267" s="19"/>
      <c r="M267" s="6"/>
      <c r="N267" s="6"/>
      <c r="O267" s="6"/>
      <c r="P267" s="6"/>
      <c r="Q267" s="6"/>
      <c r="R267" s="6"/>
      <c r="S267" s="6"/>
      <c r="T267" s="6"/>
      <c r="U267" s="6"/>
      <c r="V267" s="6"/>
      <c r="W267" s="6"/>
      <c r="X267" s="6"/>
      <c r="Y267" s="6"/>
      <c r="Z267" s="6"/>
      <c r="AA267" s="6"/>
      <c r="AB267" s="6"/>
      <c r="AC267" s="6"/>
      <c r="AD267" s="7"/>
    </row>
    <row r="268">
      <c r="A268" s="23"/>
      <c r="B268" s="23"/>
      <c r="C268" s="27"/>
      <c r="D268" s="19"/>
      <c r="E268" s="6"/>
      <c r="F268" s="6"/>
      <c r="G268" s="6"/>
      <c r="H268" s="6"/>
      <c r="I268" s="19"/>
      <c r="J268" s="6"/>
      <c r="K268" s="6"/>
      <c r="L268" s="19"/>
      <c r="M268" s="6"/>
      <c r="N268" s="6"/>
      <c r="O268" s="6"/>
      <c r="P268" s="6"/>
      <c r="Q268" s="6"/>
      <c r="R268" s="6"/>
      <c r="S268" s="6"/>
      <c r="T268" s="6"/>
      <c r="U268" s="6"/>
      <c r="V268" s="6"/>
      <c r="W268" s="6"/>
      <c r="X268" s="6"/>
      <c r="Y268" s="6"/>
      <c r="Z268" s="6"/>
      <c r="AA268" s="6"/>
      <c r="AB268" s="6"/>
      <c r="AC268" s="6"/>
      <c r="AD268" s="7"/>
    </row>
    <row r="269">
      <c r="A269" s="23"/>
      <c r="B269" s="23"/>
      <c r="C269" s="27"/>
      <c r="D269" s="19"/>
      <c r="E269" s="6"/>
      <c r="F269" s="6"/>
      <c r="G269" s="6"/>
      <c r="H269" s="6"/>
      <c r="I269" s="19"/>
      <c r="J269" s="6"/>
      <c r="K269" s="6"/>
      <c r="L269" s="19"/>
      <c r="M269" s="6"/>
      <c r="N269" s="6"/>
      <c r="O269" s="6"/>
      <c r="P269" s="6"/>
      <c r="Q269" s="6"/>
      <c r="R269" s="6"/>
      <c r="S269" s="6"/>
      <c r="T269" s="6"/>
      <c r="U269" s="6"/>
      <c r="V269" s="6"/>
      <c r="W269" s="6"/>
      <c r="X269" s="6"/>
      <c r="Y269" s="6"/>
      <c r="Z269" s="6"/>
      <c r="AA269" s="6"/>
      <c r="AB269" s="6"/>
      <c r="AC269" s="6"/>
      <c r="AD269" s="7"/>
    </row>
    <row r="270">
      <c r="A270" s="23"/>
      <c r="B270" s="23"/>
      <c r="C270" s="27"/>
      <c r="D270" s="19"/>
      <c r="E270" s="6"/>
      <c r="F270" s="6"/>
      <c r="G270" s="6"/>
      <c r="H270" s="6"/>
      <c r="I270" s="19"/>
      <c r="J270" s="6"/>
      <c r="K270" s="6"/>
      <c r="L270" s="19"/>
      <c r="M270" s="6"/>
      <c r="N270" s="6"/>
      <c r="O270" s="6"/>
      <c r="P270" s="6"/>
      <c r="Q270" s="6"/>
      <c r="R270" s="6"/>
      <c r="S270" s="6"/>
      <c r="T270" s="6"/>
      <c r="U270" s="6"/>
      <c r="V270" s="6"/>
      <c r="W270" s="6"/>
      <c r="X270" s="6"/>
      <c r="Y270" s="6"/>
      <c r="Z270" s="6"/>
      <c r="AA270" s="6"/>
      <c r="AB270" s="6"/>
      <c r="AC270" s="6"/>
      <c r="AD270" s="7"/>
    </row>
    <row r="271">
      <c r="A271" s="23"/>
      <c r="B271" s="23"/>
      <c r="C271" s="27"/>
      <c r="D271" s="19"/>
      <c r="E271" s="6"/>
      <c r="F271" s="6"/>
      <c r="G271" s="6"/>
      <c r="H271" s="6"/>
      <c r="I271" s="19"/>
      <c r="J271" s="6"/>
      <c r="K271" s="6"/>
      <c r="L271" s="19"/>
      <c r="M271" s="6"/>
      <c r="N271" s="6"/>
      <c r="O271" s="6"/>
      <c r="P271" s="6"/>
      <c r="Q271" s="6"/>
      <c r="R271" s="6"/>
      <c r="S271" s="6"/>
      <c r="T271" s="6"/>
      <c r="U271" s="6"/>
      <c r="V271" s="6"/>
      <c r="W271" s="6"/>
      <c r="X271" s="6"/>
      <c r="Y271" s="6"/>
      <c r="Z271" s="6"/>
      <c r="AA271" s="6"/>
      <c r="AB271" s="6"/>
      <c r="AC271" s="6"/>
      <c r="AD271" s="7"/>
    </row>
    <row r="272">
      <c r="A272" s="23"/>
      <c r="B272" s="23"/>
      <c r="C272" s="27"/>
      <c r="D272" s="19"/>
      <c r="E272" s="6"/>
      <c r="F272" s="6"/>
      <c r="G272" s="6"/>
      <c r="H272" s="6"/>
      <c r="I272" s="19"/>
      <c r="J272" s="6"/>
      <c r="K272" s="6"/>
      <c r="L272" s="19"/>
      <c r="M272" s="6"/>
      <c r="N272" s="6"/>
      <c r="O272" s="6"/>
      <c r="P272" s="6"/>
      <c r="Q272" s="6"/>
      <c r="R272" s="6"/>
      <c r="S272" s="6"/>
      <c r="T272" s="6"/>
      <c r="U272" s="6"/>
      <c r="V272" s="6"/>
      <c r="W272" s="6"/>
      <c r="X272" s="6"/>
      <c r="Y272" s="6"/>
      <c r="Z272" s="6"/>
      <c r="AA272" s="6"/>
      <c r="AB272" s="6"/>
      <c r="AC272" s="6"/>
      <c r="AD272" s="7"/>
    </row>
    <row r="273">
      <c r="A273" s="23"/>
      <c r="B273" s="23"/>
      <c r="C273" s="27"/>
      <c r="D273" s="19"/>
      <c r="E273" s="6"/>
      <c r="F273" s="6"/>
      <c r="G273" s="6"/>
      <c r="H273" s="6"/>
      <c r="I273" s="19"/>
      <c r="J273" s="6"/>
      <c r="K273" s="6"/>
      <c r="L273" s="19"/>
      <c r="M273" s="6"/>
      <c r="N273" s="6"/>
      <c r="O273" s="6"/>
      <c r="P273" s="6"/>
      <c r="Q273" s="6"/>
      <c r="R273" s="6"/>
      <c r="S273" s="6"/>
      <c r="T273" s="6"/>
      <c r="U273" s="6"/>
      <c r="V273" s="6"/>
      <c r="W273" s="6"/>
      <c r="X273" s="6"/>
      <c r="Y273" s="6"/>
      <c r="Z273" s="6"/>
      <c r="AA273" s="6"/>
      <c r="AB273" s="6"/>
      <c r="AC273" s="6"/>
      <c r="AD273" s="7"/>
    </row>
    <row r="274">
      <c r="A274" s="23"/>
      <c r="B274" s="23"/>
      <c r="C274" s="27"/>
      <c r="D274" s="19"/>
      <c r="E274" s="6"/>
      <c r="F274" s="6"/>
      <c r="G274" s="6"/>
      <c r="H274" s="6"/>
      <c r="I274" s="19"/>
      <c r="J274" s="6"/>
      <c r="K274" s="6"/>
      <c r="L274" s="19"/>
      <c r="M274" s="6"/>
      <c r="N274" s="6"/>
      <c r="O274" s="6"/>
      <c r="P274" s="6"/>
      <c r="Q274" s="6"/>
      <c r="R274" s="6"/>
      <c r="S274" s="6"/>
      <c r="T274" s="6"/>
      <c r="U274" s="6"/>
      <c r="V274" s="6"/>
      <c r="W274" s="6"/>
      <c r="X274" s="6"/>
      <c r="Y274" s="6"/>
      <c r="Z274" s="6"/>
      <c r="AA274" s="6"/>
      <c r="AB274" s="6"/>
      <c r="AC274" s="6"/>
      <c r="AD274" s="7"/>
    </row>
    <row r="275">
      <c r="A275" s="23"/>
      <c r="B275" s="23"/>
      <c r="C275" s="27"/>
      <c r="D275" s="19"/>
      <c r="E275" s="6"/>
      <c r="F275" s="6"/>
      <c r="G275" s="6"/>
      <c r="H275" s="6"/>
      <c r="I275" s="19"/>
      <c r="J275" s="6"/>
      <c r="K275" s="6"/>
      <c r="L275" s="19"/>
      <c r="M275" s="6"/>
      <c r="N275" s="6"/>
      <c r="O275" s="6"/>
      <c r="P275" s="6"/>
      <c r="Q275" s="6"/>
      <c r="R275" s="6"/>
      <c r="S275" s="6"/>
      <c r="T275" s="6"/>
      <c r="U275" s="6"/>
      <c r="V275" s="6"/>
      <c r="W275" s="6"/>
      <c r="X275" s="6"/>
      <c r="Y275" s="6"/>
      <c r="Z275" s="6"/>
      <c r="AA275" s="6"/>
      <c r="AB275" s="6"/>
      <c r="AC275" s="6"/>
      <c r="AD275" s="7"/>
    </row>
    <row r="276">
      <c r="A276" s="23"/>
      <c r="B276" s="23"/>
      <c r="C276" s="27"/>
      <c r="D276" s="19"/>
      <c r="E276" s="6"/>
      <c r="F276" s="6"/>
      <c r="G276" s="6"/>
      <c r="H276" s="6"/>
      <c r="I276" s="19"/>
      <c r="J276" s="6"/>
      <c r="K276" s="6"/>
      <c r="L276" s="19"/>
      <c r="M276" s="6"/>
      <c r="N276" s="6"/>
      <c r="O276" s="6"/>
      <c r="P276" s="6"/>
      <c r="Q276" s="6"/>
      <c r="R276" s="6"/>
      <c r="S276" s="6"/>
      <c r="T276" s="6"/>
      <c r="U276" s="6"/>
      <c r="V276" s="6"/>
      <c r="W276" s="6"/>
      <c r="X276" s="6"/>
      <c r="Y276" s="6"/>
      <c r="Z276" s="6"/>
      <c r="AA276" s="6"/>
      <c r="AB276" s="6"/>
      <c r="AC276" s="6"/>
      <c r="AD276" s="7"/>
    </row>
    <row r="277">
      <c r="A277" s="23"/>
      <c r="B277" s="23"/>
      <c r="C277" s="27"/>
      <c r="D277" s="19"/>
      <c r="E277" s="6"/>
      <c r="F277" s="6"/>
      <c r="G277" s="6"/>
      <c r="H277" s="6"/>
      <c r="I277" s="19"/>
      <c r="J277" s="6"/>
      <c r="K277" s="6"/>
      <c r="L277" s="19"/>
      <c r="M277" s="6"/>
      <c r="N277" s="6"/>
      <c r="O277" s="6"/>
      <c r="P277" s="6"/>
      <c r="Q277" s="6"/>
      <c r="R277" s="6"/>
      <c r="S277" s="6"/>
      <c r="T277" s="6"/>
      <c r="U277" s="6"/>
      <c r="V277" s="6"/>
      <c r="W277" s="6"/>
      <c r="X277" s="6"/>
      <c r="Y277" s="6"/>
      <c r="Z277" s="6"/>
      <c r="AA277" s="6"/>
      <c r="AB277" s="6"/>
      <c r="AC277" s="6"/>
      <c r="AD277" s="7"/>
    </row>
    <row r="278">
      <c r="A278" s="23"/>
      <c r="B278" s="23"/>
      <c r="C278" s="27"/>
      <c r="D278" s="19"/>
      <c r="E278" s="6"/>
      <c r="F278" s="6"/>
      <c r="G278" s="6"/>
      <c r="H278" s="6"/>
      <c r="I278" s="19"/>
      <c r="J278" s="6"/>
      <c r="K278" s="6"/>
      <c r="L278" s="19"/>
      <c r="M278" s="6"/>
      <c r="N278" s="6"/>
      <c r="O278" s="6"/>
      <c r="P278" s="6"/>
      <c r="Q278" s="6"/>
      <c r="R278" s="6"/>
      <c r="S278" s="6"/>
      <c r="T278" s="6"/>
      <c r="U278" s="6"/>
      <c r="V278" s="6"/>
      <c r="W278" s="6"/>
      <c r="X278" s="6"/>
      <c r="Y278" s="6"/>
      <c r="Z278" s="6"/>
      <c r="AA278" s="6"/>
      <c r="AB278" s="6"/>
      <c r="AC278" s="6"/>
      <c r="AD278" s="7"/>
    </row>
    <row r="279">
      <c r="A279" s="23"/>
      <c r="B279" s="23"/>
      <c r="C279" s="27"/>
      <c r="D279" s="19"/>
      <c r="E279" s="6"/>
      <c r="F279" s="6"/>
      <c r="G279" s="6"/>
      <c r="H279" s="6"/>
      <c r="I279" s="19"/>
      <c r="J279" s="6"/>
      <c r="K279" s="6"/>
      <c r="L279" s="19"/>
      <c r="M279" s="6"/>
      <c r="N279" s="6"/>
      <c r="O279" s="6"/>
      <c r="P279" s="6"/>
      <c r="Q279" s="6"/>
      <c r="R279" s="6"/>
      <c r="S279" s="6"/>
      <c r="T279" s="6"/>
      <c r="U279" s="6"/>
      <c r="V279" s="6"/>
      <c r="W279" s="6"/>
      <c r="X279" s="6"/>
      <c r="Y279" s="6"/>
      <c r="Z279" s="6"/>
      <c r="AA279" s="6"/>
      <c r="AB279" s="6"/>
      <c r="AC279" s="6"/>
      <c r="AD279" s="7"/>
    </row>
    <row r="280">
      <c r="A280" s="23"/>
      <c r="B280" s="23"/>
      <c r="C280" s="27"/>
      <c r="D280" s="19"/>
      <c r="E280" s="6"/>
      <c r="F280" s="6"/>
      <c r="G280" s="6"/>
      <c r="H280" s="6"/>
      <c r="I280" s="19"/>
      <c r="J280" s="6"/>
      <c r="K280" s="6"/>
      <c r="L280" s="19"/>
      <c r="M280" s="6"/>
      <c r="N280" s="6"/>
      <c r="O280" s="6"/>
      <c r="P280" s="6"/>
      <c r="Q280" s="6"/>
      <c r="R280" s="6"/>
      <c r="S280" s="6"/>
      <c r="T280" s="6"/>
      <c r="U280" s="6"/>
      <c r="V280" s="6"/>
      <c r="W280" s="6"/>
      <c r="X280" s="6"/>
      <c r="Y280" s="6"/>
      <c r="Z280" s="6"/>
      <c r="AA280" s="6"/>
      <c r="AB280" s="6"/>
      <c r="AC280" s="6"/>
      <c r="AD280" s="7"/>
    </row>
    <row r="281">
      <c r="A281" s="23"/>
      <c r="B281" s="23"/>
      <c r="C281" s="27"/>
      <c r="D281" s="19"/>
      <c r="E281" s="6"/>
      <c r="F281" s="6"/>
      <c r="G281" s="6"/>
      <c r="H281" s="6"/>
      <c r="I281" s="19"/>
      <c r="J281" s="6"/>
      <c r="K281" s="6"/>
      <c r="L281" s="19"/>
      <c r="M281" s="6"/>
      <c r="N281" s="6"/>
      <c r="O281" s="6"/>
      <c r="P281" s="6"/>
      <c r="Q281" s="6"/>
      <c r="R281" s="6"/>
      <c r="S281" s="6"/>
      <c r="T281" s="6"/>
      <c r="U281" s="6"/>
      <c r="V281" s="6"/>
      <c r="W281" s="6"/>
      <c r="X281" s="6"/>
      <c r="Y281" s="6"/>
      <c r="Z281" s="6"/>
      <c r="AA281" s="6"/>
      <c r="AB281" s="6"/>
      <c r="AC281" s="6"/>
      <c r="AD281" s="7"/>
    </row>
    <row r="282">
      <c r="A282" s="23"/>
      <c r="B282" s="23"/>
      <c r="C282" s="27"/>
      <c r="D282" s="19"/>
      <c r="E282" s="6"/>
      <c r="F282" s="6"/>
      <c r="G282" s="6"/>
      <c r="H282" s="6"/>
      <c r="I282" s="19"/>
      <c r="J282" s="6"/>
      <c r="K282" s="6"/>
      <c r="L282" s="19"/>
      <c r="M282" s="6"/>
      <c r="N282" s="6"/>
      <c r="O282" s="6"/>
      <c r="P282" s="6"/>
      <c r="Q282" s="6"/>
      <c r="R282" s="6"/>
      <c r="S282" s="6"/>
      <c r="T282" s="6"/>
      <c r="U282" s="6"/>
      <c r="V282" s="6"/>
      <c r="W282" s="6"/>
      <c r="X282" s="6"/>
      <c r="Y282" s="6"/>
      <c r="Z282" s="6"/>
      <c r="AA282" s="6"/>
      <c r="AB282" s="6"/>
      <c r="AC282" s="6"/>
      <c r="AD282" s="7"/>
    </row>
    <row r="283">
      <c r="A283" s="23"/>
      <c r="B283" s="23"/>
      <c r="C283" s="27"/>
      <c r="D283" s="19"/>
      <c r="E283" s="6"/>
      <c r="F283" s="6"/>
      <c r="G283" s="6"/>
      <c r="H283" s="6"/>
      <c r="I283" s="19"/>
      <c r="J283" s="6"/>
      <c r="K283" s="6"/>
      <c r="L283" s="19"/>
      <c r="M283" s="6"/>
      <c r="N283" s="6"/>
      <c r="O283" s="6"/>
      <c r="P283" s="6"/>
      <c r="Q283" s="6"/>
      <c r="R283" s="6"/>
      <c r="S283" s="6"/>
      <c r="T283" s="6"/>
      <c r="U283" s="6"/>
      <c r="V283" s="6"/>
      <c r="W283" s="6"/>
      <c r="X283" s="6"/>
      <c r="Y283" s="6"/>
      <c r="Z283" s="6"/>
      <c r="AA283" s="6"/>
      <c r="AB283" s="6"/>
      <c r="AC283" s="6"/>
      <c r="AD283" s="7"/>
    </row>
    <row r="284">
      <c r="A284" s="23"/>
      <c r="B284" s="23"/>
      <c r="C284" s="27"/>
      <c r="D284" s="19"/>
      <c r="E284" s="6"/>
      <c r="F284" s="6"/>
      <c r="G284" s="6"/>
      <c r="H284" s="6"/>
      <c r="I284" s="19"/>
      <c r="J284" s="6"/>
      <c r="K284" s="6"/>
      <c r="L284" s="19"/>
      <c r="M284" s="6"/>
      <c r="N284" s="6"/>
      <c r="O284" s="6"/>
      <c r="P284" s="6"/>
      <c r="Q284" s="6"/>
      <c r="R284" s="6"/>
      <c r="S284" s="6"/>
      <c r="T284" s="6"/>
      <c r="U284" s="6"/>
      <c r="V284" s="6"/>
      <c r="W284" s="6"/>
      <c r="X284" s="6"/>
      <c r="Y284" s="6"/>
      <c r="Z284" s="6"/>
      <c r="AA284" s="6"/>
      <c r="AB284" s="6"/>
      <c r="AC284" s="6"/>
      <c r="AD284" s="7"/>
    </row>
    <row r="285">
      <c r="A285" s="23"/>
      <c r="B285" s="23"/>
      <c r="C285" s="27"/>
      <c r="D285" s="19"/>
      <c r="E285" s="6"/>
      <c r="F285" s="6"/>
      <c r="G285" s="6"/>
      <c r="H285" s="6"/>
      <c r="I285" s="19"/>
      <c r="J285" s="6"/>
      <c r="K285" s="6"/>
      <c r="L285" s="19"/>
      <c r="M285" s="6"/>
      <c r="N285" s="6"/>
      <c r="O285" s="6"/>
      <c r="P285" s="6"/>
      <c r="Q285" s="6"/>
      <c r="R285" s="6"/>
      <c r="S285" s="6"/>
      <c r="T285" s="6"/>
      <c r="U285" s="6"/>
      <c r="V285" s="6"/>
      <c r="W285" s="6"/>
      <c r="X285" s="6"/>
      <c r="Y285" s="6"/>
      <c r="Z285" s="6"/>
      <c r="AA285" s="6"/>
      <c r="AB285" s="6"/>
      <c r="AC285" s="6"/>
      <c r="AD285" s="7"/>
    </row>
    <row r="286">
      <c r="A286" s="23"/>
      <c r="B286" s="23"/>
      <c r="C286" s="27"/>
      <c r="D286" s="19"/>
      <c r="E286" s="6"/>
      <c r="F286" s="6"/>
      <c r="G286" s="6"/>
      <c r="H286" s="6"/>
      <c r="I286" s="19"/>
      <c r="J286" s="6"/>
      <c r="K286" s="6"/>
      <c r="L286" s="19"/>
      <c r="M286" s="6"/>
      <c r="N286" s="6"/>
      <c r="O286" s="6"/>
      <c r="P286" s="6"/>
      <c r="Q286" s="6"/>
      <c r="R286" s="6"/>
      <c r="S286" s="6"/>
      <c r="T286" s="6"/>
      <c r="U286" s="6"/>
      <c r="V286" s="6"/>
      <c r="W286" s="6"/>
      <c r="X286" s="6"/>
      <c r="Y286" s="6"/>
      <c r="Z286" s="6"/>
      <c r="AA286" s="6"/>
      <c r="AB286" s="6"/>
      <c r="AC286" s="6"/>
      <c r="AD286" s="7"/>
    </row>
    <row r="287">
      <c r="A287" s="23"/>
      <c r="B287" s="23"/>
      <c r="C287" s="27"/>
      <c r="D287" s="19"/>
      <c r="E287" s="6"/>
      <c r="F287" s="6"/>
      <c r="G287" s="6"/>
      <c r="H287" s="6"/>
      <c r="I287" s="19"/>
      <c r="J287" s="6"/>
      <c r="K287" s="6"/>
      <c r="L287" s="19"/>
      <c r="M287" s="6"/>
      <c r="N287" s="6"/>
      <c r="O287" s="6"/>
      <c r="P287" s="6"/>
      <c r="Q287" s="6"/>
      <c r="R287" s="6"/>
      <c r="S287" s="6"/>
      <c r="T287" s="6"/>
      <c r="U287" s="6"/>
      <c r="V287" s="6"/>
      <c r="W287" s="6"/>
      <c r="X287" s="6"/>
      <c r="Y287" s="6"/>
      <c r="Z287" s="6"/>
      <c r="AA287" s="6"/>
      <c r="AB287" s="6"/>
      <c r="AC287" s="6"/>
      <c r="AD287" s="7"/>
    </row>
    <row r="288">
      <c r="A288" s="23"/>
      <c r="B288" s="23"/>
      <c r="C288" s="27"/>
      <c r="D288" s="19"/>
      <c r="E288" s="6"/>
      <c r="F288" s="6"/>
      <c r="G288" s="6"/>
      <c r="H288" s="6"/>
      <c r="I288" s="19"/>
      <c r="J288" s="6"/>
      <c r="K288" s="6"/>
      <c r="L288" s="19"/>
      <c r="M288" s="6"/>
      <c r="N288" s="6"/>
      <c r="O288" s="6"/>
      <c r="P288" s="6"/>
      <c r="Q288" s="6"/>
      <c r="R288" s="6"/>
      <c r="S288" s="6"/>
      <c r="T288" s="6"/>
      <c r="U288" s="6"/>
      <c r="V288" s="6"/>
      <c r="W288" s="6"/>
      <c r="X288" s="6"/>
      <c r="Y288" s="6"/>
      <c r="Z288" s="6"/>
      <c r="AA288" s="6"/>
      <c r="AB288" s="6"/>
      <c r="AC288" s="6"/>
      <c r="AD288" s="7"/>
    </row>
    <row r="289">
      <c r="A289" s="23"/>
      <c r="B289" s="23"/>
      <c r="C289" s="27"/>
      <c r="D289" s="19"/>
      <c r="E289" s="6"/>
      <c r="F289" s="6"/>
      <c r="G289" s="6"/>
      <c r="H289" s="6"/>
      <c r="I289" s="19"/>
      <c r="J289" s="6"/>
      <c r="K289" s="6"/>
      <c r="L289" s="19"/>
      <c r="M289" s="6"/>
      <c r="N289" s="6"/>
      <c r="O289" s="6"/>
      <c r="P289" s="6"/>
      <c r="Q289" s="6"/>
      <c r="R289" s="6"/>
      <c r="S289" s="6"/>
      <c r="T289" s="6"/>
      <c r="U289" s="6"/>
      <c r="V289" s="6"/>
      <c r="W289" s="6"/>
      <c r="X289" s="6"/>
      <c r="Y289" s="6"/>
      <c r="Z289" s="6"/>
      <c r="AA289" s="6"/>
      <c r="AB289" s="6"/>
      <c r="AC289" s="6"/>
      <c r="AD289" s="7"/>
    </row>
    <row r="290">
      <c r="A290" s="23"/>
      <c r="B290" s="23"/>
      <c r="C290" s="27"/>
      <c r="D290" s="19"/>
      <c r="E290" s="6"/>
      <c r="F290" s="6"/>
      <c r="G290" s="6"/>
      <c r="H290" s="6"/>
      <c r="I290" s="19"/>
      <c r="J290" s="6"/>
      <c r="K290" s="6"/>
      <c r="L290" s="19"/>
      <c r="M290" s="6"/>
      <c r="N290" s="6"/>
      <c r="O290" s="6"/>
      <c r="P290" s="6"/>
      <c r="Q290" s="6"/>
      <c r="R290" s="6"/>
      <c r="S290" s="6"/>
      <c r="T290" s="6"/>
      <c r="U290" s="6"/>
      <c r="V290" s="6"/>
      <c r="W290" s="6"/>
      <c r="X290" s="6"/>
      <c r="Y290" s="6"/>
      <c r="Z290" s="6"/>
      <c r="AA290" s="6"/>
      <c r="AB290" s="6"/>
      <c r="AC290" s="6"/>
      <c r="AD290" s="7"/>
    </row>
    <row r="291">
      <c r="A291" s="23"/>
      <c r="B291" s="23"/>
      <c r="C291" s="27"/>
      <c r="D291" s="19"/>
      <c r="E291" s="6"/>
      <c r="F291" s="6"/>
      <c r="G291" s="6"/>
      <c r="H291" s="6"/>
      <c r="I291" s="19"/>
      <c r="J291" s="6"/>
      <c r="K291" s="6"/>
      <c r="L291" s="19"/>
      <c r="M291" s="6"/>
      <c r="N291" s="6"/>
      <c r="O291" s="6"/>
      <c r="P291" s="6"/>
      <c r="Q291" s="6"/>
      <c r="R291" s="6"/>
      <c r="S291" s="6"/>
      <c r="T291" s="6"/>
      <c r="U291" s="6"/>
      <c r="V291" s="6"/>
      <c r="W291" s="6"/>
      <c r="X291" s="6"/>
      <c r="Y291" s="6"/>
      <c r="Z291" s="6"/>
      <c r="AA291" s="6"/>
      <c r="AB291" s="6"/>
      <c r="AC291" s="6"/>
      <c r="AD291" s="7"/>
    </row>
    <row r="292">
      <c r="A292" s="23"/>
      <c r="B292" s="23"/>
      <c r="C292" s="27"/>
      <c r="D292" s="19"/>
      <c r="E292" s="6"/>
      <c r="F292" s="6"/>
      <c r="G292" s="6"/>
      <c r="H292" s="6"/>
      <c r="I292" s="19"/>
      <c r="J292" s="6"/>
      <c r="K292" s="6"/>
      <c r="L292" s="19"/>
      <c r="M292" s="6"/>
      <c r="N292" s="6"/>
      <c r="O292" s="6"/>
      <c r="P292" s="6"/>
      <c r="Q292" s="6"/>
      <c r="R292" s="6"/>
      <c r="S292" s="6"/>
      <c r="T292" s="6"/>
      <c r="U292" s="6"/>
      <c r="V292" s="6"/>
      <c r="W292" s="6"/>
      <c r="X292" s="6"/>
      <c r="Y292" s="6"/>
      <c r="Z292" s="6"/>
      <c r="AA292" s="6"/>
      <c r="AB292" s="6"/>
      <c r="AC292" s="6"/>
      <c r="AD292" s="7"/>
    </row>
    <row r="293">
      <c r="A293" s="23"/>
      <c r="B293" s="23"/>
      <c r="C293" s="27"/>
      <c r="D293" s="19"/>
      <c r="E293" s="6"/>
      <c r="F293" s="6"/>
      <c r="G293" s="6"/>
      <c r="H293" s="6"/>
      <c r="I293" s="19"/>
      <c r="J293" s="6"/>
      <c r="K293" s="6"/>
      <c r="L293" s="19"/>
      <c r="M293" s="6"/>
      <c r="N293" s="6"/>
      <c r="O293" s="6"/>
      <c r="P293" s="6"/>
      <c r="Q293" s="6"/>
      <c r="R293" s="6"/>
      <c r="S293" s="6"/>
      <c r="T293" s="6"/>
      <c r="U293" s="6"/>
      <c r="V293" s="6"/>
      <c r="W293" s="6"/>
      <c r="X293" s="6"/>
      <c r="Y293" s="6"/>
      <c r="Z293" s="6"/>
      <c r="AA293" s="6"/>
      <c r="AB293" s="6"/>
      <c r="AC293" s="6"/>
      <c r="AD293" s="7"/>
    </row>
    <row r="294">
      <c r="A294" s="23"/>
      <c r="B294" s="23"/>
      <c r="C294" s="27"/>
      <c r="D294" s="19"/>
      <c r="E294" s="6"/>
      <c r="F294" s="6"/>
      <c r="G294" s="6"/>
      <c r="H294" s="6"/>
      <c r="I294" s="19"/>
      <c r="J294" s="6"/>
      <c r="K294" s="6"/>
      <c r="L294" s="19"/>
      <c r="M294" s="6"/>
      <c r="N294" s="6"/>
      <c r="O294" s="6"/>
      <c r="P294" s="6"/>
      <c r="Q294" s="6"/>
      <c r="R294" s="6"/>
      <c r="S294" s="6"/>
      <c r="T294" s="6"/>
      <c r="U294" s="6"/>
      <c r="V294" s="6"/>
      <c r="W294" s="6"/>
      <c r="X294" s="6"/>
      <c r="Y294" s="6"/>
      <c r="Z294" s="6"/>
      <c r="AA294" s="6"/>
      <c r="AB294" s="6"/>
      <c r="AC294" s="6"/>
      <c r="AD294" s="7"/>
    </row>
    <row r="295">
      <c r="A295" s="23"/>
      <c r="B295" s="23"/>
      <c r="C295" s="27"/>
      <c r="D295" s="19"/>
      <c r="E295" s="6"/>
      <c r="F295" s="6"/>
      <c r="G295" s="6"/>
      <c r="H295" s="6"/>
      <c r="I295" s="19"/>
      <c r="J295" s="6"/>
      <c r="K295" s="6"/>
      <c r="L295" s="19"/>
      <c r="M295" s="6"/>
      <c r="N295" s="6"/>
      <c r="O295" s="6"/>
      <c r="P295" s="6"/>
      <c r="Q295" s="6"/>
      <c r="R295" s="6"/>
      <c r="S295" s="6"/>
      <c r="T295" s="6"/>
      <c r="U295" s="6"/>
      <c r="V295" s="6"/>
      <c r="W295" s="6"/>
      <c r="X295" s="6"/>
      <c r="Y295" s="6"/>
      <c r="Z295" s="6"/>
      <c r="AA295" s="6"/>
      <c r="AB295" s="6"/>
      <c r="AC295" s="6"/>
      <c r="AD295" s="7"/>
    </row>
    <row r="296">
      <c r="A296" s="23"/>
      <c r="B296" s="23"/>
      <c r="C296" s="27"/>
      <c r="D296" s="19"/>
      <c r="E296" s="6"/>
      <c r="F296" s="6"/>
      <c r="G296" s="6"/>
      <c r="H296" s="6"/>
      <c r="I296" s="19"/>
      <c r="J296" s="6"/>
      <c r="K296" s="6"/>
      <c r="L296" s="19"/>
      <c r="M296" s="6"/>
      <c r="N296" s="6"/>
      <c r="O296" s="6"/>
      <c r="P296" s="6"/>
      <c r="Q296" s="6"/>
      <c r="R296" s="6"/>
      <c r="S296" s="6"/>
      <c r="T296" s="6"/>
      <c r="U296" s="6"/>
      <c r="V296" s="6"/>
      <c r="W296" s="6"/>
      <c r="X296" s="6"/>
      <c r="Y296" s="6"/>
      <c r="Z296" s="6"/>
      <c r="AA296" s="6"/>
      <c r="AB296" s="6"/>
      <c r="AC296" s="6"/>
      <c r="AD296" s="7"/>
    </row>
    <row r="297">
      <c r="A297" s="23"/>
      <c r="B297" s="23"/>
      <c r="C297" s="27"/>
      <c r="D297" s="19"/>
      <c r="E297" s="6"/>
      <c r="F297" s="6"/>
      <c r="G297" s="6"/>
      <c r="H297" s="6"/>
      <c r="I297" s="19"/>
      <c r="J297" s="6"/>
      <c r="K297" s="6"/>
      <c r="L297" s="19"/>
      <c r="M297" s="6"/>
      <c r="N297" s="6"/>
      <c r="O297" s="6"/>
      <c r="P297" s="6"/>
      <c r="Q297" s="6"/>
      <c r="R297" s="6"/>
      <c r="S297" s="6"/>
      <c r="T297" s="6"/>
      <c r="U297" s="6"/>
      <c r="V297" s="6"/>
      <c r="W297" s="6"/>
      <c r="X297" s="6"/>
      <c r="Y297" s="6"/>
      <c r="Z297" s="6"/>
      <c r="AA297" s="6"/>
      <c r="AB297" s="6"/>
      <c r="AC297" s="6"/>
      <c r="AD297" s="7"/>
    </row>
    <row r="298">
      <c r="A298" s="23"/>
      <c r="B298" s="23"/>
      <c r="C298" s="27"/>
      <c r="D298" s="19"/>
      <c r="E298" s="6"/>
      <c r="F298" s="6"/>
      <c r="G298" s="6"/>
      <c r="H298" s="6"/>
      <c r="I298" s="19"/>
      <c r="J298" s="6"/>
      <c r="K298" s="6"/>
      <c r="L298" s="19"/>
      <c r="M298" s="6"/>
      <c r="N298" s="6"/>
      <c r="O298" s="6"/>
      <c r="P298" s="6"/>
      <c r="Q298" s="6"/>
      <c r="R298" s="6"/>
      <c r="S298" s="6"/>
      <c r="T298" s="6"/>
      <c r="U298" s="6"/>
      <c r="V298" s="6"/>
      <c r="W298" s="6"/>
      <c r="X298" s="6"/>
      <c r="Y298" s="6"/>
      <c r="Z298" s="6"/>
      <c r="AA298" s="6"/>
      <c r="AB298" s="6"/>
      <c r="AC298" s="6"/>
      <c r="AD298" s="7"/>
    </row>
    <row r="299">
      <c r="A299" s="23"/>
      <c r="B299" s="23"/>
      <c r="C299" s="27"/>
      <c r="D299" s="19"/>
      <c r="E299" s="6"/>
      <c r="F299" s="6"/>
      <c r="G299" s="6"/>
      <c r="H299" s="6"/>
      <c r="I299" s="19"/>
      <c r="J299" s="6"/>
      <c r="K299" s="6"/>
      <c r="L299" s="19"/>
      <c r="M299" s="6"/>
      <c r="N299" s="6"/>
      <c r="O299" s="6"/>
      <c r="P299" s="6"/>
      <c r="Q299" s="6"/>
      <c r="R299" s="6"/>
      <c r="S299" s="6"/>
      <c r="T299" s="6"/>
      <c r="U299" s="6"/>
      <c r="V299" s="6"/>
      <c r="W299" s="6"/>
      <c r="X299" s="6"/>
      <c r="Y299" s="6"/>
      <c r="Z299" s="6"/>
      <c r="AA299" s="6"/>
      <c r="AB299" s="6"/>
      <c r="AC299" s="6"/>
      <c r="AD299" s="7"/>
    </row>
    <row r="300">
      <c r="A300" s="23"/>
      <c r="B300" s="23"/>
      <c r="C300" s="27"/>
      <c r="D300" s="19"/>
      <c r="E300" s="6"/>
      <c r="F300" s="6"/>
      <c r="G300" s="6"/>
      <c r="H300" s="6"/>
      <c r="I300" s="19"/>
      <c r="J300" s="6"/>
      <c r="K300" s="6"/>
      <c r="L300" s="19"/>
      <c r="M300" s="6"/>
      <c r="N300" s="6"/>
      <c r="O300" s="6"/>
      <c r="P300" s="6"/>
      <c r="Q300" s="6"/>
      <c r="R300" s="6"/>
      <c r="S300" s="6"/>
      <c r="T300" s="6"/>
      <c r="U300" s="6"/>
      <c r="V300" s="6"/>
      <c r="W300" s="6"/>
      <c r="X300" s="6"/>
      <c r="Y300" s="6"/>
      <c r="Z300" s="6"/>
      <c r="AA300" s="6"/>
      <c r="AB300" s="6"/>
      <c r="AC300" s="6"/>
      <c r="AD300" s="7"/>
    </row>
    <row r="301">
      <c r="A301" s="23"/>
      <c r="B301" s="23"/>
      <c r="C301" s="27"/>
      <c r="D301" s="19"/>
      <c r="E301" s="6"/>
      <c r="F301" s="6"/>
      <c r="G301" s="6"/>
      <c r="H301" s="6"/>
      <c r="I301" s="19"/>
      <c r="J301" s="6"/>
      <c r="K301" s="6"/>
      <c r="L301" s="19"/>
      <c r="M301" s="6"/>
      <c r="N301" s="6"/>
      <c r="O301" s="6"/>
      <c r="P301" s="6"/>
      <c r="Q301" s="6"/>
      <c r="R301" s="6"/>
      <c r="S301" s="6"/>
      <c r="T301" s="6"/>
      <c r="U301" s="6"/>
      <c r="V301" s="6"/>
      <c r="W301" s="6"/>
      <c r="X301" s="6"/>
      <c r="Y301" s="6"/>
      <c r="Z301" s="6"/>
      <c r="AA301" s="6"/>
      <c r="AB301" s="6"/>
      <c r="AC301" s="6"/>
      <c r="AD301" s="7"/>
    </row>
    <row r="302">
      <c r="A302" s="23"/>
      <c r="B302" s="23"/>
      <c r="C302" s="27"/>
      <c r="D302" s="19"/>
      <c r="E302" s="6"/>
      <c r="F302" s="6"/>
      <c r="G302" s="6"/>
      <c r="H302" s="6"/>
      <c r="I302" s="19"/>
      <c r="J302" s="6"/>
      <c r="K302" s="6"/>
      <c r="L302" s="19"/>
      <c r="M302" s="6"/>
      <c r="N302" s="6"/>
      <c r="O302" s="6"/>
      <c r="P302" s="6"/>
      <c r="Q302" s="6"/>
      <c r="R302" s="6"/>
      <c r="S302" s="6"/>
      <c r="T302" s="6"/>
      <c r="U302" s="6"/>
      <c r="V302" s="6"/>
      <c r="W302" s="6"/>
      <c r="X302" s="6"/>
      <c r="Y302" s="6"/>
      <c r="Z302" s="6"/>
      <c r="AA302" s="6"/>
      <c r="AB302" s="6"/>
      <c r="AC302" s="6"/>
      <c r="AD302" s="7"/>
    </row>
    <row r="303">
      <c r="A303" s="23"/>
      <c r="B303" s="23"/>
      <c r="C303" s="27"/>
      <c r="D303" s="19"/>
      <c r="E303" s="6"/>
      <c r="F303" s="6"/>
      <c r="G303" s="6"/>
      <c r="H303" s="6"/>
      <c r="I303" s="19"/>
      <c r="J303" s="6"/>
      <c r="K303" s="6"/>
      <c r="L303" s="19"/>
      <c r="M303" s="6"/>
      <c r="N303" s="6"/>
      <c r="O303" s="6"/>
      <c r="P303" s="6"/>
      <c r="Q303" s="6"/>
      <c r="R303" s="6"/>
      <c r="S303" s="6"/>
      <c r="T303" s="6"/>
      <c r="U303" s="6"/>
      <c r="V303" s="6"/>
      <c r="W303" s="6"/>
      <c r="X303" s="6"/>
      <c r="Y303" s="6"/>
      <c r="Z303" s="6"/>
      <c r="AA303" s="6"/>
      <c r="AB303" s="6"/>
      <c r="AC303" s="6"/>
      <c r="AD303" s="7"/>
    </row>
    <row r="304">
      <c r="A304" s="23"/>
      <c r="B304" s="23"/>
      <c r="C304" s="27"/>
      <c r="D304" s="19"/>
      <c r="E304" s="6"/>
      <c r="F304" s="6"/>
      <c r="G304" s="6"/>
      <c r="H304" s="6"/>
      <c r="I304" s="19"/>
      <c r="J304" s="6"/>
      <c r="K304" s="6"/>
      <c r="L304" s="19"/>
      <c r="M304" s="6"/>
      <c r="N304" s="6"/>
      <c r="O304" s="6"/>
      <c r="P304" s="6"/>
      <c r="Q304" s="6"/>
      <c r="R304" s="6"/>
      <c r="S304" s="6"/>
      <c r="T304" s="6"/>
      <c r="U304" s="6"/>
      <c r="V304" s="6"/>
      <c r="W304" s="6"/>
      <c r="X304" s="6"/>
      <c r="Y304" s="6"/>
      <c r="Z304" s="6"/>
      <c r="AA304" s="6"/>
      <c r="AB304" s="6"/>
      <c r="AC304" s="6"/>
      <c r="AD304" s="7"/>
    </row>
    <row r="305">
      <c r="A305" s="23"/>
      <c r="B305" s="23"/>
      <c r="C305" s="27"/>
      <c r="D305" s="19"/>
      <c r="E305" s="6"/>
      <c r="F305" s="6"/>
      <c r="G305" s="6"/>
      <c r="H305" s="6"/>
      <c r="I305" s="19"/>
      <c r="J305" s="6"/>
      <c r="K305" s="6"/>
      <c r="L305" s="19"/>
      <c r="M305" s="6"/>
      <c r="N305" s="6"/>
      <c r="O305" s="6"/>
      <c r="P305" s="6"/>
      <c r="Q305" s="6"/>
      <c r="R305" s="6"/>
      <c r="S305" s="6"/>
      <c r="T305" s="6"/>
      <c r="U305" s="6"/>
      <c r="V305" s="6"/>
      <c r="W305" s="6"/>
      <c r="X305" s="6"/>
      <c r="Y305" s="6"/>
      <c r="Z305" s="6"/>
      <c r="AA305" s="6"/>
      <c r="AB305" s="6"/>
      <c r="AC305" s="6"/>
      <c r="AD305" s="7"/>
    </row>
    <row r="306">
      <c r="A306" s="23"/>
      <c r="B306" s="23"/>
      <c r="C306" s="27"/>
      <c r="D306" s="19"/>
      <c r="E306" s="6"/>
      <c r="F306" s="6"/>
      <c r="G306" s="6"/>
      <c r="H306" s="6"/>
      <c r="I306" s="19"/>
      <c r="J306" s="6"/>
      <c r="K306" s="6"/>
      <c r="L306" s="19"/>
      <c r="M306" s="6"/>
      <c r="N306" s="6"/>
      <c r="O306" s="6"/>
      <c r="P306" s="6"/>
      <c r="Q306" s="6"/>
      <c r="R306" s="6"/>
      <c r="S306" s="6"/>
      <c r="T306" s="6"/>
      <c r="U306" s="6"/>
      <c r="V306" s="6"/>
      <c r="W306" s="6"/>
      <c r="X306" s="6"/>
      <c r="Y306" s="6"/>
      <c r="Z306" s="6"/>
      <c r="AA306" s="6"/>
      <c r="AB306" s="6"/>
      <c r="AC306" s="6"/>
      <c r="AD306" s="7"/>
    </row>
    <row r="307">
      <c r="A307" s="23"/>
      <c r="B307" s="23"/>
      <c r="C307" s="27"/>
      <c r="D307" s="19"/>
      <c r="E307" s="6"/>
      <c r="F307" s="6"/>
      <c r="G307" s="6"/>
      <c r="H307" s="6"/>
      <c r="I307" s="19"/>
      <c r="J307" s="6"/>
      <c r="K307" s="6"/>
      <c r="L307" s="19"/>
      <c r="M307" s="6"/>
      <c r="N307" s="6"/>
      <c r="O307" s="6"/>
      <c r="P307" s="6"/>
      <c r="Q307" s="6"/>
      <c r="R307" s="6"/>
      <c r="S307" s="6"/>
      <c r="T307" s="6"/>
      <c r="U307" s="6"/>
      <c r="V307" s="6"/>
      <c r="W307" s="6"/>
      <c r="X307" s="6"/>
      <c r="Y307" s="6"/>
      <c r="Z307" s="6"/>
      <c r="AA307" s="6"/>
      <c r="AB307" s="6"/>
      <c r="AC307" s="6"/>
      <c r="AD307" s="7"/>
    </row>
    <row r="308">
      <c r="A308" s="23"/>
      <c r="B308" s="23"/>
      <c r="C308" s="27"/>
      <c r="D308" s="19"/>
      <c r="E308" s="6"/>
      <c r="F308" s="6"/>
      <c r="G308" s="6"/>
      <c r="H308" s="6"/>
      <c r="I308" s="19"/>
      <c r="J308" s="6"/>
      <c r="K308" s="6"/>
      <c r="L308" s="19"/>
      <c r="M308" s="6"/>
      <c r="N308" s="6"/>
      <c r="O308" s="6"/>
      <c r="P308" s="6"/>
      <c r="Q308" s="6"/>
      <c r="R308" s="6"/>
      <c r="S308" s="6"/>
      <c r="T308" s="6"/>
      <c r="U308" s="6"/>
      <c r="V308" s="6"/>
      <c r="W308" s="6"/>
      <c r="X308" s="6"/>
      <c r="Y308" s="6"/>
      <c r="Z308" s="6"/>
      <c r="AA308" s="6"/>
      <c r="AB308" s="6"/>
      <c r="AC308" s="6"/>
      <c r="AD308" s="7"/>
    </row>
    <row r="309">
      <c r="A309" s="23"/>
      <c r="B309" s="23"/>
      <c r="C309" s="27"/>
      <c r="D309" s="19"/>
      <c r="E309" s="6"/>
      <c r="F309" s="6"/>
      <c r="G309" s="6"/>
      <c r="H309" s="6"/>
      <c r="I309" s="19"/>
      <c r="J309" s="6"/>
      <c r="K309" s="6"/>
      <c r="L309" s="19"/>
      <c r="M309" s="6"/>
      <c r="N309" s="6"/>
      <c r="O309" s="6"/>
      <c r="P309" s="6"/>
      <c r="Q309" s="6"/>
      <c r="R309" s="6"/>
      <c r="S309" s="6"/>
      <c r="T309" s="6"/>
      <c r="U309" s="6"/>
      <c r="V309" s="6"/>
      <c r="W309" s="6"/>
      <c r="X309" s="6"/>
      <c r="Y309" s="6"/>
      <c r="Z309" s="6"/>
      <c r="AA309" s="6"/>
      <c r="AB309" s="6"/>
      <c r="AC309" s="6"/>
      <c r="AD309" s="7"/>
    </row>
    <row r="310">
      <c r="A310" s="23"/>
      <c r="B310" s="23"/>
      <c r="C310" s="27"/>
      <c r="D310" s="19"/>
      <c r="E310" s="6"/>
      <c r="F310" s="6"/>
      <c r="G310" s="6"/>
      <c r="H310" s="6"/>
      <c r="I310" s="19"/>
      <c r="J310" s="6"/>
      <c r="K310" s="6"/>
      <c r="L310" s="19"/>
      <c r="M310" s="6"/>
      <c r="N310" s="6"/>
      <c r="O310" s="6"/>
      <c r="P310" s="6"/>
      <c r="Q310" s="6"/>
      <c r="R310" s="6"/>
      <c r="S310" s="6"/>
      <c r="T310" s="6"/>
      <c r="U310" s="6"/>
      <c r="V310" s="6"/>
      <c r="W310" s="6"/>
      <c r="X310" s="6"/>
      <c r="Y310" s="6"/>
      <c r="Z310" s="6"/>
      <c r="AA310" s="6"/>
      <c r="AB310" s="6"/>
      <c r="AC310" s="6"/>
      <c r="AD310" s="7"/>
    </row>
    <row r="311">
      <c r="A311" s="23"/>
      <c r="B311" s="23"/>
      <c r="C311" s="27"/>
      <c r="D311" s="19"/>
      <c r="E311" s="6"/>
      <c r="F311" s="6"/>
      <c r="G311" s="6"/>
      <c r="H311" s="6"/>
      <c r="I311" s="19"/>
      <c r="J311" s="6"/>
      <c r="K311" s="6"/>
      <c r="L311" s="19"/>
      <c r="M311" s="6"/>
      <c r="N311" s="6"/>
      <c r="O311" s="6"/>
      <c r="P311" s="6"/>
      <c r="Q311" s="6"/>
      <c r="R311" s="6"/>
      <c r="S311" s="6"/>
      <c r="T311" s="6"/>
      <c r="U311" s="6"/>
      <c r="V311" s="6"/>
      <c r="W311" s="6"/>
      <c r="X311" s="6"/>
      <c r="Y311" s="6"/>
      <c r="Z311" s="6"/>
      <c r="AA311" s="6"/>
      <c r="AB311" s="6"/>
      <c r="AC311" s="6"/>
      <c r="AD311" s="7"/>
    </row>
    <row r="312">
      <c r="A312" s="23"/>
      <c r="B312" s="23"/>
      <c r="C312" s="27"/>
      <c r="D312" s="19"/>
      <c r="E312" s="6"/>
      <c r="F312" s="6"/>
      <c r="G312" s="6"/>
      <c r="H312" s="6"/>
      <c r="I312" s="19"/>
      <c r="J312" s="6"/>
      <c r="K312" s="6"/>
      <c r="L312" s="19"/>
      <c r="M312" s="6"/>
      <c r="N312" s="6"/>
      <c r="O312" s="6"/>
      <c r="P312" s="6"/>
      <c r="Q312" s="6"/>
      <c r="R312" s="6"/>
      <c r="S312" s="6"/>
      <c r="T312" s="6"/>
      <c r="U312" s="6"/>
      <c r="V312" s="6"/>
      <c r="W312" s="6"/>
      <c r="X312" s="6"/>
      <c r="Y312" s="6"/>
      <c r="Z312" s="6"/>
      <c r="AA312" s="6"/>
      <c r="AB312" s="6"/>
      <c r="AC312" s="6"/>
      <c r="AD312" s="7"/>
    </row>
    <row r="313">
      <c r="A313" s="23"/>
      <c r="B313" s="23"/>
      <c r="C313" s="27"/>
      <c r="D313" s="19"/>
      <c r="E313" s="6"/>
      <c r="F313" s="6"/>
      <c r="G313" s="6"/>
      <c r="H313" s="6"/>
      <c r="I313" s="19"/>
      <c r="J313" s="6"/>
      <c r="K313" s="6"/>
      <c r="L313" s="19"/>
      <c r="M313" s="6"/>
      <c r="N313" s="6"/>
      <c r="O313" s="6"/>
      <c r="P313" s="6"/>
      <c r="Q313" s="6"/>
      <c r="R313" s="6"/>
      <c r="S313" s="6"/>
      <c r="T313" s="6"/>
      <c r="U313" s="6"/>
      <c r="V313" s="6"/>
      <c r="W313" s="6"/>
      <c r="X313" s="6"/>
      <c r="Y313" s="6"/>
      <c r="Z313" s="6"/>
      <c r="AA313" s="6"/>
      <c r="AB313" s="6"/>
      <c r="AC313" s="6"/>
      <c r="AD313" s="7"/>
    </row>
    <row r="314">
      <c r="A314" s="23"/>
      <c r="B314" s="23"/>
      <c r="C314" s="27"/>
      <c r="D314" s="19"/>
      <c r="E314" s="6"/>
      <c r="F314" s="6"/>
      <c r="G314" s="6"/>
      <c r="H314" s="6"/>
      <c r="I314" s="19"/>
      <c r="J314" s="6"/>
      <c r="K314" s="6"/>
      <c r="L314" s="19"/>
      <c r="M314" s="6"/>
      <c r="N314" s="6"/>
      <c r="O314" s="6"/>
      <c r="P314" s="6"/>
      <c r="Q314" s="6"/>
      <c r="R314" s="6"/>
      <c r="S314" s="6"/>
      <c r="T314" s="6"/>
      <c r="U314" s="6"/>
      <c r="V314" s="6"/>
      <c r="W314" s="6"/>
      <c r="X314" s="6"/>
      <c r="Y314" s="6"/>
      <c r="Z314" s="6"/>
      <c r="AA314" s="6"/>
      <c r="AB314" s="6"/>
      <c r="AC314" s="6"/>
      <c r="AD314" s="7"/>
    </row>
    <row r="315">
      <c r="A315" s="23"/>
      <c r="B315" s="23"/>
      <c r="C315" s="27"/>
      <c r="D315" s="19"/>
      <c r="E315" s="6"/>
      <c r="F315" s="6"/>
      <c r="G315" s="6"/>
      <c r="H315" s="6"/>
      <c r="I315" s="19"/>
      <c r="J315" s="6"/>
      <c r="K315" s="6"/>
      <c r="L315" s="19"/>
      <c r="M315" s="6"/>
      <c r="N315" s="6"/>
      <c r="O315" s="6"/>
      <c r="P315" s="6"/>
      <c r="Q315" s="6"/>
      <c r="R315" s="6"/>
      <c r="S315" s="6"/>
      <c r="T315" s="6"/>
      <c r="U315" s="6"/>
      <c r="V315" s="6"/>
      <c r="W315" s="6"/>
      <c r="X315" s="6"/>
      <c r="Y315" s="6"/>
      <c r="Z315" s="6"/>
      <c r="AA315" s="6"/>
      <c r="AB315" s="6"/>
      <c r="AC315" s="6"/>
      <c r="AD315" s="7"/>
    </row>
    <row r="316">
      <c r="A316" s="23"/>
      <c r="B316" s="23"/>
      <c r="C316" s="27"/>
      <c r="D316" s="19"/>
      <c r="E316" s="6"/>
      <c r="F316" s="6"/>
      <c r="G316" s="6"/>
      <c r="H316" s="6"/>
      <c r="I316" s="19"/>
      <c r="J316" s="6"/>
      <c r="K316" s="6"/>
      <c r="L316" s="19"/>
      <c r="M316" s="6"/>
      <c r="N316" s="6"/>
      <c r="O316" s="6"/>
      <c r="P316" s="6"/>
      <c r="Q316" s="6"/>
      <c r="R316" s="6"/>
      <c r="S316" s="6"/>
      <c r="T316" s="6"/>
      <c r="U316" s="6"/>
      <c r="V316" s="6"/>
      <c r="W316" s="6"/>
      <c r="X316" s="6"/>
      <c r="Y316" s="6"/>
      <c r="Z316" s="6"/>
      <c r="AA316" s="6"/>
      <c r="AB316" s="6"/>
      <c r="AC316" s="6"/>
      <c r="AD316" s="7"/>
    </row>
    <row r="317">
      <c r="A317" s="23"/>
      <c r="B317" s="23"/>
      <c r="C317" s="27"/>
      <c r="D317" s="19"/>
      <c r="E317" s="6"/>
      <c r="F317" s="6"/>
      <c r="G317" s="6"/>
      <c r="H317" s="6"/>
      <c r="I317" s="19"/>
      <c r="J317" s="6"/>
      <c r="K317" s="6"/>
      <c r="L317" s="19"/>
      <c r="M317" s="6"/>
      <c r="N317" s="6"/>
      <c r="O317" s="6"/>
      <c r="P317" s="6"/>
      <c r="Q317" s="6"/>
      <c r="R317" s="6"/>
      <c r="S317" s="6"/>
      <c r="T317" s="6"/>
      <c r="U317" s="6"/>
      <c r="V317" s="6"/>
      <c r="W317" s="6"/>
      <c r="X317" s="6"/>
      <c r="Y317" s="6"/>
      <c r="Z317" s="6"/>
      <c r="AA317" s="6"/>
      <c r="AB317" s="6"/>
      <c r="AC317" s="6"/>
      <c r="AD317" s="7"/>
    </row>
    <row r="318">
      <c r="A318" s="23"/>
      <c r="B318" s="23"/>
      <c r="C318" s="27"/>
      <c r="D318" s="19"/>
      <c r="E318" s="6"/>
      <c r="F318" s="6"/>
      <c r="G318" s="6"/>
      <c r="H318" s="6"/>
      <c r="I318" s="19"/>
      <c r="J318" s="6"/>
      <c r="K318" s="6"/>
      <c r="L318" s="19"/>
      <c r="M318" s="6"/>
      <c r="N318" s="6"/>
      <c r="O318" s="6"/>
      <c r="P318" s="6"/>
      <c r="Q318" s="6"/>
      <c r="R318" s="6"/>
      <c r="S318" s="6"/>
      <c r="T318" s="6"/>
      <c r="U318" s="6"/>
      <c r="V318" s="6"/>
      <c r="W318" s="6"/>
      <c r="X318" s="6"/>
      <c r="Y318" s="6"/>
      <c r="Z318" s="6"/>
      <c r="AA318" s="6"/>
      <c r="AB318" s="6"/>
      <c r="AC318" s="6"/>
      <c r="AD318" s="7"/>
    </row>
    <row r="319">
      <c r="A319" s="23"/>
      <c r="B319" s="23"/>
      <c r="C319" s="27"/>
      <c r="D319" s="19"/>
      <c r="E319" s="6"/>
      <c r="F319" s="6"/>
      <c r="G319" s="6"/>
      <c r="H319" s="6"/>
      <c r="I319" s="19"/>
      <c r="J319" s="6"/>
      <c r="K319" s="6"/>
      <c r="L319" s="19"/>
      <c r="M319" s="6"/>
      <c r="N319" s="6"/>
      <c r="O319" s="6"/>
      <c r="P319" s="6"/>
      <c r="Q319" s="6"/>
      <c r="R319" s="6"/>
      <c r="S319" s="6"/>
      <c r="T319" s="6"/>
      <c r="U319" s="6"/>
      <c r="V319" s="6"/>
      <c r="W319" s="6"/>
      <c r="X319" s="6"/>
      <c r="Y319" s="6"/>
      <c r="Z319" s="6"/>
      <c r="AA319" s="6"/>
      <c r="AB319" s="6"/>
      <c r="AC319" s="6"/>
      <c r="AD319" s="7"/>
    </row>
    <row r="320">
      <c r="A320" s="23"/>
      <c r="B320" s="23"/>
      <c r="C320" s="27"/>
      <c r="D320" s="19"/>
      <c r="E320" s="6"/>
      <c r="F320" s="6"/>
      <c r="G320" s="6"/>
      <c r="H320" s="6"/>
      <c r="I320" s="19"/>
      <c r="J320" s="6"/>
      <c r="K320" s="6"/>
      <c r="L320" s="19"/>
      <c r="M320" s="6"/>
      <c r="N320" s="6"/>
      <c r="O320" s="6"/>
      <c r="P320" s="6"/>
      <c r="Q320" s="6"/>
      <c r="R320" s="6"/>
      <c r="S320" s="6"/>
      <c r="T320" s="6"/>
      <c r="U320" s="6"/>
      <c r="V320" s="6"/>
      <c r="W320" s="6"/>
      <c r="X320" s="6"/>
      <c r="Y320" s="6"/>
      <c r="Z320" s="6"/>
      <c r="AA320" s="6"/>
      <c r="AB320" s="6"/>
      <c r="AC320" s="6"/>
      <c r="AD320" s="7"/>
    </row>
    <row r="321">
      <c r="A321" s="23"/>
      <c r="B321" s="23"/>
      <c r="C321" s="27"/>
      <c r="D321" s="19"/>
      <c r="E321" s="6"/>
      <c r="F321" s="6"/>
      <c r="G321" s="6"/>
      <c r="H321" s="6"/>
      <c r="I321" s="19"/>
      <c r="J321" s="6"/>
      <c r="K321" s="6"/>
      <c r="L321" s="19"/>
      <c r="M321" s="6"/>
      <c r="N321" s="6"/>
      <c r="O321" s="6"/>
      <c r="P321" s="6"/>
      <c r="Q321" s="6"/>
      <c r="R321" s="6"/>
      <c r="S321" s="6"/>
      <c r="T321" s="6"/>
      <c r="U321" s="6"/>
      <c r="V321" s="6"/>
      <c r="W321" s="6"/>
      <c r="X321" s="6"/>
      <c r="Y321" s="6"/>
      <c r="Z321" s="6"/>
      <c r="AA321" s="6"/>
      <c r="AB321" s="6"/>
      <c r="AC321" s="6"/>
      <c r="AD321" s="7"/>
    </row>
    <row r="322">
      <c r="A322" s="23"/>
      <c r="B322" s="23"/>
      <c r="C322" s="27"/>
      <c r="D322" s="19"/>
      <c r="E322" s="6"/>
      <c r="F322" s="6"/>
      <c r="G322" s="6"/>
      <c r="H322" s="6"/>
      <c r="I322" s="19"/>
      <c r="J322" s="6"/>
      <c r="K322" s="6"/>
      <c r="L322" s="19"/>
      <c r="M322" s="6"/>
      <c r="N322" s="6"/>
      <c r="O322" s="6"/>
      <c r="P322" s="6"/>
      <c r="Q322" s="6"/>
      <c r="R322" s="6"/>
      <c r="S322" s="6"/>
      <c r="T322" s="6"/>
      <c r="U322" s="6"/>
      <c r="V322" s="6"/>
      <c r="W322" s="6"/>
      <c r="X322" s="6"/>
      <c r="Y322" s="6"/>
      <c r="Z322" s="6"/>
      <c r="AA322" s="6"/>
      <c r="AB322" s="6"/>
      <c r="AC322" s="6"/>
      <c r="AD322" s="7"/>
    </row>
    <row r="323">
      <c r="A323" s="23"/>
      <c r="B323" s="23"/>
      <c r="C323" s="27"/>
      <c r="D323" s="19"/>
      <c r="E323" s="6"/>
      <c r="F323" s="6"/>
      <c r="G323" s="6"/>
      <c r="H323" s="6"/>
      <c r="I323" s="19"/>
      <c r="J323" s="6"/>
      <c r="K323" s="6"/>
      <c r="L323" s="19"/>
      <c r="M323" s="6"/>
      <c r="N323" s="6"/>
      <c r="O323" s="6"/>
      <c r="P323" s="6"/>
      <c r="Q323" s="6"/>
      <c r="R323" s="6"/>
      <c r="S323" s="6"/>
      <c r="T323" s="6"/>
      <c r="U323" s="6"/>
      <c r="V323" s="6"/>
      <c r="W323" s="6"/>
      <c r="X323" s="6"/>
      <c r="Y323" s="6"/>
      <c r="Z323" s="6"/>
      <c r="AA323" s="6"/>
      <c r="AB323" s="6"/>
      <c r="AC323" s="6"/>
      <c r="AD323" s="7"/>
    </row>
    <row r="324">
      <c r="A324" s="23"/>
      <c r="B324" s="23"/>
      <c r="C324" s="27"/>
      <c r="D324" s="19"/>
      <c r="E324" s="6"/>
      <c r="F324" s="6"/>
      <c r="G324" s="6"/>
      <c r="H324" s="6"/>
      <c r="I324" s="19"/>
      <c r="J324" s="6"/>
      <c r="K324" s="6"/>
      <c r="L324" s="19"/>
      <c r="M324" s="6"/>
      <c r="N324" s="6"/>
      <c r="O324" s="6"/>
      <c r="P324" s="6"/>
      <c r="Q324" s="6"/>
      <c r="R324" s="6"/>
      <c r="S324" s="6"/>
      <c r="T324" s="6"/>
      <c r="U324" s="6"/>
      <c r="V324" s="6"/>
      <c r="W324" s="6"/>
      <c r="X324" s="6"/>
      <c r="Y324" s="6"/>
      <c r="Z324" s="6"/>
      <c r="AA324" s="6"/>
      <c r="AB324" s="6"/>
      <c r="AC324" s="6"/>
      <c r="AD324" s="7"/>
    </row>
    <row r="325">
      <c r="A325" s="23"/>
      <c r="B325" s="23"/>
      <c r="C325" s="27"/>
      <c r="D325" s="19"/>
      <c r="E325" s="6"/>
      <c r="F325" s="6"/>
      <c r="G325" s="6"/>
      <c r="H325" s="6"/>
      <c r="I325" s="19"/>
      <c r="J325" s="6"/>
      <c r="K325" s="6"/>
      <c r="L325" s="19"/>
      <c r="M325" s="6"/>
      <c r="N325" s="6"/>
      <c r="O325" s="6"/>
      <c r="P325" s="6"/>
      <c r="Q325" s="6"/>
      <c r="R325" s="6"/>
      <c r="S325" s="6"/>
      <c r="T325" s="6"/>
      <c r="U325" s="6"/>
      <c r="V325" s="6"/>
      <c r="W325" s="6"/>
      <c r="X325" s="6"/>
      <c r="Y325" s="6"/>
      <c r="Z325" s="6"/>
      <c r="AA325" s="6"/>
      <c r="AB325" s="6"/>
      <c r="AC325" s="6"/>
      <c r="AD325" s="7"/>
    </row>
    <row r="326">
      <c r="A326" s="23"/>
      <c r="B326" s="23"/>
      <c r="C326" s="27"/>
      <c r="D326" s="19"/>
      <c r="E326" s="6"/>
      <c r="F326" s="6"/>
      <c r="G326" s="6"/>
      <c r="H326" s="6"/>
      <c r="I326" s="19"/>
      <c r="J326" s="6"/>
      <c r="K326" s="6"/>
      <c r="L326" s="19"/>
      <c r="M326" s="6"/>
      <c r="N326" s="6"/>
      <c r="O326" s="6"/>
      <c r="P326" s="6"/>
      <c r="Q326" s="6"/>
      <c r="R326" s="6"/>
      <c r="S326" s="6"/>
      <c r="T326" s="6"/>
      <c r="U326" s="6"/>
      <c r="V326" s="6"/>
      <c r="W326" s="6"/>
      <c r="X326" s="6"/>
      <c r="Y326" s="6"/>
      <c r="Z326" s="6"/>
      <c r="AA326" s="6"/>
      <c r="AB326" s="6"/>
      <c r="AC326" s="6"/>
      <c r="AD326" s="7"/>
    </row>
    <row r="327">
      <c r="A327" s="23"/>
      <c r="B327" s="23"/>
      <c r="C327" s="27"/>
      <c r="D327" s="19"/>
      <c r="E327" s="6"/>
      <c r="F327" s="6"/>
      <c r="G327" s="6"/>
      <c r="H327" s="6"/>
      <c r="I327" s="19"/>
      <c r="J327" s="6"/>
      <c r="K327" s="6"/>
      <c r="L327" s="19"/>
      <c r="M327" s="6"/>
      <c r="N327" s="6"/>
      <c r="O327" s="6"/>
      <c r="P327" s="6"/>
      <c r="Q327" s="6"/>
      <c r="R327" s="6"/>
      <c r="S327" s="6"/>
      <c r="T327" s="6"/>
      <c r="U327" s="6"/>
      <c r="V327" s="6"/>
      <c r="W327" s="6"/>
      <c r="X327" s="6"/>
      <c r="Y327" s="6"/>
      <c r="Z327" s="6"/>
      <c r="AA327" s="6"/>
      <c r="AB327" s="6"/>
      <c r="AC327" s="6"/>
      <c r="AD327" s="7"/>
    </row>
    <row r="328">
      <c r="A328" s="23"/>
      <c r="B328" s="23"/>
      <c r="C328" s="27"/>
      <c r="D328" s="19"/>
      <c r="E328" s="6"/>
      <c r="F328" s="6"/>
      <c r="G328" s="6"/>
      <c r="H328" s="6"/>
      <c r="I328" s="19"/>
      <c r="J328" s="6"/>
      <c r="K328" s="6"/>
      <c r="L328" s="19"/>
      <c r="M328" s="6"/>
      <c r="N328" s="6"/>
      <c r="O328" s="6"/>
      <c r="P328" s="6"/>
      <c r="Q328" s="6"/>
      <c r="R328" s="6"/>
      <c r="S328" s="6"/>
      <c r="T328" s="6"/>
      <c r="U328" s="6"/>
      <c r="V328" s="6"/>
      <c r="W328" s="6"/>
      <c r="X328" s="6"/>
      <c r="Y328" s="6"/>
      <c r="Z328" s="6"/>
      <c r="AA328" s="6"/>
      <c r="AB328" s="6"/>
      <c r="AC328" s="6"/>
      <c r="AD328" s="7"/>
    </row>
    <row r="329">
      <c r="A329" s="23"/>
      <c r="B329" s="23"/>
      <c r="C329" s="27"/>
      <c r="D329" s="19"/>
      <c r="E329" s="6"/>
      <c r="F329" s="6"/>
      <c r="G329" s="6"/>
      <c r="H329" s="6"/>
      <c r="I329" s="19"/>
      <c r="J329" s="6"/>
      <c r="K329" s="6"/>
      <c r="L329" s="19"/>
      <c r="M329" s="6"/>
      <c r="N329" s="6"/>
      <c r="O329" s="6"/>
      <c r="P329" s="6"/>
      <c r="Q329" s="6"/>
      <c r="R329" s="6"/>
      <c r="S329" s="6"/>
      <c r="T329" s="6"/>
      <c r="U329" s="6"/>
      <c r="V329" s="6"/>
      <c r="W329" s="6"/>
      <c r="X329" s="6"/>
      <c r="Y329" s="6"/>
      <c r="Z329" s="6"/>
      <c r="AA329" s="6"/>
      <c r="AB329" s="6"/>
      <c r="AC329" s="6"/>
      <c r="AD329" s="7"/>
    </row>
    <row r="330">
      <c r="A330" s="23"/>
      <c r="B330" s="23"/>
      <c r="C330" s="27"/>
      <c r="D330" s="19"/>
      <c r="E330" s="6"/>
      <c r="F330" s="6"/>
      <c r="G330" s="6"/>
      <c r="H330" s="6"/>
      <c r="I330" s="19"/>
      <c r="J330" s="6"/>
      <c r="K330" s="6"/>
      <c r="L330" s="19"/>
      <c r="M330" s="6"/>
      <c r="N330" s="6"/>
      <c r="O330" s="6"/>
      <c r="P330" s="6"/>
      <c r="Q330" s="6"/>
      <c r="R330" s="6"/>
      <c r="S330" s="6"/>
      <c r="T330" s="6"/>
      <c r="U330" s="6"/>
      <c r="V330" s="6"/>
      <c r="W330" s="6"/>
      <c r="X330" s="6"/>
      <c r="Y330" s="6"/>
      <c r="Z330" s="6"/>
      <c r="AA330" s="6"/>
      <c r="AB330" s="6"/>
      <c r="AC330" s="6"/>
      <c r="AD330" s="7"/>
    </row>
    <row r="331">
      <c r="A331" s="23"/>
      <c r="B331" s="23"/>
      <c r="C331" s="27"/>
      <c r="D331" s="19"/>
      <c r="E331" s="6"/>
      <c r="F331" s="6"/>
      <c r="G331" s="6"/>
      <c r="H331" s="6"/>
      <c r="I331" s="19"/>
      <c r="J331" s="6"/>
      <c r="K331" s="6"/>
      <c r="L331" s="19"/>
      <c r="M331" s="6"/>
      <c r="N331" s="6"/>
      <c r="O331" s="6"/>
      <c r="P331" s="6"/>
      <c r="Q331" s="6"/>
      <c r="R331" s="6"/>
      <c r="S331" s="6"/>
      <c r="T331" s="6"/>
      <c r="U331" s="6"/>
      <c r="V331" s="6"/>
      <c r="W331" s="6"/>
      <c r="X331" s="6"/>
      <c r="Y331" s="6"/>
      <c r="Z331" s="6"/>
      <c r="AA331" s="6"/>
      <c r="AB331" s="6"/>
      <c r="AC331" s="6"/>
      <c r="AD331" s="7"/>
    </row>
    <row r="332">
      <c r="A332" s="23"/>
      <c r="B332" s="23"/>
      <c r="C332" s="27"/>
      <c r="D332" s="19"/>
      <c r="E332" s="6"/>
      <c r="F332" s="6"/>
      <c r="G332" s="6"/>
      <c r="H332" s="6"/>
      <c r="I332" s="19"/>
      <c r="J332" s="6"/>
      <c r="K332" s="6"/>
      <c r="L332" s="19"/>
      <c r="M332" s="6"/>
      <c r="N332" s="6"/>
      <c r="O332" s="6"/>
      <c r="P332" s="6"/>
      <c r="Q332" s="6"/>
      <c r="R332" s="6"/>
      <c r="S332" s="6"/>
      <c r="T332" s="6"/>
      <c r="U332" s="6"/>
      <c r="V332" s="6"/>
      <c r="W332" s="6"/>
      <c r="X332" s="6"/>
      <c r="Y332" s="6"/>
      <c r="Z332" s="6"/>
      <c r="AA332" s="6"/>
      <c r="AB332" s="6"/>
      <c r="AC332" s="6"/>
      <c r="AD332" s="7"/>
    </row>
    <row r="333">
      <c r="A333" s="23"/>
      <c r="B333" s="23"/>
      <c r="C333" s="27"/>
      <c r="D333" s="19"/>
      <c r="E333" s="6"/>
      <c r="F333" s="6"/>
      <c r="G333" s="6"/>
      <c r="H333" s="6"/>
      <c r="I333" s="19"/>
      <c r="J333" s="6"/>
      <c r="K333" s="6"/>
      <c r="L333" s="19"/>
      <c r="M333" s="6"/>
      <c r="N333" s="6"/>
      <c r="O333" s="6"/>
      <c r="P333" s="6"/>
      <c r="Q333" s="6"/>
      <c r="R333" s="6"/>
      <c r="S333" s="6"/>
      <c r="T333" s="6"/>
      <c r="U333" s="6"/>
      <c r="V333" s="6"/>
      <c r="W333" s="6"/>
      <c r="X333" s="6"/>
      <c r="Y333" s="6"/>
      <c r="Z333" s="6"/>
      <c r="AA333" s="6"/>
      <c r="AB333" s="6"/>
      <c r="AC333" s="6"/>
      <c r="AD333" s="7"/>
    </row>
    <row r="334">
      <c r="A334" s="23"/>
      <c r="B334" s="23"/>
      <c r="C334" s="27"/>
      <c r="D334" s="19"/>
      <c r="E334" s="6"/>
      <c r="F334" s="6"/>
      <c r="G334" s="6"/>
      <c r="H334" s="6"/>
      <c r="I334" s="19"/>
      <c r="J334" s="6"/>
      <c r="K334" s="6"/>
      <c r="L334" s="19"/>
      <c r="M334" s="6"/>
      <c r="N334" s="6"/>
      <c r="O334" s="6"/>
      <c r="P334" s="6"/>
      <c r="Q334" s="6"/>
      <c r="R334" s="6"/>
      <c r="S334" s="6"/>
      <c r="T334" s="6"/>
      <c r="U334" s="6"/>
      <c r="V334" s="6"/>
      <c r="W334" s="6"/>
      <c r="X334" s="6"/>
      <c r="Y334" s="6"/>
      <c r="Z334" s="6"/>
      <c r="AA334" s="6"/>
      <c r="AB334" s="6"/>
      <c r="AC334" s="6"/>
      <c r="AD334" s="7"/>
    </row>
    <row r="335">
      <c r="A335" s="23"/>
      <c r="B335" s="23"/>
      <c r="C335" s="27"/>
      <c r="D335" s="19"/>
      <c r="E335" s="6"/>
      <c r="F335" s="6"/>
      <c r="G335" s="6"/>
      <c r="H335" s="6"/>
      <c r="I335" s="19"/>
      <c r="J335" s="6"/>
      <c r="K335" s="6"/>
      <c r="L335" s="19"/>
      <c r="M335" s="6"/>
      <c r="N335" s="6"/>
      <c r="O335" s="6"/>
      <c r="P335" s="6"/>
      <c r="Q335" s="6"/>
      <c r="R335" s="6"/>
      <c r="S335" s="6"/>
      <c r="T335" s="6"/>
      <c r="U335" s="6"/>
      <c r="V335" s="6"/>
      <c r="W335" s="6"/>
      <c r="X335" s="6"/>
      <c r="Y335" s="6"/>
      <c r="Z335" s="6"/>
      <c r="AA335" s="6"/>
      <c r="AB335" s="6"/>
      <c r="AC335" s="6"/>
      <c r="AD335" s="7"/>
    </row>
    <row r="336">
      <c r="A336" s="23"/>
      <c r="B336" s="23"/>
      <c r="C336" s="27"/>
      <c r="D336" s="19"/>
      <c r="E336" s="6"/>
      <c r="F336" s="6"/>
      <c r="G336" s="6"/>
      <c r="H336" s="6"/>
      <c r="I336" s="19"/>
      <c r="J336" s="6"/>
      <c r="K336" s="6"/>
      <c r="L336" s="19"/>
      <c r="M336" s="6"/>
      <c r="N336" s="6"/>
      <c r="O336" s="6"/>
      <c r="P336" s="6"/>
      <c r="Q336" s="6"/>
      <c r="R336" s="6"/>
      <c r="S336" s="6"/>
      <c r="T336" s="6"/>
      <c r="U336" s="6"/>
      <c r="V336" s="6"/>
      <c r="W336" s="6"/>
      <c r="X336" s="6"/>
      <c r="Y336" s="6"/>
      <c r="Z336" s="6"/>
      <c r="AA336" s="6"/>
      <c r="AB336" s="6"/>
      <c r="AC336" s="6"/>
      <c r="AD336" s="7"/>
    </row>
    <row r="337">
      <c r="A337" s="23"/>
      <c r="B337" s="23"/>
      <c r="C337" s="27"/>
      <c r="D337" s="19"/>
      <c r="E337" s="6"/>
      <c r="F337" s="6"/>
      <c r="G337" s="6"/>
      <c r="H337" s="6"/>
      <c r="I337" s="19"/>
      <c r="J337" s="6"/>
      <c r="K337" s="6"/>
      <c r="L337" s="19"/>
      <c r="M337" s="6"/>
      <c r="N337" s="6"/>
      <c r="O337" s="6"/>
      <c r="P337" s="6"/>
      <c r="Q337" s="6"/>
      <c r="R337" s="6"/>
      <c r="S337" s="6"/>
      <c r="T337" s="6"/>
      <c r="U337" s="6"/>
      <c r="V337" s="6"/>
      <c r="W337" s="6"/>
      <c r="X337" s="6"/>
      <c r="Y337" s="6"/>
      <c r="Z337" s="6"/>
      <c r="AA337" s="6"/>
      <c r="AB337" s="6"/>
      <c r="AC337" s="6"/>
      <c r="AD337" s="7"/>
    </row>
    <row r="338">
      <c r="A338" s="23"/>
      <c r="B338" s="23"/>
      <c r="C338" s="27"/>
      <c r="D338" s="19"/>
      <c r="E338" s="6"/>
      <c r="F338" s="6"/>
      <c r="G338" s="6"/>
      <c r="H338" s="6"/>
      <c r="I338" s="19"/>
      <c r="J338" s="6"/>
      <c r="K338" s="6"/>
      <c r="L338" s="19"/>
      <c r="M338" s="6"/>
      <c r="N338" s="6"/>
      <c r="O338" s="6"/>
      <c r="P338" s="6"/>
      <c r="Q338" s="6"/>
      <c r="R338" s="6"/>
      <c r="S338" s="6"/>
      <c r="T338" s="6"/>
      <c r="U338" s="6"/>
      <c r="V338" s="6"/>
      <c r="W338" s="6"/>
      <c r="X338" s="6"/>
      <c r="Y338" s="6"/>
      <c r="Z338" s="6"/>
      <c r="AA338" s="6"/>
      <c r="AB338" s="6"/>
      <c r="AC338" s="6"/>
      <c r="AD338" s="7"/>
    </row>
    <row r="339">
      <c r="A339" s="23"/>
      <c r="B339" s="23"/>
      <c r="C339" s="27"/>
      <c r="D339" s="19"/>
      <c r="E339" s="6"/>
      <c r="F339" s="6"/>
      <c r="G339" s="6"/>
      <c r="H339" s="6"/>
      <c r="I339" s="19"/>
      <c r="J339" s="6"/>
      <c r="K339" s="6"/>
      <c r="L339" s="19"/>
      <c r="M339" s="6"/>
      <c r="N339" s="6"/>
      <c r="O339" s="6"/>
      <c r="P339" s="6"/>
      <c r="Q339" s="6"/>
      <c r="R339" s="6"/>
      <c r="S339" s="6"/>
      <c r="T339" s="6"/>
      <c r="U339" s="6"/>
      <c r="V339" s="6"/>
      <c r="W339" s="6"/>
      <c r="X339" s="6"/>
      <c r="Y339" s="6"/>
      <c r="Z339" s="6"/>
      <c r="AA339" s="6"/>
      <c r="AB339" s="6"/>
      <c r="AC339" s="6"/>
      <c r="AD339" s="7"/>
    </row>
    <row r="340">
      <c r="A340" s="23"/>
      <c r="B340" s="23"/>
      <c r="C340" s="27"/>
      <c r="D340" s="19"/>
      <c r="E340" s="6"/>
      <c r="F340" s="6"/>
      <c r="G340" s="6"/>
      <c r="H340" s="6"/>
      <c r="I340" s="19"/>
      <c r="J340" s="6"/>
      <c r="K340" s="6"/>
      <c r="L340" s="19"/>
      <c r="M340" s="6"/>
      <c r="N340" s="6"/>
      <c r="O340" s="6"/>
      <c r="P340" s="6"/>
      <c r="Q340" s="6"/>
      <c r="R340" s="6"/>
      <c r="S340" s="6"/>
      <c r="T340" s="6"/>
      <c r="U340" s="6"/>
      <c r="V340" s="6"/>
      <c r="W340" s="6"/>
      <c r="X340" s="6"/>
      <c r="Y340" s="6"/>
      <c r="Z340" s="6"/>
      <c r="AA340" s="6"/>
      <c r="AB340" s="6"/>
      <c r="AC340" s="6"/>
      <c r="AD340" s="7"/>
    </row>
    <row r="341">
      <c r="A341" s="23"/>
      <c r="B341" s="23"/>
      <c r="C341" s="27"/>
      <c r="D341" s="19"/>
      <c r="E341" s="6"/>
      <c r="F341" s="6"/>
      <c r="G341" s="6"/>
      <c r="H341" s="6"/>
      <c r="I341" s="19"/>
      <c r="J341" s="6"/>
      <c r="K341" s="6"/>
      <c r="L341" s="19"/>
      <c r="M341" s="6"/>
      <c r="N341" s="6"/>
      <c r="O341" s="6"/>
      <c r="P341" s="6"/>
      <c r="Q341" s="6"/>
      <c r="R341" s="6"/>
      <c r="S341" s="6"/>
      <c r="T341" s="6"/>
      <c r="U341" s="6"/>
      <c r="V341" s="6"/>
      <c r="W341" s="6"/>
      <c r="X341" s="6"/>
      <c r="Y341" s="6"/>
      <c r="Z341" s="6"/>
      <c r="AA341" s="6"/>
      <c r="AB341" s="6"/>
      <c r="AC341" s="6"/>
      <c r="AD341" s="7"/>
    </row>
    <row r="342">
      <c r="A342" s="23"/>
      <c r="B342" s="23"/>
      <c r="C342" s="27"/>
      <c r="D342" s="19"/>
      <c r="E342" s="6"/>
      <c r="F342" s="6"/>
      <c r="G342" s="6"/>
      <c r="H342" s="6"/>
      <c r="I342" s="19"/>
      <c r="J342" s="6"/>
      <c r="K342" s="6"/>
      <c r="L342" s="19"/>
      <c r="M342" s="6"/>
      <c r="N342" s="6"/>
      <c r="O342" s="6"/>
      <c r="P342" s="6"/>
      <c r="Q342" s="6"/>
      <c r="R342" s="6"/>
      <c r="S342" s="6"/>
      <c r="T342" s="6"/>
      <c r="U342" s="6"/>
      <c r="V342" s="6"/>
      <c r="W342" s="6"/>
      <c r="X342" s="6"/>
      <c r="Y342" s="6"/>
      <c r="Z342" s="6"/>
      <c r="AA342" s="6"/>
      <c r="AB342" s="6"/>
      <c r="AC342" s="6"/>
      <c r="AD342" s="7"/>
    </row>
    <row r="343">
      <c r="A343" s="23"/>
      <c r="B343" s="23"/>
      <c r="C343" s="27"/>
      <c r="D343" s="19"/>
      <c r="E343" s="6"/>
      <c r="F343" s="6"/>
      <c r="G343" s="6"/>
      <c r="H343" s="6"/>
      <c r="I343" s="19"/>
      <c r="J343" s="6"/>
      <c r="K343" s="6"/>
      <c r="L343" s="19"/>
      <c r="M343" s="6"/>
      <c r="N343" s="6"/>
      <c r="O343" s="6"/>
      <c r="P343" s="6"/>
      <c r="Q343" s="6"/>
      <c r="R343" s="6"/>
      <c r="S343" s="6"/>
      <c r="T343" s="6"/>
      <c r="U343" s="6"/>
      <c r="V343" s="6"/>
      <c r="W343" s="6"/>
      <c r="X343" s="6"/>
      <c r="Y343" s="6"/>
      <c r="Z343" s="6"/>
      <c r="AA343" s="6"/>
      <c r="AB343" s="6"/>
      <c r="AC343" s="6"/>
      <c r="AD343" s="7"/>
    </row>
    <row r="344">
      <c r="A344" s="23"/>
      <c r="B344" s="23"/>
      <c r="C344" s="27"/>
      <c r="D344" s="19"/>
      <c r="E344" s="6"/>
      <c r="F344" s="6"/>
      <c r="G344" s="6"/>
      <c r="H344" s="6"/>
      <c r="I344" s="19"/>
      <c r="J344" s="6"/>
      <c r="K344" s="6"/>
      <c r="L344" s="19"/>
      <c r="M344" s="6"/>
      <c r="N344" s="6"/>
      <c r="O344" s="6"/>
      <c r="P344" s="6"/>
      <c r="Q344" s="6"/>
      <c r="R344" s="6"/>
      <c r="S344" s="6"/>
      <c r="T344" s="6"/>
      <c r="U344" s="6"/>
      <c r="V344" s="6"/>
      <c r="W344" s="6"/>
      <c r="X344" s="6"/>
      <c r="Y344" s="6"/>
      <c r="Z344" s="6"/>
      <c r="AA344" s="6"/>
      <c r="AB344" s="6"/>
      <c r="AC344" s="6"/>
      <c r="AD344" s="7"/>
    </row>
    <row r="345">
      <c r="A345" s="23"/>
      <c r="B345" s="23"/>
      <c r="C345" s="27"/>
      <c r="D345" s="19"/>
      <c r="E345" s="6"/>
      <c r="F345" s="6"/>
      <c r="G345" s="6"/>
      <c r="H345" s="6"/>
      <c r="I345" s="19"/>
      <c r="J345" s="6"/>
      <c r="K345" s="6"/>
      <c r="L345" s="19"/>
      <c r="M345" s="6"/>
      <c r="N345" s="6"/>
      <c r="O345" s="6"/>
      <c r="P345" s="6"/>
      <c r="Q345" s="6"/>
      <c r="R345" s="6"/>
      <c r="S345" s="6"/>
      <c r="T345" s="6"/>
      <c r="U345" s="6"/>
      <c r="V345" s="6"/>
      <c r="W345" s="6"/>
      <c r="X345" s="6"/>
      <c r="Y345" s="6"/>
      <c r="Z345" s="6"/>
      <c r="AA345" s="6"/>
      <c r="AB345" s="6"/>
      <c r="AC345" s="6"/>
      <c r="AD345" s="7"/>
    </row>
    <row r="346">
      <c r="A346" s="23"/>
      <c r="B346" s="23"/>
      <c r="C346" s="27"/>
      <c r="D346" s="19"/>
      <c r="E346" s="6"/>
      <c r="F346" s="6"/>
      <c r="G346" s="6"/>
      <c r="H346" s="6"/>
      <c r="I346" s="19"/>
      <c r="J346" s="6"/>
      <c r="K346" s="6"/>
      <c r="L346" s="19"/>
      <c r="M346" s="6"/>
      <c r="N346" s="6"/>
      <c r="O346" s="6"/>
      <c r="P346" s="6"/>
      <c r="Q346" s="6"/>
      <c r="R346" s="6"/>
      <c r="S346" s="6"/>
      <c r="T346" s="6"/>
      <c r="U346" s="6"/>
      <c r="V346" s="6"/>
      <c r="W346" s="6"/>
      <c r="X346" s="6"/>
      <c r="Y346" s="6"/>
      <c r="Z346" s="6"/>
      <c r="AA346" s="6"/>
      <c r="AB346" s="6"/>
      <c r="AC346" s="6"/>
      <c r="AD346" s="7"/>
    </row>
    <row r="347">
      <c r="A347" s="23"/>
      <c r="B347" s="23"/>
      <c r="C347" s="27"/>
      <c r="D347" s="19"/>
      <c r="E347" s="6"/>
      <c r="F347" s="6"/>
      <c r="G347" s="6"/>
      <c r="H347" s="6"/>
      <c r="I347" s="19"/>
      <c r="J347" s="6"/>
      <c r="K347" s="6"/>
      <c r="L347" s="19"/>
      <c r="M347" s="6"/>
      <c r="N347" s="6"/>
      <c r="O347" s="6"/>
      <c r="P347" s="6"/>
      <c r="Q347" s="6"/>
      <c r="R347" s="6"/>
      <c r="S347" s="6"/>
      <c r="T347" s="6"/>
      <c r="U347" s="6"/>
      <c r="V347" s="6"/>
      <c r="W347" s="6"/>
      <c r="X347" s="6"/>
      <c r="Y347" s="6"/>
      <c r="Z347" s="6"/>
      <c r="AA347" s="6"/>
      <c r="AB347" s="6"/>
      <c r="AC347" s="6"/>
      <c r="AD347" s="7"/>
    </row>
    <row r="348">
      <c r="A348" s="23"/>
      <c r="B348" s="23"/>
      <c r="C348" s="27"/>
      <c r="D348" s="19"/>
      <c r="E348" s="6"/>
      <c r="F348" s="6"/>
      <c r="G348" s="6"/>
      <c r="H348" s="6"/>
      <c r="I348" s="19"/>
      <c r="J348" s="6"/>
      <c r="K348" s="6"/>
      <c r="L348" s="19"/>
      <c r="M348" s="6"/>
      <c r="N348" s="6"/>
      <c r="O348" s="6"/>
      <c r="P348" s="6"/>
      <c r="Q348" s="6"/>
      <c r="R348" s="6"/>
      <c r="S348" s="6"/>
      <c r="T348" s="6"/>
      <c r="U348" s="6"/>
      <c r="V348" s="6"/>
      <c r="W348" s="6"/>
      <c r="X348" s="6"/>
      <c r="Y348" s="6"/>
      <c r="Z348" s="6"/>
      <c r="AA348" s="6"/>
      <c r="AB348" s="6"/>
      <c r="AC348" s="6"/>
      <c r="AD348" s="7"/>
    </row>
    <row r="349">
      <c r="A349" s="23"/>
      <c r="B349" s="23"/>
      <c r="C349" s="27"/>
      <c r="D349" s="19"/>
      <c r="E349" s="6"/>
      <c r="F349" s="6"/>
      <c r="G349" s="6"/>
      <c r="H349" s="6"/>
      <c r="I349" s="19"/>
      <c r="J349" s="6"/>
      <c r="K349" s="6"/>
      <c r="L349" s="19"/>
      <c r="M349" s="6"/>
      <c r="N349" s="6"/>
      <c r="O349" s="6"/>
      <c r="P349" s="6"/>
      <c r="Q349" s="6"/>
      <c r="R349" s="6"/>
      <c r="S349" s="6"/>
      <c r="T349" s="6"/>
      <c r="U349" s="6"/>
      <c r="V349" s="6"/>
      <c r="W349" s="6"/>
      <c r="X349" s="6"/>
      <c r="Y349" s="6"/>
      <c r="Z349" s="6"/>
      <c r="AA349" s="6"/>
      <c r="AB349" s="6"/>
      <c r="AC349" s="6"/>
      <c r="AD349" s="7"/>
    </row>
    <row r="350">
      <c r="A350" s="23"/>
      <c r="B350" s="23"/>
      <c r="C350" s="27"/>
      <c r="D350" s="19"/>
      <c r="E350" s="6"/>
      <c r="F350" s="6"/>
      <c r="G350" s="6"/>
      <c r="H350" s="6"/>
      <c r="I350" s="19"/>
      <c r="J350" s="6"/>
      <c r="K350" s="6"/>
      <c r="L350" s="19"/>
      <c r="M350" s="6"/>
      <c r="N350" s="6"/>
      <c r="O350" s="6"/>
      <c r="P350" s="6"/>
      <c r="Q350" s="6"/>
      <c r="R350" s="6"/>
      <c r="S350" s="6"/>
      <c r="T350" s="6"/>
      <c r="U350" s="6"/>
      <c r="V350" s="6"/>
      <c r="W350" s="6"/>
      <c r="X350" s="6"/>
      <c r="Y350" s="6"/>
      <c r="Z350" s="6"/>
      <c r="AA350" s="6"/>
      <c r="AB350" s="6"/>
      <c r="AC350" s="6"/>
      <c r="AD350" s="7"/>
    </row>
    <row r="351">
      <c r="A351" s="23"/>
      <c r="B351" s="23"/>
      <c r="C351" s="27"/>
      <c r="D351" s="19"/>
      <c r="E351" s="6"/>
      <c r="F351" s="6"/>
      <c r="G351" s="6"/>
      <c r="H351" s="6"/>
      <c r="I351" s="19"/>
      <c r="J351" s="6"/>
      <c r="K351" s="6"/>
      <c r="L351" s="19"/>
      <c r="M351" s="6"/>
      <c r="N351" s="6"/>
      <c r="O351" s="6"/>
      <c r="P351" s="6"/>
      <c r="Q351" s="6"/>
      <c r="R351" s="6"/>
      <c r="S351" s="6"/>
      <c r="T351" s="6"/>
      <c r="U351" s="6"/>
      <c r="V351" s="6"/>
      <c r="W351" s="6"/>
      <c r="X351" s="6"/>
      <c r="Y351" s="6"/>
      <c r="Z351" s="6"/>
      <c r="AA351" s="6"/>
      <c r="AB351" s="6"/>
      <c r="AC351" s="6"/>
      <c r="AD351" s="7"/>
    </row>
    <row r="352">
      <c r="A352" s="23"/>
      <c r="B352" s="23"/>
      <c r="C352" s="27"/>
      <c r="D352" s="19"/>
      <c r="E352" s="6"/>
      <c r="F352" s="6"/>
      <c r="G352" s="6"/>
      <c r="H352" s="6"/>
      <c r="I352" s="19"/>
      <c r="J352" s="6"/>
      <c r="K352" s="6"/>
      <c r="L352" s="19"/>
      <c r="M352" s="6"/>
      <c r="N352" s="6"/>
      <c r="O352" s="6"/>
      <c r="P352" s="6"/>
      <c r="Q352" s="6"/>
      <c r="R352" s="6"/>
      <c r="S352" s="6"/>
      <c r="T352" s="6"/>
      <c r="U352" s="6"/>
      <c r="V352" s="6"/>
      <c r="W352" s="6"/>
      <c r="X352" s="6"/>
      <c r="Y352" s="6"/>
      <c r="Z352" s="6"/>
      <c r="AA352" s="6"/>
      <c r="AB352" s="6"/>
      <c r="AC352" s="6"/>
      <c r="AD352" s="7"/>
    </row>
    <row r="353">
      <c r="A353" s="23"/>
      <c r="B353" s="23"/>
      <c r="C353" s="27"/>
      <c r="D353" s="19"/>
      <c r="E353" s="6"/>
      <c r="F353" s="6"/>
      <c r="G353" s="6"/>
      <c r="H353" s="6"/>
      <c r="I353" s="19"/>
      <c r="J353" s="6"/>
      <c r="K353" s="6"/>
      <c r="L353" s="19"/>
      <c r="M353" s="6"/>
      <c r="N353" s="6"/>
      <c r="O353" s="6"/>
      <c r="P353" s="6"/>
      <c r="Q353" s="6"/>
      <c r="R353" s="6"/>
      <c r="S353" s="6"/>
      <c r="T353" s="6"/>
      <c r="U353" s="6"/>
      <c r="V353" s="6"/>
      <c r="W353" s="6"/>
      <c r="X353" s="6"/>
      <c r="Y353" s="6"/>
      <c r="Z353" s="6"/>
      <c r="AA353" s="6"/>
      <c r="AB353" s="6"/>
      <c r="AC353" s="6"/>
      <c r="AD353" s="7"/>
    </row>
    <row r="354">
      <c r="A354" s="23"/>
      <c r="B354" s="23"/>
      <c r="C354" s="27"/>
      <c r="D354" s="19"/>
      <c r="E354" s="6"/>
      <c r="F354" s="6"/>
      <c r="G354" s="6"/>
      <c r="H354" s="6"/>
      <c r="I354" s="19"/>
      <c r="J354" s="6"/>
      <c r="K354" s="6"/>
      <c r="L354" s="19"/>
      <c r="M354" s="6"/>
      <c r="N354" s="6"/>
      <c r="O354" s="6"/>
      <c r="P354" s="6"/>
      <c r="Q354" s="6"/>
      <c r="R354" s="6"/>
      <c r="S354" s="6"/>
      <c r="T354" s="6"/>
      <c r="U354" s="6"/>
      <c r="V354" s="6"/>
      <c r="W354" s="6"/>
      <c r="X354" s="6"/>
      <c r="Y354" s="6"/>
      <c r="Z354" s="6"/>
      <c r="AA354" s="6"/>
      <c r="AB354" s="6"/>
      <c r="AC354" s="6"/>
      <c r="AD354" s="7"/>
    </row>
    <row r="355">
      <c r="A355" s="23"/>
      <c r="B355" s="23"/>
      <c r="C355" s="27"/>
      <c r="D355" s="19"/>
      <c r="E355" s="6"/>
      <c r="F355" s="6"/>
      <c r="G355" s="6"/>
      <c r="H355" s="6"/>
      <c r="I355" s="19"/>
      <c r="J355" s="6"/>
      <c r="K355" s="6"/>
      <c r="L355" s="19"/>
      <c r="M355" s="6"/>
      <c r="N355" s="6"/>
      <c r="O355" s="6"/>
      <c r="P355" s="6"/>
      <c r="Q355" s="6"/>
      <c r="R355" s="6"/>
      <c r="S355" s="6"/>
      <c r="T355" s="6"/>
      <c r="U355" s="6"/>
      <c r="V355" s="6"/>
      <c r="W355" s="6"/>
      <c r="X355" s="6"/>
      <c r="Y355" s="6"/>
      <c r="Z355" s="6"/>
      <c r="AA355" s="6"/>
      <c r="AB355" s="6"/>
      <c r="AC355" s="6"/>
      <c r="AD355" s="7"/>
    </row>
    <row r="356">
      <c r="A356" s="23"/>
      <c r="B356" s="23"/>
      <c r="C356" s="27"/>
      <c r="D356" s="19"/>
      <c r="E356" s="6"/>
      <c r="F356" s="6"/>
      <c r="G356" s="6"/>
      <c r="H356" s="6"/>
      <c r="I356" s="19"/>
      <c r="J356" s="6"/>
      <c r="K356" s="6"/>
      <c r="L356" s="19"/>
      <c r="M356" s="6"/>
      <c r="N356" s="6"/>
      <c r="O356" s="6"/>
      <c r="P356" s="6"/>
      <c r="Q356" s="6"/>
      <c r="R356" s="6"/>
      <c r="S356" s="6"/>
      <c r="T356" s="6"/>
      <c r="U356" s="6"/>
      <c r="V356" s="6"/>
      <c r="W356" s="6"/>
      <c r="X356" s="6"/>
      <c r="Y356" s="6"/>
      <c r="Z356" s="6"/>
      <c r="AA356" s="6"/>
      <c r="AB356" s="6"/>
      <c r="AC356" s="6"/>
      <c r="AD356" s="7"/>
    </row>
    <row r="357">
      <c r="A357" s="23"/>
      <c r="B357" s="23"/>
      <c r="C357" s="27"/>
      <c r="D357" s="19"/>
      <c r="E357" s="6"/>
      <c r="F357" s="6"/>
      <c r="G357" s="6"/>
      <c r="H357" s="6"/>
      <c r="I357" s="19"/>
      <c r="J357" s="6"/>
      <c r="K357" s="6"/>
      <c r="L357" s="19"/>
      <c r="M357" s="6"/>
      <c r="N357" s="6"/>
      <c r="O357" s="6"/>
      <c r="P357" s="6"/>
      <c r="Q357" s="6"/>
      <c r="R357" s="6"/>
      <c r="S357" s="6"/>
      <c r="T357" s="6"/>
      <c r="U357" s="6"/>
      <c r="V357" s="6"/>
      <c r="W357" s="6"/>
      <c r="X357" s="6"/>
      <c r="Y357" s="6"/>
      <c r="Z357" s="6"/>
      <c r="AA357" s="6"/>
      <c r="AB357" s="6"/>
      <c r="AC357" s="6"/>
      <c r="AD357" s="7"/>
    </row>
    <row r="358">
      <c r="A358" s="23"/>
      <c r="B358" s="23"/>
      <c r="C358" s="27"/>
      <c r="D358" s="19"/>
      <c r="E358" s="6"/>
      <c r="F358" s="6"/>
      <c r="G358" s="6"/>
      <c r="H358" s="6"/>
      <c r="I358" s="19"/>
      <c r="J358" s="6"/>
      <c r="K358" s="6"/>
      <c r="L358" s="19"/>
      <c r="M358" s="6"/>
      <c r="N358" s="6"/>
      <c r="O358" s="6"/>
      <c r="P358" s="6"/>
      <c r="Q358" s="6"/>
      <c r="R358" s="6"/>
      <c r="S358" s="6"/>
      <c r="T358" s="6"/>
      <c r="U358" s="6"/>
      <c r="V358" s="6"/>
      <c r="W358" s="6"/>
      <c r="X358" s="6"/>
      <c r="Y358" s="6"/>
      <c r="Z358" s="6"/>
      <c r="AA358" s="6"/>
      <c r="AB358" s="6"/>
      <c r="AC358" s="6"/>
      <c r="AD358" s="7"/>
    </row>
    <row r="359">
      <c r="A359" s="23"/>
      <c r="B359" s="23"/>
      <c r="C359" s="27"/>
      <c r="D359" s="19"/>
      <c r="E359" s="6"/>
      <c r="F359" s="6"/>
      <c r="G359" s="6"/>
      <c r="H359" s="6"/>
      <c r="I359" s="19"/>
      <c r="J359" s="6"/>
      <c r="K359" s="6"/>
      <c r="L359" s="19"/>
      <c r="M359" s="6"/>
      <c r="N359" s="6"/>
      <c r="O359" s="6"/>
      <c r="P359" s="6"/>
      <c r="Q359" s="6"/>
      <c r="R359" s="6"/>
      <c r="S359" s="6"/>
      <c r="T359" s="6"/>
      <c r="U359" s="6"/>
      <c r="V359" s="6"/>
      <c r="W359" s="6"/>
      <c r="X359" s="6"/>
      <c r="Y359" s="6"/>
      <c r="Z359" s="6"/>
      <c r="AA359" s="6"/>
      <c r="AB359" s="6"/>
      <c r="AC359" s="6"/>
      <c r="AD359" s="7"/>
    </row>
    <row r="360">
      <c r="A360" s="23"/>
      <c r="B360" s="23"/>
      <c r="C360" s="27"/>
      <c r="D360" s="19"/>
      <c r="E360" s="6"/>
      <c r="F360" s="6"/>
      <c r="G360" s="6"/>
      <c r="H360" s="6"/>
      <c r="I360" s="19"/>
      <c r="J360" s="6"/>
      <c r="K360" s="6"/>
      <c r="L360" s="19"/>
      <c r="M360" s="6"/>
      <c r="N360" s="6"/>
      <c r="O360" s="6"/>
      <c r="P360" s="6"/>
      <c r="Q360" s="6"/>
      <c r="R360" s="6"/>
      <c r="S360" s="6"/>
      <c r="T360" s="6"/>
      <c r="U360" s="6"/>
      <c r="V360" s="6"/>
      <c r="W360" s="6"/>
      <c r="X360" s="6"/>
      <c r="Y360" s="6"/>
      <c r="Z360" s="6"/>
      <c r="AA360" s="6"/>
      <c r="AB360" s="6"/>
      <c r="AC360" s="6"/>
      <c r="AD360" s="7"/>
    </row>
    <row r="361">
      <c r="A361" s="23"/>
      <c r="B361" s="23"/>
      <c r="C361" s="27"/>
      <c r="D361" s="19"/>
      <c r="E361" s="6"/>
      <c r="F361" s="6"/>
      <c r="G361" s="6"/>
      <c r="H361" s="6"/>
      <c r="I361" s="19"/>
      <c r="J361" s="6"/>
      <c r="K361" s="6"/>
      <c r="L361" s="19"/>
      <c r="M361" s="6"/>
      <c r="N361" s="6"/>
      <c r="O361" s="6"/>
      <c r="P361" s="6"/>
      <c r="Q361" s="6"/>
      <c r="R361" s="6"/>
      <c r="S361" s="6"/>
      <c r="T361" s="6"/>
      <c r="U361" s="6"/>
      <c r="V361" s="6"/>
      <c r="W361" s="6"/>
      <c r="X361" s="6"/>
      <c r="Y361" s="6"/>
      <c r="Z361" s="6"/>
      <c r="AA361" s="6"/>
      <c r="AB361" s="6"/>
      <c r="AC361" s="6"/>
      <c r="AD361" s="7"/>
    </row>
    <row r="362">
      <c r="A362" s="23"/>
      <c r="B362" s="23"/>
      <c r="C362" s="27"/>
      <c r="D362" s="19"/>
      <c r="E362" s="6"/>
      <c r="F362" s="6"/>
      <c r="G362" s="6"/>
      <c r="H362" s="6"/>
      <c r="I362" s="19"/>
      <c r="J362" s="6"/>
      <c r="K362" s="6"/>
      <c r="L362" s="19"/>
      <c r="M362" s="6"/>
      <c r="N362" s="6"/>
      <c r="O362" s="6"/>
      <c r="P362" s="6"/>
      <c r="Q362" s="6"/>
      <c r="R362" s="6"/>
      <c r="S362" s="6"/>
      <c r="T362" s="6"/>
      <c r="U362" s="6"/>
      <c r="V362" s="6"/>
      <c r="W362" s="6"/>
      <c r="X362" s="6"/>
      <c r="Y362" s="6"/>
      <c r="Z362" s="6"/>
      <c r="AA362" s="6"/>
      <c r="AB362" s="6"/>
      <c r="AC362" s="6"/>
      <c r="AD362" s="7"/>
    </row>
    <row r="363">
      <c r="A363" s="23"/>
      <c r="B363" s="23"/>
      <c r="C363" s="27"/>
      <c r="D363" s="19"/>
      <c r="E363" s="6"/>
      <c r="F363" s="6"/>
      <c r="G363" s="6"/>
      <c r="H363" s="6"/>
      <c r="I363" s="19"/>
      <c r="J363" s="6"/>
      <c r="K363" s="6"/>
      <c r="L363" s="19"/>
      <c r="M363" s="6"/>
      <c r="N363" s="6"/>
      <c r="O363" s="6"/>
      <c r="P363" s="6"/>
      <c r="Q363" s="6"/>
      <c r="R363" s="6"/>
      <c r="S363" s="6"/>
      <c r="T363" s="6"/>
      <c r="U363" s="6"/>
      <c r="V363" s="6"/>
      <c r="W363" s="6"/>
      <c r="X363" s="6"/>
      <c r="Y363" s="6"/>
      <c r="Z363" s="6"/>
      <c r="AA363" s="6"/>
      <c r="AB363" s="6"/>
      <c r="AC363" s="6"/>
      <c r="AD363" s="7"/>
    </row>
    <row r="364">
      <c r="A364" s="23"/>
      <c r="B364" s="23"/>
      <c r="C364" s="27"/>
      <c r="D364" s="19"/>
      <c r="E364" s="6"/>
      <c r="F364" s="6"/>
      <c r="G364" s="6"/>
      <c r="H364" s="6"/>
      <c r="I364" s="19"/>
      <c r="J364" s="6"/>
      <c r="K364" s="6"/>
      <c r="L364" s="19"/>
      <c r="M364" s="6"/>
      <c r="N364" s="6"/>
      <c r="O364" s="6"/>
      <c r="P364" s="6"/>
      <c r="Q364" s="6"/>
      <c r="R364" s="6"/>
      <c r="S364" s="6"/>
      <c r="T364" s="6"/>
      <c r="U364" s="6"/>
      <c r="V364" s="6"/>
      <c r="W364" s="6"/>
      <c r="X364" s="6"/>
      <c r="Y364" s="6"/>
      <c r="Z364" s="6"/>
      <c r="AA364" s="6"/>
      <c r="AB364" s="6"/>
      <c r="AC364" s="6"/>
      <c r="AD364" s="7"/>
    </row>
    <row r="365">
      <c r="A365" s="23"/>
      <c r="B365" s="23"/>
      <c r="C365" s="27"/>
      <c r="D365" s="19"/>
      <c r="E365" s="6"/>
      <c r="F365" s="6"/>
      <c r="G365" s="6"/>
      <c r="H365" s="6"/>
      <c r="I365" s="19"/>
      <c r="J365" s="6"/>
      <c r="K365" s="6"/>
      <c r="L365" s="19"/>
      <c r="M365" s="6"/>
      <c r="N365" s="6"/>
      <c r="O365" s="6"/>
      <c r="P365" s="6"/>
      <c r="Q365" s="6"/>
      <c r="R365" s="6"/>
      <c r="S365" s="6"/>
      <c r="T365" s="6"/>
      <c r="U365" s="6"/>
      <c r="V365" s="6"/>
      <c r="W365" s="6"/>
      <c r="X365" s="6"/>
      <c r="Y365" s="6"/>
      <c r="Z365" s="6"/>
      <c r="AA365" s="6"/>
      <c r="AB365" s="6"/>
      <c r="AC365" s="6"/>
      <c r="AD365" s="7"/>
    </row>
    <row r="366">
      <c r="A366" s="23"/>
      <c r="B366" s="23"/>
      <c r="C366" s="27"/>
      <c r="D366" s="19"/>
      <c r="E366" s="6"/>
      <c r="F366" s="6"/>
      <c r="G366" s="6"/>
      <c r="H366" s="6"/>
      <c r="I366" s="19"/>
      <c r="J366" s="6"/>
      <c r="K366" s="6"/>
      <c r="L366" s="19"/>
      <c r="M366" s="6"/>
      <c r="N366" s="6"/>
      <c r="O366" s="6"/>
      <c r="P366" s="6"/>
      <c r="Q366" s="6"/>
      <c r="R366" s="6"/>
      <c r="S366" s="6"/>
      <c r="T366" s="6"/>
      <c r="U366" s="6"/>
      <c r="V366" s="6"/>
      <c r="W366" s="6"/>
      <c r="X366" s="6"/>
      <c r="Y366" s="6"/>
      <c r="Z366" s="6"/>
      <c r="AA366" s="6"/>
      <c r="AB366" s="6"/>
      <c r="AC366" s="6"/>
      <c r="AD366" s="7"/>
    </row>
    <row r="367">
      <c r="A367" s="23"/>
      <c r="B367" s="23"/>
      <c r="C367" s="27"/>
      <c r="D367" s="19"/>
      <c r="E367" s="6"/>
      <c r="F367" s="6"/>
      <c r="G367" s="6"/>
      <c r="H367" s="6"/>
      <c r="I367" s="19"/>
      <c r="J367" s="6"/>
      <c r="K367" s="6"/>
      <c r="L367" s="19"/>
      <c r="M367" s="6"/>
      <c r="N367" s="6"/>
      <c r="O367" s="6"/>
      <c r="P367" s="6"/>
      <c r="Q367" s="6"/>
      <c r="R367" s="6"/>
      <c r="S367" s="6"/>
      <c r="T367" s="6"/>
      <c r="U367" s="6"/>
      <c r="V367" s="6"/>
      <c r="W367" s="6"/>
      <c r="X367" s="6"/>
      <c r="Y367" s="6"/>
      <c r="Z367" s="6"/>
      <c r="AA367" s="6"/>
      <c r="AB367" s="6"/>
      <c r="AC367" s="6"/>
      <c r="AD367" s="7"/>
    </row>
    <row r="368">
      <c r="A368" s="23"/>
      <c r="B368" s="23"/>
      <c r="C368" s="27"/>
      <c r="D368" s="19"/>
      <c r="E368" s="6"/>
      <c r="F368" s="6"/>
      <c r="G368" s="6"/>
      <c r="H368" s="6"/>
      <c r="I368" s="19"/>
      <c r="J368" s="6"/>
      <c r="K368" s="6"/>
      <c r="L368" s="19"/>
      <c r="M368" s="6"/>
      <c r="N368" s="6"/>
      <c r="O368" s="6"/>
      <c r="P368" s="6"/>
      <c r="Q368" s="6"/>
      <c r="R368" s="6"/>
      <c r="S368" s="6"/>
      <c r="T368" s="6"/>
      <c r="U368" s="6"/>
      <c r="V368" s="6"/>
      <c r="W368" s="6"/>
      <c r="X368" s="6"/>
      <c r="Y368" s="6"/>
      <c r="Z368" s="6"/>
      <c r="AA368" s="6"/>
      <c r="AB368" s="6"/>
      <c r="AC368" s="6"/>
      <c r="AD368" s="7"/>
    </row>
    <row r="369">
      <c r="A369" s="23"/>
      <c r="B369" s="23"/>
      <c r="C369" s="27"/>
      <c r="D369" s="19"/>
      <c r="E369" s="6"/>
      <c r="F369" s="6"/>
      <c r="G369" s="6"/>
      <c r="H369" s="6"/>
      <c r="I369" s="19"/>
      <c r="J369" s="6"/>
      <c r="K369" s="6"/>
      <c r="L369" s="19"/>
      <c r="M369" s="6"/>
      <c r="N369" s="6"/>
      <c r="O369" s="6"/>
      <c r="P369" s="6"/>
      <c r="Q369" s="6"/>
      <c r="R369" s="6"/>
      <c r="S369" s="6"/>
      <c r="T369" s="6"/>
      <c r="U369" s="6"/>
      <c r="V369" s="6"/>
      <c r="W369" s="6"/>
      <c r="X369" s="6"/>
      <c r="Y369" s="6"/>
      <c r="Z369" s="6"/>
      <c r="AA369" s="6"/>
      <c r="AB369" s="6"/>
      <c r="AC369" s="6"/>
      <c r="AD369" s="7"/>
    </row>
    <row r="370">
      <c r="A370" s="23"/>
      <c r="B370" s="23"/>
      <c r="C370" s="27"/>
      <c r="D370" s="19"/>
      <c r="E370" s="6"/>
      <c r="F370" s="6"/>
      <c r="G370" s="6"/>
      <c r="H370" s="6"/>
      <c r="I370" s="19"/>
      <c r="J370" s="6"/>
      <c r="K370" s="6"/>
      <c r="L370" s="19"/>
      <c r="M370" s="6"/>
      <c r="N370" s="6"/>
      <c r="O370" s="6"/>
      <c r="P370" s="6"/>
      <c r="Q370" s="6"/>
      <c r="R370" s="6"/>
      <c r="S370" s="6"/>
      <c r="T370" s="6"/>
      <c r="U370" s="6"/>
      <c r="V370" s="6"/>
      <c r="W370" s="6"/>
      <c r="X370" s="6"/>
      <c r="Y370" s="6"/>
      <c r="Z370" s="6"/>
      <c r="AA370" s="6"/>
      <c r="AB370" s="6"/>
      <c r="AC370" s="6"/>
      <c r="AD370" s="7"/>
    </row>
    <row r="371">
      <c r="A371" s="23"/>
      <c r="B371" s="23"/>
      <c r="C371" s="27"/>
      <c r="D371" s="19"/>
      <c r="E371" s="6"/>
      <c r="F371" s="6"/>
      <c r="G371" s="6"/>
      <c r="H371" s="6"/>
      <c r="I371" s="19"/>
      <c r="J371" s="6"/>
      <c r="K371" s="6"/>
      <c r="L371" s="19"/>
      <c r="M371" s="6"/>
      <c r="N371" s="6"/>
      <c r="O371" s="6"/>
      <c r="P371" s="6"/>
      <c r="Q371" s="6"/>
      <c r="R371" s="6"/>
      <c r="S371" s="6"/>
      <c r="T371" s="6"/>
      <c r="U371" s="6"/>
      <c r="V371" s="6"/>
      <c r="W371" s="6"/>
      <c r="X371" s="6"/>
      <c r="Y371" s="6"/>
      <c r="Z371" s="6"/>
      <c r="AA371" s="6"/>
      <c r="AB371" s="6"/>
      <c r="AC371" s="6"/>
      <c r="AD371" s="7"/>
    </row>
    <row r="372">
      <c r="A372" s="23"/>
      <c r="B372" s="23"/>
      <c r="C372" s="27"/>
      <c r="D372" s="19"/>
      <c r="E372" s="6"/>
      <c r="F372" s="6"/>
      <c r="G372" s="6"/>
      <c r="H372" s="6"/>
      <c r="I372" s="19"/>
      <c r="J372" s="6"/>
      <c r="K372" s="6"/>
      <c r="L372" s="19"/>
      <c r="M372" s="6"/>
      <c r="N372" s="6"/>
      <c r="O372" s="6"/>
      <c r="P372" s="6"/>
      <c r="Q372" s="6"/>
      <c r="R372" s="6"/>
      <c r="S372" s="6"/>
      <c r="T372" s="6"/>
      <c r="U372" s="6"/>
      <c r="V372" s="6"/>
      <c r="W372" s="6"/>
      <c r="X372" s="6"/>
      <c r="Y372" s="6"/>
      <c r="Z372" s="6"/>
      <c r="AA372" s="6"/>
      <c r="AB372" s="6"/>
      <c r="AC372" s="6"/>
      <c r="AD372" s="7"/>
    </row>
    <row r="373">
      <c r="A373" s="23"/>
      <c r="B373" s="23"/>
      <c r="C373" s="27"/>
      <c r="D373" s="19"/>
      <c r="E373" s="6"/>
      <c r="F373" s="6"/>
      <c r="G373" s="6"/>
      <c r="H373" s="6"/>
      <c r="I373" s="19"/>
      <c r="J373" s="6"/>
      <c r="K373" s="6"/>
      <c r="L373" s="19"/>
      <c r="M373" s="6"/>
      <c r="N373" s="6"/>
      <c r="O373" s="6"/>
      <c r="P373" s="6"/>
      <c r="Q373" s="6"/>
      <c r="R373" s="6"/>
      <c r="S373" s="6"/>
      <c r="T373" s="6"/>
      <c r="U373" s="6"/>
      <c r="V373" s="6"/>
      <c r="W373" s="6"/>
      <c r="X373" s="6"/>
      <c r="Y373" s="6"/>
      <c r="Z373" s="6"/>
      <c r="AA373" s="6"/>
      <c r="AB373" s="6"/>
      <c r="AC373" s="6"/>
      <c r="AD373" s="7"/>
    </row>
    <row r="374">
      <c r="A374" s="23"/>
      <c r="B374" s="23"/>
      <c r="C374" s="27"/>
      <c r="D374" s="19"/>
      <c r="E374" s="6"/>
      <c r="F374" s="6"/>
      <c r="G374" s="6"/>
      <c r="H374" s="6"/>
      <c r="I374" s="19"/>
      <c r="J374" s="6"/>
      <c r="K374" s="6"/>
      <c r="L374" s="19"/>
      <c r="M374" s="6"/>
      <c r="N374" s="6"/>
      <c r="O374" s="6"/>
      <c r="P374" s="6"/>
      <c r="Q374" s="6"/>
      <c r="R374" s="6"/>
      <c r="S374" s="6"/>
      <c r="T374" s="6"/>
      <c r="U374" s="6"/>
      <c r="V374" s="6"/>
      <c r="W374" s="6"/>
      <c r="X374" s="6"/>
      <c r="Y374" s="6"/>
      <c r="Z374" s="6"/>
      <c r="AA374" s="6"/>
      <c r="AB374" s="6"/>
      <c r="AC374" s="6"/>
      <c r="AD374" s="7"/>
    </row>
    <row r="375">
      <c r="A375" s="23"/>
      <c r="B375" s="23"/>
      <c r="C375" s="27"/>
      <c r="D375" s="19"/>
      <c r="E375" s="6"/>
      <c r="F375" s="6"/>
      <c r="G375" s="6"/>
      <c r="H375" s="6"/>
      <c r="I375" s="19"/>
      <c r="J375" s="6"/>
      <c r="K375" s="6"/>
      <c r="L375" s="19"/>
      <c r="M375" s="6"/>
      <c r="N375" s="6"/>
      <c r="O375" s="6"/>
      <c r="P375" s="6"/>
      <c r="Q375" s="6"/>
      <c r="R375" s="6"/>
      <c r="S375" s="6"/>
      <c r="T375" s="6"/>
      <c r="U375" s="6"/>
      <c r="V375" s="6"/>
      <c r="W375" s="6"/>
      <c r="X375" s="6"/>
      <c r="Y375" s="6"/>
      <c r="Z375" s="6"/>
      <c r="AA375" s="6"/>
      <c r="AB375" s="6"/>
      <c r="AC375" s="6"/>
      <c r="AD375" s="7"/>
    </row>
    <row r="376">
      <c r="A376" s="23"/>
      <c r="B376" s="23"/>
      <c r="C376" s="27"/>
      <c r="D376" s="19"/>
      <c r="E376" s="6"/>
      <c r="F376" s="6"/>
      <c r="G376" s="6"/>
      <c r="H376" s="6"/>
      <c r="I376" s="19"/>
      <c r="J376" s="6"/>
      <c r="K376" s="6"/>
      <c r="L376" s="19"/>
      <c r="M376" s="6"/>
      <c r="N376" s="6"/>
      <c r="O376" s="6"/>
      <c r="P376" s="6"/>
      <c r="Q376" s="6"/>
      <c r="R376" s="6"/>
      <c r="S376" s="6"/>
      <c r="T376" s="6"/>
      <c r="U376" s="6"/>
      <c r="V376" s="6"/>
      <c r="W376" s="6"/>
      <c r="X376" s="6"/>
      <c r="Y376" s="6"/>
      <c r="Z376" s="6"/>
      <c r="AA376" s="6"/>
      <c r="AB376" s="6"/>
      <c r="AC376" s="6"/>
      <c r="AD376" s="7"/>
    </row>
    <row r="377">
      <c r="A377" s="23"/>
      <c r="B377" s="23"/>
      <c r="C377" s="27"/>
      <c r="D377" s="19"/>
      <c r="E377" s="6"/>
      <c r="F377" s="6"/>
      <c r="G377" s="6"/>
      <c r="H377" s="6"/>
      <c r="I377" s="19"/>
      <c r="J377" s="6"/>
      <c r="K377" s="6"/>
      <c r="L377" s="19"/>
      <c r="M377" s="6"/>
      <c r="N377" s="6"/>
      <c r="O377" s="6"/>
      <c r="P377" s="6"/>
      <c r="Q377" s="6"/>
      <c r="R377" s="6"/>
      <c r="S377" s="6"/>
      <c r="T377" s="6"/>
      <c r="U377" s="6"/>
      <c r="V377" s="6"/>
      <c r="W377" s="6"/>
      <c r="X377" s="6"/>
      <c r="Y377" s="6"/>
      <c r="Z377" s="6"/>
      <c r="AA377" s="6"/>
      <c r="AB377" s="6"/>
      <c r="AC377" s="6"/>
      <c r="AD377" s="7"/>
    </row>
    <row r="378">
      <c r="A378" s="23"/>
      <c r="B378" s="23"/>
      <c r="C378" s="27"/>
      <c r="D378" s="19"/>
      <c r="E378" s="6"/>
      <c r="F378" s="6"/>
      <c r="G378" s="6"/>
      <c r="H378" s="6"/>
      <c r="I378" s="19"/>
      <c r="J378" s="6"/>
      <c r="K378" s="6"/>
      <c r="L378" s="19"/>
      <c r="M378" s="6"/>
      <c r="N378" s="6"/>
      <c r="O378" s="6"/>
      <c r="P378" s="6"/>
      <c r="Q378" s="6"/>
      <c r="R378" s="6"/>
      <c r="S378" s="6"/>
      <c r="T378" s="6"/>
      <c r="U378" s="6"/>
      <c r="V378" s="6"/>
      <c r="W378" s="6"/>
      <c r="X378" s="6"/>
      <c r="Y378" s="6"/>
      <c r="Z378" s="6"/>
      <c r="AA378" s="6"/>
      <c r="AB378" s="6"/>
      <c r="AC378" s="6"/>
      <c r="AD378" s="7"/>
    </row>
    <row r="379">
      <c r="A379" s="23"/>
      <c r="B379" s="23"/>
      <c r="C379" s="27"/>
      <c r="D379" s="19"/>
      <c r="E379" s="6"/>
      <c r="F379" s="6"/>
      <c r="G379" s="6"/>
      <c r="H379" s="6"/>
      <c r="I379" s="19"/>
      <c r="J379" s="6"/>
      <c r="K379" s="6"/>
      <c r="L379" s="19"/>
      <c r="M379" s="6"/>
      <c r="N379" s="6"/>
      <c r="O379" s="6"/>
      <c r="P379" s="6"/>
      <c r="Q379" s="6"/>
      <c r="R379" s="6"/>
      <c r="S379" s="6"/>
      <c r="T379" s="6"/>
      <c r="U379" s="6"/>
      <c r="V379" s="6"/>
      <c r="W379" s="6"/>
      <c r="X379" s="6"/>
      <c r="Y379" s="6"/>
      <c r="Z379" s="6"/>
      <c r="AA379" s="6"/>
      <c r="AB379" s="6"/>
      <c r="AC379" s="6"/>
      <c r="AD379" s="7"/>
    </row>
    <row r="380">
      <c r="A380" s="23"/>
      <c r="B380" s="23"/>
      <c r="C380" s="27"/>
      <c r="D380" s="19"/>
      <c r="E380" s="6"/>
      <c r="F380" s="6"/>
      <c r="G380" s="6"/>
      <c r="H380" s="6"/>
      <c r="I380" s="19"/>
      <c r="J380" s="6"/>
      <c r="K380" s="6"/>
      <c r="L380" s="19"/>
      <c r="M380" s="6"/>
      <c r="N380" s="6"/>
      <c r="O380" s="6"/>
      <c r="P380" s="6"/>
      <c r="Q380" s="6"/>
      <c r="R380" s="6"/>
      <c r="S380" s="6"/>
      <c r="T380" s="6"/>
      <c r="U380" s="6"/>
      <c r="V380" s="6"/>
      <c r="W380" s="6"/>
      <c r="X380" s="6"/>
      <c r="Y380" s="6"/>
      <c r="Z380" s="6"/>
      <c r="AA380" s="6"/>
      <c r="AB380" s="6"/>
      <c r="AC380" s="6"/>
      <c r="AD380" s="7"/>
    </row>
    <row r="381">
      <c r="A381" s="23"/>
      <c r="B381" s="23"/>
      <c r="C381" s="27"/>
      <c r="D381" s="19"/>
      <c r="E381" s="6"/>
      <c r="F381" s="6"/>
      <c r="G381" s="6"/>
      <c r="H381" s="6"/>
      <c r="I381" s="19"/>
      <c r="J381" s="6"/>
      <c r="K381" s="6"/>
      <c r="L381" s="19"/>
      <c r="M381" s="6"/>
      <c r="N381" s="6"/>
      <c r="O381" s="6"/>
      <c r="P381" s="6"/>
      <c r="Q381" s="6"/>
      <c r="R381" s="6"/>
      <c r="S381" s="6"/>
      <c r="T381" s="6"/>
      <c r="U381" s="6"/>
      <c r="V381" s="6"/>
      <c r="W381" s="6"/>
      <c r="X381" s="6"/>
      <c r="Y381" s="6"/>
      <c r="Z381" s="6"/>
      <c r="AA381" s="6"/>
      <c r="AB381" s="6"/>
      <c r="AC381" s="6"/>
      <c r="AD381" s="7"/>
    </row>
    <row r="382">
      <c r="A382" s="23"/>
      <c r="B382" s="23"/>
      <c r="C382" s="27"/>
      <c r="D382" s="19"/>
      <c r="E382" s="6"/>
      <c r="F382" s="6"/>
      <c r="G382" s="6"/>
      <c r="H382" s="6"/>
      <c r="I382" s="19"/>
      <c r="J382" s="6"/>
      <c r="K382" s="6"/>
      <c r="L382" s="19"/>
      <c r="M382" s="6"/>
      <c r="N382" s="6"/>
      <c r="O382" s="6"/>
      <c r="P382" s="6"/>
      <c r="Q382" s="6"/>
      <c r="R382" s="6"/>
      <c r="S382" s="6"/>
      <c r="T382" s="6"/>
      <c r="U382" s="6"/>
      <c r="V382" s="6"/>
      <c r="W382" s="6"/>
      <c r="X382" s="6"/>
      <c r="Y382" s="6"/>
      <c r="Z382" s="6"/>
      <c r="AA382" s="6"/>
      <c r="AB382" s="6"/>
      <c r="AC382" s="6"/>
      <c r="AD382" s="7"/>
    </row>
    <row r="383">
      <c r="A383" s="23"/>
      <c r="B383" s="23"/>
      <c r="C383" s="27"/>
      <c r="D383" s="19"/>
      <c r="E383" s="6"/>
      <c r="F383" s="6"/>
      <c r="G383" s="6"/>
      <c r="H383" s="6"/>
      <c r="I383" s="19"/>
      <c r="J383" s="6"/>
      <c r="K383" s="6"/>
      <c r="L383" s="19"/>
      <c r="M383" s="6"/>
      <c r="N383" s="6"/>
      <c r="O383" s="6"/>
      <c r="P383" s="6"/>
      <c r="Q383" s="6"/>
      <c r="R383" s="6"/>
      <c r="S383" s="6"/>
      <c r="T383" s="6"/>
      <c r="U383" s="6"/>
      <c r="V383" s="6"/>
      <c r="W383" s="6"/>
      <c r="X383" s="6"/>
      <c r="Y383" s="6"/>
      <c r="Z383" s="6"/>
      <c r="AA383" s="6"/>
      <c r="AB383" s="6"/>
      <c r="AC383" s="6"/>
      <c r="AD383" s="7"/>
    </row>
    <row r="384">
      <c r="A384" s="23"/>
      <c r="B384" s="23"/>
      <c r="C384" s="27"/>
      <c r="D384" s="19"/>
      <c r="E384" s="6"/>
      <c r="F384" s="6"/>
      <c r="G384" s="6"/>
      <c r="H384" s="6"/>
      <c r="I384" s="19"/>
      <c r="J384" s="6"/>
      <c r="K384" s="6"/>
      <c r="L384" s="19"/>
      <c r="M384" s="6"/>
      <c r="N384" s="6"/>
      <c r="O384" s="6"/>
      <c r="P384" s="6"/>
      <c r="Q384" s="6"/>
      <c r="R384" s="6"/>
      <c r="S384" s="6"/>
      <c r="T384" s="6"/>
      <c r="U384" s="6"/>
      <c r="V384" s="6"/>
      <c r="W384" s="6"/>
      <c r="X384" s="6"/>
      <c r="Y384" s="6"/>
      <c r="Z384" s="6"/>
      <c r="AA384" s="6"/>
      <c r="AB384" s="6"/>
      <c r="AC384" s="6"/>
      <c r="AD384" s="7"/>
    </row>
    <row r="385">
      <c r="A385" s="23"/>
      <c r="B385" s="23"/>
      <c r="C385" s="27"/>
      <c r="D385" s="19"/>
      <c r="E385" s="6"/>
      <c r="F385" s="6"/>
      <c r="G385" s="6"/>
      <c r="H385" s="6"/>
      <c r="I385" s="19"/>
      <c r="J385" s="6"/>
      <c r="K385" s="6"/>
      <c r="L385" s="19"/>
      <c r="M385" s="6"/>
      <c r="N385" s="6"/>
      <c r="O385" s="6"/>
      <c r="P385" s="6"/>
      <c r="Q385" s="6"/>
      <c r="R385" s="6"/>
      <c r="S385" s="6"/>
      <c r="T385" s="6"/>
      <c r="U385" s="6"/>
      <c r="V385" s="6"/>
      <c r="W385" s="6"/>
      <c r="X385" s="6"/>
      <c r="Y385" s="6"/>
      <c r="Z385" s="6"/>
      <c r="AA385" s="6"/>
      <c r="AB385" s="6"/>
      <c r="AC385" s="6"/>
      <c r="AD385" s="7"/>
    </row>
    <row r="386">
      <c r="A386" s="23"/>
      <c r="B386" s="23"/>
      <c r="C386" s="27"/>
      <c r="D386" s="19"/>
      <c r="E386" s="6"/>
      <c r="F386" s="6"/>
      <c r="G386" s="6"/>
      <c r="H386" s="6"/>
      <c r="I386" s="19"/>
      <c r="J386" s="6"/>
      <c r="K386" s="6"/>
      <c r="L386" s="19"/>
      <c r="M386" s="6"/>
      <c r="N386" s="6"/>
      <c r="O386" s="6"/>
      <c r="P386" s="6"/>
      <c r="Q386" s="6"/>
      <c r="R386" s="6"/>
      <c r="S386" s="6"/>
      <c r="T386" s="6"/>
      <c r="U386" s="6"/>
      <c r="V386" s="6"/>
      <c r="W386" s="6"/>
      <c r="X386" s="6"/>
      <c r="Y386" s="6"/>
      <c r="Z386" s="6"/>
      <c r="AA386" s="6"/>
      <c r="AB386" s="6"/>
      <c r="AC386" s="6"/>
      <c r="AD386" s="7"/>
    </row>
    <row r="387">
      <c r="A387" s="23"/>
      <c r="B387" s="23"/>
      <c r="C387" s="27"/>
      <c r="D387" s="19"/>
      <c r="E387" s="6"/>
      <c r="F387" s="6"/>
      <c r="G387" s="6"/>
      <c r="H387" s="6"/>
      <c r="I387" s="19"/>
      <c r="J387" s="6"/>
      <c r="K387" s="6"/>
      <c r="L387" s="19"/>
      <c r="M387" s="6"/>
      <c r="N387" s="6"/>
      <c r="O387" s="6"/>
      <c r="P387" s="6"/>
      <c r="Q387" s="6"/>
      <c r="R387" s="6"/>
      <c r="S387" s="6"/>
      <c r="T387" s="6"/>
      <c r="U387" s="6"/>
      <c r="V387" s="6"/>
      <c r="W387" s="6"/>
      <c r="X387" s="6"/>
      <c r="Y387" s="6"/>
      <c r="Z387" s="6"/>
      <c r="AA387" s="6"/>
      <c r="AB387" s="6"/>
      <c r="AC387" s="6"/>
      <c r="AD387" s="7"/>
    </row>
    <row r="388">
      <c r="A388" s="23"/>
      <c r="B388" s="23"/>
      <c r="C388" s="27"/>
      <c r="D388" s="19"/>
      <c r="E388" s="6"/>
      <c r="F388" s="6"/>
      <c r="G388" s="6"/>
      <c r="H388" s="6"/>
      <c r="I388" s="19"/>
      <c r="J388" s="6"/>
      <c r="K388" s="6"/>
      <c r="L388" s="19"/>
      <c r="M388" s="6"/>
      <c r="N388" s="6"/>
      <c r="O388" s="6"/>
      <c r="P388" s="6"/>
      <c r="Q388" s="6"/>
      <c r="R388" s="6"/>
      <c r="S388" s="6"/>
      <c r="T388" s="6"/>
      <c r="U388" s="6"/>
      <c r="V388" s="6"/>
      <c r="W388" s="6"/>
      <c r="X388" s="6"/>
      <c r="Y388" s="6"/>
      <c r="Z388" s="6"/>
      <c r="AA388" s="6"/>
      <c r="AB388" s="6"/>
      <c r="AC388" s="6"/>
      <c r="AD388" s="7"/>
    </row>
    <row r="389">
      <c r="A389" s="23"/>
      <c r="B389" s="23"/>
      <c r="C389" s="27"/>
      <c r="D389" s="19"/>
      <c r="E389" s="6"/>
      <c r="F389" s="6"/>
      <c r="G389" s="6"/>
      <c r="H389" s="6"/>
      <c r="I389" s="19"/>
      <c r="J389" s="6"/>
      <c r="K389" s="6"/>
      <c r="L389" s="19"/>
      <c r="M389" s="6"/>
      <c r="N389" s="6"/>
      <c r="O389" s="6"/>
      <c r="P389" s="6"/>
      <c r="Q389" s="6"/>
      <c r="R389" s="6"/>
      <c r="S389" s="6"/>
      <c r="T389" s="6"/>
      <c r="U389" s="6"/>
      <c r="V389" s="6"/>
      <c r="W389" s="6"/>
      <c r="X389" s="6"/>
      <c r="Y389" s="6"/>
      <c r="Z389" s="6"/>
      <c r="AA389" s="6"/>
      <c r="AB389" s="6"/>
      <c r="AC389" s="6"/>
      <c r="AD389" s="7"/>
    </row>
    <row r="390">
      <c r="A390" s="23"/>
      <c r="B390" s="23"/>
      <c r="C390" s="27"/>
      <c r="D390" s="19"/>
      <c r="E390" s="6"/>
      <c r="F390" s="6"/>
      <c r="G390" s="6"/>
      <c r="H390" s="6"/>
      <c r="I390" s="19"/>
      <c r="J390" s="6"/>
      <c r="K390" s="6"/>
      <c r="L390" s="19"/>
      <c r="M390" s="6"/>
      <c r="N390" s="6"/>
      <c r="O390" s="6"/>
      <c r="P390" s="6"/>
      <c r="Q390" s="6"/>
      <c r="R390" s="6"/>
      <c r="S390" s="6"/>
      <c r="T390" s="6"/>
      <c r="U390" s="6"/>
      <c r="V390" s="6"/>
      <c r="W390" s="6"/>
      <c r="X390" s="6"/>
      <c r="Y390" s="6"/>
      <c r="Z390" s="6"/>
      <c r="AA390" s="6"/>
      <c r="AB390" s="6"/>
      <c r="AC390" s="6"/>
      <c r="AD390" s="7"/>
    </row>
    <row r="391">
      <c r="A391" s="23"/>
      <c r="B391" s="23"/>
      <c r="C391" s="27"/>
      <c r="D391" s="19"/>
      <c r="E391" s="6"/>
      <c r="F391" s="6"/>
      <c r="G391" s="6"/>
      <c r="H391" s="6"/>
      <c r="I391" s="19"/>
      <c r="J391" s="6"/>
      <c r="K391" s="6"/>
      <c r="L391" s="19"/>
      <c r="M391" s="6"/>
      <c r="N391" s="6"/>
      <c r="O391" s="6"/>
      <c r="P391" s="6"/>
      <c r="Q391" s="6"/>
      <c r="R391" s="6"/>
      <c r="S391" s="6"/>
      <c r="T391" s="6"/>
      <c r="U391" s="6"/>
      <c r="V391" s="6"/>
      <c r="W391" s="6"/>
      <c r="X391" s="6"/>
      <c r="Y391" s="6"/>
      <c r="Z391" s="6"/>
      <c r="AA391" s="6"/>
      <c r="AB391" s="6"/>
      <c r="AC391" s="6"/>
      <c r="AD391" s="7"/>
    </row>
    <row r="392">
      <c r="A392" s="23"/>
      <c r="B392" s="23"/>
      <c r="C392" s="27"/>
      <c r="D392" s="19"/>
      <c r="E392" s="6"/>
      <c r="F392" s="6"/>
      <c r="G392" s="6"/>
      <c r="H392" s="6"/>
      <c r="I392" s="19"/>
      <c r="J392" s="6"/>
      <c r="K392" s="6"/>
      <c r="L392" s="19"/>
      <c r="M392" s="6"/>
      <c r="N392" s="6"/>
      <c r="O392" s="6"/>
      <c r="P392" s="6"/>
      <c r="Q392" s="6"/>
      <c r="R392" s="6"/>
      <c r="S392" s="6"/>
      <c r="T392" s="6"/>
      <c r="U392" s="6"/>
      <c r="V392" s="6"/>
      <c r="W392" s="6"/>
      <c r="X392" s="6"/>
      <c r="Y392" s="6"/>
      <c r="Z392" s="6"/>
      <c r="AA392" s="6"/>
      <c r="AB392" s="6"/>
      <c r="AC392" s="6"/>
      <c r="AD392" s="7"/>
    </row>
    <row r="393">
      <c r="A393" s="23"/>
      <c r="B393" s="23"/>
      <c r="C393" s="27"/>
      <c r="D393" s="19"/>
      <c r="E393" s="6"/>
      <c r="F393" s="6"/>
      <c r="G393" s="6"/>
      <c r="H393" s="6"/>
      <c r="I393" s="19"/>
      <c r="J393" s="6"/>
      <c r="K393" s="6"/>
      <c r="L393" s="19"/>
      <c r="M393" s="6"/>
      <c r="N393" s="6"/>
      <c r="O393" s="6"/>
      <c r="P393" s="6"/>
      <c r="Q393" s="6"/>
      <c r="R393" s="6"/>
      <c r="S393" s="6"/>
      <c r="T393" s="6"/>
      <c r="U393" s="6"/>
      <c r="V393" s="6"/>
      <c r="W393" s="6"/>
      <c r="X393" s="6"/>
      <c r="Y393" s="6"/>
      <c r="Z393" s="6"/>
      <c r="AA393" s="6"/>
      <c r="AB393" s="6"/>
      <c r="AC393" s="6"/>
      <c r="AD393" s="7"/>
    </row>
    <row r="394">
      <c r="A394" s="23"/>
      <c r="B394" s="23"/>
      <c r="C394" s="27"/>
      <c r="D394" s="19"/>
      <c r="E394" s="6"/>
      <c r="F394" s="6"/>
      <c r="G394" s="6"/>
      <c r="H394" s="6"/>
      <c r="I394" s="19"/>
      <c r="J394" s="6"/>
      <c r="K394" s="6"/>
      <c r="L394" s="19"/>
      <c r="M394" s="6"/>
      <c r="N394" s="6"/>
      <c r="O394" s="6"/>
      <c r="P394" s="6"/>
      <c r="Q394" s="6"/>
      <c r="R394" s="6"/>
      <c r="S394" s="6"/>
      <c r="T394" s="6"/>
      <c r="U394" s="6"/>
      <c r="V394" s="6"/>
      <c r="W394" s="6"/>
      <c r="X394" s="6"/>
      <c r="Y394" s="6"/>
      <c r="Z394" s="6"/>
      <c r="AA394" s="6"/>
      <c r="AB394" s="6"/>
      <c r="AC394" s="6"/>
      <c r="AD394" s="7"/>
    </row>
    <row r="395">
      <c r="A395" s="23"/>
      <c r="B395" s="23"/>
      <c r="C395" s="27"/>
      <c r="D395" s="19"/>
      <c r="E395" s="6"/>
      <c r="F395" s="6"/>
      <c r="G395" s="6"/>
      <c r="H395" s="6"/>
      <c r="I395" s="19"/>
      <c r="J395" s="6"/>
      <c r="K395" s="6"/>
      <c r="L395" s="19"/>
      <c r="M395" s="6"/>
      <c r="N395" s="6"/>
      <c r="O395" s="6"/>
      <c r="P395" s="6"/>
      <c r="Q395" s="6"/>
      <c r="R395" s="6"/>
      <c r="S395" s="6"/>
      <c r="T395" s="6"/>
      <c r="U395" s="6"/>
      <c r="V395" s="6"/>
      <c r="W395" s="6"/>
      <c r="X395" s="6"/>
      <c r="Y395" s="6"/>
      <c r="Z395" s="6"/>
      <c r="AA395" s="6"/>
      <c r="AB395" s="6"/>
      <c r="AC395" s="6"/>
      <c r="AD395" s="7"/>
    </row>
    <row r="396">
      <c r="A396" s="23"/>
      <c r="B396" s="23"/>
      <c r="C396" s="27"/>
      <c r="D396" s="19"/>
      <c r="E396" s="6"/>
      <c r="F396" s="6"/>
      <c r="G396" s="6"/>
      <c r="H396" s="6"/>
      <c r="I396" s="19"/>
      <c r="J396" s="6"/>
      <c r="K396" s="6"/>
      <c r="L396" s="19"/>
      <c r="M396" s="6"/>
      <c r="N396" s="6"/>
      <c r="O396" s="6"/>
      <c r="P396" s="6"/>
      <c r="Q396" s="6"/>
      <c r="R396" s="6"/>
      <c r="S396" s="6"/>
      <c r="T396" s="6"/>
      <c r="U396" s="6"/>
      <c r="V396" s="6"/>
      <c r="W396" s="6"/>
      <c r="X396" s="6"/>
      <c r="Y396" s="6"/>
      <c r="Z396" s="6"/>
      <c r="AA396" s="6"/>
      <c r="AB396" s="6"/>
      <c r="AC396" s="6"/>
      <c r="AD396" s="7"/>
    </row>
    <row r="397">
      <c r="A397" s="23"/>
      <c r="B397" s="23"/>
      <c r="C397" s="27"/>
      <c r="D397" s="19"/>
      <c r="E397" s="6"/>
      <c r="F397" s="6"/>
      <c r="G397" s="6"/>
      <c r="H397" s="6"/>
      <c r="I397" s="19"/>
      <c r="J397" s="6"/>
      <c r="K397" s="6"/>
      <c r="L397" s="19"/>
      <c r="M397" s="6"/>
      <c r="N397" s="6"/>
      <c r="O397" s="6"/>
      <c r="P397" s="6"/>
      <c r="Q397" s="6"/>
      <c r="R397" s="6"/>
      <c r="S397" s="6"/>
      <c r="T397" s="6"/>
      <c r="U397" s="6"/>
      <c r="V397" s="6"/>
      <c r="W397" s="6"/>
      <c r="X397" s="6"/>
      <c r="Y397" s="6"/>
      <c r="Z397" s="6"/>
      <c r="AA397" s="6"/>
      <c r="AB397" s="6"/>
      <c r="AC397" s="6"/>
      <c r="AD397" s="7"/>
    </row>
    <row r="398">
      <c r="A398" s="23"/>
      <c r="B398" s="23"/>
      <c r="C398" s="27"/>
      <c r="D398" s="19"/>
      <c r="E398" s="6"/>
      <c r="F398" s="6"/>
      <c r="G398" s="6"/>
      <c r="H398" s="6"/>
      <c r="I398" s="19"/>
      <c r="J398" s="6"/>
      <c r="K398" s="6"/>
      <c r="L398" s="19"/>
      <c r="M398" s="6"/>
      <c r="N398" s="6"/>
      <c r="O398" s="6"/>
      <c r="P398" s="6"/>
      <c r="Q398" s="6"/>
      <c r="R398" s="6"/>
      <c r="S398" s="6"/>
      <c r="T398" s="6"/>
      <c r="U398" s="6"/>
      <c r="V398" s="6"/>
      <c r="W398" s="6"/>
      <c r="X398" s="6"/>
      <c r="Y398" s="6"/>
      <c r="Z398" s="6"/>
      <c r="AA398" s="6"/>
      <c r="AB398" s="6"/>
      <c r="AC398" s="6"/>
      <c r="AD398" s="7"/>
    </row>
    <row r="399">
      <c r="A399" s="23"/>
      <c r="B399" s="23"/>
      <c r="C399" s="27"/>
      <c r="D399" s="19"/>
      <c r="E399" s="6"/>
      <c r="F399" s="6"/>
      <c r="G399" s="6"/>
      <c r="H399" s="6"/>
      <c r="I399" s="19"/>
      <c r="J399" s="6"/>
      <c r="K399" s="6"/>
      <c r="L399" s="19"/>
      <c r="M399" s="6"/>
      <c r="N399" s="6"/>
      <c r="O399" s="6"/>
      <c r="P399" s="6"/>
      <c r="Q399" s="6"/>
      <c r="R399" s="6"/>
      <c r="S399" s="6"/>
      <c r="T399" s="6"/>
      <c r="U399" s="6"/>
      <c r="V399" s="6"/>
      <c r="W399" s="6"/>
      <c r="X399" s="6"/>
      <c r="Y399" s="6"/>
      <c r="Z399" s="6"/>
      <c r="AA399" s="6"/>
      <c r="AB399" s="6"/>
      <c r="AC399" s="6"/>
      <c r="AD399" s="7"/>
    </row>
    <row r="400">
      <c r="A400" s="23"/>
      <c r="B400" s="23"/>
      <c r="C400" s="27"/>
      <c r="D400" s="19"/>
      <c r="E400" s="6"/>
      <c r="F400" s="6"/>
      <c r="G400" s="6"/>
      <c r="H400" s="6"/>
      <c r="I400" s="19"/>
      <c r="J400" s="6"/>
      <c r="K400" s="6"/>
      <c r="L400" s="19"/>
      <c r="M400" s="6"/>
      <c r="N400" s="6"/>
      <c r="O400" s="6"/>
      <c r="P400" s="6"/>
      <c r="Q400" s="6"/>
      <c r="R400" s="6"/>
      <c r="S400" s="6"/>
      <c r="T400" s="6"/>
      <c r="U400" s="6"/>
      <c r="V400" s="6"/>
      <c r="W400" s="6"/>
      <c r="X400" s="6"/>
      <c r="Y400" s="6"/>
      <c r="Z400" s="6"/>
      <c r="AA400" s="6"/>
      <c r="AB400" s="6"/>
      <c r="AC400" s="6"/>
      <c r="AD400" s="7"/>
    </row>
    <row r="401">
      <c r="A401" s="23"/>
      <c r="B401" s="23"/>
      <c r="C401" s="27"/>
      <c r="D401" s="19"/>
      <c r="E401" s="6"/>
      <c r="F401" s="6"/>
      <c r="G401" s="6"/>
      <c r="H401" s="6"/>
      <c r="I401" s="19"/>
      <c r="J401" s="6"/>
      <c r="K401" s="6"/>
      <c r="L401" s="19"/>
      <c r="M401" s="6"/>
      <c r="N401" s="6"/>
      <c r="O401" s="6"/>
      <c r="P401" s="6"/>
      <c r="Q401" s="6"/>
      <c r="R401" s="6"/>
      <c r="S401" s="6"/>
      <c r="T401" s="6"/>
      <c r="U401" s="6"/>
      <c r="V401" s="6"/>
      <c r="W401" s="6"/>
      <c r="X401" s="6"/>
      <c r="Y401" s="6"/>
      <c r="Z401" s="6"/>
      <c r="AA401" s="6"/>
      <c r="AB401" s="6"/>
      <c r="AC401" s="6"/>
      <c r="AD401" s="7"/>
    </row>
    <row r="402">
      <c r="A402" s="23"/>
      <c r="B402" s="23"/>
      <c r="C402" s="27"/>
      <c r="D402" s="19"/>
      <c r="E402" s="6"/>
      <c r="F402" s="6"/>
      <c r="G402" s="6"/>
      <c r="H402" s="6"/>
      <c r="I402" s="19"/>
      <c r="J402" s="6"/>
      <c r="K402" s="6"/>
      <c r="L402" s="19"/>
      <c r="M402" s="6"/>
      <c r="N402" s="6"/>
      <c r="O402" s="6"/>
      <c r="P402" s="6"/>
      <c r="Q402" s="6"/>
      <c r="R402" s="6"/>
      <c r="S402" s="6"/>
      <c r="T402" s="6"/>
      <c r="U402" s="6"/>
      <c r="V402" s="6"/>
      <c r="W402" s="6"/>
      <c r="X402" s="6"/>
      <c r="Y402" s="6"/>
      <c r="Z402" s="6"/>
      <c r="AA402" s="6"/>
      <c r="AB402" s="6"/>
      <c r="AC402" s="6"/>
      <c r="AD402" s="7"/>
    </row>
    <row r="403">
      <c r="A403" s="23"/>
      <c r="B403" s="23"/>
      <c r="C403" s="27"/>
      <c r="D403" s="19"/>
      <c r="E403" s="6"/>
      <c r="F403" s="6"/>
      <c r="G403" s="6"/>
      <c r="H403" s="6"/>
      <c r="I403" s="19"/>
      <c r="J403" s="6"/>
      <c r="K403" s="6"/>
      <c r="L403" s="19"/>
      <c r="M403" s="6"/>
      <c r="N403" s="6"/>
      <c r="O403" s="6"/>
      <c r="P403" s="6"/>
      <c r="Q403" s="6"/>
      <c r="R403" s="6"/>
      <c r="S403" s="6"/>
      <c r="T403" s="6"/>
      <c r="U403" s="6"/>
      <c r="V403" s="6"/>
      <c r="W403" s="6"/>
      <c r="X403" s="6"/>
      <c r="Y403" s="6"/>
      <c r="Z403" s="6"/>
      <c r="AA403" s="6"/>
      <c r="AB403" s="6"/>
      <c r="AC403" s="6"/>
      <c r="AD403" s="7"/>
    </row>
    <row r="404">
      <c r="A404" s="23"/>
      <c r="B404" s="23"/>
      <c r="C404" s="27"/>
      <c r="D404" s="19"/>
      <c r="E404" s="6"/>
      <c r="F404" s="6"/>
      <c r="G404" s="6"/>
      <c r="H404" s="6"/>
      <c r="I404" s="19"/>
      <c r="J404" s="6"/>
      <c r="K404" s="6"/>
      <c r="L404" s="19"/>
      <c r="M404" s="6"/>
      <c r="N404" s="6"/>
      <c r="O404" s="6"/>
      <c r="P404" s="6"/>
      <c r="Q404" s="6"/>
      <c r="R404" s="6"/>
      <c r="S404" s="6"/>
      <c r="T404" s="6"/>
      <c r="U404" s="6"/>
      <c r="V404" s="6"/>
      <c r="W404" s="6"/>
      <c r="X404" s="6"/>
      <c r="Y404" s="6"/>
      <c r="Z404" s="6"/>
      <c r="AA404" s="6"/>
      <c r="AB404" s="6"/>
      <c r="AC404" s="6"/>
      <c r="AD404" s="7"/>
    </row>
    <row r="405">
      <c r="A405" s="23"/>
      <c r="B405" s="23"/>
      <c r="C405" s="27"/>
      <c r="D405" s="19"/>
      <c r="E405" s="6"/>
      <c r="F405" s="6"/>
      <c r="G405" s="6"/>
      <c r="H405" s="6"/>
      <c r="I405" s="19"/>
      <c r="J405" s="6"/>
      <c r="K405" s="6"/>
      <c r="L405" s="19"/>
      <c r="M405" s="6"/>
      <c r="N405" s="6"/>
      <c r="O405" s="6"/>
      <c r="P405" s="6"/>
      <c r="Q405" s="6"/>
      <c r="R405" s="6"/>
      <c r="S405" s="6"/>
      <c r="T405" s="6"/>
      <c r="U405" s="6"/>
      <c r="V405" s="6"/>
      <c r="W405" s="6"/>
      <c r="X405" s="6"/>
      <c r="Y405" s="6"/>
      <c r="Z405" s="6"/>
      <c r="AA405" s="6"/>
      <c r="AB405" s="6"/>
      <c r="AC405" s="6"/>
      <c r="AD405" s="7"/>
    </row>
    <row r="406">
      <c r="A406" s="23"/>
      <c r="B406" s="23"/>
      <c r="C406" s="27"/>
      <c r="D406" s="19"/>
      <c r="E406" s="6"/>
      <c r="F406" s="6"/>
      <c r="G406" s="6"/>
      <c r="H406" s="6"/>
      <c r="I406" s="19"/>
      <c r="J406" s="6"/>
      <c r="K406" s="6"/>
      <c r="L406" s="19"/>
      <c r="M406" s="6"/>
      <c r="N406" s="6"/>
      <c r="O406" s="6"/>
      <c r="P406" s="6"/>
      <c r="Q406" s="6"/>
      <c r="R406" s="6"/>
      <c r="S406" s="6"/>
      <c r="T406" s="6"/>
      <c r="U406" s="6"/>
      <c r="V406" s="6"/>
      <c r="W406" s="6"/>
      <c r="X406" s="6"/>
      <c r="Y406" s="6"/>
      <c r="Z406" s="6"/>
      <c r="AA406" s="6"/>
      <c r="AB406" s="6"/>
      <c r="AC406" s="6"/>
      <c r="AD406" s="7"/>
    </row>
    <row r="407">
      <c r="A407" s="23"/>
      <c r="B407" s="23"/>
      <c r="C407" s="27"/>
      <c r="D407" s="19"/>
      <c r="E407" s="6"/>
      <c r="F407" s="6"/>
      <c r="G407" s="6"/>
      <c r="H407" s="6"/>
      <c r="I407" s="19"/>
      <c r="J407" s="6"/>
      <c r="K407" s="6"/>
      <c r="L407" s="19"/>
      <c r="M407" s="6"/>
      <c r="N407" s="6"/>
      <c r="O407" s="6"/>
      <c r="P407" s="6"/>
      <c r="Q407" s="6"/>
      <c r="R407" s="6"/>
      <c r="S407" s="6"/>
      <c r="T407" s="6"/>
      <c r="U407" s="6"/>
      <c r="V407" s="6"/>
      <c r="W407" s="6"/>
      <c r="X407" s="6"/>
      <c r="Y407" s="6"/>
      <c r="Z407" s="6"/>
      <c r="AA407" s="6"/>
      <c r="AB407" s="6"/>
      <c r="AC407" s="6"/>
      <c r="AD407" s="7"/>
    </row>
    <row r="408">
      <c r="A408" s="23"/>
      <c r="B408" s="23"/>
      <c r="C408" s="27"/>
      <c r="D408" s="19"/>
      <c r="E408" s="6"/>
      <c r="F408" s="6"/>
      <c r="G408" s="6"/>
      <c r="H408" s="6"/>
      <c r="I408" s="19"/>
      <c r="J408" s="6"/>
      <c r="K408" s="6"/>
      <c r="L408" s="19"/>
      <c r="M408" s="6"/>
      <c r="N408" s="6"/>
      <c r="O408" s="6"/>
      <c r="P408" s="6"/>
      <c r="Q408" s="6"/>
      <c r="R408" s="6"/>
      <c r="S408" s="6"/>
      <c r="T408" s="6"/>
      <c r="U408" s="6"/>
      <c r="V408" s="6"/>
      <c r="W408" s="6"/>
      <c r="X408" s="6"/>
      <c r="Y408" s="6"/>
      <c r="Z408" s="6"/>
      <c r="AA408" s="6"/>
      <c r="AB408" s="6"/>
      <c r="AC408" s="6"/>
      <c r="AD408" s="7"/>
    </row>
    <row r="409">
      <c r="A409" s="23"/>
      <c r="B409" s="23"/>
      <c r="C409" s="27"/>
      <c r="D409" s="19"/>
      <c r="E409" s="6"/>
      <c r="F409" s="6"/>
      <c r="G409" s="6"/>
      <c r="H409" s="6"/>
      <c r="I409" s="19"/>
      <c r="J409" s="6"/>
      <c r="K409" s="6"/>
      <c r="L409" s="19"/>
      <c r="M409" s="6"/>
      <c r="N409" s="6"/>
      <c r="O409" s="6"/>
      <c r="P409" s="6"/>
      <c r="Q409" s="6"/>
      <c r="R409" s="6"/>
      <c r="S409" s="6"/>
      <c r="T409" s="6"/>
      <c r="U409" s="6"/>
      <c r="V409" s="6"/>
      <c r="W409" s="6"/>
      <c r="X409" s="6"/>
      <c r="Y409" s="6"/>
      <c r="Z409" s="6"/>
      <c r="AA409" s="6"/>
      <c r="AB409" s="6"/>
      <c r="AC409" s="6"/>
      <c r="AD409" s="7"/>
    </row>
    <row r="410">
      <c r="A410" s="23"/>
      <c r="B410" s="23"/>
      <c r="C410" s="27"/>
      <c r="D410" s="19"/>
      <c r="E410" s="6"/>
      <c r="F410" s="6"/>
      <c r="G410" s="6"/>
      <c r="H410" s="6"/>
      <c r="I410" s="19"/>
      <c r="J410" s="6"/>
      <c r="K410" s="6"/>
      <c r="L410" s="19"/>
      <c r="M410" s="6"/>
      <c r="N410" s="6"/>
      <c r="O410" s="6"/>
      <c r="P410" s="6"/>
      <c r="Q410" s="6"/>
      <c r="R410" s="6"/>
      <c r="S410" s="6"/>
      <c r="T410" s="6"/>
      <c r="U410" s="6"/>
      <c r="V410" s="6"/>
      <c r="W410" s="6"/>
      <c r="X410" s="6"/>
      <c r="Y410" s="6"/>
      <c r="Z410" s="6"/>
      <c r="AA410" s="6"/>
      <c r="AB410" s="6"/>
      <c r="AC410" s="6"/>
      <c r="AD410" s="7"/>
    </row>
    <row r="411">
      <c r="A411" s="23"/>
      <c r="B411" s="23"/>
      <c r="C411" s="27"/>
      <c r="D411" s="19"/>
      <c r="E411" s="6"/>
      <c r="F411" s="6"/>
      <c r="G411" s="6"/>
      <c r="H411" s="6"/>
      <c r="I411" s="19"/>
      <c r="J411" s="6"/>
      <c r="K411" s="6"/>
      <c r="L411" s="19"/>
      <c r="M411" s="6"/>
      <c r="N411" s="6"/>
      <c r="O411" s="6"/>
      <c r="P411" s="6"/>
      <c r="Q411" s="6"/>
      <c r="R411" s="6"/>
      <c r="S411" s="6"/>
      <c r="T411" s="6"/>
      <c r="U411" s="6"/>
      <c r="V411" s="6"/>
      <c r="W411" s="6"/>
      <c r="X411" s="6"/>
      <c r="Y411" s="6"/>
      <c r="Z411" s="6"/>
      <c r="AA411" s="6"/>
      <c r="AB411" s="6"/>
      <c r="AC411" s="6"/>
      <c r="AD411" s="7"/>
    </row>
    <row r="412">
      <c r="A412" s="23"/>
      <c r="B412" s="23"/>
      <c r="C412" s="27"/>
      <c r="D412" s="19"/>
      <c r="E412" s="6"/>
      <c r="F412" s="6"/>
      <c r="G412" s="6"/>
      <c r="H412" s="6"/>
      <c r="I412" s="19"/>
      <c r="J412" s="6"/>
      <c r="K412" s="6"/>
      <c r="L412" s="19"/>
      <c r="M412" s="6"/>
      <c r="N412" s="6"/>
      <c r="O412" s="6"/>
      <c r="P412" s="6"/>
      <c r="Q412" s="6"/>
      <c r="R412" s="6"/>
      <c r="S412" s="6"/>
      <c r="T412" s="6"/>
      <c r="U412" s="6"/>
      <c r="V412" s="6"/>
      <c r="W412" s="6"/>
      <c r="X412" s="6"/>
      <c r="Y412" s="6"/>
      <c r="Z412" s="6"/>
      <c r="AA412" s="6"/>
      <c r="AB412" s="6"/>
      <c r="AC412" s="6"/>
      <c r="AD412" s="7"/>
    </row>
    <row r="413">
      <c r="A413" s="23"/>
      <c r="B413" s="23"/>
      <c r="C413" s="27"/>
      <c r="D413" s="19"/>
      <c r="E413" s="6"/>
      <c r="F413" s="6"/>
      <c r="G413" s="6"/>
      <c r="H413" s="6"/>
      <c r="I413" s="19"/>
      <c r="J413" s="6"/>
      <c r="K413" s="6"/>
      <c r="L413" s="19"/>
      <c r="M413" s="6"/>
      <c r="N413" s="6"/>
      <c r="O413" s="6"/>
      <c r="P413" s="6"/>
      <c r="Q413" s="6"/>
      <c r="R413" s="6"/>
      <c r="S413" s="6"/>
      <c r="T413" s="6"/>
      <c r="U413" s="6"/>
      <c r="V413" s="6"/>
      <c r="W413" s="6"/>
      <c r="X413" s="6"/>
      <c r="Y413" s="6"/>
      <c r="Z413" s="6"/>
      <c r="AA413" s="6"/>
      <c r="AB413" s="6"/>
      <c r="AC413" s="6"/>
      <c r="AD413" s="7"/>
    </row>
    <row r="414">
      <c r="A414" s="23"/>
      <c r="B414" s="23"/>
      <c r="C414" s="27"/>
      <c r="D414" s="19"/>
      <c r="E414" s="6"/>
      <c r="F414" s="6"/>
      <c r="G414" s="6"/>
      <c r="H414" s="6"/>
      <c r="I414" s="19"/>
      <c r="J414" s="6"/>
      <c r="K414" s="6"/>
      <c r="L414" s="19"/>
      <c r="M414" s="6"/>
      <c r="N414" s="6"/>
      <c r="O414" s="6"/>
      <c r="P414" s="6"/>
      <c r="Q414" s="6"/>
      <c r="R414" s="6"/>
      <c r="S414" s="6"/>
      <c r="T414" s="6"/>
      <c r="U414" s="6"/>
      <c r="V414" s="6"/>
      <c r="W414" s="6"/>
      <c r="X414" s="6"/>
      <c r="Y414" s="6"/>
      <c r="Z414" s="6"/>
      <c r="AA414" s="6"/>
      <c r="AB414" s="6"/>
      <c r="AC414" s="6"/>
      <c r="AD414" s="7"/>
    </row>
    <row r="415">
      <c r="A415" s="23"/>
      <c r="B415" s="23"/>
      <c r="C415" s="27"/>
      <c r="D415" s="19"/>
      <c r="E415" s="6"/>
      <c r="F415" s="6"/>
      <c r="G415" s="6"/>
      <c r="H415" s="6"/>
      <c r="I415" s="19"/>
      <c r="J415" s="6"/>
      <c r="K415" s="6"/>
      <c r="L415" s="19"/>
      <c r="M415" s="6"/>
      <c r="N415" s="6"/>
      <c r="O415" s="6"/>
      <c r="P415" s="6"/>
      <c r="Q415" s="6"/>
      <c r="R415" s="6"/>
      <c r="S415" s="6"/>
      <c r="T415" s="6"/>
      <c r="U415" s="6"/>
      <c r="V415" s="6"/>
      <c r="W415" s="6"/>
      <c r="X415" s="6"/>
      <c r="Y415" s="6"/>
      <c r="Z415" s="6"/>
      <c r="AA415" s="6"/>
      <c r="AB415" s="6"/>
      <c r="AC415" s="6"/>
      <c r="AD415" s="7"/>
    </row>
    <row r="416">
      <c r="A416" s="23"/>
      <c r="B416" s="23"/>
      <c r="C416" s="27"/>
      <c r="D416" s="19"/>
      <c r="E416" s="6"/>
      <c r="F416" s="6"/>
      <c r="G416" s="6"/>
      <c r="H416" s="6"/>
      <c r="I416" s="19"/>
      <c r="J416" s="6"/>
      <c r="K416" s="6"/>
      <c r="L416" s="19"/>
      <c r="M416" s="6"/>
      <c r="N416" s="6"/>
      <c r="O416" s="6"/>
      <c r="P416" s="6"/>
      <c r="Q416" s="6"/>
      <c r="R416" s="6"/>
      <c r="S416" s="6"/>
      <c r="T416" s="6"/>
      <c r="U416" s="6"/>
      <c r="V416" s="6"/>
      <c r="W416" s="6"/>
      <c r="X416" s="6"/>
      <c r="Y416" s="6"/>
      <c r="Z416" s="6"/>
      <c r="AA416" s="6"/>
      <c r="AB416" s="6"/>
      <c r="AC416" s="6"/>
      <c r="AD416" s="7"/>
    </row>
    <row r="417">
      <c r="A417" s="23"/>
      <c r="B417" s="23"/>
      <c r="C417" s="27"/>
      <c r="D417" s="19"/>
      <c r="E417" s="6"/>
      <c r="F417" s="6"/>
      <c r="G417" s="6"/>
      <c r="H417" s="6"/>
      <c r="I417" s="19"/>
      <c r="J417" s="6"/>
      <c r="K417" s="6"/>
      <c r="L417" s="19"/>
      <c r="M417" s="6"/>
      <c r="N417" s="6"/>
      <c r="O417" s="6"/>
      <c r="P417" s="6"/>
      <c r="Q417" s="6"/>
      <c r="R417" s="6"/>
      <c r="S417" s="6"/>
      <c r="T417" s="6"/>
      <c r="U417" s="6"/>
      <c r="V417" s="6"/>
      <c r="W417" s="6"/>
      <c r="X417" s="6"/>
      <c r="Y417" s="6"/>
      <c r="Z417" s="6"/>
      <c r="AA417" s="6"/>
      <c r="AB417" s="6"/>
      <c r="AC417" s="6"/>
      <c r="AD417" s="7"/>
    </row>
    <row r="418">
      <c r="A418" s="23"/>
      <c r="B418" s="23"/>
      <c r="C418" s="27"/>
      <c r="D418" s="19"/>
      <c r="E418" s="6"/>
      <c r="F418" s="6"/>
      <c r="G418" s="6"/>
      <c r="H418" s="6"/>
      <c r="I418" s="19"/>
      <c r="J418" s="6"/>
      <c r="K418" s="6"/>
      <c r="L418" s="19"/>
      <c r="M418" s="6"/>
      <c r="N418" s="6"/>
      <c r="O418" s="6"/>
      <c r="P418" s="6"/>
      <c r="Q418" s="6"/>
      <c r="R418" s="6"/>
      <c r="S418" s="6"/>
      <c r="T418" s="6"/>
      <c r="U418" s="6"/>
      <c r="V418" s="6"/>
      <c r="W418" s="6"/>
      <c r="X418" s="6"/>
      <c r="Y418" s="6"/>
      <c r="Z418" s="6"/>
      <c r="AA418" s="6"/>
      <c r="AB418" s="6"/>
      <c r="AC418" s="6"/>
      <c r="AD418" s="7"/>
    </row>
    <row r="419">
      <c r="A419" s="23"/>
      <c r="B419" s="23"/>
      <c r="C419" s="27"/>
      <c r="D419" s="19"/>
      <c r="E419" s="6"/>
      <c r="F419" s="6"/>
      <c r="G419" s="6"/>
      <c r="H419" s="6"/>
      <c r="I419" s="19"/>
      <c r="J419" s="6"/>
      <c r="K419" s="6"/>
      <c r="L419" s="19"/>
      <c r="M419" s="6"/>
      <c r="N419" s="6"/>
      <c r="O419" s="6"/>
      <c r="P419" s="6"/>
      <c r="Q419" s="6"/>
      <c r="R419" s="6"/>
      <c r="S419" s="6"/>
      <c r="T419" s="6"/>
      <c r="U419" s="6"/>
      <c r="V419" s="6"/>
      <c r="W419" s="6"/>
      <c r="X419" s="6"/>
      <c r="Y419" s="6"/>
      <c r="Z419" s="6"/>
      <c r="AA419" s="6"/>
      <c r="AB419" s="6"/>
      <c r="AC419" s="6"/>
      <c r="AD419" s="7"/>
    </row>
    <row r="420">
      <c r="A420" s="23"/>
      <c r="B420" s="23"/>
      <c r="C420" s="27"/>
      <c r="D420" s="19"/>
      <c r="E420" s="6"/>
      <c r="F420" s="6"/>
      <c r="G420" s="6"/>
      <c r="H420" s="6"/>
      <c r="I420" s="19"/>
      <c r="J420" s="6"/>
      <c r="K420" s="6"/>
      <c r="L420" s="19"/>
      <c r="M420" s="6"/>
      <c r="N420" s="6"/>
      <c r="O420" s="6"/>
      <c r="P420" s="6"/>
      <c r="Q420" s="6"/>
      <c r="R420" s="6"/>
      <c r="S420" s="6"/>
      <c r="T420" s="6"/>
      <c r="U420" s="6"/>
      <c r="V420" s="6"/>
      <c r="W420" s="6"/>
      <c r="X420" s="6"/>
      <c r="Y420" s="6"/>
      <c r="Z420" s="6"/>
      <c r="AA420" s="6"/>
      <c r="AB420" s="6"/>
      <c r="AC420" s="6"/>
      <c r="AD420" s="7"/>
    </row>
    <row r="421">
      <c r="A421" s="23"/>
      <c r="B421" s="23"/>
      <c r="C421" s="27"/>
      <c r="D421" s="19"/>
      <c r="E421" s="6"/>
      <c r="F421" s="6"/>
      <c r="G421" s="6"/>
      <c r="H421" s="6"/>
      <c r="I421" s="19"/>
      <c r="J421" s="6"/>
      <c r="K421" s="6"/>
      <c r="L421" s="19"/>
      <c r="M421" s="6"/>
      <c r="N421" s="6"/>
      <c r="O421" s="6"/>
      <c r="P421" s="6"/>
      <c r="Q421" s="6"/>
      <c r="R421" s="6"/>
      <c r="S421" s="6"/>
      <c r="T421" s="6"/>
      <c r="U421" s="6"/>
      <c r="V421" s="6"/>
      <c r="W421" s="6"/>
      <c r="X421" s="6"/>
      <c r="Y421" s="6"/>
      <c r="Z421" s="6"/>
      <c r="AA421" s="6"/>
      <c r="AB421" s="6"/>
      <c r="AC421" s="6"/>
      <c r="AD421" s="7"/>
    </row>
    <row r="422">
      <c r="A422" s="23"/>
      <c r="B422" s="23"/>
      <c r="C422" s="27"/>
      <c r="D422" s="19"/>
      <c r="E422" s="6"/>
      <c r="F422" s="6"/>
      <c r="G422" s="6"/>
      <c r="H422" s="6"/>
      <c r="I422" s="19"/>
      <c r="J422" s="6"/>
      <c r="K422" s="6"/>
      <c r="L422" s="19"/>
      <c r="M422" s="6"/>
      <c r="N422" s="6"/>
      <c r="O422" s="6"/>
      <c r="P422" s="6"/>
      <c r="Q422" s="6"/>
      <c r="R422" s="6"/>
      <c r="S422" s="6"/>
      <c r="T422" s="6"/>
      <c r="U422" s="6"/>
      <c r="V422" s="6"/>
      <c r="W422" s="6"/>
      <c r="X422" s="6"/>
      <c r="Y422" s="6"/>
      <c r="Z422" s="6"/>
      <c r="AA422" s="6"/>
      <c r="AB422" s="6"/>
      <c r="AC422" s="6"/>
      <c r="AD422" s="7"/>
    </row>
    <row r="423">
      <c r="A423" s="23"/>
      <c r="B423" s="23"/>
      <c r="C423" s="27"/>
      <c r="D423" s="19"/>
      <c r="E423" s="6"/>
      <c r="F423" s="6"/>
      <c r="G423" s="6"/>
      <c r="H423" s="6"/>
      <c r="I423" s="19"/>
      <c r="J423" s="6"/>
      <c r="K423" s="6"/>
      <c r="L423" s="19"/>
      <c r="M423" s="6"/>
      <c r="N423" s="6"/>
      <c r="O423" s="6"/>
      <c r="P423" s="6"/>
      <c r="Q423" s="6"/>
      <c r="R423" s="6"/>
      <c r="S423" s="6"/>
      <c r="T423" s="6"/>
      <c r="U423" s="6"/>
      <c r="V423" s="6"/>
      <c r="W423" s="6"/>
      <c r="X423" s="6"/>
      <c r="Y423" s="6"/>
      <c r="Z423" s="6"/>
      <c r="AA423" s="6"/>
      <c r="AB423" s="6"/>
      <c r="AC423" s="6"/>
      <c r="AD423" s="7"/>
    </row>
    <row r="424">
      <c r="A424" s="23"/>
      <c r="B424" s="23"/>
      <c r="C424" s="27"/>
      <c r="D424" s="19"/>
      <c r="E424" s="6"/>
      <c r="F424" s="6"/>
      <c r="G424" s="6"/>
      <c r="H424" s="6"/>
      <c r="I424" s="19"/>
      <c r="J424" s="6"/>
      <c r="K424" s="6"/>
      <c r="L424" s="19"/>
      <c r="M424" s="6"/>
      <c r="N424" s="6"/>
      <c r="O424" s="6"/>
      <c r="P424" s="6"/>
      <c r="Q424" s="6"/>
      <c r="R424" s="6"/>
      <c r="S424" s="6"/>
      <c r="T424" s="6"/>
      <c r="U424" s="6"/>
      <c r="V424" s="6"/>
      <c r="W424" s="6"/>
      <c r="X424" s="6"/>
      <c r="Y424" s="6"/>
      <c r="Z424" s="6"/>
      <c r="AA424" s="6"/>
      <c r="AB424" s="6"/>
      <c r="AC424" s="6"/>
      <c r="AD424" s="7"/>
    </row>
    <row r="425">
      <c r="A425" s="23"/>
      <c r="B425" s="23"/>
      <c r="C425" s="27"/>
      <c r="D425" s="19"/>
      <c r="E425" s="6"/>
      <c r="F425" s="6"/>
      <c r="G425" s="6"/>
      <c r="H425" s="6"/>
      <c r="I425" s="19"/>
      <c r="J425" s="6"/>
      <c r="K425" s="6"/>
      <c r="L425" s="19"/>
      <c r="M425" s="6"/>
      <c r="N425" s="6"/>
      <c r="O425" s="6"/>
      <c r="P425" s="6"/>
      <c r="Q425" s="6"/>
      <c r="R425" s="6"/>
      <c r="S425" s="6"/>
      <c r="T425" s="6"/>
      <c r="U425" s="6"/>
      <c r="V425" s="6"/>
      <c r="W425" s="6"/>
      <c r="X425" s="6"/>
      <c r="Y425" s="6"/>
      <c r="Z425" s="6"/>
      <c r="AA425" s="6"/>
      <c r="AB425" s="6"/>
      <c r="AC425" s="6"/>
      <c r="AD425" s="7"/>
    </row>
    <row r="426">
      <c r="A426" s="23"/>
      <c r="B426" s="23"/>
      <c r="C426" s="27"/>
      <c r="D426" s="19"/>
      <c r="E426" s="6"/>
      <c r="F426" s="6"/>
      <c r="G426" s="6"/>
      <c r="H426" s="6"/>
      <c r="I426" s="19"/>
      <c r="J426" s="6"/>
      <c r="K426" s="6"/>
      <c r="L426" s="19"/>
      <c r="M426" s="6"/>
      <c r="N426" s="6"/>
      <c r="O426" s="6"/>
      <c r="P426" s="6"/>
      <c r="Q426" s="6"/>
      <c r="R426" s="6"/>
      <c r="S426" s="6"/>
      <c r="T426" s="6"/>
      <c r="U426" s="6"/>
      <c r="V426" s="6"/>
      <c r="W426" s="6"/>
      <c r="X426" s="6"/>
      <c r="Y426" s="6"/>
      <c r="Z426" s="6"/>
      <c r="AA426" s="6"/>
      <c r="AB426" s="6"/>
      <c r="AC426" s="6"/>
      <c r="AD426" s="7"/>
    </row>
    <row r="427">
      <c r="A427" s="23"/>
      <c r="B427" s="23"/>
      <c r="C427" s="27"/>
      <c r="D427" s="19"/>
      <c r="E427" s="6"/>
      <c r="F427" s="6"/>
      <c r="G427" s="6"/>
      <c r="H427" s="6"/>
      <c r="I427" s="19"/>
      <c r="J427" s="6"/>
      <c r="K427" s="6"/>
      <c r="L427" s="19"/>
      <c r="M427" s="6"/>
      <c r="N427" s="6"/>
      <c r="O427" s="6"/>
      <c r="P427" s="6"/>
      <c r="Q427" s="6"/>
      <c r="R427" s="6"/>
      <c r="S427" s="6"/>
      <c r="T427" s="6"/>
      <c r="U427" s="6"/>
      <c r="V427" s="6"/>
      <c r="W427" s="6"/>
      <c r="X427" s="6"/>
      <c r="Y427" s="6"/>
      <c r="Z427" s="6"/>
      <c r="AA427" s="6"/>
      <c r="AB427" s="6"/>
      <c r="AC427" s="6"/>
      <c r="AD427" s="7"/>
    </row>
    <row r="428">
      <c r="A428" s="23"/>
      <c r="B428" s="23"/>
      <c r="C428" s="27"/>
      <c r="D428" s="19"/>
      <c r="E428" s="6"/>
      <c r="F428" s="6"/>
      <c r="G428" s="6"/>
      <c r="H428" s="6"/>
      <c r="I428" s="19"/>
      <c r="J428" s="6"/>
      <c r="K428" s="6"/>
      <c r="L428" s="19"/>
      <c r="M428" s="6"/>
      <c r="N428" s="6"/>
      <c r="O428" s="6"/>
      <c r="P428" s="6"/>
      <c r="Q428" s="6"/>
      <c r="R428" s="6"/>
      <c r="S428" s="6"/>
      <c r="T428" s="6"/>
      <c r="U428" s="6"/>
      <c r="V428" s="6"/>
      <c r="W428" s="6"/>
      <c r="X428" s="6"/>
      <c r="Y428" s="6"/>
      <c r="Z428" s="6"/>
      <c r="AA428" s="6"/>
      <c r="AB428" s="6"/>
      <c r="AC428" s="6"/>
      <c r="AD428" s="7"/>
    </row>
    <row r="429">
      <c r="A429" s="23"/>
      <c r="B429" s="23"/>
      <c r="C429" s="27"/>
      <c r="D429" s="19"/>
      <c r="E429" s="6"/>
      <c r="F429" s="6"/>
      <c r="G429" s="6"/>
      <c r="H429" s="6"/>
      <c r="I429" s="19"/>
      <c r="J429" s="6"/>
      <c r="K429" s="6"/>
      <c r="L429" s="19"/>
      <c r="M429" s="6"/>
      <c r="N429" s="6"/>
      <c r="O429" s="6"/>
      <c r="P429" s="6"/>
      <c r="Q429" s="6"/>
      <c r="R429" s="6"/>
      <c r="S429" s="6"/>
      <c r="T429" s="6"/>
      <c r="U429" s="6"/>
      <c r="V429" s="6"/>
      <c r="W429" s="6"/>
      <c r="X429" s="6"/>
      <c r="Y429" s="6"/>
      <c r="Z429" s="6"/>
      <c r="AA429" s="6"/>
      <c r="AB429" s="6"/>
      <c r="AC429" s="6"/>
      <c r="AD429" s="7"/>
    </row>
    <row r="430">
      <c r="A430" s="23"/>
      <c r="B430" s="23"/>
      <c r="C430" s="27"/>
      <c r="D430" s="19"/>
      <c r="E430" s="6"/>
      <c r="F430" s="6"/>
      <c r="G430" s="6"/>
      <c r="H430" s="6"/>
      <c r="I430" s="19"/>
      <c r="J430" s="6"/>
      <c r="K430" s="6"/>
      <c r="L430" s="19"/>
      <c r="M430" s="6"/>
      <c r="N430" s="6"/>
      <c r="O430" s="6"/>
      <c r="P430" s="6"/>
      <c r="Q430" s="6"/>
      <c r="R430" s="6"/>
      <c r="S430" s="6"/>
      <c r="T430" s="6"/>
      <c r="U430" s="6"/>
      <c r="V430" s="6"/>
      <c r="W430" s="6"/>
      <c r="X430" s="6"/>
      <c r="Y430" s="6"/>
      <c r="Z430" s="6"/>
      <c r="AA430" s="6"/>
      <c r="AB430" s="6"/>
      <c r="AC430" s="6"/>
      <c r="AD430" s="7"/>
    </row>
    <row r="431">
      <c r="A431" s="23"/>
      <c r="B431" s="23"/>
      <c r="C431" s="27"/>
      <c r="D431" s="19"/>
      <c r="E431" s="6"/>
      <c r="F431" s="6"/>
      <c r="G431" s="6"/>
      <c r="H431" s="6"/>
      <c r="I431" s="19"/>
      <c r="J431" s="6"/>
      <c r="K431" s="6"/>
      <c r="L431" s="19"/>
      <c r="M431" s="6"/>
      <c r="N431" s="6"/>
      <c r="O431" s="6"/>
      <c r="P431" s="6"/>
      <c r="Q431" s="6"/>
      <c r="R431" s="6"/>
      <c r="S431" s="6"/>
      <c r="T431" s="6"/>
      <c r="U431" s="6"/>
      <c r="V431" s="6"/>
      <c r="W431" s="6"/>
      <c r="X431" s="6"/>
      <c r="Y431" s="6"/>
      <c r="Z431" s="6"/>
      <c r="AA431" s="6"/>
      <c r="AB431" s="6"/>
      <c r="AC431" s="6"/>
      <c r="AD431" s="7"/>
    </row>
    <row r="432">
      <c r="A432" s="23"/>
      <c r="B432" s="23"/>
      <c r="C432" s="27"/>
      <c r="D432" s="19"/>
      <c r="E432" s="6"/>
      <c r="F432" s="6"/>
      <c r="G432" s="6"/>
      <c r="H432" s="6"/>
      <c r="I432" s="19"/>
      <c r="J432" s="6"/>
      <c r="K432" s="6"/>
      <c r="L432" s="19"/>
      <c r="M432" s="6"/>
      <c r="N432" s="6"/>
      <c r="O432" s="6"/>
      <c r="P432" s="6"/>
      <c r="Q432" s="6"/>
      <c r="R432" s="6"/>
      <c r="S432" s="6"/>
      <c r="T432" s="6"/>
      <c r="U432" s="6"/>
      <c r="V432" s="6"/>
      <c r="W432" s="6"/>
      <c r="X432" s="6"/>
      <c r="Y432" s="6"/>
      <c r="Z432" s="6"/>
      <c r="AA432" s="6"/>
      <c r="AB432" s="6"/>
      <c r="AC432" s="6"/>
      <c r="AD432" s="7"/>
    </row>
    <row r="433">
      <c r="A433" s="23"/>
      <c r="B433" s="23"/>
      <c r="C433" s="27"/>
      <c r="D433" s="19"/>
      <c r="E433" s="6"/>
      <c r="F433" s="6"/>
      <c r="G433" s="6"/>
      <c r="H433" s="6"/>
      <c r="I433" s="19"/>
      <c r="J433" s="6"/>
      <c r="K433" s="6"/>
      <c r="L433" s="19"/>
      <c r="M433" s="6"/>
      <c r="N433" s="6"/>
      <c r="O433" s="6"/>
      <c r="P433" s="6"/>
      <c r="Q433" s="6"/>
      <c r="R433" s="6"/>
      <c r="S433" s="6"/>
      <c r="T433" s="6"/>
      <c r="U433" s="6"/>
      <c r="V433" s="6"/>
      <c r="W433" s="6"/>
      <c r="X433" s="6"/>
      <c r="Y433" s="6"/>
      <c r="Z433" s="6"/>
      <c r="AA433" s="6"/>
      <c r="AB433" s="6"/>
      <c r="AC433" s="6"/>
      <c r="AD433" s="7"/>
    </row>
    <row r="434">
      <c r="A434" s="23"/>
      <c r="B434" s="23"/>
      <c r="C434" s="27"/>
      <c r="D434" s="19"/>
      <c r="E434" s="6"/>
      <c r="F434" s="6"/>
      <c r="G434" s="6"/>
      <c r="H434" s="6"/>
      <c r="I434" s="19"/>
      <c r="J434" s="6"/>
      <c r="K434" s="6"/>
      <c r="L434" s="19"/>
      <c r="M434" s="6"/>
      <c r="N434" s="6"/>
      <c r="O434" s="6"/>
      <c r="P434" s="6"/>
      <c r="Q434" s="6"/>
      <c r="R434" s="6"/>
      <c r="S434" s="6"/>
      <c r="T434" s="6"/>
      <c r="U434" s="6"/>
      <c r="V434" s="6"/>
      <c r="W434" s="6"/>
      <c r="X434" s="6"/>
      <c r="Y434" s="6"/>
      <c r="Z434" s="6"/>
      <c r="AA434" s="6"/>
      <c r="AB434" s="6"/>
      <c r="AC434" s="6"/>
      <c r="AD434" s="7"/>
    </row>
    <row r="435">
      <c r="A435" s="23"/>
      <c r="B435" s="23"/>
      <c r="C435" s="27"/>
      <c r="D435" s="19"/>
      <c r="E435" s="6"/>
      <c r="F435" s="6"/>
      <c r="G435" s="6"/>
      <c r="H435" s="6"/>
      <c r="I435" s="19"/>
      <c r="J435" s="6"/>
      <c r="K435" s="6"/>
      <c r="L435" s="19"/>
      <c r="M435" s="6"/>
      <c r="N435" s="6"/>
      <c r="O435" s="6"/>
      <c r="P435" s="6"/>
      <c r="Q435" s="6"/>
      <c r="R435" s="6"/>
      <c r="S435" s="6"/>
      <c r="T435" s="6"/>
      <c r="U435" s="6"/>
      <c r="V435" s="6"/>
      <c r="W435" s="6"/>
      <c r="X435" s="6"/>
      <c r="Y435" s="6"/>
      <c r="Z435" s="6"/>
      <c r="AA435" s="6"/>
      <c r="AB435" s="6"/>
      <c r="AC435" s="6"/>
      <c r="AD435" s="7"/>
    </row>
    <row r="436">
      <c r="A436" s="23"/>
      <c r="B436" s="23"/>
      <c r="C436" s="27"/>
      <c r="D436" s="19"/>
      <c r="E436" s="6"/>
      <c r="F436" s="6"/>
      <c r="G436" s="6"/>
      <c r="H436" s="6"/>
      <c r="I436" s="19"/>
      <c r="J436" s="6"/>
      <c r="K436" s="6"/>
      <c r="L436" s="19"/>
      <c r="M436" s="6"/>
      <c r="N436" s="6"/>
      <c r="O436" s="6"/>
      <c r="P436" s="6"/>
      <c r="Q436" s="6"/>
      <c r="R436" s="6"/>
      <c r="S436" s="6"/>
      <c r="T436" s="6"/>
      <c r="U436" s="6"/>
      <c r="V436" s="6"/>
      <c r="W436" s="6"/>
      <c r="X436" s="6"/>
      <c r="Y436" s="6"/>
      <c r="Z436" s="6"/>
      <c r="AA436" s="6"/>
      <c r="AB436" s="6"/>
      <c r="AC436" s="6"/>
      <c r="AD436" s="7"/>
    </row>
    <row r="437">
      <c r="A437" s="23"/>
      <c r="B437" s="23"/>
      <c r="C437" s="27"/>
      <c r="D437" s="19"/>
      <c r="E437" s="6"/>
      <c r="F437" s="6"/>
      <c r="G437" s="6"/>
      <c r="H437" s="6"/>
      <c r="I437" s="19"/>
      <c r="J437" s="6"/>
      <c r="K437" s="6"/>
      <c r="L437" s="19"/>
      <c r="M437" s="6"/>
      <c r="N437" s="6"/>
      <c r="O437" s="6"/>
      <c r="P437" s="6"/>
      <c r="Q437" s="6"/>
      <c r="R437" s="6"/>
      <c r="S437" s="6"/>
      <c r="T437" s="6"/>
      <c r="U437" s="6"/>
      <c r="V437" s="6"/>
      <c r="W437" s="6"/>
      <c r="X437" s="6"/>
      <c r="Y437" s="6"/>
      <c r="Z437" s="6"/>
      <c r="AA437" s="6"/>
      <c r="AB437" s="6"/>
      <c r="AC437" s="6"/>
      <c r="AD437" s="7"/>
    </row>
    <row r="438">
      <c r="A438" s="23"/>
      <c r="B438" s="23"/>
      <c r="C438" s="27"/>
      <c r="D438" s="19"/>
      <c r="E438" s="6"/>
      <c r="F438" s="6"/>
      <c r="G438" s="6"/>
      <c r="H438" s="6"/>
      <c r="I438" s="19"/>
      <c r="J438" s="6"/>
      <c r="K438" s="6"/>
      <c r="L438" s="19"/>
      <c r="M438" s="6"/>
      <c r="N438" s="6"/>
      <c r="O438" s="6"/>
      <c r="P438" s="6"/>
      <c r="Q438" s="6"/>
      <c r="R438" s="6"/>
      <c r="S438" s="6"/>
      <c r="T438" s="6"/>
      <c r="U438" s="6"/>
      <c r="V438" s="6"/>
      <c r="W438" s="6"/>
      <c r="X438" s="6"/>
      <c r="Y438" s="6"/>
      <c r="Z438" s="6"/>
      <c r="AA438" s="6"/>
      <c r="AB438" s="6"/>
      <c r="AC438" s="6"/>
      <c r="AD438" s="7"/>
    </row>
    <row r="439">
      <c r="A439" s="23"/>
      <c r="B439" s="23"/>
      <c r="C439" s="27"/>
      <c r="D439" s="19"/>
      <c r="E439" s="6"/>
      <c r="F439" s="6"/>
      <c r="G439" s="6"/>
      <c r="H439" s="6"/>
      <c r="I439" s="19"/>
      <c r="J439" s="6"/>
      <c r="K439" s="6"/>
      <c r="L439" s="19"/>
      <c r="M439" s="6"/>
      <c r="N439" s="6"/>
      <c r="O439" s="6"/>
      <c r="P439" s="6"/>
      <c r="Q439" s="6"/>
      <c r="R439" s="6"/>
      <c r="S439" s="6"/>
      <c r="T439" s="6"/>
      <c r="U439" s="6"/>
      <c r="V439" s="6"/>
      <c r="W439" s="6"/>
      <c r="X439" s="6"/>
      <c r="Y439" s="6"/>
      <c r="Z439" s="6"/>
      <c r="AA439" s="6"/>
      <c r="AB439" s="6"/>
      <c r="AC439" s="6"/>
      <c r="AD439" s="7"/>
    </row>
    <row r="440">
      <c r="A440" s="23"/>
      <c r="B440" s="23"/>
      <c r="C440" s="27"/>
      <c r="D440" s="19"/>
      <c r="E440" s="6"/>
      <c r="F440" s="6"/>
      <c r="G440" s="6"/>
      <c r="H440" s="6"/>
      <c r="I440" s="19"/>
      <c r="J440" s="6"/>
      <c r="K440" s="6"/>
      <c r="L440" s="19"/>
      <c r="M440" s="6"/>
      <c r="N440" s="6"/>
      <c r="O440" s="6"/>
      <c r="P440" s="6"/>
      <c r="Q440" s="6"/>
      <c r="R440" s="6"/>
      <c r="S440" s="6"/>
      <c r="T440" s="6"/>
      <c r="U440" s="6"/>
      <c r="V440" s="6"/>
      <c r="W440" s="6"/>
      <c r="X440" s="6"/>
      <c r="Y440" s="6"/>
      <c r="Z440" s="6"/>
      <c r="AA440" s="6"/>
      <c r="AB440" s="6"/>
      <c r="AC440" s="6"/>
      <c r="AD440" s="7"/>
    </row>
    <row r="441">
      <c r="A441" s="23"/>
      <c r="B441" s="23"/>
      <c r="C441" s="27"/>
      <c r="D441" s="19"/>
      <c r="E441" s="6"/>
      <c r="F441" s="6"/>
      <c r="G441" s="6"/>
      <c r="H441" s="6"/>
      <c r="I441" s="19"/>
      <c r="J441" s="6"/>
      <c r="K441" s="6"/>
      <c r="L441" s="19"/>
      <c r="M441" s="6"/>
      <c r="N441" s="6"/>
      <c r="O441" s="6"/>
      <c r="P441" s="6"/>
      <c r="Q441" s="6"/>
      <c r="R441" s="6"/>
      <c r="S441" s="6"/>
      <c r="T441" s="6"/>
      <c r="U441" s="6"/>
      <c r="V441" s="6"/>
      <c r="W441" s="6"/>
      <c r="X441" s="6"/>
      <c r="Y441" s="6"/>
      <c r="Z441" s="6"/>
      <c r="AA441" s="6"/>
      <c r="AB441" s="6"/>
      <c r="AC441" s="6"/>
      <c r="AD441" s="7"/>
    </row>
    <row r="442">
      <c r="A442" s="23"/>
      <c r="B442" s="23"/>
      <c r="C442" s="27"/>
      <c r="D442" s="19"/>
      <c r="E442" s="6"/>
      <c r="F442" s="6"/>
      <c r="G442" s="6"/>
      <c r="H442" s="6"/>
      <c r="I442" s="19"/>
      <c r="J442" s="6"/>
      <c r="K442" s="6"/>
      <c r="L442" s="19"/>
      <c r="M442" s="6"/>
      <c r="N442" s="6"/>
      <c r="O442" s="6"/>
      <c r="P442" s="6"/>
      <c r="Q442" s="6"/>
      <c r="R442" s="6"/>
      <c r="S442" s="6"/>
      <c r="T442" s="6"/>
      <c r="U442" s="6"/>
      <c r="V442" s="6"/>
      <c r="W442" s="6"/>
      <c r="X442" s="6"/>
      <c r="Y442" s="6"/>
      <c r="Z442" s="6"/>
      <c r="AA442" s="6"/>
      <c r="AB442" s="6"/>
      <c r="AC442" s="6"/>
      <c r="AD442" s="7"/>
    </row>
    <row r="443">
      <c r="A443" s="23"/>
      <c r="B443" s="23"/>
      <c r="C443" s="27"/>
      <c r="D443" s="19"/>
      <c r="E443" s="6"/>
      <c r="F443" s="6"/>
      <c r="G443" s="6"/>
      <c r="H443" s="6"/>
      <c r="I443" s="19"/>
      <c r="J443" s="6"/>
      <c r="K443" s="6"/>
      <c r="L443" s="19"/>
      <c r="M443" s="6"/>
      <c r="N443" s="6"/>
      <c r="O443" s="6"/>
      <c r="P443" s="6"/>
      <c r="Q443" s="6"/>
      <c r="R443" s="6"/>
      <c r="S443" s="6"/>
      <c r="T443" s="6"/>
      <c r="U443" s="6"/>
      <c r="V443" s="6"/>
      <c r="W443" s="6"/>
      <c r="X443" s="6"/>
      <c r="Y443" s="6"/>
      <c r="Z443" s="6"/>
      <c r="AA443" s="6"/>
      <c r="AB443" s="6"/>
      <c r="AC443" s="6"/>
      <c r="AD443" s="7"/>
    </row>
    <row r="444">
      <c r="A444" s="23"/>
      <c r="B444" s="23"/>
      <c r="C444" s="27"/>
      <c r="D444" s="19"/>
      <c r="E444" s="6"/>
      <c r="F444" s="6"/>
      <c r="G444" s="6"/>
      <c r="H444" s="6"/>
      <c r="I444" s="19"/>
      <c r="J444" s="6"/>
      <c r="K444" s="6"/>
      <c r="L444" s="19"/>
      <c r="M444" s="6"/>
      <c r="N444" s="6"/>
      <c r="O444" s="6"/>
      <c r="P444" s="6"/>
      <c r="Q444" s="6"/>
      <c r="R444" s="6"/>
      <c r="S444" s="6"/>
      <c r="T444" s="6"/>
      <c r="U444" s="6"/>
      <c r="V444" s="6"/>
      <c r="W444" s="6"/>
      <c r="X444" s="6"/>
      <c r="Y444" s="6"/>
      <c r="Z444" s="6"/>
      <c r="AA444" s="6"/>
      <c r="AB444" s="6"/>
      <c r="AC444" s="6"/>
      <c r="AD444" s="7"/>
    </row>
    <row r="445">
      <c r="A445" s="23"/>
      <c r="B445" s="23"/>
      <c r="C445" s="27"/>
      <c r="D445" s="19"/>
      <c r="E445" s="6"/>
      <c r="F445" s="6"/>
      <c r="G445" s="6"/>
      <c r="H445" s="6"/>
      <c r="I445" s="19"/>
      <c r="J445" s="6"/>
      <c r="K445" s="6"/>
      <c r="L445" s="19"/>
      <c r="M445" s="6"/>
      <c r="N445" s="6"/>
      <c r="O445" s="6"/>
      <c r="P445" s="6"/>
      <c r="Q445" s="6"/>
      <c r="R445" s="6"/>
      <c r="S445" s="6"/>
      <c r="T445" s="6"/>
      <c r="U445" s="6"/>
      <c r="V445" s="6"/>
      <c r="W445" s="6"/>
      <c r="X445" s="6"/>
      <c r="Y445" s="6"/>
      <c r="Z445" s="6"/>
      <c r="AA445" s="6"/>
      <c r="AB445" s="6"/>
      <c r="AC445" s="6"/>
      <c r="AD445" s="7"/>
    </row>
    <row r="446">
      <c r="A446" s="23"/>
      <c r="B446" s="23"/>
      <c r="C446" s="27"/>
      <c r="D446" s="19"/>
      <c r="E446" s="6"/>
      <c r="F446" s="6"/>
      <c r="G446" s="6"/>
      <c r="H446" s="6"/>
      <c r="I446" s="19"/>
      <c r="J446" s="6"/>
      <c r="K446" s="6"/>
      <c r="L446" s="19"/>
      <c r="M446" s="6"/>
      <c r="N446" s="6"/>
      <c r="O446" s="6"/>
      <c r="P446" s="6"/>
      <c r="Q446" s="6"/>
      <c r="R446" s="6"/>
      <c r="S446" s="6"/>
      <c r="T446" s="6"/>
      <c r="U446" s="6"/>
      <c r="V446" s="6"/>
      <c r="W446" s="6"/>
      <c r="X446" s="6"/>
      <c r="Y446" s="6"/>
      <c r="Z446" s="6"/>
      <c r="AA446" s="6"/>
      <c r="AB446" s="6"/>
      <c r="AC446" s="6"/>
      <c r="AD446" s="7"/>
    </row>
    <row r="447">
      <c r="A447" s="23"/>
      <c r="B447" s="23"/>
      <c r="C447" s="27"/>
      <c r="D447" s="19"/>
      <c r="E447" s="6"/>
      <c r="F447" s="6"/>
      <c r="G447" s="6"/>
      <c r="H447" s="6"/>
      <c r="I447" s="19"/>
      <c r="J447" s="6"/>
      <c r="K447" s="6"/>
      <c r="L447" s="19"/>
      <c r="M447" s="6"/>
      <c r="N447" s="6"/>
      <c r="O447" s="6"/>
      <c r="P447" s="6"/>
      <c r="Q447" s="6"/>
      <c r="R447" s="6"/>
      <c r="S447" s="6"/>
      <c r="T447" s="6"/>
      <c r="U447" s="6"/>
      <c r="V447" s="6"/>
      <c r="W447" s="6"/>
      <c r="X447" s="6"/>
      <c r="Y447" s="6"/>
      <c r="Z447" s="6"/>
      <c r="AA447" s="6"/>
      <c r="AB447" s="6"/>
      <c r="AC447" s="6"/>
      <c r="AD447" s="7"/>
    </row>
    <row r="448">
      <c r="A448" s="23"/>
      <c r="B448" s="23"/>
      <c r="C448" s="27"/>
      <c r="D448" s="19"/>
      <c r="E448" s="6"/>
      <c r="F448" s="6"/>
      <c r="G448" s="6"/>
      <c r="H448" s="6"/>
      <c r="I448" s="19"/>
      <c r="J448" s="6"/>
      <c r="K448" s="6"/>
      <c r="L448" s="19"/>
      <c r="M448" s="6"/>
      <c r="N448" s="6"/>
      <c r="O448" s="6"/>
      <c r="P448" s="6"/>
      <c r="Q448" s="6"/>
      <c r="R448" s="6"/>
      <c r="S448" s="6"/>
      <c r="T448" s="6"/>
      <c r="U448" s="6"/>
      <c r="V448" s="6"/>
      <c r="W448" s="6"/>
      <c r="X448" s="6"/>
      <c r="Y448" s="6"/>
      <c r="Z448" s="6"/>
      <c r="AA448" s="6"/>
      <c r="AB448" s="6"/>
      <c r="AC448" s="6"/>
      <c r="AD448" s="7"/>
    </row>
    <row r="449">
      <c r="A449" s="23"/>
      <c r="B449" s="23"/>
      <c r="C449" s="27"/>
      <c r="D449" s="19"/>
      <c r="E449" s="6"/>
      <c r="F449" s="6"/>
      <c r="G449" s="6"/>
      <c r="H449" s="6"/>
      <c r="I449" s="19"/>
      <c r="J449" s="6"/>
      <c r="K449" s="6"/>
      <c r="L449" s="19"/>
      <c r="M449" s="6"/>
      <c r="N449" s="6"/>
      <c r="O449" s="6"/>
      <c r="P449" s="6"/>
      <c r="Q449" s="6"/>
      <c r="R449" s="6"/>
      <c r="S449" s="6"/>
      <c r="T449" s="6"/>
      <c r="U449" s="6"/>
      <c r="V449" s="6"/>
      <c r="W449" s="6"/>
      <c r="X449" s="6"/>
      <c r="Y449" s="6"/>
      <c r="Z449" s="6"/>
      <c r="AA449" s="6"/>
      <c r="AB449" s="6"/>
      <c r="AC449" s="6"/>
      <c r="AD449" s="7"/>
    </row>
    <row r="450">
      <c r="A450" s="23"/>
      <c r="B450" s="23"/>
      <c r="C450" s="27"/>
      <c r="D450" s="19"/>
      <c r="E450" s="6"/>
      <c r="F450" s="6"/>
      <c r="G450" s="6"/>
      <c r="H450" s="6"/>
      <c r="I450" s="19"/>
      <c r="J450" s="6"/>
      <c r="K450" s="6"/>
      <c r="L450" s="19"/>
      <c r="M450" s="6"/>
      <c r="N450" s="6"/>
      <c r="O450" s="6"/>
      <c r="P450" s="6"/>
      <c r="Q450" s="6"/>
      <c r="R450" s="6"/>
      <c r="S450" s="6"/>
      <c r="T450" s="6"/>
      <c r="U450" s="6"/>
      <c r="V450" s="6"/>
      <c r="W450" s="6"/>
      <c r="X450" s="6"/>
      <c r="Y450" s="6"/>
      <c r="Z450" s="6"/>
      <c r="AA450" s="6"/>
      <c r="AB450" s="6"/>
      <c r="AC450" s="6"/>
      <c r="AD450" s="7"/>
    </row>
    <row r="451">
      <c r="A451" s="23"/>
      <c r="B451" s="23"/>
      <c r="C451" s="27"/>
      <c r="D451" s="19"/>
      <c r="E451" s="6"/>
      <c r="F451" s="6"/>
      <c r="G451" s="6"/>
      <c r="H451" s="6"/>
      <c r="I451" s="19"/>
      <c r="J451" s="6"/>
      <c r="K451" s="6"/>
      <c r="L451" s="19"/>
      <c r="M451" s="6"/>
      <c r="N451" s="6"/>
      <c r="O451" s="6"/>
      <c r="P451" s="6"/>
      <c r="Q451" s="6"/>
      <c r="R451" s="6"/>
      <c r="S451" s="6"/>
      <c r="T451" s="6"/>
      <c r="U451" s="6"/>
      <c r="V451" s="6"/>
      <c r="W451" s="6"/>
      <c r="X451" s="6"/>
      <c r="Y451" s="6"/>
      <c r="Z451" s="6"/>
      <c r="AA451" s="6"/>
      <c r="AB451" s="6"/>
      <c r="AC451" s="6"/>
      <c r="AD451" s="7"/>
    </row>
    <row r="452">
      <c r="A452" s="23"/>
      <c r="B452" s="23"/>
      <c r="C452" s="27"/>
      <c r="D452" s="19"/>
      <c r="E452" s="6"/>
      <c r="F452" s="6"/>
      <c r="G452" s="6"/>
      <c r="H452" s="6"/>
      <c r="I452" s="19"/>
      <c r="J452" s="6"/>
      <c r="K452" s="6"/>
      <c r="L452" s="19"/>
      <c r="M452" s="6"/>
      <c r="N452" s="6"/>
      <c r="O452" s="6"/>
      <c r="P452" s="6"/>
      <c r="Q452" s="6"/>
      <c r="R452" s="6"/>
      <c r="S452" s="6"/>
      <c r="T452" s="6"/>
      <c r="U452" s="6"/>
      <c r="V452" s="6"/>
      <c r="W452" s="6"/>
      <c r="X452" s="6"/>
      <c r="Y452" s="6"/>
      <c r="Z452" s="6"/>
      <c r="AA452" s="6"/>
      <c r="AB452" s="6"/>
      <c r="AC452" s="6"/>
      <c r="AD452" s="7"/>
    </row>
    <row r="453">
      <c r="A453" s="23"/>
      <c r="B453" s="23"/>
      <c r="C453" s="27"/>
      <c r="D453" s="19"/>
      <c r="E453" s="6"/>
      <c r="F453" s="6"/>
      <c r="G453" s="6"/>
      <c r="H453" s="6"/>
      <c r="I453" s="19"/>
      <c r="J453" s="6"/>
      <c r="K453" s="6"/>
      <c r="L453" s="19"/>
      <c r="M453" s="6"/>
      <c r="N453" s="6"/>
      <c r="O453" s="6"/>
      <c r="P453" s="6"/>
      <c r="Q453" s="6"/>
      <c r="R453" s="6"/>
      <c r="S453" s="6"/>
      <c r="T453" s="6"/>
      <c r="U453" s="6"/>
      <c r="V453" s="6"/>
      <c r="W453" s="6"/>
      <c r="X453" s="6"/>
      <c r="Y453" s="6"/>
      <c r="Z453" s="6"/>
      <c r="AA453" s="6"/>
      <c r="AB453" s="6"/>
      <c r="AC453" s="6"/>
      <c r="AD453" s="7"/>
    </row>
    <row r="454">
      <c r="A454" s="23"/>
      <c r="B454" s="23"/>
      <c r="C454" s="27"/>
      <c r="D454" s="19"/>
      <c r="E454" s="6"/>
      <c r="F454" s="6"/>
      <c r="G454" s="6"/>
      <c r="H454" s="6"/>
      <c r="I454" s="19"/>
      <c r="J454" s="6"/>
      <c r="K454" s="6"/>
      <c r="L454" s="19"/>
      <c r="M454" s="6"/>
      <c r="N454" s="6"/>
      <c r="O454" s="6"/>
      <c r="P454" s="6"/>
      <c r="Q454" s="6"/>
      <c r="R454" s="6"/>
      <c r="S454" s="6"/>
      <c r="T454" s="6"/>
      <c r="U454" s="6"/>
      <c r="V454" s="6"/>
      <c r="W454" s="6"/>
      <c r="X454" s="6"/>
      <c r="Y454" s="6"/>
      <c r="Z454" s="6"/>
      <c r="AA454" s="6"/>
      <c r="AB454" s="6"/>
      <c r="AC454" s="6"/>
      <c r="AD454" s="7"/>
    </row>
    <row r="455">
      <c r="A455" s="23"/>
      <c r="B455" s="23"/>
      <c r="C455" s="27"/>
      <c r="D455" s="19"/>
      <c r="E455" s="6"/>
      <c r="F455" s="6"/>
      <c r="G455" s="6"/>
      <c r="H455" s="6"/>
      <c r="I455" s="19"/>
      <c r="J455" s="6"/>
      <c r="K455" s="6"/>
      <c r="L455" s="19"/>
      <c r="M455" s="6"/>
      <c r="N455" s="6"/>
      <c r="O455" s="6"/>
      <c r="P455" s="6"/>
      <c r="Q455" s="6"/>
      <c r="R455" s="6"/>
      <c r="S455" s="6"/>
      <c r="T455" s="6"/>
      <c r="U455" s="6"/>
      <c r="V455" s="6"/>
      <c r="W455" s="6"/>
      <c r="X455" s="6"/>
      <c r="Y455" s="6"/>
      <c r="Z455" s="6"/>
      <c r="AA455" s="6"/>
      <c r="AB455" s="6"/>
      <c r="AC455" s="6"/>
      <c r="AD455" s="7"/>
    </row>
    <row r="456">
      <c r="A456" s="23"/>
      <c r="B456" s="23"/>
      <c r="C456" s="27"/>
      <c r="D456" s="19"/>
      <c r="E456" s="6"/>
      <c r="F456" s="6"/>
      <c r="G456" s="6"/>
      <c r="H456" s="6"/>
      <c r="I456" s="19"/>
      <c r="J456" s="6"/>
      <c r="K456" s="6"/>
      <c r="L456" s="19"/>
      <c r="M456" s="6"/>
      <c r="N456" s="6"/>
      <c r="O456" s="6"/>
      <c r="P456" s="6"/>
      <c r="Q456" s="6"/>
      <c r="R456" s="6"/>
      <c r="S456" s="6"/>
      <c r="T456" s="6"/>
      <c r="U456" s="6"/>
      <c r="V456" s="6"/>
      <c r="W456" s="6"/>
      <c r="X456" s="6"/>
      <c r="Y456" s="6"/>
      <c r="Z456" s="6"/>
      <c r="AA456" s="6"/>
      <c r="AB456" s="6"/>
      <c r="AC456" s="6"/>
      <c r="AD456" s="7"/>
    </row>
    <row r="457">
      <c r="A457" s="23"/>
      <c r="B457" s="23"/>
      <c r="C457" s="27"/>
      <c r="D457" s="19"/>
      <c r="E457" s="6"/>
      <c r="F457" s="6"/>
      <c r="G457" s="6"/>
      <c r="H457" s="6"/>
      <c r="I457" s="19"/>
      <c r="J457" s="6"/>
      <c r="K457" s="6"/>
      <c r="L457" s="19"/>
      <c r="M457" s="6"/>
      <c r="N457" s="6"/>
      <c r="O457" s="6"/>
      <c r="P457" s="6"/>
      <c r="Q457" s="6"/>
      <c r="R457" s="6"/>
      <c r="S457" s="6"/>
      <c r="T457" s="6"/>
      <c r="U457" s="6"/>
      <c r="V457" s="6"/>
      <c r="W457" s="6"/>
      <c r="X457" s="6"/>
      <c r="Y457" s="6"/>
      <c r="Z457" s="6"/>
      <c r="AA457" s="6"/>
      <c r="AB457" s="6"/>
      <c r="AC457" s="6"/>
      <c r="AD457" s="7"/>
    </row>
    <row r="458">
      <c r="A458" s="23"/>
      <c r="B458" s="23"/>
      <c r="C458" s="27"/>
      <c r="D458" s="19"/>
      <c r="E458" s="6"/>
      <c r="F458" s="6"/>
      <c r="G458" s="6"/>
      <c r="H458" s="6"/>
      <c r="I458" s="19"/>
      <c r="J458" s="6"/>
      <c r="K458" s="6"/>
      <c r="L458" s="19"/>
      <c r="M458" s="6"/>
      <c r="N458" s="6"/>
      <c r="O458" s="6"/>
      <c r="P458" s="6"/>
      <c r="Q458" s="6"/>
      <c r="R458" s="6"/>
      <c r="S458" s="6"/>
      <c r="T458" s="6"/>
      <c r="U458" s="6"/>
      <c r="V458" s="6"/>
      <c r="W458" s="6"/>
      <c r="X458" s="6"/>
      <c r="Y458" s="6"/>
      <c r="Z458" s="6"/>
      <c r="AA458" s="6"/>
      <c r="AB458" s="6"/>
      <c r="AC458" s="6"/>
      <c r="AD458" s="7"/>
    </row>
    <row r="459">
      <c r="A459" s="23"/>
      <c r="B459" s="23"/>
      <c r="C459" s="27"/>
      <c r="D459" s="19"/>
      <c r="E459" s="6"/>
      <c r="F459" s="6"/>
      <c r="G459" s="6"/>
      <c r="H459" s="6"/>
      <c r="I459" s="19"/>
      <c r="J459" s="6"/>
      <c r="K459" s="6"/>
      <c r="L459" s="19"/>
      <c r="M459" s="6"/>
      <c r="N459" s="6"/>
      <c r="O459" s="6"/>
      <c r="P459" s="6"/>
      <c r="Q459" s="6"/>
      <c r="R459" s="6"/>
      <c r="S459" s="6"/>
      <c r="T459" s="6"/>
      <c r="U459" s="6"/>
      <c r="V459" s="6"/>
      <c r="W459" s="6"/>
      <c r="X459" s="6"/>
      <c r="Y459" s="6"/>
      <c r="Z459" s="6"/>
      <c r="AA459" s="6"/>
      <c r="AB459" s="6"/>
      <c r="AC459" s="6"/>
      <c r="AD459" s="7"/>
    </row>
    <row r="460">
      <c r="A460" s="23"/>
      <c r="B460" s="23"/>
      <c r="C460" s="27"/>
      <c r="D460" s="19"/>
      <c r="E460" s="6"/>
      <c r="F460" s="6"/>
      <c r="G460" s="6"/>
      <c r="H460" s="6"/>
      <c r="I460" s="19"/>
      <c r="J460" s="6"/>
      <c r="K460" s="6"/>
      <c r="L460" s="19"/>
      <c r="M460" s="6"/>
      <c r="N460" s="6"/>
      <c r="O460" s="6"/>
      <c r="P460" s="6"/>
      <c r="Q460" s="6"/>
      <c r="R460" s="6"/>
      <c r="S460" s="6"/>
      <c r="T460" s="6"/>
      <c r="U460" s="6"/>
      <c r="V460" s="6"/>
      <c r="W460" s="6"/>
      <c r="X460" s="6"/>
      <c r="Y460" s="6"/>
      <c r="Z460" s="6"/>
      <c r="AA460" s="6"/>
      <c r="AB460" s="6"/>
      <c r="AC460" s="6"/>
      <c r="AD460" s="7"/>
    </row>
    <row r="461">
      <c r="A461" s="23"/>
      <c r="B461" s="23"/>
      <c r="C461" s="27"/>
      <c r="D461" s="19"/>
      <c r="E461" s="6"/>
      <c r="F461" s="6"/>
      <c r="G461" s="6"/>
      <c r="H461" s="6"/>
      <c r="I461" s="19"/>
      <c r="J461" s="6"/>
      <c r="K461" s="6"/>
      <c r="L461" s="19"/>
      <c r="M461" s="6"/>
      <c r="N461" s="6"/>
      <c r="O461" s="6"/>
      <c r="P461" s="6"/>
      <c r="Q461" s="6"/>
      <c r="R461" s="6"/>
      <c r="S461" s="6"/>
      <c r="T461" s="6"/>
      <c r="U461" s="6"/>
      <c r="V461" s="6"/>
      <c r="W461" s="6"/>
      <c r="X461" s="6"/>
      <c r="Y461" s="6"/>
      <c r="Z461" s="6"/>
      <c r="AA461" s="6"/>
      <c r="AB461" s="6"/>
      <c r="AC461" s="6"/>
      <c r="AD461" s="7"/>
    </row>
    <row r="462">
      <c r="A462" s="23"/>
      <c r="B462" s="23"/>
      <c r="C462" s="27"/>
      <c r="D462" s="19"/>
      <c r="E462" s="6"/>
      <c r="F462" s="6"/>
      <c r="G462" s="6"/>
      <c r="H462" s="6"/>
      <c r="I462" s="19"/>
      <c r="J462" s="6"/>
      <c r="K462" s="6"/>
      <c r="L462" s="19"/>
      <c r="M462" s="6"/>
      <c r="N462" s="6"/>
      <c r="O462" s="6"/>
      <c r="P462" s="6"/>
      <c r="Q462" s="6"/>
      <c r="R462" s="6"/>
      <c r="S462" s="6"/>
      <c r="T462" s="6"/>
      <c r="U462" s="6"/>
      <c r="V462" s="6"/>
      <c r="W462" s="6"/>
      <c r="X462" s="6"/>
      <c r="Y462" s="6"/>
      <c r="Z462" s="6"/>
      <c r="AA462" s="6"/>
      <c r="AB462" s="6"/>
      <c r="AC462" s="6"/>
      <c r="AD462" s="7"/>
    </row>
    <row r="463">
      <c r="A463" s="23"/>
      <c r="B463" s="23"/>
      <c r="C463" s="27"/>
      <c r="D463" s="19"/>
      <c r="E463" s="6"/>
      <c r="F463" s="6"/>
      <c r="G463" s="6"/>
      <c r="H463" s="6"/>
      <c r="I463" s="19"/>
      <c r="J463" s="6"/>
      <c r="K463" s="6"/>
      <c r="L463" s="19"/>
      <c r="M463" s="6"/>
      <c r="N463" s="6"/>
      <c r="O463" s="6"/>
      <c r="P463" s="6"/>
      <c r="Q463" s="6"/>
      <c r="R463" s="6"/>
      <c r="S463" s="6"/>
      <c r="T463" s="6"/>
      <c r="U463" s="6"/>
      <c r="V463" s="6"/>
      <c r="W463" s="6"/>
      <c r="X463" s="6"/>
      <c r="Y463" s="6"/>
      <c r="Z463" s="6"/>
      <c r="AA463" s="6"/>
      <c r="AB463" s="6"/>
      <c r="AC463" s="6"/>
      <c r="AD463" s="7"/>
    </row>
    <row r="464">
      <c r="A464" s="23"/>
      <c r="B464" s="23"/>
      <c r="C464" s="27"/>
      <c r="D464" s="19"/>
      <c r="E464" s="6"/>
      <c r="F464" s="6"/>
      <c r="G464" s="6"/>
      <c r="H464" s="6"/>
      <c r="I464" s="19"/>
      <c r="J464" s="6"/>
      <c r="K464" s="6"/>
      <c r="L464" s="19"/>
      <c r="M464" s="6"/>
      <c r="N464" s="6"/>
      <c r="O464" s="6"/>
      <c r="P464" s="6"/>
      <c r="Q464" s="6"/>
      <c r="R464" s="6"/>
      <c r="S464" s="6"/>
      <c r="T464" s="6"/>
      <c r="U464" s="6"/>
      <c r="V464" s="6"/>
      <c r="W464" s="6"/>
      <c r="X464" s="6"/>
      <c r="Y464" s="6"/>
      <c r="Z464" s="6"/>
      <c r="AA464" s="6"/>
      <c r="AB464" s="6"/>
      <c r="AC464" s="6"/>
      <c r="AD464" s="7"/>
    </row>
    <row r="465">
      <c r="A465" s="23"/>
      <c r="B465" s="23"/>
      <c r="C465" s="27"/>
      <c r="D465" s="19"/>
      <c r="E465" s="6"/>
      <c r="F465" s="6"/>
      <c r="G465" s="6"/>
      <c r="H465" s="6"/>
      <c r="I465" s="19"/>
      <c r="J465" s="6"/>
      <c r="K465" s="6"/>
      <c r="L465" s="19"/>
      <c r="M465" s="6"/>
      <c r="N465" s="6"/>
      <c r="O465" s="6"/>
      <c r="P465" s="6"/>
      <c r="Q465" s="6"/>
      <c r="R465" s="6"/>
      <c r="S465" s="6"/>
      <c r="T465" s="6"/>
      <c r="U465" s="6"/>
      <c r="V465" s="6"/>
      <c r="W465" s="6"/>
      <c r="X465" s="6"/>
      <c r="Y465" s="6"/>
      <c r="Z465" s="6"/>
      <c r="AA465" s="6"/>
      <c r="AB465" s="6"/>
      <c r="AC465" s="6"/>
      <c r="AD465" s="7"/>
    </row>
    <row r="466">
      <c r="A466" s="23"/>
      <c r="B466" s="23"/>
      <c r="C466" s="27"/>
      <c r="D466" s="19"/>
      <c r="E466" s="6"/>
      <c r="F466" s="6"/>
      <c r="G466" s="6"/>
      <c r="H466" s="6"/>
      <c r="I466" s="19"/>
      <c r="J466" s="6"/>
      <c r="K466" s="6"/>
      <c r="L466" s="19"/>
      <c r="M466" s="6"/>
      <c r="N466" s="6"/>
      <c r="O466" s="6"/>
      <c r="P466" s="6"/>
      <c r="Q466" s="6"/>
      <c r="R466" s="6"/>
      <c r="S466" s="6"/>
      <c r="T466" s="6"/>
      <c r="U466" s="6"/>
      <c r="V466" s="6"/>
      <c r="W466" s="6"/>
      <c r="X466" s="6"/>
      <c r="Y466" s="6"/>
      <c r="Z466" s="6"/>
      <c r="AA466" s="6"/>
      <c r="AB466" s="6"/>
      <c r="AC466" s="6"/>
      <c r="AD466" s="7"/>
    </row>
    <row r="467">
      <c r="A467" s="23"/>
      <c r="B467" s="23"/>
      <c r="C467" s="27"/>
      <c r="D467" s="19"/>
      <c r="E467" s="6"/>
      <c r="F467" s="6"/>
      <c r="G467" s="6"/>
      <c r="H467" s="6"/>
      <c r="I467" s="19"/>
      <c r="J467" s="6"/>
      <c r="K467" s="6"/>
      <c r="L467" s="19"/>
      <c r="M467" s="6"/>
      <c r="N467" s="6"/>
      <c r="O467" s="6"/>
      <c r="P467" s="6"/>
      <c r="Q467" s="6"/>
      <c r="R467" s="6"/>
      <c r="S467" s="6"/>
      <c r="T467" s="6"/>
      <c r="U467" s="6"/>
      <c r="V467" s="6"/>
      <c r="W467" s="6"/>
      <c r="X467" s="6"/>
      <c r="Y467" s="6"/>
      <c r="Z467" s="6"/>
      <c r="AA467" s="6"/>
      <c r="AB467" s="6"/>
      <c r="AC467" s="6"/>
      <c r="AD467" s="7"/>
    </row>
    <row r="468">
      <c r="A468" s="23"/>
      <c r="B468" s="23"/>
      <c r="C468" s="27"/>
      <c r="D468" s="19"/>
      <c r="E468" s="6"/>
      <c r="F468" s="6"/>
      <c r="G468" s="6"/>
      <c r="H468" s="6"/>
      <c r="I468" s="19"/>
      <c r="J468" s="6"/>
      <c r="K468" s="6"/>
      <c r="L468" s="19"/>
      <c r="M468" s="6"/>
      <c r="N468" s="6"/>
      <c r="O468" s="6"/>
      <c r="P468" s="6"/>
      <c r="Q468" s="6"/>
      <c r="R468" s="6"/>
      <c r="S468" s="6"/>
      <c r="T468" s="6"/>
      <c r="U468" s="6"/>
      <c r="V468" s="6"/>
      <c r="W468" s="6"/>
      <c r="X468" s="6"/>
      <c r="Y468" s="6"/>
      <c r="Z468" s="6"/>
      <c r="AA468" s="6"/>
      <c r="AB468" s="6"/>
      <c r="AC468" s="6"/>
      <c r="AD468" s="7"/>
    </row>
    <row r="469">
      <c r="A469" s="23"/>
      <c r="B469" s="23"/>
      <c r="C469" s="27"/>
      <c r="D469" s="19"/>
      <c r="E469" s="6"/>
      <c r="F469" s="6"/>
      <c r="G469" s="6"/>
      <c r="H469" s="6"/>
      <c r="I469" s="19"/>
      <c r="J469" s="6"/>
      <c r="K469" s="6"/>
      <c r="L469" s="19"/>
      <c r="M469" s="6"/>
      <c r="N469" s="6"/>
      <c r="O469" s="6"/>
      <c r="P469" s="6"/>
      <c r="Q469" s="6"/>
      <c r="R469" s="6"/>
      <c r="S469" s="6"/>
      <c r="T469" s="6"/>
      <c r="U469" s="6"/>
      <c r="V469" s="6"/>
      <c r="W469" s="6"/>
      <c r="X469" s="6"/>
      <c r="Y469" s="6"/>
      <c r="Z469" s="6"/>
      <c r="AA469" s="6"/>
      <c r="AB469" s="6"/>
      <c r="AC469" s="6"/>
      <c r="AD469" s="7"/>
    </row>
    <row r="470">
      <c r="A470" s="23"/>
      <c r="B470" s="23"/>
      <c r="C470" s="27"/>
      <c r="D470" s="19"/>
      <c r="E470" s="6"/>
      <c r="F470" s="6"/>
      <c r="G470" s="6"/>
      <c r="H470" s="6"/>
      <c r="I470" s="19"/>
      <c r="J470" s="6"/>
      <c r="K470" s="6"/>
      <c r="L470" s="19"/>
      <c r="M470" s="6"/>
      <c r="N470" s="6"/>
      <c r="O470" s="6"/>
      <c r="P470" s="6"/>
      <c r="Q470" s="6"/>
      <c r="R470" s="6"/>
      <c r="S470" s="6"/>
      <c r="T470" s="6"/>
      <c r="U470" s="6"/>
      <c r="V470" s="6"/>
      <c r="W470" s="6"/>
      <c r="X470" s="6"/>
      <c r="Y470" s="6"/>
      <c r="Z470" s="6"/>
      <c r="AA470" s="6"/>
      <c r="AB470" s="6"/>
      <c r="AC470" s="6"/>
      <c r="AD470" s="7"/>
    </row>
    <row r="471">
      <c r="A471" s="23"/>
      <c r="B471" s="23"/>
      <c r="C471" s="27"/>
      <c r="D471" s="19"/>
      <c r="E471" s="6"/>
      <c r="F471" s="6"/>
      <c r="G471" s="6"/>
      <c r="H471" s="6"/>
      <c r="I471" s="19"/>
      <c r="J471" s="6"/>
      <c r="K471" s="6"/>
      <c r="L471" s="19"/>
      <c r="M471" s="6"/>
      <c r="N471" s="6"/>
      <c r="O471" s="6"/>
      <c r="P471" s="6"/>
      <c r="Q471" s="6"/>
      <c r="R471" s="6"/>
      <c r="S471" s="6"/>
      <c r="T471" s="6"/>
      <c r="U471" s="6"/>
      <c r="V471" s="6"/>
      <c r="W471" s="6"/>
      <c r="X471" s="6"/>
      <c r="Y471" s="6"/>
      <c r="Z471" s="6"/>
      <c r="AA471" s="6"/>
      <c r="AB471" s="6"/>
      <c r="AC471" s="6"/>
      <c r="AD471" s="7"/>
    </row>
    <row r="472">
      <c r="A472" s="23"/>
      <c r="B472" s="23"/>
      <c r="C472" s="27"/>
      <c r="D472" s="19"/>
      <c r="E472" s="6"/>
      <c r="F472" s="6"/>
      <c r="G472" s="6"/>
      <c r="H472" s="6"/>
      <c r="I472" s="19"/>
      <c r="J472" s="6"/>
      <c r="K472" s="6"/>
      <c r="L472" s="19"/>
      <c r="M472" s="6"/>
      <c r="N472" s="6"/>
      <c r="O472" s="6"/>
      <c r="P472" s="6"/>
      <c r="Q472" s="6"/>
      <c r="R472" s="6"/>
      <c r="S472" s="6"/>
      <c r="T472" s="6"/>
      <c r="U472" s="6"/>
      <c r="V472" s="6"/>
      <c r="W472" s="6"/>
      <c r="X472" s="6"/>
      <c r="Y472" s="6"/>
      <c r="Z472" s="6"/>
      <c r="AA472" s="6"/>
      <c r="AB472" s="6"/>
      <c r="AC472" s="6"/>
      <c r="AD472" s="7"/>
    </row>
    <row r="473">
      <c r="A473" s="23"/>
      <c r="B473" s="23"/>
      <c r="C473" s="27"/>
      <c r="D473" s="19"/>
      <c r="E473" s="6"/>
      <c r="F473" s="6"/>
      <c r="G473" s="6"/>
      <c r="H473" s="6"/>
      <c r="I473" s="19"/>
      <c r="J473" s="6"/>
      <c r="K473" s="6"/>
      <c r="L473" s="19"/>
      <c r="M473" s="6"/>
      <c r="N473" s="6"/>
      <c r="O473" s="6"/>
      <c r="P473" s="6"/>
      <c r="Q473" s="6"/>
      <c r="R473" s="6"/>
      <c r="S473" s="6"/>
      <c r="T473" s="6"/>
      <c r="U473" s="6"/>
      <c r="V473" s="6"/>
      <c r="W473" s="6"/>
      <c r="X473" s="6"/>
      <c r="Y473" s="6"/>
      <c r="Z473" s="6"/>
      <c r="AA473" s="6"/>
      <c r="AB473" s="6"/>
      <c r="AC473" s="6"/>
      <c r="AD473" s="7"/>
    </row>
    <row r="474">
      <c r="A474" s="23"/>
      <c r="B474" s="23"/>
      <c r="C474" s="27"/>
      <c r="D474" s="19"/>
      <c r="E474" s="6"/>
      <c r="F474" s="6"/>
      <c r="G474" s="6"/>
      <c r="H474" s="6"/>
      <c r="I474" s="19"/>
      <c r="J474" s="6"/>
      <c r="K474" s="6"/>
      <c r="L474" s="19"/>
      <c r="M474" s="6"/>
      <c r="N474" s="6"/>
      <c r="O474" s="6"/>
      <c r="P474" s="6"/>
      <c r="Q474" s="6"/>
      <c r="R474" s="6"/>
      <c r="S474" s="6"/>
      <c r="T474" s="6"/>
      <c r="U474" s="6"/>
      <c r="V474" s="6"/>
      <c r="W474" s="6"/>
      <c r="X474" s="6"/>
      <c r="Y474" s="6"/>
      <c r="Z474" s="6"/>
      <c r="AA474" s="6"/>
      <c r="AB474" s="6"/>
      <c r="AC474" s="6"/>
      <c r="AD474" s="7"/>
    </row>
    <row r="475">
      <c r="A475" s="23"/>
      <c r="B475" s="23"/>
      <c r="C475" s="27"/>
      <c r="D475" s="19"/>
      <c r="E475" s="6"/>
      <c r="F475" s="6"/>
      <c r="G475" s="6"/>
      <c r="H475" s="6"/>
      <c r="I475" s="19"/>
      <c r="J475" s="6"/>
      <c r="K475" s="6"/>
      <c r="L475" s="19"/>
      <c r="M475" s="6"/>
      <c r="N475" s="6"/>
      <c r="O475" s="6"/>
      <c r="P475" s="6"/>
      <c r="Q475" s="6"/>
      <c r="R475" s="6"/>
      <c r="S475" s="6"/>
      <c r="T475" s="6"/>
      <c r="U475" s="6"/>
      <c r="V475" s="6"/>
      <c r="W475" s="6"/>
      <c r="X475" s="6"/>
      <c r="Y475" s="6"/>
      <c r="Z475" s="6"/>
      <c r="AA475" s="6"/>
      <c r="AB475" s="6"/>
      <c r="AC475" s="6"/>
      <c r="AD475" s="7"/>
    </row>
    <row r="476">
      <c r="A476" s="23"/>
      <c r="B476" s="23"/>
      <c r="C476" s="27"/>
      <c r="D476" s="19"/>
      <c r="E476" s="6"/>
      <c r="F476" s="6"/>
      <c r="G476" s="6"/>
      <c r="H476" s="6"/>
      <c r="I476" s="19"/>
      <c r="J476" s="6"/>
      <c r="K476" s="6"/>
      <c r="L476" s="19"/>
      <c r="M476" s="6"/>
      <c r="N476" s="6"/>
      <c r="O476" s="6"/>
      <c r="P476" s="6"/>
      <c r="Q476" s="6"/>
      <c r="R476" s="6"/>
      <c r="S476" s="6"/>
      <c r="T476" s="6"/>
      <c r="U476" s="6"/>
      <c r="V476" s="6"/>
      <c r="W476" s="6"/>
      <c r="X476" s="6"/>
      <c r="Y476" s="6"/>
      <c r="Z476" s="6"/>
      <c r="AA476" s="6"/>
      <c r="AB476" s="6"/>
      <c r="AC476" s="6"/>
      <c r="AD476" s="7"/>
    </row>
    <row r="477">
      <c r="A477" s="23"/>
      <c r="B477" s="23"/>
      <c r="C477" s="27"/>
      <c r="D477" s="19"/>
      <c r="E477" s="6"/>
      <c r="F477" s="6"/>
      <c r="G477" s="6"/>
      <c r="H477" s="6"/>
      <c r="I477" s="19"/>
      <c r="J477" s="6"/>
      <c r="K477" s="6"/>
      <c r="L477" s="19"/>
      <c r="M477" s="6"/>
      <c r="N477" s="6"/>
      <c r="O477" s="6"/>
      <c r="P477" s="6"/>
      <c r="Q477" s="6"/>
      <c r="R477" s="6"/>
      <c r="S477" s="6"/>
      <c r="T477" s="6"/>
      <c r="U477" s="6"/>
      <c r="V477" s="6"/>
      <c r="W477" s="6"/>
      <c r="X477" s="6"/>
      <c r="Y477" s="6"/>
      <c r="Z477" s="6"/>
      <c r="AA477" s="6"/>
      <c r="AB477" s="6"/>
      <c r="AC477" s="6"/>
      <c r="AD477" s="7"/>
    </row>
    <row r="478">
      <c r="A478" s="23"/>
      <c r="B478" s="23"/>
      <c r="C478" s="27"/>
      <c r="D478" s="19"/>
      <c r="E478" s="6"/>
      <c r="F478" s="6"/>
      <c r="G478" s="6"/>
      <c r="H478" s="6"/>
      <c r="I478" s="19"/>
      <c r="J478" s="6"/>
      <c r="K478" s="6"/>
      <c r="L478" s="19"/>
      <c r="M478" s="6"/>
      <c r="N478" s="6"/>
      <c r="O478" s="6"/>
      <c r="P478" s="6"/>
      <c r="Q478" s="6"/>
      <c r="R478" s="6"/>
      <c r="S478" s="6"/>
      <c r="T478" s="6"/>
      <c r="U478" s="6"/>
      <c r="V478" s="6"/>
      <c r="W478" s="6"/>
      <c r="X478" s="6"/>
      <c r="Y478" s="6"/>
      <c r="Z478" s="6"/>
      <c r="AA478" s="6"/>
      <c r="AB478" s="6"/>
      <c r="AC478" s="6"/>
      <c r="AD478" s="7"/>
    </row>
    <row r="479">
      <c r="A479" s="23"/>
      <c r="B479" s="23"/>
      <c r="C479" s="27"/>
      <c r="D479" s="19"/>
      <c r="E479" s="6"/>
      <c r="F479" s="6"/>
      <c r="G479" s="6"/>
      <c r="H479" s="6"/>
      <c r="I479" s="19"/>
      <c r="J479" s="6"/>
      <c r="K479" s="6"/>
      <c r="L479" s="19"/>
      <c r="M479" s="6"/>
      <c r="N479" s="6"/>
      <c r="O479" s="6"/>
      <c r="P479" s="6"/>
      <c r="Q479" s="6"/>
      <c r="R479" s="6"/>
      <c r="S479" s="6"/>
      <c r="T479" s="6"/>
      <c r="U479" s="6"/>
      <c r="V479" s="6"/>
      <c r="W479" s="6"/>
      <c r="X479" s="6"/>
      <c r="Y479" s="6"/>
      <c r="Z479" s="6"/>
      <c r="AA479" s="6"/>
      <c r="AB479" s="6"/>
      <c r="AC479" s="6"/>
      <c r="AD479" s="7"/>
    </row>
    <row r="480">
      <c r="A480" s="23"/>
      <c r="B480" s="23"/>
      <c r="C480" s="27"/>
      <c r="D480" s="19"/>
      <c r="E480" s="6"/>
      <c r="F480" s="6"/>
      <c r="G480" s="6"/>
      <c r="H480" s="6"/>
      <c r="I480" s="19"/>
      <c r="J480" s="6"/>
      <c r="K480" s="6"/>
      <c r="L480" s="19"/>
      <c r="M480" s="6"/>
      <c r="N480" s="6"/>
      <c r="O480" s="6"/>
      <c r="P480" s="6"/>
      <c r="Q480" s="6"/>
      <c r="R480" s="6"/>
      <c r="S480" s="6"/>
      <c r="T480" s="6"/>
      <c r="U480" s="6"/>
      <c r="V480" s="6"/>
      <c r="W480" s="6"/>
      <c r="X480" s="6"/>
      <c r="Y480" s="6"/>
      <c r="Z480" s="6"/>
      <c r="AA480" s="6"/>
      <c r="AB480" s="6"/>
      <c r="AC480" s="6"/>
      <c r="AD480" s="7"/>
    </row>
    <row r="481">
      <c r="A481" s="23"/>
      <c r="B481" s="23"/>
      <c r="C481" s="27"/>
      <c r="D481" s="19"/>
      <c r="E481" s="6"/>
      <c r="F481" s="6"/>
      <c r="G481" s="6"/>
      <c r="H481" s="6"/>
      <c r="I481" s="19"/>
      <c r="J481" s="6"/>
      <c r="K481" s="6"/>
      <c r="L481" s="19"/>
      <c r="M481" s="6"/>
      <c r="N481" s="6"/>
      <c r="O481" s="6"/>
      <c r="P481" s="6"/>
      <c r="Q481" s="6"/>
      <c r="R481" s="6"/>
      <c r="S481" s="6"/>
      <c r="T481" s="6"/>
      <c r="U481" s="6"/>
      <c r="V481" s="6"/>
      <c r="W481" s="6"/>
      <c r="X481" s="6"/>
      <c r="Y481" s="6"/>
      <c r="Z481" s="6"/>
      <c r="AA481" s="6"/>
      <c r="AB481" s="6"/>
      <c r="AC481" s="6"/>
      <c r="AD481" s="7"/>
    </row>
    <row r="482">
      <c r="A482" s="23"/>
      <c r="B482" s="23"/>
      <c r="C482" s="27"/>
      <c r="D482" s="19"/>
      <c r="E482" s="6"/>
      <c r="F482" s="6"/>
      <c r="G482" s="6"/>
      <c r="H482" s="6"/>
      <c r="I482" s="19"/>
      <c r="J482" s="6"/>
      <c r="K482" s="6"/>
      <c r="L482" s="19"/>
      <c r="M482" s="6"/>
      <c r="N482" s="6"/>
      <c r="O482" s="6"/>
      <c r="P482" s="6"/>
      <c r="Q482" s="6"/>
      <c r="R482" s="6"/>
      <c r="S482" s="6"/>
      <c r="T482" s="6"/>
      <c r="U482" s="6"/>
      <c r="V482" s="6"/>
      <c r="W482" s="6"/>
      <c r="X482" s="6"/>
      <c r="Y482" s="6"/>
      <c r="Z482" s="6"/>
      <c r="AA482" s="6"/>
      <c r="AB482" s="6"/>
      <c r="AC482" s="6"/>
      <c r="AD482" s="7"/>
    </row>
    <row r="483">
      <c r="A483" s="23"/>
      <c r="B483" s="23"/>
      <c r="C483" s="27"/>
      <c r="D483" s="19"/>
      <c r="E483" s="6"/>
      <c r="F483" s="6"/>
      <c r="G483" s="6"/>
      <c r="H483" s="6"/>
      <c r="I483" s="19"/>
      <c r="J483" s="6"/>
      <c r="K483" s="6"/>
      <c r="L483" s="19"/>
      <c r="M483" s="6"/>
      <c r="N483" s="6"/>
      <c r="O483" s="6"/>
      <c r="P483" s="6"/>
      <c r="Q483" s="6"/>
      <c r="R483" s="6"/>
      <c r="S483" s="6"/>
      <c r="T483" s="6"/>
      <c r="U483" s="6"/>
      <c r="V483" s="6"/>
      <c r="W483" s="6"/>
      <c r="X483" s="6"/>
      <c r="Y483" s="6"/>
      <c r="Z483" s="6"/>
      <c r="AA483" s="6"/>
      <c r="AB483" s="6"/>
      <c r="AC483" s="6"/>
      <c r="AD483" s="7"/>
    </row>
    <row r="484">
      <c r="A484" s="23"/>
      <c r="B484" s="23"/>
      <c r="C484" s="27"/>
      <c r="D484" s="19"/>
      <c r="E484" s="6"/>
      <c r="F484" s="6"/>
      <c r="G484" s="6"/>
      <c r="H484" s="6"/>
      <c r="I484" s="19"/>
      <c r="J484" s="6"/>
      <c r="K484" s="6"/>
      <c r="L484" s="19"/>
      <c r="M484" s="6"/>
      <c r="N484" s="6"/>
      <c r="O484" s="6"/>
      <c r="P484" s="6"/>
      <c r="Q484" s="6"/>
      <c r="R484" s="6"/>
      <c r="S484" s="6"/>
      <c r="T484" s="6"/>
      <c r="U484" s="6"/>
      <c r="V484" s="6"/>
      <c r="W484" s="6"/>
      <c r="X484" s="6"/>
      <c r="Y484" s="6"/>
      <c r="Z484" s="6"/>
      <c r="AA484" s="6"/>
      <c r="AB484" s="6"/>
      <c r="AC484" s="6"/>
      <c r="AD484" s="7"/>
    </row>
    <row r="485">
      <c r="A485" s="23"/>
      <c r="B485" s="23"/>
      <c r="C485" s="27"/>
      <c r="D485" s="19"/>
      <c r="E485" s="6"/>
      <c r="F485" s="6"/>
      <c r="G485" s="6"/>
      <c r="H485" s="6"/>
      <c r="I485" s="19"/>
      <c r="J485" s="6"/>
      <c r="K485" s="6"/>
      <c r="L485" s="19"/>
      <c r="M485" s="6"/>
      <c r="N485" s="6"/>
      <c r="O485" s="6"/>
      <c r="P485" s="6"/>
      <c r="Q485" s="6"/>
      <c r="R485" s="6"/>
      <c r="S485" s="6"/>
      <c r="T485" s="6"/>
      <c r="U485" s="6"/>
      <c r="V485" s="6"/>
      <c r="W485" s="6"/>
      <c r="X485" s="6"/>
      <c r="Y485" s="6"/>
      <c r="Z485" s="6"/>
      <c r="AA485" s="6"/>
      <c r="AB485" s="6"/>
      <c r="AC485" s="6"/>
      <c r="AD485" s="7"/>
    </row>
    <row r="486">
      <c r="A486" s="23"/>
      <c r="B486" s="23"/>
      <c r="C486" s="27"/>
      <c r="D486" s="19"/>
      <c r="E486" s="6"/>
      <c r="F486" s="6"/>
      <c r="G486" s="6"/>
      <c r="H486" s="6"/>
      <c r="I486" s="19"/>
      <c r="J486" s="6"/>
      <c r="K486" s="6"/>
      <c r="L486" s="19"/>
      <c r="M486" s="6"/>
      <c r="N486" s="6"/>
      <c r="O486" s="6"/>
      <c r="P486" s="6"/>
      <c r="Q486" s="6"/>
      <c r="R486" s="6"/>
      <c r="S486" s="6"/>
      <c r="T486" s="6"/>
      <c r="U486" s="6"/>
      <c r="V486" s="6"/>
      <c r="W486" s="6"/>
      <c r="X486" s="6"/>
      <c r="Y486" s="6"/>
      <c r="Z486" s="6"/>
      <c r="AA486" s="6"/>
      <c r="AB486" s="6"/>
      <c r="AC486" s="6"/>
      <c r="AD486" s="7"/>
    </row>
    <row r="487">
      <c r="A487" s="23"/>
      <c r="B487" s="23"/>
      <c r="C487" s="27"/>
      <c r="D487" s="19"/>
      <c r="E487" s="6"/>
      <c r="F487" s="6"/>
      <c r="G487" s="6"/>
      <c r="H487" s="6"/>
      <c r="I487" s="19"/>
      <c r="J487" s="6"/>
      <c r="K487" s="6"/>
      <c r="L487" s="19"/>
      <c r="M487" s="6"/>
      <c r="N487" s="6"/>
      <c r="O487" s="6"/>
      <c r="P487" s="6"/>
      <c r="Q487" s="6"/>
      <c r="R487" s="6"/>
      <c r="S487" s="6"/>
      <c r="T487" s="6"/>
      <c r="U487" s="6"/>
      <c r="V487" s="6"/>
      <c r="W487" s="6"/>
      <c r="X487" s="6"/>
      <c r="Y487" s="6"/>
      <c r="Z487" s="6"/>
      <c r="AA487" s="6"/>
      <c r="AB487" s="6"/>
      <c r="AC487" s="6"/>
      <c r="AD487" s="7"/>
    </row>
    <row r="488">
      <c r="A488" s="23"/>
      <c r="B488" s="23"/>
      <c r="C488" s="27"/>
      <c r="D488" s="19"/>
      <c r="E488" s="6"/>
      <c r="F488" s="6"/>
      <c r="G488" s="6"/>
      <c r="H488" s="6"/>
      <c r="I488" s="19"/>
      <c r="J488" s="6"/>
      <c r="K488" s="6"/>
      <c r="L488" s="19"/>
      <c r="M488" s="6"/>
      <c r="N488" s="6"/>
      <c r="O488" s="6"/>
      <c r="P488" s="6"/>
      <c r="Q488" s="6"/>
      <c r="R488" s="6"/>
      <c r="S488" s="6"/>
      <c r="T488" s="6"/>
      <c r="U488" s="6"/>
      <c r="V488" s="6"/>
      <c r="W488" s="6"/>
      <c r="X488" s="6"/>
      <c r="Y488" s="6"/>
      <c r="Z488" s="6"/>
      <c r="AA488" s="6"/>
      <c r="AB488" s="6"/>
      <c r="AC488" s="6"/>
      <c r="AD488" s="7"/>
    </row>
    <row r="489">
      <c r="A489" s="23"/>
      <c r="B489" s="23"/>
      <c r="C489" s="27"/>
      <c r="D489" s="19"/>
      <c r="E489" s="6"/>
      <c r="F489" s="6"/>
      <c r="G489" s="6"/>
      <c r="H489" s="6"/>
      <c r="I489" s="19"/>
      <c r="J489" s="6"/>
      <c r="K489" s="6"/>
      <c r="L489" s="19"/>
      <c r="M489" s="6"/>
      <c r="N489" s="6"/>
      <c r="O489" s="6"/>
      <c r="P489" s="6"/>
      <c r="Q489" s="6"/>
      <c r="R489" s="6"/>
      <c r="S489" s="6"/>
      <c r="T489" s="6"/>
      <c r="U489" s="6"/>
      <c r="V489" s="6"/>
      <c r="W489" s="6"/>
      <c r="X489" s="6"/>
      <c r="Y489" s="6"/>
      <c r="Z489" s="6"/>
      <c r="AA489" s="6"/>
      <c r="AB489" s="6"/>
      <c r="AC489" s="6"/>
      <c r="AD489" s="7"/>
    </row>
    <row r="490">
      <c r="A490" s="23"/>
      <c r="B490" s="23"/>
      <c r="C490" s="27"/>
      <c r="D490" s="19"/>
      <c r="E490" s="6"/>
      <c r="F490" s="6"/>
      <c r="G490" s="6"/>
      <c r="H490" s="6"/>
      <c r="I490" s="19"/>
      <c r="J490" s="6"/>
      <c r="K490" s="6"/>
      <c r="L490" s="19"/>
      <c r="M490" s="6"/>
      <c r="N490" s="6"/>
      <c r="O490" s="6"/>
      <c r="P490" s="6"/>
      <c r="Q490" s="6"/>
      <c r="R490" s="6"/>
      <c r="S490" s="6"/>
      <c r="T490" s="6"/>
      <c r="U490" s="6"/>
      <c r="V490" s="6"/>
      <c r="W490" s="6"/>
      <c r="X490" s="6"/>
      <c r="Y490" s="6"/>
      <c r="Z490" s="6"/>
      <c r="AA490" s="6"/>
      <c r="AB490" s="6"/>
      <c r="AC490" s="6"/>
      <c r="AD490" s="7"/>
    </row>
    <row r="491">
      <c r="A491" s="23"/>
      <c r="B491" s="23"/>
      <c r="C491" s="27"/>
      <c r="D491" s="19"/>
      <c r="E491" s="6"/>
      <c r="F491" s="6"/>
      <c r="G491" s="6"/>
      <c r="H491" s="6"/>
      <c r="I491" s="19"/>
      <c r="J491" s="6"/>
      <c r="K491" s="6"/>
      <c r="L491" s="19"/>
      <c r="M491" s="6"/>
      <c r="N491" s="6"/>
      <c r="O491" s="6"/>
      <c r="P491" s="6"/>
      <c r="Q491" s="6"/>
      <c r="R491" s="6"/>
      <c r="S491" s="6"/>
      <c r="T491" s="6"/>
      <c r="U491" s="6"/>
      <c r="V491" s="6"/>
      <c r="W491" s="6"/>
      <c r="X491" s="6"/>
      <c r="Y491" s="6"/>
      <c r="Z491" s="6"/>
      <c r="AA491" s="6"/>
      <c r="AB491" s="6"/>
      <c r="AC491" s="6"/>
      <c r="AD491" s="7"/>
    </row>
    <row r="492">
      <c r="A492" s="23"/>
      <c r="B492" s="23"/>
      <c r="C492" s="27"/>
      <c r="D492" s="19"/>
      <c r="E492" s="6"/>
      <c r="F492" s="6"/>
      <c r="G492" s="6"/>
      <c r="H492" s="6"/>
      <c r="I492" s="19"/>
      <c r="J492" s="6"/>
      <c r="K492" s="6"/>
      <c r="L492" s="19"/>
      <c r="M492" s="6"/>
      <c r="N492" s="6"/>
      <c r="O492" s="6"/>
      <c r="P492" s="6"/>
      <c r="Q492" s="6"/>
      <c r="R492" s="6"/>
      <c r="S492" s="6"/>
      <c r="T492" s="6"/>
      <c r="U492" s="6"/>
      <c r="V492" s="6"/>
      <c r="W492" s="6"/>
      <c r="X492" s="6"/>
      <c r="Y492" s="6"/>
      <c r="Z492" s="6"/>
      <c r="AA492" s="6"/>
      <c r="AB492" s="6"/>
      <c r="AC492" s="6"/>
      <c r="AD492" s="7"/>
    </row>
    <row r="493">
      <c r="A493" s="23"/>
      <c r="B493" s="23"/>
      <c r="C493" s="27"/>
      <c r="D493" s="19"/>
      <c r="E493" s="6"/>
      <c r="F493" s="6"/>
      <c r="G493" s="6"/>
      <c r="H493" s="6"/>
      <c r="I493" s="19"/>
      <c r="J493" s="6"/>
      <c r="K493" s="6"/>
      <c r="L493" s="19"/>
      <c r="M493" s="6"/>
      <c r="N493" s="6"/>
      <c r="O493" s="6"/>
      <c r="P493" s="6"/>
      <c r="Q493" s="6"/>
      <c r="R493" s="6"/>
      <c r="S493" s="6"/>
      <c r="T493" s="6"/>
      <c r="U493" s="6"/>
      <c r="V493" s="6"/>
      <c r="W493" s="6"/>
      <c r="X493" s="6"/>
      <c r="Y493" s="6"/>
      <c r="Z493" s="6"/>
      <c r="AA493" s="6"/>
      <c r="AB493" s="6"/>
      <c r="AC493" s="6"/>
      <c r="AD493" s="7"/>
    </row>
    <row r="494">
      <c r="A494" s="23"/>
      <c r="B494" s="23"/>
      <c r="C494" s="27"/>
      <c r="D494" s="19"/>
      <c r="E494" s="6"/>
      <c r="F494" s="6"/>
      <c r="G494" s="6"/>
      <c r="H494" s="6"/>
      <c r="I494" s="19"/>
      <c r="J494" s="6"/>
      <c r="K494" s="6"/>
      <c r="L494" s="19"/>
      <c r="M494" s="6"/>
      <c r="N494" s="6"/>
      <c r="O494" s="6"/>
      <c r="P494" s="6"/>
      <c r="Q494" s="6"/>
      <c r="R494" s="6"/>
      <c r="S494" s="6"/>
      <c r="T494" s="6"/>
      <c r="U494" s="6"/>
      <c r="V494" s="6"/>
      <c r="W494" s="6"/>
      <c r="X494" s="6"/>
      <c r="Y494" s="6"/>
      <c r="Z494" s="6"/>
      <c r="AA494" s="6"/>
      <c r="AB494" s="6"/>
      <c r="AC494" s="6"/>
      <c r="AD494" s="7"/>
    </row>
    <row r="495">
      <c r="A495" s="23"/>
      <c r="B495" s="23"/>
      <c r="C495" s="27"/>
      <c r="D495" s="19"/>
      <c r="E495" s="6"/>
      <c r="F495" s="6"/>
      <c r="G495" s="6"/>
      <c r="H495" s="6"/>
      <c r="I495" s="19"/>
      <c r="J495" s="6"/>
      <c r="K495" s="6"/>
      <c r="L495" s="19"/>
      <c r="M495" s="6"/>
      <c r="N495" s="6"/>
      <c r="O495" s="6"/>
      <c r="P495" s="6"/>
      <c r="Q495" s="6"/>
      <c r="R495" s="6"/>
      <c r="S495" s="6"/>
      <c r="T495" s="6"/>
      <c r="U495" s="6"/>
      <c r="V495" s="6"/>
      <c r="W495" s="6"/>
      <c r="X495" s="6"/>
      <c r="Y495" s="6"/>
      <c r="Z495" s="6"/>
      <c r="AA495" s="6"/>
      <c r="AB495" s="6"/>
      <c r="AC495" s="6"/>
      <c r="AD495" s="7"/>
    </row>
    <row r="496">
      <c r="A496" s="23"/>
      <c r="B496" s="23"/>
      <c r="C496" s="27"/>
      <c r="D496" s="19"/>
      <c r="E496" s="6"/>
      <c r="F496" s="6"/>
      <c r="G496" s="6"/>
      <c r="H496" s="6"/>
      <c r="I496" s="19"/>
      <c r="J496" s="6"/>
      <c r="K496" s="6"/>
      <c r="L496" s="19"/>
      <c r="M496" s="6"/>
      <c r="N496" s="6"/>
      <c r="O496" s="6"/>
      <c r="P496" s="6"/>
      <c r="Q496" s="6"/>
      <c r="R496" s="6"/>
      <c r="S496" s="6"/>
      <c r="T496" s="6"/>
      <c r="U496" s="6"/>
      <c r="V496" s="6"/>
      <c r="W496" s="6"/>
      <c r="X496" s="6"/>
      <c r="Y496" s="6"/>
      <c r="Z496" s="6"/>
      <c r="AA496" s="6"/>
      <c r="AB496" s="6"/>
      <c r="AC496" s="6"/>
      <c r="AD496" s="7"/>
    </row>
    <row r="497">
      <c r="A497" s="23"/>
      <c r="B497" s="23"/>
      <c r="C497" s="27"/>
      <c r="D497" s="19"/>
      <c r="E497" s="6"/>
      <c r="F497" s="6"/>
      <c r="G497" s="6"/>
      <c r="H497" s="6"/>
      <c r="I497" s="19"/>
      <c r="J497" s="6"/>
      <c r="K497" s="6"/>
      <c r="L497" s="19"/>
      <c r="M497" s="6"/>
      <c r="N497" s="6"/>
      <c r="O497" s="6"/>
      <c r="P497" s="6"/>
      <c r="Q497" s="6"/>
      <c r="R497" s="6"/>
      <c r="S497" s="6"/>
      <c r="T497" s="6"/>
      <c r="U497" s="6"/>
      <c r="V497" s="6"/>
      <c r="W497" s="6"/>
      <c r="X497" s="6"/>
      <c r="Y497" s="6"/>
      <c r="Z497" s="6"/>
      <c r="AA497" s="6"/>
      <c r="AB497" s="6"/>
      <c r="AC497" s="6"/>
      <c r="AD497" s="7"/>
    </row>
    <row r="498">
      <c r="A498" s="23"/>
      <c r="B498" s="23"/>
      <c r="C498" s="27"/>
      <c r="D498" s="19"/>
      <c r="E498" s="6"/>
      <c r="F498" s="6"/>
      <c r="G498" s="6"/>
      <c r="H498" s="6"/>
      <c r="I498" s="19"/>
      <c r="J498" s="6"/>
      <c r="K498" s="6"/>
      <c r="L498" s="19"/>
      <c r="M498" s="6"/>
      <c r="N498" s="6"/>
      <c r="O498" s="6"/>
      <c r="P498" s="6"/>
      <c r="Q498" s="6"/>
      <c r="R498" s="6"/>
      <c r="S498" s="6"/>
      <c r="T498" s="6"/>
      <c r="U498" s="6"/>
      <c r="V498" s="6"/>
      <c r="W498" s="6"/>
      <c r="X498" s="6"/>
      <c r="Y498" s="6"/>
      <c r="Z498" s="6"/>
      <c r="AA498" s="6"/>
      <c r="AB498" s="6"/>
      <c r="AC498" s="6"/>
      <c r="AD498" s="7"/>
    </row>
    <row r="499">
      <c r="A499" s="23"/>
      <c r="B499" s="23"/>
      <c r="C499" s="27"/>
      <c r="D499" s="19"/>
      <c r="E499" s="6"/>
      <c r="F499" s="6"/>
      <c r="G499" s="6"/>
      <c r="H499" s="6"/>
      <c r="I499" s="19"/>
      <c r="J499" s="6"/>
      <c r="K499" s="6"/>
      <c r="L499" s="19"/>
      <c r="M499" s="6"/>
      <c r="N499" s="6"/>
      <c r="O499" s="6"/>
      <c r="P499" s="6"/>
      <c r="Q499" s="6"/>
      <c r="R499" s="6"/>
      <c r="S499" s="6"/>
      <c r="T499" s="6"/>
      <c r="U499" s="6"/>
      <c r="V499" s="6"/>
      <c r="W499" s="6"/>
      <c r="X499" s="6"/>
      <c r="Y499" s="6"/>
      <c r="Z499" s="6"/>
      <c r="AA499" s="6"/>
      <c r="AB499" s="6"/>
      <c r="AC499" s="6"/>
      <c r="AD499" s="7"/>
    </row>
    <row r="500">
      <c r="A500" s="23"/>
      <c r="B500" s="23"/>
      <c r="C500" s="27"/>
      <c r="D500" s="19"/>
      <c r="E500" s="6"/>
      <c r="F500" s="6"/>
      <c r="G500" s="6"/>
      <c r="H500" s="6"/>
      <c r="I500" s="19"/>
      <c r="J500" s="6"/>
      <c r="K500" s="6"/>
      <c r="L500" s="19"/>
      <c r="M500" s="6"/>
      <c r="N500" s="6"/>
      <c r="O500" s="6"/>
      <c r="P500" s="6"/>
      <c r="Q500" s="6"/>
      <c r="R500" s="6"/>
      <c r="S500" s="6"/>
      <c r="T500" s="6"/>
      <c r="U500" s="6"/>
      <c r="V500" s="6"/>
      <c r="W500" s="6"/>
      <c r="X500" s="6"/>
      <c r="Y500" s="6"/>
      <c r="Z500" s="6"/>
      <c r="AA500" s="6"/>
      <c r="AB500" s="6"/>
      <c r="AC500" s="6"/>
      <c r="AD500" s="7"/>
    </row>
    <row r="501">
      <c r="A501" s="23"/>
      <c r="B501" s="23"/>
      <c r="C501" s="27"/>
      <c r="D501" s="19"/>
      <c r="E501" s="6"/>
      <c r="F501" s="6"/>
      <c r="G501" s="6"/>
      <c r="H501" s="6"/>
      <c r="I501" s="19"/>
      <c r="J501" s="6"/>
      <c r="K501" s="6"/>
      <c r="L501" s="19"/>
      <c r="M501" s="6"/>
      <c r="N501" s="6"/>
      <c r="O501" s="6"/>
      <c r="P501" s="6"/>
      <c r="Q501" s="6"/>
      <c r="R501" s="6"/>
      <c r="S501" s="6"/>
      <c r="T501" s="6"/>
      <c r="U501" s="6"/>
      <c r="V501" s="6"/>
      <c r="W501" s="6"/>
      <c r="X501" s="6"/>
      <c r="Y501" s="6"/>
      <c r="Z501" s="6"/>
      <c r="AA501" s="6"/>
      <c r="AB501" s="6"/>
      <c r="AC501" s="6"/>
      <c r="AD501" s="7"/>
    </row>
    <row r="502">
      <c r="A502" s="23"/>
      <c r="B502" s="23"/>
      <c r="C502" s="27"/>
      <c r="D502" s="19"/>
      <c r="E502" s="6"/>
      <c r="F502" s="6"/>
      <c r="G502" s="6"/>
      <c r="H502" s="6"/>
      <c r="I502" s="19"/>
      <c r="J502" s="6"/>
      <c r="K502" s="6"/>
      <c r="L502" s="19"/>
      <c r="M502" s="6"/>
      <c r="N502" s="6"/>
      <c r="O502" s="6"/>
      <c r="P502" s="6"/>
      <c r="Q502" s="6"/>
      <c r="R502" s="6"/>
      <c r="S502" s="6"/>
      <c r="T502" s="6"/>
      <c r="U502" s="6"/>
      <c r="V502" s="6"/>
      <c r="W502" s="6"/>
      <c r="X502" s="6"/>
      <c r="Y502" s="6"/>
      <c r="Z502" s="6"/>
      <c r="AA502" s="6"/>
      <c r="AB502" s="6"/>
      <c r="AC502" s="6"/>
      <c r="AD502" s="7"/>
    </row>
    <row r="503">
      <c r="A503" s="23"/>
      <c r="B503" s="23"/>
      <c r="C503" s="27"/>
      <c r="D503" s="19"/>
      <c r="E503" s="6"/>
      <c r="F503" s="6"/>
      <c r="G503" s="6"/>
      <c r="H503" s="6"/>
      <c r="I503" s="19"/>
      <c r="J503" s="6"/>
      <c r="K503" s="6"/>
      <c r="L503" s="19"/>
      <c r="M503" s="6"/>
      <c r="N503" s="6"/>
      <c r="O503" s="6"/>
      <c r="P503" s="6"/>
      <c r="Q503" s="6"/>
      <c r="R503" s="6"/>
      <c r="S503" s="6"/>
      <c r="T503" s="6"/>
      <c r="U503" s="6"/>
      <c r="V503" s="6"/>
      <c r="W503" s="6"/>
      <c r="X503" s="6"/>
      <c r="Y503" s="6"/>
      <c r="Z503" s="6"/>
      <c r="AA503" s="6"/>
      <c r="AB503" s="6"/>
      <c r="AC503" s="6"/>
      <c r="AD503" s="7"/>
    </row>
    <row r="504">
      <c r="A504" s="23"/>
      <c r="B504" s="23"/>
      <c r="C504" s="27"/>
      <c r="D504" s="19"/>
      <c r="E504" s="6"/>
      <c r="F504" s="6"/>
      <c r="G504" s="6"/>
      <c r="H504" s="6"/>
      <c r="I504" s="19"/>
      <c r="J504" s="6"/>
      <c r="K504" s="6"/>
      <c r="L504" s="19"/>
      <c r="M504" s="6"/>
      <c r="N504" s="6"/>
      <c r="O504" s="6"/>
      <c r="P504" s="6"/>
      <c r="Q504" s="6"/>
      <c r="R504" s="6"/>
      <c r="S504" s="6"/>
      <c r="T504" s="6"/>
      <c r="U504" s="6"/>
      <c r="V504" s="6"/>
      <c r="W504" s="6"/>
      <c r="X504" s="6"/>
      <c r="Y504" s="6"/>
      <c r="Z504" s="6"/>
      <c r="AA504" s="6"/>
      <c r="AB504" s="6"/>
      <c r="AC504" s="6"/>
      <c r="AD504" s="7"/>
    </row>
    <row r="505">
      <c r="A505" s="23"/>
      <c r="B505" s="23"/>
      <c r="C505" s="27"/>
      <c r="D505" s="19"/>
      <c r="E505" s="6"/>
      <c r="F505" s="6"/>
      <c r="G505" s="6"/>
      <c r="H505" s="6"/>
      <c r="I505" s="19"/>
      <c r="J505" s="6"/>
      <c r="K505" s="6"/>
      <c r="L505" s="19"/>
      <c r="M505" s="6"/>
      <c r="N505" s="6"/>
      <c r="O505" s="6"/>
      <c r="P505" s="6"/>
      <c r="Q505" s="6"/>
      <c r="R505" s="6"/>
      <c r="S505" s="6"/>
      <c r="T505" s="6"/>
      <c r="U505" s="6"/>
      <c r="V505" s="6"/>
      <c r="W505" s="6"/>
      <c r="X505" s="6"/>
      <c r="Y505" s="6"/>
      <c r="Z505" s="6"/>
      <c r="AA505" s="6"/>
      <c r="AB505" s="6"/>
      <c r="AC505" s="6"/>
      <c r="AD505" s="7"/>
    </row>
    <row r="506">
      <c r="A506" s="23"/>
      <c r="B506" s="23"/>
      <c r="C506" s="27"/>
      <c r="D506" s="19"/>
      <c r="E506" s="6"/>
      <c r="F506" s="6"/>
      <c r="G506" s="6"/>
      <c r="H506" s="6"/>
      <c r="I506" s="19"/>
      <c r="J506" s="6"/>
      <c r="K506" s="6"/>
      <c r="L506" s="19"/>
      <c r="M506" s="6"/>
      <c r="N506" s="6"/>
      <c r="O506" s="6"/>
      <c r="P506" s="6"/>
      <c r="Q506" s="6"/>
      <c r="R506" s="6"/>
      <c r="S506" s="6"/>
      <c r="T506" s="6"/>
      <c r="U506" s="6"/>
      <c r="V506" s="6"/>
      <c r="W506" s="6"/>
      <c r="X506" s="6"/>
      <c r="Y506" s="6"/>
      <c r="Z506" s="6"/>
      <c r="AA506" s="6"/>
      <c r="AB506" s="6"/>
      <c r="AC506" s="6"/>
      <c r="AD506" s="7"/>
    </row>
    <row r="507">
      <c r="A507" s="23"/>
      <c r="B507" s="23"/>
      <c r="C507" s="27"/>
      <c r="D507" s="19"/>
      <c r="E507" s="6"/>
      <c r="F507" s="6"/>
      <c r="G507" s="6"/>
      <c r="H507" s="6"/>
      <c r="I507" s="19"/>
      <c r="J507" s="6"/>
      <c r="K507" s="6"/>
      <c r="L507" s="19"/>
      <c r="M507" s="6"/>
      <c r="N507" s="6"/>
      <c r="O507" s="6"/>
      <c r="P507" s="6"/>
      <c r="Q507" s="6"/>
      <c r="R507" s="6"/>
      <c r="S507" s="6"/>
      <c r="T507" s="6"/>
      <c r="U507" s="6"/>
      <c r="V507" s="6"/>
      <c r="W507" s="6"/>
      <c r="X507" s="6"/>
      <c r="Y507" s="6"/>
      <c r="Z507" s="6"/>
      <c r="AA507" s="6"/>
      <c r="AB507" s="6"/>
      <c r="AC507" s="6"/>
      <c r="AD507" s="7"/>
    </row>
    <row r="508">
      <c r="A508" s="23"/>
      <c r="B508" s="23"/>
      <c r="C508" s="27"/>
      <c r="D508" s="19"/>
      <c r="E508" s="6"/>
      <c r="F508" s="6"/>
      <c r="G508" s="6"/>
      <c r="H508" s="6"/>
      <c r="I508" s="19"/>
      <c r="J508" s="6"/>
      <c r="K508" s="6"/>
      <c r="L508" s="19"/>
      <c r="M508" s="6"/>
      <c r="N508" s="6"/>
      <c r="O508" s="6"/>
      <c r="P508" s="6"/>
      <c r="Q508" s="6"/>
      <c r="R508" s="6"/>
      <c r="S508" s="6"/>
      <c r="T508" s="6"/>
      <c r="U508" s="6"/>
      <c r="V508" s="6"/>
      <c r="W508" s="6"/>
      <c r="X508" s="6"/>
      <c r="Y508" s="6"/>
      <c r="Z508" s="6"/>
      <c r="AA508" s="6"/>
      <c r="AB508" s="6"/>
      <c r="AC508" s="6"/>
      <c r="AD508" s="7"/>
    </row>
    <row r="509">
      <c r="A509" s="23"/>
      <c r="B509" s="23"/>
      <c r="C509" s="27"/>
      <c r="D509" s="19"/>
      <c r="E509" s="6"/>
      <c r="F509" s="6"/>
      <c r="G509" s="6"/>
      <c r="H509" s="6"/>
      <c r="I509" s="19"/>
      <c r="J509" s="6"/>
      <c r="K509" s="6"/>
      <c r="L509" s="19"/>
      <c r="M509" s="6"/>
      <c r="N509" s="6"/>
      <c r="O509" s="6"/>
      <c r="P509" s="6"/>
      <c r="Q509" s="6"/>
      <c r="R509" s="6"/>
      <c r="S509" s="6"/>
      <c r="T509" s="6"/>
      <c r="U509" s="6"/>
      <c r="V509" s="6"/>
      <c r="W509" s="6"/>
      <c r="X509" s="6"/>
      <c r="Y509" s="6"/>
      <c r="Z509" s="6"/>
      <c r="AA509" s="6"/>
      <c r="AB509" s="6"/>
      <c r="AC509" s="6"/>
      <c r="AD509" s="7"/>
    </row>
    <row r="510">
      <c r="A510" s="23"/>
      <c r="B510" s="23"/>
      <c r="C510" s="27"/>
      <c r="D510" s="19"/>
      <c r="E510" s="6"/>
      <c r="F510" s="6"/>
      <c r="G510" s="6"/>
      <c r="H510" s="6"/>
      <c r="I510" s="19"/>
      <c r="J510" s="6"/>
      <c r="K510" s="6"/>
      <c r="L510" s="19"/>
      <c r="M510" s="6"/>
      <c r="N510" s="6"/>
      <c r="O510" s="6"/>
      <c r="P510" s="6"/>
      <c r="Q510" s="6"/>
      <c r="R510" s="6"/>
      <c r="S510" s="6"/>
      <c r="T510" s="6"/>
      <c r="U510" s="6"/>
      <c r="V510" s="6"/>
      <c r="W510" s="6"/>
      <c r="X510" s="6"/>
      <c r="Y510" s="6"/>
      <c r="Z510" s="6"/>
      <c r="AA510" s="6"/>
      <c r="AB510" s="6"/>
      <c r="AC510" s="6"/>
      <c r="AD510" s="7"/>
    </row>
    <row r="511">
      <c r="A511" s="23"/>
      <c r="B511" s="23"/>
      <c r="C511" s="27"/>
      <c r="D511" s="19"/>
      <c r="E511" s="6"/>
      <c r="F511" s="6"/>
      <c r="G511" s="6"/>
      <c r="H511" s="6"/>
      <c r="I511" s="19"/>
      <c r="J511" s="6"/>
      <c r="K511" s="6"/>
      <c r="L511" s="19"/>
      <c r="M511" s="6"/>
      <c r="N511" s="6"/>
      <c r="O511" s="6"/>
      <c r="P511" s="6"/>
      <c r="Q511" s="6"/>
      <c r="R511" s="6"/>
      <c r="S511" s="6"/>
      <c r="T511" s="6"/>
      <c r="U511" s="6"/>
      <c r="V511" s="6"/>
      <c r="W511" s="6"/>
      <c r="X511" s="6"/>
      <c r="Y511" s="6"/>
      <c r="Z511" s="6"/>
      <c r="AA511" s="6"/>
      <c r="AB511" s="6"/>
      <c r="AC511" s="6"/>
      <c r="AD511" s="7"/>
    </row>
    <row r="512">
      <c r="A512" s="23"/>
      <c r="B512" s="23"/>
      <c r="C512" s="27"/>
      <c r="D512" s="19"/>
      <c r="E512" s="6"/>
      <c r="F512" s="6"/>
      <c r="G512" s="6"/>
      <c r="H512" s="6"/>
      <c r="I512" s="19"/>
      <c r="J512" s="6"/>
      <c r="K512" s="6"/>
      <c r="L512" s="19"/>
      <c r="M512" s="6"/>
      <c r="N512" s="6"/>
      <c r="O512" s="6"/>
      <c r="P512" s="6"/>
      <c r="Q512" s="6"/>
      <c r="R512" s="6"/>
      <c r="S512" s="6"/>
      <c r="T512" s="6"/>
      <c r="U512" s="6"/>
      <c r="V512" s="6"/>
      <c r="W512" s="6"/>
      <c r="X512" s="6"/>
      <c r="Y512" s="6"/>
      <c r="Z512" s="6"/>
      <c r="AA512" s="6"/>
      <c r="AB512" s="6"/>
      <c r="AC512" s="6"/>
      <c r="AD512" s="7"/>
    </row>
    <row r="513">
      <c r="A513" s="23"/>
      <c r="B513" s="23"/>
      <c r="C513" s="27"/>
      <c r="D513" s="19"/>
      <c r="E513" s="6"/>
      <c r="F513" s="6"/>
      <c r="G513" s="6"/>
      <c r="H513" s="6"/>
      <c r="I513" s="19"/>
      <c r="J513" s="6"/>
      <c r="K513" s="6"/>
      <c r="L513" s="19"/>
      <c r="M513" s="6"/>
      <c r="N513" s="6"/>
      <c r="O513" s="6"/>
      <c r="P513" s="6"/>
      <c r="Q513" s="6"/>
      <c r="R513" s="6"/>
      <c r="S513" s="6"/>
      <c r="T513" s="6"/>
      <c r="U513" s="6"/>
      <c r="V513" s="6"/>
      <c r="W513" s="6"/>
      <c r="X513" s="6"/>
      <c r="Y513" s="6"/>
      <c r="Z513" s="6"/>
      <c r="AA513" s="6"/>
      <c r="AB513" s="6"/>
      <c r="AC513" s="6"/>
      <c r="AD513" s="7"/>
    </row>
    <row r="514">
      <c r="A514" s="23"/>
      <c r="B514" s="23"/>
      <c r="C514" s="27"/>
      <c r="D514" s="19"/>
      <c r="E514" s="6"/>
      <c r="F514" s="6"/>
      <c r="G514" s="6"/>
      <c r="H514" s="6"/>
      <c r="I514" s="19"/>
      <c r="J514" s="6"/>
      <c r="K514" s="6"/>
      <c r="L514" s="19"/>
      <c r="M514" s="6"/>
      <c r="N514" s="6"/>
      <c r="O514" s="6"/>
      <c r="P514" s="6"/>
      <c r="Q514" s="6"/>
      <c r="R514" s="6"/>
      <c r="S514" s="6"/>
      <c r="T514" s="6"/>
      <c r="U514" s="6"/>
      <c r="V514" s="6"/>
      <c r="W514" s="6"/>
      <c r="X514" s="6"/>
      <c r="Y514" s="6"/>
      <c r="Z514" s="6"/>
      <c r="AA514" s="6"/>
      <c r="AB514" s="6"/>
      <c r="AC514" s="6"/>
      <c r="AD514" s="7"/>
    </row>
    <row r="515">
      <c r="A515" s="23"/>
      <c r="B515" s="23"/>
      <c r="C515" s="27"/>
      <c r="D515" s="19"/>
      <c r="E515" s="6"/>
      <c r="F515" s="6"/>
      <c r="G515" s="6"/>
      <c r="H515" s="6"/>
      <c r="I515" s="19"/>
      <c r="J515" s="6"/>
      <c r="K515" s="6"/>
      <c r="L515" s="19"/>
      <c r="M515" s="6"/>
      <c r="N515" s="6"/>
      <c r="O515" s="6"/>
      <c r="P515" s="6"/>
      <c r="Q515" s="6"/>
      <c r="R515" s="6"/>
      <c r="S515" s="6"/>
      <c r="T515" s="6"/>
      <c r="U515" s="6"/>
      <c r="V515" s="6"/>
      <c r="W515" s="6"/>
      <c r="X515" s="6"/>
      <c r="Y515" s="6"/>
      <c r="Z515" s="6"/>
      <c r="AA515" s="6"/>
      <c r="AB515" s="6"/>
      <c r="AC515" s="6"/>
      <c r="AD515" s="7"/>
    </row>
    <row r="516">
      <c r="A516" s="23"/>
      <c r="B516" s="23"/>
      <c r="C516" s="27"/>
      <c r="D516" s="19"/>
      <c r="E516" s="6"/>
      <c r="F516" s="6"/>
      <c r="G516" s="6"/>
      <c r="H516" s="6"/>
      <c r="I516" s="19"/>
      <c r="J516" s="6"/>
      <c r="K516" s="6"/>
      <c r="L516" s="19"/>
      <c r="M516" s="6"/>
      <c r="N516" s="6"/>
      <c r="O516" s="6"/>
      <c r="P516" s="6"/>
      <c r="Q516" s="6"/>
      <c r="R516" s="6"/>
      <c r="S516" s="6"/>
      <c r="T516" s="6"/>
      <c r="U516" s="6"/>
      <c r="V516" s="6"/>
      <c r="W516" s="6"/>
      <c r="X516" s="6"/>
      <c r="Y516" s="6"/>
      <c r="Z516" s="6"/>
      <c r="AA516" s="6"/>
      <c r="AB516" s="6"/>
      <c r="AC516" s="6"/>
      <c r="AD516" s="7"/>
    </row>
    <row r="517">
      <c r="A517" s="23"/>
      <c r="B517" s="23"/>
      <c r="C517" s="27"/>
      <c r="D517" s="19"/>
      <c r="E517" s="6"/>
      <c r="F517" s="6"/>
      <c r="G517" s="6"/>
      <c r="H517" s="6"/>
      <c r="I517" s="19"/>
      <c r="J517" s="6"/>
      <c r="K517" s="6"/>
      <c r="L517" s="19"/>
      <c r="M517" s="6"/>
      <c r="N517" s="6"/>
      <c r="O517" s="6"/>
      <c r="P517" s="6"/>
      <c r="Q517" s="6"/>
      <c r="R517" s="6"/>
      <c r="S517" s="6"/>
      <c r="T517" s="6"/>
      <c r="U517" s="6"/>
      <c r="V517" s="6"/>
      <c r="W517" s="6"/>
      <c r="X517" s="6"/>
      <c r="Y517" s="6"/>
      <c r="Z517" s="6"/>
      <c r="AA517" s="6"/>
      <c r="AB517" s="6"/>
      <c r="AC517" s="6"/>
      <c r="AD517" s="7"/>
    </row>
    <row r="518">
      <c r="A518" s="23"/>
      <c r="B518" s="23"/>
      <c r="C518" s="27"/>
      <c r="D518" s="19"/>
      <c r="E518" s="6"/>
      <c r="F518" s="6"/>
      <c r="G518" s="6"/>
      <c r="H518" s="6"/>
      <c r="I518" s="19"/>
      <c r="J518" s="6"/>
      <c r="K518" s="6"/>
      <c r="L518" s="19"/>
      <c r="M518" s="6"/>
      <c r="N518" s="6"/>
      <c r="O518" s="6"/>
      <c r="P518" s="6"/>
      <c r="Q518" s="6"/>
      <c r="R518" s="6"/>
      <c r="S518" s="6"/>
      <c r="T518" s="6"/>
      <c r="U518" s="6"/>
      <c r="V518" s="6"/>
      <c r="W518" s="6"/>
      <c r="X518" s="6"/>
      <c r="Y518" s="6"/>
      <c r="Z518" s="6"/>
      <c r="AA518" s="6"/>
      <c r="AB518" s="6"/>
      <c r="AC518" s="6"/>
      <c r="AD518" s="7"/>
    </row>
    <row r="519">
      <c r="A519" s="23"/>
      <c r="B519" s="23"/>
      <c r="C519" s="27"/>
      <c r="D519" s="19"/>
      <c r="E519" s="6"/>
      <c r="F519" s="6"/>
      <c r="G519" s="6"/>
      <c r="H519" s="6"/>
      <c r="I519" s="19"/>
      <c r="J519" s="6"/>
      <c r="K519" s="6"/>
      <c r="L519" s="19"/>
      <c r="M519" s="6"/>
      <c r="N519" s="6"/>
      <c r="O519" s="6"/>
      <c r="P519" s="6"/>
      <c r="Q519" s="6"/>
      <c r="R519" s="6"/>
      <c r="S519" s="6"/>
      <c r="T519" s="6"/>
      <c r="U519" s="6"/>
      <c r="V519" s="6"/>
      <c r="W519" s="6"/>
      <c r="X519" s="6"/>
      <c r="Y519" s="6"/>
      <c r="Z519" s="6"/>
      <c r="AA519" s="6"/>
      <c r="AB519" s="6"/>
      <c r="AC519" s="6"/>
      <c r="AD519" s="7"/>
    </row>
    <row r="520">
      <c r="A520" s="23"/>
      <c r="B520" s="23"/>
      <c r="C520" s="27"/>
      <c r="D520" s="19"/>
      <c r="E520" s="6"/>
      <c r="F520" s="6"/>
      <c r="G520" s="6"/>
      <c r="H520" s="6"/>
      <c r="I520" s="19"/>
      <c r="J520" s="6"/>
      <c r="K520" s="6"/>
      <c r="L520" s="19"/>
      <c r="M520" s="6"/>
      <c r="N520" s="6"/>
      <c r="O520" s="6"/>
      <c r="P520" s="6"/>
      <c r="Q520" s="6"/>
      <c r="R520" s="6"/>
      <c r="S520" s="6"/>
      <c r="T520" s="6"/>
      <c r="U520" s="6"/>
      <c r="V520" s="6"/>
      <c r="W520" s="6"/>
      <c r="X520" s="6"/>
      <c r="Y520" s="6"/>
      <c r="Z520" s="6"/>
      <c r="AA520" s="6"/>
      <c r="AB520" s="6"/>
      <c r="AC520" s="6"/>
      <c r="AD520" s="7"/>
    </row>
    <row r="521">
      <c r="A521" s="23"/>
      <c r="B521" s="23"/>
      <c r="C521" s="27"/>
      <c r="D521" s="19"/>
      <c r="E521" s="6"/>
      <c r="F521" s="6"/>
      <c r="G521" s="6"/>
      <c r="H521" s="6"/>
      <c r="I521" s="19"/>
      <c r="J521" s="6"/>
      <c r="K521" s="6"/>
      <c r="L521" s="19"/>
      <c r="M521" s="6"/>
      <c r="N521" s="6"/>
      <c r="O521" s="6"/>
      <c r="P521" s="6"/>
      <c r="Q521" s="6"/>
      <c r="R521" s="6"/>
      <c r="S521" s="6"/>
      <c r="T521" s="6"/>
      <c r="U521" s="6"/>
      <c r="V521" s="6"/>
      <c r="W521" s="6"/>
      <c r="X521" s="6"/>
      <c r="Y521" s="6"/>
      <c r="Z521" s="6"/>
      <c r="AA521" s="6"/>
      <c r="AB521" s="6"/>
      <c r="AC521" s="6"/>
      <c r="AD521" s="7"/>
    </row>
    <row r="522">
      <c r="A522" s="23"/>
      <c r="B522" s="23"/>
      <c r="C522" s="27"/>
      <c r="D522" s="19"/>
      <c r="E522" s="6"/>
      <c r="F522" s="6"/>
      <c r="G522" s="6"/>
      <c r="H522" s="6"/>
      <c r="I522" s="19"/>
      <c r="J522" s="6"/>
      <c r="K522" s="6"/>
      <c r="L522" s="19"/>
      <c r="M522" s="6"/>
      <c r="N522" s="6"/>
      <c r="O522" s="6"/>
      <c r="P522" s="6"/>
      <c r="Q522" s="6"/>
      <c r="R522" s="6"/>
      <c r="S522" s="6"/>
      <c r="T522" s="6"/>
      <c r="U522" s="6"/>
      <c r="V522" s="6"/>
      <c r="W522" s="6"/>
      <c r="X522" s="6"/>
      <c r="Y522" s="6"/>
      <c r="Z522" s="6"/>
      <c r="AA522" s="6"/>
      <c r="AB522" s="6"/>
      <c r="AC522" s="6"/>
      <c r="AD522" s="7"/>
    </row>
    <row r="523">
      <c r="A523" s="23"/>
      <c r="B523" s="23"/>
      <c r="C523" s="27"/>
      <c r="D523" s="19"/>
      <c r="E523" s="6"/>
      <c r="F523" s="6"/>
      <c r="G523" s="6"/>
      <c r="H523" s="6"/>
      <c r="I523" s="19"/>
      <c r="J523" s="6"/>
      <c r="K523" s="6"/>
      <c r="L523" s="19"/>
      <c r="M523" s="6"/>
      <c r="N523" s="6"/>
      <c r="O523" s="6"/>
      <c r="P523" s="6"/>
      <c r="Q523" s="6"/>
      <c r="R523" s="6"/>
      <c r="S523" s="6"/>
      <c r="T523" s="6"/>
      <c r="U523" s="6"/>
      <c r="V523" s="6"/>
      <c r="W523" s="6"/>
      <c r="X523" s="6"/>
      <c r="Y523" s="6"/>
      <c r="Z523" s="6"/>
      <c r="AA523" s="6"/>
      <c r="AB523" s="6"/>
      <c r="AC523" s="6"/>
      <c r="AD523" s="7"/>
    </row>
    <row r="524">
      <c r="A524" s="23"/>
      <c r="B524" s="23"/>
      <c r="C524" s="27"/>
      <c r="D524" s="19"/>
      <c r="E524" s="6"/>
      <c r="F524" s="6"/>
      <c r="G524" s="6"/>
      <c r="H524" s="6"/>
      <c r="I524" s="19"/>
      <c r="J524" s="6"/>
      <c r="K524" s="6"/>
      <c r="L524" s="19"/>
      <c r="M524" s="6"/>
      <c r="N524" s="6"/>
      <c r="O524" s="6"/>
      <c r="P524" s="6"/>
      <c r="Q524" s="6"/>
      <c r="R524" s="6"/>
      <c r="S524" s="6"/>
      <c r="T524" s="6"/>
      <c r="U524" s="6"/>
      <c r="V524" s="6"/>
      <c r="W524" s="6"/>
      <c r="X524" s="6"/>
      <c r="Y524" s="6"/>
      <c r="Z524" s="6"/>
      <c r="AA524" s="6"/>
      <c r="AB524" s="6"/>
      <c r="AC524" s="6"/>
      <c r="AD524" s="7"/>
    </row>
    <row r="525">
      <c r="A525" s="23"/>
      <c r="B525" s="23"/>
      <c r="C525" s="27"/>
      <c r="D525" s="19"/>
      <c r="E525" s="6"/>
      <c r="F525" s="6"/>
      <c r="G525" s="6"/>
      <c r="H525" s="6"/>
      <c r="I525" s="19"/>
      <c r="J525" s="6"/>
      <c r="K525" s="6"/>
      <c r="L525" s="19"/>
      <c r="M525" s="6"/>
      <c r="N525" s="6"/>
      <c r="O525" s="6"/>
      <c r="P525" s="6"/>
      <c r="Q525" s="6"/>
      <c r="R525" s="6"/>
      <c r="S525" s="6"/>
      <c r="T525" s="6"/>
      <c r="U525" s="6"/>
      <c r="V525" s="6"/>
      <c r="W525" s="6"/>
      <c r="X525" s="6"/>
      <c r="Y525" s="6"/>
      <c r="Z525" s="6"/>
      <c r="AA525" s="6"/>
      <c r="AB525" s="6"/>
      <c r="AC525" s="6"/>
      <c r="AD525" s="7"/>
    </row>
    <row r="526">
      <c r="A526" s="23"/>
      <c r="B526" s="23"/>
      <c r="C526" s="27"/>
      <c r="D526" s="19"/>
      <c r="E526" s="6"/>
      <c r="F526" s="6"/>
      <c r="G526" s="6"/>
      <c r="H526" s="6"/>
      <c r="I526" s="19"/>
      <c r="J526" s="6"/>
      <c r="K526" s="6"/>
      <c r="L526" s="19"/>
      <c r="M526" s="6"/>
      <c r="N526" s="6"/>
      <c r="O526" s="6"/>
      <c r="P526" s="6"/>
      <c r="Q526" s="6"/>
      <c r="R526" s="6"/>
      <c r="S526" s="6"/>
      <c r="T526" s="6"/>
      <c r="U526" s="6"/>
      <c r="V526" s="6"/>
      <c r="W526" s="6"/>
      <c r="X526" s="6"/>
      <c r="Y526" s="6"/>
      <c r="Z526" s="6"/>
      <c r="AA526" s="6"/>
      <c r="AB526" s="6"/>
      <c r="AC526" s="6"/>
      <c r="AD526" s="7"/>
    </row>
    <row r="527">
      <c r="A527" s="23"/>
      <c r="B527" s="23"/>
      <c r="C527" s="27"/>
      <c r="D527" s="19"/>
      <c r="E527" s="6"/>
      <c r="F527" s="6"/>
      <c r="G527" s="6"/>
      <c r="H527" s="6"/>
      <c r="I527" s="19"/>
      <c r="J527" s="6"/>
      <c r="K527" s="6"/>
      <c r="L527" s="19"/>
      <c r="M527" s="6"/>
      <c r="N527" s="6"/>
      <c r="O527" s="6"/>
      <c r="P527" s="6"/>
      <c r="Q527" s="6"/>
      <c r="R527" s="6"/>
      <c r="S527" s="6"/>
      <c r="T527" s="6"/>
      <c r="U527" s="6"/>
      <c r="V527" s="6"/>
      <c r="W527" s="6"/>
      <c r="X527" s="6"/>
      <c r="Y527" s="6"/>
      <c r="Z527" s="6"/>
      <c r="AA527" s="6"/>
      <c r="AB527" s="6"/>
      <c r="AC527" s="6"/>
      <c r="AD527" s="7"/>
    </row>
    <row r="528">
      <c r="A528" s="23"/>
      <c r="B528" s="23"/>
      <c r="C528" s="27"/>
      <c r="D528" s="19"/>
      <c r="E528" s="6"/>
      <c r="F528" s="6"/>
      <c r="G528" s="6"/>
      <c r="H528" s="6"/>
      <c r="I528" s="19"/>
      <c r="J528" s="6"/>
      <c r="K528" s="6"/>
      <c r="L528" s="19"/>
      <c r="M528" s="6"/>
      <c r="N528" s="6"/>
      <c r="O528" s="6"/>
      <c r="P528" s="6"/>
      <c r="Q528" s="6"/>
      <c r="R528" s="6"/>
      <c r="S528" s="6"/>
      <c r="T528" s="6"/>
      <c r="U528" s="6"/>
      <c r="V528" s="6"/>
      <c r="W528" s="6"/>
      <c r="X528" s="6"/>
      <c r="Y528" s="6"/>
      <c r="Z528" s="6"/>
      <c r="AA528" s="6"/>
      <c r="AB528" s="6"/>
      <c r="AC528" s="6"/>
      <c r="AD528" s="7"/>
    </row>
    <row r="529">
      <c r="A529" s="23"/>
      <c r="B529" s="23"/>
      <c r="C529" s="27"/>
      <c r="D529" s="19"/>
      <c r="E529" s="6"/>
      <c r="F529" s="6"/>
      <c r="G529" s="6"/>
      <c r="H529" s="6"/>
      <c r="I529" s="19"/>
      <c r="J529" s="6"/>
      <c r="K529" s="6"/>
      <c r="L529" s="19"/>
      <c r="M529" s="6"/>
      <c r="N529" s="6"/>
      <c r="O529" s="6"/>
      <c r="P529" s="6"/>
      <c r="Q529" s="6"/>
      <c r="R529" s="6"/>
      <c r="S529" s="6"/>
      <c r="T529" s="6"/>
      <c r="U529" s="6"/>
      <c r="V529" s="6"/>
      <c r="W529" s="6"/>
      <c r="X529" s="6"/>
      <c r="Y529" s="6"/>
      <c r="Z529" s="6"/>
      <c r="AA529" s="6"/>
      <c r="AB529" s="6"/>
      <c r="AC529" s="6"/>
      <c r="AD529" s="7"/>
    </row>
    <row r="530">
      <c r="A530" s="23"/>
      <c r="B530" s="23"/>
      <c r="C530" s="27"/>
      <c r="D530" s="19"/>
      <c r="E530" s="6"/>
      <c r="F530" s="6"/>
      <c r="G530" s="6"/>
      <c r="H530" s="6"/>
      <c r="I530" s="19"/>
      <c r="J530" s="6"/>
      <c r="K530" s="6"/>
      <c r="L530" s="19"/>
      <c r="M530" s="6"/>
      <c r="N530" s="6"/>
      <c r="O530" s="6"/>
      <c r="P530" s="6"/>
      <c r="Q530" s="6"/>
      <c r="R530" s="6"/>
      <c r="S530" s="6"/>
      <c r="T530" s="6"/>
      <c r="U530" s="6"/>
      <c r="V530" s="6"/>
      <c r="W530" s="6"/>
      <c r="X530" s="6"/>
      <c r="Y530" s="6"/>
      <c r="Z530" s="6"/>
      <c r="AA530" s="6"/>
      <c r="AB530" s="6"/>
      <c r="AC530" s="6"/>
      <c r="AD530" s="7"/>
    </row>
    <row r="531">
      <c r="A531" s="23"/>
      <c r="B531" s="23"/>
      <c r="C531" s="27"/>
      <c r="D531" s="19"/>
      <c r="E531" s="6"/>
      <c r="F531" s="6"/>
      <c r="G531" s="6"/>
      <c r="H531" s="6"/>
      <c r="I531" s="19"/>
      <c r="J531" s="6"/>
      <c r="K531" s="6"/>
      <c r="L531" s="19"/>
      <c r="M531" s="6"/>
      <c r="N531" s="6"/>
      <c r="O531" s="6"/>
      <c r="P531" s="6"/>
      <c r="Q531" s="6"/>
      <c r="R531" s="6"/>
      <c r="S531" s="6"/>
      <c r="T531" s="6"/>
      <c r="U531" s="6"/>
      <c r="V531" s="6"/>
      <c r="W531" s="6"/>
      <c r="X531" s="6"/>
      <c r="Y531" s="6"/>
      <c r="Z531" s="6"/>
      <c r="AA531" s="6"/>
      <c r="AB531" s="6"/>
      <c r="AC531" s="6"/>
      <c r="AD531" s="7"/>
    </row>
    <row r="532">
      <c r="A532" s="23"/>
      <c r="B532" s="23"/>
      <c r="C532" s="27"/>
      <c r="D532" s="19"/>
      <c r="E532" s="6"/>
      <c r="F532" s="6"/>
      <c r="G532" s="6"/>
      <c r="H532" s="6"/>
      <c r="I532" s="19"/>
      <c r="J532" s="6"/>
      <c r="K532" s="6"/>
      <c r="L532" s="19"/>
      <c r="M532" s="6"/>
      <c r="N532" s="6"/>
      <c r="O532" s="6"/>
      <c r="P532" s="6"/>
      <c r="Q532" s="6"/>
      <c r="R532" s="6"/>
      <c r="S532" s="6"/>
      <c r="T532" s="6"/>
      <c r="U532" s="6"/>
      <c r="V532" s="6"/>
      <c r="W532" s="6"/>
      <c r="X532" s="6"/>
      <c r="Y532" s="6"/>
      <c r="Z532" s="6"/>
      <c r="AA532" s="6"/>
      <c r="AB532" s="6"/>
      <c r="AC532" s="6"/>
      <c r="AD532" s="7"/>
    </row>
    <row r="533">
      <c r="A533" s="23"/>
      <c r="B533" s="23"/>
      <c r="C533" s="27"/>
      <c r="D533" s="19"/>
      <c r="E533" s="6"/>
      <c r="F533" s="6"/>
      <c r="G533" s="6"/>
      <c r="H533" s="6"/>
      <c r="I533" s="19"/>
      <c r="J533" s="6"/>
      <c r="K533" s="6"/>
      <c r="L533" s="19"/>
      <c r="M533" s="6"/>
      <c r="N533" s="6"/>
      <c r="O533" s="6"/>
      <c r="P533" s="6"/>
      <c r="Q533" s="6"/>
      <c r="R533" s="6"/>
      <c r="S533" s="6"/>
      <c r="T533" s="6"/>
      <c r="U533" s="6"/>
      <c r="V533" s="6"/>
      <c r="W533" s="6"/>
      <c r="X533" s="6"/>
      <c r="Y533" s="6"/>
      <c r="Z533" s="6"/>
      <c r="AA533" s="6"/>
      <c r="AB533" s="6"/>
      <c r="AC533" s="6"/>
      <c r="AD533" s="7"/>
    </row>
    <row r="534">
      <c r="A534" s="23"/>
      <c r="B534" s="23"/>
      <c r="C534" s="27"/>
      <c r="D534" s="19"/>
      <c r="E534" s="6"/>
      <c r="F534" s="6"/>
      <c r="G534" s="6"/>
      <c r="H534" s="6"/>
      <c r="I534" s="19"/>
      <c r="J534" s="6"/>
      <c r="K534" s="6"/>
      <c r="L534" s="19"/>
      <c r="M534" s="6"/>
      <c r="N534" s="6"/>
      <c r="O534" s="6"/>
      <c r="P534" s="6"/>
      <c r="Q534" s="6"/>
      <c r="R534" s="6"/>
      <c r="S534" s="6"/>
      <c r="T534" s="6"/>
      <c r="U534" s="6"/>
      <c r="V534" s="6"/>
      <c r="W534" s="6"/>
      <c r="X534" s="6"/>
      <c r="Y534" s="6"/>
      <c r="Z534" s="6"/>
      <c r="AA534" s="6"/>
      <c r="AB534" s="6"/>
      <c r="AC534" s="6"/>
      <c r="AD534" s="7"/>
    </row>
    <row r="535">
      <c r="A535" s="23"/>
      <c r="B535" s="23"/>
      <c r="C535" s="27"/>
      <c r="D535" s="19"/>
      <c r="E535" s="6"/>
      <c r="F535" s="6"/>
      <c r="G535" s="6"/>
      <c r="H535" s="6"/>
      <c r="I535" s="19"/>
      <c r="J535" s="6"/>
      <c r="K535" s="6"/>
      <c r="L535" s="19"/>
      <c r="M535" s="6"/>
      <c r="N535" s="6"/>
      <c r="O535" s="6"/>
      <c r="P535" s="6"/>
      <c r="Q535" s="6"/>
      <c r="R535" s="6"/>
      <c r="S535" s="6"/>
      <c r="T535" s="6"/>
      <c r="U535" s="6"/>
      <c r="V535" s="6"/>
      <c r="W535" s="6"/>
      <c r="X535" s="6"/>
      <c r="Y535" s="6"/>
      <c r="Z535" s="6"/>
      <c r="AA535" s="6"/>
      <c r="AB535" s="6"/>
      <c r="AC535" s="6"/>
      <c r="AD535" s="7"/>
    </row>
    <row r="536">
      <c r="A536" s="23"/>
      <c r="B536" s="23"/>
      <c r="C536" s="27"/>
      <c r="D536" s="19"/>
      <c r="E536" s="6"/>
      <c r="F536" s="6"/>
      <c r="G536" s="6"/>
      <c r="H536" s="6"/>
      <c r="I536" s="19"/>
      <c r="J536" s="6"/>
      <c r="K536" s="6"/>
      <c r="L536" s="19"/>
      <c r="M536" s="6"/>
      <c r="N536" s="6"/>
      <c r="O536" s="6"/>
      <c r="P536" s="6"/>
      <c r="Q536" s="6"/>
      <c r="R536" s="6"/>
      <c r="S536" s="6"/>
      <c r="T536" s="6"/>
      <c r="U536" s="6"/>
      <c r="V536" s="6"/>
      <c r="W536" s="6"/>
      <c r="X536" s="6"/>
      <c r="Y536" s="6"/>
      <c r="Z536" s="6"/>
      <c r="AA536" s="6"/>
      <c r="AB536" s="6"/>
      <c r="AC536" s="6"/>
      <c r="AD536" s="7"/>
    </row>
    <row r="537">
      <c r="A537" s="23"/>
      <c r="B537" s="23"/>
      <c r="C537" s="27"/>
      <c r="D537" s="19"/>
      <c r="E537" s="6"/>
      <c r="F537" s="6"/>
      <c r="G537" s="6"/>
      <c r="H537" s="6"/>
      <c r="I537" s="19"/>
      <c r="J537" s="6"/>
      <c r="K537" s="6"/>
      <c r="L537" s="19"/>
      <c r="M537" s="6"/>
      <c r="N537" s="6"/>
      <c r="O537" s="6"/>
      <c r="P537" s="6"/>
      <c r="Q537" s="6"/>
      <c r="R537" s="6"/>
      <c r="S537" s="6"/>
      <c r="T537" s="6"/>
      <c r="U537" s="6"/>
      <c r="V537" s="6"/>
      <c r="W537" s="6"/>
      <c r="X537" s="6"/>
      <c r="Y537" s="6"/>
      <c r="Z537" s="6"/>
      <c r="AA537" s="6"/>
      <c r="AB537" s="6"/>
      <c r="AC537" s="6"/>
      <c r="AD537" s="7"/>
    </row>
    <row r="538">
      <c r="A538" s="23"/>
      <c r="B538" s="23"/>
      <c r="C538" s="27"/>
      <c r="D538" s="19"/>
      <c r="E538" s="6"/>
      <c r="F538" s="6"/>
      <c r="G538" s="6"/>
      <c r="H538" s="6"/>
      <c r="I538" s="19"/>
      <c r="J538" s="6"/>
      <c r="K538" s="6"/>
      <c r="L538" s="19"/>
      <c r="M538" s="6"/>
      <c r="N538" s="6"/>
      <c r="O538" s="6"/>
      <c r="P538" s="6"/>
      <c r="Q538" s="6"/>
      <c r="R538" s="6"/>
      <c r="S538" s="6"/>
      <c r="T538" s="6"/>
      <c r="U538" s="6"/>
      <c r="V538" s="6"/>
      <c r="W538" s="6"/>
      <c r="X538" s="6"/>
      <c r="Y538" s="6"/>
      <c r="Z538" s="6"/>
      <c r="AA538" s="6"/>
      <c r="AB538" s="6"/>
      <c r="AC538" s="6"/>
      <c r="AD538" s="7"/>
    </row>
    <row r="539">
      <c r="A539" s="23"/>
      <c r="B539" s="23"/>
      <c r="C539" s="27"/>
      <c r="D539" s="19"/>
      <c r="E539" s="6"/>
      <c r="F539" s="6"/>
      <c r="G539" s="6"/>
      <c r="H539" s="6"/>
      <c r="I539" s="19"/>
      <c r="J539" s="6"/>
      <c r="K539" s="6"/>
      <c r="L539" s="19"/>
      <c r="M539" s="6"/>
      <c r="N539" s="6"/>
      <c r="O539" s="6"/>
      <c r="P539" s="6"/>
      <c r="Q539" s="6"/>
      <c r="R539" s="6"/>
      <c r="S539" s="6"/>
      <c r="T539" s="6"/>
      <c r="U539" s="6"/>
      <c r="V539" s="6"/>
      <c r="W539" s="6"/>
      <c r="X539" s="6"/>
      <c r="Y539" s="6"/>
      <c r="Z539" s="6"/>
      <c r="AA539" s="6"/>
      <c r="AB539" s="6"/>
      <c r="AC539" s="6"/>
      <c r="AD539" s="7"/>
    </row>
    <row r="540">
      <c r="A540" s="23"/>
      <c r="B540" s="23"/>
      <c r="C540" s="27"/>
      <c r="D540" s="19"/>
      <c r="E540" s="6"/>
      <c r="F540" s="6"/>
      <c r="G540" s="6"/>
      <c r="H540" s="6"/>
      <c r="I540" s="19"/>
      <c r="J540" s="6"/>
      <c r="K540" s="6"/>
      <c r="L540" s="19"/>
      <c r="M540" s="6"/>
      <c r="N540" s="6"/>
      <c r="O540" s="6"/>
      <c r="P540" s="6"/>
      <c r="Q540" s="6"/>
      <c r="R540" s="6"/>
      <c r="S540" s="6"/>
      <c r="T540" s="6"/>
      <c r="U540" s="6"/>
      <c r="V540" s="6"/>
      <c r="W540" s="6"/>
      <c r="X540" s="6"/>
      <c r="Y540" s="6"/>
      <c r="Z540" s="6"/>
      <c r="AA540" s="6"/>
      <c r="AB540" s="6"/>
      <c r="AC540" s="6"/>
      <c r="AD540" s="7"/>
    </row>
    <row r="541">
      <c r="A541" s="23"/>
      <c r="B541" s="23"/>
      <c r="C541" s="27"/>
      <c r="D541" s="19"/>
      <c r="E541" s="6"/>
      <c r="F541" s="6"/>
      <c r="G541" s="6"/>
      <c r="H541" s="6"/>
      <c r="I541" s="19"/>
      <c r="J541" s="6"/>
      <c r="K541" s="6"/>
      <c r="L541" s="19"/>
      <c r="M541" s="6"/>
      <c r="N541" s="6"/>
      <c r="O541" s="6"/>
      <c r="P541" s="6"/>
      <c r="Q541" s="6"/>
      <c r="R541" s="6"/>
      <c r="S541" s="6"/>
      <c r="T541" s="6"/>
      <c r="U541" s="6"/>
      <c r="V541" s="6"/>
      <c r="W541" s="6"/>
      <c r="X541" s="6"/>
      <c r="Y541" s="6"/>
      <c r="Z541" s="6"/>
      <c r="AA541" s="6"/>
      <c r="AB541" s="6"/>
      <c r="AC541" s="6"/>
      <c r="AD541" s="7"/>
    </row>
    <row r="542">
      <c r="A542" s="23"/>
      <c r="B542" s="23"/>
      <c r="C542" s="27"/>
      <c r="D542" s="19"/>
      <c r="E542" s="6"/>
      <c r="F542" s="6"/>
      <c r="G542" s="6"/>
      <c r="H542" s="6"/>
      <c r="I542" s="19"/>
      <c r="J542" s="6"/>
      <c r="K542" s="6"/>
      <c r="L542" s="19"/>
      <c r="M542" s="6"/>
      <c r="N542" s="6"/>
      <c r="O542" s="6"/>
      <c r="P542" s="6"/>
      <c r="Q542" s="6"/>
      <c r="R542" s="6"/>
      <c r="S542" s="6"/>
      <c r="T542" s="6"/>
      <c r="U542" s="6"/>
      <c r="V542" s="6"/>
      <c r="W542" s="6"/>
      <c r="X542" s="6"/>
      <c r="Y542" s="6"/>
      <c r="Z542" s="6"/>
      <c r="AA542" s="6"/>
      <c r="AB542" s="6"/>
      <c r="AC542" s="6"/>
      <c r="AD542" s="7"/>
    </row>
    <row r="543">
      <c r="A543" s="23"/>
      <c r="B543" s="23"/>
      <c r="C543" s="27"/>
      <c r="D543" s="19"/>
      <c r="E543" s="6"/>
      <c r="F543" s="6"/>
      <c r="G543" s="6"/>
      <c r="H543" s="6"/>
      <c r="I543" s="19"/>
      <c r="J543" s="6"/>
      <c r="K543" s="6"/>
      <c r="L543" s="19"/>
      <c r="M543" s="6"/>
      <c r="N543" s="6"/>
      <c r="O543" s="6"/>
      <c r="P543" s="6"/>
      <c r="Q543" s="6"/>
      <c r="R543" s="6"/>
      <c r="S543" s="6"/>
      <c r="T543" s="6"/>
      <c r="U543" s="6"/>
      <c r="V543" s="6"/>
      <c r="W543" s="6"/>
      <c r="X543" s="6"/>
      <c r="Y543" s="6"/>
      <c r="Z543" s="6"/>
      <c r="AA543" s="6"/>
      <c r="AB543" s="6"/>
      <c r="AC543" s="6"/>
      <c r="AD543" s="7"/>
    </row>
    <row r="544">
      <c r="A544" s="23"/>
      <c r="B544" s="23"/>
      <c r="C544" s="27"/>
      <c r="D544" s="19"/>
      <c r="E544" s="6"/>
      <c r="F544" s="6"/>
      <c r="G544" s="6"/>
      <c r="H544" s="6"/>
      <c r="I544" s="19"/>
      <c r="J544" s="6"/>
      <c r="K544" s="6"/>
      <c r="L544" s="19"/>
      <c r="M544" s="6"/>
      <c r="N544" s="6"/>
      <c r="O544" s="6"/>
      <c r="P544" s="6"/>
      <c r="Q544" s="6"/>
      <c r="R544" s="6"/>
      <c r="S544" s="6"/>
      <c r="T544" s="6"/>
      <c r="U544" s="6"/>
      <c r="V544" s="6"/>
      <c r="W544" s="6"/>
      <c r="X544" s="6"/>
      <c r="Y544" s="6"/>
      <c r="Z544" s="6"/>
      <c r="AA544" s="6"/>
      <c r="AB544" s="6"/>
      <c r="AC544" s="6"/>
      <c r="AD544" s="7"/>
    </row>
    <row r="545">
      <c r="A545" s="23"/>
      <c r="B545" s="23"/>
      <c r="C545" s="27"/>
      <c r="D545" s="19"/>
      <c r="E545" s="6"/>
      <c r="F545" s="6"/>
      <c r="G545" s="6"/>
      <c r="H545" s="6"/>
      <c r="I545" s="19"/>
      <c r="J545" s="6"/>
      <c r="K545" s="6"/>
      <c r="L545" s="19"/>
      <c r="M545" s="6"/>
      <c r="N545" s="6"/>
      <c r="O545" s="6"/>
      <c r="P545" s="6"/>
      <c r="Q545" s="6"/>
      <c r="R545" s="6"/>
      <c r="S545" s="6"/>
      <c r="T545" s="6"/>
      <c r="U545" s="6"/>
      <c r="V545" s="6"/>
      <c r="W545" s="6"/>
      <c r="X545" s="6"/>
      <c r="Y545" s="6"/>
      <c r="Z545" s="6"/>
      <c r="AA545" s="6"/>
      <c r="AB545" s="6"/>
      <c r="AC545" s="6"/>
      <c r="AD545" s="7"/>
    </row>
    <row r="546">
      <c r="A546" s="23"/>
      <c r="B546" s="23"/>
      <c r="C546" s="27"/>
      <c r="D546" s="19"/>
      <c r="E546" s="6"/>
      <c r="F546" s="6"/>
      <c r="G546" s="6"/>
      <c r="H546" s="6"/>
      <c r="I546" s="19"/>
      <c r="J546" s="6"/>
      <c r="K546" s="6"/>
      <c r="L546" s="19"/>
      <c r="M546" s="6"/>
      <c r="N546" s="6"/>
      <c r="O546" s="6"/>
      <c r="P546" s="6"/>
      <c r="Q546" s="6"/>
      <c r="R546" s="6"/>
      <c r="S546" s="6"/>
      <c r="T546" s="6"/>
      <c r="U546" s="6"/>
      <c r="V546" s="6"/>
      <c r="W546" s="6"/>
      <c r="X546" s="6"/>
      <c r="Y546" s="6"/>
      <c r="Z546" s="6"/>
      <c r="AA546" s="6"/>
      <c r="AB546" s="6"/>
      <c r="AC546" s="6"/>
      <c r="AD546" s="7"/>
    </row>
    <row r="547">
      <c r="A547" s="23"/>
      <c r="B547" s="23"/>
      <c r="C547" s="27"/>
      <c r="D547" s="19"/>
      <c r="E547" s="6"/>
      <c r="F547" s="6"/>
      <c r="G547" s="6"/>
      <c r="H547" s="6"/>
      <c r="I547" s="19"/>
      <c r="J547" s="6"/>
      <c r="K547" s="6"/>
      <c r="L547" s="19"/>
      <c r="M547" s="6"/>
      <c r="N547" s="6"/>
      <c r="O547" s="6"/>
      <c r="P547" s="6"/>
      <c r="Q547" s="6"/>
      <c r="R547" s="6"/>
      <c r="S547" s="6"/>
      <c r="T547" s="6"/>
      <c r="U547" s="6"/>
      <c r="V547" s="6"/>
      <c r="W547" s="6"/>
      <c r="X547" s="6"/>
      <c r="Y547" s="6"/>
      <c r="Z547" s="6"/>
      <c r="AA547" s="6"/>
      <c r="AB547" s="6"/>
      <c r="AC547" s="6"/>
      <c r="AD547" s="7"/>
    </row>
    <row r="548">
      <c r="A548" s="23"/>
      <c r="B548" s="23"/>
      <c r="C548" s="27"/>
      <c r="D548" s="19"/>
      <c r="E548" s="6"/>
      <c r="F548" s="6"/>
      <c r="G548" s="6"/>
      <c r="H548" s="6"/>
      <c r="I548" s="19"/>
      <c r="J548" s="6"/>
      <c r="K548" s="6"/>
      <c r="L548" s="19"/>
      <c r="M548" s="6"/>
      <c r="N548" s="6"/>
      <c r="O548" s="6"/>
      <c r="P548" s="6"/>
      <c r="Q548" s="6"/>
      <c r="R548" s="6"/>
      <c r="S548" s="6"/>
      <c r="T548" s="6"/>
      <c r="U548" s="6"/>
      <c r="V548" s="6"/>
      <c r="W548" s="6"/>
      <c r="X548" s="6"/>
      <c r="Y548" s="6"/>
      <c r="Z548" s="6"/>
      <c r="AA548" s="6"/>
      <c r="AB548" s="6"/>
      <c r="AC548" s="6"/>
      <c r="AD548" s="7"/>
    </row>
    <row r="549">
      <c r="A549" s="23"/>
      <c r="B549" s="23"/>
      <c r="C549" s="27"/>
      <c r="D549" s="19"/>
      <c r="E549" s="6"/>
      <c r="F549" s="6"/>
      <c r="G549" s="6"/>
      <c r="H549" s="6"/>
      <c r="I549" s="19"/>
      <c r="J549" s="6"/>
      <c r="K549" s="6"/>
      <c r="L549" s="19"/>
      <c r="M549" s="6"/>
      <c r="N549" s="6"/>
      <c r="O549" s="6"/>
      <c r="P549" s="6"/>
      <c r="Q549" s="6"/>
      <c r="R549" s="6"/>
      <c r="S549" s="6"/>
      <c r="T549" s="6"/>
      <c r="U549" s="6"/>
      <c r="V549" s="6"/>
      <c r="W549" s="6"/>
      <c r="X549" s="6"/>
      <c r="Y549" s="6"/>
      <c r="Z549" s="6"/>
      <c r="AA549" s="6"/>
      <c r="AB549" s="6"/>
      <c r="AC549" s="6"/>
      <c r="AD549" s="7"/>
    </row>
    <row r="550">
      <c r="A550" s="23"/>
      <c r="B550" s="23"/>
      <c r="C550" s="27"/>
      <c r="D550" s="19"/>
      <c r="E550" s="6"/>
      <c r="F550" s="6"/>
      <c r="G550" s="6"/>
      <c r="H550" s="6"/>
      <c r="I550" s="19"/>
      <c r="J550" s="6"/>
      <c r="K550" s="6"/>
      <c r="L550" s="19"/>
      <c r="M550" s="6"/>
      <c r="N550" s="6"/>
      <c r="O550" s="6"/>
      <c r="P550" s="6"/>
      <c r="Q550" s="6"/>
      <c r="R550" s="6"/>
      <c r="S550" s="6"/>
      <c r="T550" s="6"/>
      <c r="U550" s="6"/>
      <c r="V550" s="6"/>
      <c r="W550" s="6"/>
      <c r="X550" s="6"/>
      <c r="Y550" s="6"/>
      <c r="Z550" s="6"/>
      <c r="AA550" s="6"/>
      <c r="AB550" s="6"/>
      <c r="AC550" s="6"/>
      <c r="AD550" s="7"/>
    </row>
    <row r="551">
      <c r="A551" s="23"/>
      <c r="B551" s="23"/>
      <c r="C551" s="27"/>
      <c r="D551" s="19"/>
      <c r="E551" s="6"/>
      <c r="F551" s="6"/>
      <c r="G551" s="6"/>
      <c r="H551" s="6"/>
      <c r="I551" s="19"/>
      <c r="J551" s="6"/>
      <c r="K551" s="6"/>
      <c r="L551" s="19"/>
      <c r="M551" s="6"/>
      <c r="N551" s="6"/>
      <c r="O551" s="6"/>
      <c r="P551" s="6"/>
      <c r="Q551" s="6"/>
      <c r="R551" s="6"/>
      <c r="S551" s="6"/>
      <c r="T551" s="6"/>
      <c r="U551" s="6"/>
      <c r="V551" s="6"/>
      <c r="W551" s="6"/>
      <c r="X551" s="6"/>
      <c r="Y551" s="6"/>
      <c r="Z551" s="6"/>
      <c r="AA551" s="6"/>
      <c r="AB551" s="6"/>
      <c r="AC551" s="6"/>
      <c r="AD551" s="7"/>
    </row>
    <row r="552">
      <c r="A552" s="23"/>
      <c r="B552" s="23"/>
      <c r="C552" s="27"/>
      <c r="D552" s="19"/>
      <c r="E552" s="6"/>
      <c r="F552" s="6"/>
      <c r="G552" s="6"/>
      <c r="H552" s="6"/>
      <c r="I552" s="19"/>
      <c r="J552" s="6"/>
      <c r="K552" s="6"/>
      <c r="L552" s="19"/>
      <c r="M552" s="6"/>
      <c r="N552" s="6"/>
      <c r="O552" s="6"/>
      <c r="P552" s="6"/>
      <c r="Q552" s="6"/>
      <c r="R552" s="6"/>
      <c r="S552" s="6"/>
      <c r="T552" s="6"/>
      <c r="U552" s="6"/>
      <c r="V552" s="6"/>
      <c r="W552" s="6"/>
      <c r="X552" s="6"/>
      <c r="Y552" s="6"/>
      <c r="Z552" s="6"/>
      <c r="AA552" s="6"/>
      <c r="AB552" s="6"/>
      <c r="AC552" s="6"/>
      <c r="AD552" s="7"/>
    </row>
    <row r="553">
      <c r="A553" s="23"/>
      <c r="B553" s="23"/>
      <c r="C553" s="27"/>
      <c r="D553" s="19"/>
      <c r="E553" s="6"/>
      <c r="F553" s="6"/>
      <c r="G553" s="6"/>
      <c r="H553" s="6"/>
      <c r="I553" s="19"/>
      <c r="J553" s="6"/>
      <c r="K553" s="6"/>
      <c r="L553" s="19"/>
      <c r="M553" s="6"/>
      <c r="N553" s="6"/>
      <c r="O553" s="6"/>
      <c r="P553" s="6"/>
      <c r="Q553" s="6"/>
      <c r="R553" s="6"/>
      <c r="S553" s="6"/>
      <c r="T553" s="6"/>
      <c r="U553" s="6"/>
      <c r="V553" s="6"/>
      <c r="W553" s="6"/>
      <c r="X553" s="6"/>
      <c r="Y553" s="6"/>
      <c r="Z553" s="6"/>
      <c r="AA553" s="6"/>
      <c r="AB553" s="6"/>
      <c r="AC553" s="6"/>
      <c r="AD553" s="7"/>
    </row>
    <row r="554">
      <c r="A554" s="23"/>
      <c r="B554" s="23"/>
      <c r="C554" s="27"/>
      <c r="D554" s="19"/>
      <c r="E554" s="6"/>
      <c r="F554" s="6"/>
      <c r="G554" s="6"/>
      <c r="H554" s="6"/>
      <c r="I554" s="19"/>
      <c r="J554" s="6"/>
      <c r="K554" s="6"/>
      <c r="L554" s="19"/>
      <c r="M554" s="6"/>
      <c r="N554" s="6"/>
      <c r="O554" s="6"/>
      <c r="P554" s="6"/>
      <c r="Q554" s="6"/>
      <c r="R554" s="6"/>
      <c r="S554" s="6"/>
      <c r="T554" s="6"/>
      <c r="U554" s="6"/>
      <c r="V554" s="6"/>
      <c r="W554" s="6"/>
      <c r="X554" s="6"/>
      <c r="Y554" s="6"/>
      <c r="Z554" s="6"/>
      <c r="AA554" s="6"/>
      <c r="AB554" s="6"/>
      <c r="AC554" s="6"/>
      <c r="AD554" s="7"/>
    </row>
    <row r="555">
      <c r="A555" s="23"/>
      <c r="B555" s="23"/>
      <c r="C555" s="27"/>
      <c r="D555" s="19"/>
      <c r="E555" s="6"/>
      <c r="F555" s="6"/>
      <c r="G555" s="6"/>
      <c r="H555" s="6"/>
      <c r="I555" s="19"/>
      <c r="J555" s="6"/>
      <c r="K555" s="6"/>
      <c r="L555" s="19"/>
      <c r="M555" s="6"/>
      <c r="N555" s="6"/>
      <c r="O555" s="6"/>
      <c r="P555" s="6"/>
      <c r="Q555" s="6"/>
      <c r="R555" s="6"/>
      <c r="S555" s="6"/>
      <c r="T555" s="6"/>
      <c r="U555" s="6"/>
      <c r="V555" s="6"/>
      <c r="W555" s="6"/>
      <c r="X555" s="6"/>
      <c r="Y555" s="6"/>
      <c r="Z555" s="6"/>
      <c r="AA555" s="6"/>
      <c r="AB555" s="6"/>
      <c r="AC555" s="6"/>
      <c r="AD555" s="7"/>
    </row>
    <row r="556">
      <c r="A556" s="23"/>
      <c r="B556" s="23"/>
      <c r="C556" s="27"/>
      <c r="D556" s="19"/>
      <c r="E556" s="6"/>
      <c r="F556" s="6"/>
      <c r="G556" s="6"/>
      <c r="H556" s="6"/>
      <c r="I556" s="19"/>
      <c r="J556" s="6"/>
      <c r="K556" s="6"/>
      <c r="L556" s="19"/>
      <c r="M556" s="6"/>
      <c r="N556" s="6"/>
      <c r="O556" s="6"/>
      <c r="P556" s="6"/>
      <c r="Q556" s="6"/>
      <c r="R556" s="6"/>
      <c r="S556" s="6"/>
      <c r="T556" s="6"/>
      <c r="U556" s="6"/>
      <c r="V556" s="6"/>
      <c r="W556" s="6"/>
      <c r="X556" s="6"/>
      <c r="Y556" s="6"/>
      <c r="Z556" s="6"/>
      <c r="AA556" s="6"/>
      <c r="AB556" s="6"/>
      <c r="AC556" s="6"/>
      <c r="AD556" s="7"/>
    </row>
    <row r="557">
      <c r="A557" s="23"/>
      <c r="B557" s="23"/>
      <c r="C557" s="27"/>
      <c r="D557" s="19"/>
      <c r="E557" s="6"/>
      <c r="F557" s="6"/>
      <c r="G557" s="6"/>
      <c r="H557" s="6"/>
      <c r="I557" s="19"/>
      <c r="J557" s="6"/>
      <c r="K557" s="6"/>
      <c r="L557" s="19"/>
      <c r="M557" s="6"/>
      <c r="N557" s="6"/>
      <c r="O557" s="6"/>
      <c r="P557" s="6"/>
      <c r="Q557" s="6"/>
      <c r="R557" s="6"/>
      <c r="S557" s="6"/>
      <c r="T557" s="6"/>
      <c r="U557" s="6"/>
      <c r="V557" s="6"/>
      <c r="W557" s="6"/>
      <c r="X557" s="6"/>
      <c r="Y557" s="6"/>
      <c r="Z557" s="6"/>
      <c r="AA557" s="6"/>
      <c r="AB557" s="6"/>
      <c r="AC557" s="6"/>
      <c r="AD557" s="7"/>
    </row>
    <row r="558">
      <c r="A558" s="23"/>
      <c r="B558" s="23"/>
      <c r="C558" s="27"/>
      <c r="D558" s="19"/>
      <c r="E558" s="6"/>
      <c r="F558" s="6"/>
      <c r="G558" s="6"/>
      <c r="H558" s="6"/>
      <c r="I558" s="19"/>
      <c r="J558" s="6"/>
      <c r="K558" s="6"/>
      <c r="L558" s="19"/>
      <c r="M558" s="6"/>
      <c r="N558" s="6"/>
      <c r="O558" s="6"/>
      <c r="P558" s="6"/>
      <c r="Q558" s="6"/>
      <c r="R558" s="6"/>
      <c r="S558" s="6"/>
      <c r="T558" s="6"/>
      <c r="U558" s="6"/>
      <c r="V558" s="6"/>
      <c r="W558" s="6"/>
      <c r="X558" s="6"/>
      <c r="Y558" s="6"/>
      <c r="Z558" s="6"/>
      <c r="AA558" s="6"/>
      <c r="AB558" s="6"/>
      <c r="AC558" s="6"/>
      <c r="AD558" s="7"/>
    </row>
    <row r="559">
      <c r="A559" s="23"/>
      <c r="B559" s="23"/>
      <c r="C559" s="27"/>
      <c r="D559" s="19"/>
      <c r="E559" s="6"/>
      <c r="F559" s="6"/>
      <c r="G559" s="6"/>
      <c r="H559" s="6"/>
      <c r="I559" s="19"/>
      <c r="J559" s="6"/>
      <c r="K559" s="6"/>
      <c r="L559" s="19"/>
      <c r="M559" s="6"/>
      <c r="N559" s="6"/>
      <c r="O559" s="6"/>
      <c r="P559" s="6"/>
      <c r="Q559" s="6"/>
      <c r="R559" s="6"/>
      <c r="S559" s="6"/>
      <c r="T559" s="6"/>
      <c r="U559" s="6"/>
      <c r="V559" s="6"/>
      <c r="W559" s="6"/>
      <c r="X559" s="6"/>
      <c r="Y559" s="6"/>
      <c r="Z559" s="6"/>
      <c r="AA559" s="6"/>
      <c r="AB559" s="6"/>
      <c r="AC559" s="6"/>
      <c r="AD559" s="7"/>
    </row>
    <row r="560">
      <c r="A560" s="23"/>
      <c r="B560" s="23"/>
      <c r="C560" s="27"/>
      <c r="D560" s="19"/>
      <c r="E560" s="6"/>
      <c r="F560" s="6"/>
      <c r="G560" s="6"/>
      <c r="H560" s="6"/>
      <c r="I560" s="19"/>
      <c r="J560" s="6"/>
      <c r="K560" s="6"/>
      <c r="L560" s="19"/>
      <c r="M560" s="6"/>
      <c r="N560" s="6"/>
      <c r="O560" s="6"/>
      <c r="P560" s="6"/>
      <c r="Q560" s="6"/>
      <c r="R560" s="6"/>
      <c r="S560" s="6"/>
      <c r="T560" s="6"/>
      <c r="U560" s="6"/>
      <c r="V560" s="6"/>
      <c r="W560" s="6"/>
      <c r="X560" s="6"/>
      <c r="Y560" s="6"/>
      <c r="Z560" s="6"/>
      <c r="AA560" s="6"/>
      <c r="AB560" s="6"/>
      <c r="AC560" s="6"/>
      <c r="AD560" s="7"/>
    </row>
    <row r="561">
      <c r="A561" s="23"/>
      <c r="B561" s="23"/>
      <c r="C561" s="27"/>
      <c r="D561" s="19"/>
      <c r="E561" s="6"/>
      <c r="F561" s="6"/>
      <c r="G561" s="6"/>
      <c r="H561" s="6"/>
      <c r="I561" s="19"/>
      <c r="J561" s="6"/>
      <c r="K561" s="6"/>
      <c r="L561" s="19"/>
      <c r="M561" s="6"/>
      <c r="N561" s="6"/>
      <c r="O561" s="6"/>
      <c r="P561" s="6"/>
      <c r="Q561" s="6"/>
      <c r="R561" s="6"/>
      <c r="S561" s="6"/>
      <c r="T561" s="6"/>
      <c r="U561" s="6"/>
      <c r="V561" s="6"/>
      <c r="W561" s="6"/>
      <c r="X561" s="6"/>
      <c r="Y561" s="6"/>
      <c r="Z561" s="6"/>
      <c r="AA561" s="6"/>
      <c r="AB561" s="6"/>
      <c r="AC561" s="6"/>
      <c r="AD561" s="7"/>
    </row>
    <row r="562">
      <c r="A562" s="23"/>
      <c r="B562" s="23"/>
      <c r="C562" s="27"/>
      <c r="D562" s="19"/>
      <c r="E562" s="6"/>
      <c r="F562" s="6"/>
      <c r="G562" s="6"/>
      <c r="H562" s="6"/>
      <c r="I562" s="19"/>
      <c r="J562" s="6"/>
      <c r="K562" s="6"/>
      <c r="L562" s="19"/>
      <c r="M562" s="6"/>
      <c r="N562" s="6"/>
      <c r="O562" s="6"/>
      <c r="P562" s="6"/>
      <c r="Q562" s="6"/>
      <c r="R562" s="6"/>
      <c r="S562" s="6"/>
      <c r="T562" s="6"/>
      <c r="U562" s="6"/>
      <c r="V562" s="6"/>
      <c r="W562" s="6"/>
      <c r="X562" s="6"/>
      <c r="Y562" s="6"/>
      <c r="Z562" s="6"/>
      <c r="AA562" s="6"/>
      <c r="AB562" s="6"/>
      <c r="AC562" s="6"/>
      <c r="AD562" s="7"/>
    </row>
    <row r="563">
      <c r="A563" s="23"/>
      <c r="B563" s="23"/>
      <c r="C563" s="27"/>
      <c r="D563" s="19"/>
      <c r="E563" s="6"/>
      <c r="F563" s="6"/>
      <c r="G563" s="6"/>
      <c r="H563" s="6"/>
      <c r="I563" s="19"/>
      <c r="J563" s="6"/>
      <c r="K563" s="6"/>
      <c r="L563" s="19"/>
      <c r="M563" s="6"/>
      <c r="N563" s="6"/>
      <c r="O563" s="6"/>
      <c r="P563" s="6"/>
      <c r="Q563" s="6"/>
      <c r="R563" s="6"/>
      <c r="S563" s="6"/>
      <c r="T563" s="6"/>
      <c r="U563" s="6"/>
      <c r="V563" s="6"/>
      <c r="W563" s="6"/>
      <c r="X563" s="6"/>
      <c r="Y563" s="6"/>
      <c r="Z563" s="6"/>
      <c r="AA563" s="6"/>
      <c r="AB563" s="6"/>
      <c r="AC563" s="6"/>
      <c r="AD563" s="7"/>
    </row>
    <row r="564">
      <c r="A564" s="23"/>
      <c r="B564" s="23"/>
      <c r="C564" s="27"/>
      <c r="D564" s="19"/>
      <c r="E564" s="6"/>
      <c r="F564" s="6"/>
      <c r="G564" s="6"/>
      <c r="H564" s="6"/>
      <c r="I564" s="19"/>
      <c r="J564" s="6"/>
      <c r="K564" s="6"/>
      <c r="L564" s="19"/>
      <c r="M564" s="6"/>
      <c r="N564" s="6"/>
      <c r="O564" s="6"/>
      <c r="P564" s="6"/>
      <c r="Q564" s="6"/>
      <c r="R564" s="6"/>
      <c r="S564" s="6"/>
      <c r="T564" s="6"/>
      <c r="U564" s="6"/>
      <c r="V564" s="6"/>
      <c r="W564" s="6"/>
      <c r="X564" s="6"/>
      <c r="Y564" s="6"/>
      <c r="Z564" s="6"/>
      <c r="AA564" s="6"/>
      <c r="AB564" s="6"/>
      <c r="AC564" s="6"/>
      <c r="AD564" s="7"/>
    </row>
    <row r="565">
      <c r="A565" s="23"/>
      <c r="B565" s="23"/>
      <c r="C565" s="27"/>
      <c r="D565" s="19"/>
      <c r="E565" s="6"/>
      <c r="F565" s="6"/>
      <c r="G565" s="6"/>
      <c r="H565" s="6"/>
      <c r="I565" s="19"/>
      <c r="J565" s="6"/>
      <c r="K565" s="6"/>
      <c r="L565" s="19"/>
      <c r="M565" s="6"/>
      <c r="N565" s="6"/>
      <c r="O565" s="6"/>
      <c r="P565" s="6"/>
      <c r="Q565" s="6"/>
      <c r="R565" s="6"/>
      <c r="S565" s="6"/>
      <c r="T565" s="6"/>
      <c r="U565" s="6"/>
      <c r="V565" s="6"/>
      <c r="W565" s="6"/>
      <c r="X565" s="6"/>
      <c r="Y565" s="6"/>
      <c r="Z565" s="6"/>
      <c r="AA565" s="6"/>
      <c r="AB565" s="6"/>
      <c r="AC565" s="6"/>
      <c r="AD565" s="7"/>
    </row>
    <row r="566">
      <c r="A566" s="23"/>
      <c r="B566" s="23"/>
      <c r="C566" s="27"/>
      <c r="D566" s="19"/>
      <c r="E566" s="6"/>
      <c r="F566" s="6"/>
      <c r="G566" s="6"/>
      <c r="H566" s="6"/>
      <c r="I566" s="19"/>
      <c r="J566" s="6"/>
      <c r="K566" s="6"/>
      <c r="L566" s="19"/>
      <c r="M566" s="6"/>
      <c r="N566" s="6"/>
      <c r="O566" s="6"/>
      <c r="P566" s="6"/>
      <c r="Q566" s="6"/>
      <c r="R566" s="6"/>
      <c r="S566" s="6"/>
      <c r="T566" s="6"/>
      <c r="U566" s="6"/>
      <c r="V566" s="6"/>
      <c r="W566" s="6"/>
      <c r="X566" s="6"/>
      <c r="Y566" s="6"/>
      <c r="Z566" s="6"/>
      <c r="AA566" s="6"/>
      <c r="AB566" s="6"/>
      <c r="AC566" s="6"/>
      <c r="AD566" s="7"/>
    </row>
    <row r="567">
      <c r="A567" s="23"/>
      <c r="B567" s="23"/>
      <c r="C567" s="27"/>
      <c r="D567" s="19"/>
      <c r="E567" s="6"/>
      <c r="F567" s="6"/>
      <c r="G567" s="6"/>
      <c r="H567" s="6"/>
      <c r="I567" s="19"/>
      <c r="J567" s="6"/>
      <c r="K567" s="6"/>
      <c r="L567" s="19"/>
      <c r="M567" s="6"/>
      <c r="N567" s="6"/>
      <c r="O567" s="6"/>
      <c r="P567" s="6"/>
      <c r="Q567" s="6"/>
      <c r="R567" s="6"/>
      <c r="S567" s="6"/>
      <c r="T567" s="6"/>
      <c r="U567" s="6"/>
      <c r="V567" s="6"/>
      <c r="W567" s="6"/>
      <c r="X567" s="6"/>
      <c r="Y567" s="6"/>
      <c r="Z567" s="6"/>
      <c r="AA567" s="6"/>
      <c r="AB567" s="6"/>
      <c r="AC567" s="6"/>
      <c r="AD567" s="7"/>
    </row>
    <row r="568">
      <c r="A568" s="23"/>
      <c r="B568" s="23"/>
      <c r="C568" s="27"/>
      <c r="D568" s="19"/>
      <c r="E568" s="6"/>
      <c r="F568" s="6"/>
      <c r="G568" s="6"/>
      <c r="H568" s="6"/>
      <c r="I568" s="19"/>
      <c r="J568" s="6"/>
      <c r="K568" s="6"/>
      <c r="L568" s="19"/>
      <c r="M568" s="6"/>
      <c r="N568" s="6"/>
      <c r="O568" s="6"/>
      <c r="P568" s="6"/>
      <c r="Q568" s="6"/>
      <c r="R568" s="6"/>
      <c r="S568" s="6"/>
      <c r="T568" s="6"/>
      <c r="U568" s="6"/>
      <c r="V568" s="6"/>
      <c r="W568" s="6"/>
      <c r="X568" s="6"/>
      <c r="Y568" s="6"/>
      <c r="Z568" s="6"/>
      <c r="AA568" s="6"/>
      <c r="AB568" s="6"/>
      <c r="AC568" s="6"/>
      <c r="AD568" s="7"/>
    </row>
    <row r="569">
      <c r="A569" s="23"/>
      <c r="B569" s="23"/>
      <c r="C569" s="27"/>
      <c r="D569" s="19"/>
      <c r="E569" s="6"/>
      <c r="F569" s="6"/>
      <c r="G569" s="6"/>
      <c r="H569" s="6"/>
      <c r="I569" s="19"/>
      <c r="J569" s="6"/>
      <c r="K569" s="6"/>
      <c r="L569" s="19"/>
      <c r="M569" s="6"/>
      <c r="N569" s="6"/>
      <c r="O569" s="6"/>
      <c r="P569" s="6"/>
      <c r="Q569" s="6"/>
      <c r="R569" s="6"/>
      <c r="S569" s="6"/>
      <c r="T569" s="6"/>
      <c r="U569" s="6"/>
      <c r="V569" s="6"/>
      <c r="W569" s="6"/>
      <c r="X569" s="6"/>
      <c r="Y569" s="6"/>
      <c r="Z569" s="6"/>
      <c r="AA569" s="6"/>
      <c r="AB569" s="6"/>
      <c r="AC569" s="6"/>
      <c r="AD569" s="7"/>
    </row>
    <row r="570">
      <c r="A570" s="23"/>
      <c r="B570" s="23"/>
      <c r="C570" s="27"/>
      <c r="D570" s="19"/>
      <c r="E570" s="6"/>
      <c r="F570" s="6"/>
      <c r="G570" s="6"/>
      <c r="H570" s="6"/>
      <c r="I570" s="19"/>
      <c r="J570" s="6"/>
      <c r="K570" s="6"/>
      <c r="L570" s="19"/>
      <c r="M570" s="6"/>
      <c r="N570" s="6"/>
      <c r="O570" s="6"/>
      <c r="P570" s="6"/>
      <c r="Q570" s="6"/>
      <c r="R570" s="6"/>
      <c r="S570" s="6"/>
      <c r="T570" s="6"/>
      <c r="U570" s="6"/>
      <c r="V570" s="6"/>
      <c r="W570" s="6"/>
      <c r="X570" s="6"/>
      <c r="Y570" s="6"/>
      <c r="Z570" s="6"/>
      <c r="AA570" s="6"/>
      <c r="AB570" s="6"/>
      <c r="AC570" s="6"/>
      <c r="AD570" s="7"/>
    </row>
    <row r="571">
      <c r="A571" s="23"/>
      <c r="B571" s="23"/>
      <c r="C571" s="27"/>
      <c r="D571" s="19"/>
      <c r="E571" s="6"/>
      <c r="F571" s="6"/>
      <c r="G571" s="6"/>
      <c r="H571" s="6"/>
      <c r="I571" s="19"/>
      <c r="J571" s="6"/>
      <c r="K571" s="6"/>
      <c r="L571" s="19"/>
      <c r="M571" s="6"/>
      <c r="N571" s="6"/>
      <c r="O571" s="6"/>
      <c r="P571" s="6"/>
      <c r="Q571" s="6"/>
      <c r="R571" s="6"/>
      <c r="S571" s="6"/>
      <c r="T571" s="6"/>
      <c r="U571" s="6"/>
      <c r="V571" s="6"/>
      <c r="W571" s="6"/>
      <c r="X571" s="6"/>
      <c r="Y571" s="6"/>
      <c r="Z571" s="6"/>
      <c r="AA571" s="6"/>
      <c r="AB571" s="6"/>
      <c r="AC571" s="6"/>
      <c r="AD571" s="7"/>
    </row>
    <row r="572">
      <c r="A572" s="23"/>
      <c r="B572" s="23"/>
      <c r="C572" s="27"/>
      <c r="D572" s="19"/>
      <c r="E572" s="6"/>
      <c r="F572" s="6"/>
      <c r="G572" s="6"/>
      <c r="H572" s="6"/>
      <c r="I572" s="19"/>
      <c r="J572" s="6"/>
      <c r="K572" s="6"/>
      <c r="L572" s="19"/>
      <c r="M572" s="6"/>
      <c r="N572" s="6"/>
      <c r="O572" s="6"/>
      <c r="P572" s="6"/>
      <c r="Q572" s="6"/>
      <c r="R572" s="6"/>
      <c r="S572" s="6"/>
      <c r="T572" s="6"/>
      <c r="U572" s="6"/>
      <c r="V572" s="6"/>
      <c r="W572" s="6"/>
      <c r="X572" s="6"/>
      <c r="Y572" s="6"/>
      <c r="Z572" s="6"/>
      <c r="AA572" s="6"/>
      <c r="AB572" s="6"/>
      <c r="AC572" s="6"/>
      <c r="AD572" s="7"/>
    </row>
    <row r="573">
      <c r="A573" s="23"/>
      <c r="B573" s="23"/>
      <c r="C573" s="27"/>
      <c r="D573" s="19"/>
      <c r="E573" s="6"/>
      <c r="F573" s="6"/>
      <c r="G573" s="6"/>
      <c r="H573" s="6"/>
      <c r="I573" s="19"/>
      <c r="J573" s="6"/>
      <c r="K573" s="6"/>
      <c r="L573" s="19"/>
      <c r="M573" s="6"/>
      <c r="N573" s="6"/>
      <c r="O573" s="6"/>
      <c r="P573" s="6"/>
      <c r="Q573" s="6"/>
      <c r="R573" s="6"/>
      <c r="S573" s="6"/>
      <c r="T573" s="6"/>
      <c r="U573" s="6"/>
      <c r="V573" s="6"/>
      <c r="W573" s="6"/>
      <c r="X573" s="6"/>
      <c r="Y573" s="6"/>
      <c r="Z573" s="6"/>
      <c r="AA573" s="6"/>
      <c r="AB573" s="6"/>
      <c r="AC573" s="6"/>
      <c r="AD573" s="7"/>
    </row>
    <row r="574">
      <c r="A574" s="23"/>
      <c r="B574" s="23"/>
      <c r="C574" s="27"/>
      <c r="D574" s="19"/>
      <c r="E574" s="6"/>
      <c r="F574" s="6"/>
      <c r="G574" s="6"/>
      <c r="H574" s="6"/>
      <c r="I574" s="19"/>
      <c r="J574" s="6"/>
      <c r="K574" s="6"/>
      <c r="L574" s="19"/>
      <c r="M574" s="6"/>
      <c r="N574" s="6"/>
      <c r="O574" s="6"/>
      <c r="P574" s="6"/>
      <c r="Q574" s="6"/>
      <c r="R574" s="6"/>
      <c r="S574" s="6"/>
      <c r="T574" s="6"/>
      <c r="U574" s="6"/>
      <c r="V574" s="6"/>
      <c r="W574" s="6"/>
      <c r="X574" s="6"/>
      <c r="Y574" s="6"/>
      <c r="Z574" s="6"/>
      <c r="AA574" s="6"/>
      <c r="AB574" s="6"/>
      <c r="AC574" s="6"/>
      <c r="AD574" s="7"/>
    </row>
    <row r="575">
      <c r="A575" s="23"/>
      <c r="B575" s="23"/>
      <c r="C575" s="27"/>
      <c r="D575" s="19"/>
      <c r="E575" s="6"/>
      <c r="F575" s="6"/>
      <c r="G575" s="6"/>
      <c r="H575" s="6"/>
      <c r="I575" s="19"/>
      <c r="J575" s="6"/>
      <c r="K575" s="6"/>
      <c r="L575" s="19"/>
      <c r="M575" s="6"/>
      <c r="N575" s="6"/>
      <c r="O575" s="6"/>
      <c r="P575" s="6"/>
      <c r="Q575" s="6"/>
      <c r="R575" s="6"/>
      <c r="S575" s="6"/>
      <c r="T575" s="6"/>
      <c r="U575" s="6"/>
      <c r="V575" s="6"/>
      <c r="W575" s="6"/>
      <c r="X575" s="6"/>
      <c r="Y575" s="6"/>
      <c r="Z575" s="6"/>
      <c r="AA575" s="6"/>
      <c r="AB575" s="6"/>
      <c r="AC575" s="6"/>
      <c r="AD575" s="7"/>
    </row>
    <row r="576">
      <c r="A576" s="23"/>
      <c r="B576" s="23"/>
      <c r="C576" s="27"/>
      <c r="D576" s="19"/>
      <c r="E576" s="6"/>
      <c r="F576" s="6"/>
      <c r="G576" s="6"/>
      <c r="H576" s="6"/>
      <c r="I576" s="19"/>
      <c r="J576" s="6"/>
      <c r="K576" s="6"/>
      <c r="L576" s="19"/>
      <c r="M576" s="6"/>
      <c r="N576" s="6"/>
      <c r="O576" s="6"/>
      <c r="P576" s="6"/>
      <c r="Q576" s="6"/>
      <c r="R576" s="6"/>
      <c r="S576" s="6"/>
      <c r="T576" s="6"/>
      <c r="U576" s="6"/>
      <c r="V576" s="6"/>
      <c r="W576" s="6"/>
      <c r="X576" s="6"/>
      <c r="Y576" s="6"/>
      <c r="Z576" s="6"/>
      <c r="AA576" s="6"/>
      <c r="AB576" s="6"/>
      <c r="AC576" s="6"/>
      <c r="AD576" s="7"/>
    </row>
    <row r="577">
      <c r="A577" s="23"/>
      <c r="B577" s="23"/>
      <c r="C577" s="27"/>
      <c r="D577" s="19"/>
      <c r="E577" s="6"/>
      <c r="F577" s="6"/>
      <c r="G577" s="6"/>
      <c r="H577" s="6"/>
      <c r="I577" s="19"/>
      <c r="J577" s="6"/>
      <c r="K577" s="6"/>
      <c r="L577" s="19"/>
      <c r="M577" s="6"/>
      <c r="N577" s="6"/>
      <c r="O577" s="6"/>
      <c r="P577" s="6"/>
      <c r="Q577" s="6"/>
      <c r="R577" s="6"/>
      <c r="S577" s="6"/>
      <c r="T577" s="6"/>
      <c r="U577" s="6"/>
      <c r="V577" s="6"/>
      <c r="W577" s="6"/>
      <c r="X577" s="6"/>
      <c r="Y577" s="6"/>
      <c r="Z577" s="6"/>
      <c r="AA577" s="6"/>
      <c r="AB577" s="6"/>
      <c r="AC577" s="6"/>
      <c r="AD577" s="7"/>
    </row>
    <row r="578">
      <c r="A578" s="23"/>
      <c r="B578" s="23"/>
      <c r="C578" s="27"/>
      <c r="D578" s="19"/>
      <c r="E578" s="6"/>
      <c r="F578" s="6"/>
      <c r="G578" s="6"/>
      <c r="H578" s="6"/>
      <c r="I578" s="19"/>
      <c r="J578" s="6"/>
      <c r="K578" s="6"/>
      <c r="L578" s="19"/>
      <c r="M578" s="6"/>
      <c r="N578" s="6"/>
      <c r="O578" s="6"/>
      <c r="P578" s="6"/>
      <c r="Q578" s="6"/>
      <c r="R578" s="6"/>
      <c r="S578" s="6"/>
      <c r="T578" s="6"/>
      <c r="U578" s="6"/>
      <c r="V578" s="6"/>
      <c r="W578" s="6"/>
      <c r="X578" s="6"/>
      <c r="Y578" s="6"/>
      <c r="Z578" s="6"/>
      <c r="AA578" s="6"/>
      <c r="AB578" s="6"/>
      <c r="AC578" s="6"/>
      <c r="AD578" s="7"/>
    </row>
    <row r="579">
      <c r="A579" s="23"/>
      <c r="B579" s="23"/>
      <c r="C579" s="27"/>
      <c r="D579" s="19"/>
      <c r="E579" s="6"/>
      <c r="F579" s="6"/>
      <c r="G579" s="6"/>
      <c r="H579" s="6"/>
      <c r="I579" s="19"/>
      <c r="J579" s="6"/>
      <c r="K579" s="6"/>
      <c r="L579" s="19"/>
      <c r="M579" s="6"/>
      <c r="N579" s="6"/>
      <c r="O579" s="6"/>
      <c r="P579" s="6"/>
      <c r="Q579" s="6"/>
      <c r="R579" s="6"/>
      <c r="S579" s="6"/>
      <c r="T579" s="6"/>
      <c r="U579" s="6"/>
      <c r="V579" s="6"/>
      <c r="W579" s="6"/>
      <c r="X579" s="6"/>
      <c r="Y579" s="6"/>
      <c r="Z579" s="6"/>
      <c r="AA579" s="6"/>
      <c r="AB579" s="6"/>
      <c r="AC579" s="6"/>
      <c r="AD579" s="7"/>
    </row>
    <row r="580">
      <c r="A580" s="23"/>
      <c r="B580" s="23"/>
      <c r="C580" s="27"/>
      <c r="D580" s="19"/>
      <c r="E580" s="6"/>
      <c r="F580" s="6"/>
      <c r="G580" s="6"/>
      <c r="H580" s="6"/>
      <c r="I580" s="19"/>
      <c r="J580" s="6"/>
      <c r="K580" s="6"/>
      <c r="L580" s="19"/>
      <c r="M580" s="6"/>
      <c r="N580" s="6"/>
      <c r="O580" s="6"/>
      <c r="P580" s="6"/>
      <c r="Q580" s="6"/>
      <c r="R580" s="6"/>
      <c r="S580" s="6"/>
      <c r="T580" s="6"/>
      <c r="U580" s="6"/>
      <c r="V580" s="6"/>
      <c r="W580" s="6"/>
      <c r="X580" s="6"/>
      <c r="Y580" s="6"/>
      <c r="Z580" s="6"/>
      <c r="AA580" s="6"/>
      <c r="AB580" s="6"/>
      <c r="AC580" s="6"/>
      <c r="AD580" s="7"/>
    </row>
    <row r="581">
      <c r="A581" s="23"/>
      <c r="B581" s="23"/>
      <c r="C581" s="27"/>
      <c r="D581" s="19"/>
      <c r="E581" s="6"/>
      <c r="F581" s="6"/>
      <c r="G581" s="6"/>
      <c r="H581" s="6"/>
      <c r="I581" s="19"/>
      <c r="J581" s="6"/>
      <c r="K581" s="6"/>
      <c r="L581" s="19"/>
      <c r="M581" s="6"/>
      <c r="N581" s="6"/>
      <c r="O581" s="6"/>
      <c r="P581" s="6"/>
      <c r="Q581" s="6"/>
      <c r="R581" s="6"/>
      <c r="S581" s="6"/>
      <c r="T581" s="6"/>
      <c r="U581" s="6"/>
      <c r="V581" s="6"/>
      <c r="W581" s="6"/>
      <c r="X581" s="6"/>
      <c r="Y581" s="6"/>
      <c r="Z581" s="6"/>
      <c r="AA581" s="6"/>
      <c r="AB581" s="6"/>
      <c r="AC581" s="6"/>
      <c r="AD581" s="7"/>
    </row>
    <row r="582">
      <c r="A582" s="23"/>
      <c r="B582" s="23"/>
      <c r="C582" s="27"/>
      <c r="D582" s="19"/>
      <c r="E582" s="6"/>
      <c r="F582" s="6"/>
      <c r="G582" s="6"/>
      <c r="H582" s="6"/>
      <c r="I582" s="19"/>
      <c r="J582" s="6"/>
      <c r="K582" s="6"/>
      <c r="L582" s="19"/>
      <c r="M582" s="6"/>
      <c r="N582" s="6"/>
      <c r="O582" s="6"/>
      <c r="P582" s="6"/>
      <c r="Q582" s="6"/>
      <c r="R582" s="6"/>
      <c r="S582" s="6"/>
      <c r="T582" s="6"/>
      <c r="U582" s="6"/>
      <c r="V582" s="6"/>
      <c r="W582" s="6"/>
      <c r="X582" s="6"/>
      <c r="Y582" s="6"/>
      <c r="Z582" s="6"/>
      <c r="AA582" s="6"/>
      <c r="AB582" s="6"/>
      <c r="AC582" s="6"/>
      <c r="AD582" s="7"/>
    </row>
    <row r="583">
      <c r="A583" s="23"/>
      <c r="B583" s="23"/>
      <c r="C583" s="27"/>
      <c r="D583" s="19"/>
      <c r="E583" s="6"/>
      <c r="F583" s="6"/>
      <c r="G583" s="6"/>
      <c r="H583" s="6"/>
      <c r="I583" s="19"/>
      <c r="J583" s="6"/>
      <c r="K583" s="6"/>
      <c r="L583" s="19"/>
      <c r="M583" s="6"/>
      <c r="N583" s="6"/>
      <c r="O583" s="6"/>
      <c r="P583" s="6"/>
      <c r="Q583" s="6"/>
      <c r="R583" s="6"/>
      <c r="S583" s="6"/>
      <c r="T583" s="6"/>
      <c r="U583" s="6"/>
      <c r="V583" s="6"/>
      <c r="W583" s="6"/>
      <c r="X583" s="6"/>
      <c r="Y583" s="6"/>
      <c r="Z583" s="6"/>
      <c r="AA583" s="6"/>
      <c r="AB583" s="6"/>
      <c r="AC583" s="6"/>
      <c r="AD583" s="7"/>
    </row>
    <row r="584">
      <c r="A584" s="23"/>
      <c r="B584" s="23"/>
      <c r="C584" s="27"/>
      <c r="D584" s="19"/>
      <c r="E584" s="6"/>
      <c r="F584" s="6"/>
      <c r="G584" s="6"/>
      <c r="H584" s="6"/>
      <c r="I584" s="19"/>
      <c r="J584" s="6"/>
      <c r="K584" s="6"/>
      <c r="L584" s="19"/>
      <c r="M584" s="6"/>
      <c r="N584" s="6"/>
      <c r="O584" s="6"/>
      <c r="P584" s="6"/>
      <c r="Q584" s="6"/>
      <c r="R584" s="6"/>
      <c r="S584" s="6"/>
      <c r="T584" s="6"/>
      <c r="U584" s="6"/>
      <c r="V584" s="6"/>
      <c r="W584" s="6"/>
      <c r="X584" s="6"/>
      <c r="Y584" s="6"/>
      <c r="Z584" s="6"/>
      <c r="AA584" s="6"/>
      <c r="AB584" s="6"/>
      <c r="AC584" s="6"/>
      <c r="AD584" s="7"/>
    </row>
    <row r="585">
      <c r="A585" s="23"/>
      <c r="B585" s="23"/>
      <c r="C585" s="27"/>
      <c r="D585" s="19"/>
      <c r="E585" s="6"/>
      <c r="F585" s="6"/>
      <c r="G585" s="6"/>
      <c r="H585" s="6"/>
      <c r="I585" s="19"/>
      <c r="J585" s="6"/>
      <c r="K585" s="6"/>
      <c r="L585" s="19"/>
      <c r="M585" s="6"/>
      <c r="N585" s="6"/>
      <c r="O585" s="6"/>
      <c r="P585" s="6"/>
      <c r="Q585" s="6"/>
      <c r="R585" s="6"/>
      <c r="S585" s="6"/>
      <c r="T585" s="6"/>
      <c r="U585" s="6"/>
      <c r="V585" s="6"/>
      <c r="W585" s="6"/>
      <c r="X585" s="6"/>
      <c r="Y585" s="6"/>
      <c r="Z585" s="6"/>
      <c r="AA585" s="6"/>
      <c r="AB585" s="6"/>
      <c r="AC585" s="6"/>
      <c r="AD585" s="7"/>
    </row>
    <row r="586">
      <c r="A586" s="23"/>
      <c r="B586" s="23"/>
      <c r="C586" s="27"/>
      <c r="D586" s="19"/>
      <c r="E586" s="6"/>
      <c r="F586" s="6"/>
      <c r="G586" s="6"/>
      <c r="H586" s="6"/>
      <c r="I586" s="19"/>
      <c r="J586" s="6"/>
      <c r="K586" s="6"/>
      <c r="L586" s="19"/>
      <c r="M586" s="6"/>
      <c r="N586" s="6"/>
      <c r="O586" s="6"/>
      <c r="P586" s="6"/>
      <c r="Q586" s="6"/>
      <c r="R586" s="6"/>
      <c r="S586" s="6"/>
      <c r="T586" s="6"/>
      <c r="U586" s="6"/>
      <c r="V586" s="6"/>
      <c r="W586" s="6"/>
      <c r="X586" s="6"/>
      <c r="Y586" s="6"/>
      <c r="Z586" s="6"/>
      <c r="AA586" s="6"/>
      <c r="AB586" s="6"/>
      <c r="AC586" s="6"/>
      <c r="AD586" s="7"/>
    </row>
    <row r="587">
      <c r="A587" s="23"/>
      <c r="B587" s="23"/>
      <c r="C587" s="27"/>
      <c r="D587" s="19"/>
      <c r="E587" s="6"/>
      <c r="F587" s="6"/>
      <c r="G587" s="6"/>
      <c r="H587" s="6"/>
      <c r="I587" s="19"/>
      <c r="J587" s="6"/>
      <c r="K587" s="6"/>
      <c r="L587" s="19"/>
      <c r="M587" s="6"/>
      <c r="N587" s="6"/>
      <c r="O587" s="6"/>
      <c r="P587" s="6"/>
      <c r="Q587" s="6"/>
      <c r="R587" s="6"/>
      <c r="S587" s="6"/>
      <c r="T587" s="6"/>
      <c r="U587" s="6"/>
      <c r="V587" s="6"/>
      <c r="W587" s="6"/>
      <c r="X587" s="6"/>
      <c r="Y587" s="6"/>
      <c r="Z587" s="6"/>
      <c r="AA587" s="6"/>
      <c r="AB587" s="6"/>
      <c r="AC587" s="6"/>
      <c r="AD587" s="7"/>
    </row>
    <row r="588">
      <c r="A588" s="23"/>
      <c r="B588" s="23"/>
      <c r="C588" s="27"/>
      <c r="D588" s="19"/>
      <c r="E588" s="6"/>
      <c r="F588" s="6"/>
      <c r="G588" s="6"/>
      <c r="H588" s="6"/>
      <c r="I588" s="19"/>
      <c r="J588" s="6"/>
      <c r="K588" s="6"/>
      <c r="L588" s="19"/>
      <c r="M588" s="6"/>
      <c r="N588" s="6"/>
      <c r="O588" s="6"/>
      <c r="P588" s="6"/>
      <c r="Q588" s="6"/>
      <c r="R588" s="6"/>
      <c r="S588" s="6"/>
      <c r="T588" s="6"/>
      <c r="U588" s="6"/>
      <c r="V588" s="6"/>
      <c r="W588" s="6"/>
      <c r="X588" s="6"/>
      <c r="Y588" s="6"/>
      <c r="Z588" s="6"/>
      <c r="AA588" s="6"/>
      <c r="AB588" s="6"/>
      <c r="AC588" s="6"/>
      <c r="AD588" s="7"/>
    </row>
    <row r="589">
      <c r="A589" s="23"/>
      <c r="B589" s="23"/>
      <c r="C589" s="27"/>
      <c r="D589" s="19"/>
      <c r="E589" s="6"/>
      <c r="F589" s="6"/>
      <c r="G589" s="6"/>
      <c r="H589" s="6"/>
      <c r="I589" s="19"/>
      <c r="J589" s="6"/>
      <c r="K589" s="6"/>
      <c r="L589" s="19"/>
      <c r="M589" s="6"/>
      <c r="N589" s="6"/>
      <c r="O589" s="6"/>
      <c r="P589" s="6"/>
      <c r="Q589" s="6"/>
      <c r="R589" s="6"/>
      <c r="S589" s="6"/>
      <c r="T589" s="6"/>
      <c r="U589" s="6"/>
      <c r="V589" s="6"/>
      <c r="W589" s="6"/>
      <c r="X589" s="6"/>
      <c r="Y589" s="6"/>
      <c r="Z589" s="6"/>
      <c r="AA589" s="6"/>
      <c r="AB589" s="6"/>
      <c r="AC589" s="6"/>
      <c r="AD589" s="7"/>
    </row>
    <row r="590">
      <c r="A590" s="23"/>
      <c r="B590" s="23"/>
      <c r="C590" s="27"/>
      <c r="D590" s="19"/>
      <c r="E590" s="6"/>
      <c r="F590" s="6"/>
      <c r="G590" s="6"/>
      <c r="H590" s="6"/>
      <c r="I590" s="19"/>
      <c r="J590" s="6"/>
      <c r="K590" s="6"/>
      <c r="L590" s="19"/>
      <c r="M590" s="6"/>
      <c r="N590" s="6"/>
      <c r="O590" s="6"/>
      <c r="P590" s="6"/>
      <c r="Q590" s="6"/>
      <c r="R590" s="6"/>
      <c r="S590" s="6"/>
      <c r="T590" s="6"/>
      <c r="U590" s="6"/>
      <c r="V590" s="6"/>
      <c r="W590" s="6"/>
      <c r="X590" s="6"/>
      <c r="Y590" s="6"/>
      <c r="Z590" s="6"/>
      <c r="AA590" s="6"/>
      <c r="AB590" s="6"/>
      <c r="AC590" s="6"/>
      <c r="AD590" s="7"/>
    </row>
    <row r="591">
      <c r="A591" s="23"/>
      <c r="B591" s="23"/>
      <c r="C591" s="27"/>
      <c r="D591" s="19"/>
      <c r="E591" s="6"/>
      <c r="F591" s="6"/>
      <c r="G591" s="6"/>
      <c r="H591" s="6"/>
      <c r="I591" s="19"/>
      <c r="J591" s="6"/>
      <c r="K591" s="6"/>
      <c r="L591" s="19"/>
      <c r="M591" s="6"/>
      <c r="N591" s="6"/>
      <c r="O591" s="6"/>
      <c r="P591" s="6"/>
      <c r="Q591" s="6"/>
      <c r="R591" s="6"/>
      <c r="S591" s="6"/>
      <c r="T591" s="6"/>
      <c r="U591" s="6"/>
      <c r="V591" s="6"/>
      <c r="W591" s="6"/>
      <c r="X591" s="6"/>
      <c r="Y591" s="6"/>
      <c r="Z591" s="6"/>
      <c r="AA591" s="6"/>
      <c r="AB591" s="6"/>
      <c r="AC591" s="6"/>
      <c r="AD591" s="7"/>
    </row>
    <row r="592">
      <c r="A592" s="23"/>
      <c r="B592" s="23"/>
      <c r="C592" s="27"/>
      <c r="D592" s="19"/>
      <c r="E592" s="6"/>
      <c r="F592" s="6"/>
      <c r="G592" s="6"/>
      <c r="H592" s="6"/>
      <c r="I592" s="19"/>
      <c r="J592" s="6"/>
      <c r="K592" s="6"/>
      <c r="L592" s="19"/>
      <c r="M592" s="6"/>
      <c r="N592" s="6"/>
      <c r="O592" s="6"/>
      <c r="P592" s="6"/>
      <c r="Q592" s="6"/>
      <c r="R592" s="6"/>
      <c r="S592" s="6"/>
      <c r="T592" s="6"/>
      <c r="U592" s="6"/>
      <c r="V592" s="6"/>
      <c r="W592" s="6"/>
      <c r="X592" s="6"/>
      <c r="Y592" s="6"/>
      <c r="Z592" s="6"/>
      <c r="AA592" s="6"/>
      <c r="AB592" s="6"/>
      <c r="AC592" s="6"/>
      <c r="AD592" s="7"/>
    </row>
    <row r="593">
      <c r="A593" s="23"/>
      <c r="B593" s="23"/>
      <c r="C593" s="27"/>
      <c r="D593" s="19"/>
      <c r="E593" s="6"/>
      <c r="F593" s="6"/>
      <c r="G593" s="6"/>
      <c r="H593" s="6"/>
      <c r="I593" s="19"/>
      <c r="J593" s="6"/>
      <c r="K593" s="6"/>
      <c r="L593" s="19"/>
      <c r="M593" s="6"/>
      <c r="N593" s="6"/>
      <c r="O593" s="6"/>
      <c r="P593" s="6"/>
      <c r="Q593" s="6"/>
      <c r="R593" s="6"/>
      <c r="S593" s="6"/>
      <c r="T593" s="6"/>
      <c r="U593" s="6"/>
      <c r="V593" s="6"/>
      <c r="W593" s="6"/>
      <c r="X593" s="6"/>
      <c r="Y593" s="6"/>
      <c r="Z593" s="6"/>
      <c r="AA593" s="6"/>
      <c r="AB593" s="6"/>
      <c r="AC593" s="6"/>
      <c r="AD593" s="7"/>
    </row>
    <row r="594">
      <c r="A594" s="23"/>
      <c r="B594" s="23"/>
      <c r="C594" s="27"/>
      <c r="D594" s="19"/>
      <c r="E594" s="6"/>
      <c r="F594" s="6"/>
      <c r="G594" s="6"/>
      <c r="H594" s="6"/>
      <c r="I594" s="19"/>
      <c r="J594" s="6"/>
      <c r="K594" s="6"/>
      <c r="L594" s="19"/>
      <c r="M594" s="6"/>
      <c r="N594" s="6"/>
      <c r="O594" s="6"/>
      <c r="P594" s="6"/>
      <c r="Q594" s="6"/>
      <c r="R594" s="6"/>
      <c r="S594" s="6"/>
      <c r="T594" s="6"/>
      <c r="U594" s="6"/>
      <c r="V594" s="6"/>
      <c r="W594" s="6"/>
      <c r="X594" s="6"/>
      <c r="Y594" s="6"/>
      <c r="Z594" s="6"/>
      <c r="AA594" s="6"/>
      <c r="AB594" s="6"/>
      <c r="AC594" s="6"/>
      <c r="AD594" s="7"/>
    </row>
    <row r="595">
      <c r="A595" s="23"/>
      <c r="B595" s="23"/>
      <c r="C595" s="27"/>
      <c r="D595" s="19"/>
      <c r="E595" s="6"/>
      <c r="F595" s="6"/>
      <c r="G595" s="6"/>
      <c r="H595" s="6"/>
      <c r="I595" s="19"/>
      <c r="J595" s="6"/>
      <c r="K595" s="6"/>
      <c r="L595" s="19"/>
      <c r="M595" s="6"/>
      <c r="N595" s="6"/>
      <c r="O595" s="6"/>
      <c r="P595" s="6"/>
      <c r="Q595" s="6"/>
      <c r="R595" s="6"/>
      <c r="S595" s="6"/>
      <c r="T595" s="6"/>
      <c r="U595" s="6"/>
      <c r="V595" s="6"/>
      <c r="W595" s="6"/>
      <c r="X595" s="6"/>
      <c r="Y595" s="6"/>
      <c r="Z595" s="6"/>
      <c r="AA595" s="6"/>
      <c r="AB595" s="6"/>
      <c r="AC595" s="6"/>
      <c r="AD595" s="7"/>
    </row>
    <row r="596">
      <c r="A596" s="23"/>
      <c r="B596" s="23"/>
      <c r="C596" s="27"/>
      <c r="D596" s="19"/>
      <c r="E596" s="6"/>
      <c r="F596" s="6"/>
      <c r="G596" s="6"/>
      <c r="H596" s="6"/>
      <c r="I596" s="19"/>
      <c r="J596" s="6"/>
      <c r="K596" s="6"/>
      <c r="L596" s="19"/>
      <c r="M596" s="6"/>
      <c r="N596" s="6"/>
      <c r="O596" s="6"/>
      <c r="P596" s="6"/>
      <c r="Q596" s="6"/>
      <c r="R596" s="6"/>
      <c r="S596" s="6"/>
      <c r="T596" s="6"/>
      <c r="U596" s="6"/>
      <c r="V596" s="6"/>
      <c r="W596" s="6"/>
      <c r="X596" s="6"/>
      <c r="Y596" s="6"/>
      <c r="Z596" s="6"/>
      <c r="AA596" s="6"/>
      <c r="AB596" s="6"/>
      <c r="AC596" s="6"/>
      <c r="AD596" s="7"/>
    </row>
    <row r="597">
      <c r="A597" s="23"/>
      <c r="B597" s="23"/>
      <c r="C597" s="27"/>
      <c r="D597" s="19"/>
      <c r="E597" s="6"/>
      <c r="F597" s="6"/>
      <c r="G597" s="6"/>
      <c r="H597" s="6"/>
      <c r="I597" s="19"/>
      <c r="J597" s="6"/>
      <c r="K597" s="6"/>
      <c r="L597" s="19"/>
      <c r="M597" s="6"/>
      <c r="N597" s="6"/>
      <c r="O597" s="6"/>
      <c r="P597" s="6"/>
      <c r="Q597" s="6"/>
      <c r="R597" s="6"/>
      <c r="S597" s="6"/>
      <c r="T597" s="6"/>
      <c r="U597" s="6"/>
      <c r="V597" s="6"/>
      <c r="W597" s="6"/>
      <c r="X597" s="6"/>
      <c r="Y597" s="6"/>
      <c r="Z597" s="6"/>
      <c r="AA597" s="6"/>
      <c r="AB597" s="6"/>
      <c r="AC597" s="6"/>
      <c r="AD597" s="7"/>
    </row>
    <row r="598">
      <c r="A598" s="23"/>
      <c r="B598" s="23"/>
      <c r="C598" s="27"/>
      <c r="D598" s="19"/>
      <c r="E598" s="6"/>
      <c r="F598" s="6"/>
      <c r="G598" s="6"/>
      <c r="H598" s="6"/>
      <c r="I598" s="19"/>
      <c r="J598" s="6"/>
      <c r="K598" s="6"/>
      <c r="L598" s="19"/>
      <c r="M598" s="6"/>
      <c r="N598" s="6"/>
      <c r="O598" s="6"/>
      <c r="P598" s="6"/>
      <c r="Q598" s="6"/>
      <c r="R598" s="6"/>
      <c r="S598" s="6"/>
      <c r="T598" s="6"/>
      <c r="U598" s="6"/>
      <c r="V598" s="6"/>
      <c r="W598" s="6"/>
      <c r="X598" s="6"/>
      <c r="Y598" s="6"/>
      <c r="Z598" s="6"/>
      <c r="AA598" s="6"/>
      <c r="AB598" s="6"/>
      <c r="AC598" s="6"/>
      <c r="AD598" s="7"/>
    </row>
    <row r="599">
      <c r="A599" s="23"/>
      <c r="B599" s="23"/>
      <c r="C599" s="27"/>
      <c r="D599" s="19"/>
      <c r="E599" s="6"/>
      <c r="F599" s="6"/>
      <c r="G599" s="6"/>
      <c r="H599" s="6"/>
      <c r="I599" s="19"/>
      <c r="J599" s="6"/>
      <c r="K599" s="6"/>
      <c r="L599" s="19"/>
      <c r="M599" s="6"/>
      <c r="N599" s="6"/>
      <c r="O599" s="6"/>
      <c r="P599" s="6"/>
      <c r="Q599" s="6"/>
      <c r="R599" s="6"/>
      <c r="S599" s="6"/>
      <c r="T599" s="6"/>
      <c r="U599" s="6"/>
      <c r="V599" s="6"/>
      <c r="W599" s="6"/>
      <c r="X599" s="6"/>
      <c r="Y599" s="6"/>
      <c r="Z599" s="6"/>
      <c r="AA599" s="6"/>
      <c r="AB599" s="6"/>
      <c r="AC599" s="6"/>
      <c r="AD599" s="7"/>
    </row>
    <row r="600">
      <c r="A600" s="23"/>
      <c r="B600" s="23"/>
      <c r="C600" s="27"/>
      <c r="D600" s="19"/>
      <c r="E600" s="6"/>
      <c r="F600" s="6"/>
      <c r="G600" s="6"/>
      <c r="H600" s="6"/>
      <c r="I600" s="19"/>
      <c r="J600" s="6"/>
      <c r="K600" s="6"/>
      <c r="L600" s="19"/>
      <c r="M600" s="6"/>
      <c r="N600" s="6"/>
      <c r="O600" s="6"/>
      <c r="P600" s="6"/>
      <c r="Q600" s="6"/>
      <c r="R600" s="6"/>
      <c r="S600" s="6"/>
      <c r="T600" s="6"/>
      <c r="U600" s="6"/>
      <c r="V600" s="6"/>
      <c r="W600" s="6"/>
      <c r="X600" s="6"/>
      <c r="Y600" s="6"/>
      <c r="Z600" s="6"/>
      <c r="AA600" s="6"/>
      <c r="AB600" s="6"/>
      <c r="AC600" s="6"/>
      <c r="AD600" s="7"/>
    </row>
    <row r="601">
      <c r="A601" s="23"/>
      <c r="B601" s="23"/>
      <c r="C601" s="27"/>
      <c r="D601" s="19"/>
      <c r="E601" s="6"/>
      <c r="F601" s="6"/>
      <c r="G601" s="6"/>
      <c r="H601" s="6"/>
      <c r="I601" s="19"/>
      <c r="J601" s="6"/>
      <c r="K601" s="6"/>
      <c r="L601" s="19"/>
      <c r="M601" s="6"/>
      <c r="N601" s="6"/>
      <c r="O601" s="6"/>
      <c r="P601" s="6"/>
      <c r="Q601" s="6"/>
      <c r="R601" s="6"/>
      <c r="S601" s="6"/>
      <c r="T601" s="6"/>
      <c r="U601" s="6"/>
      <c r="V601" s="6"/>
      <c r="W601" s="6"/>
      <c r="X601" s="6"/>
      <c r="Y601" s="6"/>
      <c r="Z601" s="6"/>
      <c r="AA601" s="6"/>
      <c r="AB601" s="6"/>
      <c r="AC601" s="6"/>
      <c r="AD601" s="7"/>
    </row>
    <row r="602">
      <c r="A602" s="23"/>
      <c r="B602" s="23"/>
      <c r="C602" s="27"/>
      <c r="D602" s="19"/>
      <c r="E602" s="6"/>
      <c r="F602" s="6"/>
      <c r="G602" s="6"/>
      <c r="H602" s="6"/>
      <c r="I602" s="19"/>
      <c r="J602" s="6"/>
      <c r="K602" s="6"/>
      <c r="L602" s="19"/>
      <c r="M602" s="6"/>
      <c r="N602" s="6"/>
      <c r="O602" s="6"/>
      <c r="P602" s="6"/>
      <c r="Q602" s="6"/>
      <c r="R602" s="6"/>
      <c r="S602" s="6"/>
      <c r="T602" s="6"/>
      <c r="U602" s="6"/>
      <c r="V602" s="6"/>
      <c r="W602" s="6"/>
      <c r="X602" s="6"/>
      <c r="Y602" s="6"/>
      <c r="Z602" s="6"/>
      <c r="AA602" s="6"/>
      <c r="AB602" s="6"/>
      <c r="AC602" s="6"/>
      <c r="AD602" s="7"/>
    </row>
    <row r="603">
      <c r="A603" s="23"/>
      <c r="B603" s="23"/>
      <c r="C603" s="27"/>
      <c r="D603" s="19"/>
      <c r="E603" s="6"/>
      <c r="F603" s="6"/>
      <c r="G603" s="6"/>
      <c r="H603" s="6"/>
      <c r="I603" s="19"/>
      <c r="J603" s="6"/>
      <c r="K603" s="6"/>
      <c r="L603" s="19"/>
      <c r="M603" s="6"/>
      <c r="N603" s="6"/>
      <c r="O603" s="6"/>
      <c r="P603" s="6"/>
      <c r="Q603" s="6"/>
      <c r="R603" s="6"/>
      <c r="S603" s="6"/>
      <c r="T603" s="6"/>
      <c r="U603" s="6"/>
      <c r="V603" s="6"/>
      <c r="W603" s="6"/>
      <c r="X603" s="6"/>
      <c r="Y603" s="6"/>
      <c r="Z603" s="6"/>
      <c r="AA603" s="6"/>
      <c r="AB603" s="6"/>
      <c r="AC603" s="6"/>
      <c r="AD603" s="7"/>
    </row>
    <row r="604">
      <c r="A604" s="23"/>
      <c r="B604" s="23"/>
      <c r="C604" s="27"/>
      <c r="D604" s="19"/>
      <c r="E604" s="6"/>
      <c r="F604" s="6"/>
      <c r="G604" s="6"/>
      <c r="H604" s="6"/>
      <c r="I604" s="19"/>
      <c r="J604" s="6"/>
      <c r="K604" s="6"/>
      <c r="L604" s="19"/>
      <c r="M604" s="6"/>
      <c r="N604" s="6"/>
      <c r="O604" s="6"/>
      <c r="P604" s="6"/>
      <c r="Q604" s="6"/>
      <c r="R604" s="6"/>
      <c r="S604" s="6"/>
      <c r="T604" s="6"/>
      <c r="U604" s="6"/>
      <c r="V604" s="6"/>
      <c r="W604" s="6"/>
      <c r="X604" s="6"/>
      <c r="Y604" s="6"/>
      <c r="Z604" s="6"/>
      <c r="AA604" s="6"/>
      <c r="AB604" s="6"/>
      <c r="AC604" s="6"/>
      <c r="AD604" s="7"/>
    </row>
    <row r="605">
      <c r="A605" s="23"/>
      <c r="B605" s="23"/>
      <c r="C605" s="27"/>
      <c r="D605" s="19"/>
      <c r="E605" s="6"/>
      <c r="F605" s="6"/>
      <c r="G605" s="6"/>
      <c r="H605" s="6"/>
      <c r="I605" s="19"/>
      <c r="J605" s="6"/>
      <c r="K605" s="6"/>
      <c r="L605" s="19"/>
      <c r="M605" s="6"/>
      <c r="N605" s="6"/>
      <c r="O605" s="6"/>
      <c r="P605" s="6"/>
      <c r="Q605" s="6"/>
      <c r="R605" s="6"/>
      <c r="S605" s="6"/>
      <c r="T605" s="6"/>
      <c r="U605" s="6"/>
      <c r="V605" s="6"/>
      <c r="W605" s="6"/>
      <c r="X605" s="6"/>
      <c r="Y605" s="6"/>
      <c r="Z605" s="6"/>
      <c r="AA605" s="6"/>
      <c r="AB605" s="6"/>
      <c r="AC605" s="6"/>
      <c r="AD605" s="7"/>
    </row>
    <row r="606">
      <c r="A606" s="23"/>
      <c r="B606" s="23"/>
      <c r="C606" s="27"/>
      <c r="D606" s="19"/>
      <c r="E606" s="6"/>
      <c r="F606" s="6"/>
      <c r="G606" s="6"/>
      <c r="H606" s="6"/>
      <c r="I606" s="19"/>
      <c r="J606" s="6"/>
      <c r="K606" s="6"/>
      <c r="L606" s="19"/>
      <c r="M606" s="6"/>
      <c r="N606" s="6"/>
      <c r="O606" s="6"/>
      <c r="P606" s="6"/>
      <c r="Q606" s="6"/>
      <c r="R606" s="6"/>
      <c r="S606" s="6"/>
      <c r="T606" s="6"/>
      <c r="U606" s="6"/>
      <c r="V606" s="6"/>
      <c r="W606" s="6"/>
      <c r="X606" s="6"/>
      <c r="Y606" s="6"/>
      <c r="Z606" s="6"/>
      <c r="AA606" s="6"/>
      <c r="AB606" s="6"/>
      <c r="AC606" s="6"/>
      <c r="AD606" s="7"/>
    </row>
    <row r="607">
      <c r="A607" s="23"/>
      <c r="B607" s="23"/>
      <c r="C607" s="27"/>
      <c r="D607" s="19"/>
      <c r="E607" s="6"/>
      <c r="F607" s="6"/>
      <c r="G607" s="6"/>
      <c r="H607" s="6"/>
      <c r="I607" s="19"/>
      <c r="J607" s="6"/>
      <c r="K607" s="6"/>
      <c r="L607" s="19"/>
      <c r="M607" s="6"/>
      <c r="N607" s="6"/>
      <c r="O607" s="6"/>
      <c r="P607" s="6"/>
      <c r="Q607" s="6"/>
      <c r="R607" s="6"/>
      <c r="S607" s="6"/>
      <c r="T607" s="6"/>
      <c r="U607" s="6"/>
      <c r="V607" s="6"/>
      <c r="W607" s="6"/>
      <c r="X607" s="6"/>
      <c r="Y607" s="6"/>
      <c r="Z607" s="6"/>
      <c r="AA607" s="6"/>
      <c r="AB607" s="6"/>
      <c r="AC607" s="6"/>
      <c r="AD607" s="7"/>
    </row>
    <row r="608">
      <c r="A608" s="23"/>
      <c r="B608" s="23"/>
      <c r="C608" s="27"/>
      <c r="D608" s="19"/>
      <c r="E608" s="6"/>
      <c r="F608" s="6"/>
      <c r="G608" s="6"/>
      <c r="H608" s="6"/>
      <c r="I608" s="19"/>
      <c r="J608" s="6"/>
      <c r="K608" s="6"/>
      <c r="L608" s="19"/>
      <c r="M608" s="6"/>
      <c r="N608" s="6"/>
      <c r="O608" s="6"/>
      <c r="P608" s="6"/>
      <c r="Q608" s="6"/>
      <c r="R608" s="6"/>
      <c r="S608" s="6"/>
      <c r="T608" s="6"/>
      <c r="U608" s="6"/>
      <c r="V608" s="6"/>
      <c r="W608" s="6"/>
      <c r="X608" s="6"/>
      <c r="Y608" s="6"/>
      <c r="Z608" s="6"/>
      <c r="AA608" s="6"/>
      <c r="AB608" s="6"/>
      <c r="AC608" s="6"/>
      <c r="AD608" s="7"/>
    </row>
    <row r="609">
      <c r="A609" s="23"/>
      <c r="B609" s="23"/>
      <c r="C609" s="27"/>
      <c r="D609" s="19"/>
      <c r="E609" s="6"/>
      <c r="F609" s="6"/>
      <c r="G609" s="6"/>
      <c r="H609" s="6"/>
      <c r="I609" s="19"/>
      <c r="J609" s="6"/>
      <c r="K609" s="6"/>
      <c r="L609" s="19"/>
      <c r="M609" s="6"/>
      <c r="N609" s="6"/>
      <c r="O609" s="6"/>
      <c r="P609" s="6"/>
      <c r="Q609" s="6"/>
      <c r="R609" s="6"/>
      <c r="S609" s="6"/>
      <c r="T609" s="6"/>
      <c r="U609" s="6"/>
      <c r="V609" s="6"/>
      <c r="W609" s="6"/>
      <c r="X609" s="6"/>
      <c r="Y609" s="6"/>
      <c r="Z609" s="6"/>
      <c r="AA609" s="6"/>
      <c r="AB609" s="6"/>
      <c r="AC609" s="6"/>
      <c r="AD609" s="7"/>
    </row>
    <row r="610">
      <c r="A610" s="23"/>
      <c r="B610" s="23"/>
      <c r="C610" s="27"/>
      <c r="D610" s="19"/>
      <c r="E610" s="6"/>
      <c r="F610" s="6"/>
      <c r="G610" s="6"/>
      <c r="H610" s="6"/>
      <c r="I610" s="19"/>
      <c r="J610" s="6"/>
      <c r="K610" s="6"/>
      <c r="L610" s="19"/>
      <c r="M610" s="6"/>
      <c r="N610" s="6"/>
      <c r="O610" s="6"/>
      <c r="P610" s="6"/>
      <c r="Q610" s="6"/>
      <c r="R610" s="6"/>
      <c r="S610" s="6"/>
      <c r="T610" s="6"/>
      <c r="U610" s="6"/>
      <c r="V610" s="6"/>
      <c r="W610" s="6"/>
      <c r="X610" s="6"/>
      <c r="Y610" s="6"/>
      <c r="Z610" s="6"/>
      <c r="AA610" s="6"/>
      <c r="AB610" s="6"/>
      <c r="AC610" s="6"/>
      <c r="AD610" s="7"/>
    </row>
    <row r="611">
      <c r="A611" s="23"/>
      <c r="B611" s="23"/>
      <c r="C611" s="27"/>
      <c r="D611" s="19"/>
      <c r="E611" s="6"/>
      <c r="F611" s="6"/>
      <c r="G611" s="6"/>
      <c r="H611" s="6"/>
      <c r="I611" s="19"/>
      <c r="J611" s="6"/>
      <c r="K611" s="6"/>
      <c r="L611" s="19"/>
      <c r="M611" s="6"/>
      <c r="N611" s="6"/>
      <c r="O611" s="6"/>
      <c r="P611" s="6"/>
      <c r="Q611" s="6"/>
      <c r="R611" s="6"/>
      <c r="S611" s="6"/>
      <c r="T611" s="6"/>
      <c r="U611" s="6"/>
      <c r="V611" s="6"/>
      <c r="W611" s="6"/>
      <c r="X611" s="6"/>
      <c r="Y611" s="6"/>
      <c r="Z611" s="6"/>
      <c r="AA611" s="6"/>
      <c r="AB611" s="6"/>
      <c r="AC611" s="6"/>
      <c r="AD611" s="7"/>
    </row>
    <row r="612">
      <c r="A612" s="23"/>
      <c r="B612" s="23"/>
      <c r="C612" s="27"/>
      <c r="D612" s="19"/>
      <c r="E612" s="6"/>
      <c r="F612" s="6"/>
      <c r="G612" s="6"/>
      <c r="H612" s="6"/>
      <c r="I612" s="19"/>
      <c r="J612" s="6"/>
      <c r="K612" s="6"/>
      <c r="L612" s="19"/>
      <c r="M612" s="6"/>
      <c r="N612" s="6"/>
      <c r="O612" s="6"/>
      <c r="P612" s="6"/>
      <c r="Q612" s="6"/>
      <c r="R612" s="6"/>
      <c r="S612" s="6"/>
      <c r="T612" s="6"/>
      <c r="U612" s="6"/>
      <c r="V612" s="6"/>
      <c r="W612" s="6"/>
      <c r="X612" s="6"/>
      <c r="Y612" s="6"/>
      <c r="Z612" s="6"/>
      <c r="AA612" s="6"/>
      <c r="AB612" s="6"/>
      <c r="AC612" s="6"/>
      <c r="AD612" s="7"/>
    </row>
    <row r="613">
      <c r="A613" s="23"/>
      <c r="B613" s="23"/>
      <c r="C613" s="27"/>
      <c r="D613" s="19"/>
      <c r="E613" s="6"/>
      <c r="F613" s="6"/>
      <c r="G613" s="6"/>
      <c r="H613" s="6"/>
      <c r="I613" s="19"/>
      <c r="J613" s="6"/>
      <c r="K613" s="6"/>
      <c r="L613" s="19"/>
      <c r="M613" s="6"/>
      <c r="N613" s="6"/>
      <c r="O613" s="6"/>
      <c r="P613" s="6"/>
      <c r="Q613" s="6"/>
      <c r="R613" s="6"/>
      <c r="S613" s="6"/>
      <c r="T613" s="6"/>
      <c r="U613" s="6"/>
      <c r="V613" s="6"/>
      <c r="W613" s="6"/>
      <c r="X613" s="6"/>
      <c r="Y613" s="6"/>
      <c r="Z613" s="6"/>
      <c r="AA613" s="6"/>
      <c r="AB613" s="6"/>
      <c r="AC613" s="6"/>
      <c r="AD613" s="7"/>
    </row>
    <row r="614">
      <c r="A614" s="23"/>
      <c r="B614" s="23"/>
      <c r="C614" s="27"/>
      <c r="D614" s="19"/>
      <c r="E614" s="6"/>
      <c r="F614" s="6"/>
      <c r="G614" s="6"/>
      <c r="H614" s="6"/>
      <c r="I614" s="19"/>
      <c r="J614" s="6"/>
      <c r="K614" s="6"/>
      <c r="L614" s="19"/>
      <c r="M614" s="6"/>
      <c r="N614" s="6"/>
      <c r="O614" s="6"/>
      <c r="P614" s="6"/>
      <c r="Q614" s="6"/>
      <c r="R614" s="6"/>
      <c r="S614" s="6"/>
      <c r="T614" s="6"/>
      <c r="U614" s="6"/>
      <c r="V614" s="6"/>
      <c r="W614" s="6"/>
      <c r="X614" s="6"/>
      <c r="Y614" s="6"/>
      <c r="Z614" s="6"/>
      <c r="AA614" s="6"/>
      <c r="AB614" s="6"/>
      <c r="AC614" s="6"/>
      <c r="AD614" s="7"/>
    </row>
    <row r="615">
      <c r="A615" s="23"/>
      <c r="B615" s="23"/>
      <c r="C615" s="27"/>
      <c r="D615" s="19"/>
      <c r="E615" s="6"/>
      <c r="F615" s="6"/>
      <c r="G615" s="6"/>
      <c r="H615" s="6"/>
      <c r="I615" s="19"/>
      <c r="J615" s="6"/>
      <c r="K615" s="6"/>
      <c r="L615" s="19"/>
      <c r="M615" s="6"/>
      <c r="N615" s="6"/>
      <c r="O615" s="6"/>
      <c r="P615" s="6"/>
      <c r="Q615" s="6"/>
      <c r="R615" s="6"/>
      <c r="S615" s="6"/>
      <c r="T615" s="6"/>
      <c r="U615" s="6"/>
      <c r="V615" s="6"/>
      <c r="W615" s="6"/>
      <c r="X615" s="6"/>
      <c r="Y615" s="6"/>
      <c r="Z615" s="6"/>
      <c r="AA615" s="6"/>
      <c r="AB615" s="6"/>
      <c r="AC615" s="6"/>
      <c r="AD615" s="7"/>
    </row>
    <row r="616">
      <c r="A616" s="23"/>
      <c r="B616" s="23"/>
      <c r="C616" s="27"/>
      <c r="D616" s="19"/>
      <c r="E616" s="6"/>
      <c r="F616" s="6"/>
      <c r="G616" s="6"/>
      <c r="H616" s="6"/>
      <c r="I616" s="19"/>
      <c r="J616" s="6"/>
      <c r="K616" s="6"/>
      <c r="L616" s="19"/>
      <c r="M616" s="6"/>
      <c r="N616" s="6"/>
      <c r="O616" s="6"/>
      <c r="P616" s="6"/>
      <c r="Q616" s="6"/>
      <c r="R616" s="6"/>
      <c r="S616" s="6"/>
      <c r="T616" s="6"/>
      <c r="U616" s="6"/>
      <c r="V616" s="6"/>
      <c r="W616" s="6"/>
      <c r="X616" s="6"/>
      <c r="Y616" s="6"/>
      <c r="Z616" s="6"/>
      <c r="AA616" s="6"/>
      <c r="AB616" s="6"/>
      <c r="AC616" s="6"/>
      <c r="AD616" s="7"/>
    </row>
    <row r="617">
      <c r="A617" s="23"/>
      <c r="B617" s="23"/>
      <c r="C617" s="27"/>
      <c r="D617" s="19"/>
      <c r="E617" s="6"/>
      <c r="F617" s="6"/>
      <c r="G617" s="6"/>
      <c r="H617" s="6"/>
      <c r="I617" s="19"/>
      <c r="J617" s="6"/>
      <c r="K617" s="6"/>
      <c r="L617" s="19"/>
      <c r="M617" s="6"/>
      <c r="N617" s="6"/>
      <c r="O617" s="6"/>
      <c r="P617" s="6"/>
      <c r="Q617" s="6"/>
      <c r="R617" s="6"/>
      <c r="S617" s="6"/>
      <c r="T617" s="6"/>
      <c r="U617" s="6"/>
      <c r="V617" s="6"/>
      <c r="W617" s="6"/>
      <c r="X617" s="6"/>
      <c r="Y617" s="6"/>
      <c r="Z617" s="6"/>
      <c r="AA617" s="6"/>
      <c r="AB617" s="6"/>
      <c r="AC617" s="6"/>
      <c r="AD617" s="7"/>
    </row>
    <row r="618">
      <c r="A618" s="23"/>
      <c r="B618" s="23"/>
      <c r="C618" s="27"/>
      <c r="D618" s="19"/>
      <c r="E618" s="6"/>
      <c r="F618" s="6"/>
      <c r="G618" s="6"/>
      <c r="H618" s="6"/>
      <c r="I618" s="19"/>
      <c r="J618" s="6"/>
      <c r="K618" s="6"/>
      <c r="L618" s="19"/>
      <c r="M618" s="6"/>
      <c r="N618" s="6"/>
      <c r="O618" s="6"/>
      <c r="P618" s="6"/>
      <c r="Q618" s="6"/>
      <c r="R618" s="6"/>
      <c r="S618" s="6"/>
      <c r="T618" s="6"/>
      <c r="U618" s="6"/>
      <c r="V618" s="6"/>
      <c r="W618" s="6"/>
      <c r="X618" s="6"/>
      <c r="Y618" s="6"/>
      <c r="Z618" s="6"/>
      <c r="AA618" s="6"/>
      <c r="AB618" s="6"/>
      <c r="AC618" s="6"/>
      <c r="AD618" s="7"/>
    </row>
    <row r="619">
      <c r="A619" s="23"/>
      <c r="B619" s="23"/>
      <c r="C619" s="27"/>
      <c r="D619" s="19"/>
      <c r="E619" s="6"/>
      <c r="F619" s="6"/>
      <c r="G619" s="6"/>
      <c r="H619" s="6"/>
      <c r="I619" s="19"/>
      <c r="J619" s="6"/>
      <c r="K619" s="6"/>
      <c r="L619" s="19"/>
      <c r="M619" s="6"/>
      <c r="N619" s="6"/>
      <c r="O619" s="6"/>
      <c r="P619" s="6"/>
      <c r="Q619" s="6"/>
      <c r="R619" s="6"/>
      <c r="S619" s="6"/>
      <c r="T619" s="6"/>
      <c r="U619" s="6"/>
      <c r="V619" s="6"/>
      <c r="W619" s="6"/>
      <c r="X619" s="6"/>
      <c r="Y619" s="6"/>
      <c r="Z619" s="6"/>
      <c r="AA619" s="6"/>
      <c r="AB619" s="6"/>
      <c r="AC619" s="6"/>
      <c r="AD619" s="7"/>
    </row>
    <row r="620">
      <c r="A620" s="23"/>
      <c r="B620" s="23"/>
      <c r="C620" s="27"/>
      <c r="D620" s="19"/>
      <c r="E620" s="6"/>
      <c r="F620" s="6"/>
      <c r="G620" s="6"/>
      <c r="H620" s="6"/>
      <c r="I620" s="19"/>
      <c r="J620" s="6"/>
      <c r="K620" s="6"/>
      <c r="L620" s="19"/>
      <c r="M620" s="6"/>
      <c r="N620" s="6"/>
      <c r="O620" s="6"/>
      <c r="P620" s="6"/>
      <c r="Q620" s="6"/>
      <c r="R620" s="6"/>
      <c r="S620" s="6"/>
      <c r="T620" s="6"/>
      <c r="U620" s="6"/>
      <c r="V620" s="6"/>
      <c r="W620" s="6"/>
      <c r="X620" s="6"/>
      <c r="Y620" s="6"/>
      <c r="Z620" s="6"/>
      <c r="AA620" s="6"/>
      <c r="AB620" s="6"/>
      <c r="AC620" s="6"/>
      <c r="AD620" s="7"/>
    </row>
    <row r="621">
      <c r="A621" s="23"/>
      <c r="B621" s="23"/>
      <c r="C621" s="27"/>
      <c r="D621" s="19"/>
      <c r="E621" s="6"/>
      <c r="F621" s="6"/>
      <c r="G621" s="6"/>
      <c r="H621" s="6"/>
      <c r="I621" s="19"/>
      <c r="J621" s="6"/>
      <c r="K621" s="6"/>
      <c r="L621" s="19"/>
      <c r="M621" s="6"/>
      <c r="N621" s="6"/>
      <c r="O621" s="6"/>
      <c r="P621" s="6"/>
      <c r="Q621" s="6"/>
      <c r="R621" s="6"/>
      <c r="S621" s="6"/>
      <c r="T621" s="6"/>
      <c r="U621" s="6"/>
      <c r="V621" s="6"/>
      <c r="W621" s="6"/>
      <c r="X621" s="6"/>
      <c r="Y621" s="6"/>
      <c r="Z621" s="6"/>
      <c r="AA621" s="6"/>
      <c r="AB621" s="6"/>
      <c r="AC621" s="6"/>
      <c r="AD621" s="7"/>
    </row>
    <row r="622">
      <c r="A622" s="23"/>
      <c r="B622" s="23"/>
      <c r="C622" s="27"/>
      <c r="D622" s="19"/>
      <c r="E622" s="6"/>
      <c r="F622" s="6"/>
      <c r="G622" s="6"/>
      <c r="H622" s="6"/>
      <c r="I622" s="19"/>
      <c r="J622" s="6"/>
      <c r="K622" s="6"/>
      <c r="L622" s="19"/>
      <c r="M622" s="6"/>
      <c r="N622" s="6"/>
      <c r="O622" s="6"/>
      <c r="P622" s="6"/>
      <c r="Q622" s="6"/>
      <c r="R622" s="6"/>
      <c r="S622" s="6"/>
      <c r="T622" s="6"/>
      <c r="U622" s="6"/>
      <c r="V622" s="6"/>
      <c r="W622" s="6"/>
      <c r="X622" s="6"/>
      <c r="Y622" s="6"/>
      <c r="Z622" s="6"/>
      <c r="AA622" s="6"/>
      <c r="AB622" s="6"/>
      <c r="AC622" s="6"/>
      <c r="AD622" s="7"/>
    </row>
    <row r="623">
      <c r="A623" s="23"/>
      <c r="B623" s="23"/>
      <c r="C623" s="27"/>
      <c r="D623" s="19"/>
      <c r="E623" s="6"/>
      <c r="F623" s="6"/>
      <c r="G623" s="6"/>
      <c r="H623" s="6"/>
      <c r="I623" s="19"/>
      <c r="J623" s="6"/>
      <c r="K623" s="6"/>
      <c r="L623" s="19"/>
      <c r="M623" s="6"/>
      <c r="N623" s="6"/>
      <c r="O623" s="6"/>
      <c r="P623" s="6"/>
      <c r="Q623" s="6"/>
      <c r="R623" s="6"/>
      <c r="S623" s="6"/>
      <c r="T623" s="6"/>
      <c r="U623" s="6"/>
      <c r="V623" s="6"/>
      <c r="W623" s="6"/>
      <c r="X623" s="6"/>
      <c r="Y623" s="6"/>
      <c r="Z623" s="6"/>
      <c r="AA623" s="6"/>
      <c r="AB623" s="6"/>
      <c r="AC623" s="6"/>
      <c r="AD623" s="7"/>
    </row>
    <row r="624">
      <c r="A624" s="23"/>
      <c r="B624" s="23"/>
      <c r="C624" s="27"/>
      <c r="D624" s="19"/>
      <c r="E624" s="6"/>
      <c r="F624" s="6"/>
      <c r="G624" s="6"/>
      <c r="H624" s="6"/>
      <c r="I624" s="19"/>
      <c r="J624" s="6"/>
      <c r="K624" s="6"/>
      <c r="L624" s="19"/>
      <c r="M624" s="6"/>
      <c r="N624" s="6"/>
      <c r="O624" s="6"/>
      <c r="P624" s="6"/>
      <c r="Q624" s="6"/>
      <c r="R624" s="6"/>
      <c r="S624" s="6"/>
      <c r="T624" s="6"/>
      <c r="U624" s="6"/>
      <c r="V624" s="6"/>
      <c r="W624" s="6"/>
      <c r="X624" s="6"/>
      <c r="Y624" s="6"/>
      <c r="Z624" s="6"/>
      <c r="AA624" s="6"/>
      <c r="AB624" s="6"/>
      <c r="AC624" s="6"/>
      <c r="AD624" s="7"/>
    </row>
    <row r="625">
      <c r="A625" s="23"/>
      <c r="B625" s="23"/>
      <c r="C625" s="27"/>
      <c r="D625" s="19"/>
      <c r="E625" s="6"/>
      <c r="F625" s="6"/>
      <c r="G625" s="6"/>
      <c r="H625" s="6"/>
      <c r="I625" s="19"/>
      <c r="J625" s="6"/>
      <c r="K625" s="6"/>
      <c r="L625" s="19"/>
      <c r="M625" s="6"/>
      <c r="N625" s="6"/>
      <c r="O625" s="6"/>
      <c r="P625" s="6"/>
      <c r="Q625" s="6"/>
      <c r="R625" s="6"/>
      <c r="S625" s="6"/>
      <c r="T625" s="6"/>
      <c r="U625" s="6"/>
      <c r="V625" s="6"/>
      <c r="W625" s="6"/>
      <c r="X625" s="6"/>
      <c r="Y625" s="6"/>
      <c r="Z625" s="6"/>
      <c r="AA625" s="6"/>
      <c r="AB625" s="6"/>
      <c r="AC625" s="6"/>
      <c r="AD625" s="7"/>
    </row>
    <row r="626">
      <c r="A626" s="23"/>
      <c r="B626" s="23"/>
      <c r="C626" s="27"/>
      <c r="D626" s="19"/>
      <c r="E626" s="6"/>
      <c r="F626" s="6"/>
      <c r="G626" s="6"/>
      <c r="H626" s="6"/>
      <c r="I626" s="19"/>
      <c r="J626" s="6"/>
      <c r="K626" s="6"/>
      <c r="L626" s="19"/>
      <c r="M626" s="6"/>
      <c r="N626" s="6"/>
      <c r="O626" s="6"/>
      <c r="P626" s="6"/>
      <c r="Q626" s="6"/>
      <c r="R626" s="6"/>
      <c r="S626" s="6"/>
      <c r="T626" s="6"/>
      <c r="U626" s="6"/>
      <c r="V626" s="6"/>
      <c r="W626" s="6"/>
      <c r="X626" s="6"/>
      <c r="Y626" s="6"/>
      <c r="Z626" s="6"/>
      <c r="AA626" s="6"/>
      <c r="AB626" s="6"/>
      <c r="AC626" s="6"/>
      <c r="AD626" s="7"/>
    </row>
    <row r="627">
      <c r="A627" s="23"/>
      <c r="B627" s="23"/>
      <c r="C627" s="27"/>
      <c r="D627" s="19"/>
      <c r="E627" s="6"/>
      <c r="F627" s="6"/>
      <c r="G627" s="6"/>
      <c r="H627" s="6"/>
      <c r="I627" s="19"/>
      <c r="J627" s="6"/>
      <c r="K627" s="6"/>
      <c r="L627" s="19"/>
      <c r="M627" s="6"/>
      <c r="N627" s="6"/>
      <c r="O627" s="6"/>
      <c r="P627" s="6"/>
      <c r="Q627" s="6"/>
      <c r="R627" s="6"/>
      <c r="S627" s="6"/>
      <c r="T627" s="6"/>
      <c r="U627" s="6"/>
      <c r="V627" s="6"/>
      <c r="W627" s="6"/>
      <c r="X627" s="6"/>
      <c r="Y627" s="6"/>
      <c r="Z627" s="6"/>
      <c r="AA627" s="6"/>
      <c r="AB627" s="6"/>
      <c r="AC627" s="6"/>
      <c r="AD627" s="7"/>
    </row>
    <row r="628">
      <c r="A628" s="23"/>
      <c r="B628" s="23"/>
      <c r="C628" s="27"/>
      <c r="D628" s="19"/>
      <c r="E628" s="6"/>
      <c r="F628" s="6"/>
      <c r="G628" s="6"/>
      <c r="H628" s="6"/>
      <c r="I628" s="19"/>
      <c r="J628" s="6"/>
      <c r="K628" s="6"/>
      <c r="L628" s="19"/>
      <c r="M628" s="6"/>
      <c r="N628" s="6"/>
      <c r="O628" s="6"/>
      <c r="P628" s="6"/>
      <c r="Q628" s="6"/>
      <c r="R628" s="6"/>
      <c r="S628" s="6"/>
      <c r="T628" s="6"/>
      <c r="U628" s="6"/>
      <c r="V628" s="6"/>
      <c r="W628" s="6"/>
      <c r="X628" s="6"/>
      <c r="Y628" s="6"/>
      <c r="Z628" s="6"/>
      <c r="AA628" s="6"/>
      <c r="AB628" s="6"/>
      <c r="AC628" s="6"/>
      <c r="AD628" s="7"/>
    </row>
    <row r="629">
      <c r="A629" s="23"/>
      <c r="B629" s="23"/>
      <c r="C629" s="27"/>
      <c r="D629" s="19"/>
      <c r="E629" s="6"/>
      <c r="F629" s="6"/>
      <c r="G629" s="6"/>
      <c r="H629" s="6"/>
      <c r="I629" s="19"/>
      <c r="J629" s="6"/>
      <c r="K629" s="6"/>
      <c r="L629" s="19"/>
      <c r="M629" s="6"/>
      <c r="N629" s="6"/>
      <c r="O629" s="6"/>
      <c r="P629" s="6"/>
      <c r="Q629" s="6"/>
      <c r="R629" s="6"/>
      <c r="S629" s="6"/>
      <c r="T629" s="6"/>
      <c r="U629" s="6"/>
      <c r="V629" s="6"/>
      <c r="W629" s="6"/>
      <c r="X629" s="6"/>
      <c r="Y629" s="6"/>
      <c r="Z629" s="6"/>
      <c r="AA629" s="6"/>
      <c r="AB629" s="6"/>
      <c r="AC629" s="6"/>
      <c r="AD629" s="7"/>
    </row>
    <row r="630">
      <c r="A630" s="23"/>
      <c r="B630" s="23"/>
      <c r="C630" s="27"/>
      <c r="D630" s="19"/>
      <c r="E630" s="6"/>
      <c r="F630" s="6"/>
      <c r="G630" s="6"/>
      <c r="H630" s="6"/>
      <c r="I630" s="19"/>
      <c r="J630" s="6"/>
      <c r="K630" s="6"/>
      <c r="L630" s="19"/>
      <c r="M630" s="6"/>
      <c r="N630" s="6"/>
      <c r="O630" s="6"/>
      <c r="P630" s="6"/>
      <c r="Q630" s="6"/>
      <c r="R630" s="6"/>
      <c r="S630" s="6"/>
      <c r="T630" s="6"/>
      <c r="U630" s="6"/>
      <c r="V630" s="6"/>
      <c r="W630" s="6"/>
      <c r="X630" s="6"/>
      <c r="Y630" s="6"/>
      <c r="Z630" s="6"/>
      <c r="AA630" s="6"/>
      <c r="AB630" s="6"/>
      <c r="AC630" s="6"/>
      <c r="AD630" s="7"/>
    </row>
    <row r="631">
      <c r="A631" s="23"/>
      <c r="B631" s="23"/>
      <c r="C631" s="27"/>
      <c r="D631" s="19"/>
      <c r="E631" s="6"/>
      <c r="F631" s="6"/>
      <c r="G631" s="6"/>
      <c r="H631" s="6"/>
      <c r="I631" s="19"/>
      <c r="J631" s="6"/>
      <c r="K631" s="6"/>
      <c r="L631" s="19"/>
      <c r="M631" s="6"/>
      <c r="N631" s="6"/>
      <c r="O631" s="6"/>
      <c r="P631" s="6"/>
      <c r="Q631" s="6"/>
      <c r="R631" s="6"/>
      <c r="S631" s="6"/>
      <c r="T631" s="6"/>
      <c r="U631" s="6"/>
      <c r="V631" s="6"/>
      <c r="W631" s="6"/>
      <c r="X631" s="6"/>
      <c r="Y631" s="6"/>
      <c r="Z631" s="6"/>
      <c r="AA631" s="6"/>
      <c r="AB631" s="6"/>
      <c r="AC631" s="6"/>
      <c r="AD631" s="7"/>
    </row>
    <row r="632">
      <c r="A632" s="23"/>
      <c r="B632" s="23"/>
      <c r="C632" s="27"/>
      <c r="D632" s="19"/>
      <c r="E632" s="6"/>
      <c r="F632" s="6"/>
      <c r="G632" s="6"/>
      <c r="H632" s="6"/>
      <c r="I632" s="19"/>
      <c r="J632" s="6"/>
      <c r="K632" s="6"/>
      <c r="L632" s="19"/>
      <c r="M632" s="6"/>
      <c r="N632" s="6"/>
      <c r="O632" s="6"/>
      <c r="P632" s="6"/>
      <c r="Q632" s="6"/>
      <c r="R632" s="6"/>
      <c r="S632" s="6"/>
      <c r="T632" s="6"/>
      <c r="U632" s="6"/>
      <c r="V632" s="6"/>
      <c r="W632" s="6"/>
      <c r="X632" s="6"/>
      <c r="Y632" s="6"/>
      <c r="Z632" s="6"/>
      <c r="AA632" s="6"/>
      <c r="AB632" s="6"/>
      <c r="AC632" s="6"/>
      <c r="AD632" s="7"/>
    </row>
    <row r="633">
      <c r="A633" s="23"/>
      <c r="B633" s="23"/>
      <c r="C633" s="27"/>
      <c r="D633" s="19"/>
      <c r="E633" s="6"/>
      <c r="F633" s="6"/>
      <c r="G633" s="6"/>
      <c r="H633" s="6"/>
      <c r="I633" s="19"/>
      <c r="J633" s="6"/>
      <c r="K633" s="6"/>
      <c r="L633" s="19"/>
      <c r="M633" s="6"/>
      <c r="N633" s="6"/>
      <c r="O633" s="6"/>
      <c r="P633" s="6"/>
      <c r="Q633" s="6"/>
      <c r="R633" s="6"/>
      <c r="S633" s="6"/>
      <c r="T633" s="6"/>
      <c r="U633" s="6"/>
      <c r="V633" s="6"/>
      <c r="W633" s="6"/>
      <c r="X633" s="6"/>
      <c r="Y633" s="6"/>
      <c r="Z633" s="6"/>
      <c r="AA633" s="6"/>
      <c r="AB633" s="6"/>
      <c r="AC633" s="6"/>
      <c r="AD633" s="7"/>
    </row>
    <row r="634">
      <c r="A634" s="23"/>
      <c r="B634" s="23"/>
      <c r="C634" s="27"/>
      <c r="D634" s="19"/>
      <c r="E634" s="6"/>
      <c r="F634" s="6"/>
      <c r="G634" s="6"/>
      <c r="H634" s="6"/>
      <c r="I634" s="19"/>
      <c r="J634" s="6"/>
      <c r="K634" s="6"/>
      <c r="L634" s="19"/>
      <c r="M634" s="6"/>
      <c r="N634" s="6"/>
      <c r="O634" s="6"/>
      <c r="P634" s="6"/>
      <c r="Q634" s="6"/>
      <c r="R634" s="6"/>
      <c r="S634" s="6"/>
      <c r="T634" s="6"/>
      <c r="U634" s="6"/>
      <c r="V634" s="6"/>
      <c r="W634" s="6"/>
      <c r="X634" s="6"/>
      <c r="Y634" s="6"/>
      <c r="Z634" s="6"/>
      <c r="AA634" s="6"/>
      <c r="AB634" s="6"/>
      <c r="AC634" s="6"/>
      <c r="AD634" s="7"/>
    </row>
    <row r="635">
      <c r="A635" s="23"/>
      <c r="B635" s="23"/>
      <c r="C635" s="27"/>
      <c r="D635" s="19"/>
      <c r="E635" s="6"/>
      <c r="F635" s="6"/>
      <c r="G635" s="6"/>
      <c r="H635" s="6"/>
      <c r="I635" s="19"/>
      <c r="J635" s="6"/>
      <c r="K635" s="6"/>
      <c r="L635" s="19"/>
      <c r="M635" s="6"/>
      <c r="N635" s="6"/>
      <c r="O635" s="6"/>
      <c r="P635" s="6"/>
      <c r="Q635" s="6"/>
      <c r="R635" s="6"/>
      <c r="S635" s="6"/>
      <c r="T635" s="6"/>
      <c r="U635" s="6"/>
      <c r="V635" s="6"/>
      <c r="W635" s="6"/>
      <c r="X635" s="6"/>
      <c r="Y635" s="6"/>
      <c r="Z635" s="6"/>
      <c r="AA635" s="6"/>
      <c r="AB635" s="6"/>
      <c r="AC635" s="6"/>
      <c r="AD635" s="7"/>
    </row>
    <row r="636">
      <c r="A636" s="23"/>
      <c r="B636" s="23"/>
      <c r="C636" s="27"/>
      <c r="D636" s="19"/>
      <c r="E636" s="6"/>
      <c r="F636" s="6"/>
      <c r="G636" s="6"/>
      <c r="H636" s="6"/>
      <c r="I636" s="19"/>
      <c r="J636" s="6"/>
      <c r="K636" s="6"/>
      <c r="L636" s="19"/>
      <c r="M636" s="6"/>
      <c r="N636" s="6"/>
      <c r="O636" s="6"/>
      <c r="P636" s="6"/>
      <c r="Q636" s="6"/>
      <c r="R636" s="6"/>
      <c r="S636" s="6"/>
      <c r="T636" s="6"/>
      <c r="U636" s="6"/>
      <c r="V636" s="6"/>
      <c r="W636" s="6"/>
      <c r="X636" s="6"/>
      <c r="Y636" s="6"/>
      <c r="Z636" s="6"/>
      <c r="AA636" s="6"/>
      <c r="AB636" s="6"/>
      <c r="AC636" s="6"/>
      <c r="AD636" s="7"/>
    </row>
    <row r="637">
      <c r="A637" s="23"/>
      <c r="B637" s="23"/>
      <c r="C637" s="27"/>
      <c r="D637" s="19"/>
      <c r="E637" s="6"/>
      <c r="F637" s="6"/>
      <c r="G637" s="6"/>
      <c r="H637" s="6"/>
      <c r="I637" s="19"/>
      <c r="J637" s="6"/>
      <c r="K637" s="6"/>
      <c r="L637" s="19"/>
      <c r="M637" s="6"/>
      <c r="N637" s="6"/>
      <c r="O637" s="6"/>
      <c r="P637" s="6"/>
      <c r="Q637" s="6"/>
      <c r="R637" s="6"/>
      <c r="S637" s="6"/>
      <c r="T637" s="6"/>
      <c r="U637" s="6"/>
      <c r="V637" s="6"/>
      <c r="W637" s="6"/>
      <c r="X637" s="6"/>
      <c r="Y637" s="6"/>
      <c r="Z637" s="6"/>
      <c r="AA637" s="6"/>
      <c r="AB637" s="6"/>
      <c r="AC637" s="6"/>
      <c r="AD637" s="7"/>
    </row>
    <row r="638">
      <c r="A638" s="23"/>
      <c r="B638" s="23"/>
      <c r="C638" s="27"/>
      <c r="D638" s="19"/>
      <c r="E638" s="6"/>
      <c r="F638" s="6"/>
      <c r="G638" s="6"/>
      <c r="H638" s="6"/>
      <c r="I638" s="19"/>
      <c r="J638" s="6"/>
      <c r="K638" s="6"/>
      <c r="L638" s="19"/>
      <c r="M638" s="6"/>
      <c r="N638" s="6"/>
      <c r="O638" s="6"/>
      <c r="P638" s="6"/>
      <c r="Q638" s="6"/>
      <c r="R638" s="6"/>
      <c r="S638" s="6"/>
      <c r="T638" s="6"/>
      <c r="U638" s="6"/>
      <c r="V638" s="6"/>
      <c r="W638" s="6"/>
      <c r="X638" s="6"/>
      <c r="Y638" s="6"/>
      <c r="Z638" s="6"/>
      <c r="AA638" s="6"/>
      <c r="AB638" s="6"/>
      <c r="AC638" s="6"/>
      <c r="AD638" s="7"/>
    </row>
    <row r="639">
      <c r="A639" s="23"/>
      <c r="B639" s="23"/>
      <c r="C639" s="27"/>
      <c r="D639" s="19"/>
      <c r="E639" s="6"/>
      <c r="F639" s="6"/>
      <c r="G639" s="6"/>
      <c r="H639" s="6"/>
      <c r="I639" s="19"/>
      <c r="J639" s="6"/>
      <c r="K639" s="6"/>
      <c r="L639" s="19"/>
      <c r="M639" s="6"/>
      <c r="N639" s="6"/>
      <c r="O639" s="6"/>
      <c r="P639" s="6"/>
      <c r="Q639" s="6"/>
      <c r="R639" s="6"/>
      <c r="S639" s="6"/>
      <c r="T639" s="6"/>
      <c r="U639" s="6"/>
      <c r="V639" s="6"/>
      <c r="W639" s="6"/>
      <c r="X639" s="6"/>
      <c r="Y639" s="6"/>
      <c r="Z639" s="6"/>
      <c r="AA639" s="6"/>
      <c r="AB639" s="6"/>
      <c r="AC639" s="6"/>
      <c r="AD639" s="7"/>
    </row>
    <row r="640">
      <c r="A640" s="23"/>
      <c r="B640" s="23"/>
      <c r="C640" s="27"/>
      <c r="D640" s="19"/>
      <c r="E640" s="6"/>
      <c r="F640" s="6"/>
      <c r="G640" s="6"/>
      <c r="H640" s="6"/>
      <c r="I640" s="19"/>
      <c r="J640" s="6"/>
      <c r="K640" s="6"/>
      <c r="L640" s="19"/>
      <c r="M640" s="6"/>
      <c r="N640" s="6"/>
      <c r="O640" s="6"/>
      <c r="P640" s="6"/>
      <c r="Q640" s="6"/>
      <c r="R640" s="6"/>
      <c r="S640" s="6"/>
      <c r="T640" s="6"/>
      <c r="U640" s="6"/>
      <c r="V640" s="6"/>
      <c r="W640" s="6"/>
      <c r="X640" s="6"/>
      <c r="Y640" s="6"/>
      <c r="Z640" s="6"/>
      <c r="AA640" s="6"/>
      <c r="AB640" s="6"/>
      <c r="AC640" s="6"/>
      <c r="AD640" s="7"/>
    </row>
    <row r="641">
      <c r="A641" s="23"/>
      <c r="B641" s="23"/>
      <c r="C641" s="27"/>
      <c r="D641" s="19"/>
      <c r="E641" s="6"/>
      <c r="F641" s="6"/>
      <c r="G641" s="6"/>
      <c r="H641" s="6"/>
      <c r="I641" s="19"/>
      <c r="J641" s="6"/>
      <c r="K641" s="6"/>
      <c r="L641" s="19"/>
      <c r="M641" s="6"/>
      <c r="N641" s="6"/>
      <c r="O641" s="6"/>
      <c r="P641" s="6"/>
      <c r="Q641" s="6"/>
      <c r="R641" s="6"/>
      <c r="S641" s="6"/>
      <c r="T641" s="6"/>
      <c r="U641" s="6"/>
      <c r="V641" s="6"/>
      <c r="W641" s="6"/>
      <c r="X641" s="6"/>
      <c r="Y641" s="6"/>
      <c r="Z641" s="6"/>
      <c r="AA641" s="6"/>
      <c r="AB641" s="6"/>
      <c r="AC641" s="6"/>
      <c r="AD641" s="7"/>
    </row>
    <row r="642">
      <c r="A642" s="23"/>
      <c r="B642" s="23"/>
      <c r="C642" s="27"/>
      <c r="D642" s="19"/>
      <c r="E642" s="6"/>
      <c r="F642" s="6"/>
      <c r="G642" s="6"/>
      <c r="H642" s="6"/>
      <c r="I642" s="19"/>
      <c r="J642" s="6"/>
      <c r="K642" s="6"/>
      <c r="L642" s="19"/>
      <c r="M642" s="6"/>
      <c r="N642" s="6"/>
      <c r="O642" s="6"/>
      <c r="P642" s="6"/>
      <c r="Q642" s="6"/>
      <c r="R642" s="6"/>
      <c r="S642" s="6"/>
      <c r="T642" s="6"/>
      <c r="U642" s="6"/>
      <c r="V642" s="6"/>
      <c r="W642" s="6"/>
      <c r="X642" s="6"/>
      <c r="Y642" s="6"/>
      <c r="Z642" s="6"/>
      <c r="AA642" s="6"/>
      <c r="AB642" s="6"/>
      <c r="AC642" s="6"/>
      <c r="AD642" s="7"/>
    </row>
    <row r="643">
      <c r="A643" s="23"/>
      <c r="B643" s="23"/>
      <c r="C643" s="27"/>
      <c r="D643" s="19"/>
      <c r="E643" s="6"/>
      <c r="F643" s="6"/>
      <c r="G643" s="6"/>
      <c r="H643" s="6"/>
      <c r="I643" s="19"/>
      <c r="J643" s="6"/>
      <c r="K643" s="6"/>
      <c r="L643" s="19"/>
      <c r="M643" s="6"/>
      <c r="N643" s="6"/>
      <c r="O643" s="6"/>
      <c r="P643" s="6"/>
      <c r="Q643" s="6"/>
      <c r="R643" s="6"/>
      <c r="S643" s="6"/>
      <c r="T643" s="6"/>
      <c r="U643" s="6"/>
      <c r="V643" s="6"/>
      <c r="W643" s="6"/>
      <c r="X643" s="6"/>
      <c r="Y643" s="6"/>
      <c r="Z643" s="6"/>
      <c r="AA643" s="6"/>
      <c r="AB643" s="6"/>
      <c r="AC643" s="6"/>
      <c r="AD643" s="7"/>
    </row>
    <row r="644">
      <c r="A644" s="23"/>
      <c r="B644" s="23"/>
      <c r="C644" s="27"/>
      <c r="D644" s="19"/>
      <c r="E644" s="6"/>
      <c r="F644" s="6"/>
      <c r="G644" s="6"/>
      <c r="H644" s="6"/>
      <c r="I644" s="19"/>
      <c r="J644" s="6"/>
      <c r="K644" s="6"/>
      <c r="L644" s="19"/>
      <c r="M644" s="6"/>
      <c r="N644" s="6"/>
      <c r="O644" s="6"/>
      <c r="P644" s="6"/>
      <c r="Q644" s="6"/>
      <c r="R644" s="6"/>
      <c r="S644" s="6"/>
      <c r="T644" s="6"/>
      <c r="U644" s="6"/>
      <c r="V644" s="6"/>
      <c r="W644" s="6"/>
      <c r="X644" s="6"/>
      <c r="Y644" s="6"/>
      <c r="Z644" s="6"/>
      <c r="AA644" s="6"/>
      <c r="AB644" s="6"/>
      <c r="AC644" s="6"/>
      <c r="AD644" s="7"/>
    </row>
    <row r="645">
      <c r="A645" s="23"/>
      <c r="B645" s="23"/>
      <c r="C645" s="27"/>
      <c r="D645" s="19"/>
      <c r="E645" s="6"/>
      <c r="F645" s="6"/>
      <c r="G645" s="6"/>
      <c r="H645" s="6"/>
      <c r="I645" s="19"/>
      <c r="J645" s="6"/>
      <c r="K645" s="6"/>
      <c r="L645" s="19"/>
      <c r="M645" s="6"/>
      <c r="N645" s="6"/>
      <c r="O645" s="6"/>
      <c r="P645" s="6"/>
      <c r="Q645" s="6"/>
      <c r="R645" s="6"/>
      <c r="S645" s="6"/>
      <c r="T645" s="6"/>
      <c r="U645" s="6"/>
      <c r="V645" s="6"/>
      <c r="W645" s="6"/>
      <c r="X645" s="6"/>
      <c r="Y645" s="6"/>
      <c r="Z645" s="6"/>
      <c r="AA645" s="6"/>
      <c r="AB645" s="6"/>
      <c r="AC645" s="6"/>
      <c r="AD645" s="7"/>
    </row>
    <row r="646">
      <c r="A646" s="23"/>
      <c r="B646" s="23"/>
      <c r="C646" s="27"/>
      <c r="D646" s="19"/>
      <c r="E646" s="6"/>
      <c r="F646" s="6"/>
      <c r="G646" s="6"/>
      <c r="H646" s="6"/>
      <c r="I646" s="19"/>
      <c r="J646" s="6"/>
      <c r="K646" s="6"/>
      <c r="L646" s="19"/>
      <c r="M646" s="6"/>
      <c r="N646" s="6"/>
      <c r="O646" s="6"/>
      <c r="P646" s="6"/>
      <c r="Q646" s="6"/>
      <c r="R646" s="6"/>
      <c r="S646" s="6"/>
      <c r="T646" s="6"/>
      <c r="U646" s="6"/>
      <c r="V646" s="6"/>
      <c r="W646" s="6"/>
      <c r="X646" s="6"/>
      <c r="Y646" s="6"/>
      <c r="Z646" s="6"/>
      <c r="AA646" s="6"/>
      <c r="AB646" s="6"/>
      <c r="AC646" s="6"/>
      <c r="AD646" s="7"/>
    </row>
    <row r="647">
      <c r="A647" s="23"/>
      <c r="B647" s="23"/>
      <c r="C647" s="27"/>
      <c r="D647" s="19"/>
      <c r="E647" s="6"/>
      <c r="F647" s="6"/>
      <c r="G647" s="6"/>
      <c r="H647" s="6"/>
      <c r="I647" s="19"/>
      <c r="J647" s="6"/>
      <c r="K647" s="6"/>
      <c r="L647" s="19"/>
      <c r="M647" s="6"/>
      <c r="N647" s="6"/>
      <c r="O647" s="6"/>
      <c r="P647" s="6"/>
      <c r="Q647" s="6"/>
      <c r="R647" s="6"/>
      <c r="S647" s="6"/>
      <c r="T647" s="6"/>
      <c r="U647" s="6"/>
      <c r="V647" s="6"/>
      <c r="W647" s="6"/>
      <c r="X647" s="6"/>
      <c r="Y647" s="6"/>
      <c r="Z647" s="6"/>
      <c r="AA647" s="6"/>
      <c r="AB647" s="6"/>
      <c r="AC647" s="6"/>
      <c r="AD647" s="7"/>
    </row>
    <row r="648">
      <c r="A648" s="23"/>
      <c r="B648" s="23"/>
      <c r="C648" s="27"/>
      <c r="D648" s="19"/>
      <c r="E648" s="6"/>
      <c r="F648" s="6"/>
      <c r="G648" s="6"/>
      <c r="H648" s="6"/>
      <c r="I648" s="19"/>
      <c r="J648" s="6"/>
      <c r="K648" s="6"/>
      <c r="L648" s="19"/>
      <c r="M648" s="6"/>
      <c r="N648" s="6"/>
      <c r="O648" s="6"/>
      <c r="P648" s="6"/>
      <c r="Q648" s="6"/>
      <c r="R648" s="6"/>
      <c r="S648" s="6"/>
      <c r="T648" s="6"/>
      <c r="U648" s="6"/>
      <c r="V648" s="6"/>
      <c r="W648" s="6"/>
      <c r="X648" s="6"/>
      <c r="Y648" s="6"/>
      <c r="Z648" s="6"/>
      <c r="AA648" s="6"/>
      <c r="AB648" s="6"/>
      <c r="AC648" s="6"/>
      <c r="AD648" s="7"/>
    </row>
    <row r="649">
      <c r="A649" s="23"/>
      <c r="B649" s="23"/>
      <c r="C649" s="27"/>
      <c r="D649" s="19"/>
      <c r="E649" s="6"/>
      <c r="F649" s="6"/>
      <c r="G649" s="6"/>
      <c r="H649" s="6"/>
      <c r="I649" s="19"/>
      <c r="J649" s="6"/>
      <c r="K649" s="6"/>
      <c r="L649" s="19"/>
      <c r="M649" s="6"/>
      <c r="N649" s="6"/>
      <c r="O649" s="6"/>
      <c r="P649" s="6"/>
      <c r="Q649" s="6"/>
      <c r="R649" s="6"/>
      <c r="S649" s="6"/>
      <c r="T649" s="6"/>
      <c r="U649" s="6"/>
      <c r="V649" s="6"/>
      <c r="W649" s="6"/>
      <c r="X649" s="6"/>
      <c r="Y649" s="6"/>
      <c r="Z649" s="6"/>
      <c r="AA649" s="6"/>
      <c r="AB649" s="6"/>
      <c r="AC649" s="6"/>
      <c r="AD649" s="7"/>
    </row>
    <row r="650">
      <c r="A650" s="23"/>
      <c r="B650" s="23"/>
      <c r="C650" s="27"/>
      <c r="D650" s="19"/>
      <c r="E650" s="6"/>
      <c r="F650" s="6"/>
      <c r="G650" s="6"/>
      <c r="H650" s="6"/>
      <c r="I650" s="19"/>
      <c r="J650" s="6"/>
      <c r="K650" s="6"/>
      <c r="L650" s="19"/>
      <c r="M650" s="6"/>
      <c r="N650" s="6"/>
      <c r="O650" s="6"/>
      <c r="P650" s="6"/>
      <c r="Q650" s="6"/>
      <c r="R650" s="6"/>
      <c r="S650" s="6"/>
      <c r="T650" s="6"/>
      <c r="U650" s="6"/>
      <c r="V650" s="6"/>
      <c r="W650" s="6"/>
      <c r="X650" s="6"/>
      <c r="Y650" s="6"/>
      <c r="Z650" s="6"/>
      <c r="AA650" s="6"/>
      <c r="AB650" s="6"/>
      <c r="AC650" s="6"/>
      <c r="AD650" s="7"/>
    </row>
    <row r="651">
      <c r="A651" s="23"/>
      <c r="B651" s="23"/>
      <c r="C651" s="27"/>
      <c r="D651" s="19"/>
      <c r="E651" s="6"/>
      <c r="F651" s="6"/>
      <c r="G651" s="6"/>
      <c r="H651" s="6"/>
      <c r="I651" s="19"/>
      <c r="J651" s="6"/>
      <c r="K651" s="6"/>
      <c r="L651" s="19"/>
      <c r="M651" s="6"/>
      <c r="N651" s="6"/>
      <c r="O651" s="6"/>
      <c r="P651" s="6"/>
      <c r="Q651" s="6"/>
      <c r="R651" s="6"/>
      <c r="S651" s="6"/>
      <c r="T651" s="6"/>
      <c r="U651" s="6"/>
      <c r="V651" s="6"/>
      <c r="W651" s="6"/>
      <c r="X651" s="6"/>
      <c r="Y651" s="6"/>
      <c r="Z651" s="6"/>
      <c r="AA651" s="6"/>
      <c r="AB651" s="6"/>
      <c r="AC651" s="6"/>
      <c r="AD651" s="7"/>
    </row>
    <row r="652">
      <c r="A652" s="23"/>
      <c r="B652" s="23"/>
      <c r="C652" s="27"/>
      <c r="D652" s="19"/>
      <c r="E652" s="6"/>
      <c r="F652" s="6"/>
      <c r="G652" s="6"/>
      <c r="H652" s="6"/>
      <c r="I652" s="19"/>
      <c r="J652" s="6"/>
      <c r="K652" s="6"/>
      <c r="L652" s="19"/>
      <c r="M652" s="6"/>
      <c r="N652" s="6"/>
      <c r="O652" s="6"/>
      <c r="P652" s="6"/>
      <c r="Q652" s="6"/>
      <c r="R652" s="6"/>
      <c r="S652" s="6"/>
      <c r="T652" s="6"/>
      <c r="U652" s="6"/>
      <c r="V652" s="6"/>
      <c r="W652" s="6"/>
      <c r="X652" s="6"/>
      <c r="Y652" s="6"/>
      <c r="Z652" s="6"/>
      <c r="AA652" s="6"/>
      <c r="AB652" s="6"/>
      <c r="AC652" s="6"/>
      <c r="AD652" s="7"/>
    </row>
    <row r="653">
      <c r="A653" s="23"/>
      <c r="B653" s="23"/>
      <c r="C653" s="27"/>
      <c r="D653" s="19"/>
      <c r="E653" s="6"/>
      <c r="F653" s="6"/>
      <c r="G653" s="6"/>
      <c r="H653" s="6"/>
      <c r="I653" s="19"/>
      <c r="J653" s="6"/>
      <c r="K653" s="6"/>
      <c r="L653" s="19"/>
      <c r="M653" s="6"/>
      <c r="N653" s="6"/>
      <c r="O653" s="6"/>
      <c r="P653" s="6"/>
      <c r="Q653" s="6"/>
      <c r="R653" s="6"/>
      <c r="S653" s="6"/>
      <c r="T653" s="6"/>
      <c r="U653" s="6"/>
      <c r="V653" s="6"/>
      <c r="W653" s="6"/>
      <c r="X653" s="6"/>
      <c r="Y653" s="6"/>
      <c r="Z653" s="6"/>
      <c r="AA653" s="6"/>
      <c r="AB653" s="6"/>
      <c r="AC653" s="6"/>
      <c r="AD653" s="7"/>
    </row>
    <row r="654">
      <c r="A654" s="23"/>
      <c r="B654" s="23"/>
      <c r="C654" s="27"/>
      <c r="D654" s="19"/>
      <c r="E654" s="6"/>
      <c r="F654" s="6"/>
      <c r="G654" s="6"/>
      <c r="H654" s="6"/>
      <c r="I654" s="19"/>
      <c r="J654" s="6"/>
      <c r="K654" s="6"/>
      <c r="L654" s="19"/>
      <c r="M654" s="6"/>
      <c r="N654" s="6"/>
      <c r="O654" s="6"/>
      <c r="P654" s="6"/>
      <c r="Q654" s="6"/>
      <c r="R654" s="6"/>
      <c r="S654" s="6"/>
      <c r="T654" s="6"/>
      <c r="U654" s="6"/>
      <c r="V654" s="6"/>
      <c r="W654" s="6"/>
      <c r="X654" s="6"/>
      <c r="Y654" s="6"/>
      <c r="Z654" s="6"/>
      <c r="AA654" s="6"/>
      <c r="AB654" s="6"/>
      <c r="AC654" s="6"/>
      <c r="AD654" s="7"/>
    </row>
    <row r="655">
      <c r="A655" s="23"/>
      <c r="B655" s="23"/>
      <c r="C655" s="27"/>
      <c r="D655" s="19"/>
      <c r="E655" s="6"/>
      <c r="F655" s="6"/>
      <c r="G655" s="6"/>
      <c r="H655" s="6"/>
      <c r="I655" s="19"/>
      <c r="J655" s="6"/>
      <c r="K655" s="6"/>
      <c r="L655" s="19"/>
      <c r="M655" s="6"/>
      <c r="N655" s="6"/>
      <c r="O655" s="6"/>
      <c r="P655" s="6"/>
      <c r="Q655" s="6"/>
      <c r="R655" s="6"/>
      <c r="S655" s="6"/>
      <c r="T655" s="6"/>
      <c r="U655" s="6"/>
      <c r="V655" s="6"/>
      <c r="W655" s="6"/>
      <c r="X655" s="6"/>
      <c r="Y655" s="6"/>
      <c r="Z655" s="6"/>
      <c r="AA655" s="6"/>
      <c r="AB655" s="6"/>
      <c r="AC655" s="6"/>
      <c r="AD655" s="7"/>
    </row>
    <row r="656">
      <c r="A656" s="23"/>
      <c r="B656" s="23"/>
      <c r="C656" s="27"/>
      <c r="D656" s="19"/>
      <c r="E656" s="6"/>
      <c r="F656" s="6"/>
      <c r="G656" s="6"/>
      <c r="H656" s="6"/>
      <c r="I656" s="19"/>
      <c r="J656" s="6"/>
      <c r="K656" s="6"/>
      <c r="L656" s="19"/>
      <c r="M656" s="6"/>
      <c r="N656" s="6"/>
      <c r="O656" s="6"/>
      <c r="P656" s="6"/>
      <c r="Q656" s="6"/>
      <c r="R656" s="6"/>
      <c r="S656" s="6"/>
      <c r="T656" s="6"/>
      <c r="U656" s="6"/>
      <c r="V656" s="6"/>
      <c r="W656" s="6"/>
      <c r="X656" s="6"/>
      <c r="Y656" s="6"/>
      <c r="Z656" s="6"/>
      <c r="AA656" s="6"/>
      <c r="AB656" s="6"/>
      <c r="AC656" s="6"/>
      <c r="AD656" s="7"/>
    </row>
    <row r="657">
      <c r="A657" s="23"/>
      <c r="B657" s="23"/>
      <c r="C657" s="27"/>
      <c r="D657" s="19"/>
      <c r="E657" s="6"/>
      <c r="F657" s="6"/>
      <c r="G657" s="6"/>
      <c r="H657" s="6"/>
      <c r="I657" s="19"/>
      <c r="J657" s="6"/>
      <c r="K657" s="6"/>
      <c r="L657" s="19"/>
      <c r="M657" s="6"/>
      <c r="N657" s="6"/>
      <c r="O657" s="6"/>
      <c r="P657" s="6"/>
      <c r="Q657" s="6"/>
      <c r="R657" s="6"/>
      <c r="S657" s="6"/>
      <c r="T657" s="6"/>
      <c r="U657" s="6"/>
      <c r="V657" s="6"/>
      <c r="W657" s="6"/>
      <c r="X657" s="6"/>
      <c r="Y657" s="6"/>
      <c r="Z657" s="6"/>
      <c r="AA657" s="6"/>
      <c r="AB657" s="6"/>
      <c r="AC657" s="6"/>
      <c r="AD657" s="7"/>
    </row>
    <row r="658">
      <c r="A658" s="23"/>
      <c r="B658" s="23"/>
      <c r="C658" s="27"/>
      <c r="D658" s="19"/>
      <c r="E658" s="6"/>
      <c r="F658" s="6"/>
      <c r="G658" s="6"/>
      <c r="H658" s="6"/>
      <c r="I658" s="19"/>
      <c r="J658" s="6"/>
      <c r="K658" s="6"/>
      <c r="L658" s="19"/>
      <c r="M658" s="6"/>
      <c r="N658" s="6"/>
      <c r="O658" s="6"/>
      <c r="P658" s="6"/>
      <c r="Q658" s="6"/>
      <c r="R658" s="6"/>
      <c r="S658" s="6"/>
      <c r="T658" s="6"/>
      <c r="U658" s="6"/>
      <c r="V658" s="6"/>
      <c r="W658" s="6"/>
      <c r="X658" s="6"/>
      <c r="Y658" s="6"/>
      <c r="Z658" s="6"/>
      <c r="AA658" s="6"/>
      <c r="AB658" s="6"/>
      <c r="AC658" s="6"/>
      <c r="AD658" s="7"/>
    </row>
    <row r="659">
      <c r="A659" s="23"/>
      <c r="B659" s="23"/>
      <c r="C659" s="27"/>
      <c r="D659" s="19"/>
      <c r="E659" s="6"/>
      <c r="F659" s="6"/>
      <c r="G659" s="6"/>
      <c r="H659" s="6"/>
      <c r="I659" s="19"/>
      <c r="J659" s="6"/>
      <c r="K659" s="6"/>
      <c r="L659" s="19"/>
      <c r="M659" s="6"/>
      <c r="N659" s="6"/>
      <c r="O659" s="6"/>
      <c r="P659" s="6"/>
      <c r="Q659" s="6"/>
      <c r="R659" s="6"/>
      <c r="S659" s="6"/>
      <c r="T659" s="6"/>
      <c r="U659" s="6"/>
      <c r="V659" s="6"/>
      <c r="W659" s="6"/>
      <c r="X659" s="6"/>
      <c r="Y659" s="6"/>
      <c r="Z659" s="6"/>
      <c r="AA659" s="6"/>
      <c r="AB659" s="6"/>
      <c r="AC659" s="6"/>
      <c r="AD659" s="7"/>
    </row>
    <row r="660">
      <c r="A660" s="23"/>
      <c r="B660" s="23"/>
      <c r="C660" s="27"/>
      <c r="D660" s="19"/>
      <c r="E660" s="6"/>
      <c r="F660" s="6"/>
      <c r="G660" s="6"/>
      <c r="H660" s="6"/>
      <c r="I660" s="19"/>
      <c r="J660" s="6"/>
      <c r="K660" s="6"/>
      <c r="L660" s="19"/>
      <c r="M660" s="6"/>
      <c r="N660" s="6"/>
      <c r="O660" s="6"/>
      <c r="P660" s="6"/>
      <c r="Q660" s="6"/>
      <c r="R660" s="6"/>
      <c r="S660" s="6"/>
      <c r="T660" s="6"/>
      <c r="U660" s="6"/>
      <c r="V660" s="6"/>
      <c r="W660" s="6"/>
      <c r="X660" s="6"/>
      <c r="Y660" s="6"/>
      <c r="Z660" s="6"/>
      <c r="AA660" s="6"/>
      <c r="AB660" s="6"/>
      <c r="AC660" s="6"/>
      <c r="AD660" s="7"/>
    </row>
    <row r="661">
      <c r="A661" s="23"/>
      <c r="B661" s="23"/>
      <c r="C661" s="27"/>
      <c r="D661" s="19"/>
      <c r="E661" s="6"/>
      <c r="F661" s="6"/>
      <c r="G661" s="6"/>
      <c r="H661" s="6"/>
      <c r="I661" s="19"/>
      <c r="J661" s="6"/>
      <c r="K661" s="6"/>
      <c r="L661" s="19"/>
      <c r="M661" s="6"/>
      <c r="N661" s="6"/>
      <c r="O661" s="6"/>
      <c r="P661" s="6"/>
      <c r="Q661" s="6"/>
      <c r="R661" s="6"/>
      <c r="S661" s="6"/>
      <c r="T661" s="6"/>
      <c r="U661" s="6"/>
      <c r="V661" s="6"/>
      <c r="W661" s="6"/>
      <c r="X661" s="6"/>
      <c r="Y661" s="6"/>
      <c r="Z661" s="6"/>
      <c r="AA661" s="6"/>
      <c r="AB661" s="6"/>
      <c r="AC661" s="6"/>
      <c r="AD661" s="7"/>
    </row>
    <row r="662">
      <c r="A662" s="23"/>
      <c r="B662" s="23"/>
      <c r="C662" s="27"/>
      <c r="D662" s="19"/>
      <c r="E662" s="6"/>
      <c r="F662" s="6"/>
      <c r="G662" s="6"/>
      <c r="H662" s="6"/>
      <c r="I662" s="19"/>
      <c r="J662" s="6"/>
      <c r="K662" s="6"/>
      <c r="L662" s="19"/>
      <c r="M662" s="6"/>
      <c r="N662" s="6"/>
      <c r="O662" s="6"/>
      <c r="P662" s="6"/>
      <c r="Q662" s="6"/>
      <c r="R662" s="6"/>
      <c r="S662" s="6"/>
      <c r="T662" s="6"/>
      <c r="U662" s="6"/>
      <c r="V662" s="6"/>
      <c r="W662" s="6"/>
      <c r="X662" s="6"/>
      <c r="Y662" s="6"/>
      <c r="Z662" s="6"/>
      <c r="AA662" s="6"/>
      <c r="AB662" s="6"/>
      <c r="AC662" s="6"/>
      <c r="AD662" s="7"/>
    </row>
    <row r="663">
      <c r="A663" s="23"/>
      <c r="B663" s="23"/>
      <c r="C663" s="27"/>
      <c r="D663" s="19"/>
      <c r="E663" s="6"/>
      <c r="F663" s="6"/>
      <c r="G663" s="6"/>
      <c r="H663" s="6"/>
      <c r="I663" s="19"/>
      <c r="J663" s="6"/>
      <c r="K663" s="6"/>
      <c r="L663" s="19"/>
      <c r="M663" s="6"/>
      <c r="N663" s="6"/>
      <c r="O663" s="6"/>
      <c r="P663" s="6"/>
      <c r="Q663" s="6"/>
      <c r="R663" s="6"/>
      <c r="S663" s="6"/>
      <c r="T663" s="6"/>
      <c r="U663" s="6"/>
      <c r="V663" s="6"/>
      <c r="W663" s="6"/>
      <c r="X663" s="6"/>
      <c r="Y663" s="6"/>
      <c r="Z663" s="6"/>
      <c r="AA663" s="6"/>
      <c r="AB663" s="6"/>
      <c r="AC663" s="6"/>
      <c r="AD663" s="7"/>
    </row>
    <row r="664">
      <c r="A664" s="23"/>
      <c r="B664" s="23"/>
      <c r="C664" s="27"/>
      <c r="D664" s="19"/>
      <c r="E664" s="6"/>
      <c r="F664" s="6"/>
      <c r="G664" s="6"/>
      <c r="H664" s="6"/>
      <c r="I664" s="19"/>
      <c r="J664" s="6"/>
      <c r="K664" s="6"/>
      <c r="L664" s="19"/>
      <c r="M664" s="6"/>
      <c r="N664" s="6"/>
      <c r="O664" s="6"/>
      <c r="P664" s="6"/>
      <c r="Q664" s="6"/>
      <c r="R664" s="6"/>
      <c r="S664" s="6"/>
      <c r="T664" s="6"/>
      <c r="U664" s="6"/>
      <c r="V664" s="6"/>
      <c r="W664" s="6"/>
      <c r="X664" s="6"/>
      <c r="Y664" s="6"/>
      <c r="Z664" s="6"/>
      <c r="AA664" s="6"/>
      <c r="AB664" s="6"/>
      <c r="AC664" s="6"/>
      <c r="AD664" s="7"/>
    </row>
    <row r="665">
      <c r="A665" s="23"/>
      <c r="B665" s="23"/>
      <c r="C665" s="27"/>
      <c r="D665" s="19"/>
      <c r="E665" s="6"/>
      <c r="F665" s="6"/>
      <c r="G665" s="6"/>
      <c r="H665" s="6"/>
      <c r="I665" s="19"/>
      <c r="J665" s="6"/>
      <c r="K665" s="6"/>
      <c r="L665" s="19"/>
      <c r="M665" s="6"/>
      <c r="N665" s="6"/>
      <c r="O665" s="6"/>
      <c r="P665" s="6"/>
      <c r="Q665" s="6"/>
      <c r="R665" s="6"/>
      <c r="S665" s="6"/>
      <c r="T665" s="6"/>
      <c r="U665" s="6"/>
      <c r="V665" s="6"/>
      <c r="W665" s="6"/>
      <c r="X665" s="6"/>
      <c r="Y665" s="6"/>
      <c r="Z665" s="6"/>
      <c r="AA665" s="6"/>
      <c r="AB665" s="6"/>
      <c r="AC665" s="6"/>
      <c r="AD665" s="7"/>
    </row>
    <row r="666">
      <c r="A666" s="23"/>
      <c r="B666" s="23"/>
      <c r="C666" s="27"/>
      <c r="D666" s="19"/>
      <c r="E666" s="6"/>
      <c r="F666" s="6"/>
      <c r="G666" s="6"/>
      <c r="H666" s="6"/>
      <c r="I666" s="19"/>
      <c r="J666" s="6"/>
      <c r="K666" s="6"/>
      <c r="L666" s="19"/>
      <c r="M666" s="6"/>
      <c r="N666" s="6"/>
      <c r="O666" s="6"/>
      <c r="P666" s="6"/>
      <c r="Q666" s="6"/>
      <c r="R666" s="6"/>
      <c r="S666" s="6"/>
      <c r="T666" s="6"/>
      <c r="U666" s="6"/>
      <c r="V666" s="6"/>
      <c r="W666" s="6"/>
      <c r="X666" s="6"/>
      <c r="Y666" s="6"/>
      <c r="Z666" s="6"/>
      <c r="AA666" s="6"/>
      <c r="AB666" s="6"/>
      <c r="AC666" s="6"/>
      <c r="AD666" s="7"/>
    </row>
    <row r="667">
      <c r="A667" s="23"/>
      <c r="B667" s="23"/>
      <c r="C667" s="27"/>
      <c r="D667" s="19"/>
      <c r="E667" s="6"/>
      <c r="F667" s="6"/>
      <c r="G667" s="6"/>
      <c r="H667" s="6"/>
      <c r="I667" s="19"/>
      <c r="J667" s="6"/>
      <c r="K667" s="6"/>
      <c r="L667" s="19"/>
      <c r="M667" s="6"/>
      <c r="N667" s="6"/>
      <c r="O667" s="6"/>
      <c r="P667" s="6"/>
      <c r="Q667" s="6"/>
      <c r="R667" s="6"/>
      <c r="S667" s="6"/>
      <c r="T667" s="6"/>
      <c r="U667" s="6"/>
      <c r="V667" s="6"/>
      <c r="W667" s="6"/>
      <c r="X667" s="6"/>
      <c r="Y667" s="6"/>
      <c r="Z667" s="6"/>
      <c r="AA667" s="6"/>
      <c r="AB667" s="6"/>
      <c r="AC667" s="6"/>
      <c r="AD667" s="7"/>
    </row>
    <row r="668">
      <c r="A668" s="23"/>
      <c r="B668" s="23"/>
      <c r="C668" s="27"/>
      <c r="D668" s="19"/>
      <c r="E668" s="6"/>
      <c r="F668" s="6"/>
      <c r="G668" s="6"/>
      <c r="H668" s="6"/>
      <c r="I668" s="19"/>
      <c r="J668" s="6"/>
      <c r="K668" s="6"/>
      <c r="L668" s="19"/>
      <c r="M668" s="6"/>
      <c r="N668" s="6"/>
      <c r="O668" s="6"/>
      <c r="P668" s="6"/>
      <c r="Q668" s="6"/>
      <c r="R668" s="6"/>
      <c r="S668" s="6"/>
      <c r="T668" s="6"/>
      <c r="U668" s="6"/>
      <c r="V668" s="6"/>
      <c r="W668" s="6"/>
      <c r="X668" s="6"/>
      <c r="Y668" s="6"/>
      <c r="Z668" s="6"/>
      <c r="AA668" s="6"/>
      <c r="AB668" s="6"/>
      <c r="AC668" s="6"/>
      <c r="AD668" s="7"/>
    </row>
    <row r="669">
      <c r="A669" s="23"/>
      <c r="B669" s="23"/>
      <c r="C669" s="27"/>
      <c r="D669" s="19"/>
      <c r="E669" s="6"/>
      <c r="F669" s="6"/>
      <c r="G669" s="6"/>
      <c r="H669" s="6"/>
      <c r="I669" s="19"/>
      <c r="J669" s="6"/>
      <c r="K669" s="6"/>
      <c r="L669" s="19"/>
      <c r="M669" s="6"/>
      <c r="N669" s="6"/>
      <c r="O669" s="6"/>
      <c r="P669" s="6"/>
      <c r="Q669" s="6"/>
      <c r="R669" s="6"/>
      <c r="S669" s="6"/>
      <c r="T669" s="6"/>
      <c r="U669" s="6"/>
      <c r="V669" s="6"/>
      <c r="W669" s="6"/>
      <c r="X669" s="6"/>
      <c r="Y669" s="6"/>
      <c r="Z669" s="6"/>
      <c r="AA669" s="6"/>
      <c r="AB669" s="6"/>
      <c r="AC669" s="6"/>
      <c r="AD669" s="7"/>
    </row>
    <row r="670">
      <c r="A670" s="23"/>
      <c r="B670" s="23"/>
      <c r="C670" s="27"/>
      <c r="D670" s="19"/>
      <c r="E670" s="6"/>
      <c r="F670" s="6"/>
      <c r="G670" s="6"/>
      <c r="H670" s="6"/>
      <c r="I670" s="19"/>
      <c r="J670" s="6"/>
      <c r="K670" s="6"/>
      <c r="L670" s="19"/>
      <c r="M670" s="6"/>
      <c r="N670" s="6"/>
      <c r="O670" s="6"/>
      <c r="P670" s="6"/>
      <c r="Q670" s="6"/>
      <c r="R670" s="6"/>
      <c r="S670" s="6"/>
      <c r="T670" s="6"/>
      <c r="U670" s="6"/>
      <c r="V670" s="6"/>
      <c r="W670" s="6"/>
      <c r="X670" s="6"/>
      <c r="Y670" s="6"/>
      <c r="Z670" s="6"/>
      <c r="AA670" s="6"/>
      <c r="AB670" s="6"/>
      <c r="AC670" s="6"/>
      <c r="AD670" s="7"/>
    </row>
    <row r="671">
      <c r="A671" s="23"/>
      <c r="B671" s="23"/>
      <c r="C671" s="27"/>
      <c r="D671" s="19"/>
      <c r="E671" s="6"/>
      <c r="F671" s="6"/>
      <c r="G671" s="6"/>
      <c r="H671" s="6"/>
      <c r="I671" s="19"/>
      <c r="J671" s="6"/>
      <c r="K671" s="6"/>
      <c r="L671" s="19"/>
      <c r="M671" s="6"/>
      <c r="N671" s="6"/>
      <c r="O671" s="6"/>
      <c r="P671" s="6"/>
      <c r="Q671" s="6"/>
      <c r="R671" s="6"/>
      <c r="S671" s="6"/>
      <c r="T671" s="6"/>
      <c r="U671" s="6"/>
      <c r="V671" s="6"/>
      <c r="W671" s="6"/>
      <c r="X671" s="6"/>
      <c r="Y671" s="6"/>
      <c r="Z671" s="6"/>
      <c r="AA671" s="6"/>
      <c r="AB671" s="6"/>
      <c r="AC671" s="6"/>
      <c r="AD671" s="7"/>
    </row>
    <row r="672">
      <c r="A672" s="23"/>
      <c r="B672" s="23"/>
      <c r="C672" s="27"/>
      <c r="D672" s="19"/>
      <c r="E672" s="6"/>
      <c r="F672" s="6"/>
      <c r="G672" s="6"/>
      <c r="H672" s="6"/>
      <c r="I672" s="19"/>
      <c r="J672" s="6"/>
      <c r="K672" s="6"/>
      <c r="L672" s="19"/>
      <c r="M672" s="6"/>
      <c r="N672" s="6"/>
      <c r="O672" s="6"/>
      <c r="P672" s="6"/>
      <c r="Q672" s="6"/>
      <c r="R672" s="6"/>
      <c r="S672" s="6"/>
      <c r="T672" s="6"/>
      <c r="U672" s="6"/>
      <c r="V672" s="6"/>
      <c r="W672" s="6"/>
      <c r="X672" s="6"/>
      <c r="Y672" s="6"/>
      <c r="Z672" s="6"/>
      <c r="AA672" s="6"/>
      <c r="AB672" s="6"/>
      <c r="AC672" s="6"/>
      <c r="AD672" s="7"/>
    </row>
    <row r="673">
      <c r="A673" s="23"/>
      <c r="B673" s="23"/>
      <c r="C673" s="27"/>
      <c r="D673" s="19"/>
      <c r="E673" s="6"/>
      <c r="F673" s="6"/>
      <c r="G673" s="6"/>
      <c r="H673" s="6"/>
      <c r="I673" s="19"/>
      <c r="J673" s="6"/>
      <c r="K673" s="6"/>
      <c r="L673" s="19"/>
      <c r="M673" s="6"/>
      <c r="N673" s="6"/>
      <c r="O673" s="6"/>
      <c r="P673" s="6"/>
      <c r="Q673" s="6"/>
      <c r="R673" s="6"/>
      <c r="S673" s="6"/>
      <c r="T673" s="6"/>
      <c r="U673" s="6"/>
      <c r="V673" s="6"/>
      <c r="W673" s="6"/>
      <c r="X673" s="6"/>
      <c r="Y673" s="6"/>
      <c r="Z673" s="6"/>
      <c r="AA673" s="6"/>
      <c r="AB673" s="6"/>
      <c r="AC673" s="6"/>
      <c r="AD673" s="7"/>
    </row>
    <row r="674">
      <c r="A674" s="23"/>
      <c r="B674" s="23"/>
      <c r="C674" s="27"/>
      <c r="D674" s="19"/>
      <c r="E674" s="6"/>
      <c r="F674" s="6"/>
      <c r="G674" s="6"/>
      <c r="H674" s="6"/>
      <c r="I674" s="19"/>
      <c r="J674" s="6"/>
      <c r="K674" s="6"/>
      <c r="L674" s="19"/>
      <c r="M674" s="6"/>
      <c r="N674" s="6"/>
      <c r="O674" s="6"/>
      <c r="P674" s="6"/>
      <c r="Q674" s="6"/>
      <c r="R674" s="6"/>
      <c r="S674" s="6"/>
      <c r="T674" s="6"/>
      <c r="U674" s="6"/>
      <c r="V674" s="6"/>
      <c r="W674" s="6"/>
      <c r="X674" s="6"/>
      <c r="Y674" s="6"/>
      <c r="Z674" s="6"/>
      <c r="AA674" s="6"/>
      <c r="AB674" s="6"/>
      <c r="AC674" s="6"/>
      <c r="AD674" s="7"/>
    </row>
    <row r="675">
      <c r="A675" s="23"/>
      <c r="B675" s="23"/>
      <c r="C675" s="27"/>
      <c r="D675" s="19"/>
      <c r="E675" s="6"/>
      <c r="F675" s="6"/>
      <c r="G675" s="6"/>
      <c r="H675" s="6"/>
      <c r="I675" s="19"/>
      <c r="J675" s="6"/>
      <c r="K675" s="6"/>
      <c r="L675" s="19"/>
      <c r="M675" s="6"/>
      <c r="N675" s="6"/>
      <c r="O675" s="6"/>
      <c r="P675" s="6"/>
      <c r="Q675" s="6"/>
      <c r="R675" s="6"/>
      <c r="S675" s="6"/>
      <c r="T675" s="6"/>
      <c r="U675" s="6"/>
      <c r="V675" s="6"/>
      <c r="W675" s="6"/>
      <c r="X675" s="6"/>
      <c r="Y675" s="6"/>
      <c r="Z675" s="6"/>
      <c r="AA675" s="6"/>
      <c r="AB675" s="6"/>
      <c r="AC675" s="6"/>
      <c r="AD675" s="7"/>
    </row>
    <row r="676">
      <c r="A676" s="23"/>
      <c r="B676" s="23"/>
      <c r="C676" s="27"/>
      <c r="D676" s="19"/>
      <c r="E676" s="6"/>
      <c r="F676" s="6"/>
      <c r="G676" s="6"/>
      <c r="H676" s="6"/>
      <c r="I676" s="19"/>
      <c r="J676" s="6"/>
      <c r="K676" s="6"/>
      <c r="L676" s="19"/>
      <c r="M676" s="6"/>
      <c r="N676" s="6"/>
      <c r="O676" s="6"/>
      <c r="P676" s="6"/>
      <c r="Q676" s="6"/>
      <c r="R676" s="6"/>
      <c r="S676" s="6"/>
      <c r="T676" s="6"/>
      <c r="U676" s="6"/>
      <c r="V676" s="6"/>
      <c r="W676" s="6"/>
      <c r="X676" s="6"/>
      <c r="Y676" s="6"/>
      <c r="Z676" s="6"/>
      <c r="AA676" s="6"/>
      <c r="AB676" s="6"/>
      <c r="AC676" s="6"/>
      <c r="AD676" s="7"/>
    </row>
    <row r="677">
      <c r="A677" s="23"/>
      <c r="B677" s="23"/>
      <c r="C677" s="27"/>
      <c r="D677" s="19"/>
      <c r="E677" s="6"/>
      <c r="F677" s="6"/>
      <c r="G677" s="6"/>
      <c r="H677" s="6"/>
      <c r="I677" s="19"/>
      <c r="J677" s="6"/>
      <c r="K677" s="6"/>
      <c r="L677" s="19"/>
      <c r="M677" s="6"/>
      <c r="N677" s="6"/>
      <c r="O677" s="6"/>
      <c r="P677" s="6"/>
      <c r="Q677" s="6"/>
      <c r="R677" s="6"/>
      <c r="S677" s="6"/>
      <c r="T677" s="6"/>
      <c r="U677" s="6"/>
      <c r="V677" s="6"/>
      <c r="W677" s="6"/>
      <c r="X677" s="6"/>
      <c r="Y677" s="6"/>
      <c r="Z677" s="6"/>
      <c r="AA677" s="6"/>
      <c r="AB677" s="6"/>
      <c r="AC677" s="6"/>
      <c r="AD677" s="7"/>
    </row>
    <row r="678">
      <c r="A678" s="23"/>
      <c r="B678" s="23"/>
      <c r="C678" s="27"/>
      <c r="D678" s="19"/>
      <c r="E678" s="6"/>
      <c r="F678" s="6"/>
      <c r="G678" s="6"/>
      <c r="H678" s="6"/>
      <c r="I678" s="19"/>
      <c r="J678" s="6"/>
      <c r="K678" s="6"/>
      <c r="L678" s="19"/>
      <c r="M678" s="6"/>
      <c r="N678" s="6"/>
      <c r="O678" s="6"/>
      <c r="P678" s="6"/>
      <c r="Q678" s="6"/>
      <c r="R678" s="6"/>
      <c r="S678" s="6"/>
      <c r="T678" s="6"/>
      <c r="U678" s="6"/>
      <c r="V678" s="6"/>
      <c r="W678" s="6"/>
      <c r="X678" s="6"/>
      <c r="Y678" s="6"/>
      <c r="Z678" s="6"/>
      <c r="AA678" s="6"/>
      <c r="AB678" s="6"/>
      <c r="AC678" s="6"/>
      <c r="AD678" s="7"/>
    </row>
    <row r="679">
      <c r="A679" s="23"/>
      <c r="B679" s="23"/>
      <c r="C679" s="27"/>
      <c r="D679" s="19"/>
      <c r="E679" s="6"/>
      <c r="F679" s="6"/>
      <c r="G679" s="6"/>
      <c r="H679" s="6"/>
      <c r="I679" s="19"/>
      <c r="J679" s="6"/>
      <c r="K679" s="6"/>
      <c r="L679" s="19"/>
      <c r="M679" s="6"/>
      <c r="N679" s="6"/>
      <c r="O679" s="6"/>
      <c r="P679" s="6"/>
      <c r="Q679" s="6"/>
      <c r="R679" s="6"/>
      <c r="S679" s="6"/>
      <c r="T679" s="6"/>
      <c r="U679" s="6"/>
      <c r="V679" s="6"/>
      <c r="W679" s="6"/>
      <c r="X679" s="6"/>
      <c r="Y679" s="6"/>
      <c r="Z679" s="6"/>
      <c r="AA679" s="6"/>
      <c r="AB679" s="6"/>
      <c r="AC679" s="6"/>
      <c r="AD679" s="7"/>
    </row>
    <row r="680">
      <c r="A680" s="23"/>
      <c r="B680" s="23"/>
      <c r="C680" s="27"/>
      <c r="D680" s="19"/>
      <c r="E680" s="6"/>
      <c r="F680" s="6"/>
      <c r="G680" s="6"/>
      <c r="H680" s="6"/>
      <c r="I680" s="19"/>
      <c r="J680" s="6"/>
      <c r="K680" s="6"/>
      <c r="L680" s="19"/>
      <c r="M680" s="6"/>
      <c r="N680" s="6"/>
      <c r="O680" s="6"/>
      <c r="P680" s="6"/>
      <c r="Q680" s="6"/>
      <c r="R680" s="6"/>
      <c r="S680" s="6"/>
      <c r="T680" s="6"/>
      <c r="U680" s="6"/>
      <c r="V680" s="6"/>
      <c r="W680" s="6"/>
      <c r="X680" s="6"/>
      <c r="Y680" s="6"/>
      <c r="Z680" s="6"/>
      <c r="AA680" s="6"/>
      <c r="AB680" s="6"/>
      <c r="AC680" s="6"/>
      <c r="AD680" s="7"/>
    </row>
    <row r="681">
      <c r="A681" s="23"/>
      <c r="B681" s="23"/>
      <c r="C681" s="27"/>
      <c r="D681" s="19"/>
      <c r="E681" s="6"/>
      <c r="F681" s="6"/>
      <c r="G681" s="6"/>
      <c r="H681" s="6"/>
      <c r="I681" s="19"/>
      <c r="J681" s="6"/>
      <c r="K681" s="6"/>
      <c r="L681" s="19"/>
      <c r="M681" s="6"/>
      <c r="N681" s="6"/>
      <c r="O681" s="6"/>
      <c r="P681" s="6"/>
      <c r="Q681" s="6"/>
      <c r="R681" s="6"/>
      <c r="S681" s="6"/>
      <c r="T681" s="6"/>
      <c r="U681" s="6"/>
      <c r="V681" s="6"/>
      <c r="W681" s="6"/>
      <c r="X681" s="6"/>
      <c r="Y681" s="6"/>
      <c r="Z681" s="6"/>
      <c r="AA681" s="6"/>
      <c r="AB681" s="6"/>
      <c r="AC681" s="6"/>
      <c r="AD681" s="7"/>
    </row>
    <row r="682">
      <c r="A682" s="23"/>
      <c r="B682" s="23"/>
      <c r="C682" s="27"/>
      <c r="D682" s="19"/>
      <c r="E682" s="6"/>
      <c r="F682" s="6"/>
      <c r="G682" s="6"/>
      <c r="H682" s="6"/>
      <c r="I682" s="19"/>
      <c r="J682" s="6"/>
      <c r="K682" s="6"/>
      <c r="L682" s="19"/>
      <c r="M682" s="6"/>
      <c r="N682" s="6"/>
      <c r="O682" s="6"/>
      <c r="P682" s="6"/>
      <c r="Q682" s="6"/>
      <c r="R682" s="6"/>
      <c r="S682" s="6"/>
      <c r="T682" s="6"/>
      <c r="U682" s="6"/>
      <c r="V682" s="6"/>
      <c r="W682" s="6"/>
      <c r="X682" s="6"/>
      <c r="Y682" s="6"/>
      <c r="Z682" s="6"/>
      <c r="AA682" s="6"/>
      <c r="AB682" s="6"/>
      <c r="AC682" s="6"/>
      <c r="AD682" s="7"/>
    </row>
    <row r="683">
      <c r="A683" s="23"/>
      <c r="B683" s="23"/>
      <c r="C683" s="27"/>
      <c r="D683" s="19"/>
      <c r="E683" s="6"/>
      <c r="F683" s="6"/>
      <c r="G683" s="6"/>
      <c r="H683" s="6"/>
      <c r="I683" s="19"/>
      <c r="J683" s="6"/>
      <c r="K683" s="6"/>
      <c r="L683" s="19"/>
      <c r="M683" s="6"/>
      <c r="N683" s="6"/>
      <c r="O683" s="6"/>
      <c r="P683" s="6"/>
      <c r="Q683" s="6"/>
      <c r="R683" s="6"/>
      <c r="S683" s="6"/>
      <c r="T683" s="6"/>
      <c r="U683" s="6"/>
      <c r="V683" s="6"/>
      <c r="W683" s="6"/>
      <c r="X683" s="6"/>
      <c r="Y683" s="6"/>
      <c r="Z683" s="6"/>
      <c r="AA683" s="6"/>
      <c r="AB683" s="6"/>
      <c r="AC683" s="6"/>
      <c r="AD683" s="7"/>
    </row>
    <row r="684">
      <c r="A684" s="23"/>
      <c r="B684" s="23"/>
      <c r="C684" s="27"/>
      <c r="D684" s="19"/>
      <c r="E684" s="6"/>
      <c r="F684" s="6"/>
      <c r="G684" s="6"/>
      <c r="H684" s="6"/>
      <c r="I684" s="19"/>
      <c r="J684" s="6"/>
      <c r="K684" s="6"/>
      <c r="L684" s="19"/>
      <c r="M684" s="6"/>
      <c r="N684" s="6"/>
      <c r="O684" s="6"/>
      <c r="P684" s="6"/>
      <c r="Q684" s="6"/>
      <c r="R684" s="6"/>
      <c r="S684" s="6"/>
      <c r="T684" s="6"/>
      <c r="U684" s="6"/>
      <c r="V684" s="6"/>
      <c r="W684" s="6"/>
      <c r="X684" s="6"/>
      <c r="Y684" s="6"/>
      <c r="Z684" s="6"/>
      <c r="AA684" s="6"/>
      <c r="AB684" s="6"/>
      <c r="AC684" s="6"/>
      <c r="AD684" s="7"/>
    </row>
    <row r="685">
      <c r="A685" s="23"/>
      <c r="B685" s="23"/>
      <c r="C685" s="27"/>
      <c r="D685" s="19"/>
      <c r="E685" s="6"/>
      <c r="F685" s="6"/>
      <c r="G685" s="6"/>
      <c r="H685" s="6"/>
      <c r="I685" s="19"/>
      <c r="J685" s="6"/>
      <c r="K685" s="6"/>
      <c r="L685" s="19"/>
      <c r="M685" s="6"/>
      <c r="N685" s="6"/>
      <c r="O685" s="6"/>
      <c r="P685" s="6"/>
      <c r="Q685" s="6"/>
      <c r="R685" s="6"/>
      <c r="S685" s="6"/>
      <c r="T685" s="6"/>
      <c r="U685" s="6"/>
      <c r="V685" s="6"/>
      <c r="W685" s="6"/>
      <c r="X685" s="6"/>
      <c r="Y685" s="6"/>
      <c r="Z685" s="6"/>
      <c r="AA685" s="6"/>
      <c r="AB685" s="6"/>
      <c r="AC685" s="6"/>
      <c r="AD685" s="7"/>
    </row>
    <row r="686">
      <c r="A686" s="23"/>
      <c r="B686" s="23"/>
      <c r="C686" s="27"/>
      <c r="D686" s="19"/>
      <c r="E686" s="6"/>
      <c r="F686" s="6"/>
      <c r="G686" s="6"/>
      <c r="H686" s="6"/>
      <c r="I686" s="19"/>
      <c r="J686" s="6"/>
      <c r="K686" s="6"/>
      <c r="L686" s="19"/>
      <c r="M686" s="6"/>
      <c r="N686" s="6"/>
      <c r="O686" s="6"/>
      <c r="P686" s="6"/>
      <c r="Q686" s="6"/>
      <c r="R686" s="6"/>
      <c r="S686" s="6"/>
      <c r="T686" s="6"/>
      <c r="U686" s="6"/>
      <c r="V686" s="6"/>
      <c r="W686" s="6"/>
      <c r="X686" s="6"/>
      <c r="Y686" s="6"/>
      <c r="Z686" s="6"/>
      <c r="AA686" s="6"/>
      <c r="AB686" s="6"/>
      <c r="AC686" s="6"/>
      <c r="AD686" s="7"/>
    </row>
    <row r="687">
      <c r="A687" s="23"/>
      <c r="B687" s="23"/>
      <c r="C687" s="27"/>
      <c r="D687" s="19"/>
      <c r="E687" s="6"/>
      <c r="F687" s="6"/>
      <c r="G687" s="6"/>
      <c r="H687" s="6"/>
      <c r="I687" s="19"/>
      <c r="J687" s="6"/>
      <c r="K687" s="6"/>
      <c r="L687" s="19"/>
      <c r="M687" s="6"/>
      <c r="N687" s="6"/>
      <c r="O687" s="6"/>
      <c r="P687" s="6"/>
      <c r="Q687" s="6"/>
      <c r="R687" s="6"/>
      <c r="S687" s="6"/>
      <c r="T687" s="6"/>
      <c r="U687" s="6"/>
      <c r="V687" s="6"/>
      <c r="W687" s="6"/>
      <c r="X687" s="6"/>
      <c r="Y687" s="6"/>
      <c r="Z687" s="6"/>
      <c r="AA687" s="6"/>
      <c r="AB687" s="6"/>
      <c r="AC687" s="6"/>
      <c r="AD687" s="7"/>
    </row>
    <row r="688">
      <c r="A688" s="23"/>
      <c r="B688" s="23"/>
      <c r="C688" s="27"/>
      <c r="D688" s="19"/>
      <c r="E688" s="6"/>
      <c r="F688" s="6"/>
      <c r="G688" s="6"/>
      <c r="H688" s="6"/>
      <c r="I688" s="19"/>
      <c r="J688" s="6"/>
      <c r="K688" s="6"/>
      <c r="L688" s="19"/>
      <c r="M688" s="6"/>
      <c r="N688" s="6"/>
      <c r="O688" s="6"/>
      <c r="P688" s="6"/>
      <c r="Q688" s="6"/>
      <c r="R688" s="6"/>
      <c r="S688" s="6"/>
      <c r="T688" s="6"/>
      <c r="U688" s="6"/>
      <c r="V688" s="6"/>
      <c r="W688" s="6"/>
      <c r="X688" s="6"/>
      <c r="Y688" s="6"/>
      <c r="Z688" s="6"/>
      <c r="AA688" s="6"/>
      <c r="AB688" s="6"/>
      <c r="AC688" s="6"/>
      <c r="AD688" s="7"/>
    </row>
    <row r="689">
      <c r="A689" s="23"/>
      <c r="B689" s="23"/>
      <c r="C689" s="27"/>
      <c r="D689" s="19"/>
      <c r="E689" s="6"/>
      <c r="F689" s="6"/>
      <c r="G689" s="6"/>
      <c r="H689" s="6"/>
      <c r="I689" s="19"/>
      <c r="J689" s="6"/>
      <c r="K689" s="6"/>
      <c r="L689" s="19"/>
      <c r="M689" s="6"/>
      <c r="N689" s="6"/>
      <c r="O689" s="6"/>
      <c r="P689" s="6"/>
      <c r="Q689" s="6"/>
      <c r="R689" s="6"/>
      <c r="S689" s="6"/>
      <c r="T689" s="6"/>
      <c r="U689" s="6"/>
      <c r="V689" s="6"/>
      <c r="W689" s="6"/>
      <c r="X689" s="6"/>
      <c r="Y689" s="6"/>
      <c r="Z689" s="6"/>
      <c r="AA689" s="6"/>
      <c r="AB689" s="6"/>
      <c r="AC689" s="6"/>
      <c r="AD689" s="7"/>
    </row>
    <row r="690">
      <c r="A690" s="23"/>
      <c r="B690" s="23"/>
      <c r="C690" s="27"/>
      <c r="D690" s="19"/>
      <c r="E690" s="6"/>
      <c r="F690" s="6"/>
      <c r="G690" s="6"/>
      <c r="H690" s="6"/>
      <c r="I690" s="19"/>
      <c r="J690" s="6"/>
      <c r="K690" s="6"/>
      <c r="L690" s="19"/>
      <c r="M690" s="6"/>
      <c r="N690" s="6"/>
      <c r="O690" s="6"/>
      <c r="P690" s="6"/>
      <c r="Q690" s="6"/>
      <c r="R690" s="6"/>
      <c r="S690" s="6"/>
      <c r="T690" s="6"/>
      <c r="U690" s="6"/>
      <c r="V690" s="6"/>
      <c r="W690" s="6"/>
      <c r="X690" s="6"/>
      <c r="Y690" s="6"/>
      <c r="Z690" s="6"/>
      <c r="AA690" s="6"/>
      <c r="AB690" s="6"/>
      <c r="AC690" s="6"/>
      <c r="AD690" s="7"/>
    </row>
    <row r="691">
      <c r="A691" s="23"/>
      <c r="B691" s="23"/>
      <c r="C691" s="27"/>
      <c r="D691" s="19"/>
      <c r="E691" s="6"/>
      <c r="F691" s="6"/>
      <c r="G691" s="6"/>
      <c r="H691" s="6"/>
      <c r="I691" s="19"/>
      <c r="J691" s="6"/>
      <c r="K691" s="6"/>
      <c r="L691" s="19"/>
      <c r="M691" s="6"/>
      <c r="N691" s="6"/>
      <c r="O691" s="6"/>
      <c r="P691" s="6"/>
      <c r="Q691" s="6"/>
      <c r="R691" s="6"/>
      <c r="S691" s="6"/>
      <c r="T691" s="6"/>
      <c r="U691" s="6"/>
      <c r="V691" s="6"/>
      <c r="W691" s="6"/>
      <c r="X691" s="6"/>
      <c r="Y691" s="6"/>
      <c r="Z691" s="6"/>
      <c r="AA691" s="6"/>
      <c r="AB691" s="6"/>
      <c r="AC691" s="6"/>
      <c r="AD691" s="7"/>
    </row>
    <row r="692">
      <c r="A692" s="23"/>
      <c r="B692" s="23"/>
      <c r="C692" s="27"/>
      <c r="D692" s="19"/>
      <c r="E692" s="6"/>
      <c r="F692" s="6"/>
      <c r="G692" s="6"/>
      <c r="H692" s="6"/>
      <c r="I692" s="19"/>
      <c r="J692" s="6"/>
      <c r="K692" s="6"/>
      <c r="L692" s="19"/>
      <c r="M692" s="6"/>
      <c r="N692" s="6"/>
      <c r="O692" s="6"/>
      <c r="P692" s="6"/>
      <c r="Q692" s="6"/>
      <c r="R692" s="6"/>
      <c r="S692" s="6"/>
      <c r="T692" s="6"/>
      <c r="U692" s="6"/>
      <c r="V692" s="6"/>
      <c r="W692" s="6"/>
      <c r="X692" s="6"/>
      <c r="Y692" s="6"/>
      <c r="Z692" s="6"/>
      <c r="AA692" s="6"/>
      <c r="AB692" s="6"/>
      <c r="AC692" s="6"/>
      <c r="AD692" s="7"/>
    </row>
    <row r="693">
      <c r="A693" s="23"/>
      <c r="B693" s="23"/>
      <c r="C693" s="27"/>
      <c r="D693" s="19"/>
      <c r="E693" s="6"/>
      <c r="F693" s="6"/>
      <c r="G693" s="6"/>
      <c r="H693" s="6"/>
      <c r="I693" s="19"/>
      <c r="J693" s="6"/>
      <c r="K693" s="6"/>
      <c r="L693" s="19"/>
      <c r="M693" s="6"/>
      <c r="N693" s="6"/>
      <c r="O693" s="6"/>
      <c r="P693" s="6"/>
      <c r="Q693" s="6"/>
      <c r="R693" s="6"/>
      <c r="S693" s="6"/>
      <c r="T693" s="6"/>
      <c r="U693" s="6"/>
      <c r="V693" s="6"/>
      <c r="W693" s="6"/>
      <c r="X693" s="6"/>
      <c r="Y693" s="6"/>
      <c r="Z693" s="6"/>
      <c r="AA693" s="6"/>
      <c r="AB693" s="6"/>
      <c r="AC693" s="6"/>
      <c r="AD693" s="7"/>
    </row>
    <row r="694">
      <c r="A694" s="23"/>
      <c r="B694" s="23"/>
      <c r="C694" s="27"/>
      <c r="D694" s="19"/>
      <c r="E694" s="6"/>
      <c r="F694" s="6"/>
      <c r="G694" s="6"/>
      <c r="H694" s="6"/>
      <c r="I694" s="19"/>
      <c r="J694" s="6"/>
      <c r="K694" s="6"/>
      <c r="L694" s="19"/>
      <c r="M694" s="6"/>
      <c r="N694" s="6"/>
      <c r="O694" s="6"/>
      <c r="P694" s="6"/>
      <c r="Q694" s="6"/>
      <c r="R694" s="6"/>
      <c r="S694" s="6"/>
      <c r="T694" s="6"/>
      <c r="U694" s="6"/>
      <c r="V694" s="6"/>
      <c r="W694" s="6"/>
      <c r="X694" s="6"/>
      <c r="Y694" s="6"/>
      <c r="Z694" s="6"/>
      <c r="AA694" s="6"/>
      <c r="AB694" s="6"/>
      <c r="AC694" s="6"/>
      <c r="AD694" s="7"/>
    </row>
    <row r="695">
      <c r="A695" s="23"/>
      <c r="B695" s="23"/>
      <c r="C695" s="27"/>
      <c r="D695" s="19"/>
      <c r="E695" s="6"/>
      <c r="F695" s="6"/>
      <c r="G695" s="6"/>
      <c r="H695" s="6"/>
      <c r="I695" s="19"/>
      <c r="J695" s="6"/>
      <c r="K695" s="6"/>
      <c r="L695" s="19"/>
      <c r="M695" s="6"/>
      <c r="N695" s="6"/>
      <c r="O695" s="6"/>
      <c r="P695" s="6"/>
      <c r="Q695" s="6"/>
      <c r="R695" s="6"/>
      <c r="S695" s="6"/>
      <c r="T695" s="6"/>
      <c r="U695" s="6"/>
      <c r="V695" s="6"/>
      <c r="W695" s="6"/>
      <c r="X695" s="6"/>
      <c r="Y695" s="6"/>
      <c r="Z695" s="6"/>
      <c r="AA695" s="6"/>
      <c r="AB695" s="6"/>
      <c r="AC695" s="6"/>
      <c r="AD695" s="7"/>
    </row>
    <row r="696">
      <c r="A696" s="23"/>
      <c r="B696" s="23"/>
      <c r="C696" s="27"/>
      <c r="D696" s="19"/>
      <c r="E696" s="6"/>
      <c r="F696" s="6"/>
      <c r="G696" s="6"/>
      <c r="H696" s="6"/>
      <c r="I696" s="19"/>
      <c r="J696" s="6"/>
      <c r="K696" s="6"/>
      <c r="L696" s="19"/>
      <c r="M696" s="6"/>
      <c r="N696" s="6"/>
      <c r="O696" s="6"/>
      <c r="P696" s="6"/>
      <c r="Q696" s="6"/>
      <c r="R696" s="6"/>
      <c r="S696" s="6"/>
      <c r="T696" s="6"/>
      <c r="U696" s="6"/>
      <c r="V696" s="6"/>
      <c r="W696" s="6"/>
      <c r="X696" s="6"/>
      <c r="Y696" s="6"/>
      <c r="Z696" s="6"/>
      <c r="AA696" s="6"/>
      <c r="AB696" s="6"/>
      <c r="AC696" s="6"/>
      <c r="AD696" s="7"/>
    </row>
    <row r="697">
      <c r="A697" s="23"/>
      <c r="B697" s="23"/>
      <c r="C697" s="27"/>
      <c r="D697" s="19"/>
      <c r="E697" s="6"/>
      <c r="F697" s="6"/>
      <c r="G697" s="6"/>
      <c r="H697" s="6"/>
      <c r="I697" s="19"/>
      <c r="J697" s="6"/>
      <c r="K697" s="6"/>
      <c r="L697" s="19"/>
      <c r="M697" s="6"/>
      <c r="N697" s="6"/>
      <c r="O697" s="6"/>
      <c r="P697" s="6"/>
      <c r="Q697" s="6"/>
      <c r="R697" s="6"/>
      <c r="S697" s="6"/>
      <c r="T697" s="6"/>
      <c r="U697" s="6"/>
      <c r="V697" s="6"/>
      <c r="W697" s="6"/>
      <c r="X697" s="6"/>
      <c r="Y697" s="6"/>
      <c r="Z697" s="6"/>
      <c r="AA697" s="6"/>
      <c r="AB697" s="6"/>
      <c r="AC697" s="6"/>
      <c r="AD697" s="7"/>
    </row>
    <row r="698">
      <c r="A698" s="23"/>
      <c r="B698" s="23"/>
      <c r="C698" s="27"/>
      <c r="D698" s="19"/>
      <c r="E698" s="6"/>
      <c r="F698" s="6"/>
      <c r="G698" s="6"/>
      <c r="H698" s="6"/>
      <c r="I698" s="19"/>
      <c r="J698" s="6"/>
      <c r="K698" s="6"/>
      <c r="L698" s="19"/>
      <c r="M698" s="6"/>
      <c r="N698" s="6"/>
      <c r="O698" s="6"/>
      <c r="P698" s="6"/>
      <c r="Q698" s="6"/>
      <c r="R698" s="6"/>
      <c r="S698" s="6"/>
      <c r="T698" s="6"/>
      <c r="U698" s="6"/>
      <c r="V698" s="6"/>
      <c r="W698" s="6"/>
      <c r="X698" s="6"/>
      <c r="Y698" s="6"/>
      <c r="Z698" s="6"/>
      <c r="AA698" s="6"/>
      <c r="AB698" s="6"/>
      <c r="AC698" s="6"/>
      <c r="AD698" s="7"/>
    </row>
    <row r="699">
      <c r="A699" s="23"/>
      <c r="B699" s="23"/>
      <c r="C699" s="27"/>
      <c r="D699" s="19"/>
      <c r="E699" s="6"/>
      <c r="F699" s="6"/>
      <c r="G699" s="6"/>
      <c r="H699" s="6"/>
      <c r="I699" s="19"/>
      <c r="J699" s="6"/>
      <c r="K699" s="6"/>
      <c r="L699" s="19"/>
      <c r="M699" s="6"/>
      <c r="N699" s="6"/>
      <c r="O699" s="6"/>
      <c r="P699" s="6"/>
      <c r="Q699" s="6"/>
      <c r="R699" s="6"/>
      <c r="S699" s="6"/>
      <c r="T699" s="6"/>
      <c r="U699" s="6"/>
      <c r="V699" s="6"/>
      <c r="W699" s="6"/>
      <c r="X699" s="6"/>
      <c r="Y699" s="6"/>
      <c r="Z699" s="6"/>
      <c r="AA699" s="6"/>
      <c r="AB699" s="6"/>
      <c r="AC699" s="6"/>
      <c r="AD699" s="7"/>
    </row>
    <row r="700">
      <c r="A700" s="23"/>
      <c r="B700" s="23"/>
      <c r="C700" s="27"/>
      <c r="D700" s="19"/>
      <c r="E700" s="6"/>
      <c r="F700" s="6"/>
      <c r="G700" s="6"/>
      <c r="H700" s="6"/>
      <c r="I700" s="19"/>
      <c r="J700" s="6"/>
      <c r="K700" s="6"/>
      <c r="L700" s="19"/>
      <c r="M700" s="6"/>
      <c r="N700" s="6"/>
      <c r="O700" s="6"/>
      <c r="P700" s="6"/>
      <c r="Q700" s="6"/>
      <c r="R700" s="6"/>
      <c r="S700" s="6"/>
      <c r="T700" s="6"/>
      <c r="U700" s="6"/>
      <c r="V700" s="6"/>
      <c r="W700" s="6"/>
      <c r="X700" s="6"/>
      <c r="Y700" s="6"/>
      <c r="Z700" s="6"/>
      <c r="AA700" s="6"/>
      <c r="AB700" s="6"/>
      <c r="AC700" s="6"/>
      <c r="AD700" s="7"/>
    </row>
    <row r="701">
      <c r="A701" s="23"/>
      <c r="B701" s="23"/>
      <c r="C701" s="27"/>
      <c r="D701" s="19"/>
      <c r="E701" s="6"/>
      <c r="F701" s="6"/>
      <c r="G701" s="6"/>
      <c r="H701" s="6"/>
      <c r="I701" s="19"/>
      <c r="J701" s="6"/>
      <c r="K701" s="6"/>
      <c r="L701" s="19"/>
      <c r="M701" s="6"/>
      <c r="N701" s="6"/>
      <c r="O701" s="6"/>
      <c r="P701" s="6"/>
      <c r="Q701" s="6"/>
      <c r="R701" s="6"/>
      <c r="S701" s="6"/>
      <c r="T701" s="6"/>
      <c r="U701" s="6"/>
      <c r="V701" s="6"/>
      <c r="W701" s="6"/>
      <c r="X701" s="6"/>
      <c r="Y701" s="6"/>
      <c r="Z701" s="6"/>
      <c r="AA701" s="6"/>
      <c r="AB701" s="6"/>
      <c r="AC701" s="6"/>
      <c r="AD701" s="7"/>
    </row>
    <row r="702">
      <c r="A702" s="23"/>
      <c r="B702" s="23"/>
      <c r="C702" s="27"/>
      <c r="D702" s="19"/>
      <c r="E702" s="6"/>
      <c r="F702" s="6"/>
      <c r="G702" s="6"/>
      <c r="H702" s="6"/>
      <c r="I702" s="19"/>
      <c r="J702" s="6"/>
      <c r="K702" s="6"/>
      <c r="L702" s="19"/>
      <c r="M702" s="6"/>
      <c r="N702" s="6"/>
      <c r="O702" s="6"/>
      <c r="P702" s="6"/>
      <c r="Q702" s="6"/>
      <c r="R702" s="6"/>
      <c r="S702" s="6"/>
      <c r="T702" s="6"/>
      <c r="U702" s="6"/>
      <c r="V702" s="6"/>
      <c r="W702" s="6"/>
      <c r="X702" s="6"/>
      <c r="Y702" s="6"/>
      <c r="Z702" s="6"/>
      <c r="AA702" s="6"/>
      <c r="AB702" s="6"/>
      <c r="AC702" s="6"/>
      <c r="AD702" s="7"/>
    </row>
    <row r="703">
      <c r="A703" s="23"/>
      <c r="B703" s="23"/>
      <c r="C703" s="27"/>
      <c r="D703" s="19"/>
      <c r="E703" s="6"/>
      <c r="F703" s="6"/>
      <c r="G703" s="6"/>
      <c r="H703" s="6"/>
      <c r="I703" s="19"/>
      <c r="J703" s="6"/>
      <c r="K703" s="6"/>
      <c r="L703" s="19"/>
      <c r="M703" s="6"/>
      <c r="N703" s="6"/>
      <c r="O703" s="6"/>
      <c r="P703" s="6"/>
      <c r="Q703" s="6"/>
      <c r="R703" s="6"/>
      <c r="S703" s="6"/>
      <c r="T703" s="6"/>
      <c r="U703" s="6"/>
      <c r="V703" s="6"/>
      <c r="W703" s="6"/>
      <c r="X703" s="6"/>
      <c r="Y703" s="6"/>
      <c r="Z703" s="6"/>
      <c r="AA703" s="6"/>
      <c r="AB703" s="6"/>
      <c r="AC703" s="6"/>
      <c r="AD703" s="7"/>
    </row>
    <row r="704">
      <c r="A704" s="23"/>
      <c r="B704" s="23"/>
      <c r="C704" s="27"/>
      <c r="D704" s="19"/>
      <c r="E704" s="6"/>
      <c r="F704" s="6"/>
      <c r="G704" s="6"/>
      <c r="H704" s="6"/>
      <c r="I704" s="19"/>
      <c r="J704" s="6"/>
      <c r="K704" s="6"/>
      <c r="L704" s="19"/>
      <c r="M704" s="6"/>
      <c r="N704" s="6"/>
      <c r="O704" s="6"/>
      <c r="P704" s="6"/>
      <c r="Q704" s="6"/>
      <c r="R704" s="6"/>
      <c r="S704" s="6"/>
      <c r="T704" s="6"/>
      <c r="U704" s="6"/>
      <c r="V704" s="6"/>
      <c r="W704" s="6"/>
      <c r="X704" s="6"/>
      <c r="Y704" s="6"/>
      <c r="Z704" s="6"/>
      <c r="AA704" s="6"/>
      <c r="AB704" s="6"/>
      <c r="AC704" s="6"/>
      <c r="AD704" s="7"/>
    </row>
    <row r="705">
      <c r="A705" s="23"/>
      <c r="B705" s="23"/>
      <c r="C705" s="27"/>
      <c r="D705" s="19"/>
      <c r="E705" s="6"/>
      <c r="F705" s="6"/>
      <c r="G705" s="6"/>
      <c r="H705" s="6"/>
      <c r="I705" s="19"/>
      <c r="J705" s="6"/>
      <c r="K705" s="6"/>
      <c r="L705" s="19"/>
      <c r="M705" s="6"/>
      <c r="N705" s="6"/>
      <c r="O705" s="6"/>
      <c r="P705" s="6"/>
      <c r="Q705" s="6"/>
      <c r="R705" s="6"/>
      <c r="S705" s="6"/>
      <c r="T705" s="6"/>
      <c r="U705" s="6"/>
      <c r="V705" s="6"/>
      <c r="W705" s="6"/>
      <c r="X705" s="6"/>
      <c r="Y705" s="6"/>
      <c r="Z705" s="6"/>
      <c r="AA705" s="6"/>
      <c r="AB705" s="6"/>
      <c r="AC705" s="6"/>
      <c r="AD705" s="7"/>
    </row>
    <row r="706">
      <c r="A706" s="23"/>
      <c r="B706" s="23"/>
      <c r="C706" s="27"/>
      <c r="D706" s="19"/>
      <c r="E706" s="6"/>
      <c r="F706" s="6"/>
      <c r="G706" s="6"/>
      <c r="H706" s="6"/>
      <c r="I706" s="19"/>
      <c r="J706" s="6"/>
      <c r="K706" s="6"/>
      <c r="L706" s="19"/>
      <c r="M706" s="6"/>
      <c r="N706" s="6"/>
      <c r="O706" s="6"/>
      <c r="P706" s="6"/>
      <c r="Q706" s="6"/>
      <c r="R706" s="6"/>
      <c r="S706" s="6"/>
      <c r="T706" s="6"/>
      <c r="U706" s="6"/>
      <c r="V706" s="6"/>
      <c r="W706" s="6"/>
      <c r="X706" s="6"/>
      <c r="Y706" s="6"/>
      <c r="Z706" s="6"/>
      <c r="AA706" s="6"/>
      <c r="AB706" s="6"/>
      <c r="AC706" s="6"/>
      <c r="AD706" s="7"/>
    </row>
    <row r="707">
      <c r="A707" s="23"/>
      <c r="B707" s="23"/>
      <c r="C707" s="27"/>
      <c r="D707" s="19"/>
      <c r="E707" s="6"/>
      <c r="F707" s="6"/>
      <c r="G707" s="6"/>
      <c r="H707" s="6"/>
      <c r="I707" s="19"/>
      <c r="J707" s="6"/>
      <c r="K707" s="6"/>
      <c r="L707" s="19"/>
      <c r="M707" s="6"/>
      <c r="N707" s="6"/>
      <c r="O707" s="6"/>
      <c r="P707" s="6"/>
      <c r="Q707" s="6"/>
      <c r="R707" s="6"/>
      <c r="S707" s="6"/>
      <c r="T707" s="6"/>
      <c r="U707" s="6"/>
      <c r="V707" s="6"/>
      <c r="W707" s="6"/>
      <c r="X707" s="6"/>
      <c r="Y707" s="6"/>
      <c r="Z707" s="6"/>
      <c r="AA707" s="6"/>
      <c r="AB707" s="6"/>
      <c r="AC707" s="6"/>
      <c r="AD707" s="7"/>
    </row>
    <row r="708">
      <c r="A708" s="23"/>
      <c r="B708" s="23"/>
      <c r="C708" s="27"/>
      <c r="D708" s="19"/>
      <c r="E708" s="6"/>
      <c r="F708" s="6"/>
      <c r="G708" s="6"/>
      <c r="H708" s="6"/>
      <c r="I708" s="19"/>
      <c r="J708" s="6"/>
      <c r="K708" s="6"/>
      <c r="L708" s="19"/>
      <c r="M708" s="6"/>
      <c r="N708" s="6"/>
      <c r="O708" s="6"/>
      <c r="P708" s="6"/>
      <c r="Q708" s="6"/>
      <c r="R708" s="6"/>
      <c r="S708" s="6"/>
      <c r="T708" s="6"/>
      <c r="U708" s="6"/>
      <c r="V708" s="6"/>
      <c r="W708" s="6"/>
      <c r="X708" s="6"/>
      <c r="Y708" s="6"/>
      <c r="Z708" s="6"/>
      <c r="AA708" s="6"/>
      <c r="AB708" s="6"/>
      <c r="AC708" s="6"/>
      <c r="AD708" s="7"/>
    </row>
    <row r="709">
      <c r="A709" s="23"/>
      <c r="B709" s="23"/>
      <c r="C709" s="27"/>
      <c r="D709" s="19"/>
      <c r="E709" s="6"/>
      <c r="F709" s="6"/>
      <c r="G709" s="6"/>
      <c r="H709" s="6"/>
      <c r="I709" s="19"/>
      <c r="J709" s="6"/>
      <c r="K709" s="6"/>
      <c r="L709" s="19"/>
      <c r="M709" s="6"/>
      <c r="N709" s="6"/>
      <c r="O709" s="6"/>
      <c r="P709" s="6"/>
      <c r="Q709" s="6"/>
      <c r="R709" s="6"/>
      <c r="S709" s="6"/>
      <c r="T709" s="6"/>
      <c r="U709" s="6"/>
      <c r="V709" s="6"/>
      <c r="W709" s="6"/>
      <c r="X709" s="6"/>
      <c r="Y709" s="6"/>
      <c r="Z709" s="6"/>
      <c r="AA709" s="6"/>
      <c r="AB709" s="6"/>
      <c r="AC709" s="6"/>
      <c r="AD709" s="7"/>
    </row>
    <row r="710">
      <c r="A710" s="23"/>
      <c r="B710" s="23"/>
      <c r="C710" s="27"/>
      <c r="D710" s="19"/>
      <c r="E710" s="6"/>
      <c r="F710" s="6"/>
      <c r="G710" s="6"/>
      <c r="H710" s="6"/>
      <c r="I710" s="19"/>
      <c r="J710" s="6"/>
      <c r="K710" s="6"/>
      <c r="L710" s="19"/>
      <c r="M710" s="6"/>
      <c r="N710" s="6"/>
      <c r="O710" s="6"/>
      <c r="P710" s="6"/>
      <c r="Q710" s="6"/>
      <c r="R710" s="6"/>
      <c r="S710" s="6"/>
      <c r="T710" s="6"/>
      <c r="U710" s="6"/>
      <c r="V710" s="6"/>
      <c r="W710" s="6"/>
      <c r="X710" s="6"/>
      <c r="Y710" s="6"/>
      <c r="Z710" s="6"/>
      <c r="AA710" s="6"/>
      <c r="AB710" s="6"/>
      <c r="AC710" s="6"/>
      <c r="AD710" s="7"/>
    </row>
    <row r="711">
      <c r="A711" s="23"/>
      <c r="B711" s="23"/>
      <c r="C711" s="27"/>
      <c r="D711" s="19"/>
      <c r="E711" s="6"/>
      <c r="F711" s="6"/>
      <c r="G711" s="6"/>
      <c r="H711" s="6"/>
      <c r="I711" s="19"/>
      <c r="J711" s="6"/>
      <c r="K711" s="6"/>
      <c r="L711" s="19"/>
      <c r="M711" s="6"/>
      <c r="N711" s="6"/>
      <c r="O711" s="6"/>
      <c r="P711" s="6"/>
      <c r="Q711" s="6"/>
      <c r="R711" s="6"/>
      <c r="S711" s="6"/>
      <c r="T711" s="6"/>
      <c r="U711" s="6"/>
      <c r="V711" s="6"/>
      <c r="W711" s="6"/>
      <c r="X711" s="6"/>
      <c r="Y711" s="6"/>
      <c r="Z711" s="6"/>
      <c r="AA711" s="6"/>
      <c r="AB711" s="6"/>
      <c r="AC711" s="6"/>
      <c r="AD711" s="7"/>
    </row>
    <row r="712">
      <c r="A712" s="23"/>
      <c r="B712" s="23"/>
      <c r="C712" s="27"/>
      <c r="D712" s="19"/>
      <c r="E712" s="6"/>
      <c r="F712" s="6"/>
      <c r="G712" s="6"/>
      <c r="H712" s="6"/>
      <c r="I712" s="19"/>
      <c r="J712" s="6"/>
      <c r="K712" s="6"/>
      <c r="L712" s="19"/>
      <c r="M712" s="6"/>
      <c r="N712" s="6"/>
      <c r="O712" s="6"/>
      <c r="P712" s="6"/>
      <c r="Q712" s="6"/>
      <c r="R712" s="6"/>
      <c r="S712" s="6"/>
      <c r="T712" s="6"/>
      <c r="U712" s="6"/>
      <c r="V712" s="6"/>
      <c r="W712" s="6"/>
      <c r="X712" s="6"/>
      <c r="Y712" s="6"/>
      <c r="Z712" s="6"/>
      <c r="AA712" s="6"/>
      <c r="AB712" s="6"/>
      <c r="AC712" s="6"/>
      <c r="AD712" s="7"/>
    </row>
    <row r="713">
      <c r="A713" s="23"/>
      <c r="B713" s="23"/>
      <c r="C713" s="27"/>
      <c r="D713" s="19"/>
      <c r="E713" s="6"/>
      <c r="F713" s="6"/>
      <c r="G713" s="6"/>
      <c r="H713" s="6"/>
      <c r="I713" s="19"/>
      <c r="J713" s="6"/>
      <c r="K713" s="6"/>
      <c r="L713" s="19"/>
      <c r="M713" s="6"/>
      <c r="N713" s="6"/>
      <c r="O713" s="6"/>
      <c r="P713" s="6"/>
      <c r="Q713" s="6"/>
      <c r="R713" s="6"/>
      <c r="S713" s="6"/>
      <c r="T713" s="6"/>
      <c r="U713" s="6"/>
      <c r="V713" s="6"/>
      <c r="W713" s="6"/>
      <c r="X713" s="6"/>
      <c r="Y713" s="6"/>
      <c r="Z713" s="6"/>
      <c r="AA713" s="6"/>
      <c r="AB713" s="6"/>
      <c r="AC713" s="6"/>
      <c r="AD713" s="7"/>
    </row>
    <row r="714">
      <c r="A714" s="23"/>
      <c r="B714" s="23"/>
      <c r="C714" s="27"/>
      <c r="D714" s="19"/>
      <c r="E714" s="6"/>
      <c r="F714" s="6"/>
      <c r="G714" s="6"/>
      <c r="H714" s="6"/>
      <c r="I714" s="19"/>
      <c r="J714" s="6"/>
      <c r="K714" s="6"/>
      <c r="L714" s="19"/>
      <c r="M714" s="6"/>
      <c r="N714" s="6"/>
      <c r="O714" s="6"/>
      <c r="P714" s="6"/>
      <c r="Q714" s="6"/>
      <c r="R714" s="6"/>
      <c r="S714" s="6"/>
      <c r="T714" s="6"/>
      <c r="U714" s="6"/>
      <c r="V714" s="6"/>
      <c r="W714" s="6"/>
      <c r="X714" s="6"/>
      <c r="Y714" s="6"/>
      <c r="Z714" s="6"/>
      <c r="AA714" s="6"/>
      <c r="AB714" s="6"/>
      <c r="AC714" s="6"/>
      <c r="AD714" s="7"/>
    </row>
    <row r="715">
      <c r="A715" s="23"/>
      <c r="B715" s="23"/>
      <c r="C715" s="27"/>
      <c r="D715" s="19"/>
      <c r="E715" s="6"/>
      <c r="F715" s="6"/>
      <c r="G715" s="6"/>
      <c r="H715" s="6"/>
      <c r="I715" s="19"/>
      <c r="J715" s="6"/>
      <c r="K715" s="6"/>
      <c r="L715" s="19"/>
      <c r="M715" s="6"/>
      <c r="N715" s="6"/>
      <c r="O715" s="6"/>
      <c r="P715" s="6"/>
      <c r="Q715" s="6"/>
      <c r="R715" s="6"/>
      <c r="S715" s="6"/>
      <c r="T715" s="6"/>
      <c r="U715" s="6"/>
      <c r="V715" s="6"/>
      <c r="W715" s="6"/>
      <c r="X715" s="6"/>
      <c r="Y715" s="6"/>
      <c r="Z715" s="6"/>
      <c r="AA715" s="6"/>
      <c r="AB715" s="6"/>
      <c r="AC715" s="6"/>
      <c r="AD715" s="7"/>
    </row>
    <row r="716">
      <c r="A716" s="23"/>
      <c r="B716" s="23"/>
      <c r="C716" s="27"/>
      <c r="D716" s="19"/>
      <c r="E716" s="6"/>
      <c r="F716" s="6"/>
      <c r="G716" s="6"/>
      <c r="H716" s="6"/>
      <c r="I716" s="19"/>
      <c r="J716" s="6"/>
      <c r="K716" s="6"/>
      <c r="L716" s="19"/>
      <c r="M716" s="6"/>
      <c r="N716" s="6"/>
      <c r="O716" s="6"/>
      <c r="P716" s="6"/>
      <c r="Q716" s="6"/>
      <c r="R716" s="6"/>
      <c r="S716" s="6"/>
      <c r="T716" s="6"/>
      <c r="U716" s="6"/>
      <c r="V716" s="6"/>
      <c r="W716" s="6"/>
      <c r="X716" s="6"/>
      <c r="Y716" s="6"/>
      <c r="Z716" s="6"/>
      <c r="AA716" s="6"/>
      <c r="AB716" s="6"/>
      <c r="AC716" s="6"/>
      <c r="AD716" s="7"/>
    </row>
    <row r="717">
      <c r="A717" s="23"/>
      <c r="B717" s="23"/>
      <c r="C717" s="27"/>
      <c r="D717" s="19"/>
      <c r="E717" s="6"/>
      <c r="F717" s="6"/>
      <c r="G717" s="6"/>
      <c r="H717" s="6"/>
      <c r="I717" s="19"/>
      <c r="J717" s="6"/>
      <c r="K717" s="6"/>
      <c r="L717" s="19"/>
      <c r="M717" s="6"/>
      <c r="N717" s="6"/>
      <c r="O717" s="6"/>
      <c r="P717" s="6"/>
      <c r="Q717" s="6"/>
      <c r="R717" s="6"/>
      <c r="S717" s="6"/>
      <c r="T717" s="6"/>
      <c r="U717" s="6"/>
      <c r="V717" s="6"/>
      <c r="W717" s="6"/>
      <c r="X717" s="6"/>
      <c r="Y717" s="6"/>
      <c r="Z717" s="6"/>
      <c r="AA717" s="6"/>
      <c r="AB717" s="6"/>
      <c r="AC717" s="6"/>
      <c r="AD717" s="7"/>
    </row>
    <row r="718">
      <c r="A718" s="23"/>
      <c r="B718" s="23"/>
      <c r="C718" s="27"/>
      <c r="D718" s="19"/>
      <c r="E718" s="6"/>
      <c r="F718" s="6"/>
      <c r="G718" s="6"/>
      <c r="H718" s="6"/>
      <c r="I718" s="19"/>
      <c r="J718" s="6"/>
      <c r="K718" s="6"/>
      <c r="L718" s="19"/>
      <c r="M718" s="6"/>
      <c r="N718" s="6"/>
      <c r="O718" s="6"/>
      <c r="P718" s="6"/>
      <c r="Q718" s="6"/>
      <c r="R718" s="6"/>
      <c r="S718" s="6"/>
      <c r="T718" s="6"/>
      <c r="U718" s="6"/>
      <c r="V718" s="6"/>
      <c r="W718" s="6"/>
      <c r="X718" s="6"/>
      <c r="Y718" s="6"/>
      <c r="Z718" s="6"/>
      <c r="AA718" s="6"/>
      <c r="AB718" s="6"/>
      <c r="AC718" s="6"/>
      <c r="AD718" s="7"/>
    </row>
    <row r="719">
      <c r="A719" s="23"/>
      <c r="B719" s="23"/>
      <c r="C719" s="27"/>
      <c r="D719" s="19"/>
      <c r="E719" s="6"/>
      <c r="F719" s="6"/>
      <c r="G719" s="6"/>
      <c r="H719" s="6"/>
      <c r="I719" s="19"/>
      <c r="J719" s="6"/>
      <c r="K719" s="6"/>
      <c r="L719" s="19"/>
      <c r="M719" s="6"/>
      <c r="N719" s="6"/>
      <c r="O719" s="6"/>
      <c r="P719" s="6"/>
      <c r="Q719" s="6"/>
      <c r="R719" s="6"/>
      <c r="S719" s="6"/>
      <c r="T719" s="6"/>
      <c r="U719" s="6"/>
      <c r="V719" s="6"/>
      <c r="W719" s="6"/>
      <c r="X719" s="6"/>
      <c r="Y719" s="6"/>
      <c r="Z719" s="6"/>
      <c r="AA719" s="6"/>
      <c r="AB719" s="6"/>
      <c r="AC719" s="6"/>
      <c r="AD719" s="7"/>
    </row>
    <row r="720">
      <c r="A720" s="23"/>
      <c r="B720" s="23"/>
      <c r="C720" s="27"/>
      <c r="D720" s="19"/>
      <c r="E720" s="6"/>
      <c r="F720" s="6"/>
      <c r="G720" s="6"/>
      <c r="H720" s="6"/>
      <c r="I720" s="19"/>
      <c r="J720" s="6"/>
      <c r="K720" s="6"/>
      <c r="L720" s="19"/>
      <c r="M720" s="6"/>
      <c r="N720" s="6"/>
      <c r="O720" s="6"/>
      <c r="P720" s="6"/>
      <c r="Q720" s="6"/>
      <c r="R720" s="6"/>
      <c r="S720" s="6"/>
      <c r="T720" s="6"/>
      <c r="U720" s="6"/>
      <c r="V720" s="6"/>
      <c r="W720" s="6"/>
      <c r="X720" s="6"/>
      <c r="Y720" s="6"/>
      <c r="Z720" s="6"/>
      <c r="AA720" s="6"/>
      <c r="AB720" s="6"/>
      <c r="AC720" s="6"/>
      <c r="AD720" s="7"/>
    </row>
    <row r="721">
      <c r="A721" s="23"/>
      <c r="B721" s="23"/>
      <c r="C721" s="27"/>
      <c r="D721" s="19"/>
      <c r="E721" s="6"/>
      <c r="F721" s="6"/>
      <c r="G721" s="6"/>
      <c r="H721" s="6"/>
      <c r="I721" s="19"/>
      <c r="J721" s="6"/>
      <c r="K721" s="6"/>
      <c r="L721" s="19"/>
      <c r="M721" s="6"/>
      <c r="N721" s="6"/>
      <c r="O721" s="6"/>
      <c r="P721" s="6"/>
      <c r="Q721" s="6"/>
      <c r="R721" s="6"/>
      <c r="S721" s="6"/>
      <c r="T721" s="6"/>
      <c r="U721" s="6"/>
      <c r="V721" s="6"/>
      <c r="W721" s="6"/>
      <c r="X721" s="6"/>
      <c r="Y721" s="6"/>
      <c r="Z721" s="6"/>
      <c r="AA721" s="6"/>
      <c r="AB721" s="6"/>
      <c r="AC721" s="6"/>
      <c r="AD721" s="7"/>
    </row>
    <row r="722">
      <c r="A722" s="23"/>
      <c r="B722" s="23"/>
      <c r="C722" s="27"/>
      <c r="D722" s="19"/>
      <c r="E722" s="6"/>
      <c r="F722" s="6"/>
      <c r="G722" s="6"/>
      <c r="H722" s="6"/>
      <c r="I722" s="19"/>
      <c r="J722" s="6"/>
      <c r="K722" s="6"/>
      <c r="L722" s="19"/>
      <c r="M722" s="6"/>
      <c r="N722" s="6"/>
      <c r="O722" s="6"/>
      <c r="P722" s="6"/>
      <c r="Q722" s="6"/>
      <c r="R722" s="6"/>
      <c r="S722" s="6"/>
      <c r="T722" s="6"/>
      <c r="U722" s="6"/>
      <c r="V722" s="6"/>
      <c r="W722" s="6"/>
      <c r="X722" s="6"/>
      <c r="Y722" s="6"/>
      <c r="Z722" s="6"/>
      <c r="AA722" s="6"/>
      <c r="AB722" s="6"/>
      <c r="AC722" s="6"/>
      <c r="AD722" s="7"/>
    </row>
    <row r="723">
      <c r="A723" s="23"/>
      <c r="B723" s="23"/>
      <c r="C723" s="27"/>
      <c r="D723" s="19"/>
      <c r="E723" s="6"/>
      <c r="F723" s="6"/>
      <c r="G723" s="6"/>
      <c r="H723" s="6"/>
      <c r="I723" s="19"/>
      <c r="J723" s="6"/>
      <c r="K723" s="6"/>
      <c r="L723" s="19"/>
      <c r="M723" s="6"/>
      <c r="N723" s="6"/>
      <c r="O723" s="6"/>
      <c r="P723" s="6"/>
      <c r="Q723" s="6"/>
      <c r="R723" s="6"/>
      <c r="S723" s="6"/>
      <c r="T723" s="6"/>
      <c r="U723" s="6"/>
      <c r="V723" s="6"/>
      <c r="W723" s="6"/>
      <c r="X723" s="6"/>
      <c r="Y723" s="6"/>
      <c r="Z723" s="6"/>
      <c r="AA723" s="6"/>
      <c r="AB723" s="6"/>
      <c r="AC723" s="6"/>
      <c r="AD723" s="7"/>
    </row>
    <row r="724">
      <c r="A724" s="23"/>
      <c r="B724" s="23"/>
      <c r="C724" s="27"/>
      <c r="D724" s="19"/>
      <c r="E724" s="6"/>
      <c r="F724" s="6"/>
      <c r="G724" s="6"/>
      <c r="H724" s="6"/>
      <c r="I724" s="19"/>
      <c r="J724" s="6"/>
      <c r="K724" s="6"/>
      <c r="L724" s="19"/>
      <c r="M724" s="6"/>
      <c r="N724" s="6"/>
      <c r="O724" s="6"/>
      <c r="P724" s="6"/>
      <c r="Q724" s="6"/>
      <c r="R724" s="6"/>
      <c r="S724" s="6"/>
      <c r="T724" s="6"/>
      <c r="U724" s="6"/>
      <c r="V724" s="6"/>
      <c r="W724" s="6"/>
      <c r="X724" s="6"/>
      <c r="Y724" s="6"/>
      <c r="Z724" s="6"/>
      <c r="AA724" s="6"/>
      <c r="AB724" s="6"/>
      <c r="AC724" s="6"/>
      <c r="AD724" s="7"/>
    </row>
    <row r="725">
      <c r="A725" s="23"/>
      <c r="B725" s="23"/>
      <c r="C725" s="27"/>
      <c r="D725" s="19"/>
      <c r="E725" s="6"/>
      <c r="F725" s="6"/>
      <c r="G725" s="6"/>
      <c r="H725" s="6"/>
      <c r="I725" s="19"/>
      <c r="J725" s="6"/>
      <c r="K725" s="6"/>
      <c r="L725" s="19"/>
      <c r="M725" s="6"/>
      <c r="N725" s="6"/>
      <c r="O725" s="6"/>
      <c r="P725" s="6"/>
      <c r="Q725" s="6"/>
      <c r="R725" s="6"/>
      <c r="S725" s="6"/>
      <c r="T725" s="6"/>
      <c r="U725" s="6"/>
      <c r="V725" s="6"/>
      <c r="W725" s="6"/>
      <c r="X725" s="6"/>
      <c r="Y725" s="6"/>
      <c r="Z725" s="6"/>
      <c r="AA725" s="6"/>
      <c r="AB725" s="6"/>
      <c r="AC725" s="6"/>
      <c r="AD725" s="7"/>
    </row>
    <row r="726">
      <c r="A726" s="23"/>
      <c r="B726" s="23"/>
      <c r="C726" s="27"/>
      <c r="D726" s="19"/>
      <c r="E726" s="6"/>
      <c r="F726" s="6"/>
      <c r="G726" s="6"/>
      <c r="H726" s="6"/>
      <c r="I726" s="19"/>
      <c r="J726" s="6"/>
      <c r="K726" s="6"/>
      <c r="L726" s="19"/>
      <c r="M726" s="6"/>
      <c r="N726" s="6"/>
      <c r="O726" s="6"/>
      <c r="P726" s="6"/>
      <c r="Q726" s="6"/>
      <c r="R726" s="6"/>
      <c r="S726" s="6"/>
      <c r="T726" s="6"/>
      <c r="U726" s="6"/>
      <c r="V726" s="6"/>
      <c r="W726" s="6"/>
      <c r="X726" s="6"/>
      <c r="Y726" s="6"/>
      <c r="Z726" s="6"/>
      <c r="AA726" s="6"/>
      <c r="AB726" s="6"/>
      <c r="AC726" s="6"/>
      <c r="AD726" s="7"/>
    </row>
    <row r="727">
      <c r="A727" s="23"/>
      <c r="B727" s="23"/>
      <c r="C727" s="27"/>
      <c r="D727" s="19"/>
      <c r="E727" s="6"/>
      <c r="F727" s="6"/>
      <c r="G727" s="6"/>
      <c r="H727" s="6"/>
      <c r="I727" s="19"/>
      <c r="J727" s="6"/>
      <c r="K727" s="6"/>
      <c r="L727" s="19"/>
      <c r="M727" s="6"/>
      <c r="N727" s="6"/>
      <c r="O727" s="6"/>
      <c r="P727" s="6"/>
      <c r="Q727" s="6"/>
      <c r="R727" s="6"/>
      <c r="S727" s="6"/>
      <c r="T727" s="6"/>
      <c r="U727" s="6"/>
      <c r="V727" s="6"/>
      <c r="W727" s="6"/>
      <c r="X727" s="6"/>
      <c r="Y727" s="6"/>
      <c r="Z727" s="6"/>
      <c r="AA727" s="6"/>
      <c r="AB727" s="6"/>
      <c r="AC727" s="6"/>
      <c r="AD727" s="7"/>
    </row>
    <row r="728">
      <c r="A728" s="23"/>
      <c r="B728" s="23"/>
      <c r="C728" s="27"/>
      <c r="D728" s="19"/>
      <c r="E728" s="6"/>
      <c r="F728" s="6"/>
      <c r="G728" s="6"/>
      <c r="H728" s="6"/>
      <c r="I728" s="19"/>
      <c r="J728" s="6"/>
      <c r="K728" s="6"/>
      <c r="L728" s="19"/>
      <c r="M728" s="6"/>
      <c r="N728" s="6"/>
      <c r="O728" s="6"/>
      <c r="P728" s="6"/>
      <c r="Q728" s="6"/>
      <c r="R728" s="6"/>
      <c r="S728" s="6"/>
      <c r="T728" s="6"/>
      <c r="U728" s="6"/>
      <c r="V728" s="6"/>
      <c r="W728" s="6"/>
      <c r="X728" s="6"/>
      <c r="Y728" s="6"/>
      <c r="Z728" s="6"/>
      <c r="AA728" s="6"/>
      <c r="AB728" s="6"/>
      <c r="AC728" s="6"/>
      <c r="AD728" s="7"/>
    </row>
    <row r="729">
      <c r="A729" s="23"/>
      <c r="B729" s="23"/>
      <c r="C729" s="27"/>
      <c r="D729" s="19"/>
      <c r="E729" s="6"/>
      <c r="F729" s="6"/>
      <c r="G729" s="6"/>
      <c r="H729" s="6"/>
      <c r="I729" s="19"/>
      <c r="J729" s="6"/>
      <c r="K729" s="6"/>
      <c r="L729" s="19"/>
      <c r="M729" s="6"/>
      <c r="N729" s="6"/>
      <c r="O729" s="6"/>
      <c r="P729" s="6"/>
      <c r="Q729" s="6"/>
      <c r="R729" s="6"/>
      <c r="S729" s="6"/>
      <c r="T729" s="6"/>
      <c r="U729" s="6"/>
      <c r="V729" s="6"/>
      <c r="W729" s="6"/>
      <c r="X729" s="6"/>
      <c r="Y729" s="6"/>
      <c r="Z729" s="6"/>
      <c r="AA729" s="6"/>
      <c r="AB729" s="6"/>
      <c r="AC729" s="6"/>
      <c r="AD729" s="7"/>
    </row>
    <row r="730">
      <c r="A730" s="23"/>
      <c r="B730" s="23"/>
      <c r="C730" s="27"/>
      <c r="D730" s="19"/>
      <c r="E730" s="6"/>
      <c r="F730" s="6"/>
      <c r="G730" s="6"/>
      <c r="H730" s="6"/>
      <c r="I730" s="19"/>
      <c r="J730" s="6"/>
      <c r="K730" s="6"/>
      <c r="L730" s="19"/>
      <c r="M730" s="6"/>
      <c r="N730" s="6"/>
      <c r="O730" s="6"/>
      <c r="P730" s="6"/>
      <c r="Q730" s="6"/>
      <c r="R730" s="6"/>
      <c r="S730" s="6"/>
      <c r="T730" s="6"/>
      <c r="U730" s="6"/>
      <c r="V730" s="6"/>
      <c r="W730" s="6"/>
      <c r="X730" s="6"/>
      <c r="Y730" s="6"/>
      <c r="Z730" s="6"/>
      <c r="AA730" s="6"/>
      <c r="AB730" s="6"/>
      <c r="AC730" s="6"/>
      <c r="AD730" s="7"/>
    </row>
    <row r="731">
      <c r="A731" s="23"/>
      <c r="B731" s="23"/>
      <c r="C731" s="27"/>
      <c r="D731" s="19"/>
      <c r="E731" s="6"/>
      <c r="F731" s="6"/>
      <c r="G731" s="6"/>
      <c r="H731" s="6"/>
      <c r="I731" s="19"/>
      <c r="J731" s="6"/>
      <c r="K731" s="6"/>
      <c r="L731" s="19"/>
      <c r="M731" s="6"/>
      <c r="N731" s="6"/>
      <c r="O731" s="6"/>
      <c r="P731" s="6"/>
      <c r="Q731" s="6"/>
      <c r="R731" s="6"/>
      <c r="S731" s="6"/>
      <c r="T731" s="6"/>
      <c r="U731" s="6"/>
      <c r="V731" s="6"/>
      <c r="W731" s="6"/>
      <c r="X731" s="6"/>
      <c r="Y731" s="6"/>
      <c r="Z731" s="6"/>
      <c r="AA731" s="6"/>
      <c r="AB731" s="6"/>
      <c r="AC731" s="6"/>
      <c r="AD731" s="7"/>
    </row>
    <row r="732">
      <c r="A732" s="23"/>
      <c r="B732" s="23"/>
      <c r="C732" s="27"/>
      <c r="D732" s="19"/>
      <c r="E732" s="6"/>
      <c r="F732" s="6"/>
      <c r="G732" s="6"/>
      <c r="H732" s="6"/>
      <c r="I732" s="19"/>
      <c r="J732" s="6"/>
      <c r="K732" s="6"/>
      <c r="L732" s="19"/>
      <c r="M732" s="6"/>
      <c r="N732" s="6"/>
      <c r="O732" s="6"/>
      <c r="P732" s="6"/>
      <c r="Q732" s="6"/>
      <c r="R732" s="6"/>
      <c r="S732" s="6"/>
      <c r="T732" s="6"/>
      <c r="U732" s="6"/>
      <c r="V732" s="6"/>
      <c r="W732" s="6"/>
      <c r="X732" s="6"/>
      <c r="Y732" s="6"/>
      <c r="Z732" s="6"/>
      <c r="AA732" s="6"/>
      <c r="AB732" s="6"/>
      <c r="AC732" s="6"/>
      <c r="AD732" s="7"/>
    </row>
    <row r="733">
      <c r="A733" s="23"/>
      <c r="B733" s="23"/>
      <c r="C733" s="27"/>
      <c r="D733" s="19"/>
      <c r="E733" s="6"/>
      <c r="F733" s="6"/>
      <c r="G733" s="6"/>
      <c r="H733" s="6"/>
      <c r="I733" s="19"/>
      <c r="J733" s="6"/>
      <c r="K733" s="6"/>
      <c r="L733" s="19"/>
      <c r="M733" s="6"/>
      <c r="N733" s="6"/>
      <c r="O733" s="6"/>
      <c r="P733" s="6"/>
      <c r="Q733" s="6"/>
      <c r="R733" s="6"/>
      <c r="S733" s="6"/>
      <c r="T733" s="6"/>
      <c r="U733" s="6"/>
      <c r="V733" s="6"/>
      <c r="W733" s="6"/>
      <c r="X733" s="6"/>
      <c r="Y733" s="6"/>
      <c r="Z733" s="6"/>
      <c r="AA733" s="6"/>
      <c r="AB733" s="6"/>
      <c r="AC733" s="6"/>
      <c r="AD733" s="7"/>
    </row>
    <row r="734">
      <c r="A734" s="23"/>
      <c r="B734" s="23"/>
      <c r="C734" s="27"/>
      <c r="D734" s="19"/>
      <c r="E734" s="6"/>
      <c r="F734" s="6"/>
      <c r="G734" s="6"/>
      <c r="H734" s="6"/>
      <c r="I734" s="19"/>
      <c r="J734" s="6"/>
      <c r="K734" s="6"/>
      <c r="L734" s="19"/>
      <c r="M734" s="6"/>
      <c r="N734" s="6"/>
      <c r="O734" s="6"/>
      <c r="P734" s="6"/>
      <c r="Q734" s="6"/>
      <c r="R734" s="6"/>
      <c r="S734" s="6"/>
      <c r="T734" s="6"/>
      <c r="U734" s="6"/>
      <c r="V734" s="6"/>
      <c r="W734" s="6"/>
      <c r="X734" s="6"/>
      <c r="Y734" s="6"/>
      <c r="Z734" s="6"/>
      <c r="AA734" s="6"/>
      <c r="AB734" s="6"/>
      <c r="AC734" s="6"/>
      <c r="AD734" s="7"/>
    </row>
    <row r="735">
      <c r="A735" s="23"/>
      <c r="B735" s="23"/>
      <c r="C735" s="27"/>
      <c r="D735" s="19"/>
      <c r="E735" s="6"/>
      <c r="F735" s="6"/>
      <c r="G735" s="6"/>
      <c r="H735" s="6"/>
      <c r="I735" s="19"/>
      <c r="J735" s="6"/>
      <c r="K735" s="6"/>
      <c r="L735" s="19"/>
      <c r="M735" s="6"/>
      <c r="N735" s="6"/>
      <c r="O735" s="6"/>
      <c r="P735" s="6"/>
      <c r="Q735" s="6"/>
      <c r="R735" s="6"/>
      <c r="S735" s="6"/>
      <c r="T735" s="6"/>
      <c r="U735" s="6"/>
      <c r="V735" s="6"/>
      <c r="W735" s="6"/>
      <c r="X735" s="6"/>
      <c r="Y735" s="6"/>
      <c r="Z735" s="6"/>
      <c r="AA735" s="6"/>
      <c r="AB735" s="6"/>
      <c r="AC735" s="6"/>
      <c r="AD735" s="7"/>
    </row>
    <row r="736">
      <c r="A736" s="23"/>
      <c r="B736" s="23"/>
      <c r="C736" s="27"/>
      <c r="D736" s="19"/>
      <c r="E736" s="6"/>
      <c r="F736" s="6"/>
      <c r="G736" s="6"/>
      <c r="H736" s="6"/>
      <c r="I736" s="19"/>
      <c r="J736" s="6"/>
      <c r="K736" s="6"/>
      <c r="L736" s="19"/>
      <c r="M736" s="6"/>
      <c r="N736" s="6"/>
      <c r="O736" s="6"/>
      <c r="P736" s="6"/>
      <c r="Q736" s="6"/>
      <c r="R736" s="6"/>
      <c r="S736" s="6"/>
      <c r="T736" s="6"/>
      <c r="U736" s="6"/>
      <c r="V736" s="6"/>
      <c r="W736" s="6"/>
      <c r="X736" s="6"/>
      <c r="Y736" s="6"/>
      <c r="Z736" s="6"/>
      <c r="AA736" s="6"/>
      <c r="AB736" s="6"/>
      <c r="AC736" s="6"/>
      <c r="AD736" s="7"/>
    </row>
    <row r="737">
      <c r="A737" s="23"/>
      <c r="B737" s="23"/>
      <c r="C737" s="27"/>
      <c r="D737" s="19"/>
      <c r="E737" s="6"/>
      <c r="F737" s="6"/>
      <c r="G737" s="6"/>
      <c r="H737" s="6"/>
      <c r="I737" s="19"/>
      <c r="J737" s="6"/>
      <c r="K737" s="6"/>
      <c r="L737" s="19"/>
      <c r="M737" s="6"/>
      <c r="N737" s="6"/>
      <c r="O737" s="6"/>
      <c r="P737" s="6"/>
      <c r="Q737" s="6"/>
      <c r="R737" s="6"/>
      <c r="S737" s="6"/>
      <c r="T737" s="6"/>
      <c r="U737" s="6"/>
      <c r="V737" s="6"/>
      <c r="W737" s="6"/>
      <c r="X737" s="6"/>
      <c r="Y737" s="6"/>
      <c r="Z737" s="6"/>
      <c r="AA737" s="6"/>
      <c r="AB737" s="6"/>
      <c r="AC737" s="6"/>
      <c r="AD737" s="7"/>
    </row>
    <row r="738">
      <c r="A738" s="23"/>
      <c r="B738" s="23"/>
      <c r="C738" s="27"/>
      <c r="D738" s="19"/>
      <c r="E738" s="6"/>
      <c r="F738" s="6"/>
      <c r="G738" s="6"/>
      <c r="H738" s="6"/>
      <c r="I738" s="19"/>
      <c r="J738" s="6"/>
      <c r="K738" s="6"/>
      <c r="L738" s="19"/>
      <c r="M738" s="6"/>
      <c r="N738" s="6"/>
      <c r="O738" s="6"/>
      <c r="P738" s="6"/>
      <c r="Q738" s="6"/>
      <c r="R738" s="6"/>
      <c r="S738" s="6"/>
      <c r="T738" s="6"/>
      <c r="U738" s="6"/>
      <c r="V738" s="6"/>
      <c r="W738" s="6"/>
      <c r="X738" s="6"/>
      <c r="Y738" s="6"/>
      <c r="Z738" s="6"/>
      <c r="AA738" s="6"/>
      <c r="AB738" s="6"/>
      <c r="AC738" s="6"/>
      <c r="AD738" s="7"/>
    </row>
    <row r="739">
      <c r="A739" s="23"/>
      <c r="B739" s="23"/>
      <c r="C739" s="27"/>
      <c r="D739" s="19"/>
      <c r="E739" s="6"/>
      <c r="F739" s="6"/>
      <c r="G739" s="6"/>
      <c r="H739" s="6"/>
      <c r="I739" s="19"/>
      <c r="J739" s="6"/>
      <c r="K739" s="6"/>
      <c r="L739" s="19"/>
      <c r="M739" s="6"/>
      <c r="N739" s="6"/>
      <c r="O739" s="6"/>
      <c r="P739" s="6"/>
      <c r="Q739" s="6"/>
      <c r="R739" s="6"/>
      <c r="S739" s="6"/>
      <c r="T739" s="6"/>
      <c r="U739" s="6"/>
      <c r="V739" s="6"/>
      <c r="W739" s="6"/>
      <c r="X739" s="6"/>
      <c r="Y739" s="6"/>
      <c r="Z739" s="6"/>
      <c r="AA739" s="6"/>
      <c r="AB739" s="6"/>
      <c r="AC739" s="6"/>
      <c r="AD739" s="7"/>
    </row>
    <row r="740">
      <c r="A740" s="23"/>
      <c r="B740" s="23"/>
      <c r="C740" s="27"/>
      <c r="D740" s="19"/>
      <c r="E740" s="6"/>
      <c r="F740" s="6"/>
      <c r="G740" s="6"/>
      <c r="H740" s="6"/>
      <c r="I740" s="19"/>
      <c r="J740" s="6"/>
      <c r="K740" s="6"/>
      <c r="L740" s="19"/>
      <c r="M740" s="6"/>
      <c r="N740" s="6"/>
      <c r="O740" s="6"/>
      <c r="P740" s="6"/>
      <c r="Q740" s="6"/>
      <c r="R740" s="6"/>
      <c r="S740" s="6"/>
      <c r="T740" s="6"/>
      <c r="U740" s="6"/>
      <c r="V740" s="6"/>
      <c r="W740" s="6"/>
      <c r="X740" s="6"/>
      <c r="Y740" s="6"/>
      <c r="Z740" s="6"/>
      <c r="AA740" s="6"/>
      <c r="AB740" s="6"/>
      <c r="AC740" s="6"/>
      <c r="AD740" s="7"/>
    </row>
    <row r="741">
      <c r="A741" s="23"/>
      <c r="B741" s="23"/>
      <c r="C741" s="27"/>
      <c r="D741" s="19"/>
      <c r="E741" s="6"/>
      <c r="F741" s="6"/>
      <c r="G741" s="6"/>
      <c r="H741" s="6"/>
      <c r="I741" s="19"/>
      <c r="J741" s="6"/>
      <c r="K741" s="6"/>
      <c r="L741" s="19"/>
      <c r="M741" s="6"/>
      <c r="N741" s="6"/>
      <c r="O741" s="6"/>
      <c r="P741" s="6"/>
      <c r="Q741" s="6"/>
      <c r="R741" s="6"/>
      <c r="S741" s="6"/>
      <c r="T741" s="6"/>
      <c r="U741" s="6"/>
      <c r="V741" s="6"/>
      <c r="W741" s="6"/>
      <c r="X741" s="6"/>
      <c r="Y741" s="6"/>
      <c r="Z741" s="6"/>
      <c r="AA741" s="6"/>
      <c r="AB741" s="6"/>
      <c r="AC741" s="6"/>
      <c r="AD741" s="7"/>
    </row>
    <row r="742">
      <c r="A742" s="23"/>
      <c r="B742" s="23"/>
      <c r="C742" s="27"/>
      <c r="D742" s="19"/>
      <c r="E742" s="6"/>
      <c r="F742" s="6"/>
      <c r="G742" s="6"/>
      <c r="H742" s="6"/>
      <c r="I742" s="19"/>
      <c r="J742" s="6"/>
      <c r="K742" s="6"/>
      <c r="L742" s="19"/>
      <c r="M742" s="6"/>
      <c r="N742" s="6"/>
      <c r="O742" s="6"/>
      <c r="P742" s="6"/>
      <c r="Q742" s="6"/>
      <c r="R742" s="6"/>
      <c r="S742" s="6"/>
      <c r="T742" s="6"/>
      <c r="U742" s="6"/>
      <c r="V742" s="6"/>
      <c r="W742" s="6"/>
      <c r="X742" s="6"/>
      <c r="Y742" s="6"/>
      <c r="Z742" s="6"/>
      <c r="AA742" s="6"/>
      <c r="AB742" s="6"/>
      <c r="AC742" s="6"/>
      <c r="AD742" s="7"/>
    </row>
    <row r="743">
      <c r="A743" s="23"/>
      <c r="B743" s="23"/>
      <c r="C743" s="27"/>
      <c r="D743" s="19"/>
      <c r="E743" s="6"/>
      <c r="F743" s="6"/>
      <c r="G743" s="6"/>
      <c r="H743" s="6"/>
      <c r="I743" s="19"/>
      <c r="J743" s="6"/>
      <c r="K743" s="6"/>
      <c r="L743" s="19"/>
      <c r="M743" s="6"/>
      <c r="N743" s="6"/>
      <c r="O743" s="6"/>
      <c r="P743" s="6"/>
      <c r="Q743" s="6"/>
      <c r="R743" s="6"/>
      <c r="S743" s="6"/>
      <c r="T743" s="6"/>
      <c r="U743" s="6"/>
      <c r="V743" s="6"/>
      <c r="W743" s="6"/>
      <c r="X743" s="6"/>
      <c r="Y743" s="6"/>
      <c r="Z743" s="6"/>
      <c r="AA743" s="6"/>
      <c r="AB743" s="6"/>
      <c r="AC743" s="6"/>
      <c r="AD743" s="7"/>
    </row>
    <row r="744">
      <c r="A744" s="23"/>
      <c r="B744" s="23"/>
      <c r="C744" s="27"/>
      <c r="D744" s="19"/>
      <c r="E744" s="6"/>
      <c r="F744" s="6"/>
      <c r="G744" s="6"/>
      <c r="H744" s="6"/>
      <c r="I744" s="19"/>
      <c r="J744" s="6"/>
      <c r="K744" s="6"/>
      <c r="L744" s="19"/>
      <c r="M744" s="6"/>
      <c r="N744" s="6"/>
      <c r="O744" s="6"/>
      <c r="P744" s="6"/>
      <c r="Q744" s="6"/>
      <c r="R744" s="6"/>
      <c r="S744" s="6"/>
      <c r="T744" s="6"/>
      <c r="U744" s="6"/>
      <c r="V744" s="6"/>
      <c r="W744" s="6"/>
      <c r="X744" s="6"/>
      <c r="Y744" s="6"/>
      <c r="Z744" s="6"/>
      <c r="AA744" s="6"/>
      <c r="AB744" s="6"/>
      <c r="AC744" s="6"/>
      <c r="AD744" s="7"/>
    </row>
    <row r="745">
      <c r="A745" s="23"/>
      <c r="B745" s="23"/>
      <c r="C745" s="27"/>
      <c r="D745" s="19"/>
      <c r="E745" s="6"/>
      <c r="F745" s="6"/>
      <c r="G745" s="6"/>
      <c r="H745" s="6"/>
      <c r="I745" s="19"/>
      <c r="J745" s="6"/>
      <c r="K745" s="6"/>
      <c r="L745" s="19"/>
      <c r="M745" s="6"/>
      <c r="N745" s="6"/>
      <c r="O745" s="6"/>
      <c r="P745" s="6"/>
      <c r="Q745" s="6"/>
      <c r="R745" s="6"/>
      <c r="S745" s="6"/>
      <c r="T745" s="6"/>
      <c r="U745" s="6"/>
      <c r="V745" s="6"/>
      <c r="W745" s="6"/>
      <c r="X745" s="6"/>
      <c r="Y745" s="6"/>
      <c r="Z745" s="6"/>
      <c r="AA745" s="6"/>
      <c r="AB745" s="6"/>
      <c r="AC745" s="6"/>
      <c r="AD745" s="7"/>
    </row>
    <row r="746">
      <c r="A746" s="23"/>
      <c r="B746" s="23"/>
      <c r="C746" s="27"/>
      <c r="D746" s="19"/>
      <c r="E746" s="6"/>
      <c r="F746" s="6"/>
      <c r="G746" s="6"/>
      <c r="H746" s="6"/>
      <c r="I746" s="19"/>
      <c r="J746" s="6"/>
      <c r="K746" s="6"/>
      <c r="L746" s="19"/>
      <c r="M746" s="6"/>
      <c r="N746" s="6"/>
      <c r="O746" s="6"/>
      <c r="P746" s="6"/>
      <c r="Q746" s="6"/>
      <c r="R746" s="6"/>
      <c r="S746" s="6"/>
      <c r="T746" s="6"/>
      <c r="U746" s="6"/>
      <c r="V746" s="6"/>
      <c r="W746" s="6"/>
      <c r="X746" s="6"/>
      <c r="Y746" s="6"/>
      <c r="Z746" s="6"/>
      <c r="AA746" s="6"/>
      <c r="AB746" s="6"/>
      <c r="AC746" s="6"/>
      <c r="AD746" s="7"/>
    </row>
    <row r="747">
      <c r="A747" s="23"/>
      <c r="B747" s="23"/>
      <c r="C747" s="27"/>
      <c r="D747" s="19"/>
      <c r="E747" s="6"/>
      <c r="F747" s="6"/>
      <c r="G747" s="6"/>
      <c r="H747" s="6"/>
      <c r="I747" s="19"/>
      <c r="J747" s="6"/>
      <c r="K747" s="6"/>
      <c r="L747" s="19"/>
      <c r="M747" s="6"/>
      <c r="N747" s="6"/>
      <c r="O747" s="6"/>
      <c r="P747" s="6"/>
      <c r="Q747" s="6"/>
      <c r="R747" s="6"/>
      <c r="S747" s="6"/>
      <c r="T747" s="6"/>
      <c r="U747" s="6"/>
      <c r="V747" s="6"/>
      <c r="W747" s="6"/>
      <c r="X747" s="6"/>
      <c r="Y747" s="6"/>
      <c r="Z747" s="6"/>
      <c r="AA747" s="6"/>
      <c r="AB747" s="6"/>
      <c r="AC747" s="6"/>
      <c r="AD747" s="7"/>
    </row>
    <row r="748">
      <c r="A748" s="23"/>
      <c r="B748" s="23"/>
      <c r="C748" s="27"/>
      <c r="D748" s="19"/>
      <c r="E748" s="6"/>
      <c r="F748" s="6"/>
      <c r="G748" s="6"/>
      <c r="H748" s="6"/>
      <c r="I748" s="19"/>
      <c r="J748" s="6"/>
      <c r="K748" s="6"/>
      <c r="L748" s="19"/>
      <c r="M748" s="6"/>
      <c r="N748" s="6"/>
      <c r="O748" s="6"/>
      <c r="P748" s="6"/>
      <c r="Q748" s="6"/>
      <c r="R748" s="6"/>
      <c r="S748" s="6"/>
      <c r="T748" s="6"/>
      <c r="U748" s="6"/>
      <c r="V748" s="6"/>
      <c r="W748" s="6"/>
      <c r="X748" s="6"/>
      <c r="Y748" s="6"/>
      <c r="Z748" s="6"/>
      <c r="AA748" s="6"/>
      <c r="AB748" s="6"/>
      <c r="AC748" s="6"/>
      <c r="AD748" s="7"/>
    </row>
    <row r="749">
      <c r="A749" s="23"/>
      <c r="B749" s="23"/>
      <c r="C749" s="27"/>
      <c r="D749" s="19"/>
      <c r="E749" s="6"/>
      <c r="F749" s="6"/>
      <c r="G749" s="6"/>
      <c r="H749" s="6"/>
      <c r="I749" s="19"/>
      <c r="J749" s="6"/>
      <c r="K749" s="6"/>
      <c r="L749" s="19"/>
      <c r="M749" s="6"/>
      <c r="N749" s="6"/>
      <c r="O749" s="6"/>
      <c r="P749" s="6"/>
      <c r="Q749" s="6"/>
      <c r="R749" s="6"/>
      <c r="S749" s="6"/>
      <c r="T749" s="6"/>
      <c r="U749" s="6"/>
      <c r="V749" s="6"/>
      <c r="W749" s="6"/>
      <c r="X749" s="6"/>
      <c r="Y749" s="6"/>
      <c r="Z749" s="6"/>
      <c r="AA749" s="6"/>
      <c r="AB749" s="6"/>
      <c r="AC749" s="6"/>
      <c r="AD749" s="7"/>
    </row>
    <row r="750">
      <c r="A750" s="23"/>
      <c r="B750" s="23"/>
      <c r="C750" s="27"/>
      <c r="D750" s="19"/>
      <c r="E750" s="6"/>
      <c r="F750" s="6"/>
      <c r="G750" s="6"/>
      <c r="H750" s="6"/>
      <c r="I750" s="19"/>
      <c r="J750" s="6"/>
      <c r="K750" s="6"/>
      <c r="L750" s="19"/>
      <c r="M750" s="6"/>
      <c r="N750" s="6"/>
      <c r="O750" s="6"/>
      <c r="P750" s="6"/>
      <c r="Q750" s="6"/>
      <c r="R750" s="6"/>
      <c r="S750" s="6"/>
      <c r="T750" s="6"/>
      <c r="U750" s="6"/>
      <c r="V750" s="6"/>
      <c r="W750" s="6"/>
      <c r="X750" s="6"/>
      <c r="Y750" s="6"/>
      <c r="Z750" s="6"/>
      <c r="AA750" s="6"/>
      <c r="AB750" s="6"/>
      <c r="AC750" s="6"/>
      <c r="AD750" s="7"/>
    </row>
    <row r="751">
      <c r="A751" s="23"/>
      <c r="B751" s="23"/>
      <c r="C751" s="27"/>
      <c r="D751" s="19"/>
      <c r="E751" s="6"/>
      <c r="F751" s="6"/>
      <c r="G751" s="6"/>
      <c r="H751" s="6"/>
      <c r="I751" s="19"/>
      <c r="J751" s="6"/>
      <c r="K751" s="6"/>
      <c r="L751" s="19"/>
      <c r="M751" s="6"/>
      <c r="N751" s="6"/>
      <c r="O751" s="6"/>
      <c r="P751" s="6"/>
      <c r="Q751" s="6"/>
      <c r="R751" s="6"/>
      <c r="S751" s="6"/>
      <c r="T751" s="6"/>
      <c r="U751" s="6"/>
      <c r="V751" s="6"/>
      <c r="W751" s="6"/>
      <c r="X751" s="6"/>
      <c r="Y751" s="6"/>
      <c r="Z751" s="6"/>
      <c r="AA751" s="6"/>
      <c r="AB751" s="6"/>
      <c r="AC751" s="6"/>
      <c r="AD751" s="7"/>
    </row>
    <row r="752">
      <c r="A752" s="23"/>
      <c r="B752" s="23"/>
      <c r="C752" s="27"/>
      <c r="D752" s="19"/>
      <c r="E752" s="6"/>
      <c r="F752" s="6"/>
      <c r="G752" s="6"/>
      <c r="H752" s="6"/>
      <c r="I752" s="19"/>
      <c r="J752" s="6"/>
      <c r="K752" s="6"/>
      <c r="L752" s="19"/>
      <c r="M752" s="6"/>
      <c r="N752" s="6"/>
      <c r="O752" s="6"/>
      <c r="P752" s="6"/>
      <c r="Q752" s="6"/>
      <c r="R752" s="6"/>
      <c r="S752" s="6"/>
      <c r="T752" s="6"/>
      <c r="U752" s="6"/>
      <c r="V752" s="6"/>
      <c r="W752" s="6"/>
      <c r="X752" s="6"/>
      <c r="Y752" s="6"/>
      <c r="Z752" s="6"/>
      <c r="AA752" s="6"/>
      <c r="AB752" s="6"/>
      <c r="AC752" s="6"/>
      <c r="AD752" s="7"/>
    </row>
    <row r="753">
      <c r="A753" s="23"/>
      <c r="B753" s="23"/>
      <c r="C753" s="27"/>
      <c r="D753" s="19"/>
      <c r="E753" s="6"/>
      <c r="F753" s="6"/>
      <c r="G753" s="6"/>
      <c r="H753" s="6"/>
      <c r="I753" s="19"/>
      <c r="J753" s="6"/>
      <c r="K753" s="6"/>
      <c r="L753" s="19"/>
      <c r="M753" s="6"/>
      <c r="N753" s="6"/>
      <c r="O753" s="6"/>
      <c r="P753" s="6"/>
      <c r="Q753" s="6"/>
      <c r="R753" s="6"/>
      <c r="S753" s="6"/>
      <c r="T753" s="6"/>
      <c r="U753" s="6"/>
      <c r="V753" s="6"/>
      <c r="W753" s="6"/>
      <c r="X753" s="6"/>
      <c r="Y753" s="6"/>
      <c r="Z753" s="6"/>
      <c r="AA753" s="6"/>
      <c r="AB753" s="6"/>
      <c r="AC753" s="6"/>
      <c r="AD753" s="7"/>
    </row>
    <row r="754">
      <c r="A754" s="23"/>
      <c r="B754" s="23"/>
      <c r="C754" s="27"/>
      <c r="D754" s="19"/>
      <c r="E754" s="6"/>
      <c r="F754" s="6"/>
      <c r="G754" s="6"/>
      <c r="H754" s="6"/>
      <c r="I754" s="19"/>
      <c r="J754" s="6"/>
      <c r="K754" s="6"/>
      <c r="L754" s="19"/>
      <c r="M754" s="6"/>
      <c r="N754" s="6"/>
      <c r="O754" s="6"/>
      <c r="P754" s="6"/>
      <c r="Q754" s="6"/>
      <c r="R754" s="6"/>
      <c r="S754" s="6"/>
      <c r="T754" s="6"/>
      <c r="U754" s="6"/>
      <c r="V754" s="6"/>
      <c r="W754" s="6"/>
      <c r="X754" s="6"/>
      <c r="Y754" s="6"/>
      <c r="Z754" s="6"/>
      <c r="AA754" s="6"/>
      <c r="AB754" s="6"/>
      <c r="AC754" s="6"/>
      <c r="AD754" s="7"/>
    </row>
    <row r="755">
      <c r="A755" s="23"/>
      <c r="B755" s="23"/>
      <c r="C755" s="27"/>
      <c r="D755" s="19"/>
      <c r="E755" s="6"/>
      <c r="F755" s="6"/>
      <c r="G755" s="6"/>
      <c r="H755" s="6"/>
      <c r="I755" s="19"/>
      <c r="J755" s="6"/>
      <c r="K755" s="6"/>
      <c r="L755" s="19"/>
      <c r="M755" s="6"/>
      <c r="N755" s="6"/>
      <c r="O755" s="6"/>
      <c r="P755" s="6"/>
      <c r="Q755" s="6"/>
      <c r="R755" s="6"/>
      <c r="S755" s="6"/>
      <c r="T755" s="6"/>
      <c r="U755" s="6"/>
      <c r="V755" s="6"/>
      <c r="W755" s="6"/>
      <c r="X755" s="6"/>
      <c r="Y755" s="6"/>
      <c r="Z755" s="6"/>
      <c r="AA755" s="6"/>
      <c r="AB755" s="6"/>
      <c r="AC755" s="6"/>
      <c r="AD755" s="7"/>
    </row>
    <row r="756">
      <c r="A756" s="23"/>
      <c r="B756" s="23"/>
      <c r="C756" s="27"/>
      <c r="D756" s="19"/>
      <c r="E756" s="6"/>
      <c r="F756" s="6"/>
      <c r="G756" s="6"/>
      <c r="H756" s="6"/>
      <c r="I756" s="19"/>
      <c r="J756" s="6"/>
      <c r="K756" s="6"/>
      <c r="L756" s="19"/>
      <c r="M756" s="6"/>
      <c r="N756" s="6"/>
      <c r="O756" s="6"/>
      <c r="P756" s="6"/>
      <c r="Q756" s="6"/>
      <c r="R756" s="6"/>
      <c r="S756" s="6"/>
      <c r="T756" s="6"/>
      <c r="U756" s="6"/>
      <c r="V756" s="6"/>
      <c r="W756" s="6"/>
      <c r="X756" s="6"/>
      <c r="Y756" s="6"/>
      <c r="Z756" s="6"/>
      <c r="AA756" s="6"/>
      <c r="AB756" s="6"/>
      <c r="AC756" s="6"/>
      <c r="AD756" s="7"/>
    </row>
    <row r="757">
      <c r="A757" s="23"/>
      <c r="B757" s="23"/>
      <c r="C757" s="27"/>
      <c r="D757" s="19"/>
      <c r="E757" s="6"/>
      <c r="F757" s="6"/>
      <c r="G757" s="6"/>
      <c r="H757" s="6"/>
      <c r="I757" s="19"/>
      <c r="J757" s="6"/>
      <c r="K757" s="6"/>
      <c r="L757" s="19"/>
      <c r="M757" s="6"/>
      <c r="N757" s="6"/>
      <c r="O757" s="6"/>
      <c r="P757" s="6"/>
      <c r="Q757" s="6"/>
      <c r="R757" s="6"/>
      <c r="S757" s="6"/>
      <c r="T757" s="6"/>
      <c r="U757" s="6"/>
      <c r="V757" s="6"/>
      <c r="W757" s="6"/>
      <c r="X757" s="6"/>
      <c r="Y757" s="6"/>
      <c r="Z757" s="6"/>
      <c r="AA757" s="6"/>
      <c r="AB757" s="6"/>
      <c r="AC757" s="6"/>
      <c r="AD757" s="7"/>
    </row>
    <row r="758">
      <c r="A758" s="23"/>
      <c r="B758" s="23"/>
      <c r="C758" s="27"/>
      <c r="D758" s="19"/>
      <c r="E758" s="6"/>
      <c r="F758" s="6"/>
      <c r="G758" s="6"/>
      <c r="H758" s="6"/>
      <c r="I758" s="19"/>
      <c r="J758" s="6"/>
      <c r="K758" s="6"/>
      <c r="L758" s="19"/>
      <c r="M758" s="6"/>
      <c r="N758" s="6"/>
      <c r="O758" s="6"/>
      <c r="P758" s="6"/>
      <c r="Q758" s="6"/>
      <c r="R758" s="6"/>
      <c r="S758" s="6"/>
      <c r="T758" s="6"/>
      <c r="U758" s="6"/>
      <c r="V758" s="6"/>
      <c r="W758" s="6"/>
      <c r="X758" s="6"/>
      <c r="Y758" s="6"/>
      <c r="Z758" s="6"/>
      <c r="AA758" s="6"/>
      <c r="AB758" s="6"/>
      <c r="AC758" s="6"/>
      <c r="AD758" s="7"/>
    </row>
    <row r="759">
      <c r="A759" s="23"/>
      <c r="B759" s="23"/>
      <c r="C759" s="27"/>
      <c r="D759" s="19"/>
      <c r="E759" s="6"/>
      <c r="F759" s="6"/>
      <c r="G759" s="6"/>
      <c r="H759" s="6"/>
      <c r="I759" s="19"/>
      <c r="J759" s="6"/>
      <c r="K759" s="6"/>
      <c r="L759" s="19"/>
      <c r="M759" s="6"/>
      <c r="N759" s="6"/>
      <c r="O759" s="6"/>
      <c r="P759" s="6"/>
      <c r="Q759" s="6"/>
      <c r="R759" s="6"/>
      <c r="S759" s="6"/>
      <c r="T759" s="6"/>
      <c r="U759" s="6"/>
      <c r="V759" s="6"/>
      <c r="W759" s="6"/>
      <c r="X759" s="6"/>
      <c r="Y759" s="6"/>
      <c r="Z759" s="6"/>
      <c r="AA759" s="6"/>
      <c r="AB759" s="6"/>
      <c r="AC759" s="6"/>
      <c r="AD759" s="7"/>
    </row>
    <row r="760">
      <c r="A760" s="23"/>
      <c r="B760" s="23"/>
      <c r="C760" s="27"/>
      <c r="D760" s="19"/>
      <c r="E760" s="6"/>
      <c r="F760" s="6"/>
      <c r="G760" s="6"/>
      <c r="H760" s="6"/>
      <c r="I760" s="19"/>
      <c r="J760" s="6"/>
      <c r="K760" s="6"/>
      <c r="L760" s="19"/>
      <c r="M760" s="6"/>
      <c r="N760" s="6"/>
      <c r="O760" s="6"/>
      <c r="P760" s="6"/>
      <c r="Q760" s="6"/>
      <c r="R760" s="6"/>
      <c r="S760" s="6"/>
      <c r="T760" s="6"/>
      <c r="U760" s="6"/>
      <c r="V760" s="6"/>
      <c r="W760" s="6"/>
      <c r="X760" s="6"/>
      <c r="Y760" s="6"/>
      <c r="Z760" s="6"/>
      <c r="AA760" s="6"/>
      <c r="AB760" s="6"/>
      <c r="AC760" s="6"/>
      <c r="AD760" s="7"/>
    </row>
    <row r="761">
      <c r="A761" s="23"/>
      <c r="B761" s="23"/>
      <c r="C761" s="27"/>
      <c r="D761" s="19"/>
      <c r="E761" s="6"/>
      <c r="F761" s="6"/>
      <c r="G761" s="6"/>
      <c r="H761" s="6"/>
      <c r="I761" s="19"/>
      <c r="J761" s="6"/>
      <c r="K761" s="6"/>
      <c r="L761" s="19"/>
      <c r="M761" s="6"/>
      <c r="N761" s="6"/>
      <c r="O761" s="6"/>
      <c r="P761" s="6"/>
      <c r="Q761" s="6"/>
      <c r="R761" s="6"/>
      <c r="S761" s="6"/>
      <c r="T761" s="6"/>
      <c r="U761" s="6"/>
      <c r="V761" s="6"/>
      <c r="W761" s="6"/>
      <c r="X761" s="6"/>
      <c r="Y761" s="6"/>
      <c r="Z761" s="6"/>
      <c r="AA761" s="6"/>
      <c r="AB761" s="6"/>
      <c r="AC761" s="6"/>
      <c r="AD761" s="7"/>
    </row>
    <row r="762">
      <c r="A762" s="23"/>
      <c r="B762" s="23"/>
      <c r="C762" s="27"/>
      <c r="D762" s="19"/>
      <c r="E762" s="6"/>
      <c r="F762" s="6"/>
      <c r="G762" s="6"/>
      <c r="H762" s="6"/>
      <c r="I762" s="19"/>
      <c r="J762" s="6"/>
      <c r="K762" s="6"/>
      <c r="L762" s="19"/>
      <c r="M762" s="6"/>
      <c r="N762" s="6"/>
      <c r="O762" s="6"/>
      <c r="P762" s="6"/>
      <c r="Q762" s="6"/>
      <c r="R762" s="6"/>
      <c r="S762" s="6"/>
      <c r="T762" s="6"/>
      <c r="U762" s="6"/>
      <c r="V762" s="6"/>
      <c r="W762" s="6"/>
      <c r="X762" s="6"/>
      <c r="Y762" s="6"/>
      <c r="Z762" s="6"/>
      <c r="AA762" s="6"/>
      <c r="AB762" s="6"/>
      <c r="AC762" s="6"/>
      <c r="AD762" s="7"/>
    </row>
    <row r="763">
      <c r="A763" s="23"/>
      <c r="B763" s="23"/>
      <c r="C763" s="27"/>
      <c r="D763" s="19"/>
      <c r="E763" s="6"/>
      <c r="F763" s="6"/>
      <c r="G763" s="6"/>
      <c r="H763" s="6"/>
      <c r="I763" s="19"/>
      <c r="J763" s="6"/>
      <c r="K763" s="6"/>
      <c r="L763" s="19"/>
      <c r="M763" s="6"/>
      <c r="N763" s="6"/>
      <c r="O763" s="6"/>
      <c r="P763" s="6"/>
      <c r="Q763" s="6"/>
      <c r="R763" s="6"/>
      <c r="S763" s="6"/>
      <c r="T763" s="6"/>
      <c r="U763" s="6"/>
      <c r="V763" s="6"/>
      <c r="W763" s="6"/>
      <c r="X763" s="6"/>
      <c r="Y763" s="6"/>
      <c r="Z763" s="6"/>
      <c r="AA763" s="6"/>
      <c r="AB763" s="6"/>
      <c r="AC763" s="6"/>
      <c r="AD763" s="7"/>
    </row>
    <row r="764">
      <c r="A764" s="23"/>
      <c r="B764" s="23"/>
      <c r="C764" s="27"/>
      <c r="D764" s="19"/>
      <c r="E764" s="6"/>
      <c r="F764" s="6"/>
      <c r="G764" s="6"/>
      <c r="H764" s="6"/>
      <c r="I764" s="19"/>
      <c r="J764" s="6"/>
      <c r="K764" s="6"/>
      <c r="L764" s="19"/>
      <c r="M764" s="6"/>
      <c r="N764" s="6"/>
      <c r="O764" s="6"/>
      <c r="P764" s="6"/>
      <c r="Q764" s="6"/>
      <c r="R764" s="6"/>
      <c r="S764" s="6"/>
      <c r="T764" s="6"/>
      <c r="U764" s="6"/>
      <c r="V764" s="6"/>
      <c r="W764" s="6"/>
      <c r="X764" s="6"/>
      <c r="Y764" s="6"/>
      <c r="Z764" s="6"/>
      <c r="AA764" s="6"/>
      <c r="AB764" s="6"/>
      <c r="AC764" s="6"/>
      <c r="AD764" s="7"/>
    </row>
    <row r="765">
      <c r="A765" s="23"/>
      <c r="B765" s="23"/>
      <c r="C765" s="27"/>
      <c r="D765" s="19"/>
      <c r="E765" s="6"/>
      <c r="F765" s="6"/>
      <c r="G765" s="6"/>
      <c r="H765" s="6"/>
      <c r="I765" s="19"/>
      <c r="J765" s="6"/>
      <c r="K765" s="6"/>
      <c r="L765" s="19"/>
      <c r="M765" s="6"/>
      <c r="N765" s="6"/>
      <c r="O765" s="6"/>
      <c r="P765" s="6"/>
      <c r="Q765" s="6"/>
      <c r="R765" s="6"/>
      <c r="S765" s="6"/>
      <c r="T765" s="6"/>
      <c r="U765" s="6"/>
      <c r="V765" s="6"/>
      <c r="W765" s="6"/>
      <c r="X765" s="6"/>
      <c r="Y765" s="6"/>
      <c r="Z765" s="6"/>
      <c r="AA765" s="6"/>
      <c r="AB765" s="6"/>
      <c r="AC765" s="6"/>
      <c r="AD765" s="7"/>
    </row>
    <row r="766">
      <c r="A766" s="23"/>
      <c r="B766" s="23"/>
      <c r="C766" s="27"/>
      <c r="D766" s="19"/>
      <c r="E766" s="6"/>
      <c r="F766" s="6"/>
      <c r="G766" s="6"/>
      <c r="H766" s="6"/>
      <c r="I766" s="19"/>
      <c r="J766" s="6"/>
      <c r="K766" s="6"/>
      <c r="L766" s="19"/>
      <c r="M766" s="6"/>
      <c r="N766" s="6"/>
      <c r="O766" s="6"/>
      <c r="P766" s="6"/>
      <c r="Q766" s="6"/>
      <c r="R766" s="6"/>
      <c r="S766" s="6"/>
      <c r="T766" s="6"/>
      <c r="U766" s="6"/>
      <c r="V766" s="6"/>
      <c r="W766" s="6"/>
      <c r="X766" s="6"/>
      <c r="Y766" s="6"/>
      <c r="Z766" s="6"/>
      <c r="AA766" s="6"/>
      <c r="AB766" s="6"/>
      <c r="AC766" s="6"/>
      <c r="AD766" s="7"/>
    </row>
    <row r="767">
      <c r="A767" s="23"/>
      <c r="B767" s="23"/>
      <c r="C767" s="27"/>
      <c r="D767" s="19"/>
      <c r="E767" s="6"/>
      <c r="F767" s="6"/>
      <c r="G767" s="6"/>
      <c r="H767" s="6"/>
      <c r="I767" s="19"/>
      <c r="J767" s="6"/>
      <c r="K767" s="6"/>
      <c r="L767" s="19"/>
      <c r="M767" s="6"/>
      <c r="N767" s="6"/>
      <c r="O767" s="6"/>
      <c r="P767" s="6"/>
      <c r="Q767" s="6"/>
      <c r="R767" s="6"/>
      <c r="S767" s="6"/>
      <c r="T767" s="6"/>
      <c r="U767" s="6"/>
      <c r="V767" s="6"/>
      <c r="W767" s="6"/>
      <c r="X767" s="6"/>
      <c r="Y767" s="6"/>
      <c r="Z767" s="6"/>
      <c r="AA767" s="6"/>
      <c r="AB767" s="6"/>
      <c r="AC767" s="6"/>
      <c r="AD767" s="7"/>
    </row>
    <row r="768">
      <c r="A768" s="23"/>
      <c r="B768" s="23"/>
      <c r="C768" s="27"/>
      <c r="D768" s="19"/>
      <c r="E768" s="6"/>
      <c r="F768" s="6"/>
      <c r="G768" s="6"/>
      <c r="H768" s="6"/>
      <c r="I768" s="19"/>
      <c r="J768" s="6"/>
      <c r="K768" s="6"/>
      <c r="L768" s="19"/>
      <c r="M768" s="6"/>
      <c r="N768" s="6"/>
      <c r="O768" s="6"/>
      <c r="P768" s="6"/>
      <c r="Q768" s="6"/>
      <c r="R768" s="6"/>
      <c r="S768" s="6"/>
      <c r="T768" s="6"/>
      <c r="U768" s="6"/>
      <c r="V768" s="6"/>
      <c r="W768" s="6"/>
      <c r="X768" s="6"/>
      <c r="Y768" s="6"/>
      <c r="Z768" s="6"/>
      <c r="AA768" s="6"/>
      <c r="AB768" s="6"/>
      <c r="AC768" s="6"/>
      <c r="AD768" s="7"/>
    </row>
    <row r="769">
      <c r="A769" s="23"/>
      <c r="B769" s="23"/>
      <c r="C769" s="27"/>
      <c r="D769" s="19"/>
      <c r="E769" s="6"/>
      <c r="F769" s="6"/>
      <c r="G769" s="6"/>
      <c r="H769" s="6"/>
      <c r="I769" s="19"/>
      <c r="J769" s="6"/>
      <c r="K769" s="6"/>
      <c r="L769" s="19"/>
      <c r="M769" s="6"/>
      <c r="N769" s="6"/>
      <c r="O769" s="6"/>
      <c r="P769" s="6"/>
      <c r="Q769" s="6"/>
      <c r="R769" s="6"/>
      <c r="S769" s="6"/>
      <c r="T769" s="6"/>
      <c r="U769" s="6"/>
      <c r="V769" s="6"/>
      <c r="W769" s="6"/>
      <c r="X769" s="6"/>
      <c r="Y769" s="6"/>
      <c r="Z769" s="6"/>
      <c r="AA769" s="6"/>
      <c r="AB769" s="6"/>
      <c r="AC769" s="6"/>
      <c r="AD769" s="7"/>
    </row>
    <row r="770">
      <c r="A770" s="23"/>
      <c r="B770" s="23"/>
      <c r="C770" s="27"/>
      <c r="D770" s="19"/>
      <c r="E770" s="6"/>
      <c r="F770" s="6"/>
      <c r="G770" s="6"/>
      <c r="H770" s="6"/>
      <c r="I770" s="19"/>
      <c r="J770" s="6"/>
      <c r="K770" s="6"/>
      <c r="L770" s="19"/>
      <c r="M770" s="6"/>
      <c r="N770" s="6"/>
      <c r="O770" s="6"/>
      <c r="P770" s="6"/>
      <c r="Q770" s="6"/>
      <c r="R770" s="6"/>
      <c r="S770" s="6"/>
      <c r="T770" s="6"/>
      <c r="U770" s="6"/>
      <c r="V770" s="6"/>
      <c r="W770" s="6"/>
      <c r="X770" s="6"/>
      <c r="Y770" s="6"/>
      <c r="Z770" s="6"/>
      <c r="AA770" s="6"/>
      <c r="AB770" s="6"/>
      <c r="AC770" s="6"/>
      <c r="AD770" s="7"/>
    </row>
    <row r="771">
      <c r="A771" s="23"/>
      <c r="B771" s="23"/>
      <c r="C771" s="27"/>
      <c r="D771" s="19"/>
      <c r="E771" s="6"/>
      <c r="F771" s="6"/>
      <c r="G771" s="6"/>
      <c r="H771" s="6"/>
      <c r="I771" s="19"/>
      <c r="J771" s="6"/>
      <c r="K771" s="6"/>
      <c r="L771" s="19"/>
      <c r="M771" s="6"/>
      <c r="N771" s="6"/>
      <c r="O771" s="6"/>
      <c r="P771" s="6"/>
      <c r="Q771" s="6"/>
      <c r="R771" s="6"/>
      <c r="S771" s="6"/>
      <c r="T771" s="6"/>
      <c r="U771" s="6"/>
      <c r="V771" s="6"/>
      <c r="W771" s="6"/>
      <c r="X771" s="6"/>
      <c r="Y771" s="6"/>
      <c r="Z771" s="6"/>
      <c r="AA771" s="6"/>
      <c r="AB771" s="6"/>
      <c r="AC771" s="6"/>
      <c r="AD771" s="7"/>
    </row>
    <row r="772">
      <c r="A772" s="23"/>
      <c r="B772" s="23"/>
      <c r="C772" s="27"/>
      <c r="D772" s="19"/>
      <c r="E772" s="6"/>
      <c r="F772" s="6"/>
      <c r="G772" s="6"/>
      <c r="H772" s="6"/>
      <c r="I772" s="19"/>
      <c r="J772" s="6"/>
      <c r="K772" s="6"/>
      <c r="L772" s="19"/>
      <c r="M772" s="6"/>
      <c r="N772" s="6"/>
      <c r="O772" s="6"/>
      <c r="P772" s="6"/>
      <c r="Q772" s="6"/>
      <c r="R772" s="6"/>
      <c r="S772" s="6"/>
      <c r="T772" s="6"/>
      <c r="U772" s="6"/>
      <c r="V772" s="6"/>
      <c r="W772" s="6"/>
      <c r="X772" s="6"/>
      <c r="Y772" s="6"/>
      <c r="Z772" s="6"/>
      <c r="AA772" s="6"/>
      <c r="AB772" s="6"/>
      <c r="AC772" s="6"/>
      <c r="AD772" s="7"/>
    </row>
    <row r="773">
      <c r="A773" s="23"/>
      <c r="B773" s="23"/>
      <c r="C773" s="27"/>
      <c r="D773" s="19"/>
      <c r="E773" s="6"/>
      <c r="F773" s="6"/>
      <c r="G773" s="6"/>
      <c r="H773" s="6"/>
      <c r="I773" s="19"/>
      <c r="J773" s="6"/>
      <c r="K773" s="6"/>
      <c r="L773" s="19"/>
      <c r="M773" s="6"/>
      <c r="N773" s="6"/>
      <c r="O773" s="6"/>
      <c r="P773" s="6"/>
      <c r="Q773" s="6"/>
      <c r="R773" s="6"/>
      <c r="S773" s="6"/>
      <c r="T773" s="6"/>
      <c r="U773" s="6"/>
      <c r="V773" s="6"/>
      <c r="W773" s="6"/>
      <c r="X773" s="6"/>
      <c r="Y773" s="6"/>
      <c r="Z773" s="6"/>
      <c r="AA773" s="6"/>
      <c r="AB773" s="6"/>
      <c r="AC773" s="6"/>
      <c r="AD773" s="7"/>
    </row>
    <row r="774">
      <c r="A774" s="23"/>
      <c r="B774" s="23"/>
      <c r="C774" s="27"/>
      <c r="D774" s="19"/>
      <c r="E774" s="6"/>
      <c r="F774" s="6"/>
      <c r="G774" s="6"/>
      <c r="H774" s="6"/>
      <c r="I774" s="19"/>
      <c r="J774" s="6"/>
      <c r="K774" s="6"/>
      <c r="L774" s="19"/>
      <c r="M774" s="6"/>
      <c r="N774" s="6"/>
      <c r="O774" s="6"/>
      <c r="P774" s="6"/>
      <c r="Q774" s="6"/>
      <c r="R774" s="6"/>
      <c r="S774" s="6"/>
      <c r="T774" s="6"/>
      <c r="U774" s="6"/>
      <c r="V774" s="6"/>
      <c r="W774" s="6"/>
      <c r="X774" s="6"/>
      <c r="Y774" s="6"/>
      <c r="Z774" s="6"/>
      <c r="AA774" s="6"/>
      <c r="AB774" s="6"/>
      <c r="AC774" s="6"/>
      <c r="AD774" s="7"/>
    </row>
    <row r="775">
      <c r="A775" s="23"/>
      <c r="B775" s="23"/>
      <c r="C775" s="27"/>
      <c r="D775" s="19"/>
      <c r="E775" s="6"/>
      <c r="F775" s="6"/>
      <c r="G775" s="6"/>
      <c r="H775" s="6"/>
      <c r="I775" s="19"/>
      <c r="J775" s="6"/>
      <c r="K775" s="6"/>
      <c r="L775" s="19"/>
      <c r="M775" s="6"/>
      <c r="N775" s="6"/>
      <c r="O775" s="6"/>
      <c r="P775" s="6"/>
      <c r="Q775" s="6"/>
      <c r="R775" s="6"/>
      <c r="S775" s="6"/>
      <c r="T775" s="6"/>
      <c r="U775" s="6"/>
      <c r="V775" s="6"/>
      <c r="W775" s="6"/>
      <c r="X775" s="6"/>
      <c r="Y775" s="6"/>
      <c r="Z775" s="6"/>
      <c r="AA775" s="6"/>
      <c r="AB775" s="6"/>
      <c r="AC775" s="6"/>
      <c r="AD775" s="7"/>
    </row>
    <row r="776">
      <c r="A776" s="23"/>
      <c r="B776" s="23"/>
      <c r="C776" s="27"/>
      <c r="D776" s="19"/>
      <c r="E776" s="6"/>
      <c r="F776" s="6"/>
      <c r="G776" s="6"/>
      <c r="H776" s="6"/>
      <c r="I776" s="19"/>
      <c r="J776" s="6"/>
      <c r="K776" s="6"/>
      <c r="L776" s="19"/>
      <c r="M776" s="6"/>
      <c r="N776" s="6"/>
      <c r="O776" s="6"/>
      <c r="P776" s="6"/>
      <c r="Q776" s="6"/>
      <c r="R776" s="6"/>
      <c r="S776" s="6"/>
      <c r="T776" s="6"/>
      <c r="U776" s="6"/>
      <c r="V776" s="6"/>
      <c r="W776" s="6"/>
      <c r="X776" s="6"/>
      <c r="Y776" s="6"/>
      <c r="Z776" s="6"/>
      <c r="AA776" s="6"/>
      <c r="AB776" s="6"/>
      <c r="AC776" s="6"/>
      <c r="AD776" s="7"/>
    </row>
    <row r="777">
      <c r="A777" s="23"/>
      <c r="B777" s="23"/>
      <c r="C777" s="27"/>
      <c r="D777" s="19"/>
      <c r="E777" s="6"/>
      <c r="F777" s="6"/>
      <c r="G777" s="6"/>
      <c r="H777" s="6"/>
      <c r="I777" s="19"/>
      <c r="J777" s="6"/>
      <c r="K777" s="6"/>
      <c r="L777" s="19"/>
      <c r="M777" s="6"/>
      <c r="N777" s="6"/>
      <c r="O777" s="6"/>
      <c r="P777" s="6"/>
      <c r="Q777" s="6"/>
      <c r="R777" s="6"/>
      <c r="S777" s="6"/>
      <c r="T777" s="6"/>
      <c r="U777" s="6"/>
      <c r="V777" s="6"/>
      <c r="W777" s="6"/>
      <c r="X777" s="6"/>
      <c r="Y777" s="6"/>
      <c r="Z777" s="6"/>
      <c r="AA777" s="6"/>
      <c r="AB777" s="6"/>
      <c r="AC777" s="6"/>
      <c r="AD777" s="7"/>
    </row>
    <row r="778">
      <c r="A778" s="23"/>
      <c r="B778" s="23"/>
      <c r="C778" s="27"/>
      <c r="D778" s="19"/>
      <c r="E778" s="6"/>
      <c r="F778" s="6"/>
      <c r="G778" s="6"/>
      <c r="H778" s="6"/>
      <c r="I778" s="19"/>
      <c r="J778" s="6"/>
      <c r="K778" s="6"/>
      <c r="L778" s="19"/>
      <c r="M778" s="6"/>
      <c r="N778" s="6"/>
      <c r="O778" s="6"/>
      <c r="P778" s="6"/>
      <c r="Q778" s="6"/>
      <c r="R778" s="6"/>
      <c r="S778" s="6"/>
      <c r="T778" s="6"/>
      <c r="U778" s="6"/>
      <c r="V778" s="6"/>
      <c r="W778" s="6"/>
      <c r="X778" s="6"/>
      <c r="Y778" s="6"/>
      <c r="Z778" s="6"/>
      <c r="AA778" s="6"/>
      <c r="AB778" s="6"/>
      <c r="AC778" s="6"/>
      <c r="AD778" s="7"/>
    </row>
    <row r="779">
      <c r="A779" s="23"/>
      <c r="B779" s="23"/>
      <c r="C779" s="27"/>
      <c r="D779" s="19"/>
      <c r="E779" s="6"/>
      <c r="F779" s="6"/>
      <c r="G779" s="6"/>
      <c r="H779" s="6"/>
      <c r="I779" s="19"/>
      <c r="J779" s="6"/>
      <c r="K779" s="6"/>
      <c r="L779" s="19"/>
      <c r="M779" s="6"/>
      <c r="N779" s="6"/>
      <c r="O779" s="6"/>
      <c r="P779" s="6"/>
      <c r="Q779" s="6"/>
      <c r="R779" s="6"/>
      <c r="S779" s="6"/>
      <c r="T779" s="6"/>
      <c r="U779" s="6"/>
      <c r="V779" s="6"/>
      <c r="W779" s="6"/>
      <c r="X779" s="6"/>
      <c r="Y779" s="6"/>
      <c r="Z779" s="6"/>
      <c r="AA779" s="6"/>
      <c r="AB779" s="6"/>
      <c r="AC779" s="6"/>
      <c r="AD779" s="7"/>
    </row>
    <row r="780">
      <c r="A780" s="23"/>
      <c r="B780" s="23"/>
      <c r="C780" s="27"/>
      <c r="D780" s="19"/>
      <c r="E780" s="6"/>
      <c r="F780" s="6"/>
      <c r="G780" s="6"/>
      <c r="H780" s="6"/>
      <c r="I780" s="19"/>
      <c r="J780" s="6"/>
      <c r="K780" s="6"/>
      <c r="L780" s="19"/>
      <c r="M780" s="6"/>
      <c r="N780" s="6"/>
      <c r="O780" s="6"/>
      <c r="P780" s="6"/>
      <c r="Q780" s="6"/>
      <c r="R780" s="6"/>
      <c r="S780" s="6"/>
      <c r="T780" s="6"/>
      <c r="U780" s="6"/>
      <c r="V780" s="6"/>
      <c r="W780" s="6"/>
      <c r="X780" s="6"/>
      <c r="Y780" s="6"/>
      <c r="Z780" s="6"/>
      <c r="AA780" s="6"/>
      <c r="AB780" s="6"/>
      <c r="AC780" s="6"/>
      <c r="AD780" s="7"/>
    </row>
    <row r="781">
      <c r="A781" s="23"/>
      <c r="B781" s="23"/>
      <c r="C781" s="27"/>
      <c r="D781" s="19"/>
      <c r="E781" s="6"/>
      <c r="F781" s="6"/>
      <c r="G781" s="6"/>
      <c r="H781" s="6"/>
      <c r="I781" s="19"/>
      <c r="J781" s="6"/>
      <c r="K781" s="6"/>
      <c r="L781" s="19"/>
      <c r="M781" s="6"/>
      <c r="N781" s="6"/>
      <c r="O781" s="6"/>
      <c r="P781" s="6"/>
      <c r="Q781" s="6"/>
      <c r="R781" s="6"/>
      <c r="S781" s="6"/>
      <c r="T781" s="6"/>
      <c r="U781" s="6"/>
      <c r="V781" s="6"/>
      <c r="W781" s="6"/>
      <c r="X781" s="6"/>
      <c r="Y781" s="6"/>
      <c r="Z781" s="6"/>
      <c r="AA781" s="6"/>
      <c r="AB781" s="6"/>
      <c r="AC781" s="6"/>
      <c r="AD781" s="7"/>
    </row>
    <row r="782">
      <c r="A782" s="23"/>
      <c r="B782" s="23"/>
      <c r="C782" s="27"/>
      <c r="D782" s="19"/>
      <c r="E782" s="6"/>
      <c r="F782" s="6"/>
      <c r="G782" s="6"/>
      <c r="H782" s="6"/>
      <c r="I782" s="19"/>
      <c r="J782" s="6"/>
      <c r="K782" s="6"/>
      <c r="L782" s="19"/>
      <c r="M782" s="6"/>
      <c r="N782" s="6"/>
      <c r="O782" s="6"/>
      <c r="P782" s="6"/>
      <c r="Q782" s="6"/>
      <c r="R782" s="6"/>
      <c r="S782" s="6"/>
      <c r="T782" s="6"/>
      <c r="U782" s="6"/>
      <c r="V782" s="6"/>
      <c r="W782" s="6"/>
      <c r="X782" s="6"/>
      <c r="Y782" s="6"/>
      <c r="Z782" s="6"/>
      <c r="AA782" s="6"/>
      <c r="AB782" s="6"/>
      <c r="AC782" s="6"/>
      <c r="AD782" s="7"/>
    </row>
    <row r="783">
      <c r="A783" s="23"/>
      <c r="B783" s="23"/>
      <c r="C783" s="27"/>
      <c r="D783" s="19"/>
      <c r="E783" s="6"/>
      <c r="F783" s="6"/>
      <c r="G783" s="6"/>
      <c r="H783" s="6"/>
      <c r="I783" s="19"/>
      <c r="J783" s="6"/>
      <c r="K783" s="6"/>
      <c r="L783" s="19"/>
      <c r="M783" s="6"/>
      <c r="N783" s="6"/>
      <c r="O783" s="6"/>
      <c r="P783" s="6"/>
      <c r="Q783" s="6"/>
      <c r="R783" s="6"/>
      <c r="S783" s="6"/>
      <c r="T783" s="6"/>
      <c r="U783" s="6"/>
      <c r="V783" s="6"/>
      <c r="W783" s="6"/>
      <c r="X783" s="6"/>
      <c r="Y783" s="6"/>
      <c r="Z783" s="6"/>
      <c r="AA783" s="6"/>
      <c r="AB783" s="6"/>
      <c r="AC783" s="6"/>
      <c r="AD783" s="7"/>
    </row>
    <row r="784">
      <c r="A784" s="23"/>
      <c r="B784" s="23"/>
      <c r="C784" s="27"/>
      <c r="D784" s="19"/>
      <c r="E784" s="6"/>
      <c r="F784" s="6"/>
      <c r="G784" s="6"/>
      <c r="H784" s="6"/>
      <c r="I784" s="19"/>
      <c r="J784" s="6"/>
      <c r="K784" s="6"/>
      <c r="L784" s="19"/>
      <c r="M784" s="6"/>
      <c r="N784" s="6"/>
      <c r="O784" s="6"/>
      <c r="P784" s="6"/>
      <c r="Q784" s="6"/>
      <c r="R784" s="6"/>
      <c r="S784" s="6"/>
      <c r="T784" s="6"/>
      <c r="U784" s="6"/>
      <c r="V784" s="6"/>
      <c r="W784" s="6"/>
      <c r="X784" s="6"/>
      <c r="Y784" s="6"/>
      <c r="Z784" s="6"/>
      <c r="AA784" s="6"/>
      <c r="AB784" s="6"/>
      <c r="AC784" s="6"/>
      <c r="AD784" s="7"/>
    </row>
    <row r="785">
      <c r="A785" s="23"/>
      <c r="B785" s="23"/>
      <c r="C785" s="27"/>
      <c r="D785" s="19"/>
      <c r="E785" s="6"/>
      <c r="F785" s="6"/>
      <c r="G785" s="6"/>
      <c r="H785" s="6"/>
      <c r="I785" s="19"/>
      <c r="J785" s="6"/>
      <c r="K785" s="6"/>
      <c r="L785" s="19"/>
      <c r="M785" s="6"/>
      <c r="N785" s="6"/>
      <c r="O785" s="6"/>
      <c r="P785" s="6"/>
      <c r="Q785" s="6"/>
      <c r="R785" s="6"/>
      <c r="S785" s="6"/>
      <c r="T785" s="6"/>
      <c r="U785" s="6"/>
      <c r="V785" s="6"/>
      <c r="W785" s="6"/>
      <c r="X785" s="6"/>
      <c r="Y785" s="6"/>
      <c r="Z785" s="6"/>
      <c r="AA785" s="6"/>
      <c r="AB785" s="6"/>
      <c r="AC785" s="6"/>
      <c r="AD785" s="7"/>
    </row>
    <row r="786">
      <c r="A786" s="23"/>
      <c r="B786" s="23"/>
      <c r="C786" s="27"/>
      <c r="D786" s="19"/>
      <c r="E786" s="6"/>
      <c r="F786" s="6"/>
      <c r="G786" s="6"/>
      <c r="H786" s="6"/>
      <c r="I786" s="19"/>
      <c r="J786" s="6"/>
      <c r="K786" s="6"/>
      <c r="L786" s="19"/>
      <c r="M786" s="6"/>
      <c r="N786" s="6"/>
      <c r="O786" s="6"/>
      <c r="P786" s="6"/>
      <c r="Q786" s="6"/>
      <c r="R786" s="6"/>
      <c r="S786" s="6"/>
      <c r="T786" s="6"/>
      <c r="U786" s="6"/>
      <c r="V786" s="6"/>
      <c r="W786" s="6"/>
      <c r="X786" s="6"/>
      <c r="Y786" s="6"/>
      <c r="Z786" s="6"/>
      <c r="AA786" s="6"/>
      <c r="AB786" s="6"/>
      <c r="AC786" s="6"/>
      <c r="AD786" s="7"/>
    </row>
    <row r="787">
      <c r="A787" s="23"/>
      <c r="B787" s="23"/>
      <c r="C787" s="27"/>
      <c r="D787" s="19"/>
      <c r="E787" s="6"/>
      <c r="F787" s="6"/>
      <c r="G787" s="6"/>
      <c r="H787" s="6"/>
      <c r="I787" s="19"/>
      <c r="J787" s="6"/>
      <c r="K787" s="6"/>
      <c r="L787" s="19"/>
      <c r="M787" s="6"/>
      <c r="N787" s="6"/>
      <c r="O787" s="6"/>
      <c r="P787" s="6"/>
      <c r="Q787" s="6"/>
      <c r="R787" s="6"/>
      <c r="S787" s="6"/>
      <c r="T787" s="6"/>
      <c r="U787" s="6"/>
      <c r="V787" s="6"/>
      <c r="W787" s="6"/>
      <c r="X787" s="6"/>
      <c r="Y787" s="6"/>
      <c r="Z787" s="6"/>
      <c r="AA787" s="6"/>
      <c r="AB787" s="6"/>
      <c r="AC787" s="6"/>
      <c r="AD787" s="7"/>
    </row>
    <row r="788">
      <c r="A788" s="23"/>
      <c r="B788" s="23"/>
      <c r="C788" s="27"/>
      <c r="D788" s="19"/>
      <c r="E788" s="6"/>
      <c r="F788" s="6"/>
      <c r="G788" s="6"/>
      <c r="H788" s="6"/>
      <c r="I788" s="19"/>
      <c r="J788" s="6"/>
      <c r="K788" s="6"/>
      <c r="L788" s="19"/>
      <c r="M788" s="6"/>
      <c r="N788" s="6"/>
      <c r="O788" s="6"/>
      <c r="P788" s="6"/>
      <c r="Q788" s="6"/>
      <c r="R788" s="6"/>
      <c r="S788" s="6"/>
      <c r="T788" s="6"/>
      <c r="U788" s="6"/>
      <c r="V788" s="6"/>
      <c r="W788" s="6"/>
      <c r="X788" s="6"/>
      <c r="Y788" s="6"/>
      <c r="Z788" s="6"/>
      <c r="AA788" s="6"/>
      <c r="AB788" s="6"/>
      <c r="AC788" s="6"/>
      <c r="AD788" s="7"/>
    </row>
    <row r="789">
      <c r="A789" s="23"/>
      <c r="B789" s="23"/>
      <c r="C789" s="27"/>
      <c r="D789" s="19"/>
      <c r="E789" s="6"/>
      <c r="F789" s="6"/>
      <c r="G789" s="6"/>
      <c r="H789" s="6"/>
      <c r="I789" s="19"/>
      <c r="J789" s="6"/>
      <c r="K789" s="6"/>
      <c r="L789" s="19"/>
      <c r="M789" s="6"/>
      <c r="N789" s="6"/>
      <c r="O789" s="6"/>
      <c r="P789" s="6"/>
      <c r="Q789" s="6"/>
      <c r="R789" s="6"/>
      <c r="S789" s="6"/>
      <c r="T789" s="6"/>
      <c r="U789" s="6"/>
      <c r="V789" s="6"/>
      <c r="W789" s="6"/>
      <c r="X789" s="6"/>
      <c r="Y789" s="6"/>
      <c r="Z789" s="6"/>
      <c r="AA789" s="6"/>
      <c r="AB789" s="6"/>
      <c r="AC789" s="6"/>
      <c r="AD789" s="7"/>
    </row>
    <row r="790">
      <c r="A790" s="23"/>
      <c r="B790" s="23"/>
      <c r="C790" s="27"/>
      <c r="D790" s="19"/>
      <c r="E790" s="6"/>
      <c r="F790" s="6"/>
      <c r="G790" s="6"/>
      <c r="H790" s="6"/>
      <c r="I790" s="19"/>
      <c r="J790" s="6"/>
      <c r="K790" s="6"/>
      <c r="L790" s="19"/>
      <c r="M790" s="6"/>
      <c r="N790" s="6"/>
      <c r="O790" s="6"/>
      <c r="P790" s="6"/>
      <c r="Q790" s="6"/>
      <c r="R790" s="6"/>
      <c r="S790" s="6"/>
      <c r="T790" s="6"/>
      <c r="U790" s="6"/>
      <c r="V790" s="6"/>
      <c r="W790" s="6"/>
      <c r="X790" s="6"/>
      <c r="Y790" s="6"/>
      <c r="Z790" s="6"/>
      <c r="AA790" s="6"/>
      <c r="AB790" s="6"/>
      <c r="AC790" s="6"/>
      <c r="AD790" s="7"/>
    </row>
    <row r="791">
      <c r="A791" s="23"/>
      <c r="B791" s="23"/>
      <c r="C791" s="27"/>
      <c r="D791" s="19"/>
      <c r="E791" s="6"/>
      <c r="F791" s="6"/>
      <c r="G791" s="6"/>
      <c r="H791" s="6"/>
      <c r="I791" s="19"/>
      <c r="J791" s="6"/>
      <c r="K791" s="6"/>
      <c r="L791" s="19"/>
      <c r="M791" s="6"/>
      <c r="N791" s="6"/>
      <c r="O791" s="6"/>
      <c r="P791" s="6"/>
      <c r="Q791" s="6"/>
      <c r="R791" s="6"/>
      <c r="S791" s="6"/>
      <c r="T791" s="6"/>
      <c r="U791" s="6"/>
      <c r="V791" s="6"/>
      <c r="W791" s="6"/>
      <c r="X791" s="6"/>
      <c r="Y791" s="6"/>
      <c r="Z791" s="6"/>
      <c r="AA791" s="6"/>
      <c r="AB791" s="6"/>
      <c r="AC791" s="6"/>
      <c r="AD791" s="7"/>
    </row>
    <row r="792">
      <c r="A792" s="23"/>
      <c r="B792" s="23"/>
      <c r="C792" s="27"/>
      <c r="D792" s="19"/>
      <c r="E792" s="6"/>
      <c r="F792" s="6"/>
      <c r="G792" s="6"/>
      <c r="H792" s="6"/>
      <c r="I792" s="19"/>
      <c r="J792" s="6"/>
      <c r="K792" s="6"/>
      <c r="L792" s="19"/>
      <c r="M792" s="6"/>
      <c r="N792" s="6"/>
      <c r="O792" s="6"/>
      <c r="P792" s="6"/>
      <c r="Q792" s="6"/>
      <c r="R792" s="6"/>
      <c r="S792" s="6"/>
      <c r="T792" s="6"/>
      <c r="U792" s="6"/>
      <c r="V792" s="6"/>
      <c r="W792" s="6"/>
      <c r="X792" s="6"/>
      <c r="Y792" s="6"/>
      <c r="Z792" s="6"/>
      <c r="AA792" s="6"/>
      <c r="AB792" s="6"/>
      <c r="AC792" s="6"/>
      <c r="AD792" s="7"/>
    </row>
    <row r="793">
      <c r="A793" s="23"/>
      <c r="B793" s="23"/>
      <c r="C793" s="27"/>
      <c r="D793" s="19"/>
      <c r="E793" s="6"/>
      <c r="F793" s="6"/>
      <c r="G793" s="6"/>
      <c r="H793" s="6"/>
      <c r="I793" s="19"/>
      <c r="J793" s="6"/>
      <c r="K793" s="6"/>
      <c r="L793" s="19"/>
      <c r="M793" s="6"/>
      <c r="N793" s="6"/>
      <c r="O793" s="6"/>
      <c r="P793" s="6"/>
      <c r="Q793" s="6"/>
      <c r="R793" s="6"/>
      <c r="S793" s="6"/>
      <c r="T793" s="6"/>
      <c r="U793" s="6"/>
      <c r="V793" s="6"/>
      <c r="W793" s="6"/>
      <c r="X793" s="6"/>
      <c r="Y793" s="6"/>
      <c r="Z793" s="6"/>
      <c r="AA793" s="6"/>
      <c r="AB793" s="6"/>
      <c r="AC793" s="6"/>
      <c r="AD793" s="7"/>
    </row>
    <row r="794">
      <c r="A794" s="23"/>
      <c r="B794" s="23"/>
      <c r="C794" s="27"/>
      <c r="D794" s="19"/>
      <c r="E794" s="6"/>
      <c r="F794" s="6"/>
      <c r="G794" s="6"/>
      <c r="H794" s="6"/>
      <c r="I794" s="19"/>
      <c r="J794" s="6"/>
      <c r="K794" s="6"/>
      <c r="L794" s="19"/>
      <c r="M794" s="6"/>
      <c r="N794" s="6"/>
      <c r="O794" s="6"/>
      <c r="P794" s="6"/>
      <c r="Q794" s="6"/>
      <c r="R794" s="6"/>
      <c r="S794" s="6"/>
      <c r="T794" s="6"/>
      <c r="U794" s="6"/>
      <c r="V794" s="6"/>
      <c r="W794" s="6"/>
      <c r="X794" s="6"/>
      <c r="Y794" s="6"/>
      <c r="Z794" s="6"/>
      <c r="AA794" s="6"/>
      <c r="AB794" s="6"/>
      <c r="AC794" s="6"/>
      <c r="AD794" s="7"/>
    </row>
    <row r="795">
      <c r="A795" s="23"/>
      <c r="B795" s="23"/>
      <c r="C795" s="27"/>
      <c r="D795" s="19"/>
      <c r="E795" s="6"/>
      <c r="F795" s="6"/>
      <c r="G795" s="6"/>
      <c r="H795" s="6"/>
      <c r="I795" s="19"/>
      <c r="J795" s="6"/>
      <c r="K795" s="6"/>
      <c r="L795" s="19"/>
      <c r="M795" s="6"/>
      <c r="N795" s="6"/>
      <c r="O795" s="6"/>
      <c r="P795" s="6"/>
      <c r="Q795" s="6"/>
      <c r="R795" s="6"/>
      <c r="S795" s="6"/>
      <c r="T795" s="6"/>
      <c r="U795" s="6"/>
      <c r="V795" s="6"/>
      <c r="W795" s="6"/>
      <c r="X795" s="6"/>
      <c r="Y795" s="6"/>
      <c r="Z795" s="6"/>
      <c r="AA795" s="6"/>
      <c r="AB795" s="6"/>
      <c r="AC795" s="6"/>
      <c r="AD795" s="7"/>
    </row>
    <row r="796">
      <c r="A796" s="23"/>
      <c r="B796" s="23"/>
      <c r="C796" s="27"/>
      <c r="D796" s="19"/>
      <c r="E796" s="6"/>
      <c r="F796" s="6"/>
      <c r="G796" s="6"/>
      <c r="H796" s="6"/>
      <c r="I796" s="19"/>
      <c r="J796" s="6"/>
      <c r="K796" s="6"/>
      <c r="L796" s="19"/>
      <c r="M796" s="6"/>
      <c r="N796" s="6"/>
      <c r="O796" s="6"/>
      <c r="P796" s="6"/>
      <c r="Q796" s="6"/>
      <c r="R796" s="6"/>
      <c r="S796" s="6"/>
      <c r="T796" s="6"/>
      <c r="U796" s="6"/>
      <c r="V796" s="6"/>
      <c r="W796" s="6"/>
      <c r="X796" s="6"/>
      <c r="Y796" s="6"/>
      <c r="Z796" s="6"/>
      <c r="AA796" s="6"/>
      <c r="AB796" s="6"/>
      <c r="AC796" s="6"/>
      <c r="AD796" s="7"/>
    </row>
    <row r="797">
      <c r="A797" s="23"/>
      <c r="B797" s="23"/>
      <c r="C797" s="27"/>
      <c r="D797" s="19"/>
      <c r="E797" s="6"/>
      <c r="F797" s="6"/>
      <c r="G797" s="6"/>
      <c r="H797" s="6"/>
      <c r="I797" s="19"/>
      <c r="J797" s="6"/>
      <c r="K797" s="6"/>
      <c r="L797" s="19"/>
      <c r="M797" s="6"/>
      <c r="N797" s="6"/>
      <c r="O797" s="6"/>
      <c r="P797" s="6"/>
      <c r="Q797" s="6"/>
      <c r="R797" s="6"/>
      <c r="S797" s="6"/>
      <c r="T797" s="6"/>
      <c r="U797" s="6"/>
      <c r="V797" s="6"/>
      <c r="W797" s="6"/>
      <c r="X797" s="6"/>
      <c r="Y797" s="6"/>
      <c r="Z797" s="6"/>
      <c r="AA797" s="6"/>
      <c r="AB797" s="6"/>
      <c r="AC797" s="6"/>
      <c r="AD797" s="7"/>
    </row>
    <row r="798">
      <c r="A798" s="23"/>
      <c r="B798" s="23"/>
      <c r="C798" s="27"/>
      <c r="D798" s="19"/>
      <c r="E798" s="6"/>
      <c r="F798" s="6"/>
      <c r="G798" s="6"/>
      <c r="H798" s="6"/>
      <c r="I798" s="19"/>
      <c r="J798" s="6"/>
      <c r="K798" s="6"/>
      <c r="L798" s="19"/>
      <c r="M798" s="6"/>
      <c r="N798" s="6"/>
      <c r="O798" s="6"/>
      <c r="P798" s="6"/>
      <c r="Q798" s="6"/>
      <c r="R798" s="6"/>
      <c r="S798" s="6"/>
      <c r="T798" s="6"/>
      <c r="U798" s="6"/>
      <c r="V798" s="6"/>
      <c r="W798" s="6"/>
      <c r="X798" s="6"/>
      <c r="Y798" s="6"/>
      <c r="Z798" s="6"/>
      <c r="AA798" s="6"/>
      <c r="AB798" s="6"/>
      <c r="AC798" s="6"/>
      <c r="AD798" s="7"/>
    </row>
    <row r="799">
      <c r="A799" s="23"/>
      <c r="B799" s="23"/>
      <c r="C799" s="27"/>
      <c r="D799" s="19"/>
      <c r="E799" s="6"/>
      <c r="F799" s="6"/>
      <c r="G799" s="6"/>
      <c r="H799" s="6"/>
      <c r="I799" s="19"/>
      <c r="J799" s="6"/>
      <c r="K799" s="6"/>
      <c r="L799" s="19"/>
      <c r="M799" s="6"/>
      <c r="N799" s="6"/>
      <c r="O799" s="6"/>
      <c r="P799" s="6"/>
      <c r="Q799" s="6"/>
      <c r="R799" s="6"/>
      <c r="S799" s="6"/>
      <c r="T799" s="6"/>
      <c r="U799" s="6"/>
      <c r="V799" s="6"/>
      <c r="W799" s="6"/>
      <c r="X799" s="6"/>
      <c r="Y799" s="6"/>
      <c r="Z799" s="6"/>
      <c r="AA799" s="6"/>
      <c r="AB799" s="6"/>
      <c r="AC799" s="6"/>
      <c r="AD799" s="7"/>
    </row>
    <row r="800">
      <c r="A800" s="23"/>
      <c r="B800" s="23"/>
      <c r="C800" s="27"/>
      <c r="D800" s="19"/>
      <c r="E800" s="6"/>
      <c r="F800" s="6"/>
      <c r="G800" s="6"/>
      <c r="H800" s="6"/>
      <c r="I800" s="19"/>
      <c r="J800" s="6"/>
      <c r="K800" s="6"/>
      <c r="L800" s="19"/>
      <c r="M800" s="6"/>
      <c r="N800" s="6"/>
      <c r="O800" s="6"/>
      <c r="P800" s="6"/>
      <c r="Q800" s="6"/>
      <c r="R800" s="6"/>
      <c r="S800" s="6"/>
      <c r="T800" s="6"/>
      <c r="U800" s="6"/>
      <c r="V800" s="6"/>
      <c r="W800" s="6"/>
      <c r="X800" s="6"/>
      <c r="Y800" s="6"/>
      <c r="Z800" s="6"/>
      <c r="AA800" s="6"/>
      <c r="AB800" s="6"/>
      <c r="AC800" s="6"/>
      <c r="AD800" s="7"/>
    </row>
    <row r="801">
      <c r="A801" s="23"/>
      <c r="B801" s="23"/>
      <c r="C801" s="27"/>
      <c r="D801" s="19"/>
      <c r="E801" s="6"/>
      <c r="F801" s="6"/>
      <c r="G801" s="6"/>
      <c r="H801" s="6"/>
      <c r="I801" s="19"/>
      <c r="J801" s="6"/>
      <c r="K801" s="6"/>
      <c r="L801" s="19"/>
      <c r="M801" s="6"/>
      <c r="N801" s="6"/>
      <c r="O801" s="6"/>
      <c r="P801" s="6"/>
      <c r="Q801" s="6"/>
      <c r="R801" s="6"/>
      <c r="S801" s="6"/>
      <c r="T801" s="6"/>
      <c r="U801" s="6"/>
      <c r="V801" s="6"/>
      <c r="W801" s="6"/>
      <c r="X801" s="6"/>
      <c r="Y801" s="6"/>
      <c r="Z801" s="6"/>
      <c r="AA801" s="6"/>
      <c r="AB801" s="6"/>
      <c r="AC801" s="6"/>
      <c r="AD801" s="7"/>
    </row>
    <row r="802">
      <c r="A802" s="23"/>
      <c r="B802" s="23"/>
      <c r="C802" s="27"/>
      <c r="D802" s="19"/>
      <c r="E802" s="6"/>
      <c r="F802" s="6"/>
      <c r="G802" s="6"/>
      <c r="H802" s="6"/>
      <c r="I802" s="19"/>
      <c r="J802" s="6"/>
      <c r="K802" s="6"/>
      <c r="L802" s="19"/>
      <c r="M802" s="6"/>
      <c r="N802" s="6"/>
      <c r="O802" s="6"/>
      <c r="P802" s="6"/>
      <c r="Q802" s="6"/>
      <c r="R802" s="6"/>
      <c r="S802" s="6"/>
      <c r="T802" s="6"/>
      <c r="U802" s="6"/>
      <c r="V802" s="6"/>
      <c r="W802" s="6"/>
      <c r="X802" s="6"/>
      <c r="Y802" s="6"/>
      <c r="Z802" s="6"/>
      <c r="AA802" s="6"/>
      <c r="AB802" s="6"/>
      <c r="AC802" s="6"/>
      <c r="AD802" s="7"/>
    </row>
    <row r="803">
      <c r="A803" s="23"/>
      <c r="B803" s="23"/>
      <c r="C803" s="27"/>
      <c r="D803" s="19"/>
      <c r="E803" s="6"/>
      <c r="F803" s="6"/>
      <c r="G803" s="6"/>
      <c r="H803" s="6"/>
      <c r="I803" s="19"/>
      <c r="J803" s="6"/>
      <c r="K803" s="6"/>
      <c r="L803" s="19"/>
      <c r="M803" s="6"/>
      <c r="N803" s="6"/>
      <c r="O803" s="6"/>
      <c r="P803" s="6"/>
      <c r="Q803" s="6"/>
      <c r="R803" s="6"/>
      <c r="S803" s="6"/>
      <c r="T803" s="6"/>
      <c r="U803" s="6"/>
      <c r="V803" s="6"/>
      <c r="W803" s="6"/>
      <c r="X803" s="6"/>
      <c r="Y803" s="6"/>
      <c r="Z803" s="6"/>
      <c r="AA803" s="6"/>
      <c r="AB803" s="6"/>
      <c r="AC803" s="6"/>
      <c r="AD803" s="7"/>
    </row>
    <row r="804">
      <c r="A804" s="23"/>
      <c r="B804" s="23"/>
      <c r="C804" s="27"/>
      <c r="D804" s="19"/>
      <c r="E804" s="6"/>
      <c r="F804" s="6"/>
      <c r="G804" s="6"/>
      <c r="H804" s="6"/>
      <c r="I804" s="19"/>
      <c r="J804" s="6"/>
      <c r="K804" s="6"/>
      <c r="L804" s="19"/>
      <c r="M804" s="6"/>
      <c r="N804" s="6"/>
      <c r="O804" s="6"/>
      <c r="P804" s="6"/>
      <c r="Q804" s="6"/>
      <c r="R804" s="6"/>
      <c r="S804" s="6"/>
      <c r="T804" s="6"/>
      <c r="U804" s="6"/>
      <c r="V804" s="6"/>
      <c r="W804" s="6"/>
      <c r="X804" s="6"/>
      <c r="Y804" s="6"/>
      <c r="Z804" s="6"/>
      <c r="AA804" s="6"/>
      <c r="AB804" s="6"/>
      <c r="AC804" s="6"/>
      <c r="AD804" s="7"/>
    </row>
    <row r="805">
      <c r="A805" s="23"/>
      <c r="B805" s="23"/>
      <c r="C805" s="27"/>
      <c r="D805" s="19"/>
      <c r="E805" s="6"/>
      <c r="F805" s="6"/>
      <c r="G805" s="6"/>
      <c r="H805" s="6"/>
      <c r="I805" s="19"/>
      <c r="J805" s="6"/>
      <c r="K805" s="6"/>
      <c r="L805" s="19"/>
      <c r="M805" s="6"/>
      <c r="N805" s="6"/>
      <c r="O805" s="6"/>
      <c r="P805" s="6"/>
      <c r="Q805" s="6"/>
      <c r="R805" s="6"/>
      <c r="S805" s="6"/>
      <c r="T805" s="6"/>
      <c r="U805" s="6"/>
      <c r="V805" s="6"/>
      <c r="W805" s="6"/>
      <c r="X805" s="6"/>
      <c r="Y805" s="6"/>
      <c r="Z805" s="6"/>
      <c r="AA805" s="6"/>
      <c r="AB805" s="6"/>
      <c r="AC805" s="6"/>
      <c r="AD805" s="7"/>
    </row>
    <row r="806">
      <c r="A806" s="23"/>
      <c r="B806" s="23"/>
      <c r="C806" s="27"/>
      <c r="D806" s="19"/>
      <c r="E806" s="6"/>
      <c r="F806" s="6"/>
      <c r="G806" s="6"/>
      <c r="H806" s="6"/>
      <c r="I806" s="19"/>
      <c r="J806" s="6"/>
      <c r="K806" s="6"/>
      <c r="L806" s="19"/>
      <c r="M806" s="6"/>
      <c r="N806" s="6"/>
      <c r="O806" s="6"/>
      <c r="P806" s="6"/>
      <c r="Q806" s="6"/>
      <c r="R806" s="6"/>
      <c r="S806" s="6"/>
      <c r="T806" s="6"/>
      <c r="U806" s="6"/>
      <c r="V806" s="6"/>
      <c r="W806" s="6"/>
      <c r="X806" s="6"/>
      <c r="Y806" s="6"/>
      <c r="Z806" s="6"/>
      <c r="AA806" s="6"/>
      <c r="AB806" s="6"/>
      <c r="AC806" s="6"/>
      <c r="AD806" s="7"/>
    </row>
    <row r="807">
      <c r="A807" s="23"/>
      <c r="B807" s="23"/>
      <c r="C807" s="27"/>
      <c r="D807" s="19"/>
      <c r="E807" s="6"/>
      <c r="F807" s="6"/>
      <c r="G807" s="6"/>
      <c r="H807" s="6"/>
      <c r="I807" s="19"/>
      <c r="J807" s="6"/>
      <c r="K807" s="6"/>
      <c r="L807" s="19"/>
      <c r="M807" s="6"/>
      <c r="N807" s="6"/>
      <c r="O807" s="6"/>
      <c r="P807" s="6"/>
      <c r="Q807" s="6"/>
      <c r="R807" s="6"/>
      <c r="S807" s="6"/>
      <c r="T807" s="6"/>
      <c r="U807" s="6"/>
      <c r="V807" s="6"/>
      <c r="W807" s="6"/>
      <c r="X807" s="6"/>
      <c r="Y807" s="6"/>
      <c r="Z807" s="6"/>
      <c r="AA807" s="6"/>
      <c r="AB807" s="6"/>
      <c r="AC807" s="6"/>
      <c r="AD807" s="7"/>
    </row>
    <row r="808">
      <c r="A808" s="23"/>
      <c r="B808" s="23"/>
      <c r="C808" s="27"/>
      <c r="D808" s="19"/>
      <c r="E808" s="6"/>
      <c r="F808" s="6"/>
      <c r="G808" s="6"/>
      <c r="H808" s="6"/>
      <c r="I808" s="19"/>
      <c r="J808" s="6"/>
      <c r="K808" s="6"/>
      <c r="L808" s="19"/>
      <c r="M808" s="6"/>
      <c r="N808" s="6"/>
      <c r="O808" s="6"/>
      <c r="P808" s="6"/>
      <c r="Q808" s="6"/>
      <c r="R808" s="6"/>
      <c r="S808" s="6"/>
      <c r="T808" s="6"/>
      <c r="U808" s="6"/>
      <c r="V808" s="6"/>
      <c r="W808" s="6"/>
      <c r="X808" s="6"/>
      <c r="Y808" s="6"/>
      <c r="Z808" s="6"/>
      <c r="AA808" s="6"/>
      <c r="AB808" s="6"/>
      <c r="AC808" s="6"/>
      <c r="AD808" s="7"/>
    </row>
    <row r="809">
      <c r="A809" s="23"/>
      <c r="B809" s="23"/>
      <c r="C809" s="27"/>
      <c r="D809" s="19"/>
      <c r="E809" s="6"/>
      <c r="F809" s="6"/>
      <c r="G809" s="6"/>
      <c r="H809" s="6"/>
      <c r="I809" s="19"/>
      <c r="J809" s="6"/>
      <c r="K809" s="6"/>
      <c r="L809" s="19"/>
      <c r="M809" s="6"/>
      <c r="N809" s="6"/>
      <c r="O809" s="6"/>
      <c r="P809" s="6"/>
      <c r="Q809" s="6"/>
      <c r="R809" s="6"/>
      <c r="S809" s="6"/>
      <c r="T809" s="6"/>
      <c r="U809" s="6"/>
      <c r="V809" s="6"/>
      <c r="W809" s="6"/>
      <c r="X809" s="6"/>
      <c r="Y809" s="6"/>
      <c r="Z809" s="6"/>
      <c r="AA809" s="6"/>
      <c r="AB809" s="6"/>
      <c r="AC809" s="6"/>
      <c r="AD809" s="7"/>
    </row>
    <row r="810">
      <c r="A810" s="23"/>
      <c r="B810" s="23"/>
      <c r="C810" s="27"/>
      <c r="D810" s="19"/>
      <c r="E810" s="6"/>
      <c r="F810" s="6"/>
      <c r="G810" s="6"/>
      <c r="H810" s="6"/>
      <c r="I810" s="19"/>
      <c r="J810" s="6"/>
      <c r="K810" s="6"/>
      <c r="L810" s="19"/>
      <c r="M810" s="6"/>
      <c r="N810" s="6"/>
      <c r="O810" s="6"/>
      <c r="P810" s="6"/>
      <c r="Q810" s="6"/>
      <c r="R810" s="6"/>
      <c r="S810" s="6"/>
      <c r="T810" s="6"/>
      <c r="U810" s="6"/>
      <c r="V810" s="6"/>
      <c r="W810" s="6"/>
      <c r="X810" s="6"/>
      <c r="Y810" s="6"/>
      <c r="Z810" s="6"/>
      <c r="AA810" s="6"/>
      <c r="AB810" s="6"/>
      <c r="AC810" s="6"/>
      <c r="AD810" s="7"/>
    </row>
    <row r="811">
      <c r="A811" s="23"/>
      <c r="B811" s="23"/>
      <c r="C811" s="27"/>
      <c r="D811" s="19"/>
      <c r="E811" s="6"/>
      <c r="F811" s="6"/>
      <c r="G811" s="6"/>
      <c r="H811" s="6"/>
      <c r="I811" s="19"/>
      <c r="J811" s="6"/>
      <c r="K811" s="6"/>
      <c r="L811" s="19"/>
      <c r="M811" s="6"/>
      <c r="N811" s="6"/>
      <c r="O811" s="6"/>
      <c r="P811" s="6"/>
      <c r="Q811" s="6"/>
      <c r="R811" s="6"/>
      <c r="S811" s="6"/>
      <c r="T811" s="6"/>
      <c r="U811" s="6"/>
      <c r="V811" s="6"/>
      <c r="W811" s="6"/>
      <c r="X811" s="6"/>
      <c r="Y811" s="6"/>
      <c r="Z811" s="6"/>
      <c r="AA811" s="6"/>
      <c r="AB811" s="6"/>
      <c r="AC811" s="6"/>
      <c r="AD811" s="7"/>
    </row>
    <row r="812">
      <c r="A812" s="23"/>
      <c r="B812" s="23"/>
      <c r="C812" s="27"/>
      <c r="D812" s="19"/>
      <c r="E812" s="6"/>
      <c r="F812" s="6"/>
      <c r="G812" s="6"/>
      <c r="H812" s="6"/>
      <c r="I812" s="19"/>
      <c r="J812" s="6"/>
      <c r="K812" s="6"/>
      <c r="L812" s="19"/>
      <c r="M812" s="6"/>
      <c r="N812" s="6"/>
      <c r="O812" s="6"/>
      <c r="P812" s="6"/>
      <c r="Q812" s="6"/>
      <c r="R812" s="6"/>
      <c r="S812" s="6"/>
      <c r="T812" s="6"/>
      <c r="U812" s="6"/>
      <c r="V812" s="6"/>
      <c r="W812" s="6"/>
      <c r="X812" s="6"/>
      <c r="Y812" s="6"/>
      <c r="Z812" s="6"/>
      <c r="AA812" s="6"/>
      <c r="AB812" s="6"/>
      <c r="AC812" s="6"/>
      <c r="AD812" s="7"/>
    </row>
    <row r="813">
      <c r="A813" s="23"/>
      <c r="B813" s="23"/>
      <c r="C813" s="27"/>
      <c r="D813" s="19"/>
      <c r="E813" s="6"/>
      <c r="F813" s="6"/>
      <c r="G813" s="6"/>
      <c r="H813" s="6"/>
      <c r="I813" s="19"/>
      <c r="J813" s="6"/>
      <c r="K813" s="6"/>
      <c r="L813" s="19"/>
      <c r="M813" s="6"/>
      <c r="N813" s="6"/>
      <c r="O813" s="6"/>
      <c r="P813" s="6"/>
      <c r="Q813" s="6"/>
      <c r="R813" s="6"/>
      <c r="S813" s="6"/>
      <c r="T813" s="6"/>
      <c r="U813" s="6"/>
      <c r="V813" s="6"/>
      <c r="W813" s="6"/>
      <c r="X813" s="6"/>
      <c r="Y813" s="6"/>
      <c r="Z813" s="6"/>
      <c r="AA813" s="6"/>
      <c r="AB813" s="6"/>
      <c r="AC813" s="6"/>
      <c r="AD813" s="7"/>
    </row>
    <row r="814">
      <c r="A814" s="23"/>
      <c r="B814" s="23"/>
      <c r="C814" s="27"/>
      <c r="D814" s="19"/>
      <c r="E814" s="6"/>
      <c r="F814" s="6"/>
      <c r="G814" s="6"/>
      <c r="H814" s="6"/>
      <c r="I814" s="19"/>
      <c r="J814" s="6"/>
      <c r="K814" s="6"/>
      <c r="L814" s="19"/>
      <c r="M814" s="6"/>
      <c r="N814" s="6"/>
      <c r="O814" s="6"/>
      <c r="P814" s="6"/>
      <c r="Q814" s="6"/>
      <c r="R814" s="6"/>
      <c r="S814" s="6"/>
      <c r="T814" s="6"/>
      <c r="U814" s="6"/>
      <c r="V814" s="6"/>
      <c r="W814" s="6"/>
      <c r="X814" s="6"/>
      <c r="Y814" s="6"/>
      <c r="Z814" s="6"/>
      <c r="AA814" s="6"/>
      <c r="AB814" s="6"/>
      <c r="AC814" s="6"/>
      <c r="AD814" s="7"/>
    </row>
    <row r="815">
      <c r="A815" s="23"/>
      <c r="B815" s="23"/>
      <c r="C815" s="27"/>
      <c r="D815" s="19"/>
      <c r="E815" s="6"/>
      <c r="F815" s="6"/>
      <c r="G815" s="6"/>
      <c r="H815" s="6"/>
      <c r="I815" s="19"/>
      <c r="J815" s="6"/>
      <c r="K815" s="6"/>
      <c r="L815" s="19"/>
      <c r="M815" s="6"/>
      <c r="N815" s="6"/>
      <c r="O815" s="6"/>
      <c r="P815" s="6"/>
      <c r="Q815" s="6"/>
      <c r="R815" s="6"/>
      <c r="S815" s="6"/>
      <c r="T815" s="6"/>
      <c r="U815" s="6"/>
      <c r="V815" s="6"/>
      <c r="W815" s="6"/>
      <c r="X815" s="6"/>
      <c r="Y815" s="6"/>
      <c r="Z815" s="6"/>
      <c r="AA815" s="6"/>
      <c r="AB815" s="6"/>
      <c r="AC815" s="6"/>
      <c r="AD815" s="7"/>
    </row>
    <row r="816">
      <c r="A816" s="23"/>
      <c r="B816" s="23"/>
      <c r="C816" s="27"/>
      <c r="D816" s="19"/>
      <c r="E816" s="6"/>
      <c r="F816" s="6"/>
      <c r="G816" s="6"/>
      <c r="H816" s="6"/>
      <c r="I816" s="19"/>
      <c r="J816" s="6"/>
      <c r="K816" s="6"/>
      <c r="L816" s="19"/>
      <c r="M816" s="6"/>
      <c r="N816" s="6"/>
      <c r="O816" s="6"/>
      <c r="P816" s="6"/>
      <c r="Q816" s="6"/>
      <c r="R816" s="6"/>
      <c r="S816" s="6"/>
      <c r="T816" s="6"/>
      <c r="U816" s="6"/>
      <c r="V816" s="6"/>
      <c r="W816" s="6"/>
      <c r="X816" s="6"/>
      <c r="Y816" s="6"/>
      <c r="Z816" s="6"/>
      <c r="AA816" s="6"/>
      <c r="AB816" s="6"/>
      <c r="AC816" s="6"/>
      <c r="AD816" s="7"/>
    </row>
    <row r="817">
      <c r="A817" s="23"/>
      <c r="B817" s="23"/>
      <c r="C817" s="27"/>
      <c r="D817" s="19"/>
      <c r="E817" s="6"/>
      <c r="F817" s="6"/>
      <c r="G817" s="6"/>
      <c r="H817" s="6"/>
      <c r="I817" s="19"/>
      <c r="J817" s="6"/>
      <c r="K817" s="6"/>
      <c r="L817" s="19"/>
      <c r="M817" s="6"/>
      <c r="N817" s="6"/>
      <c r="O817" s="6"/>
      <c r="P817" s="6"/>
      <c r="Q817" s="6"/>
      <c r="R817" s="6"/>
      <c r="S817" s="6"/>
      <c r="T817" s="6"/>
      <c r="U817" s="6"/>
      <c r="V817" s="6"/>
      <c r="W817" s="6"/>
      <c r="X817" s="6"/>
      <c r="Y817" s="6"/>
      <c r="Z817" s="6"/>
      <c r="AA817" s="6"/>
      <c r="AB817" s="6"/>
      <c r="AC817" s="6"/>
      <c r="AD817" s="7"/>
    </row>
    <row r="818">
      <c r="A818" s="23"/>
      <c r="B818" s="23"/>
      <c r="C818" s="27"/>
      <c r="D818" s="19"/>
      <c r="E818" s="6"/>
      <c r="F818" s="6"/>
      <c r="G818" s="6"/>
      <c r="H818" s="6"/>
      <c r="I818" s="19"/>
      <c r="J818" s="6"/>
      <c r="K818" s="6"/>
      <c r="L818" s="19"/>
      <c r="M818" s="6"/>
      <c r="N818" s="6"/>
      <c r="O818" s="6"/>
      <c r="P818" s="6"/>
      <c r="Q818" s="6"/>
      <c r="R818" s="6"/>
      <c r="S818" s="6"/>
      <c r="T818" s="6"/>
      <c r="U818" s="6"/>
      <c r="V818" s="6"/>
      <c r="W818" s="6"/>
      <c r="X818" s="6"/>
      <c r="Y818" s="6"/>
      <c r="Z818" s="6"/>
      <c r="AA818" s="6"/>
      <c r="AB818" s="6"/>
      <c r="AC818" s="6"/>
      <c r="AD818" s="7"/>
    </row>
    <row r="819">
      <c r="A819" s="23"/>
      <c r="B819" s="23"/>
      <c r="C819" s="27"/>
      <c r="D819" s="19"/>
      <c r="E819" s="6"/>
      <c r="F819" s="6"/>
      <c r="G819" s="6"/>
      <c r="H819" s="6"/>
      <c r="I819" s="19"/>
      <c r="J819" s="6"/>
      <c r="K819" s="6"/>
      <c r="L819" s="19"/>
      <c r="M819" s="6"/>
      <c r="N819" s="6"/>
      <c r="O819" s="6"/>
      <c r="P819" s="6"/>
      <c r="Q819" s="6"/>
      <c r="R819" s="6"/>
      <c r="S819" s="6"/>
      <c r="T819" s="6"/>
      <c r="U819" s="6"/>
      <c r="V819" s="6"/>
      <c r="W819" s="6"/>
      <c r="X819" s="6"/>
      <c r="Y819" s="6"/>
      <c r="Z819" s="6"/>
      <c r="AA819" s="6"/>
      <c r="AB819" s="6"/>
      <c r="AC819" s="6"/>
      <c r="AD819" s="7"/>
    </row>
    <row r="820">
      <c r="A820" s="23"/>
      <c r="B820" s="23"/>
      <c r="C820" s="27"/>
      <c r="D820" s="19"/>
      <c r="E820" s="6"/>
      <c r="F820" s="6"/>
      <c r="G820" s="6"/>
      <c r="H820" s="6"/>
      <c r="I820" s="19"/>
      <c r="J820" s="6"/>
      <c r="K820" s="6"/>
      <c r="L820" s="19"/>
      <c r="M820" s="6"/>
      <c r="N820" s="6"/>
      <c r="O820" s="6"/>
      <c r="P820" s="6"/>
      <c r="Q820" s="6"/>
      <c r="R820" s="6"/>
      <c r="S820" s="6"/>
      <c r="T820" s="6"/>
      <c r="U820" s="6"/>
      <c r="V820" s="6"/>
      <c r="W820" s="6"/>
      <c r="X820" s="6"/>
      <c r="Y820" s="6"/>
      <c r="Z820" s="6"/>
      <c r="AA820" s="6"/>
      <c r="AB820" s="6"/>
      <c r="AC820" s="6"/>
      <c r="AD820" s="7"/>
    </row>
    <row r="821">
      <c r="A821" s="23"/>
      <c r="B821" s="23"/>
      <c r="C821" s="27"/>
      <c r="D821" s="19"/>
      <c r="E821" s="6"/>
      <c r="F821" s="6"/>
      <c r="G821" s="6"/>
      <c r="H821" s="6"/>
      <c r="I821" s="19"/>
      <c r="J821" s="6"/>
      <c r="K821" s="6"/>
      <c r="L821" s="19"/>
      <c r="M821" s="6"/>
      <c r="N821" s="6"/>
      <c r="O821" s="6"/>
      <c r="P821" s="6"/>
      <c r="Q821" s="6"/>
      <c r="R821" s="6"/>
      <c r="S821" s="6"/>
      <c r="T821" s="6"/>
      <c r="U821" s="6"/>
      <c r="V821" s="6"/>
      <c r="W821" s="6"/>
      <c r="X821" s="6"/>
      <c r="Y821" s="6"/>
      <c r="Z821" s="6"/>
      <c r="AA821" s="6"/>
      <c r="AB821" s="6"/>
      <c r="AC821" s="6"/>
      <c r="AD821" s="7"/>
    </row>
    <row r="822">
      <c r="A822" s="23"/>
      <c r="B822" s="23"/>
      <c r="C822" s="27"/>
      <c r="D822" s="19"/>
      <c r="E822" s="6"/>
      <c r="F822" s="6"/>
      <c r="G822" s="6"/>
      <c r="H822" s="6"/>
      <c r="I822" s="19"/>
      <c r="J822" s="6"/>
      <c r="K822" s="6"/>
      <c r="L822" s="19"/>
      <c r="M822" s="6"/>
      <c r="N822" s="6"/>
      <c r="O822" s="6"/>
      <c r="P822" s="6"/>
      <c r="Q822" s="6"/>
      <c r="R822" s="6"/>
      <c r="S822" s="6"/>
      <c r="T822" s="6"/>
      <c r="U822" s="6"/>
      <c r="V822" s="6"/>
      <c r="W822" s="6"/>
      <c r="X822" s="6"/>
      <c r="Y822" s="6"/>
      <c r="Z822" s="6"/>
      <c r="AA822" s="6"/>
      <c r="AB822" s="6"/>
      <c r="AC822" s="6"/>
      <c r="AD822" s="7"/>
    </row>
    <row r="823">
      <c r="A823" s="23"/>
      <c r="B823" s="23"/>
      <c r="C823" s="27"/>
      <c r="D823" s="19"/>
      <c r="E823" s="6"/>
      <c r="F823" s="6"/>
      <c r="G823" s="6"/>
      <c r="H823" s="6"/>
      <c r="I823" s="19"/>
      <c r="J823" s="6"/>
      <c r="K823" s="6"/>
      <c r="L823" s="19"/>
      <c r="M823" s="6"/>
      <c r="N823" s="6"/>
      <c r="O823" s="6"/>
      <c r="P823" s="6"/>
      <c r="Q823" s="6"/>
      <c r="R823" s="6"/>
      <c r="S823" s="6"/>
      <c r="T823" s="6"/>
      <c r="U823" s="6"/>
      <c r="V823" s="6"/>
      <c r="W823" s="6"/>
      <c r="X823" s="6"/>
      <c r="Y823" s="6"/>
      <c r="Z823" s="6"/>
      <c r="AA823" s="6"/>
      <c r="AB823" s="6"/>
      <c r="AC823" s="6"/>
      <c r="AD823" s="7"/>
    </row>
    <row r="824">
      <c r="A824" s="23"/>
      <c r="B824" s="23"/>
      <c r="C824" s="27"/>
      <c r="D824" s="19"/>
      <c r="E824" s="6"/>
      <c r="F824" s="6"/>
      <c r="G824" s="6"/>
      <c r="H824" s="6"/>
      <c r="I824" s="19"/>
      <c r="J824" s="6"/>
      <c r="K824" s="6"/>
      <c r="L824" s="19"/>
      <c r="M824" s="6"/>
      <c r="N824" s="6"/>
      <c r="O824" s="6"/>
      <c r="P824" s="6"/>
      <c r="Q824" s="6"/>
      <c r="R824" s="6"/>
      <c r="S824" s="6"/>
      <c r="T824" s="6"/>
      <c r="U824" s="6"/>
      <c r="V824" s="6"/>
      <c r="W824" s="6"/>
      <c r="X824" s="6"/>
      <c r="Y824" s="6"/>
      <c r="Z824" s="6"/>
      <c r="AA824" s="6"/>
      <c r="AB824" s="6"/>
      <c r="AC824" s="6"/>
      <c r="AD824" s="7"/>
    </row>
    <row r="825">
      <c r="A825" s="23"/>
      <c r="B825" s="23"/>
      <c r="C825" s="27"/>
      <c r="D825" s="19"/>
      <c r="E825" s="6"/>
      <c r="F825" s="6"/>
      <c r="G825" s="6"/>
      <c r="H825" s="6"/>
      <c r="I825" s="19"/>
      <c r="J825" s="6"/>
      <c r="K825" s="6"/>
      <c r="L825" s="19"/>
      <c r="M825" s="6"/>
      <c r="N825" s="6"/>
      <c r="O825" s="6"/>
      <c r="P825" s="6"/>
      <c r="Q825" s="6"/>
      <c r="R825" s="6"/>
      <c r="S825" s="6"/>
      <c r="T825" s="6"/>
      <c r="U825" s="6"/>
      <c r="V825" s="6"/>
      <c r="W825" s="6"/>
      <c r="X825" s="6"/>
      <c r="Y825" s="6"/>
      <c r="Z825" s="6"/>
      <c r="AA825" s="6"/>
      <c r="AB825" s="6"/>
      <c r="AC825" s="6"/>
      <c r="AD825" s="7"/>
    </row>
    <row r="826">
      <c r="A826" s="23"/>
      <c r="B826" s="23"/>
      <c r="C826" s="27"/>
      <c r="D826" s="19"/>
      <c r="E826" s="6"/>
      <c r="F826" s="6"/>
      <c r="G826" s="6"/>
      <c r="H826" s="6"/>
      <c r="I826" s="19"/>
      <c r="J826" s="6"/>
      <c r="K826" s="6"/>
      <c r="L826" s="19"/>
      <c r="M826" s="6"/>
      <c r="N826" s="6"/>
      <c r="O826" s="6"/>
      <c r="P826" s="6"/>
      <c r="Q826" s="6"/>
      <c r="R826" s="6"/>
      <c r="S826" s="6"/>
      <c r="T826" s="6"/>
      <c r="U826" s="6"/>
      <c r="V826" s="6"/>
      <c r="W826" s="6"/>
      <c r="X826" s="6"/>
      <c r="Y826" s="6"/>
      <c r="Z826" s="6"/>
      <c r="AA826" s="6"/>
      <c r="AB826" s="6"/>
      <c r="AC826" s="6"/>
      <c r="AD826" s="7"/>
    </row>
    <row r="827">
      <c r="A827" s="23"/>
      <c r="B827" s="23"/>
      <c r="C827" s="27"/>
      <c r="D827" s="19"/>
      <c r="E827" s="6"/>
      <c r="F827" s="6"/>
      <c r="G827" s="6"/>
      <c r="H827" s="6"/>
      <c r="I827" s="19"/>
      <c r="J827" s="6"/>
      <c r="K827" s="6"/>
      <c r="L827" s="19"/>
      <c r="M827" s="6"/>
      <c r="N827" s="6"/>
      <c r="O827" s="6"/>
      <c r="P827" s="6"/>
      <c r="Q827" s="6"/>
      <c r="R827" s="6"/>
      <c r="S827" s="6"/>
      <c r="T827" s="6"/>
      <c r="U827" s="6"/>
      <c r="V827" s="6"/>
      <c r="W827" s="6"/>
      <c r="X827" s="6"/>
      <c r="Y827" s="6"/>
      <c r="Z827" s="6"/>
      <c r="AA827" s="6"/>
      <c r="AB827" s="6"/>
      <c r="AC827" s="6"/>
      <c r="AD827" s="7"/>
    </row>
    <row r="828">
      <c r="A828" s="23"/>
      <c r="B828" s="23"/>
      <c r="C828" s="27"/>
      <c r="D828" s="19"/>
      <c r="E828" s="6"/>
      <c r="F828" s="6"/>
      <c r="G828" s="6"/>
      <c r="H828" s="6"/>
      <c r="I828" s="19"/>
      <c r="J828" s="6"/>
      <c r="K828" s="6"/>
      <c r="L828" s="19"/>
      <c r="M828" s="6"/>
      <c r="N828" s="6"/>
      <c r="O828" s="6"/>
      <c r="P828" s="6"/>
      <c r="Q828" s="6"/>
      <c r="R828" s="6"/>
      <c r="S828" s="6"/>
      <c r="T828" s="6"/>
      <c r="U828" s="6"/>
      <c r="V828" s="6"/>
      <c r="W828" s="6"/>
      <c r="X828" s="6"/>
      <c r="Y828" s="6"/>
      <c r="Z828" s="6"/>
      <c r="AA828" s="6"/>
      <c r="AB828" s="6"/>
      <c r="AC828" s="6"/>
      <c r="AD828" s="7"/>
    </row>
    <row r="829">
      <c r="A829" s="23"/>
      <c r="B829" s="23"/>
      <c r="C829" s="27"/>
      <c r="D829" s="19"/>
      <c r="E829" s="6"/>
      <c r="F829" s="6"/>
      <c r="G829" s="6"/>
      <c r="H829" s="6"/>
      <c r="I829" s="19"/>
      <c r="J829" s="6"/>
      <c r="K829" s="6"/>
      <c r="L829" s="19"/>
      <c r="M829" s="6"/>
      <c r="N829" s="6"/>
      <c r="O829" s="6"/>
      <c r="P829" s="6"/>
      <c r="Q829" s="6"/>
      <c r="R829" s="6"/>
      <c r="S829" s="6"/>
      <c r="T829" s="6"/>
      <c r="U829" s="6"/>
      <c r="V829" s="6"/>
      <c r="W829" s="6"/>
      <c r="X829" s="6"/>
      <c r="Y829" s="6"/>
      <c r="Z829" s="6"/>
      <c r="AA829" s="6"/>
      <c r="AB829" s="6"/>
      <c r="AC829" s="6"/>
      <c r="AD829" s="7"/>
    </row>
    <row r="830">
      <c r="A830" s="23"/>
      <c r="B830" s="23"/>
      <c r="C830" s="27"/>
      <c r="D830" s="19"/>
      <c r="E830" s="6"/>
      <c r="F830" s="6"/>
      <c r="G830" s="6"/>
      <c r="H830" s="6"/>
      <c r="I830" s="19"/>
      <c r="J830" s="6"/>
      <c r="K830" s="6"/>
      <c r="L830" s="19"/>
      <c r="M830" s="6"/>
      <c r="N830" s="6"/>
      <c r="O830" s="6"/>
      <c r="P830" s="6"/>
      <c r="Q830" s="6"/>
      <c r="R830" s="6"/>
      <c r="S830" s="6"/>
      <c r="T830" s="6"/>
      <c r="U830" s="6"/>
      <c r="V830" s="6"/>
      <c r="W830" s="6"/>
      <c r="X830" s="6"/>
      <c r="Y830" s="6"/>
      <c r="Z830" s="6"/>
      <c r="AA830" s="6"/>
      <c r="AB830" s="6"/>
      <c r="AC830" s="6"/>
      <c r="AD830" s="7"/>
    </row>
    <row r="831">
      <c r="A831" s="23"/>
      <c r="B831" s="23"/>
      <c r="C831" s="27"/>
      <c r="D831" s="19"/>
      <c r="E831" s="6"/>
      <c r="F831" s="6"/>
      <c r="G831" s="6"/>
      <c r="H831" s="6"/>
      <c r="I831" s="19"/>
      <c r="J831" s="6"/>
      <c r="K831" s="6"/>
      <c r="L831" s="19"/>
      <c r="M831" s="6"/>
      <c r="N831" s="6"/>
      <c r="O831" s="6"/>
      <c r="P831" s="6"/>
      <c r="Q831" s="6"/>
      <c r="R831" s="6"/>
      <c r="S831" s="6"/>
      <c r="T831" s="6"/>
      <c r="U831" s="6"/>
      <c r="V831" s="6"/>
      <c r="W831" s="6"/>
      <c r="X831" s="6"/>
      <c r="Y831" s="6"/>
      <c r="Z831" s="6"/>
      <c r="AA831" s="6"/>
      <c r="AB831" s="6"/>
      <c r="AC831" s="6"/>
      <c r="AD831" s="7"/>
    </row>
    <row r="832">
      <c r="A832" s="23"/>
      <c r="B832" s="23"/>
      <c r="C832" s="27"/>
      <c r="D832" s="19"/>
      <c r="E832" s="6"/>
      <c r="F832" s="6"/>
      <c r="G832" s="6"/>
      <c r="H832" s="6"/>
      <c r="I832" s="19"/>
      <c r="J832" s="6"/>
      <c r="K832" s="6"/>
      <c r="L832" s="19"/>
      <c r="M832" s="6"/>
      <c r="N832" s="6"/>
      <c r="O832" s="6"/>
      <c r="P832" s="6"/>
      <c r="Q832" s="6"/>
      <c r="R832" s="6"/>
      <c r="S832" s="6"/>
      <c r="T832" s="6"/>
      <c r="U832" s="6"/>
      <c r="V832" s="6"/>
      <c r="W832" s="6"/>
      <c r="X832" s="6"/>
      <c r="Y832" s="6"/>
      <c r="Z832" s="6"/>
      <c r="AA832" s="6"/>
      <c r="AB832" s="6"/>
      <c r="AC832" s="6"/>
      <c r="AD832" s="7"/>
    </row>
    <row r="833">
      <c r="A833" s="23"/>
      <c r="B833" s="23"/>
      <c r="C833" s="27"/>
      <c r="D833" s="19"/>
      <c r="E833" s="6"/>
      <c r="F833" s="6"/>
      <c r="G833" s="6"/>
      <c r="H833" s="6"/>
      <c r="I833" s="19"/>
      <c r="J833" s="6"/>
      <c r="K833" s="6"/>
      <c r="L833" s="19"/>
      <c r="M833" s="6"/>
      <c r="N833" s="6"/>
      <c r="O833" s="6"/>
      <c r="P833" s="6"/>
      <c r="Q833" s="6"/>
      <c r="R833" s="6"/>
      <c r="S833" s="6"/>
      <c r="T833" s="6"/>
      <c r="U833" s="6"/>
      <c r="V833" s="6"/>
      <c r="W833" s="6"/>
      <c r="X833" s="6"/>
      <c r="Y833" s="6"/>
      <c r="Z833" s="6"/>
      <c r="AA833" s="6"/>
      <c r="AB833" s="6"/>
      <c r="AC833" s="6"/>
      <c r="AD833" s="7"/>
    </row>
    <row r="834">
      <c r="A834" s="23"/>
      <c r="B834" s="23"/>
      <c r="C834" s="27"/>
      <c r="D834" s="19"/>
      <c r="E834" s="6"/>
      <c r="F834" s="6"/>
      <c r="G834" s="6"/>
      <c r="H834" s="6"/>
      <c r="I834" s="19"/>
      <c r="J834" s="6"/>
      <c r="K834" s="6"/>
      <c r="L834" s="19"/>
      <c r="M834" s="6"/>
      <c r="N834" s="6"/>
      <c r="O834" s="6"/>
      <c r="P834" s="6"/>
      <c r="Q834" s="6"/>
      <c r="R834" s="6"/>
      <c r="S834" s="6"/>
      <c r="T834" s="6"/>
      <c r="U834" s="6"/>
      <c r="V834" s="6"/>
      <c r="W834" s="6"/>
      <c r="X834" s="6"/>
      <c r="Y834" s="6"/>
      <c r="Z834" s="6"/>
      <c r="AA834" s="6"/>
      <c r="AB834" s="6"/>
      <c r="AC834" s="6"/>
      <c r="AD834" s="7"/>
    </row>
    <row r="835">
      <c r="A835" s="23"/>
      <c r="B835" s="23"/>
      <c r="C835" s="27"/>
      <c r="D835" s="19"/>
      <c r="E835" s="6"/>
      <c r="F835" s="6"/>
      <c r="G835" s="6"/>
      <c r="H835" s="6"/>
      <c r="I835" s="19"/>
      <c r="J835" s="6"/>
      <c r="K835" s="6"/>
      <c r="L835" s="19"/>
      <c r="M835" s="6"/>
      <c r="N835" s="6"/>
      <c r="O835" s="6"/>
      <c r="P835" s="6"/>
      <c r="Q835" s="6"/>
      <c r="R835" s="6"/>
      <c r="S835" s="6"/>
      <c r="T835" s="6"/>
      <c r="U835" s="6"/>
      <c r="V835" s="6"/>
      <c r="W835" s="6"/>
      <c r="X835" s="6"/>
      <c r="Y835" s="6"/>
      <c r="Z835" s="6"/>
      <c r="AA835" s="6"/>
      <c r="AB835" s="6"/>
      <c r="AC835" s="6"/>
      <c r="AD835" s="7"/>
    </row>
    <row r="836">
      <c r="A836" s="23"/>
      <c r="B836" s="23"/>
      <c r="C836" s="27"/>
      <c r="D836" s="19"/>
      <c r="E836" s="6"/>
      <c r="F836" s="6"/>
      <c r="G836" s="6"/>
      <c r="H836" s="6"/>
      <c r="I836" s="19"/>
      <c r="J836" s="6"/>
      <c r="K836" s="6"/>
      <c r="L836" s="19"/>
      <c r="M836" s="6"/>
      <c r="N836" s="6"/>
      <c r="O836" s="6"/>
      <c r="P836" s="6"/>
      <c r="Q836" s="6"/>
      <c r="R836" s="6"/>
      <c r="S836" s="6"/>
      <c r="T836" s="6"/>
      <c r="U836" s="6"/>
      <c r="V836" s="6"/>
      <c r="W836" s="6"/>
      <c r="X836" s="6"/>
      <c r="Y836" s="6"/>
      <c r="Z836" s="6"/>
      <c r="AA836" s="6"/>
      <c r="AB836" s="6"/>
      <c r="AC836" s="6"/>
      <c r="AD836" s="7"/>
    </row>
    <row r="837">
      <c r="A837" s="23"/>
      <c r="B837" s="23"/>
      <c r="C837" s="27"/>
      <c r="D837" s="19"/>
      <c r="E837" s="6"/>
      <c r="F837" s="6"/>
      <c r="G837" s="6"/>
      <c r="H837" s="6"/>
      <c r="I837" s="19"/>
      <c r="J837" s="6"/>
      <c r="K837" s="6"/>
      <c r="L837" s="19"/>
      <c r="M837" s="6"/>
      <c r="N837" s="6"/>
      <c r="O837" s="6"/>
      <c r="P837" s="6"/>
      <c r="Q837" s="6"/>
      <c r="R837" s="6"/>
      <c r="S837" s="6"/>
      <c r="T837" s="6"/>
      <c r="U837" s="6"/>
      <c r="V837" s="6"/>
      <c r="W837" s="6"/>
      <c r="X837" s="6"/>
      <c r="Y837" s="6"/>
      <c r="Z837" s="6"/>
      <c r="AA837" s="6"/>
      <c r="AB837" s="6"/>
      <c r="AC837" s="6"/>
      <c r="AD837" s="7"/>
    </row>
    <row r="838">
      <c r="A838" s="23"/>
      <c r="B838" s="23"/>
      <c r="C838" s="27"/>
      <c r="D838" s="19"/>
      <c r="E838" s="6"/>
      <c r="F838" s="6"/>
      <c r="G838" s="6"/>
      <c r="H838" s="6"/>
      <c r="I838" s="19"/>
      <c r="J838" s="6"/>
      <c r="K838" s="6"/>
      <c r="L838" s="19"/>
      <c r="M838" s="6"/>
      <c r="N838" s="6"/>
      <c r="O838" s="6"/>
      <c r="P838" s="6"/>
      <c r="Q838" s="6"/>
      <c r="R838" s="6"/>
      <c r="S838" s="6"/>
      <c r="T838" s="6"/>
      <c r="U838" s="6"/>
      <c r="V838" s="6"/>
      <c r="W838" s="6"/>
      <c r="X838" s="6"/>
      <c r="Y838" s="6"/>
      <c r="Z838" s="6"/>
      <c r="AA838" s="6"/>
      <c r="AB838" s="6"/>
      <c r="AC838" s="6"/>
      <c r="AD838" s="7"/>
    </row>
    <row r="839">
      <c r="A839" s="23"/>
      <c r="B839" s="23"/>
      <c r="C839" s="27"/>
      <c r="D839" s="19"/>
      <c r="E839" s="6"/>
      <c r="F839" s="6"/>
      <c r="G839" s="6"/>
      <c r="H839" s="6"/>
      <c r="I839" s="19"/>
      <c r="J839" s="6"/>
      <c r="K839" s="6"/>
      <c r="L839" s="19"/>
      <c r="M839" s="6"/>
      <c r="N839" s="6"/>
      <c r="O839" s="6"/>
      <c r="P839" s="6"/>
      <c r="Q839" s="6"/>
      <c r="R839" s="6"/>
      <c r="S839" s="6"/>
      <c r="T839" s="6"/>
      <c r="U839" s="6"/>
      <c r="V839" s="6"/>
      <c r="W839" s="6"/>
      <c r="X839" s="6"/>
      <c r="Y839" s="6"/>
      <c r="Z839" s="6"/>
      <c r="AA839" s="6"/>
      <c r="AB839" s="6"/>
      <c r="AC839" s="6"/>
      <c r="AD839" s="7"/>
    </row>
    <row r="840">
      <c r="A840" s="23"/>
      <c r="B840" s="23"/>
      <c r="C840" s="27"/>
      <c r="D840" s="19"/>
      <c r="E840" s="6"/>
      <c r="F840" s="6"/>
      <c r="G840" s="6"/>
      <c r="H840" s="6"/>
      <c r="I840" s="19"/>
      <c r="J840" s="6"/>
      <c r="K840" s="6"/>
      <c r="L840" s="19"/>
      <c r="M840" s="6"/>
      <c r="N840" s="6"/>
      <c r="O840" s="6"/>
      <c r="P840" s="6"/>
      <c r="Q840" s="6"/>
      <c r="R840" s="6"/>
      <c r="S840" s="6"/>
      <c r="T840" s="6"/>
      <c r="U840" s="6"/>
      <c r="V840" s="6"/>
      <c r="W840" s="6"/>
      <c r="X840" s="6"/>
      <c r="Y840" s="6"/>
      <c r="Z840" s="6"/>
      <c r="AA840" s="6"/>
      <c r="AB840" s="6"/>
      <c r="AC840" s="6"/>
      <c r="AD840" s="7"/>
    </row>
    <row r="841">
      <c r="A841" s="23"/>
      <c r="B841" s="23"/>
      <c r="C841" s="27"/>
      <c r="D841" s="19"/>
      <c r="E841" s="6"/>
      <c r="F841" s="6"/>
      <c r="G841" s="6"/>
      <c r="H841" s="6"/>
      <c r="I841" s="19"/>
      <c r="J841" s="6"/>
      <c r="K841" s="6"/>
      <c r="L841" s="19"/>
      <c r="M841" s="6"/>
      <c r="N841" s="6"/>
      <c r="O841" s="6"/>
      <c r="P841" s="6"/>
      <c r="Q841" s="6"/>
      <c r="R841" s="6"/>
      <c r="S841" s="6"/>
      <c r="T841" s="6"/>
      <c r="U841" s="6"/>
      <c r="V841" s="6"/>
      <c r="W841" s="6"/>
      <c r="X841" s="6"/>
      <c r="Y841" s="6"/>
      <c r="Z841" s="6"/>
      <c r="AA841" s="6"/>
      <c r="AB841" s="6"/>
      <c r="AC841" s="6"/>
      <c r="AD841" s="7"/>
    </row>
    <row r="842">
      <c r="A842" s="23"/>
      <c r="B842" s="23"/>
      <c r="C842" s="27"/>
      <c r="D842" s="19"/>
      <c r="E842" s="6"/>
      <c r="F842" s="6"/>
      <c r="G842" s="6"/>
      <c r="H842" s="6"/>
      <c r="I842" s="19"/>
      <c r="J842" s="6"/>
      <c r="K842" s="6"/>
      <c r="L842" s="19"/>
      <c r="M842" s="6"/>
      <c r="N842" s="6"/>
      <c r="O842" s="6"/>
      <c r="P842" s="6"/>
      <c r="Q842" s="6"/>
      <c r="R842" s="6"/>
      <c r="S842" s="6"/>
      <c r="T842" s="6"/>
      <c r="U842" s="6"/>
      <c r="V842" s="6"/>
      <c r="W842" s="6"/>
      <c r="X842" s="6"/>
      <c r="Y842" s="6"/>
      <c r="Z842" s="6"/>
      <c r="AA842" s="6"/>
      <c r="AB842" s="6"/>
      <c r="AC842" s="6"/>
      <c r="AD842" s="7"/>
    </row>
    <row r="843">
      <c r="A843" s="23"/>
      <c r="B843" s="23"/>
      <c r="C843" s="27"/>
      <c r="D843" s="19"/>
      <c r="E843" s="6"/>
      <c r="F843" s="6"/>
      <c r="G843" s="6"/>
      <c r="H843" s="6"/>
      <c r="I843" s="19"/>
      <c r="J843" s="6"/>
      <c r="K843" s="6"/>
      <c r="L843" s="19"/>
      <c r="M843" s="6"/>
      <c r="N843" s="6"/>
      <c r="O843" s="6"/>
      <c r="P843" s="6"/>
      <c r="Q843" s="6"/>
      <c r="R843" s="6"/>
      <c r="S843" s="6"/>
      <c r="T843" s="6"/>
      <c r="U843" s="6"/>
      <c r="V843" s="6"/>
      <c r="W843" s="6"/>
      <c r="X843" s="6"/>
      <c r="Y843" s="6"/>
      <c r="Z843" s="6"/>
      <c r="AA843" s="6"/>
      <c r="AB843" s="6"/>
      <c r="AC843" s="6"/>
      <c r="AD843" s="7"/>
    </row>
    <row r="844">
      <c r="A844" s="23"/>
      <c r="B844" s="23"/>
      <c r="C844" s="27"/>
      <c r="D844" s="19"/>
      <c r="E844" s="6"/>
      <c r="F844" s="6"/>
      <c r="G844" s="6"/>
      <c r="H844" s="6"/>
      <c r="I844" s="19"/>
      <c r="J844" s="6"/>
      <c r="K844" s="6"/>
      <c r="L844" s="19"/>
      <c r="M844" s="6"/>
      <c r="N844" s="6"/>
      <c r="O844" s="6"/>
      <c r="P844" s="6"/>
      <c r="Q844" s="6"/>
      <c r="R844" s="6"/>
      <c r="S844" s="6"/>
      <c r="T844" s="6"/>
      <c r="U844" s="6"/>
      <c r="V844" s="6"/>
      <c r="W844" s="6"/>
      <c r="X844" s="6"/>
      <c r="Y844" s="6"/>
      <c r="Z844" s="6"/>
      <c r="AA844" s="6"/>
      <c r="AB844" s="6"/>
      <c r="AC844" s="6"/>
      <c r="AD844" s="7"/>
    </row>
    <row r="845">
      <c r="A845" s="23"/>
      <c r="B845" s="23"/>
      <c r="C845" s="27"/>
      <c r="D845" s="19"/>
      <c r="E845" s="6"/>
      <c r="F845" s="6"/>
      <c r="G845" s="6"/>
      <c r="H845" s="6"/>
      <c r="I845" s="19"/>
      <c r="J845" s="6"/>
      <c r="K845" s="6"/>
      <c r="L845" s="19"/>
      <c r="M845" s="6"/>
      <c r="N845" s="6"/>
      <c r="O845" s="6"/>
      <c r="P845" s="6"/>
      <c r="Q845" s="6"/>
      <c r="R845" s="6"/>
      <c r="S845" s="6"/>
      <c r="T845" s="6"/>
      <c r="U845" s="6"/>
      <c r="V845" s="6"/>
      <c r="W845" s="6"/>
      <c r="X845" s="6"/>
      <c r="Y845" s="6"/>
      <c r="Z845" s="6"/>
      <c r="AA845" s="6"/>
      <c r="AB845" s="6"/>
      <c r="AC845" s="6"/>
      <c r="AD845" s="7"/>
    </row>
    <row r="846">
      <c r="A846" s="23"/>
      <c r="B846" s="23"/>
      <c r="C846" s="27"/>
      <c r="D846" s="19"/>
      <c r="E846" s="6"/>
      <c r="F846" s="6"/>
      <c r="G846" s="6"/>
      <c r="H846" s="6"/>
      <c r="I846" s="19"/>
      <c r="J846" s="6"/>
      <c r="K846" s="6"/>
      <c r="L846" s="19"/>
      <c r="M846" s="6"/>
      <c r="N846" s="6"/>
      <c r="O846" s="6"/>
      <c r="P846" s="6"/>
      <c r="Q846" s="6"/>
      <c r="R846" s="6"/>
      <c r="S846" s="6"/>
      <c r="T846" s="6"/>
      <c r="U846" s="6"/>
      <c r="V846" s="6"/>
      <c r="W846" s="6"/>
      <c r="X846" s="6"/>
      <c r="Y846" s="6"/>
      <c r="Z846" s="6"/>
      <c r="AA846" s="6"/>
      <c r="AB846" s="6"/>
      <c r="AC846" s="6"/>
      <c r="AD846" s="7"/>
    </row>
    <row r="847">
      <c r="A847" s="23"/>
      <c r="B847" s="23"/>
      <c r="C847" s="27"/>
      <c r="D847" s="19"/>
      <c r="E847" s="6"/>
      <c r="F847" s="6"/>
      <c r="G847" s="6"/>
      <c r="H847" s="6"/>
      <c r="I847" s="19"/>
      <c r="J847" s="6"/>
      <c r="K847" s="6"/>
      <c r="L847" s="19"/>
      <c r="M847" s="6"/>
      <c r="N847" s="6"/>
      <c r="O847" s="6"/>
      <c r="P847" s="6"/>
      <c r="Q847" s="6"/>
      <c r="R847" s="6"/>
      <c r="S847" s="6"/>
      <c r="T847" s="6"/>
      <c r="U847" s="6"/>
      <c r="V847" s="6"/>
      <c r="W847" s="6"/>
      <c r="X847" s="6"/>
      <c r="Y847" s="6"/>
      <c r="Z847" s="6"/>
      <c r="AA847" s="6"/>
      <c r="AB847" s="6"/>
      <c r="AC847" s="6"/>
      <c r="AD847" s="7"/>
    </row>
    <row r="848">
      <c r="A848" s="23"/>
      <c r="B848" s="23"/>
      <c r="C848" s="27"/>
      <c r="D848" s="19"/>
      <c r="E848" s="6"/>
      <c r="F848" s="6"/>
      <c r="G848" s="6"/>
      <c r="H848" s="6"/>
      <c r="I848" s="19"/>
      <c r="J848" s="6"/>
      <c r="K848" s="6"/>
      <c r="L848" s="19"/>
      <c r="M848" s="6"/>
      <c r="N848" s="6"/>
      <c r="O848" s="6"/>
      <c r="P848" s="6"/>
      <c r="Q848" s="6"/>
      <c r="R848" s="6"/>
      <c r="S848" s="6"/>
      <c r="T848" s="6"/>
      <c r="U848" s="6"/>
      <c r="V848" s="6"/>
      <c r="W848" s="6"/>
      <c r="X848" s="6"/>
      <c r="Y848" s="6"/>
      <c r="Z848" s="6"/>
      <c r="AA848" s="6"/>
      <c r="AB848" s="6"/>
      <c r="AC848" s="6"/>
      <c r="AD848" s="7"/>
    </row>
    <row r="849">
      <c r="A849" s="23"/>
      <c r="B849" s="23"/>
      <c r="C849" s="27"/>
      <c r="D849" s="19"/>
      <c r="E849" s="6"/>
      <c r="F849" s="6"/>
      <c r="G849" s="6"/>
      <c r="H849" s="6"/>
      <c r="I849" s="19"/>
      <c r="J849" s="6"/>
      <c r="K849" s="6"/>
      <c r="L849" s="19"/>
      <c r="M849" s="6"/>
      <c r="N849" s="6"/>
      <c r="O849" s="6"/>
      <c r="P849" s="6"/>
      <c r="Q849" s="6"/>
      <c r="R849" s="6"/>
      <c r="S849" s="6"/>
      <c r="T849" s="6"/>
      <c r="U849" s="6"/>
      <c r="V849" s="6"/>
      <c r="W849" s="6"/>
      <c r="X849" s="6"/>
      <c r="Y849" s="6"/>
      <c r="Z849" s="6"/>
      <c r="AA849" s="6"/>
      <c r="AB849" s="6"/>
      <c r="AC849" s="6"/>
      <c r="AD849" s="7"/>
    </row>
    <row r="850">
      <c r="A850" s="23"/>
      <c r="B850" s="23"/>
      <c r="C850" s="27"/>
      <c r="D850" s="19"/>
      <c r="E850" s="6"/>
      <c r="F850" s="6"/>
      <c r="G850" s="6"/>
      <c r="H850" s="6"/>
      <c r="I850" s="19"/>
      <c r="J850" s="6"/>
      <c r="K850" s="6"/>
      <c r="L850" s="19"/>
      <c r="M850" s="6"/>
      <c r="N850" s="6"/>
      <c r="O850" s="6"/>
      <c r="P850" s="6"/>
      <c r="Q850" s="6"/>
      <c r="R850" s="6"/>
      <c r="S850" s="6"/>
      <c r="T850" s="6"/>
      <c r="U850" s="6"/>
      <c r="V850" s="6"/>
      <c r="W850" s="6"/>
      <c r="X850" s="6"/>
      <c r="Y850" s="6"/>
      <c r="Z850" s="6"/>
      <c r="AA850" s="6"/>
      <c r="AB850" s="6"/>
      <c r="AC850" s="6"/>
      <c r="AD850" s="7"/>
    </row>
    <row r="851">
      <c r="A851" s="23"/>
      <c r="B851" s="23"/>
      <c r="C851" s="27"/>
      <c r="D851" s="19"/>
      <c r="E851" s="6"/>
      <c r="F851" s="6"/>
      <c r="G851" s="6"/>
      <c r="H851" s="6"/>
      <c r="I851" s="19"/>
      <c r="J851" s="6"/>
      <c r="K851" s="6"/>
      <c r="L851" s="19"/>
      <c r="M851" s="6"/>
      <c r="N851" s="6"/>
      <c r="O851" s="6"/>
      <c r="P851" s="6"/>
      <c r="Q851" s="6"/>
      <c r="R851" s="6"/>
      <c r="S851" s="6"/>
      <c r="T851" s="6"/>
      <c r="U851" s="6"/>
      <c r="V851" s="6"/>
      <c r="W851" s="6"/>
      <c r="X851" s="6"/>
      <c r="Y851" s="6"/>
      <c r="Z851" s="6"/>
      <c r="AA851" s="6"/>
      <c r="AB851" s="6"/>
      <c r="AC851" s="6"/>
      <c r="AD851" s="7"/>
    </row>
    <row r="852">
      <c r="A852" s="23"/>
      <c r="B852" s="23"/>
      <c r="C852" s="27"/>
      <c r="D852" s="19"/>
      <c r="E852" s="6"/>
      <c r="F852" s="6"/>
      <c r="G852" s="6"/>
      <c r="H852" s="6"/>
      <c r="I852" s="19"/>
      <c r="J852" s="6"/>
      <c r="K852" s="6"/>
      <c r="L852" s="19"/>
      <c r="M852" s="6"/>
      <c r="N852" s="6"/>
      <c r="O852" s="6"/>
      <c r="P852" s="6"/>
      <c r="Q852" s="6"/>
      <c r="R852" s="6"/>
      <c r="S852" s="6"/>
      <c r="T852" s="6"/>
      <c r="U852" s="6"/>
      <c r="V852" s="6"/>
      <c r="W852" s="6"/>
      <c r="X852" s="6"/>
      <c r="Y852" s="6"/>
      <c r="Z852" s="6"/>
      <c r="AA852" s="6"/>
      <c r="AB852" s="6"/>
      <c r="AC852" s="6"/>
      <c r="AD852" s="7"/>
    </row>
    <row r="853">
      <c r="A853" s="23"/>
      <c r="B853" s="23"/>
      <c r="C853" s="27"/>
      <c r="D853" s="19"/>
      <c r="E853" s="6"/>
      <c r="F853" s="6"/>
      <c r="G853" s="6"/>
      <c r="H853" s="6"/>
      <c r="I853" s="19"/>
      <c r="J853" s="6"/>
      <c r="K853" s="6"/>
      <c r="L853" s="19"/>
      <c r="M853" s="6"/>
      <c r="N853" s="6"/>
      <c r="O853" s="6"/>
      <c r="P853" s="6"/>
      <c r="Q853" s="6"/>
      <c r="R853" s="6"/>
      <c r="S853" s="6"/>
      <c r="T853" s="6"/>
      <c r="U853" s="6"/>
      <c r="V853" s="6"/>
      <c r="W853" s="6"/>
      <c r="X853" s="6"/>
      <c r="Y853" s="6"/>
      <c r="Z853" s="6"/>
      <c r="AA853" s="6"/>
      <c r="AB853" s="6"/>
      <c r="AC853" s="6"/>
      <c r="AD853" s="7"/>
    </row>
    <row r="854">
      <c r="A854" s="23"/>
      <c r="B854" s="23"/>
      <c r="C854" s="27"/>
      <c r="D854" s="19"/>
      <c r="E854" s="6"/>
      <c r="F854" s="6"/>
      <c r="G854" s="6"/>
      <c r="H854" s="6"/>
      <c r="I854" s="19"/>
      <c r="J854" s="6"/>
      <c r="K854" s="6"/>
      <c r="L854" s="19"/>
      <c r="M854" s="6"/>
      <c r="N854" s="6"/>
      <c r="O854" s="6"/>
      <c r="P854" s="6"/>
      <c r="Q854" s="6"/>
      <c r="R854" s="6"/>
      <c r="S854" s="6"/>
      <c r="T854" s="6"/>
      <c r="U854" s="6"/>
      <c r="V854" s="6"/>
      <c r="W854" s="6"/>
      <c r="X854" s="6"/>
      <c r="Y854" s="6"/>
      <c r="Z854" s="6"/>
      <c r="AA854" s="6"/>
      <c r="AB854" s="6"/>
      <c r="AC854" s="6"/>
      <c r="AD854" s="7"/>
    </row>
    <row r="855">
      <c r="A855" s="23"/>
      <c r="B855" s="23"/>
      <c r="C855" s="27"/>
      <c r="D855" s="19"/>
      <c r="E855" s="6"/>
      <c r="F855" s="6"/>
      <c r="G855" s="6"/>
      <c r="H855" s="6"/>
      <c r="I855" s="19"/>
      <c r="J855" s="6"/>
      <c r="K855" s="6"/>
      <c r="L855" s="19"/>
      <c r="M855" s="6"/>
      <c r="N855" s="6"/>
      <c r="O855" s="6"/>
      <c r="P855" s="6"/>
      <c r="Q855" s="6"/>
      <c r="R855" s="6"/>
      <c r="S855" s="6"/>
      <c r="T855" s="6"/>
      <c r="U855" s="6"/>
      <c r="V855" s="6"/>
      <c r="W855" s="6"/>
      <c r="X855" s="6"/>
      <c r="Y855" s="6"/>
      <c r="Z855" s="6"/>
      <c r="AA855" s="6"/>
      <c r="AB855" s="6"/>
      <c r="AC855" s="6"/>
      <c r="AD855" s="7"/>
    </row>
    <row r="856">
      <c r="A856" s="23"/>
      <c r="B856" s="23"/>
      <c r="C856" s="27"/>
      <c r="D856" s="19"/>
      <c r="E856" s="6"/>
      <c r="F856" s="6"/>
      <c r="G856" s="6"/>
      <c r="H856" s="6"/>
      <c r="I856" s="19"/>
      <c r="J856" s="6"/>
      <c r="K856" s="6"/>
      <c r="L856" s="19"/>
      <c r="M856" s="6"/>
      <c r="N856" s="6"/>
      <c r="O856" s="6"/>
      <c r="P856" s="6"/>
      <c r="Q856" s="6"/>
      <c r="R856" s="6"/>
      <c r="S856" s="6"/>
      <c r="T856" s="6"/>
      <c r="U856" s="6"/>
      <c r="V856" s="6"/>
      <c r="W856" s="6"/>
      <c r="X856" s="6"/>
      <c r="Y856" s="6"/>
      <c r="Z856" s="6"/>
      <c r="AA856" s="6"/>
      <c r="AB856" s="6"/>
      <c r="AC856" s="6"/>
      <c r="AD856" s="7"/>
    </row>
    <row r="857">
      <c r="A857" s="23"/>
      <c r="B857" s="23"/>
      <c r="C857" s="27"/>
      <c r="D857" s="19"/>
      <c r="E857" s="6"/>
      <c r="F857" s="6"/>
      <c r="G857" s="6"/>
      <c r="H857" s="6"/>
      <c r="I857" s="19"/>
      <c r="J857" s="6"/>
      <c r="K857" s="6"/>
      <c r="L857" s="19"/>
      <c r="M857" s="6"/>
      <c r="N857" s="6"/>
      <c r="O857" s="6"/>
      <c r="P857" s="6"/>
      <c r="Q857" s="6"/>
      <c r="R857" s="6"/>
      <c r="S857" s="6"/>
      <c r="T857" s="6"/>
      <c r="U857" s="6"/>
      <c r="V857" s="6"/>
      <c r="W857" s="6"/>
      <c r="X857" s="6"/>
      <c r="Y857" s="6"/>
      <c r="Z857" s="6"/>
      <c r="AA857" s="6"/>
      <c r="AB857" s="6"/>
      <c r="AC857" s="6"/>
      <c r="AD857" s="7"/>
    </row>
    <row r="858">
      <c r="A858" s="23"/>
      <c r="B858" s="23"/>
      <c r="C858" s="27"/>
      <c r="D858" s="19"/>
      <c r="E858" s="6"/>
      <c r="F858" s="6"/>
      <c r="G858" s="6"/>
      <c r="H858" s="6"/>
      <c r="I858" s="19"/>
      <c r="J858" s="6"/>
      <c r="K858" s="6"/>
      <c r="L858" s="19"/>
      <c r="M858" s="6"/>
      <c r="N858" s="6"/>
      <c r="O858" s="6"/>
      <c r="P858" s="6"/>
      <c r="Q858" s="6"/>
      <c r="R858" s="6"/>
      <c r="S858" s="6"/>
      <c r="T858" s="6"/>
      <c r="U858" s="6"/>
      <c r="V858" s="6"/>
      <c r="W858" s="6"/>
      <c r="X858" s="6"/>
      <c r="Y858" s="6"/>
      <c r="Z858" s="6"/>
      <c r="AA858" s="6"/>
      <c r="AB858" s="6"/>
      <c r="AC858" s="6"/>
      <c r="AD858" s="7"/>
    </row>
    <row r="859">
      <c r="A859" s="23"/>
      <c r="B859" s="23"/>
      <c r="C859" s="27"/>
      <c r="D859" s="19"/>
      <c r="E859" s="6"/>
      <c r="F859" s="6"/>
      <c r="G859" s="6"/>
      <c r="H859" s="6"/>
      <c r="I859" s="19"/>
      <c r="J859" s="6"/>
      <c r="K859" s="6"/>
      <c r="L859" s="19"/>
      <c r="M859" s="6"/>
      <c r="N859" s="6"/>
      <c r="O859" s="6"/>
      <c r="P859" s="6"/>
      <c r="Q859" s="6"/>
      <c r="R859" s="6"/>
      <c r="S859" s="6"/>
      <c r="T859" s="6"/>
      <c r="U859" s="6"/>
      <c r="V859" s="6"/>
      <c r="W859" s="6"/>
      <c r="X859" s="6"/>
      <c r="Y859" s="6"/>
      <c r="Z859" s="6"/>
      <c r="AA859" s="6"/>
      <c r="AB859" s="6"/>
      <c r="AC859" s="6"/>
      <c r="AD859" s="7"/>
    </row>
    <row r="860">
      <c r="A860" s="23"/>
      <c r="B860" s="23"/>
      <c r="C860" s="27"/>
      <c r="D860" s="19"/>
      <c r="E860" s="6"/>
      <c r="F860" s="6"/>
      <c r="G860" s="6"/>
      <c r="H860" s="6"/>
      <c r="I860" s="19"/>
      <c r="J860" s="6"/>
      <c r="K860" s="6"/>
      <c r="L860" s="19"/>
      <c r="M860" s="6"/>
      <c r="N860" s="6"/>
      <c r="O860" s="6"/>
      <c r="P860" s="6"/>
      <c r="Q860" s="6"/>
      <c r="R860" s="6"/>
      <c r="S860" s="6"/>
      <c r="T860" s="6"/>
      <c r="U860" s="6"/>
      <c r="V860" s="6"/>
      <c r="W860" s="6"/>
      <c r="X860" s="6"/>
      <c r="Y860" s="6"/>
      <c r="Z860" s="6"/>
      <c r="AA860" s="6"/>
      <c r="AB860" s="6"/>
      <c r="AC860" s="6"/>
      <c r="AD860" s="7"/>
    </row>
    <row r="861">
      <c r="A861" s="23"/>
      <c r="B861" s="23"/>
      <c r="C861" s="27"/>
      <c r="D861" s="19"/>
      <c r="E861" s="6"/>
      <c r="F861" s="6"/>
      <c r="G861" s="6"/>
      <c r="H861" s="6"/>
      <c r="I861" s="19"/>
      <c r="J861" s="6"/>
      <c r="K861" s="6"/>
      <c r="L861" s="19"/>
      <c r="M861" s="6"/>
      <c r="N861" s="6"/>
      <c r="O861" s="6"/>
      <c r="P861" s="6"/>
      <c r="Q861" s="6"/>
      <c r="R861" s="6"/>
      <c r="S861" s="6"/>
      <c r="T861" s="6"/>
      <c r="U861" s="6"/>
      <c r="V861" s="6"/>
      <c r="W861" s="6"/>
      <c r="X861" s="6"/>
      <c r="Y861" s="6"/>
      <c r="Z861" s="6"/>
      <c r="AA861" s="6"/>
      <c r="AB861" s="6"/>
      <c r="AC861" s="6"/>
      <c r="AD861" s="7"/>
    </row>
    <row r="862">
      <c r="A862" s="23"/>
      <c r="B862" s="23"/>
      <c r="C862" s="27"/>
      <c r="D862" s="19"/>
      <c r="E862" s="6"/>
      <c r="F862" s="6"/>
      <c r="G862" s="6"/>
      <c r="H862" s="6"/>
      <c r="I862" s="19"/>
      <c r="J862" s="6"/>
      <c r="K862" s="6"/>
      <c r="L862" s="19"/>
      <c r="M862" s="6"/>
      <c r="N862" s="6"/>
      <c r="O862" s="6"/>
      <c r="P862" s="6"/>
      <c r="Q862" s="6"/>
      <c r="R862" s="6"/>
      <c r="S862" s="6"/>
      <c r="T862" s="6"/>
      <c r="U862" s="6"/>
      <c r="V862" s="6"/>
      <c r="W862" s="6"/>
      <c r="X862" s="6"/>
      <c r="Y862" s="6"/>
      <c r="Z862" s="6"/>
      <c r="AA862" s="6"/>
      <c r="AB862" s="6"/>
      <c r="AC862" s="6"/>
      <c r="AD862" s="7"/>
    </row>
    <row r="863">
      <c r="A863" s="23"/>
      <c r="B863" s="23"/>
      <c r="C863" s="27"/>
      <c r="D863" s="19"/>
      <c r="E863" s="6"/>
      <c r="F863" s="6"/>
      <c r="G863" s="6"/>
      <c r="H863" s="6"/>
      <c r="I863" s="19"/>
      <c r="J863" s="6"/>
      <c r="K863" s="6"/>
      <c r="L863" s="19"/>
      <c r="M863" s="6"/>
      <c r="N863" s="6"/>
      <c r="O863" s="6"/>
      <c r="P863" s="6"/>
      <c r="Q863" s="6"/>
      <c r="R863" s="6"/>
      <c r="S863" s="6"/>
      <c r="T863" s="6"/>
      <c r="U863" s="6"/>
      <c r="V863" s="6"/>
      <c r="W863" s="6"/>
      <c r="X863" s="6"/>
      <c r="Y863" s="6"/>
      <c r="Z863" s="6"/>
      <c r="AA863" s="6"/>
      <c r="AB863" s="6"/>
      <c r="AC863" s="6"/>
      <c r="AD863" s="7"/>
    </row>
    <row r="864">
      <c r="A864" s="23"/>
      <c r="B864" s="23"/>
      <c r="C864" s="27"/>
      <c r="D864" s="19"/>
      <c r="E864" s="6"/>
      <c r="F864" s="6"/>
      <c r="G864" s="6"/>
      <c r="H864" s="6"/>
      <c r="I864" s="19"/>
      <c r="J864" s="6"/>
      <c r="K864" s="6"/>
      <c r="L864" s="19"/>
      <c r="M864" s="6"/>
      <c r="N864" s="6"/>
      <c r="O864" s="6"/>
      <c r="P864" s="6"/>
      <c r="Q864" s="6"/>
      <c r="R864" s="6"/>
      <c r="S864" s="6"/>
      <c r="T864" s="6"/>
      <c r="U864" s="6"/>
      <c r="V864" s="6"/>
      <c r="W864" s="6"/>
      <c r="X864" s="6"/>
      <c r="Y864" s="6"/>
      <c r="Z864" s="6"/>
      <c r="AA864" s="6"/>
      <c r="AB864" s="6"/>
      <c r="AC864" s="6"/>
      <c r="AD864" s="7"/>
    </row>
    <row r="865">
      <c r="A865" s="23"/>
      <c r="B865" s="23"/>
      <c r="C865" s="27"/>
      <c r="D865" s="19"/>
      <c r="E865" s="6"/>
      <c r="F865" s="6"/>
      <c r="G865" s="6"/>
      <c r="H865" s="6"/>
      <c r="I865" s="19"/>
      <c r="J865" s="6"/>
      <c r="K865" s="6"/>
      <c r="L865" s="19"/>
      <c r="M865" s="6"/>
      <c r="N865" s="6"/>
      <c r="O865" s="6"/>
      <c r="P865" s="6"/>
      <c r="Q865" s="6"/>
      <c r="R865" s="6"/>
      <c r="S865" s="6"/>
      <c r="T865" s="6"/>
      <c r="U865" s="6"/>
      <c r="V865" s="6"/>
      <c r="W865" s="6"/>
      <c r="X865" s="6"/>
      <c r="Y865" s="6"/>
      <c r="Z865" s="6"/>
      <c r="AA865" s="6"/>
      <c r="AB865" s="6"/>
      <c r="AC865" s="6"/>
      <c r="AD865" s="7"/>
    </row>
    <row r="866">
      <c r="A866" s="23"/>
      <c r="B866" s="23"/>
      <c r="C866" s="27"/>
      <c r="D866" s="19"/>
      <c r="E866" s="6"/>
      <c r="F866" s="6"/>
      <c r="G866" s="6"/>
      <c r="H866" s="6"/>
      <c r="I866" s="19"/>
      <c r="J866" s="6"/>
      <c r="K866" s="6"/>
      <c r="L866" s="19"/>
      <c r="M866" s="6"/>
      <c r="N866" s="6"/>
      <c r="O866" s="6"/>
      <c r="P866" s="6"/>
      <c r="Q866" s="6"/>
      <c r="R866" s="6"/>
      <c r="S866" s="6"/>
      <c r="T866" s="6"/>
      <c r="U866" s="6"/>
      <c r="V866" s="6"/>
      <c r="W866" s="6"/>
      <c r="X866" s="6"/>
      <c r="Y866" s="6"/>
      <c r="Z866" s="6"/>
      <c r="AA866" s="6"/>
      <c r="AB866" s="6"/>
      <c r="AC866" s="6"/>
      <c r="AD866" s="7"/>
    </row>
    <row r="867">
      <c r="A867" s="23"/>
      <c r="B867" s="23"/>
      <c r="C867" s="27"/>
      <c r="D867" s="19"/>
      <c r="E867" s="6"/>
      <c r="F867" s="6"/>
      <c r="G867" s="6"/>
      <c r="H867" s="6"/>
      <c r="I867" s="19"/>
      <c r="J867" s="6"/>
      <c r="K867" s="6"/>
      <c r="L867" s="19"/>
      <c r="M867" s="6"/>
      <c r="N867" s="6"/>
      <c r="O867" s="6"/>
      <c r="P867" s="6"/>
      <c r="Q867" s="6"/>
      <c r="R867" s="6"/>
      <c r="S867" s="6"/>
      <c r="T867" s="6"/>
      <c r="U867" s="6"/>
      <c r="V867" s="6"/>
      <c r="W867" s="6"/>
      <c r="X867" s="6"/>
      <c r="Y867" s="6"/>
      <c r="Z867" s="6"/>
      <c r="AA867" s="6"/>
      <c r="AB867" s="6"/>
      <c r="AC867" s="6"/>
      <c r="AD867" s="7"/>
    </row>
    <row r="868">
      <c r="A868" s="23"/>
      <c r="B868" s="23"/>
      <c r="C868" s="27"/>
      <c r="D868" s="19"/>
      <c r="E868" s="6"/>
      <c r="F868" s="6"/>
      <c r="G868" s="6"/>
      <c r="H868" s="6"/>
      <c r="I868" s="19"/>
      <c r="J868" s="6"/>
      <c r="K868" s="6"/>
      <c r="L868" s="19"/>
      <c r="M868" s="6"/>
      <c r="N868" s="6"/>
      <c r="O868" s="6"/>
      <c r="P868" s="6"/>
      <c r="Q868" s="6"/>
      <c r="R868" s="6"/>
      <c r="S868" s="6"/>
      <c r="T868" s="6"/>
      <c r="U868" s="6"/>
      <c r="V868" s="6"/>
      <c r="W868" s="6"/>
      <c r="X868" s="6"/>
      <c r="Y868" s="6"/>
      <c r="Z868" s="6"/>
      <c r="AA868" s="6"/>
      <c r="AB868" s="6"/>
      <c r="AC868" s="6"/>
      <c r="AD868" s="7"/>
    </row>
    <row r="869">
      <c r="A869" s="23"/>
      <c r="B869" s="23"/>
      <c r="C869" s="27"/>
      <c r="D869" s="19"/>
      <c r="E869" s="6"/>
      <c r="F869" s="6"/>
      <c r="G869" s="6"/>
      <c r="H869" s="6"/>
      <c r="I869" s="19"/>
      <c r="J869" s="6"/>
      <c r="K869" s="6"/>
      <c r="L869" s="19"/>
      <c r="M869" s="6"/>
      <c r="N869" s="6"/>
      <c r="O869" s="6"/>
      <c r="P869" s="6"/>
      <c r="Q869" s="6"/>
      <c r="R869" s="6"/>
      <c r="S869" s="6"/>
      <c r="T869" s="6"/>
      <c r="U869" s="6"/>
      <c r="V869" s="6"/>
      <c r="W869" s="6"/>
      <c r="X869" s="6"/>
      <c r="Y869" s="6"/>
      <c r="Z869" s="6"/>
      <c r="AA869" s="6"/>
      <c r="AB869" s="6"/>
      <c r="AC869" s="6"/>
      <c r="AD869" s="7"/>
    </row>
    <row r="870">
      <c r="A870" s="23"/>
      <c r="B870" s="23"/>
      <c r="C870" s="27"/>
      <c r="D870" s="19"/>
      <c r="E870" s="6"/>
      <c r="F870" s="6"/>
      <c r="G870" s="6"/>
      <c r="H870" s="6"/>
      <c r="I870" s="19"/>
      <c r="J870" s="6"/>
      <c r="K870" s="6"/>
      <c r="L870" s="19"/>
      <c r="M870" s="6"/>
      <c r="N870" s="6"/>
      <c r="O870" s="6"/>
      <c r="P870" s="6"/>
      <c r="Q870" s="6"/>
      <c r="R870" s="6"/>
      <c r="S870" s="6"/>
      <c r="T870" s="6"/>
      <c r="U870" s="6"/>
      <c r="V870" s="6"/>
      <c r="W870" s="6"/>
      <c r="X870" s="6"/>
      <c r="Y870" s="6"/>
      <c r="Z870" s="6"/>
      <c r="AA870" s="6"/>
      <c r="AB870" s="6"/>
      <c r="AC870" s="6"/>
      <c r="AD870" s="7"/>
    </row>
    <row r="871">
      <c r="A871" s="23"/>
      <c r="B871" s="23"/>
      <c r="C871" s="27"/>
      <c r="D871" s="19"/>
      <c r="E871" s="6"/>
      <c r="F871" s="6"/>
      <c r="G871" s="6"/>
      <c r="H871" s="6"/>
      <c r="I871" s="19"/>
      <c r="J871" s="6"/>
      <c r="K871" s="6"/>
      <c r="L871" s="19"/>
      <c r="M871" s="6"/>
      <c r="N871" s="6"/>
      <c r="O871" s="6"/>
      <c r="P871" s="6"/>
      <c r="Q871" s="6"/>
      <c r="R871" s="6"/>
      <c r="S871" s="6"/>
      <c r="T871" s="6"/>
      <c r="U871" s="6"/>
      <c r="V871" s="6"/>
      <c r="W871" s="6"/>
      <c r="X871" s="6"/>
      <c r="Y871" s="6"/>
      <c r="Z871" s="6"/>
      <c r="AA871" s="6"/>
      <c r="AB871" s="6"/>
      <c r="AC871" s="6"/>
      <c r="AD871" s="7"/>
    </row>
    <row r="872">
      <c r="A872" s="23"/>
      <c r="B872" s="23"/>
      <c r="C872" s="27"/>
      <c r="D872" s="19"/>
      <c r="E872" s="6"/>
      <c r="F872" s="6"/>
      <c r="G872" s="6"/>
      <c r="H872" s="6"/>
      <c r="I872" s="19"/>
      <c r="J872" s="6"/>
      <c r="K872" s="6"/>
      <c r="L872" s="19"/>
      <c r="M872" s="6"/>
      <c r="N872" s="6"/>
      <c r="O872" s="6"/>
      <c r="P872" s="6"/>
      <c r="Q872" s="6"/>
      <c r="R872" s="6"/>
      <c r="S872" s="6"/>
      <c r="T872" s="6"/>
      <c r="U872" s="6"/>
      <c r="V872" s="6"/>
      <c r="W872" s="6"/>
      <c r="X872" s="6"/>
      <c r="Y872" s="6"/>
      <c r="Z872" s="6"/>
      <c r="AA872" s="6"/>
      <c r="AB872" s="6"/>
      <c r="AC872" s="6"/>
      <c r="AD872" s="7"/>
    </row>
    <row r="873">
      <c r="A873" s="23"/>
      <c r="B873" s="23"/>
      <c r="C873" s="27"/>
      <c r="D873" s="19"/>
      <c r="E873" s="6"/>
      <c r="F873" s="6"/>
      <c r="G873" s="6"/>
      <c r="H873" s="6"/>
      <c r="I873" s="19"/>
      <c r="J873" s="6"/>
      <c r="K873" s="6"/>
      <c r="L873" s="19"/>
      <c r="M873" s="6"/>
      <c r="N873" s="6"/>
      <c r="O873" s="6"/>
      <c r="P873" s="6"/>
      <c r="Q873" s="6"/>
      <c r="R873" s="6"/>
      <c r="S873" s="6"/>
      <c r="T873" s="6"/>
      <c r="U873" s="6"/>
      <c r="V873" s="6"/>
      <c r="W873" s="6"/>
      <c r="X873" s="6"/>
      <c r="Y873" s="6"/>
      <c r="Z873" s="6"/>
      <c r="AA873" s="6"/>
      <c r="AB873" s="6"/>
      <c r="AC873" s="6"/>
      <c r="AD873" s="7"/>
    </row>
    <row r="874">
      <c r="A874" s="23"/>
      <c r="B874" s="23"/>
      <c r="C874" s="27"/>
      <c r="D874" s="19"/>
      <c r="E874" s="6"/>
      <c r="F874" s="6"/>
      <c r="G874" s="6"/>
      <c r="H874" s="6"/>
      <c r="I874" s="19"/>
      <c r="J874" s="6"/>
      <c r="K874" s="6"/>
      <c r="L874" s="19"/>
      <c r="M874" s="6"/>
      <c r="N874" s="6"/>
      <c r="O874" s="6"/>
      <c r="P874" s="6"/>
      <c r="Q874" s="6"/>
      <c r="R874" s="6"/>
      <c r="S874" s="6"/>
      <c r="T874" s="6"/>
      <c r="U874" s="6"/>
      <c r="V874" s="6"/>
      <c r="W874" s="6"/>
      <c r="X874" s="6"/>
      <c r="Y874" s="6"/>
      <c r="Z874" s="6"/>
      <c r="AA874" s="6"/>
      <c r="AB874" s="6"/>
      <c r="AC874" s="6"/>
      <c r="AD874" s="7"/>
    </row>
    <row r="875">
      <c r="A875" s="23"/>
      <c r="B875" s="23"/>
      <c r="C875" s="27"/>
      <c r="D875" s="19"/>
      <c r="E875" s="6"/>
      <c r="F875" s="6"/>
      <c r="G875" s="6"/>
      <c r="H875" s="6"/>
      <c r="I875" s="19"/>
      <c r="J875" s="6"/>
      <c r="K875" s="6"/>
      <c r="L875" s="19"/>
      <c r="M875" s="6"/>
      <c r="N875" s="6"/>
      <c r="O875" s="6"/>
      <c r="P875" s="6"/>
      <c r="Q875" s="6"/>
      <c r="R875" s="6"/>
      <c r="S875" s="6"/>
      <c r="T875" s="6"/>
      <c r="U875" s="6"/>
      <c r="V875" s="6"/>
      <c r="W875" s="6"/>
      <c r="X875" s="6"/>
      <c r="Y875" s="6"/>
      <c r="Z875" s="6"/>
      <c r="AA875" s="6"/>
      <c r="AB875" s="6"/>
      <c r="AC875" s="6"/>
      <c r="AD875" s="7"/>
    </row>
    <row r="876">
      <c r="A876" s="23"/>
      <c r="B876" s="23"/>
      <c r="C876" s="27"/>
      <c r="D876" s="19"/>
      <c r="E876" s="6"/>
      <c r="F876" s="6"/>
      <c r="G876" s="6"/>
      <c r="H876" s="6"/>
      <c r="I876" s="19"/>
      <c r="J876" s="6"/>
      <c r="K876" s="6"/>
      <c r="L876" s="19"/>
      <c r="M876" s="6"/>
      <c r="N876" s="6"/>
      <c r="O876" s="6"/>
      <c r="P876" s="6"/>
      <c r="Q876" s="6"/>
      <c r="R876" s="6"/>
      <c r="S876" s="6"/>
      <c r="T876" s="6"/>
      <c r="U876" s="6"/>
      <c r="V876" s="6"/>
      <c r="W876" s="6"/>
      <c r="X876" s="6"/>
      <c r="Y876" s="6"/>
      <c r="Z876" s="6"/>
      <c r="AA876" s="6"/>
      <c r="AB876" s="6"/>
      <c r="AC876" s="6"/>
      <c r="AD876" s="7"/>
    </row>
    <row r="877">
      <c r="A877" s="23"/>
      <c r="B877" s="23"/>
      <c r="C877" s="27"/>
      <c r="D877" s="19"/>
      <c r="E877" s="6"/>
      <c r="F877" s="6"/>
      <c r="G877" s="6"/>
      <c r="H877" s="6"/>
      <c r="I877" s="19"/>
      <c r="J877" s="6"/>
      <c r="K877" s="6"/>
      <c r="L877" s="19"/>
      <c r="M877" s="6"/>
      <c r="N877" s="6"/>
      <c r="O877" s="6"/>
      <c r="P877" s="6"/>
      <c r="Q877" s="6"/>
      <c r="R877" s="6"/>
      <c r="S877" s="6"/>
      <c r="T877" s="6"/>
      <c r="U877" s="6"/>
      <c r="V877" s="6"/>
      <c r="W877" s="6"/>
      <c r="X877" s="6"/>
      <c r="Y877" s="6"/>
      <c r="Z877" s="6"/>
      <c r="AA877" s="6"/>
      <c r="AB877" s="6"/>
      <c r="AC877" s="6"/>
      <c r="AD877" s="7"/>
    </row>
    <row r="878">
      <c r="A878" s="23"/>
      <c r="B878" s="23"/>
      <c r="C878" s="27"/>
      <c r="D878" s="19"/>
      <c r="E878" s="6"/>
      <c r="F878" s="6"/>
      <c r="G878" s="6"/>
      <c r="H878" s="6"/>
      <c r="I878" s="19"/>
      <c r="J878" s="6"/>
      <c r="K878" s="6"/>
      <c r="L878" s="19"/>
      <c r="M878" s="6"/>
      <c r="N878" s="6"/>
      <c r="O878" s="6"/>
      <c r="P878" s="6"/>
      <c r="Q878" s="6"/>
      <c r="R878" s="6"/>
      <c r="S878" s="6"/>
      <c r="T878" s="6"/>
      <c r="U878" s="6"/>
      <c r="V878" s="6"/>
      <c r="W878" s="6"/>
      <c r="X878" s="6"/>
      <c r="Y878" s="6"/>
      <c r="Z878" s="6"/>
      <c r="AA878" s="6"/>
      <c r="AB878" s="6"/>
      <c r="AC878" s="6"/>
      <c r="AD878" s="7"/>
    </row>
    <row r="879">
      <c r="A879" s="23"/>
      <c r="B879" s="23"/>
      <c r="C879" s="27"/>
      <c r="D879" s="19"/>
      <c r="E879" s="6"/>
      <c r="F879" s="6"/>
      <c r="G879" s="6"/>
      <c r="H879" s="6"/>
      <c r="I879" s="19"/>
      <c r="J879" s="6"/>
      <c r="K879" s="6"/>
      <c r="L879" s="19"/>
      <c r="M879" s="6"/>
      <c r="N879" s="6"/>
      <c r="O879" s="6"/>
      <c r="P879" s="6"/>
      <c r="Q879" s="6"/>
      <c r="R879" s="6"/>
      <c r="S879" s="6"/>
      <c r="T879" s="6"/>
      <c r="U879" s="6"/>
      <c r="V879" s="6"/>
      <c r="W879" s="6"/>
      <c r="X879" s="6"/>
      <c r="Y879" s="6"/>
      <c r="Z879" s="6"/>
      <c r="AA879" s="6"/>
      <c r="AB879" s="6"/>
      <c r="AC879" s="6"/>
      <c r="AD879" s="7"/>
    </row>
    <row r="880">
      <c r="A880" s="23"/>
      <c r="B880" s="23"/>
      <c r="C880" s="27"/>
      <c r="D880" s="19"/>
      <c r="E880" s="6"/>
      <c r="F880" s="6"/>
      <c r="G880" s="6"/>
      <c r="H880" s="6"/>
      <c r="I880" s="19"/>
      <c r="J880" s="6"/>
      <c r="K880" s="6"/>
      <c r="L880" s="19"/>
      <c r="M880" s="6"/>
      <c r="N880" s="6"/>
      <c r="O880" s="6"/>
      <c r="P880" s="6"/>
      <c r="Q880" s="6"/>
      <c r="R880" s="6"/>
      <c r="S880" s="6"/>
      <c r="T880" s="6"/>
      <c r="U880" s="6"/>
      <c r="V880" s="6"/>
      <c r="W880" s="6"/>
      <c r="X880" s="6"/>
      <c r="Y880" s="6"/>
      <c r="Z880" s="6"/>
      <c r="AA880" s="6"/>
      <c r="AB880" s="6"/>
      <c r="AC880" s="6"/>
      <c r="AD880" s="7"/>
    </row>
    <row r="881">
      <c r="A881" s="23"/>
      <c r="B881" s="23"/>
      <c r="C881" s="27"/>
      <c r="D881" s="19"/>
      <c r="E881" s="6"/>
      <c r="F881" s="6"/>
      <c r="G881" s="6"/>
      <c r="H881" s="6"/>
      <c r="I881" s="19"/>
      <c r="J881" s="6"/>
      <c r="K881" s="6"/>
      <c r="L881" s="19"/>
      <c r="M881" s="6"/>
      <c r="N881" s="6"/>
      <c r="O881" s="6"/>
      <c r="P881" s="6"/>
      <c r="Q881" s="6"/>
      <c r="R881" s="6"/>
      <c r="S881" s="6"/>
      <c r="T881" s="6"/>
      <c r="U881" s="6"/>
      <c r="V881" s="6"/>
      <c r="W881" s="6"/>
      <c r="X881" s="6"/>
      <c r="Y881" s="6"/>
      <c r="Z881" s="6"/>
      <c r="AA881" s="6"/>
      <c r="AB881" s="6"/>
      <c r="AC881" s="6"/>
      <c r="AD881" s="7"/>
    </row>
    <row r="882">
      <c r="A882" s="23"/>
      <c r="B882" s="23"/>
      <c r="C882" s="27"/>
      <c r="D882" s="19"/>
      <c r="E882" s="6"/>
      <c r="F882" s="6"/>
      <c r="G882" s="6"/>
      <c r="H882" s="6"/>
      <c r="I882" s="19"/>
      <c r="J882" s="6"/>
      <c r="K882" s="6"/>
      <c r="L882" s="19"/>
      <c r="M882" s="6"/>
      <c r="N882" s="6"/>
      <c r="O882" s="6"/>
      <c r="P882" s="6"/>
      <c r="Q882" s="6"/>
      <c r="R882" s="6"/>
      <c r="S882" s="6"/>
      <c r="T882" s="6"/>
      <c r="U882" s="6"/>
      <c r="V882" s="6"/>
      <c r="W882" s="6"/>
      <c r="X882" s="6"/>
      <c r="Y882" s="6"/>
      <c r="Z882" s="6"/>
      <c r="AA882" s="6"/>
      <c r="AB882" s="6"/>
      <c r="AC882" s="6"/>
      <c r="AD882" s="7"/>
    </row>
    <row r="883">
      <c r="A883" s="23"/>
      <c r="B883" s="23"/>
      <c r="C883" s="27"/>
      <c r="D883" s="19"/>
      <c r="E883" s="6"/>
      <c r="F883" s="6"/>
      <c r="G883" s="6"/>
      <c r="H883" s="6"/>
      <c r="I883" s="19"/>
      <c r="J883" s="6"/>
      <c r="K883" s="6"/>
      <c r="L883" s="19"/>
      <c r="M883" s="6"/>
      <c r="N883" s="6"/>
      <c r="O883" s="6"/>
      <c r="P883" s="6"/>
      <c r="Q883" s="6"/>
      <c r="R883" s="6"/>
      <c r="S883" s="6"/>
      <c r="T883" s="6"/>
      <c r="U883" s="6"/>
      <c r="V883" s="6"/>
      <c r="W883" s="6"/>
      <c r="X883" s="6"/>
      <c r="Y883" s="6"/>
      <c r="Z883" s="6"/>
      <c r="AA883" s="6"/>
      <c r="AB883" s="6"/>
      <c r="AC883" s="6"/>
      <c r="AD883" s="7"/>
    </row>
    <row r="884">
      <c r="A884" s="23"/>
      <c r="B884" s="23"/>
      <c r="C884" s="27"/>
      <c r="D884" s="19"/>
      <c r="E884" s="6"/>
      <c r="F884" s="6"/>
      <c r="G884" s="6"/>
      <c r="H884" s="6"/>
      <c r="I884" s="19"/>
      <c r="J884" s="6"/>
      <c r="K884" s="6"/>
      <c r="L884" s="19"/>
      <c r="M884" s="6"/>
      <c r="N884" s="6"/>
      <c r="O884" s="6"/>
      <c r="P884" s="6"/>
      <c r="Q884" s="6"/>
      <c r="R884" s="6"/>
      <c r="S884" s="6"/>
      <c r="T884" s="6"/>
      <c r="U884" s="6"/>
      <c r="V884" s="6"/>
      <c r="W884" s="6"/>
      <c r="X884" s="6"/>
      <c r="Y884" s="6"/>
      <c r="Z884" s="6"/>
      <c r="AA884" s="6"/>
      <c r="AB884" s="6"/>
      <c r="AC884" s="6"/>
      <c r="AD884" s="7"/>
    </row>
    <row r="885">
      <c r="A885" s="23"/>
      <c r="B885" s="23"/>
      <c r="C885" s="27"/>
      <c r="D885" s="19"/>
      <c r="E885" s="6"/>
      <c r="F885" s="6"/>
      <c r="G885" s="6"/>
      <c r="H885" s="6"/>
      <c r="I885" s="19"/>
      <c r="J885" s="6"/>
      <c r="K885" s="6"/>
      <c r="L885" s="19"/>
      <c r="M885" s="6"/>
      <c r="N885" s="6"/>
      <c r="O885" s="6"/>
      <c r="P885" s="6"/>
      <c r="Q885" s="6"/>
      <c r="R885" s="6"/>
      <c r="S885" s="6"/>
      <c r="T885" s="6"/>
      <c r="U885" s="6"/>
      <c r="V885" s="6"/>
      <c r="W885" s="6"/>
      <c r="X885" s="6"/>
      <c r="Y885" s="6"/>
      <c r="Z885" s="6"/>
      <c r="AA885" s="6"/>
      <c r="AB885" s="6"/>
      <c r="AC885" s="6"/>
      <c r="AD885" s="7"/>
    </row>
    <row r="886">
      <c r="A886" s="23"/>
      <c r="B886" s="23"/>
      <c r="C886" s="27"/>
      <c r="D886" s="19"/>
      <c r="E886" s="6"/>
      <c r="F886" s="6"/>
      <c r="G886" s="6"/>
      <c r="H886" s="6"/>
      <c r="I886" s="19"/>
      <c r="J886" s="6"/>
      <c r="K886" s="6"/>
      <c r="L886" s="19"/>
      <c r="M886" s="6"/>
      <c r="N886" s="6"/>
      <c r="O886" s="6"/>
      <c r="P886" s="6"/>
      <c r="Q886" s="6"/>
      <c r="R886" s="6"/>
      <c r="S886" s="6"/>
      <c r="T886" s="6"/>
      <c r="U886" s="6"/>
      <c r="V886" s="6"/>
      <c r="W886" s="6"/>
      <c r="X886" s="6"/>
      <c r="Y886" s="6"/>
      <c r="Z886" s="6"/>
      <c r="AA886" s="6"/>
      <c r="AB886" s="6"/>
      <c r="AC886" s="6"/>
      <c r="AD886" s="7"/>
    </row>
    <row r="887">
      <c r="A887" s="23"/>
      <c r="B887" s="23"/>
      <c r="C887" s="27"/>
      <c r="D887" s="19"/>
      <c r="E887" s="6"/>
      <c r="F887" s="6"/>
      <c r="G887" s="6"/>
      <c r="H887" s="6"/>
      <c r="I887" s="19"/>
      <c r="J887" s="6"/>
      <c r="K887" s="6"/>
      <c r="L887" s="19"/>
      <c r="M887" s="6"/>
      <c r="N887" s="6"/>
      <c r="O887" s="6"/>
      <c r="P887" s="6"/>
      <c r="Q887" s="6"/>
      <c r="R887" s="6"/>
      <c r="S887" s="6"/>
      <c r="T887" s="6"/>
      <c r="U887" s="6"/>
      <c r="V887" s="6"/>
      <c r="W887" s="6"/>
      <c r="X887" s="6"/>
      <c r="Y887" s="6"/>
      <c r="Z887" s="6"/>
      <c r="AA887" s="6"/>
      <c r="AB887" s="6"/>
      <c r="AC887" s="6"/>
      <c r="AD887" s="7"/>
    </row>
    <row r="888">
      <c r="A888" s="23"/>
      <c r="B888" s="23"/>
      <c r="C888" s="27"/>
      <c r="D888" s="19"/>
      <c r="E888" s="6"/>
      <c r="F888" s="6"/>
      <c r="G888" s="6"/>
      <c r="H888" s="6"/>
      <c r="I888" s="19"/>
      <c r="J888" s="6"/>
      <c r="K888" s="6"/>
      <c r="L888" s="19"/>
      <c r="M888" s="6"/>
      <c r="N888" s="6"/>
      <c r="O888" s="6"/>
      <c r="P888" s="6"/>
      <c r="Q888" s="6"/>
      <c r="R888" s="6"/>
      <c r="S888" s="6"/>
      <c r="T888" s="6"/>
      <c r="U888" s="6"/>
      <c r="V888" s="6"/>
      <c r="W888" s="6"/>
      <c r="X888" s="6"/>
      <c r="Y888" s="6"/>
      <c r="Z888" s="6"/>
      <c r="AA888" s="6"/>
      <c r="AB888" s="6"/>
      <c r="AC888" s="6"/>
      <c r="AD888" s="7"/>
    </row>
    <row r="889">
      <c r="A889" s="23"/>
      <c r="B889" s="23"/>
      <c r="C889" s="27"/>
      <c r="D889" s="19"/>
      <c r="E889" s="6"/>
      <c r="F889" s="6"/>
      <c r="G889" s="6"/>
      <c r="H889" s="6"/>
      <c r="I889" s="19"/>
      <c r="J889" s="6"/>
      <c r="K889" s="6"/>
      <c r="L889" s="19"/>
      <c r="M889" s="6"/>
      <c r="N889" s="6"/>
      <c r="O889" s="6"/>
      <c r="P889" s="6"/>
      <c r="Q889" s="6"/>
      <c r="R889" s="6"/>
      <c r="S889" s="6"/>
      <c r="T889" s="6"/>
      <c r="U889" s="6"/>
      <c r="V889" s="6"/>
      <c r="W889" s="6"/>
      <c r="X889" s="6"/>
      <c r="Y889" s="6"/>
      <c r="Z889" s="6"/>
      <c r="AA889" s="6"/>
      <c r="AB889" s="6"/>
      <c r="AC889" s="6"/>
      <c r="AD889" s="7"/>
    </row>
    <row r="890">
      <c r="A890" s="23"/>
      <c r="B890" s="23"/>
      <c r="C890" s="27"/>
      <c r="D890" s="19"/>
      <c r="E890" s="6"/>
      <c r="F890" s="6"/>
      <c r="G890" s="6"/>
      <c r="H890" s="6"/>
      <c r="I890" s="19"/>
      <c r="J890" s="6"/>
      <c r="K890" s="6"/>
      <c r="L890" s="19"/>
      <c r="M890" s="6"/>
      <c r="N890" s="6"/>
      <c r="O890" s="6"/>
      <c r="P890" s="6"/>
      <c r="Q890" s="6"/>
      <c r="R890" s="6"/>
      <c r="S890" s="6"/>
      <c r="T890" s="6"/>
      <c r="U890" s="6"/>
      <c r="V890" s="6"/>
      <c r="W890" s="6"/>
      <c r="X890" s="6"/>
      <c r="Y890" s="6"/>
      <c r="Z890" s="6"/>
      <c r="AA890" s="6"/>
      <c r="AB890" s="6"/>
      <c r="AC890" s="6"/>
      <c r="AD890" s="7"/>
    </row>
    <row r="891">
      <c r="A891" s="23"/>
      <c r="B891" s="23"/>
      <c r="C891" s="27"/>
      <c r="D891" s="19"/>
      <c r="E891" s="6"/>
      <c r="F891" s="6"/>
      <c r="G891" s="6"/>
      <c r="H891" s="6"/>
      <c r="I891" s="19"/>
      <c r="J891" s="6"/>
      <c r="K891" s="6"/>
      <c r="L891" s="19"/>
      <c r="M891" s="6"/>
      <c r="N891" s="6"/>
      <c r="O891" s="6"/>
      <c r="P891" s="6"/>
      <c r="Q891" s="6"/>
      <c r="R891" s="6"/>
      <c r="S891" s="6"/>
      <c r="T891" s="6"/>
      <c r="U891" s="6"/>
      <c r="V891" s="6"/>
      <c r="W891" s="6"/>
      <c r="X891" s="6"/>
      <c r="Y891" s="6"/>
      <c r="Z891" s="6"/>
      <c r="AA891" s="6"/>
      <c r="AB891" s="6"/>
      <c r="AC891" s="6"/>
      <c r="AD891" s="7"/>
    </row>
    <row r="892">
      <c r="A892" s="23"/>
      <c r="B892" s="23"/>
      <c r="C892" s="27"/>
      <c r="D892" s="19"/>
      <c r="E892" s="6"/>
      <c r="F892" s="6"/>
      <c r="G892" s="6"/>
      <c r="H892" s="6"/>
      <c r="I892" s="19"/>
      <c r="J892" s="6"/>
      <c r="K892" s="6"/>
      <c r="L892" s="19"/>
      <c r="M892" s="6"/>
      <c r="N892" s="6"/>
      <c r="O892" s="6"/>
      <c r="P892" s="6"/>
      <c r="Q892" s="6"/>
      <c r="R892" s="6"/>
      <c r="S892" s="6"/>
      <c r="T892" s="6"/>
      <c r="U892" s="6"/>
      <c r="V892" s="6"/>
      <c r="W892" s="6"/>
      <c r="X892" s="6"/>
      <c r="Y892" s="6"/>
      <c r="Z892" s="6"/>
      <c r="AA892" s="6"/>
      <c r="AB892" s="6"/>
      <c r="AC892" s="6"/>
      <c r="AD892" s="7"/>
    </row>
    <row r="893">
      <c r="A893" s="23"/>
      <c r="B893" s="23"/>
      <c r="C893" s="27"/>
      <c r="D893" s="19"/>
      <c r="E893" s="6"/>
      <c r="F893" s="6"/>
      <c r="G893" s="6"/>
      <c r="H893" s="6"/>
      <c r="I893" s="19"/>
      <c r="J893" s="6"/>
      <c r="K893" s="6"/>
      <c r="L893" s="19"/>
      <c r="M893" s="6"/>
      <c r="N893" s="6"/>
      <c r="O893" s="6"/>
      <c r="P893" s="6"/>
      <c r="Q893" s="6"/>
      <c r="R893" s="6"/>
      <c r="S893" s="6"/>
      <c r="T893" s="6"/>
      <c r="U893" s="6"/>
      <c r="V893" s="6"/>
      <c r="W893" s="6"/>
      <c r="X893" s="6"/>
      <c r="Y893" s="6"/>
      <c r="Z893" s="6"/>
      <c r="AA893" s="6"/>
      <c r="AB893" s="6"/>
      <c r="AC893" s="6"/>
      <c r="AD893" s="7"/>
    </row>
    <row r="894">
      <c r="A894" s="23"/>
      <c r="B894" s="23"/>
      <c r="C894" s="27"/>
      <c r="D894" s="19"/>
      <c r="E894" s="6"/>
      <c r="F894" s="6"/>
      <c r="G894" s="6"/>
      <c r="H894" s="6"/>
      <c r="I894" s="19"/>
      <c r="J894" s="6"/>
      <c r="K894" s="6"/>
      <c r="L894" s="19"/>
      <c r="M894" s="6"/>
      <c r="N894" s="6"/>
      <c r="O894" s="6"/>
      <c r="P894" s="6"/>
      <c r="Q894" s="6"/>
      <c r="R894" s="6"/>
      <c r="S894" s="6"/>
      <c r="T894" s="6"/>
      <c r="U894" s="6"/>
      <c r="V894" s="6"/>
      <c r="W894" s="6"/>
      <c r="X894" s="6"/>
      <c r="Y894" s="6"/>
      <c r="Z894" s="6"/>
      <c r="AA894" s="6"/>
      <c r="AB894" s="6"/>
      <c r="AC894" s="6"/>
      <c r="AD894" s="7"/>
    </row>
    <row r="895">
      <c r="A895" s="23"/>
      <c r="B895" s="23"/>
      <c r="C895" s="27"/>
      <c r="D895" s="19"/>
      <c r="E895" s="6"/>
      <c r="F895" s="6"/>
      <c r="G895" s="6"/>
      <c r="H895" s="6"/>
      <c r="I895" s="19"/>
      <c r="J895" s="6"/>
      <c r="K895" s="6"/>
      <c r="L895" s="19"/>
      <c r="M895" s="6"/>
      <c r="N895" s="6"/>
      <c r="O895" s="6"/>
      <c r="P895" s="6"/>
      <c r="Q895" s="6"/>
      <c r="R895" s="6"/>
      <c r="S895" s="6"/>
      <c r="T895" s="6"/>
      <c r="U895" s="6"/>
      <c r="V895" s="6"/>
      <c r="W895" s="6"/>
      <c r="X895" s="6"/>
      <c r="Y895" s="6"/>
      <c r="Z895" s="6"/>
      <c r="AA895" s="6"/>
      <c r="AB895" s="6"/>
      <c r="AC895" s="6"/>
      <c r="AD895" s="7"/>
    </row>
    <row r="896">
      <c r="A896" s="23"/>
      <c r="B896" s="23"/>
      <c r="C896" s="27"/>
      <c r="D896" s="19"/>
      <c r="E896" s="6"/>
      <c r="F896" s="6"/>
      <c r="G896" s="6"/>
      <c r="H896" s="6"/>
      <c r="I896" s="19"/>
      <c r="J896" s="6"/>
      <c r="K896" s="6"/>
      <c r="L896" s="19"/>
      <c r="M896" s="6"/>
      <c r="N896" s="6"/>
      <c r="O896" s="6"/>
      <c r="P896" s="6"/>
      <c r="Q896" s="6"/>
      <c r="R896" s="6"/>
      <c r="S896" s="6"/>
      <c r="T896" s="6"/>
      <c r="U896" s="6"/>
      <c r="V896" s="6"/>
      <c r="W896" s="6"/>
      <c r="X896" s="6"/>
      <c r="Y896" s="6"/>
      <c r="Z896" s="6"/>
      <c r="AA896" s="6"/>
      <c r="AB896" s="6"/>
      <c r="AC896" s="6"/>
      <c r="AD896" s="7"/>
    </row>
    <row r="897">
      <c r="A897" s="23"/>
      <c r="B897" s="23"/>
      <c r="C897" s="27"/>
      <c r="D897" s="19"/>
      <c r="E897" s="6"/>
      <c r="F897" s="6"/>
      <c r="G897" s="6"/>
      <c r="H897" s="6"/>
      <c r="I897" s="19"/>
      <c r="J897" s="6"/>
      <c r="K897" s="6"/>
      <c r="L897" s="19"/>
      <c r="M897" s="6"/>
      <c r="N897" s="6"/>
      <c r="O897" s="6"/>
      <c r="P897" s="6"/>
      <c r="Q897" s="6"/>
      <c r="R897" s="6"/>
      <c r="S897" s="6"/>
      <c r="T897" s="6"/>
      <c r="U897" s="6"/>
      <c r="V897" s="6"/>
      <c r="W897" s="6"/>
      <c r="X897" s="6"/>
      <c r="Y897" s="6"/>
      <c r="Z897" s="6"/>
      <c r="AA897" s="6"/>
      <c r="AB897" s="6"/>
      <c r="AC897" s="6"/>
      <c r="AD897" s="7"/>
    </row>
    <row r="898">
      <c r="A898" s="23"/>
      <c r="B898" s="23"/>
      <c r="C898" s="27"/>
      <c r="D898" s="19"/>
      <c r="E898" s="6"/>
      <c r="F898" s="6"/>
      <c r="G898" s="6"/>
      <c r="H898" s="6"/>
      <c r="I898" s="19"/>
      <c r="J898" s="6"/>
      <c r="K898" s="6"/>
      <c r="L898" s="19"/>
      <c r="M898" s="6"/>
      <c r="N898" s="6"/>
      <c r="O898" s="6"/>
      <c r="P898" s="6"/>
      <c r="Q898" s="6"/>
      <c r="R898" s="6"/>
      <c r="S898" s="6"/>
      <c r="T898" s="6"/>
      <c r="U898" s="6"/>
      <c r="V898" s="6"/>
      <c r="W898" s="6"/>
      <c r="X898" s="6"/>
      <c r="Y898" s="6"/>
      <c r="Z898" s="6"/>
      <c r="AA898" s="6"/>
      <c r="AB898" s="6"/>
      <c r="AC898" s="6"/>
      <c r="AD898" s="7"/>
    </row>
    <row r="899">
      <c r="A899" s="23"/>
      <c r="B899" s="23"/>
      <c r="C899" s="27"/>
      <c r="D899" s="19"/>
      <c r="E899" s="6"/>
      <c r="F899" s="6"/>
      <c r="G899" s="6"/>
      <c r="H899" s="6"/>
      <c r="I899" s="19"/>
      <c r="J899" s="6"/>
      <c r="K899" s="6"/>
      <c r="L899" s="19"/>
      <c r="M899" s="6"/>
      <c r="N899" s="6"/>
      <c r="O899" s="6"/>
      <c r="P899" s="6"/>
      <c r="Q899" s="6"/>
      <c r="R899" s="6"/>
      <c r="S899" s="6"/>
      <c r="T899" s="6"/>
      <c r="U899" s="6"/>
      <c r="V899" s="6"/>
      <c r="W899" s="6"/>
      <c r="X899" s="6"/>
      <c r="Y899" s="6"/>
      <c r="Z899" s="6"/>
      <c r="AA899" s="6"/>
      <c r="AB899" s="6"/>
      <c r="AC899" s="6"/>
      <c r="AD899" s="7"/>
    </row>
    <row r="900">
      <c r="A900" s="23"/>
      <c r="B900" s="23"/>
      <c r="C900" s="27"/>
      <c r="D900" s="19"/>
      <c r="E900" s="6"/>
      <c r="F900" s="6"/>
      <c r="G900" s="6"/>
      <c r="H900" s="6"/>
      <c r="I900" s="19"/>
      <c r="J900" s="6"/>
      <c r="K900" s="6"/>
      <c r="L900" s="19"/>
      <c r="M900" s="6"/>
      <c r="N900" s="6"/>
      <c r="O900" s="6"/>
      <c r="P900" s="6"/>
      <c r="Q900" s="6"/>
      <c r="R900" s="6"/>
      <c r="S900" s="6"/>
      <c r="T900" s="6"/>
      <c r="U900" s="6"/>
      <c r="V900" s="6"/>
      <c r="W900" s="6"/>
      <c r="X900" s="6"/>
      <c r="Y900" s="6"/>
      <c r="Z900" s="6"/>
      <c r="AA900" s="6"/>
      <c r="AB900" s="6"/>
      <c r="AC900" s="6"/>
      <c r="AD900" s="7"/>
    </row>
    <row r="901">
      <c r="A901" s="23"/>
      <c r="B901" s="23"/>
      <c r="C901" s="27"/>
      <c r="D901" s="19"/>
      <c r="E901" s="6"/>
      <c r="F901" s="6"/>
      <c r="G901" s="6"/>
      <c r="H901" s="6"/>
      <c r="I901" s="19"/>
      <c r="J901" s="6"/>
      <c r="K901" s="6"/>
      <c r="L901" s="19"/>
      <c r="M901" s="6"/>
      <c r="N901" s="6"/>
      <c r="O901" s="6"/>
      <c r="P901" s="6"/>
      <c r="Q901" s="6"/>
      <c r="R901" s="6"/>
      <c r="S901" s="6"/>
      <c r="T901" s="6"/>
      <c r="U901" s="6"/>
      <c r="V901" s="6"/>
      <c r="W901" s="6"/>
      <c r="X901" s="6"/>
      <c r="Y901" s="6"/>
      <c r="Z901" s="6"/>
      <c r="AA901" s="6"/>
      <c r="AB901" s="6"/>
      <c r="AC901" s="6"/>
      <c r="AD901" s="7"/>
    </row>
    <row r="902">
      <c r="A902" s="23"/>
      <c r="B902" s="23"/>
      <c r="C902" s="27"/>
      <c r="D902" s="19"/>
      <c r="E902" s="6"/>
      <c r="F902" s="6"/>
      <c r="G902" s="6"/>
      <c r="H902" s="6"/>
      <c r="I902" s="19"/>
      <c r="J902" s="6"/>
      <c r="K902" s="6"/>
      <c r="L902" s="19"/>
      <c r="M902" s="6"/>
      <c r="N902" s="6"/>
      <c r="O902" s="6"/>
      <c r="P902" s="6"/>
      <c r="Q902" s="6"/>
      <c r="R902" s="6"/>
      <c r="S902" s="6"/>
      <c r="T902" s="6"/>
      <c r="U902" s="6"/>
      <c r="V902" s="6"/>
      <c r="W902" s="6"/>
      <c r="X902" s="6"/>
      <c r="Y902" s="6"/>
      <c r="Z902" s="6"/>
      <c r="AA902" s="6"/>
      <c r="AB902" s="6"/>
      <c r="AC902" s="6"/>
      <c r="AD902" s="7"/>
    </row>
    <row r="903">
      <c r="A903" s="23"/>
      <c r="B903" s="23"/>
      <c r="C903" s="27"/>
      <c r="D903" s="19"/>
      <c r="E903" s="6"/>
      <c r="F903" s="6"/>
      <c r="G903" s="6"/>
      <c r="H903" s="6"/>
      <c r="I903" s="19"/>
      <c r="J903" s="6"/>
      <c r="K903" s="6"/>
      <c r="L903" s="19"/>
      <c r="M903" s="6"/>
      <c r="N903" s="6"/>
      <c r="O903" s="6"/>
      <c r="P903" s="6"/>
      <c r="Q903" s="6"/>
      <c r="R903" s="6"/>
      <c r="S903" s="6"/>
      <c r="T903" s="6"/>
      <c r="U903" s="6"/>
      <c r="V903" s="6"/>
      <c r="W903" s="6"/>
      <c r="X903" s="6"/>
      <c r="Y903" s="6"/>
      <c r="Z903" s="6"/>
      <c r="AA903" s="6"/>
      <c r="AB903" s="6"/>
      <c r="AC903" s="6"/>
      <c r="AD903" s="7"/>
    </row>
    <row r="904">
      <c r="A904" s="23"/>
      <c r="B904" s="23"/>
      <c r="C904" s="27"/>
      <c r="D904" s="19"/>
      <c r="E904" s="6"/>
      <c r="F904" s="6"/>
      <c r="G904" s="6"/>
      <c r="H904" s="6"/>
      <c r="I904" s="19"/>
      <c r="J904" s="6"/>
      <c r="K904" s="6"/>
      <c r="L904" s="19"/>
      <c r="M904" s="6"/>
      <c r="N904" s="6"/>
      <c r="O904" s="6"/>
      <c r="P904" s="6"/>
      <c r="Q904" s="6"/>
      <c r="R904" s="6"/>
      <c r="S904" s="6"/>
      <c r="T904" s="6"/>
      <c r="U904" s="6"/>
      <c r="V904" s="6"/>
      <c r="W904" s="6"/>
      <c r="X904" s="6"/>
      <c r="Y904" s="6"/>
      <c r="Z904" s="6"/>
      <c r="AA904" s="6"/>
      <c r="AB904" s="6"/>
      <c r="AC904" s="6"/>
      <c r="AD904" s="7"/>
    </row>
    <row r="905">
      <c r="A905" s="23"/>
      <c r="B905" s="23"/>
      <c r="C905" s="27"/>
      <c r="D905" s="19"/>
      <c r="E905" s="6"/>
      <c r="F905" s="6"/>
      <c r="G905" s="6"/>
      <c r="H905" s="6"/>
      <c r="I905" s="19"/>
      <c r="J905" s="6"/>
      <c r="K905" s="6"/>
      <c r="L905" s="19"/>
      <c r="M905" s="6"/>
      <c r="N905" s="6"/>
      <c r="O905" s="6"/>
      <c r="P905" s="6"/>
      <c r="Q905" s="6"/>
      <c r="R905" s="6"/>
      <c r="S905" s="6"/>
      <c r="T905" s="6"/>
      <c r="U905" s="6"/>
      <c r="V905" s="6"/>
      <c r="W905" s="6"/>
      <c r="X905" s="6"/>
      <c r="Y905" s="6"/>
      <c r="Z905" s="6"/>
      <c r="AA905" s="6"/>
      <c r="AB905" s="6"/>
      <c r="AC905" s="6"/>
      <c r="AD905" s="7"/>
    </row>
    <row r="906">
      <c r="A906" s="23"/>
      <c r="B906" s="23"/>
      <c r="C906" s="27"/>
      <c r="D906" s="19"/>
      <c r="E906" s="6"/>
      <c r="F906" s="6"/>
      <c r="G906" s="6"/>
      <c r="H906" s="6"/>
      <c r="I906" s="19"/>
      <c r="J906" s="6"/>
      <c r="K906" s="6"/>
      <c r="L906" s="19"/>
      <c r="M906" s="6"/>
      <c r="N906" s="6"/>
      <c r="O906" s="6"/>
      <c r="P906" s="6"/>
      <c r="Q906" s="6"/>
      <c r="R906" s="6"/>
      <c r="S906" s="6"/>
      <c r="T906" s="6"/>
      <c r="U906" s="6"/>
      <c r="V906" s="6"/>
      <c r="W906" s="6"/>
      <c r="X906" s="6"/>
      <c r="Y906" s="6"/>
      <c r="Z906" s="6"/>
      <c r="AA906" s="6"/>
      <c r="AB906" s="6"/>
      <c r="AC906" s="6"/>
      <c r="AD906" s="7"/>
    </row>
    <row r="907">
      <c r="A907" s="23"/>
      <c r="B907" s="23"/>
      <c r="C907" s="27"/>
      <c r="D907" s="19"/>
      <c r="E907" s="6"/>
      <c r="F907" s="6"/>
      <c r="G907" s="6"/>
      <c r="H907" s="6"/>
      <c r="I907" s="19"/>
      <c r="J907" s="6"/>
      <c r="K907" s="6"/>
      <c r="L907" s="19"/>
      <c r="M907" s="6"/>
      <c r="N907" s="6"/>
      <c r="O907" s="6"/>
      <c r="P907" s="6"/>
      <c r="Q907" s="6"/>
      <c r="R907" s="6"/>
      <c r="S907" s="6"/>
      <c r="T907" s="6"/>
      <c r="U907" s="6"/>
      <c r="V907" s="6"/>
      <c r="W907" s="6"/>
      <c r="X907" s="6"/>
      <c r="Y907" s="6"/>
      <c r="Z907" s="6"/>
      <c r="AA907" s="6"/>
      <c r="AB907" s="6"/>
      <c r="AC907" s="6"/>
      <c r="AD907" s="7"/>
    </row>
    <row r="908">
      <c r="A908" s="23"/>
      <c r="B908" s="23"/>
      <c r="C908" s="27"/>
      <c r="D908" s="19"/>
      <c r="E908" s="6"/>
      <c r="F908" s="6"/>
      <c r="G908" s="6"/>
      <c r="H908" s="6"/>
      <c r="I908" s="19"/>
      <c r="J908" s="6"/>
      <c r="K908" s="6"/>
      <c r="L908" s="19"/>
      <c r="M908" s="6"/>
      <c r="N908" s="6"/>
      <c r="O908" s="6"/>
      <c r="P908" s="6"/>
      <c r="Q908" s="6"/>
      <c r="R908" s="6"/>
      <c r="S908" s="6"/>
      <c r="T908" s="6"/>
      <c r="U908" s="6"/>
      <c r="V908" s="6"/>
      <c r="W908" s="6"/>
      <c r="X908" s="6"/>
      <c r="Y908" s="6"/>
      <c r="Z908" s="6"/>
      <c r="AA908" s="6"/>
      <c r="AB908" s="6"/>
      <c r="AC908" s="6"/>
      <c r="AD908" s="7"/>
    </row>
    <row r="909">
      <c r="A909" s="23"/>
      <c r="B909" s="23"/>
      <c r="C909" s="27"/>
      <c r="D909" s="19"/>
      <c r="E909" s="6"/>
      <c r="F909" s="6"/>
      <c r="G909" s="6"/>
      <c r="H909" s="6"/>
      <c r="I909" s="19"/>
      <c r="J909" s="6"/>
      <c r="K909" s="6"/>
      <c r="L909" s="19"/>
      <c r="M909" s="6"/>
      <c r="N909" s="6"/>
      <c r="O909" s="6"/>
      <c r="P909" s="6"/>
      <c r="Q909" s="6"/>
      <c r="R909" s="6"/>
      <c r="S909" s="6"/>
      <c r="T909" s="6"/>
      <c r="U909" s="6"/>
      <c r="V909" s="6"/>
      <c r="W909" s="6"/>
      <c r="X909" s="6"/>
      <c r="Y909" s="6"/>
      <c r="Z909" s="6"/>
      <c r="AA909" s="6"/>
      <c r="AB909" s="6"/>
      <c r="AC909" s="6"/>
      <c r="AD909" s="7"/>
    </row>
    <row r="910">
      <c r="A910" s="23"/>
      <c r="B910" s="23"/>
      <c r="C910" s="27"/>
      <c r="D910" s="19"/>
      <c r="E910" s="6"/>
      <c r="F910" s="6"/>
      <c r="G910" s="6"/>
      <c r="H910" s="6"/>
      <c r="I910" s="19"/>
      <c r="J910" s="6"/>
      <c r="K910" s="6"/>
      <c r="L910" s="19"/>
      <c r="M910" s="6"/>
      <c r="N910" s="6"/>
      <c r="O910" s="6"/>
      <c r="P910" s="6"/>
      <c r="Q910" s="6"/>
      <c r="R910" s="6"/>
      <c r="S910" s="6"/>
      <c r="T910" s="6"/>
      <c r="U910" s="6"/>
      <c r="V910" s="6"/>
      <c r="W910" s="6"/>
      <c r="X910" s="6"/>
      <c r="Y910" s="6"/>
      <c r="Z910" s="6"/>
      <c r="AA910" s="6"/>
      <c r="AB910" s="6"/>
      <c r="AC910" s="6"/>
      <c r="AD910" s="7"/>
    </row>
    <row r="911">
      <c r="A911" s="23"/>
      <c r="B911" s="23"/>
      <c r="C911" s="27"/>
      <c r="D911" s="19"/>
      <c r="E911" s="6"/>
      <c r="F911" s="6"/>
      <c r="G911" s="6"/>
      <c r="H911" s="6"/>
      <c r="I911" s="19"/>
      <c r="J911" s="6"/>
      <c r="K911" s="6"/>
      <c r="L911" s="19"/>
      <c r="M911" s="6"/>
      <c r="N911" s="6"/>
      <c r="O911" s="6"/>
      <c r="P911" s="6"/>
      <c r="Q911" s="6"/>
      <c r="R911" s="6"/>
      <c r="S911" s="6"/>
      <c r="T911" s="6"/>
      <c r="U911" s="6"/>
      <c r="V911" s="6"/>
      <c r="W911" s="6"/>
      <c r="X911" s="6"/>
      <c r="Y911" s="6"/>
      <c r="Z911" s="6"/>
      <c r="AA911" s="6"/>
      <c r="AB911" s="6"/>
      <c r="AC911" s="6"/>
      <c r="AD911" s="7"/>
    </row>
    <row r="912">
      <c r="A912" s="23"/>
      <c r="B912" s="23"/>
      <c r="C912" s="27"/>
      <c r="D912" s="19"/>
      <c r="E912" s="6"/>
      <c r="F912" s="6"/>
      <c r="G912" s="6"/>
      <c r="H912" s="6"/>
      <c r="I912" s="19"/>
      <c r="J912" s="6"/>
      <c r="K912" s="6"/>
      <c r="L912" s="19"/>
      <c r="M912" s="6"/>
      <c r="N912" s="6"/>
      <c r="O912" s="6"/>
      <c r="P912" s="6"/>
      <c r="Q912" s="6"/>
      <c r="R912" s="6"/>
      <c r="S912" s="6"/>
      <c r="T912" s="6"/>
      <c r="U912" s="6"/>
      <c r="V912" s="6"/>
      <c r="W912" s="6"/>
      <c r="X912" s="6"/>
      <c r="Y912" s="6"/>
      <c r="Z912" s="6"/>
      <c r="AA912" s="6"/>
      <c r="AB912" s="6"/>
      <c r="AC912" s="6"/>
      <c r="AD912" s="7"/>
    </row>
    <row r="913">
      <c r="A913" s="23"/>
      <c r="B913" s="23"/>
      <c r="C913" s="27"/>
      <c r="D913" s="19"/>
      <c r="E913" s="6"/>
      <c r="F913" s="6"/>
      <c r="G913" s="6"/>
      <c r="H913" s="6"/>
      <c r="I913" s="19"/>
      <c r="J913" s="6"/>
      <c r="K913" s="6"/>
      <c r="L913" s="19"/>
      <c r="M913" s="6"/>
      <c r="N913" s="6"/>
      <c r="O913" s="6"/>
      <c r="P913" s="6"/>
      <c r="Q913" s="6"/>
      <c r="R913" s="6"/>
      <c r="S913" s="6"/>
      <c r="T913" s="6"/>
      <c r="U913" s="6"/>
      <c r="V913" s="6"/>
      <c r="W913" s="6"/>
      <c r="X913" s="6"/>
      <c r="Y913" s="6"/>
      <c r="Z913" s="6"/>
      <c r="AA913" s="6"/>
      <c r="AB913" s="6"/>
      <c r="AC913" s="6"/>
      <c r="AD913" s="7"/>
    </row>
    <row r="914">
      <c r="A914" s="23"/>
      <c r="B914" s="23"/>
      <c r="C914" s="27"/>
      <c r="D914" s="19"/>
      <c r="E914" s="6"/>
      <c r="F914" s="6"/>
      <c r="G914" s="6"/>
      <c r="H914" s="6"/>
      <c r="I914" s="19"/>
      <c r="J914" s="6"/>
      <c r="K914" s="6"/>
      <c r="L914" s="19"/>
      <c r="M914" s="6"/>
      <c r="N914" s="6"/>
      <c r="O914" s="6"/>
      <c r="P914" s="6"/>
      <c r="Q914" s="6"/>
      <c r="R914" s="6"/>
      <c r="S914" s="6"/>
      <c r="T914" s="6"/>
      <c r="U914" s="6"/>
      <c r="V914" s="6"/>
      <c r="W914" s="6"/>
      <c r="X914" s="6"/>
      <c r="Y914" s="6"/>
      <c r="Z914" s="6"/>
      <c r="AA914" s="6"/>
      <c r="AB914" s="6"/>
      <c r="AC914" s="6"/>
      <c r="AD914" s="7"/>
    </row>
    <row r="915">
      <c r="A915" s="23"/>
      <c r="B915" s="23"/>
      <c r="C915" s="27"/>
      <c r="D915" s="19"/>
      <c r="E915" s="6"/>
      <c r="F915" s="6"/>
      <c r="G915" s="6"/>
      <c r="H915" s="6"/>
      <c r="I915" s="19"/>
      <c r="J915" s="6"/>
      <c r="K915" s="6"/>
      <c r="L915" s="19"/>
      <c r="M915" s="6"/>
      <c r="N915" s="6"/>
      <c r="O915" s="6"/>
      <c r="P915" s="6"/>
      <c r="Q915" s="6"/>
      <c r="R915" s="6"/>
      <c r="S915" s="6"/>
      <c r="T915" s="6"/>
      <c r="U915" s="6"/>
      <c r="V915" s="6"/>
      <c r="W915" s="6"/>
      <c r="X915" s="6"/>
      <c r="Y915" s="6"/>
      <c r="Z915" s="6"/>
      <c r="AA915" s="6"/>
      <c r="AB915" s="6"/>
      <c r="AC915" s="6"/>
      <c r="AD915" s="7"/>
    </row>
    <row r="916">
      <c r="A916" s="23"/>
      <c r="B916" s="23"/>
      <c r="C916" s="27"/>
      <c r="D916" s="19"/>
      <c r="E916" s="6"/>
      <c r="F916" s="6"/>
      <c r="G916" s="6"/>
      <c r="H916" s="6"/>
      <c r="I916" s="19"/>
      <c r="J916" s="6"/>
      <c r="K916" s="6"/>
      <c r="L916" s="19"/>
      <c r="M916" s="6"/>
      <c r="N916" s="6"/>
      <c r="O916" s="6"/>
      <c r="P916" s="6"/>
      <c r="Q916" s="6"/>
      <c r="R916" s="6"/>
      <c r="S916" s="6"/>
      <c r="T916" s="6"/>
      <c r="U916" s="6"/>
      <c r="V916" s="6"/>
      <c r="W916" s="6"/>
      <c r="X916" s="6"/>
      <c r="Y916" s="6"/>
      <c r="Z916" s="6"/>
      <c r="AA916" s="6"/>
      <c r="AB916" s="6"/>
      <c r="AC916" s="6"/>
      <c r="AD916" s="7"/>
    </row>
    <row r="917">
      <c r="A917" s="23"/>
      <c r="B917" s="23"/>
      <c r="C917" s="27"/>
      <c r="D917" s="19"/>
      <c r="E917" s="6"/>
      <c r="F917" s="6"/>
      <c r="G917" s="6"/>
      <c r="H917" s="6"/>
      <c r="I917" s="19"/>
      <c r="J917" s="6"/>
      <c r="K917" s="6"/>
      <c r="L917" s="19"/>
      <c r="M917" s="6"/>
      <c r="N917" s="6"/>
      <c r="O917" s="6"/>
      <c r="P917" s="6"/>
      <c r="Q917" s="6"/>
      <c r="R917" s="6"/>
      <c r="S917" s="6"/>
      <c r="T917" s="6"/>
      <c r="U917" s="6"/>
      <c r="V917" s="6"/>
      <c r="W917" s="6"/>
      <c r="X917" s="6"/>
      <c r="Y917" s="6"/>
      <c r="Z917" s="6"/>
      <c r="AA917" s="6"/>
      <c r="AB917" s="6"/>
      <c r="AC917" s="6"/>
      <c r="AD917" s="7"/>
    </row>
    <row r="918">
      <c r="A918" s="23"/>
      <c r="B918" s="23"/>
      <c r="C918" s="27"/>
      <c r="D918" s="19"/>
      <c r="E918" s="6"/>
      <c r="F918" s="6"/>
      <c r="G918" s="6"/>
      <c r="H918" s="6"/>
      <c r="I918" s="19"/>
      <c r="J918" s="6"/>
      <c r="K918" s="6"/>
      <c r="L918" s="19"/>
      <c r="M918" s="6"/>
      <c r="N918" s="6"/>
      <c r="O918" s="6"/>
      <c r="P918" s="6"/>
      <c r="Q918" s="6"/>
      <c r="R918" s="6"/>
      <c r="S918" s="6"/>
      <c r="T918" s="6"/>
      <c r="U918" s="6"/>
      <c r="V918" s="6"/>
      <c r="W918" s="6"/>
      <c r="X918" s="6"/>
      <c r="Y918" s="6"/>
      <c r="Z918" s="6"/>
      <c r="AA918" s="6"/>
      <c r="AB918" s="6"/>
      <c r="AC918" s="6"/>
      <c r="AD918" s="7"/>
    </row>
    <row r="919">
      <c r="A919" s="23"/>
      <c r="B919" s="23"/>
      <c r="C919" s="27"/>
      <c r="D919" s="19"/>
      <c r="E919" s="6"/>
      <c r="F919" s="6"/>
      <c r="G919" s="6"/>
      <c r="H919" s="6"/>
      <c r="I919" s="19"/>
      <c r="J919" s="6"/>
      <c r="K919" s="6"/>
      <c r="L919" s="19"/>
      <c r="M919" s="6"/>
      <c r="N919" s="6"/>
      <c r="O919" s="6"/>
      <c r="P919" s="6"/>
      <c r="Q919" s="6"/>
      <c r="R919" s="6"/>
      <c r="S919" s="6"/>
      <c r="T919" s="6"/>
      <c r="U919" s="6"/>
      <c r="V919" s="6"/>
      <c r="W919" s="6"/>
      <c r="X919" s="6"/>
      <c r="Y919" s="6"/>
      <c r="Z919" s="6"/>
      <c r="AA919" s="6"/>
      <c r="AB919" s="6"/>
      <c r="AC919" s="6"/>
      <c r="AD919" s="7"/>
    </row>
    <row r="920">
      <c r="A920" s="23"/>
      <c r="B920" s="23"/>
      <c r="C920" s="27"/>
      <c r="D920" s="19"/>
      <c r="E920" s="6"/>
      <c r="F920" s="6"/>
      <c r="G920" s="6"/>
      <c r="H920" s="6"/>
      <c r="I920" s="19"/>
      <c r="J920" s="6"/>
      <c r="K920" s="6"/>
      <c r="L920" s="19"/>
      <c r="M920" s="6"/>
      <c r="N920" s="6"/>
      <c r="O920" s="6"/>
      <c r="P920" s="6"/>
      <c r="Q920" s="6"/>
      <c r="R920" s="6"/>
      <c r="S920" s="6"/>
      <c r="T920" s="6"/>
      <c r="U920" s="6"/>
      <c r="V920" s="6"/>
      <c r="W920" s="6"/>
      <c r="X920" s="6"/>
      <c r="Y920" s="6"/>
      <c r="Z920" s="6"/>
      <c r="AA920" s="6"/>
      <c r="AB920" s="6"/>
      <c r="AC920" s="6"/>
      <c r="AD920" s="7"/>
    </row>
    <row r="921">
      <c r="A921" s="23"/>
      <c r="B921" s="23"/>
      <c r="C921" s="27"/>
      <c r="D921" s="19"/>
      <c r="E921" s="6"/>
      <c r="F921" s="6"/>
      <c r="G921" s="6"/>
      <c r="H921" s="6"/>
      <c r="I921" s="19"/>
      <c r="J921" s="6"/>
      <c r="K921" s="6"/>
      <c r="L921" s="19"/>
      <c r="M921" s="6"/>
      <c r="N921" s="6"/>
      <c r="O921" s="6"/>
      <c r="P921" s="6"/>
      <c r="Q921" s="6"/>
      <c r="R921" s="6"/>
      <c r="S921" s="6"/>
      <c r="T921" s="6"/>
      <c r="U921" s="6"/>
      <c r="V921" s="6"/>
      <c r="W921" s="6"/>
      <c r="X921" s="6"/>
      <c r="Y921" s="6"/>
      <c r="Z921" s="6"/>
      <c r="AA921" s="6"/>
      <c r="AB921" s="6"/>
      <c r="AC921" s="6"/>
      <c r="AD921" s="7"/>
    </row>
    <row r="922">
      <c r="A922" s="23"/>
      <c r="B922" s="23"/>
      <c r="C922" s="27"/>
      <c r="D922" s="19"/>
      <c r="E922" s="6"/>
      <c r="F922" s="6"/>
      <c r="G922" s="6"/>
      <c r="H922" s="6"/>
      <c r="I922" s="19"/>
      <c r="J922" s="6"/>
      <c r="K922" s="6"/>
      <c r="L922" s="19"/>
      <c r="M922" s="6"/>
      <c r="N922" s="6"/>
      <c r="O922" s="6"/>
      <c r="P922" s="6"/>
      <c r="Q922" s="6"/>
      <c r="R922" s="6"/>
      <c r="S922" s="6"/>
      <c r="T922" s="6"/>
      <c r="U922" s="6"/>
      <c r="V922" s="6"/>
      <c r="W922" s="6"/>
      <c r="X922" s="6"/>
      <c r="Y922" s="6"/>
      <c r="Z922" s="6"/>
      <c r="AA922" s="6"/>
      <c r="AB922" s="6"/>
      <c r="AC922" s="6"/>
      <c r="AD922" s="7"/>
    </row>
    <row r="923">
      <c r="A923" s="23"/>
      <c r="B923" s="23"/>
      <c r="C923" s="27"/>
      <c r="D923" s="19"/>
      <c r="E923" s="6"/>
      <c r="F923" s="6"/>
      <c r="G923" s="6"/>
      <c r="H923" s="6"/>
      <c r="I923" s="19"/>
      <c r="J923" s="6"/>
      <c r="K923" s="6"/>
      <c r="L923" s="19"/>
      <c r="M923" s="6"/>
      <c r="N923" s="6"/>
      <c r="O923" s="6"/>
      <c r="P923" s="6"/>
      <c r="Q923" s="6"/>
      <c r="R923" s="6"/>
      <c r="S923" s="6"/>
      <c r="T923" s="6"/>
      <c r="U923" s="6"/>
      <c r="V923" s="6"/>
      <c r="W923" s="6"/>
      <c r="X923" s="6"/>
      <c r="Y923" s="6"/>
      <c r="Z923" s="6"/>
      <c r="AA923" s="6"/>
      <c r="AB923" s="6"/>
      <c r="AC923" s="6"/>
      <c r="AD923" s="7"/>
    </row>
    <row r="924">
      <c r="A924" s="23"/>
      <c r="B924" s="23"/>
      <c r="C924" s="27"/>
      <c r="D924" s="19"/>
      <c r="E924" s="6"/>
      <c r="F924" s="6"/>
      <c r="G924" s="6"/>
      <c r="H924" s="6"/>
      <c r="I924" s="19"/>
      <c r="J924" s="6"/>
      <c r="K924" s="6"/>
      <c r="L924" s="19"/>
      <c r="M924" s="6"/>
      <c r="N924" s="6"/>
      <c r="O924" s="6"/>
      <c r="P924" s="6"/>
      <c r="Q924" s="6"/>
      <c r="R924" s="6"/>
      <c r="S924" s="6"/>
      <c r="T924" s="6"/>
      <c r="U924" s="6"/>
      <c r="V924" s="6"/>
      <c r="W924" s="6"/>
      <c r="X924" s="6"/>
      <c r="Y924" s="6"/>
      <c r="Z924" s="6"/>
      <c r="AA924" s="6"/>
      <c r="AB924" s="6"/>
      <c r="AC924" s="6"/>
      <c r="AD924" s="7"/>
    </row>
    <row r="925">
      <c r="A925" s="23"/>
      <c r="B925" s="23"/>
      <c r="C925" s="27"/>
      <c r="D925" s="19"/>
      <c r="E925" s="6"/>
      <c r="F925" s="6"/>
      <c r="G925" s="6"/>
      <c r="H925" s="6"/>
      <c r="I925" s="19"/>
      <c r="J925" s="6"/>
      <c r="K925" s="6"/>
      <c r="L925" s="19"/>
      <c r="M925" s="6"/>
      <c r="N925" s="6"/>
      <c r="O925" s="6"/>
      <c r="P925" s="6"/>
      <c r="Q925" s="6"/>
      <c r="R925" s="6"/>
      <c r="S925" s="6"/>
      <c r="T925" s="6"/>
      <c r="U925" s="6"/>
      <c r="V925" s="6"/>
      <c r="W925" s="6"/>
      <c r="X925" s="6"/>
      <c r="Y925" s="6"/>
      <c r="Z925" s="6"/>
      <c r="AA925" s="6"/>
      <c r="AB925" s="6"/>
      <c r="AC925" s="6"/>
      <c r="AD925" s="7"/>
    </row>
    <row r="926">
      <c r="A926" s="23"/>
      <c r="B926" s="23"/>
      <c r="C926" s="27"/>
      <c r="D926" s="19"/>
      <c r="E926" s="6"/>
      <c r="F926" s="6"/>
      <c r="G926" s="6"/>
      <c r="H926" s="6"/>
      <c r="I926" s="19"/>
      <c r="J926" s="6"/>
      <c r="K926" s="6"/>
      <c r="L926" s="19"/>
      <c r="M926" s="6"/>
      <c r="N926" s="6"/>
      <c r="O926" s="6"/>
      <c r="P926" s="6"/>
      <c r="Q926" s="6"/>
      <c r="R926" s="6"/>
      <c r="S926" s="6"/>
      <c r="T926" s="6"/>
      <c r="U926" s="6"/>
      <c r="V926" s="6"/>
      <c r="W926" s="6"/>
      <c r="X926" s="6"/>
      <c r="Y926" s="6"/>
      <c r="Z926" s="6"/>
      <c r="AA926" s="6"/>
      <c r="AB926" s="6"/>
      <c r="AC926" s="6"/>
      <c r="AD926" s="7"/>
    </row>
    <row r="927">
      <c r="A927" s="23"/>
      <c r="B927" s="23"/>
      <c r="C927" s="27"/>
      <c r="D927" s="19"/>
      <c r="E927" s="6"/>
      <c r="F927" s="6"/>
      <c r="G927" s="6"/>
      <c r="H927" s="6"/>
      <c r="I927" s="19"/>
      <c r="J927" s="6"/>
      <c r="K927" s="6"/>
      <c r="L927" s="19"/>
      <c r="M927" s="6"/>
      <c r="N927" s="6"/>
      <c r="O927" s="6"/>
      <c r="P927" s="6"/>
      <c r="Q927" s="6"/>
      <c r="R927" s="6"/>
      <c r="S927" s="6"/>
      <c r="T927" s="6"/>
      <c r="U927" s="6"/>
      <c r="V927" s="6"/>
      <c r="W927" s="6"/>
      <c r="X927" s="6"/>
      <c r="Y927" s="6"/>
      <c r="Z927" s="6"/>
      <c r="AA927" s="6"/>
      <c r="AB927" s="6"/>
      <c r="AC927" s="6"/>
      <c r="AD927" s="7"/>
    </row>
    <row r="928">
      <c r="A928" s="23"/>
      <c r="B928" s="23"/>
      <c r="C928" s="27"/>
      <c r="D928" s="19"/>
      <c r="E928" s="6"/>
      <c r="F928" s="6"/>
      <c r="G928" s="6"/>
      <c r="H928" s="6"/>
      <c r="I928" s="19"/>
      <c r="J928" s="6"/>
      <c r="K928" s="6"/>
      <c r="L928" s="19"/>
      <c r="M928" s="6"/>
      <c r="N928" s="6"/>
      <c r="O928" s="6"/>
      <c r="P928" s="6"/>
      <c r="Q928" s="6"/>
      <c r="R928" s="6"/>
      <c r="S928" s="6"/>
      <c r="T928" s="6"/>
      <c r="U928" s="6"/>
      <c r="V928" s="6"/>
      <c r="W928" s="6"/>
      <c r="X928" s="6"/>
      <c r="Y928" s="6"/>
      <c r="Z928" s="6"/>
      <c r="AA928" s="6"/>
      <c r="AB928" s="6"/>
      <c r="AC928" s="6"/>
      <c r="AD928" s="7"/>
    </row>
    <row r="929">
      <c r="A929" s="23"/>
      <c r="B929" s="23"/>
      <c r="C929" s="27"/>
      <c r="D929" s="19"/>
      <c r="E929" s="6"/>
      <c r="F929" s="6"/>
      <c r="G929" s="6"/>
      <c r="H929" s="6"/>
      <c r="I929" s="19"/>
      <c r="J929" s="6"/>
      <c r="K929" s="6"/>
      <c r="L929" s="19"/>
      <c r="M929" s="6"/>
      <c r="N929" s="6"/>
      <c r="O929" s="6"/>
      <c r="P929" s="6"/>
      <c r="Q929" s="6"/>
      <c r="R929" s="6"/>
      <c r="S929" s="6"/>
      <c r="T929" s="6"/>
      <c r="U929" s="6"/>
      <c r="V929" s="6"/>
      <c r="W929" s="6"/>
      <c r="X929" s="6"/>
      <c r="Y929" s="6"/>
      <c r="Z929" s="6"/>
      <c r="AA929" s="6"/>
      <c r="AB929" s="6"/>
      <c r="AC929" s="6"/>
      <c r="AD929" s="7"/>
    </row>
    <row r="930">
      <c r="A930" s="23"/>
      <c r="B930" s="23"/>
      <c r="C930" s="27"/>
      <c r="D930" s="19"/>
      <c r="E930" s="6"/>
      <c r="F930" s="6"/>
      <c r="G930" s="6"/>
      <c r="H930" s="6"/>
      <c r="I930" s="19"/>
      <c r="J930" s="6"/>
      <c r="K930" s="6"/>
      <c r="L930" s="19"/>
      <c r="M930" s="6"/>
      <c r="N930" s="6"/>
      <c r="O930" s="6"/>
      <c r="P930" s="6"/>
      <c r="Q930" s="6"/>
      <c r="R930" s="6"/>
      <c r="S930" s="6"/>
      <c r="T930" s="6"/>
      <c r="U930" s="6"/>
      <c r="V930" s="6"/>
      <c r="W930" s="6"/>
      <c r="X930" s="6"/>
      <c r="Y930" s="6"/>
      <c r="Z930" s="6"/>
      <c r="AA930" s="6"/>
      <c r="AB930" s="6"/>
      <c r="AC930" s="6"/>
      <c r="AD930" s="7"/>
    </row>
    <row r="931">
      <c r="A931" s="23"/>
      <c r="B931" s="23"/>
      <c r="C931" s="27"/>
      <c r="D931" s="19"/>
      <c r="E931" s="6"/>
      <c r="F931" s="6"/>
      <c r="G931" s="6"/>
      <c r="H931" s="6"/>
      <c r="I931" s="19"/>
      <c r="J931" s="6"/>
      <c r="K931" s="6"/>
      <c r="L931" s="19"/>
      <c r="M931" s="6"/>
      <c r="N931" s="6"/>
      <c r="O931" s="6"/>
      <c r="P931" s="6"/>
      <c r="Q931" s="6"/>
      <c r="R931" s="6"/>
      <c r="S931" s="6"/>
      <c r="T931" s="6"/>
      <c r="U931" s="6"/>
      <c r="V931" s="6"/>
      <c r="W931" s="6"/>
      <c r="X931" s="6"/>
      <c r="Y931" s="6"/>
      <c r="Z931" s="6"/>
      <c r="AA931" s="6"/>
      <c r="AB931" s="6"/>
      <c r="AC931" s="6"/>
      <c r="AD931" s="7"/>
    </row>
    <row r="932">
      <c r="A932" s="23"/>
      <c r="B932" s="23"/>
      <c r="C932" s="27"/>
      <c r="D932" s="19"/>
      <c r="E932" s="6"/>
      <c r="F932" s="6"/>
      <c r="G932" s="6"/>
      <c r="H932" s="6"/>
      <c r="I932" s="19"/>
      <c r="J932" s="6"/>
      <c r="K932" s="6"/>
      <c r="L932" s="19"/>
      <c r="M932" s="6"/>
      <c r="N932" s="6"/>
      <c r="O932" s="6"/>
      <c r="P932" s="6"/>
      <c r="Q932" s="6"/>
      <c r="R932" s="6"/>
      <c r="S932" s="6"/>
      <c r="T932" s="6"/>
      <c r="U932" s="6"/>
      <c r="V932" s="6"/>
      <c r="W932" s="6"/>
      <c r="X932" s="6"/>
      <c r="Y932" s="6"/>
      <c r="Z932" s="6"/>
      <c r="AA932" s="6"/>
      <c r="AB932" s="6"/>
      <c r="AC932" s="6"/>
      <c r="AD932" s="7"/>
    </row>
    <row r="933">
      <c r="A933" s="23"/>
      <c r="B933" s="23"/>
      <c r="C933" s="27"/>
      <c r="D933" s="19"/>
      <c r="E933" s="6"/>
      <c r="F933" s="6"/>
      <c r="G933" s="6"/>
      <c r="H933" s="6"/>
      <c r="I933" s="19"/>
      <c r="J933" s="6"/>
      <c r="K933" s="6"/>
      <c r="L933" s="19"/>
      <c r="M933" s="6"/>
      <c r="N933" s="6"/>
      <c r="O933" s="6"/>
      <c r="P933" s="6"/>
      <c r="Q933" s="6"/>
      <c r="R933" s="6"/>
      <c r="S933" s="6"/>
      <c r="T933" s="6"/>
      <c r="U933" s="6"/>
      <c r="V933" s="6"/>
      <c r="W933" s="6"/>
      <c r="X933" s="6"/>
      <c r="Y933" s="6"/>
      <c r="Z933" s="6"/>
      <c r="AA933" s="6"/>
      <c r="AB933" s="6"/>
      <c r="AC933" s="6"/>
      <c r="AD933" s="7"/>
    </row>
    <row r="934">
      <c r="A934" s="23"/>
      <c r="B934" s="23"/>
      <c r="C934" s="27"/>
      <c r="D934" s="19"/>
      <c r="E934" s="6"/>
      <c r="F934" s="6"/>
      <c r="G934" s="6"/>
      <c r="H934" s="6"/>
      <c r="I934" s="19"/>
      <c r="J934" s="6"/>
      <c r="K934" s="6"/>
      <c r="L934" s="19"/>
      <c r="M934" s="6"/>
      <c r="N934" s="6"/>
      <c r="O934" s="6"/>
      <c r="P934" s="6"/>
      <c r="Q934" s="6"/>
      <c r="R934" s="6"/>
      <c r="S934" s="6"/>
      <c r="T934" s="6"/>
      <c r="U934" s="6"/>
      <c r="V934" s="6"/>
      <c r="W934" s="6"/>
      <c r="X934" s="6"/>
      <c r="Y934" s="6"/>
      <c r="Z934" s="6"/>
      <c r="AA934" s="6"/>
      <c r="AB934" s="6"/>
      <c r="AC934" s="6"/>
      <c r="AD934" s="7"/>
    </row>
    <row r="935">
      <c r="A935" s="23"/>
      <c r="B935" s="23"/>
      <c r="C935" s="27"/>
      <c r="D935" s="19"/>
      <c r="E935" s="6"/>
      <c r="F935" s="6"/>
      <c r="G935" s="6"/>
      <c r="H935" s="6"/>
      <c r="I935" s="19"/>
      <c r="J935" s="6"/>
      <c r="K935" s="6"/>
      <c r="L935" s="19"/>
      <c r="M935" s="6"/>
      <c r="N935" s="6"/>
      <c r="O935" s="6"/>
      <c r="P935" s="6"/>
      <c r="Q935" s="6"/>
      <c r="R935" s="6"/>
      <c r="S935" s="6"/>
      <c r="T935" s="6"/>
      <c r="U935" s="6"/>
      <c r="V935" s="6"/>
      <c r="W935" s="6"/>
      <c r="X935" s="6"/>
      <c r="Y935" s="6"/>
      <c r="Z935" s="6"/>
      <c r="AA935" s="6"/>
      <c r="AB935" s="6"/>
      <c r="AC935" s="6"/>
      <c r="AD935" s="7"/>
    </row>
    <row r="936">
      <c r="A936" s="23"/>
      <c r="B936" s="23"/>
      <c r="C936" s="27"/>
      <c r="D936" s="19"/>
      <c r="E936" s="6"/>
      <c r="F936" s="6"/>
      <c r="G936" s="6"/>
      <c r="H936" s="6"/>
      <c r="I936" s="19"/>
      <c r="J936" s="6"/>
      <c r="K936" s="6"/>
      <c r="L936" s="19"/>
      <c r="M936" s="6"/>
      <c r="N936" s="6"/>
      <c r="O936" s="6"/>
      <c r="P936" s="6"/>
      <c r="Q936" s="6"/>
      <c r="R936" s="6"/>
      <c r="S936" s="6"/>
      <c r="T936" s="6"/>
      <c r="U936" s="6"/>
      <c r="V936" s="6"/>
      <c r="W936" s="6"/>
      <c r="X936" s="6"/>
      <c r="Y936" s="6"/>
      <c r="Z936" s="6"/>
      <c r="AA936" s="6"/>
      <c r="AB936" s="6"/>
      <c r="AC936" s="6"/>
      <c r="AD936" s="7"/>
    </row>
    <row r="937">
      <c r="A937" s="23"/>
      <c r="B937" s="23"/>
      <c r="C937" s="27"/>
      <c r="D937" s="19"/>
      <c r="E937" s="6"/>
      <c r="F937" s="6"/>
      <c r="G937" s="6"/>
      <c r="H937" s="6"/>
      <c r="I937" s="19"/>
      <c r="J937" s="6"/>
      <c r="K937" s="6"/>
      <c r="L937" s="19"/>
      <c r="M937" s="6"/>
      <c r="N937" s="6"/>
      <c r="O937" s="6"/>
      <c r="P937" s="6"/>
      <c r="Q937" s="6"/>
      <c r="R937" s="6"/>
      <c r="S937" s="6"/>
      <c r="T937" s="6"/>
      <c r="U937" s="6"/>
      <c r="V937" s="6"/>
      <c r="W937" s="6"/>
      <c r="X937" s="6"/>
      <c r="Y937" s="6"/>
      <c r="Z937" s="6"/>
      <c r="AA937" s="6"/>
      <c r="AB937" s="6"/>
      <c r="AC937" s="6"/>
      <c r="AD937" s="7"/>
    </row>
    <row r="938">
      <c r="A938" s="23"/>
      <c r="B938" s="23"/>
      <c r="C938" s="27"/>
      <c r="D938" s="19"/>
      <c r="E938" s="6"/>
      <c r="F938" s="6"/>
      <c r="G938" s="6"/>
      <c r="H938" s="6"/>
      <c r="I938" s="19"/>
      <c r="J938" s="6"/>
      <c r="K938" s="6"/>
      <c r="L938" s="19"/>
      <c r="M938" s="6"/>
      <c r="N938" s="6"/>
      <c r="O938" s="6"/>
      <c r="P938" s="6"/>
      <c r="Q938" s="6"/>
      <c r="R938" s="6"/>
      <c r="S938" s="6"/>
      <c r="T938" s="6"/>
      <c r="U938" s="6"/>
      <c r="V938" s="6"/>
      <c r="W938" s="6"/>
      <c r="X938" s="6"/>
      <c r="Y938" s="6"/>
      <c r="Z938" s="6"/>
      <c r="AA938" s="6"/>
      <c r="AB938" s="6"/>
      <c r="AC938" s="6"/>
      <c r="AD938" s="7"/>
    </row>
    <row r="939">
      <c r="A939" s="23"/>
      <c r="B939" s="23"/>
      <c r="C939" s="27"/>
      <c r="D939" s="19"/>
      <c r="E939" s="6"/>
      <c r="F939" s="6"/>
      <c r="G939" s="6"/>
      <c r="H939" s="6"/>
      <c r="I939" s="19"/>
      <c r="J939" s="6"/>
      <c r="K939" s="6"/>
      <c r="L939" s="19"/>
      <c r="M939" s="6"/>
      <c r="N939" s="6"/>
      <c r="O939" s="6"/>
      <c r="P939" s="6"/>
      <c r="Q939" s="6"/>
      <c r="R939" s="6"/>
      <c r="S939" s="6"/>
      <c r="T939" s="6"/>
      <c r="U939" s="6"/>
      <c r="V939" s="6"/>
      <c r="W939" s="6"/>
      <c r="X939" s="6"/>
      <c r="Y939" s="6"/>
      <c r="Z939" s="6"/>
      <c r="AA939" s="6"/>
      <c r="AB939" s="6"/>
      <c r="AC939" s="6"/>
      <c r="AD939" s="7"/>
    </row>
    <row r="940">
      <c r="A940" s="23"/>
      <c r="B940" s="23"/>
      <c r="C940" s="27"/>
      <c r="D940" s="19"/>
      <c r="E940" s="6"/>
      <c r="F940" s="6"/>
      <c r="G940" s="6"/>
      <c r="H940" s="6"/>
      <c r="I940" s="19"/>
      <c r="J940" s="6"/>
      <c r="K940" s="6"/>
      <c r="L940" s="19"/>
      <c r="M940" s="6"/>
      <c r="N940" s="6"/>
      <c r="O940" s="6"/>
      <c r="P940" s="6"/>
      <c r="Q940" s="6"/>
      <c r="R940" s="6"/>
      <c r="S940" s="6"/>
      <c r="T940" s="6"/>
      <c r="U940" s="6"/>
      <c r="V940" s="6"/>
      <c r="W940" s="6"/>
      <c r="X940" s="6"/>
      <c r="Y940" s="6"/>
      <c r="Z940" s="6"/>
      <c r="AA940" s="6"/>
      <c r="AB940" s="6"/>
      <c r="AC940" s="6"/>
      <c r="AD940" s="7"/>
    </row>
    <row r="941">
      <c r="A941" s="23"/>
      <c r="B941" s="23"/>
      <c r="C941" s="27"/>
      <c r="D941" s="19"/>
      <c r="E941" s="6"/>
      <c r="F941" s="6"/>
      <c r="G941" s="6"/>
      <c r="H941" s="6"/>
      <c r="I941" s="19"/>
      <c r="J941" s="6"/>
      <c r="K941" s="6"/>
      <c r="L941" s="19"/>
      <c r="M941" s="6"/>
      <c r="N941" s="6"/>
      <c r="O941" s="6"/>
      <c r="P941" s="6"/>
      <c r="Q941" s="6"/>
      <c r="R941" s="6"/>
      <c r="S941" s="6"/>
      <c r="T941" s="6"/>
      <c r="U941" s="6"/>
      <c r="V941" s="6"/>
      <c r="W941" s="6"/>
      <c r="X941" s="6"/>
      <c r="Y941" s="6"/>
      <c r="Z941" s="6"/>
      <c r="AA941" s="6"/>
      <c r="AB941" s="6"/>
      <c r="AC941" s="6"/>
      <c r="AD941" s="7"/>
    </row>
    <row r="942">
      <c r="A942" s="23"/>
      <c r="B942" s="23"/>
      <c r="C942" s="27"/>
      <c r="D942" s="19"/>
      <c r="E942" s="6"/>
      <c r="F942" s="6"/>
      <c r="G942" s="6"/>
      <c r="H942" s="6"/>
      <c r="I942" s="19"/>
      <c r="J942" s="6"/>
      <c r="K942" s="6"/>
      <c r="L942" s="19"/>
      <c r="M942" s="6"/>
      <c r="N942" s="6"/>
      <c r="O942" s="6"/>
      <c r="P942" s="6"/>
      <c r="Q942" s="6"/>
      <c r="R942" s="6"/>
      <c r="S942" s="6"/>
      <c r="T942" s="6"/>
      <c r="U942" s="6"/>
      <c r="V942" s="6"/>
      <c r="W942" s="6"/>
      <c r="X942" s="6"/>
      <c r="Y942" s="6"/>
      <c r="Z942" s="6"/>
      <c r="AA942" s="6"/>
      <c r="AB942" s="6"/>
      <c r="AC942" s="6"/>
      <c r="AD942" s="7"/>
    </row>
    <row r="943">
      <c r="A943" s="23"/>
      <c r="B943" s="23"/>
      <c r="C943" s="27"/>
      <c r="D943" s="19"/>
      <c r="E943" s="6"/>
      <c r="F943" s="6"/>
      <c r="G943" s="6"/>
      <c r="H943" s="6"/>
      <c r="I943" s="19"/>
      <c r="J943" s="6"/>
      <c r="K943" s="6"/>
      <c r="L943" s="19"/>
      <c r="M943" s="6"/>
      <c r="N943" s="6"/>
      <c r="O943" s="6"/>
      <c r="P943" s="6"/>
      <c r="Q943" s="6"/>
      <c r="R943" s="6"/>
      <c r="S943" s="6"/>
      <c r="T943" s="6"/>
      <c r="U943" s="6"/>
      <c r="V943" s="6"/>
      <c r="W943" s="6"/>
      <c r="X943" s="6"/>
      <c r="Y943" s="6"/>
      <c r="Z943" s="6"/>
      <c r="AA943" s="6"/>
      <c r="AB943" s="6"/>
      <c r="AC943" s="6"/>
      <c r="AD943" s="7"/>
    </row>
    <row r="944">
      <c r="A944" s="23"/>
      <c r="B944" s="23"/>
      <c r="C944" s="27"/>
      <c r="D944" s="19"/>
      <c r="E944" s="6"/>
      <c r="F944" s="6"/>
      <c r="G944" s="6"/>
      <c r="H944" s="6"/>
      <c r="I944" s="19"/>
      <c r="J944" s="6"/>
      <c r="K944" s="6"/>
      <c r="L944" s="19"/>
      <c r="M944" s="6"/>
      <c r="N944" s="6"/>
      <c r="O944" s="6"/>
      <c r="P944" s="6"/>
      <c r="Q944" s="6"/>
      <c r="R944" s="6"/>
      <c r="S944" s="6"/>
      <c r="T944" s="6"/>
      <c r="U944" s="6"/>
      <c r="V944" s="6"/>
      <c r="W944" s="6"/>
      <c r="X944" s="6"/>
      <c r="Y944" s="6"/>
      <c r="Z944" s="6"/>
      <c r="AA944" s="6"/>
      <c r="AB944" s="6"/>
      <c r="AC944" s="6"/>
      <c r="AD944" s="7"/>
    </row>
    <row r="945">
      <c r="A945" s="23"/>
      <c r="B945" s="23"/>
      <c r="C945" s="27"/>
      <c r="D945" s="19"/>
      <c r="E945" s="6"/>
      <c r="F945" s="6"/>
      <c r="G945" s="6"/>
      <c r="H945" s="6"/>
      <c r="I945" s="19"/>
      <c r="J945" s="6"/>
      <c r="K945" s="6"/>
      <c r="L945" s="19"/>
      <c r="M945" s="6"/>
      <c r="N945" s="6"/>
      <c r="O945" s="6"/>
      <c r="P945" s="6"/>
      <c r="Q945" s="6"/>
      <c r="R945" s="6"/>
      <c r="S945" s="6"/>
      <c r="T945" s="6"/>
      <c r="U945" s="6"/>
      <c r="V945" s="6"/>
      <c r="W945" s="6"/>
      <c r="X945" s="6"/>
      <c r="Y945" s="6"/>
      <c r="Z945" s="6"/>
      <c r="AA945" s="6"/>
      <c r="AB945" s="6"/>
      <c r="AC945" s="6"/>
      <c r="AD945" s="7"/>
    </row>
    <row r="946">
      <c r="A946" s="23"/>
      <c r="B946" s="23"/>
      <c r="C946" s="27"/>
      <c r="D946" s="19"/>
      <c r="E946" s="6"/>
      <c r="F946" s="6"/>
      <c r="G946" s="6"/>
      <c r="H946" s="6"/>
      <c r="I946" s="19"/>
      <c r="J946" s="6"/>
      <c r="K946" s="6"/>
      <c r="L946" s="19"/>
      <c r="M946" s="6"/>
      <c r="N946" s="6"/>
      <c r="O946" s="6"/>
      <c r="P946" s="6"/>
      <c r="Q946" s="6"/>
      <c r="R946" s="6"/>
      <c r="S946" s="6"/>
      <c r="T946" s="6"/>
      <c r="U946" s="6"/>
      <c r="V946" s="6"/>
      <c r="W946" s="6"/>
      <c r="X946" s="6"/>
      <c r="Y946" s="6"/>
      <c r="Z946" s="6"/>
      <c r="AA946" s="6"/>
      <c r="AB946" s="6"/>
      <c r="AC946" s="6"/>
      <c r="AD946" s="7"/>
    </row>
    <row r="947">
      <c r="A947" s="23"/>
      <c r="B947" s="23"/>
      <c r="C947" s="27"/>
      <c r="D947" s="19"/>
      <c r="E947" s="6"/>
      <c r="F947" s="6"/>
      <c r="G947" s="6"/>
      <c r="H947" s="6"/>
      <c r="I947" s="19"/>
      <c r="J947" s="6"/>
      <c r="K947" s="6"/>
      <c r="L947" s="19"/>
      <c r="M947" s="6"/>
      <c r="N947" s="6"/>
      <c r="O947" s="6"/>
      <c r="P947" s="6"/>
      <c r="Q947" s="6"/>
      <c r="R947" s="6"/>
      <c r="S947" s="6"/>
      <c r="T947" s="6"/>
      <c r="U947" s="6"/>
      <c r="V947" s="6"/>
      <c r="W947" s="6"/>
      <c r="X947" s="6"/>
      <c r="Y947" s="6"/>
      <c r="Z947" s="6"/>
      <c r="AA947" s="6"/>
      <c r="AB947" s="6"/>
      <c r="AC947" s="6"/>
      <c r="AD947" s="7"/>
    </row>
    <row r="948">
      <c r="A948" s="23"/>
      <c r="B948" s="23"/>
      <c r="C948" s="27"/>
      <c r="D948" s="19"/>
      <c r="E948" s="6"/>
      <c r="F948" s="6"/>
      <c r="G948" s="6"/>
      <c r="H948" s="6"/>
      <c r="I948" s="19"/>
      <c r="J948" s="6"/>
      <c r="K948" s="6"/>
      <c r="L948" s="19"/>
      <c r="M948" s="6"/>
      <c r="N948" s="6"/>
      <c r="O948" s="6"/>
      <c r="P948" s="6"/>
      <c r="Q948" s="6"/>
      <c r="R948" s="6"/>
      <c r="S948" s="6"/>
      <c r="T948" s="6"/>
      <c r="U948" s="6"/>
      <c r="V948" s="6"/>
      <c r="W948" s="6"/>
      <c r="X948" s="6"/>
      <c r="Y948" s="6"/>
      <c r="Z948" s="6"/>
      <c r="AA948" s="6"/>
      <c r="AB948" s="6"/>
      <c r="AC948" s="6"/>
      <c r="AD948" s="7"/>
    </row>
    <row r="949">
      <c r="A949" s="23"/>
      <c r="B949" s="23"/>
      <c r="C949" s="27"/>
      <c r="D949" s="19"/>
      <c r="E949" s="6"/>
      <c r="F949" s="6"/>
      <c r="G949" s="6"/>
      <c r="H949" s="6"/>
      <c r="I949" s="19"/>
      <c r="J949" s="6"/>
      <c r="K949" s="6"/>
      <c r="L949" s="19"/>
      <c r="M949" s="6"/>
      <c r="N949" s="6"/>
      <c r="O949" s="6"/>
      <c r="P949" s="6"/>
      <c r="Q949" s="6"/>
      <c r="R949" s="6"/>
      <c r="S949" s="6"/>
      <c r="T949" s="6"/>
      <c r="U949" s="6"/>
      <c r="V949" s="6"/>
      <c r="W949" s="6"/>
      <c r="X949" s="6"/>
      <c r="Y949" s="6"/>
      <c r="Z949" s="6"/>
      <c r="AA949" s="6"/>
      <c r="AB949" s="6"/>
      <c r="AC949" s="6"/>
      <c r="AD949" s="7"/>
    </row>
    <row r="950">
      <c r="A950" s="23"/>
      <c r="B950" s="23"/>
      <c r="C950" s="27"/>
      <c r="D950" s="19"/>
      <c r="E950" s="6"/>
      <c r="F950" s="6"/>
      <c r="G950" s="6"/>
      <c r="H950" s="6"/>
      <c r="I950" s="19"/>
      <c r="J950" s="6"/>
      <c r="K950" s="6"/>
      <c r="L950" s="19"/>
      <c r="M950" s="6"/>
      <c r="N950" s="6"/>
      <c r="O950" s="6"/>
      <c r="P950" s="6"/>
      <c r="Q950" s="6"/>
      <c r="R950" s="6"/>
      <c r="S950" s="6"/>
      <c r="T950" s="6"/>
      <c r="U950" s="6"/>
      <c r="V950" s="6"/>
      <c r="W950" s="6"/>
      <c r="X950" s="6"/>
      <c r="Y950" s="6"/>
      <c r="Z950" s="6"/>
      <c r="AA950" s="6"/>
      <c r="AB950" s="6"/>
      <c r="AC950" s="6"/>
      <c r="AD950" s="7"/>
    </row>
    <row r="951">
      <c r="A951" s="23"/>
      <c r="B951" s="23"/>
      <c r="C951" s="27"/>
      <c r="D951" s="19"/>
      <c r="E951" s="6"/>
      <c r="F951" s="6"/>
      <c r="G951" s="6"/>
      <c r="H951" s="6"/>
      <c r="I951" s="19"/>
      <c r="J951" s="6"/>
      <c r="K951" s="6"/>
      <c r="L951" s="19"/>
      <c r="M951" s="6"/>
      <c r="N951" s="6"/>
      <c r="O951" s="6"/>
      <c r="P951" s="6"/>
      <c r="Q951" s="6"/>
      <c r="R951" s="6"/>
      <c r="S951" s="6"/>
      <c r="T951" s="6"/>
      <c r="U951" s="6"/>
      <c r="V951" s="6"/>
      <c r="W951" s="6"/>
      <c r="X951" s="6"/>
      <c r="Y951" s="6"/>
      <c r="Z951" s="6"/>
      <c r="AA951" s="6"/>
      <c r="AB951" s="6"/>
      <c r="AC951" s="6"/>
      <c r="AD951" s="7"/>
    </row>
    <row r="952">
      <c r="A952" s="23"/>
      <c r="B952" s="23"/>
      <c r="C952" s="27"/>
      <c r="D952" s="19"/>
      <c r="E952" s="6"/>
      <c r="F952" s="6"/>
      <c r="G952" s="6"/>
      <c r="H952" s="6"/>
      <c r="I952" s="19"/>
      <c r="J952" s="6"/>
      <c r="K952" s="6"/>
      <c r="L952" s="19"/>
      <c r="M952" s="6"/>
      <c r="N952" s="6"/>
      <c r="O952" s="6"/>
      <c r="P952" s="6"/>
      <c r="Q952" s="6"/>
      <c r="R952" s="6"/>
      <c r="S952" s="6"/>
      <c r="T952" s="6"/>
      <c r="U952" s="6"/>
      <c r="V952" s="6"/>
      <c r="W952" s="6"/>
      <c r="X952" s="6"/>
      <c r="Y952" s="6"/>
      <c r="Z952" s="6"/>
      <c r="AA952" s="6"/>
      <c r="AB952" s="6"/>
      <c r="AC952" s="6"/>
      <c r="AD952" s="7"/>
    </row>
    <row r="953">
      <c r="A953" s="23"/>
      <c r="B953" s="23"/>
      <c r="C953" s="27"/>
      <c r="D953" s="19"/>
      <c r="E953" s="6"/>
      <c r="F953" s="6"/>
      <c r="G953" s="6"/>
      <c r="H953" s="6"/>
      <c r="I953" s="19"/>
      <c r="J953" s="6"/>
      <c r="K953" s="6"/>
      <c r="L953" s="19"/>
      <c r="M953" s="6"/>
      <c r="N953" s="6"/>
      <c r="O953" s="6"/>
      <c r="P953" s="6"/>
      <c r="Q953" s="6"/>
      <c r="R953" s="6"/>
      <c r="S953" s="6"/>
      <c r="T953" s="6"/>
      <c r="U953" s="6"/>
      <c r="V953" s="6"/>
      <c r="W953" s="6"/>
      <c r="X953" s="6"/>
      <c r="Y953" s="6"/>
      <c r="Z953" s="6"/>
      <c r="AA953" s="6"/>
      <c r="AB953" s="6"/>
      <c r="AC953" s="6"/>
      <c r="AD953" s="7"/>
    </row>
    <row r="954">
      <c r="A954" s="23"/>
      <c r="B954" s="23"/>
      <c r="C954" s="27"/>
      <c r="D954" s="19"/>
      <c r="E954" s="6"/>
      <c r="F954" s="6"/>
      <c r="G954" s="6"/>
      <c r="H954" s="6"/>
      <c r="I954" s="19"/>
      <c r="J954" s="6"/>
      <c r="K954" s="6"/>
      <c r="L954" s="19"/>
      <c r="M954" s="6"/>
      <c r="N954" s="6"/>
      <c r="O954" s="6"/>
      <c r="P954" s="6"/>
      <c r="Q954" s="6"/>
      <c r="R954" s="6"/>
      <c r="S954" s="6"/>
      <c r="T954" s="6"/>
      <c r="U954" s="6"/>
      <c r="V954" s="6"/>
      <c r="W954" s="6"/>
      <c r="X954" s="6"/>
      <c r="Y954" s="6"/>
      <c r="Z954" s="6"/>
      <c r="AA954" s="6"/>
      <c r="AB954" s="6"/>
      <c r="AC954" s="6"/>
      <c r="AD954" s="7"/>
    </row>
    <row r="955">
      <c r="A955" s="23"/>
      <c r="B955" s="23"/>
      <c r="C955" s="27"/>
      <c r="D955" s="19"/>
      <c r="E955" s="6"/>
      <c r="F955" s="6"/>
      <c r="G955" s="6"/>
      <c r="H955" s="6"/>
      <c r="I955" s="19"/>
      <c r="J955" s="6"/>
      <c r="K955" s="6"/>
      <c r="L955" s="19"/>
      <c r="M955" s="6"/>
      <c r="N955" s="6"/>
      <c r="O955" s="6"/>
      <c r="P955" s="6"/>
      <c r="Q955" s="6"/>
      <c r="R955" s="6"/>
      <c r="S955" s="6"/>
      <c r="T955" s="6"/>
      <c r="U955" s="6"/>
      <c r="V955" s="6"/>
      <c r="W955" s="6"/>
      <c r="X955" s="6"/>
      <c r="Y955" s="6"/>
      <c r="Z955" s="6"/>
      <c r="AA955" s="6"/>
      <c r="AB955" s="6"/>
      <c r="AC955" s="6"/>
      <c r="AD955" s="7"/>
    </row>
    <row r="956">
      <c r="A956" s="23"/>
      <c r="B956" s="23"/>
      <c r="C956" s="27"/>
      <c r="D956" s="19"/>
      <c r="E956" s="6"/>
      <c r="F956" s="6"/>
      <c r="G956" s="6"/>
      <c r="H956" s="6"/>
      <c r="I956" s="19"/>
      <c r="J956" s="6"/>
      <c r="K956" s="6"/>
      <c r="L956" s="19"/>
      <c r="M956" s="6"/>
      <c r="N956" s="6"/>
      <c r="O956" s="6"/>
      <c r="P956" s="6"/>
      <c r="Q956" s="6"/>
      <c r="R956" s="6"/>
      <c r="S956" s="6"/>
      <c r="T956" s="6"/>
      <c r="U956" s="6"/>
      <c r="V956" s="6"/>
      <c r="W956" s="6"/>
      <c r="X956" s="6"/>
      <c r="Y956" s="6"/>
      <c r="Z956" s="6"/>
      <c r="AA956" s="6"/>
      <c r="AB956" s="6"/>
      <c r="AC956" s="6"/>
      <c r="AD956" s="7"/>
    </row>
    <row r="957">
      <c r="A957" s="23"/>
      <c r="B957" s="23"/>
      <c r="C957" s="27"/>
      <c r="D957" s="19"/>
      <c r="E957" s="6"/>
      <c r="F957" s="6"/>
      <c r="G957" s="6"/>
      <c r="H957" s="6"/>
      <c r="I957" s="19"/>
      <c r="J957" s="6"/>
      <c r="K957" s="6"/>
      <c r="L957" s="19"/>
      <c r="M957" s="6"/>
      <c r="N957" s="6"/>
      <c r="O957" s="6"/>
      <c r="P957" s="6"/>
      <c r="Q957" s="6"/>
      <c r="R957" s="6"/>
      <c r="S957" s="6"/>
      <c r="T957" s="6"/>
      <c r="U957" s="6"/>
      <c r="V957" s="6"/>
      <c r="W957" s="6"/>
      <c r="X957" s="6"/>
      <c r="Y957" s="6"/>
      <c r="Z957" s="6"/>
      <c r="AA957" s="6"/>
      <c r="AB957" s="6"/>
      <c r="AC957" s="6"/>
      <c r="AD957" s="7"/>
    </row>
    <row r="958">
      <c r="A958" s="23"/>
      <c r="B958" s="23"/>
      <c r="C958" s="27"/>
      <c r="D958" s="19"/>
      <c r="E958" s="6"/>
      <c r="F958" s="6"/>
      <c r="G958" s="6"/>
      <c r="H958" s="6"/>
      <c r="I958" s="19"/>
      <c r="J958" s="6"/>
      <c r="K958" s="6"/>
      <c r="L958" s="19"/>
      <c r="M958" s="6"/>
      <c r="N958" s="6"/>
      <c r="O958" s="6"/>
      <c r="P958" s="6"/>
      <c r="Q958" s="6"/>
      <c r="R958" s="6"/>
      <c r="S958" s="6"/>
      <c r="T958" s="6"/>
      <c r="U958" s="6"/>
      <c r="V958" s="6"/>
      <c r="W958" s="6"/>
      <c r="X958" s="6"/>
      <c r="Y958" s="6"/>
      <c r="Z958" s="6"/>
      <c r="AA958" s="6"/>
      <c r="AB958" s="6"/>
      <c r="AC958" s="6"/>
      <c r="AD958" s="7"/>
    </row>
    <row r="959">
      <c r="A959" s="23"/>
      <c r="B959" s="23"/>
      <c r="C959" s="27"/>
      <c r="D959" s="19"/>
      <c r="E959" s="6"/>
      <c r="F959" s="6"/>
      <c r="G959" s="6"/>
      <c r="H959" s="6"/>
      <c r="I959" s="19"/>
      <c r="J959" s="6"/>
      <c r="K959" s="6"/>
      <c r="L959" s="19"/>
      <c r="M959" s="6"/>
      <c r="N959" s="6"/>
      <c r="O959" s="6"/>
      <c r="P959" s="6"/>
      <c r="Q959" s="6"/>
      <c r="R959" s="6"/>
      <c r="S959" s="6"/>
      <c r="T959" s="6"/>
      <c r="U959" s="6"/>
      <c r="V959" s="6"/>
      <c r="W959" s="6"/>
      <c r="X959" s="6"/>
      <c r="Y959" s="6"/>
      <c r="Z959" s="6"/>
      <c r="AA959" s="6"/>
      <c r="AB959" s="6"/>
      <c r="AC959" s="6"/>
      <c r="AD959" s="7"/>
    </row>
    <row r="960">
      <c r="A960" s="23"/>
      <c r="B960" s="23"/>
      <c r="C960" s="27"/>
      <c r="D960" s="19"/>
      <c r="E960" s="6"/>
      <c r="F960" s="6"/>
      <c r="G960" s="6"/>
      <c r="H960" s="6"/>
      <c r="I960" s="19"/>
      <c r="J960" s="6"/>
      <c r="K960" s="6"/>
      <c r="L960" s="19"/>
      <c r="M960" s="6"/>
      <c r="N960" s="6"/>
      <c r="O960" s="6"/>
      <c r="P960" s="6"/>
      <c r="Q960" s="6"/>
      <c r="R960" s="6"/>
      <c r="S960" s="6"/>
      <c r="T960" s="6"/>
      <c r="U960" s="6"/>
      <c r="V960" s="6"/>
      <c r="W960" s="6"/>
      <c r="X960" s="6"/>
      <c r="Y960" s="6"/>
      <c r="Z960" s="6"/>
      <c r="AA960" s="6"/>
      <c r="AB960" s="6"/>
      <c r="AC960" s="6"/>
      <c r="AD960" s="7"/>
    </row>
    <row r="961">
      <c r="A961" s="23"/>
      <c r="B961" s="23"/>
      <c r="C961" s="27"/>
      <c r="D961" s="19"/>
      <c r="E961" s="6"/>
      <c r="F961" s="6"/>
      <c r="G961" s="6"/>
      <c r="H961" s="6"/>
      <c r="I961" s="19"/>
      <c r="J961" s="6"/>
      <c r="K961" s="6"/>
      <c r="L961" s="19"/>
      <c r="M961" s="6"/>
      <c r="N961" s="6"/>
      <c r="O961" s="6"/>
      <c r="P961" s="6"/>
      <c r="Q961" s="6"/>
      <c r="R961" s="6"/>
      <c r="S961" s="6"/>
      <c r="T961" s="6"/>
      <c r="U961" s="6"/>
      <c r="V961" s="6"/>
      <c r="W961" s="6"/>
      <c r="X961" s="6"/>
      <c r="Y961" s="6"/>
      <c r="Z961" s="6"/>
      <c r="AA961" s="6"/>
      <c r="AB961" s="6"/>
      <c r="AC961" s="6"/>
      <c r="AD961" s="7"/>
    </row>
    <row r="962">
      <c r="A962" s="23"/>
      <c r="B962" s="23"/>
      <c r="C962" s="27"/>
      <c r="D962" s="19"/>
      <c r="E962" s="6"/>
      <c r="F962" s="6"/>
      <c r="G962" s="6"/>
      <c r="H962" s="6"/>
      <c r="I962" s="19"/>
      <c r="J962" s="6"/>
      <c r="K962" s="6"/>
      <c r="L962" s="19"/>
      <c r="M962" s="6"/>
      <c r="N962" s="6"/>
      <c r="O962" s="6"/>
      <c r="P962" s="6"/>
      <c r="Q962" s="6"/>
      <c r="R962" s="6"/>
      <c r="S962" s="6"/>
      <c r="T962" s="6"/>
      <c r="U962" s="6"/>
      <c r="V962" s="6"/>
      <c r="W962" s="6"/>
      <c r="X962" s="6"/>
      <c r="Y962" s="6"/>
      <c r="Z962" s="6"/>
      <c r="AA962" s="6"/>
      <c r="AB962" s="6"/>
      <c r="AC962" s="6"/>
      <c r="AD962" s="7"/>
    </row>
    <row r="963">
      <c r="A963" s="23"/>
      <c r="B963" s="23"/>
      <c r="C963" s="27"/>
      <c r="D963" s="19"/>
      <c r="E963" s="6"/>
      <c r="F963" s="6"/>
      <c r="G963" s="6"/>
      <c r="H963" s="6"/>
      <c r="I963" s="19"/>
      <c r="J963" s="6"/>
      <c r="K963" s="6"/>
      <c r="L963" s="19"/>
      <c r="M963" s="6"/>
      <c r="N963" s="6"/>
      <c r="O963" s="6"/>
      <c r="P963" s="6"/>
      <c r="Q963" s="6"/>
      <c r="R963" s="6"/>
      <c r="S963" s="6"/>
      <c r="T963" s="6"/>
      <c r="U963" s="6"/>
      <c r="V963" s="6"/>
      <c r="W963" s="6"/>
      <c r="X963" s="6"/>
      <c r="Y963" s="6"/>
      <c r="Z963" s="6"/>
      <c r="AA963" s="6"/>
      <c r="AB963" s="6"/>
      <c r="AC963" s="6"/>
      <c r="AD963" s="7"/>
    </row>
    <row r="964">
      <c r="A964" s="23"/>
      <c r="B964" s="23"/>
      <c r="C964" s="27"/>
      <c r="D964" s="19"/>
      <c r="E964" s="6"/>
      <c r="F964" s="6"/>
      <c r="G964" s="6"/>
      <c r="H964" s="6"/>
      <c r="I964" s="19"/>
      <c r="J964" s="6"/>
      <c r="K964" s="6"/>
      <c r="L964" s="19"/>
      <c r="M964" s="6"/>
      <c r="N964" s="6"/>
      <c r="O964" s="6"/>
      <c r="P964" s="6"/>
      <c r="Q964" s="6"/>
      <c r="R964" s="6"/>
      <c r="S964" s="6"/>
      <c r="T964" s="6"/>
      <c r="U964" s="6"/>
      <c r="V964" s="6"/>
      <c r="W964" s="6"/>
      <c r="X964" s="6"/>
      <c r="Y964" s="6"/>
      <c r="Z964" s="6"/>
      <c r="AA964" s="6"/>
      <c r="AB964" s="6"/>
      <c r="AC964" s="6"/>
      <c r="AD964" s="7"/>
    </row>
    <row r="965">
      <c r="A965" s="23"/>
      <c r="B965" s="23"/>
      <c r="C965" s="27"/>
      <c r="D965" s="19"/>
      <c r="E965" s="6"/>
      <c r="F965" s="6"/>
      <c r="G965" s="6"/>
      <c r="H965" s="6"/>
      <c r="I965" s="19"/>
      <c r="J965" s="6"/>
      <c r="K965" s="6"/>
      <c r="L965" s="19"/>
      <c r="M965" s="6"/>
      <c r="N965" s="6"/>
      <c r="O965" s="6"/>
      <c r="P965" s="6"/>
      <c r="Q965" s="6"/>
      <c r="R965" s="6"/>
      <c r="S965" s="6"/>
      <c r="T965" s="6"/>
      <c r="U965" s="6"/>
      <c r="V965" s="6"/>
      <c r="W965" s="6"/>
      <c r="X965" s="6"/>
      <c r="Y965" s="6"/>
      <c r="Z965" s="6"/>
      <c r="AA965" s="6"/>
      <c r="AB965" s="6"/>
      <c r="AC965" s="6"/>
      <c r="AD965" s="7"/>
    </row>
    <row r="966">
      <c r="A966" s="23"/>
      <c r="B966" s="23"/>
      <c r="C966" s="27"/>
      <c r="D966" s="19"/>
      <c r="E966" s="6"/>
      <c r="F966" s="6"/>
      <c r="G966" s="6"/>
      <c r="H966" s="6"/>
      <c r="I966" s="19"/>
      <c r="J966" s="6"/>
      <c r="K966" s="6"/>
      <c r="L966" s="19"/>
      <c r="M966" s="6"/>
      <c r="N966" s="6"/>
      <c r="O966" s="6"/>
      <c r="P966" s="6"/>
      <c r="Q966" s="6"/>
      <c r="R966" s="6"/>
      <c r="S966" s="6"/>
      <c r="T966" s="6"/>
      <c r="U966" s="6"/>
      <c r="V966" s="6"/>
      <c r="W966" s="6"/>
      <c r="X966" s="6"/>
      <c r="Y966" s="6"/>
      <c r="Z966" s="6"/>
      <c r="AA966" s="6"/>
      <c r="AB966" s="6"/>
      <c r="AC966" s="6"/>
      <c r="AD966" s="7"/>
    </row>
    <row r="967">
      <c r="A967" s="23"/>
      <c r="B967" s="23"/>
      <c r="C967" s="27"/>
      <c r="D967" s="19"/>
      <c r="E967" s="6"/>
      <c r="F967" s="6"/>
      <c r="G967" s="6"/>
      <c r="H967" s="6"/>
      <c r="I967" s="19"/>
      <c r="J967" s="6"/>
      <c r="K967" s="6"/>
      <c r="L967" s="19"/>
      <c r="M967" s="6"/>
      <c r="N967" s="6"/>
      <c r="O967" s="6"/>
      <c r="P967" s="6"/>
      <c r="Q967" s="6"/>
      <c r="R967" s="6"/>
      <c r="S967" s="6"/>
      <c r="T967" s="6"/>
      <c r="U967" s="6"/>
      <c r="V967" s="6"/>
      <c r="W967" s="6"/>
      <c r="X967" s="6"/>
      <c r="Y967" s="6"/>
      <c r="Z967" s="6"/>
      <c r="AA967" s="6"/>
      <c r="AB967" s="6"/>
      <c r="AC967" s="6"/>
      <c r="AD967" s="7"/>
    </row>
    <row r="968">
      <c r="A968" s="23"/>
      <c r="B968" s="23"/>
      <c r="C968" s="27"/>
      <c r="D968" s="19"/>
      <c r="E968" s="6"/>
      <c r="F968" s="6"/>
      <c r="G968" s="6"/>
      <c r="H968" s="6"/>
      <c r="I968" s="19"/>
      <c r="J968" s="6"/>
      <c r="K968" s="6"/>
      <c r="L968" s="19"/>
      <c r="M968" s="6"/>
      <c r="N968" s="6"/>
      <c r="O968" s="6"/>
      <c r="P968" s="6"/>
      <c r="Q968" s="6"/>
      <c r="R968" s="6"/>
      <c r="S968" s="6"/>
      <c r="T968" s="6"/>
      <c r="U968" s="6"/>
      <c r="V968" s="6"/>
      <c r="W968" s="6"/>
      <c r="X968" s="6"/>
      <c r="Y968" s="6"/>
      <c r="Z968" s="6"/>
      <c r="AA968" s="6"/>
      <c r="AB968" s="6"/>
      <c r="AC968" s="6"/>
      <c r="AD968" s="7"/>
    </row>
    <row r="969">
      <c r="A969" s="23"/>
      <c r="B969" s="23"/>
      <c r="C969" s="27"/>
      <c r="D969" s="19"/>
      <c r="E969" s="6"/>
      <c r="F969" s="6"/>
      <c r="G969" s="6"/>
      <c r="H969" s="6"/>
      <c r="I969" s="19"/>
      <c r="J969" s="6"/>
      <c r="K969" s="6"/>
      <c r="L969" s="19"/>
      <c r="M969" s="6"/>
      <c r="N969" s="6"/>
      <c r="O969" s="6"/>
      <c r="P969" s="6"/>
      <c r="Q969" s="6"/>
      <c r="R969" s="6"/>
      <c r="S969" s="6"/>
      <c r="T969" s="6"/>
      <c r="U969" s="6"/>
      <c r="V969" s="6"/>
      <c r="W969" s="6"/>
      <c r="X969" s="6"/>
      <c r="Y969" s="6"/>
      <c r="Z969" s="6"/>
      <c r="AA969" s="6"/>
      <c r="AB969" s="6"/>
      <c r="AC969" s="6"/>
      <c r="AD969" s="7"/>
    </row>
    <row r="970">
      <c r="A970" s="23"/>
      <c r="B970" s="23"/>
      <c r="C970" s="27"/>
      <c r="D970" s="19"/>
      <c r="E970" s="6"/>
      <c r="F970" s="6"/>
      <c r="G970" s="6"/>
      <c r="H970" s="6"/>
      <c r="I970" s="19"/>
      <c r="J970" s="6"/>
      <c r="K970" s="6"/>
      <c r="L970" s="19"/>
      <c r="M970" s="6"/>
      <c r="N970" s="6"/>
      <c r="O970" s="6"/>
      <c r="P970" s="6"/>
      <c r="Q970" s="6"/>
      <c r="R970" s="6"/>
      <c r="S970" s="6"/>
      <c r="T970" s="6"/>
      <c r="U970" s="6"/>
      <c r="V970" s="6"/>
      <c r="W970" s="6"/>
      <c r="X970" s="6"/>
      <c r="Y970" s="6"/>
      <c r="Z970" s="6"/>
      <c r="AA970" s="6"/>
      <c r="AB970" s="6"/>
      <c r="AC970" s="6"/>
      <c r="AD970" s="7"/>
    </row>
    <row r="971">
      <c r="A971" s="23"/>
      <c r="B971" s="23"/>
      <c r="C971" s="27"/>
      <c r="D971" s="19"/>
      <c r="E971" s="6"/>
      <c r="F971" s="6"/>
      <c r="G971" s="6"/>
      <c r="H971" s="6"/>
      <c r="I971" s="19"/>
      <c r="J971" s="6"/>
      <c r="K971" s="6"/>
      <c r="L971" s="19"/>
      <c r="M971" s="6"/>
      <c r="N971" s="6"/>
      <c r="O971" s="6"/>
      <c r="P971" s="6"/>
      <c r="Q971" s="6"/>
      <c r="R971" s="6"/>
      <c r="S971" s="6"/>
      <c r="T971" s="6"/>
      <c r="U971" s="6"/>
      <c r="V971" s="6"/>
      <c r="W971" s="6"/>
      <c r="X971" s="6"/>
      <c r="Y971" s="6"/>
      <c r="Z971" s="6"/>
      <c r="AA971" s="6"/>
      <c r="AB971" s="6"/>
      <c r="AC971" s="6"/>
      <c r="AD971" s="7"/>
    </row>
    <row r="972">
      <c r="A972" s="23"/>
      <c r="B972" s="23"/>
      <c r="C972" s="27"/>
      <c r="D972" s="19"/>
      <c r="E972" s="6"/>
      <c r="F972" s="6"/>
      <c r="G972" s="6"/>
      <c r="H972" s="6"/>
      <c r="I972" s="19"/>
      <c r="J972" s="6"/>
      <c r="K972" s="6"/>
      <c r="L972" s="19"/>
      <c r="M972" s="6"/>
      <c r="N972" s="6"/>
      <c r="O972" s="6"/>
      <c r="P972" s="6"/>
      <c r="Q972" s="6"/>
      <c r="R972" s="6"/>
      <c r="S972" s="6"/>
      <c r="T972" s="6"/>
      <c r="U972" s="6"/>
      <c r="V972" s="6"/>
      <c r="W972" s="6"/>
      <c r="X972" s="6"/>
      <c r="Y972" s="6"/>
      <c r="Z972" s="6"/>
      <c r="AA972" s="6"/>
      <c r="AB972" s="6"/>
      <c r="AC972" s="6"/>
      <c r="AD972" s="7"/>
    </row>
    <row r="973">
      <c r="A973" s="23"/>
      <c r="B973" s="23"/>
      <c r="C973" s="27"/>
      <c r="D973" s="19"/>
      <c r="E973" s="6"/>
      <c r="F973" s="6"/>
      <c r="G973" s="6"/>
      <c r="H973" s="6"/>
      <c r="I973" s="19"/>
      <c r="J973" s="6"/>
      <c r="K973" s="6"/>
      <c r="L973" s="19"/>
      <c r="M973" s="6"/>
      <c r="N973" s="6"/>
      <c r="O973" s="6"/>
      <c r="P973" s="6"/>
      <c r="Q973" s="6"/>
      <c r="R973" s="6"/>
      <c r="S973" s="6"/>
      <c r="T973" s="6"/>
      <c r="U973" s="6"/>
      <c r="V973" s="6"/>
      <c r="W973" s="6"/>
      <c r="X973" s="6"/>
      <c r="Y973" s="6"/>
      <c r="Z973" s="6"/>
      <c r="AA973" s="6"/>
      <c r="AB973" s="6"/>
      <c r="AC973" s="6"/>
      <c r="AD973" s="7"/>
    </row>
    <row r="974">
      <c r="A974" s="23"/>
      <c r="B974" s="23"/>
      <c r="C974" s="27"/>
      <c r="D974" s="19"/>
      <c r="E974" s="6"/>
      <c r="F974" s="6"/>
      <c r="G974" s="6"/>
      <c r="H974" s="6"/>
      <c r="I974" s="19"/>
      <c r="J974" s="6"/>
      <c r="K974" s="6"/>
      <c r="L974" s="19"/>
      <c r="M974" s="6"/>
      <c r="N974" s="6"/>
      <c r="O974" s="6"/>
      <c r="P974" s="6"/>
      <c r="Q974" s="6"/>
      <c r="R974" s="6"/>
      <c r="S974" s="6"/>
      <c r="T974" s="6"/>
      <c r="U974" s="6"/>
      <c r="V974" s="6"/>
      <c r="W974" s="6"/>
      <c r="X974" s="6"/>
      <c r="Y974" s="6"/>
      <c r="Z974" s="6"/>
      <c r="AA974" s="6"/>
      <c r="AB974" s="6"/>
      <c r="AC974" s="6"/>
      <c r="AD974" s="7"/>
    </row>
    <row r="975">
      <c r="A975" s="23"/>
      <c r="B975" s="23"/>
      <c r="C975" s="27"/>
      <c r="D975" s="19"/>
      <c r="E975" s="6"/>
      <c r="F975" s="6"/>
      <c r="G975" s="6"/>
      <c r="H975" s="6"/>
      <c r="I975" s="19"/>
      <c r="J975" s="6"/>
      <c r="K975" s="6"/>
      <c r="L975" s="19"/>
      <c r="M975" s="6"/>
      <c r="N975" s="6"/>
      <c r="O975" s="6"/>
      <c r="P975" s="6"/>
      <c r="Q975" s="6"/>
      <c r="R975" s="6"/>
      <c r="S975" s="6"/>
      <c r="T975" s="6"/>
      <c r="U975" s="6"/>
      <c r="V975" s="6"/>
      <c r="W975" s="6"/>
      <c r="X975" s="6"/>
      <c r="Y975" s="6"/>
      <c r="Z975" s="6"/>
      <c r="AA975" s="6"/>
      <c r="AB975" s="6"/>
      <c r="AC975" s="6"/>
      <c r="AD975" s="7"/>
    </row>
    <row r="976">
      <c r="A976" s="23"/>
      <c r="B976" s="23"/>
      <c r="C976" s="27"/>
      <c r="D976" s="19"/>
      <c r="E976" s="6"/>
      <c r="F976" s="6"/>
      <c r="G976" s="6"/>
      <c r="H976" s="6"/>
      <c r="I976" s="19"/>
      <c r="J976" s="6"/>
      <c r="K976" s="6"/>
      <c r="L976" s="19"/>
      <c r="M976" s="6"/>
      <c r="N976" s="6"/>
      <c r="O976" s="6"/>
      <c r="P976" s="6"/>
      <c r="Q976" s="6"/>
      <c r="R976" s="6"/>
      <c r="S976" s="6"/>
      <c r="T976" s="6"/>
      <c r="U976" s="6"/>
      <c r="V976" s="6"/>
      <c r="W976" s="6"/>
      <c r="X976" s="6"/>
      <c r="Y976" s="6"/>
      <c r="Z976" s="6"/>
      <c r="AA976" s="6"/>
      <c r="AB976" s="6"/>
      <c r="AC976" s="6"/>
      <c r="AD976" s="7"/>
    </row>
    <row r="977">
      <c r="A977" s="23"/>
      <c r="B977" s="23"/>
      <c r="C977" s="27"/>
      <c r="D977" s="19"/>
      <c r="E977" s="6"/>
      <c r="F977" s="6"/>
      <c r="G977" s="6"/>
      <c r="H977" s="6"/>
      <c r="I977" s="19"/>
      <c r="J977" s="6"/>
      <c r="K977" s="6"/>
      <c r="L977" s="19"/>
      <c r="M977" s="6"/>
      <c r="N977" s="6"/>
      <c r="O977" s="6"/>
      <c r="P977" s="6"/>
      <c r="Q977" s="6"/>
      <c r="R977" s="6"/>
      <c r="S977" s="6"/>
      <c r="T977" s="6"/>
      <c r="U977" s="6"/>
      <c r="V977" s="6"/>
      <c r="W977" s="6"/>
      <c r="X977" s="6"/>
      <c r="Y977" s="6"/>
      <c r="Z977" s="6"/>
      <c r="AA977" s="6"/>
      <c r="AB977" s="6"/>
      <c r="AC977" s="6"/>
      <c r="AD977" s="7"/>
    </row>
    <row r="978">
      <c r="A978" s="23"/>
      <c r="B978" s="23"/>
      <c r="C978" s="27"/>
      <c r="D978" s="19"/>
      <c r="E978" s="6"/>
      <c r="F978" s="6"/>
      <c r="G978" s="6"/>
      <c r="H978" s="6"/>
      <c r="I978" s="19"/>
      <c r="J978" s="6"/>
      <c r="K978" s="6"/>
      <c r="L978" s="19"/>
      <c r="M978" s="6"/>
      <c r="N978" s="6"/>
      <c r="O978" s="6"/>
      <c r="P978" s="6"/>
      <c r="Q978" s="6"/>
      <c r="R978" s="6"/>
      <c r="S978" s="6"/>
      <c r="T978" s="6"/>
      <c r="U978" s="6"/>
      <c r="V978" s="6"/>
      <c r="W978" s="6"/>
      <c r="X978" s="6"/>
      <c r="Y978" s="6"/>
      <c r="Z978" s="6"/>
      <c r="AA978" s="6"/>
      <c r="AB978" s="6"/>
      <c r="AC978" s="6"/>
      <c r="AD978" s="7"/>
    </row>
    <row r="979">
      <c r="A979" s="23"/>
      <c r="B979" s="23"/>
      <c r="C979" s="27"/>
      <c r="D979" s="19"/>
      <c r="E979" s="6"/>
      <c r="F979" s="6"/>
      <c r="G979" s="6"/>
      <c r="H979" s="6"/>
      <c r="I979" s="19"/>
      <c r="J979" s="6"/>
      <c r="K979" s="6"/>
      <c r="L979" s="19"/>
      <c r="M979" s="6"/>
      <c r="N979" s="6"/>
      <c r="O979" s="6"/>
      <c r="P979" s="6"/>
      <c r="Q979" s="6"/>
      <c r="R979" s="6"/>
      <c r="S979" s="6"/>
      <c r="T979" s="6"/>
      <c r="U979" s="6"/>
      <c r="V979" s="6"/>
      <c r="W979" s="6"/>
      <c r="X979" s="6"/>
      <c r="Y979" s="6"/>
      <c r="Z979" s="6"/>
      <c r="AA979" s="6"/>
      <c r="AB979" s="6"/>
      <c r="AC979" s="6"/>
      <c r="AD979" s="7"/>
    </row>
    <row r="980">
      <c r="A980" s="23"/>
      <c r="B980" s="23"/>
      <c r="C980" s="27"/>
      <c r="D980" s="19"/>
      <c r="E980" s="6"/>
      <c r="F980" s="6"/>
      <c r="G980" s="6"/>
      <c r="H980" s="6"/>
      <c r="I980" s="19"/>
      <c r="J980" s="6"/>
      <c r="K980" s="6"/>
      <c r="L980" s="19"/>
      <c r="M980" s="6"/>
      <c r="N980" s="6"/>
      <c r="O980" s="6"/>
      <c r="P980" s="6"/>
      <c r="Q980" s="6"/>
      <c r="R980" s="6"/>
      <c r="S980" s="6"/>
      <c r="T980" s="6"/>
      <c r="U980" s="6"/>
      <c r="V980" s="6"/>
      <c r="W980" s="6"/>
      <c r="X980" s="6"/>
      <c r="Y980" s="6"/>
      <c r="Z980" s="6"/>
      <c r="AA980" s="6"/>
      <c r="AB980" s="6"/>
      <c r="AC980" s="6"/>
      <c r="AD980" s="7"/>
    </row>
    <row r="981">
      <c r="A981" s="23"/>
      <c r="B981" s="23"/>
      <c r="C981" s="27"/>
      <c r="D981" s="19"/>
      <c r="E981" s="6"/>
      <c r="F981" s="6"/>
      <c r="G981" s="6"/>
      <c r="H981" s="6"/>
      <c r="I981" s="19"/>
      <c r="J981" s="6"/>
      <c r="K981" s="6"/>
      <c r="L981" s="19"/>
      <c r="M981" s="6"/>
      <c r="N981" s="6"/>
      <c r="O981" s="6"/>
      <c r="P981" s="6"/>
      <c r="Q981" s="6"/>
      <c r="R981" s="6"/>
      <c r="S981" s="6"/>
      <c r="T981" s="6"/>
      <c r="U981" s="6"/>
      <c r="V981" s="6"/>
      <c r="W981" s="6"/>
      <c r="X981" s="6"/>
      <c r="Y981" s="6"/>
      <c r="Z981" s="6"/>
      <c r="AA981" s="6"/>
      <c r="AB981" s="6"/>
      <c r="AC981" s="6"/>
      <c r="AD981" s="7"/>
    </row>
    <row r="982">
      <c r="A982" s="23"/>
      <c r="B982" s="23"/>
      <c r="C982" s="27"/>
      <c r="D982" s="19"/>
      <c r="E982" s="6"/>
      <c r="F982" s="6"/>
      <c r="G982" s="6"/>
      <c r="H982" s="6"/>
      <c r="I982" s="19"/>
      <c r="J982" s="6"/>
      <c r="K982" s="6"/>
      <c r="L982" s="19"/>
      <c r="M982" s="6"/>
      <c r="N982" s="6"/>
      <c r="O982" s="6"/>
      <c r="P982" s="6"/>
      <c r="Q982" s="6"/>
      <c r="R982" s="6"/>
      <c r="S982" s="6"/>
      <c r="T982" s="6"/>
      <c r="U982" s="6"/>
      <c r="V982" s="6"/>
      <c r="W982" s="6"/>
      <c r="X982" s="6"/>
      <c r="Y982" s="6"/>
      <c r="Z982" s="6"/>
      <c r="AA982" s="6"/>
      <c r="AB982" s="6"/>
      <c r="AC982" s="6"/>
      <c r="AD982" s="7"/>
    </row>
    <row r="983">
      <c r="A983" s="23"/>
      <c r="B983" s="23"/>
      <c r="C983" s="27"/>
      <c r="D983" s="19"/>
      <c r="E983" s="6"/>
      <c r="F983" s="6"/>
      <c r="G983" s="6"/>
      <c r="H983" s="6"/>
      <c r="I983" s="19"/>
      <c r="J983" s="6"/>
      <c r="K983" s="6"/>
      <c r="L983" s="19"/>
      <c r="M983" s="6"/>
      <c r="N983" s="6"/>
      <c r="O983" s="6"/>
      <c r="P983" s="6"/>
      <c r="Q983" s="6"/>
      <c r="R983" s="6"/>
      <c r="S983" s="6"/>
      <c r="T983" s="6"/>
      <c r="U983" s="6"/>
      <c r="V983" s="6"/>
      <c r="W983" s="6"/>
      <c r="X983" s="6"/>
      <c r="Y983" s="6"/>
      <c r="Z983" s="6"/>
      <c r="AA983" s="6"/>
      <c r="AB983" s="6"/>
      <c r="AC983" s="6"/>
      <c r="AD983" s="7"/>
    </row>
    <row r="984">
      <c r="A984" s="23"/>
      <c r="B984" s="23"/>
      <c r="C984" s="27"/>
      <c r="D984" s="19"/>
      <c r="E984" s="6"/>
      <c r="F984" s="6"/>
      <c r="G984" s="6"/>
      <c r="H984" s="6"/>
      <c r="I984" s="19"/>
      <c r="J984" s="6"/>
      <c r="K984" s="6"/>
      <c r="L984" s="19"/>
      <c r="M984" s="6"/>
      <c r="N984" s="6"/>
      <c r="O984" s="6"/>
      <c r="P984" s="6"/>
      <c r="Q984" s="6"/>
      <c r="R984" s="6"/>
      <c r="S984" s="6"/>
      <c r="T984" s="6"/>
      <c r="U984" s="6"/>
      <c r="V984" s="6"/>
      <c r="W984" s="6"/>
      <c r="X984" s="6"/>
      <c r="Y984" s="6"/>
      <c r="Z984" s="6"/>
      <c r="AA984" s="6"/>
      <c r="AB984" s="6"/>
      <c r="AC984" s="6"/>
      <c r="AD984" s="7"/>
    </row>
    <row r="985">
      <c r="A985" s="23"/>
      <c r="B985" s="23"/>
      <c r="C985" s="27"/>
      <c r="D985" s="19"/>
      <c r="E985" s="6"/>
      <c r="F985" s="6"/>
      <c r="G985" s="6"/>
      <c r="H985" s="6"/>
      <c r="I985" s="19"/>
      <c r="J985" s="6"/>
      <c r="K985" s="6"/>
      <c r="L985" s="19"/>
      <c r="M985" s="6"/>
      <c r="N985" s="6"/>
      <c r="O985" s="6"/>
      <c r="P985" s="6"/>
      <c r="Q985" s="6"/>
      <c r="R985" s="6"/>
      <c r="S985" s="6"/>
      <c r="T985" s="6"/>
      <c r="U985" s="6"/>
      <c r="V985" s="6"/>
      <c r="W985" s="6"/>
      <c r="X985" s="6"/>
      <c r="Y985" s="6"/>
      <c r="Z985" s="6"/>
      <c r="AA985" s="6"/>
      <c r="AB985" s="6"/>
      <c r="AC985" s="6"/>
      <c r="AD985" s="7"/>
    </row>
    <row r="986">
      <c r="A986" s="23"/>
      <c r="B986" s="23"/>
      <c r="C986" s="27"/>
      <c r="D986" s="19"/>
      <c r="E986" s="6"/>
      <c r="F986" s="6"/>
      <c r="G986" s="6"/>
      <c r="H986" s="6"/>
      <c r="I986" s="19"/>
      <c r="J986" s="6"/>
      <c r="K986" s="6"/>
      <c r="L986" s="19"/>
      <c r="M986" s="6"/>
      <c r="N986" s="6"/>
      <c r="O986" s="6"/>
      <c r="P986" s="6"/>
      <c r="Q986" s="6"/>
      <c r="R986" s="6"/>
      <c r="S986" s="6"/>
      <c r="T986" s="6"/>
      <c r="U986" s="6"/>
      <c r="V986" s="6"/>
      <c r="W986" s="6"/>
      <c r="X986" s="6"/>
      <c r="Y986" s="6"/>
      <c r="Z986" s="6"/>
      <c r="AA986" s="6"/>
      <c r="AB986" s="6"/>
      <c r="AC986" s="6"/>
      <c r="AD986" s="7"/>
    </row>
    <row r="987">
      <c r="A987" s="23"/>
      <c r="B987" s="23"/>
      <c r="C987" s="27"/>
      <c r="D987" s="19"/>
      <c r="E987" s="6"/>
      <c r="F987" s="6"/>
      <c r="G987" s="6"/>
      <c r="H987" s="6"/>
      <c r="I987" s="19"/>
      <c r="J987" s="6"/>
      <c r="K987" s="6"/>
      <c r="L987" s="19"/>
      <c r="M987" s="6"/>
      <c r="N987" s="6"/>
      <c r="O987" s="6"/>
      <c r="P987" s="6"/>
      <c r="Q987" s="6"/>
      <c r="R987" s="6"/>
      <c r="S987" s="6"/>
      <c r="T987" s="6"/>
      <c r="U987" s="6"/>
      <c r="V987" s="6"/>
      <c r="W987" s="6"/>
      <c r="X987" s="6"/>
      <c r="Y987" s="6"/>
      <c r="Z987" s="6"/>
      <c r="AA987" s="6"/>
      <c r="AB987" s="6"/>
      <c r="AC987" s="6"/>
      <c r="AD987" s="7"/>
    </row>
    <row r="988">
      <c r="A988" s="23"/>
      <c r="B988" s="23"/>
      <c r="C988" s="27"/>
      <c r="D988" s="19"/>
      <c r="E988" s="6"/>
      <c r="F988" s="6"/>
      <c r="G988" s="6"/>
      <c r="H988" s="6"/>
      <c r="I988" s="19"/>
      <c r="J988" s="6"/>
      <c r="K988" s="6"/>
      <c r="L988" s="19"/>
      <c r="M988" s="6"/>
      <c r="N988" s="6"/>
      <c r="O988" s="6"/>
      <c r="P988" s="6"/>
      <c r="Q988" s="6"/>
      <c r="R988" s="6"/>
      <c r="S988" s="6"/>
      <c r="T988" s="6"/>
      <c r="U988" s="6"/>
      <c r="V988" s="6"/>
      <c r="W988" s="6"/>
      <c r="X988" s="6"/>
      <c r="Y988" s="6"/>
      <c r="Z988" s="6"/>
      <c r="AA988" s="6"/>
      <c r="AB988" s="6"/>
      <c r="AC988" s="6"/>
      <c r="AD988" s="7"/>
    </row>
    <row r="989">
      <c r="A989" s="23"/>
      <c r="B989" s="23"/>
      <c r="C989" s="27"/>
      <c r="D989" s="19"/>
      <c r="E989" s="6"/>
      <c r="F989" s="6"/>
      <c r="G989" s="6"/>
      <c r="H989" s="6"/>
      <c r="I989" s="19"/>
      <c r="J989" s="6"/>
      <c r="K989" s="6"/>
      <c r="L989" s="19"/>
      <c r="M989" s="6"/>
      <c r="N989" s="6"/>
      <c r="O989" s="6"/>
      <c r="P989" s="6"/>
      <c r="Q989" s="6"/>
      <c r="R989" s="6"/>
      <c r="S989" s="6"/>
      <c r="T989" s="6"/>
      <c r="U989" s="6"/>
      <c r="V989" s="6"/>
      <c r="W989" s="6"/>
      <c r="X989" s="6"/>
      <c r="Y989" s="6"/>
      <c r="Z989" s="6"/>
      <c r="AA989" s="6"/>
      <c r="AB989" s="6"/>
      <c r="AC989" s="6"/>
      <c r="AD989" s="7"/>
    </row>
    <row r="990">
      <c r="A990" s="23"/>
      <c r="B990" s="23"/>
      <c r="C990" s="27"/>
      <c r="D990" s="19"/>
      <c r="E990" s="6"/>
      <c r="F990" s="6"/>
      <c r="G990" s="6"/>
      <c r="H990" s="6"/>
      <c r="I990" s="19"/>
      <c r="J990" s="6"/>
      <c r="K990" s="6"/>
      <c r="L990" s="19"/>
      <c r="M990" s="6"/>
      <c r="N990" s="6"/>
      <c r="O990" s="6"/>
      <c r="P990" s="6"/>
      <c r="Q990" s="6"/>
      <c r="R990" s="6"/>
      <c r="S990" s="6"/>
      <c r="T990" s="6"/>
      <c r="U990" s="6"/>
      <c r="V990" s="6"/>
      <c r="W990" s="6"/>
      <c r="X990" s="6"/>
      <c r="Y990" s="6"/>
      <c r="Z990" s="6"/>
      <c r="AA990" s="6"/>
      <c r="AB990" s="6"/>
      <c r="AC990" s="6"/>
      <c r="AD990" s="7"/>
    </row>
    <row r="991">
      <c r="A991" s="23"/>
      <c r="B991" s="23"/>
      <c r="C991" s="27"/>
      <c r="D991" s="19"/>
      <c r="E991" s="6"/>
      <c r="F991" s="6"/>
      <c r="G991" s="6"/>
      <c r="H991" s="6"/>
      <c r="I991" s="19"/>
      <c r="J991" s="6"/>
      <c r="K991" s="6"/>
      <c r="L991" s="19"/>
      <c r="M991" s="6"/>
      <c r="N991" s="6"/>
      <c r="O991" s="6"/>
      <c r="P991" s="6"/>
      <c r="Q991" s="6"/>
      <c r="R991" s="6"/>
      <c r="S991" s="6"/>
      <c r="T991" s="6"/>
      <c r="U991" s="6"/>
      <c r="V991" s="6"/>
      <c r="W991" s="6"/>
      <c r="X991" s="6"/>
      <c r="Y991" s="6"/>
      <c r="Z991" s="6"/>
      <c r="AA991" s="6"/>
      <c r="AB991" s="6"/>
      <c r="AC991" s="6"/>
      <c r="AD991" s="7"/>
    </row>
    <row r="992">
      <c r="A992" s="23"/>
      <c r="B992" s="23"/>
      <c r="C992" s="27"/>
      <c r="D992" s="19"/>
      <c r="E992" s="6"/>
      <c r="F992" s="6"/>
      <c r="G992" s="6"/>
      <c r="H992" s="6"/>
      <c r="I992" s="19"/>
      <c r="J992" s="6"/>
      <c r="K992" s="6"/>
      <c r="L992" s="19"/>
      <c r="M992" s="6"/>
      <c r="N992" s="6"/>
      <c r="O992" s="6"/>
      <c r="P992" s="6"/>
      <c r="Q992" s="6"/>
      <c r="R992" s="6"/>
      <c r="S992" s="6"/>
      <c r="T992" s="6"/>
      <c r="U992" s="6"/>
      <c r="V992" s="6"/>
      <c r="W992" s="6"/>
      <c r="X992" s="6"/>
      <c r="Y992" s="6"/>
      <c r="Z992" s="6"/>
      <c r="AA992" s="6"/>
      <c r="AB992" s="6"/>
      <c r="AC992" s="6"/>
      <c r="AD992" s="7"/>
    </row>
    <row r="993">
      <c r="A993" s="23"/>
      <c r="B993" s="23"/>
      <c r="C993" s="27"/>
      <c r="D993" s="19"/>
      <c r="E993" s="6"/>
      <c r="F993" s="6"/>
      <c r="G993" s="6"/>
      <c r="H993" s="6"/>
      <c r="I993" s="19"/>
      <c r="J993" s="6"/>
      <c r="K993" s="6"/>
      <c r="L993" s="19"/>
      <c r="M993" s="6"/>
      <c r="N993" s="6"/>
      <c r="O993" s="6"/>
      <c r="P993" s="6"/>
      <c r="Q993" s="6"/>
      <c r="R993" s="6"/>
      <c r="S993" s="6"/>
      <c r="T993" s="6"/>
      <c r="U993" s="6"/>
      <c r="V993" s="6"/>
      <c r="W993" s="6"/>
      <c r="X993" s="6"/>
      <c r="Y993" s="6"/>
      <c r="Z993" s="6"/>
      <c r="AA993" s="6"/>
      <c r="AB993" s="6"/>
      <c r="AC993" s="6"/>
      <c r="AD993" s="7"/>
    </row>
    <row r="994">
      <c r="A994" s="23"/>
      <c r="B994" s="23"/>
      <c r="C994" s="27"/>
      <c r="D994" s="19"/>
      <c r="E994" s="6"/>
      <c r="F994" s="6"/>
      <c r="G994" s="6"/>
      <c r="H994" s="6"/>
      <c r="I994" s="19"/>
      <c r="J994" s="6"/>
      <c r="K994" s="6"/>
      <c r="L994" s="19"/>
      <c r="M994" s="6"/>
      <c r="N994" s="6"/>
      <c r="O994" s="6"/>
      <c r="P994" s="6"/>
      <c r="Q994" s="6"/>
      <c r="R994" s="6"/>
      <c r="S994" s="6"/>
      <c r="T994" s="6"/>
      <c r="U994" s="6"/>
      <c r="V994" s="6"/>
      <c r="W994" s="6"/>
      <c r="X994" s="6"/>
      <c r="Y994" s="6"/>
      <c r="Z994" s="6"/>
      <c r="AA994" s="6"/>
      <c r="AB994" s="6"/>
      <c r="AC994" s="6"/>
      <c r="AD994" s="7"/>
    </row>
    <row r="995">
      <c r="A995" s="23"/>
      <c r="B995" s="23"/>
      <c r="C995" s="27"/>
      <c r="D995" s="19"/>
      <c r="E995" s="6"/>
      <c r="F995" s="6"/>
      <c r="G995" s="6"/>
      <c r="H995" s="6"/>
      <c r="I995" s="19"/>
      <c r="J995" s="6"/>
      <c r="K995" s="6"/>
      <c r="L995" s="19"/>
      <c r="M995" s="6"/>
      <c r="N995" s="6"/>
      <c r="O995" s="6"/>
      <c r="P995" s="6"/>
      <c r="Q995" s="6"/>
      <c r="R995" s="6"/>
      <c r="S995" s="6"/>
      <c r="T995" s="6"/>
      <c r="U995" s="6"/>
      <c r="V995" s="6"/>
      <c r="W995" s="6"/>
      <c r="X995" s="6"/>
      <c r="Y995" s="6"/>
      <c r="Z995" s="6"/>
      <c r="AA995" s="6"/>
      <c r="AB995" s="6"/>
      <c r="AC995" s="6"/>
      <c r="AD995" s="7"/>
    </row>
    <row r="996">
      <c r="A996" s="23"/>
      <c r="B996" s="23"/>
      <c r="C996" s="27"/>
      <c r="D996" s="19"/>
      <c r="E996" s="6"/>
      <c r="F996" s="6"/>
      <c r="G996" s="6"/>
      <c r="H996" s="6"/>
      <c r="I996" s="19"/>
      <c r="J996" s="6"/>
      <c r="K996" s="6"/>
      <c r="L996" s="19"/>
      <c r="M996" s="6"/>
      <c r="N996" s="6"/>
      <c r="O996" s="6"/>
      <c r="P996" s="6"/>
      <c r="Q996" s="6"/>
      <c r="R996" s="6"/>
      <c r="S996" s="6"/>
      <c r="T996" s="6"/>
      <c r="U996" s="6"/>
      <c r="V996" s="6"/>
      <c r="W996" s="6"/>
      <c r="X996" s="6"/>
      <c r="Y996" s="6"/>
      <c r="Z996" s="6"/>
      <c r="AA996" s="6"/>
      <c r="AB996" s="6"/>
      <c r="AC996" s="6"/>
      <c r="AD996" s="7"/>
    </row>
    <row r="997">
      <c r="A997" s="23"/>
      <c r="B997" s="23"/>
      <c r="C997" s="27"/>
      <c r="D997" s="19"/>
      <c r="E997" s="6"/>
      <c r="F997" s="6"/>
      <c r="G997" s="6"/>
      <c r="H997" s="6"/>
      <c r="I997" s="19"/>
      <c r="J997" s="6"/>
      <c r="K997" s="6"/>
      <c r="L997" s="19"/>
      <c r="M997" s="6"/>
      <c r="N997" s="6"/>
      <c r="O997" s="6"/>
      <c r="P997" s="6"/>
      <c r="Q997" s="6"/>
      <c r="R997" s="6"/>
      <c r="S997" s="6"/>
      <c r="T997" s="6"/>
      <c r="U997" s="6"/>
      <c r="V997" s="6"/>
      <c r="W997" s="6"/>
      <c r="X997" s="6"/>
      <c r="Y997" s="6"/>
      <c r="Z997" s="6"/>
      <c r="AA997" s="6"/>
      <c r="AB997" s="6"/>
      <c r="AC997" s="6"/>
      <c r="AD997" s="7"/>
    </row>
    <row r="998">
      <c r="A998" s="23"/>
      <c r="B998" s="23"/>
      <c r="C998" s="27"/>
      <c r="D998" s="19"/>
      <c r="E998" s="6"/>
      <c r="F998" s="6"/>
      <c r="G998" s="6"/>
      <c r="H998" s="6"/>
      <c r="I998" s="19"/>
      <c r="J998" s="6"/>
      <c r="K998" s="6"/>
      <c r="L998" s="19"/>
      <c r="M998" s="6"/>
      <c r="N998" s="6"/>
      <c r="O998" s="6"/>
      <c r="P998" s="6"/>
      <c r="Q998" s="6"/>
      <c r="R998" s="6"/>
      <c r="S998" s="6"/>
      <c r="T998" s="6"/>
      <c r="U998" s="6"/>
      <c r="V998" s="6"/>
      <c r="W998" s="6"/>
      <c r="X998" s="6"/>
      <c r="Y998" s="6"/>
      <c r="Z998" s="6"/>
      <c r="AA998" s="6"/>
      <c r="AB998" s="6"/>
      <c r="AC998" s="6"/>
      <c r="AD998" s="7"/>
    </row>
    <row r="999">
      <c r="A999" s="23"/>
      <c r="B999" s="23"/>
      <c r="C999" s="27"/>
      <c r="D999" s="19"/>
      <c r="E999" s="6"/>
      <c r="F999" s="6"/>
      <c r="G999" s="6"/>
      <c r="H999" s="6"/>
      <c r="I999" s="19"/>
      <c r="J999" s="6"/>
      <c r="K999" s="6"/>
      <c r="L999" s="19"/>
      <c r="M999" s="6"/>
      <c r="N999" s="6"/>
      <c r="O999" s="6"/>
      <c r="P999" s="6"/>
      <c r="Q999" s="6"/>
      <c r="R999" s="6"/>
      <c r="S999" s="6"/>
      <c r="T999" s="6"/>
      <c r="U999" s="6"/>
      <c r="V999" s="6"/>
      <c r="W999" s="6"/>
      <c r="X999" s="6"/>
      <c r="Y999" s="6"/>
      <c r="Z999" s="6"/>
      <c r="AA999" s="6"/>
      <c r="AB999" s="6"/>
      <c r="AC999" s="6"/>
      <c r="AD999" s="7"/>
    </row>
    <row r="1000">
      <c r="A1000" s="23"/>
      <c r="B1000" s="23"/>
      <c r="C1000" s="27"/>
      <c r="D1000" s="19"/>
      <c r="E1000" s="6"/>
      <c r="F1000" s="6"/>
      <c r="G1000" s="6"/>
      <c r="H1000" s="6"/>
      <c r="I1000" s="19"/>
      <c r="J1000" s="6"/>
      <c r="K1000" s="6"/>
      <c r="L1000" s="19"/>
      <c r="M1000" s="6"/>
      <c r="N1000" s="6"/>
      <c r="O1000" s="6"/>
      <c r="P1000" s="6"/>
      <c r="Q1000" s="6"/>
      <c r="R1000" s="6"/>
      <c r="S1000" s="6"/>
      <c r="T1000" s="6"/>
      <c r="U1000" s="6"/>
      <c r="V1000" s="6"/>
      <c r="W1000" s="6"/>
      <c r="X1000" s="6"/>
      <c r="Y1000" s="6"/>
      <c r="Z1000" s="6"/>
      <c r="AA1000" s="6"/>
      <c r="AB1000" s="6"/>
      <c r="AC1000" s="6"/>
      <c r="AD1000" s="7"/>
    </row>
    <row r="1001">
      <c r="A1001" s="23"/>
      <c r="B1001" s="23"/>
      <c r="C1001" s="27"/>
      <c r="D1001" s="19"/>
      <c r="E1001" s="6"/>
      <c r="F1001" s="6"/>
      <c r="G1001" s="6"/>
      <c r="H1001" s="6"/>
      <c r="I1001" s="19"/>
      <c r="J1001" s="6"/>
      <c r="K1001" s="6"/>
      <c r="L1001" s="19"/>
      <c r="M1001" s="6"/>
      <c r="N1001" s="6"/>
      <c r="O1001" s="6"/>
      <c r="P1001" s="6"/>
      <c r="Q1001" s="6"/>
      <c r="R1001" s="6"/>
      <c r="S1001" s="6"/>
      <c r="T1001" s="6"/>
      <c r="U1001" s="6"/>
      <c r="V1001" s="6"/>
      <c r="W1001" s="6"/>
      <c r="X1001" s="6"/>
      <c r="Y1001" s="6"/>
      <c r="Z1001" s="6"/>
      <c r="AA1001" s="6"/>
      <c r="AB1001" s="6"/>
      <c r="AC1001" s="6"/>
      <c r="AD1001" s="7"/>
    </row>
    <row r="1002">
      <c r="A1002" s="23"/>
      <c r="B1002" s="23"/>
      <c r="C1002" s="27"/>
      <c r="D1002" s="19"/>
      <c r="E1002" s="6"/>
      <c r="F1002" s="6"/>
      <c r="G1002" s="6"/>
      <c r="H1002" s="6"/>
      <c r="I1002" s="19"/>
      <c r="J1002" s="6"/>
      <c r="K1002" s="6"/>
      <c r="L1002" s="19"/>
      <c r="M1002" s="6"/>
      <c r="N1002" s="6"/>
      <c r="O1002" s="6"/>
      <c r="P1002" s="6"/>
      <c r="Q1002" s="6"/>
      <c r="R1002" s="6"/>
      <c r="S1002" s="6"/>
      <c r="T1002" s="6"/>
      <c r="U1002" s="6"/>
      <c r="V1002" s="6"/>
      <c r="W1002" s="6"/>
      <c r="X1002" s="6"/>
      <c r="Y1002" s="6"/>
      <c r="Z1002" s="6"/>
      <c r="AA1002" s="6"/>
      <c r="AB1002" s="6"/>
      <c r="AC1002" s="6"/>
      <c r="AD1002" s="7"/>
    </row>
    <row r="1003">
      <c r="A1003" s="23"/>
      <c r="B1003" s="23"/>
      <c r="C1003" s="27"/>
      <c r="D1003" s="19"/>
      <c r="E1003" s="6"/>
      <c r="F1003" s="6"/>
      <c r="G1003" s="6"/>
      <c r="H1003" s="6"/>
      <c r="I1003" s="19"/>
      <c r="J1003" s="6"/>
      <c r="K1003" s="6"/>
      <c r="L1003" s="19"/>
      <c r="M1003" s="6"/>
      <c r="N1003" s="6"/>
      <c r="O1003" s="6"/>
      <c r="P1003" s="6"/>
      <c r="Q1003" s="6"/>
      <c r="R1003" s="6"/>
      <c r="S1003" s="6"/>
      <c r="T1003" s="6"/>
      <c r="U1003" s="6"/>
      <c r="V1003" s="6"/>
      <c r="W1003" s="6"/>
      <c r="X1003" s="6"/>
      <c r="Y1003" s="6"/>
      <c r="Z1003" s="6"/>
      <c r="AA1003" s="6"/>
      <c r="AB1003" s="6"/>
      <c r="AC1003" s="6"/>
      <c r="AD1003" s="7"/>
    </row>
    <row r="1004">
      <c r="A1004" s="23"/>
      <c r="B1004" s="23"/>
      <c r="C1004" s="27"/>
      <c r="D1004" s="19"/>
      <c r="E1004" s="6"/>
      <c r="F1004" s="6"/>
      <c r="G1004" s="6"/>
      <c r="H1004" s="6"/>
      <c r="I1004" s="19"/>
      <c r="J1004" s="6"/>
      <c r="K1004" s="6"/>
      <c r="L1004" s="19"/>
      <c r="M1004" s="6"/>
      <c r="N1004" s="6"/>
      <c r="O1004" s="6"/>
      <c r="P1004" s="6"/>
      <c r="Q1004" s="6"/>
      <c r="R1004" s="6"/>
      <c r="S1004" s="6"/>
      <c r="T1004" s="6"/>
      <c r="U1004" s="6"/>
      <c r="V1004" s="6"/>
      <c r="W1004" s="6"/>
      <c r="X1004" s="6"/>
      <c r="Y1004" s="6"/>
      <c r="Z1004" s="6"/>
      <c r="AA1004" s="6"/>
      <c r="AB1004" s="6"/>
      <c r="AC1004" s="6"/>
      <c r="AD1004" s="7"/>
    </row>
    <row r="1005">
      <c r="A1005" s="23"/>
      <c r="B1005" s="23"/>
      <c r="C1005" s="27"/>
      <c r="D1005" s="19"/>
      <c r="E1005" s="6"/>
      <c r="F1005" s="6"/>
      <c r="G1005" s="6"/>
      <c r="H1005" s="6"/>
      <c r="I1005" s="19"/>
      <c r="J1005" s="6"/>
      <c r="K1005" s="6"/>
      <c r="L1005" s="19"/>
      <c r="M1005" s="6"/>
      <c r="N1005" s="6"/>
      <c r="O1005" s="6"/>
      <c r="P1005" s="6"/>
      <c r="Q1005" s="6"/>
      <c r="R1005" s="6"/>
      <c r="S1005" s="6"/>
      <c r="T1005" s="6"/>
      <c r="U1005" s="6"/>
      <c r="V1005" s="6"/>
      <c r="W1005" s="6"/>
      <c r="X1005" s="6"/>
      <c r="Y1005" s="6"/>
      <c r="Z1005" s="6"/>
      <c r="AA1005" s="6"/>
      <c r="AB1005" s="6"/>
      <c r="AC1005" s="6"/>
      <c r="AD1005" s="7"/>
    </row>
    <row r="1006">
      <c r="A1006" s="23"/>
      <c r="B1006" s="23"/>
      <c r="C1006" s="27"/>
      <c r="D1006" s="19"/>
      <c r="E1006" s="6"/>
      <c r="F1006" s="6"/>
      <c r="G1006" s="6"/>
      <c r="H1006" s="6"/>
      <c r="I1006" s="19"/>
      <c r="J1006" s="6"/>
      <c r="K1006" s="6"/>
      <c r="L1006" s="19"/>
      <c r="M1006" s="6"/>
      <c r="N1006" s="6"/>
      <c r="O1006" s="6"/>
      <c r="P1006" s="6"/>
      <c r="Q1006" s="6"/>
      <c r="R1006" s="6"/>
      <c r="S1006" s="6"/>
      <c r="T1006" s="6"/>
      <c r="U1006" s="6"/>
      <c r="V1006" s="6"/>
      <c r="W1006" s="6"/>
      <c r="X1006" s="6"/>
      <c r="Y1006" s="6"/>
      <c r="Z1006" s="6"/>
      <c r="AA1006" s="6"/>
      <c r="AB1006" s="6"/>
      <c r="AC1006" s="6"/>
      <c r="AD1006" s="7"/>
    </row>
    <row r="1007">
      <c r="A1007" s="23"/>
      <c r="B1007" s="23"/>
      <c r="C1007" s="27"/>
      <c r="D1007" s="19"/>
      <c r="E1007" s="6"/>
      <c r="F1007" s="6"/>
      <c r="G1007" s="6"/>
      <c r="H1007" s="6"/>
      <c r="I1007" s="19"/>
      <c r="J1007" s="6"/>
      <c r="K1007" s="6"/>
      <c r="L1007" s="19"/>
      <c r="M1007" s="6"/>
      <c r="N1007" s="6"/>
      <c r="O1007" s="6"/>
      <c r="P1007" s="6"/>
      <c r="Q1007" s="6"/>
      <c r="R1007" s="6"/>
      <c r="S1007" s="6"/>
      <c r="T1007" s="6"/>
      <c r="U1007" s="6"/>
      <c r="V1007" s="6"/>
      <c r="W1007" s="6"/>
      <c r="X1007" s="6"/>
      <c r="Y1007" s="6"/>
      <c r="Z1007" s="6"/>
      <c r="AA1007" s="6"/>
      <c r="AB1007" s="6"/>
      <c r="AC1007" s="6"/>
      <c r="AD1007" s="7"/>
    </row>
  </sheetData>
  <dataValidations>
    <dataValidation type="list" allowBlank="1" sqref="A2:A1007">
      <formula1>"Currently Accepting Volunteers,Currently Accepting with Conditions,Currently NOT Accepting Volunteers"</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1"/>
    <col customWidth="1" min="2" max="2" width="16.71"/>
    <col customWidth="1" min="6" max="6" width="22.29"/>
    <col customWidth="1" min="8" max="8" width="20.14"/>
    <col customWidth="1" min="9" max="9" width="19.0"/>
    <col customWidth="1" min="12" max="12" width="49.57"/>
  </cols>
  <sheetData>
    <row r="2">
      <c r="A2" s="10" t="s">
        <v>14</v>
      </c>
      <c r="B2" s="10" t="s">
        <v>15</v>
      </c>
      <c r="C2" s="10"/>
      <c r="D2" s="12" t="s">
        <v>16</v>
      </c>
      <c r="E2" s="14" t="s">
        <v>18</v>
      </c>
      <c r="F2" s="16" t="s">
        <v>20</v>
      </c>
      <c r="G2" s="16" t="s">
        <v>24</v>
      </c>
      <c r="H2" s="16" t="s">
        <v>25</v>
      </c>
      <c r="I2" s="18" t="s">
        <v>26</v>
      </c>
      <c r="J2" s="16" t="s">
        <v>28</v>
      </c>
      <c r="K2" s="16"/>
      <c r="L2" s="20" t="s">
        <v>29</v>
      </c>
      <c r="M2" s="21"/>
      <c r="N2" s="21"/>
      <c r="O2" s="21"/>
      <c r="P2" s="21"/>
      <c r="Q2" s="21"/>
      <c r="R2" s="21"/>
      <c r="S2" s="21"/>
      <c r="T2" s="21"/>
      <c r="U2" s="21"/>
      <c r="V2" s="21"/>
      <c r="W2" s="21"/>
      <c r="X2" s="21"/>
      <c r="Y2" s="21"/>
      <c r="Z2" s="21"/>
      <c r="AA2" s="21"/>
      <c r="AB2" s="21"/>
      <c r="AC2" s="21"/>
    </row>
  </sheetData>
  <dataValidations>
    <dataValidation type="list" allowBlank="1" sqref="A2">
      <formula1>"Currently Accepting Volunteers,Currently Accepting with Conditions,Currently Not Accepting Volunteers"</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0.29"/>
    <col customWidth="1" min="2" max="2" width="16.43"/>
    <col customWidth="1" min="3" max="3" width="11.0"/>
    <col customWidth="1" min="4" max="4" width="11.14"/>
    <col customWidth="1" min="5" max="5" width="11.0"/>
    <col customWidth="1" min="6" max="6" width="12.71"/>
    <col customWidth="1" min="7" max="7" width="21.29"/>
    <col customWidth="1" min="8" max="8" width="18.57"/>
    <col customWidth="1" min="9" max="9" width="16.71"/>
    <col customWidth="1" min="10" max="11" width="18.57"/>
    <col customWidth="1" min="12" max="12" width="27.86"/>
    <col customWidth="1" min="13" max="13" width="28.14"/>
    <col customWidth="1" min="14" max="14" width="27.71"/>
    <col customWidth="1" min="15" max="15" width="24.43"/>
    <col customWidth="1" min="16" max="16" width="32.14"/>
    <col customWidth="1" min="17" max="17" width="16.43"/>
    <col customWidth="1" min="18" max="18" width="13.86"/>
    <col customWidth="1" min="19" max="19" width="16.86"/>
    <col customWidth="1" min="20" max="20" width="12.71"/>
    <col customWidth="1" min="21" max="21" width="101.43"/>
    <col customWidth="1" min="22" max="22" width="11.71"/>
    <col customWidth="1" min="23" max="23" width="110.29"/>
    <col customWidth="1" min="24" max="24" width="74.71"/>
    <col customWidth="1" min="25" max="25" width="119.71"/>
  </cols>
  <sheetData>
    <row r="1">
      <c r="A1" s="2"/>
      <c r="B1" s="8" t="s">
        <v>7</v>
      </c>
      <c r="C1" s="9"/>
      <c r="D1" s="9"/>
      <c r="E1" s="9"/>
      <c r="F1" s="9"/>
      <c r="G1" s="9"/>
      <c r="H1" s="22"/>
      <c r="I1" s="24"/>
      <c r="J1" s="26" t="s">
        <v>32</v>
      </c>
      <c r="K1" s="22"/>
      <c r="L1" s="8" t="s">
        <v>38</v>
      </c>
      <c r="M1" s="9"/>
      <c r="N1" s="22"/>
      <c r="O1" s="28" t="s">
        <v>41</v>
      </c>
      <c r="P1" s="8" t="s">
        <v>42</v>
      </c>
      <c r="Q1" s="9"/>
      <c r="R1" s="9"/>
      <c r="S1" s="9"/>
      <c r="T1" s="22"/>
      <c r="U1" s="30"/>
      <c r="V1" s="31"/>
      <c r="W1" s="33" t="s">
        <v>55</v>
      </c>
      <c r="X1" s="35"/>
      <c r="Y1" s="37"/>
      <c r="Z1" s="35"/>
      <c r="AA1" s="35"/>
      <c r="AB1" s="35"/>
      <c r="AC1" s="35"/>
      <c r="AD1" s="35"/>
      <c r="AE1" s="35"/>
      <c r="AF1" s="35"/>
      <c r="AG1" s="35"/>
      <c r="AH1" s="35"/>
      <c r="AI1" s="35"/>
      <c r="AJ1" s="35"/>
      <c r="AK1" s="35"/>
      <c r="AL1" s="35"/>
      <c r="AM1" s="35"/>
      <c r="AN1" s="35"/>
      <c r="AO1" s="35"/>
    </row>
    <row r="2">
      <c r="A2" s="40" t="s">
        <v>58</v>
      </c>
      <c r="B2" s="41" t="s">
        <v>0</v>
      </c>
      <c r="C2" s="41" t="s">
        <v>72</v>
      </c>
      <c r="D2" s="41" t="s">
        <v>73</v>
      </c>
      <c r="E2" s="43" t="s">
        <v>74</v>
      </c>
      <c r="F2" s="43" t="s">
        <v>75</v>
      </c>
      <c r="G2" s="41" t="s">
        <v>76</v>
      </c>
      <c r="H2" s="43" t="s">
        <v>77</v>
      </c>
      <c r="I2" s="43" t="s">
        <v>78</v>
      </c>
      <c r="J2" s="43" t="s">
        <v>79</v>
      </c>
      <c r="K2" s="43" t="s">
        <v>80</v>
      </c>
      <c r="L2" s="43" t="s">
        <v>81</v>
      </c>
      <c r="M2" s="41" t="s">
        <v>82</v>
      </c>
      <c r="N2" s="41" t="s">
        <v>83</v>
      </c>
      <c r="O2" s="43" t="s">
        <v>84</v>
      </c>
      <c r="P2" s="40" t="s">
        <v>85</v>
      </c>
      <c r="Q2" s="43" t="s">
        <v>87</v>
      </c>
      <c r="R2" s="43" t="s">
        <v>89</v>
      </c>
      <c r="S2" s="43" t="s">
        <v>90</v>
      </c>
      <c r="T2" s="43" t="s">
        <v>91</v>
      </c>
      <c r="U2" s="30" t="s">
        <v>92</v>
      </c>
      <c r="V2" s="40" t="s">
        <v>93</v>
      </c>
      <c r="W2" s="45"/>
      <c r="X2" s="46" t="s">
        <v>98</v>
      </c>
      <c r="Y2" s="47" t="s">
        <v>102</v>
      </c>
      <c r="Z2" s="37"/>
      <c r="AA2" s="37"/>
      <c r="AB2" s="37"/>
      <c r="AC2" s="37"/>
      <c r="AD2" s="37"/>
      <c r="AE2" s="37"/>
      <c r="AF2" s="37"/>
      <c r="AG2" s="37"/>
      <c r="AH2" s="37"/>
      <c r="AI2" s="37"/>
      <c r="AJ2" s="37"/>
      <c r="AK2" s="37"/>
      <c r="AL2" s="37"/>
      <c r="AM2" s="37"/>
      <c r="AN2" s="37"/>
      <c r="AO2" s="37"/>
    </row>
    <row r="3">
      <c r="A3" s="50">
        <f>IFERROR(__xludf.DUMMYFUNCTION("QUERY('Volunteer Survey'!A2)"),43442.51732141204)</f>
        <v>43442.51732</v>
      </c>
      <c r="B3" s="48" t="s">
        <v>125</v>
      </c>
      <c r="C3" s="53"/>
      <c r="D3" s="55"/>
      <c r="E3" s="48" t="s">
        <v>130</v>
      </c>
      <c r="F3" s="48" t="s">
        <v>130</v>
      </c>
      <c r="G3" s="48" t="s">
        <v>136</v>
      </c>
      <c r="H3" s="51" t="s">
        <v>138</v>
      </c>
      <c r="I3" s="51" t="s">
        <v>139</v>
      </c>
      <c r="J3" s="55"/>
      <c r="K3" s="55"/>
      <c r="L3" s="55" t="str">
        <f>IFERROR(__xludf.DUMMYFUNCTION("QUERY('Volunteer Survey'!B2)"),"Suneeta Mandava")</f>
        <v>Suneeta Mandava</v>
      </c>
      <c r="M3" s="55" t="str">
        <f>IFERROR(__xludf.DUMMYFUNCTION("QUERY('Volunteer Survey'!E2)"),"suneeta.mandava@gmail.com")</f>
        <v>suneeta.mandava@gmail.com</v>
      </c>
      <c r="N3" s="55" t="str">
        <f>IFERROR(__xludf.DUMMYFUNCTION("QUERY('Volunteer Survey'!F2)"),"Variant Analyst/Scientist")</f>
        <v>Variant Analyst/Scientist</v>
      </c>
      <c r="O3" s="48" t="str">
        <f>IFERROR(__xludf.DUMMYFUNCTION("QUERY('Volunteer Survey'!H2)"),"Comprehensive")</f>
        <v>Comprehensive</v>
      </c>
      <c r="P3" s="55" t="str">
        <f>IFERROR(__xludf.DUMMYFUNCTION("QUERY('Volunteer Survey'!I2)"),"Somatic Cancer")</f>
        <v>Somatic Cancer</v>
      </c>
      <c r="Q3" s="60" t="str">
        <f>IFERROR(__xludf.DUMMYFUNCTION("QUERY('Volunteer Survey'!J2)"),"Gene-Disease Validity")</f>
        <v>Gene-Disease Validity</v>
      </c>
      <c r="R3" s="55" t="str">
        <f>IFERROR(__xludf.DUMMYFUNCTION("QUERY('Volunteer Survey'!K2)"),"Variant Pathogenicity")</f>
        <v>Variant Pathogenicity</v>
      </c>
      <c r="S3" s="55" t="str">
        <f>IFERROR(__xludf.DUMMYFUNCTION("QUERY('Volunteer Survey'!L2)"),"Clinical Actionability")</f>
        <v>Clinical Actionability</v>
      </c>
      <c r="T3" s="55" t="str">
        <f>IFERROR(__xludf.DUMMYFUNCTION("QUERY('Volunteer Survey'!M2)"),"Dosage Sensitivity")</f>
        <v>Dosage Sensitivity</v>
      </c>
      <c r="U3" s="64" t="str">
        <f>IFERROR(__xludf.DUMMYFUNCTION("QUERY('Volunteer Survey'!N2)"),"I am clinical genomics variant scientist in somatic cancers for the last almost 5 years")</f>
        <v>I am clinical genomics variant scientist in somatic cancers for the last almost 5 years</v>
      </c>
      <c r="V3" s="55" t="str">
        <f>IFERROR(__xludf.DUMMYFUNCTION("QUERY('Volunteer Survey'!O2)"),"Possibly")</f>
        <v>Possibly</v>
      </c>
      <c r="W3" s="66" t="str">
        <f>IFERROR(__xludf.DUMMYFUNCTION("QUERY('Volunteer Survey'!P2)"),"somatic cancer TP53")</f>
        <v>somatic cancer TP53</v>
      </c>
      <c r="X3" s="64" t="str">
        <f>IFERROR(__xludf.DUMMYFUNCTION("QUERY('Volunteer Survey'!R2)"),"Maybe -- please contact me with other options, and I will decide based on what is available")</f>
        <v>Maybe -- please contact me with other options, and I will decide based on what is available</v>
      </c>
      <c r="Y3" s="53"/>
      <c r="Z3" s="68"/>
      <c r="AA3" s="55"/>
      <c r="AB3" s="55"/>
      <c r="AC3" s="55"/>
      <c r="AD3" s="55"/>
      <c r="AE3" s="55"/>
      <c r="AF3" s="55"/>
      <c r="AG3" s="55"/>
      <c r="AH3" s="55"/>
      <c r="AI3" s="55"/>
      <c r="AJ3" s="55"/>
      <c r="AK3" s="55"/>
      <c r="AL3" s="55"/>
      <c r="AM3" s="55"/>
      <c r="AN3" s="55"/>
      <c r="AO3" s="55"/>
    </row>
    <row r="4">
      <c r="A4" s="50">
        <f>IFERROR(__xludf.DUMMYFUNCTION("QUERY('Volunteer Survey'!A3)"),43444.75724069444)</f>
        <v>43444.75724</v>
      </c>
      <c r="B4" s="48" t="s">
        <v>168</v>
      </c>
      <c r="C4" s="53"/>
      <c r="D4" s="55"/>
      <c r="E4" s="48" t="s">
        <v>130</v>
      </c>
      <c r="F4" s="48" t="s">
        <v>130</v>
      </c>
      <c r="G4" s="48" t="s">
        <v>19</v>
      </c>
      <c r="H4" s="69"/>
      <c r="I4" s="69" t="s">
        <v>139</v>
      </c>
      <c r="J4" s="55"/>
      <c r="K4" s="55"/>
      <c r="L4" s="55" t="str">
        <f>IFERROR(__xludf.DUMMYFUNCTION("QUERY('Volunteer Survey'!B3)"),"Edwin Kim")</f>
        <v>Edwin Kim</v>
      </c>
      <c r="M4" s="55" t="str">
        <f>IFERROR(__xludf.DUMMYFUNCTION("QUERY('Volunteer Survey'!E3)"),"Edwinkimmd@gmail.com")</f>
        <v>Edwinkimmd@gmail.com</v>
      </c>
      <c r="N4" s="55" t="str">
        <f>IFERROR(__xludf.DUMMYFUNCTION("QUERY('Volunteer Survey'!F3)"),"Physician (Non-geneticist)")</f>
        <v>Physician (Non-geneticist)</v>
      </c>
      <c r="O4" s="48" t="str">
        <f>IFERROR(__xludf.DUMMYFUNCTION("QUERY('Volunteer Survey'!H3)"),"Comprehensive")</f>
        <v>Comprehensive</v>
      </c>
      <c r="P4" s="55" t="str">
        <f>IFERROR(__xludf.DUMMYFUNCTION("QUERY('Volunteer Survey'!I3)"),"Clinical Actionability")</f>
        <v>Clinical Actionability</v>
      </c>
      <c r="Q4" s="60" t="str">
        <f>IFERROR(__xludf.DUMMYFUNCTION("QUERY('Volunteer Survey'!J3)"),"Dosage Sensitivity")</f>
        <v>Dosage Sensitivity</v>
      </c>
      <c r="R4" s="55" t="str">
        <f>IFERROR(__xludf.DUMMYFUNCTION("QUERY('Volunteer Survey'!K3)"),"Gene-Disease Validity")</f>
        <v>Gene-Disease Validity</v>
      </c>
      <c r="S4" s="55" t="str">
        <f>IFERROR(__xludf.DUMMYFUNCTION("QUERY('Volunteer Survey'!L3)"),"Variant Pathogenicity")</f>
        <v>Variant Pathogenicity</v>
      </c>
      <c r="T4" s="55" t="str">
        <f>IFERROR(__xludf.DUMMYFUNCTION("QUERY('Volunteer Survey'!M3)"),"Somatic Cancer")</f>
        <v>Somatic Cancer</v>
      </c>
      <c r="U4" s="64" t="str">
        <f>IFERROR(__xludf.DUMMYFUNCTION("QUERY('Volunteer Survey'!N3)"),"Working with Bioinformaticians and microbial researchers at the Lawrence Berkeley/Livermore DOE Joint Genome Institute and curating in-house data for output to public research databases.")</f>
        <v>Working with Bioinformaticians and microbial researchers at the Lawrence Berkeley/Livermore DOE Joint Genome Institute and curating in-house data for output to public research databases.</v>
      </c>
      <c r="V4" s="55" t="str">
        <f>IFERROR(__xludf.DUMMYFUNCTION("QUERY('Volunteer Survey'!O3)"),"Possibly")</f>
        <v>Possibly</v>
      </c>
      <c r="W4" s="66" t="str">
        <f>IFERROR(__xludf.DUMMYFUNCTION("QUERY('Volunteer Survey'!P3)"),"Possibly after gaining some more exposure and increasing experience.")</f>
        <v>Possibly after gaining some more exposure and increasing experience.</v>
      </c>
      <c r="X4" s="64" t="str">
        <f>IFERROR(__xludf.DUMMYFUNCTION("QUERY('Volunteer Survey'!R3)"),"Maybe -- please contact me with other options, and I will decide based on what is available")</f>
        <v>Maybe -- please contact me with other options, and I will decide based on what is available</v>
      </c>
      <c r="Y4" s="53"/>
      <c r="Z4" s="68"/>
      <c r="AA4" s="55"/>
      <c r="AB4" s="55"/>
      <c r="AC4" s="55"/>
      <c r="AD4" s="55"/>
      <c r="AE4" s="55"/>
      <c r="AF4" s="55"/>
      <c r="AG4" s="55"/>
      <c r="AH4" s="55"/>
      <c r="AI4" s="55"/>
      <c r="AJ4" s="55"/>
      <c r="AK4" s="55"/>
      <c r="AL4" s="55"/>
      <c r="AM4" s="55"/>
      <c r="AN4" s="55"/>
      <c r="AO4" s="55"/>
    </row>
    <row r="5">
      <c r="A5" s="50">
        <f>IFERROR(__xludf.DUMMYFUNCTION("QUERY('Volunteer Survey'!A4)"),43446.43219766204)</f>
        <v>43446.4322</v>
      </c>
      <c r="B5" s="48" t="s">
        <v>108</v>
      </c>
      <c r="C5" s="53"/>
      <c r="D5" s="55"/>
      <c r="E5" s="48" t="s">
        <v>130</v>
      </c>
      <c r="F5" s="48" t="s">
        <v>130</v>
      </c>
      <c r="G5" s="48" t="s">
        <v>202</v>
      </c>
      <c r="H5" s="53"/>
      <c r="I5" s="51" t="s">
        <v>139</v>
      </c>
      <c r="J5" s="55"/>
      <c r="K5" s="55"/>
      <c r="L5" s="55" t="str">
        <f>IFERROR(__xludf.DUMMYFUNCTION("QUERY('Volunteer Survey'!B4)"),"Julyann Pérez Mayoral")</f>
        <v>Julyann Pérez Mayoral</v>
      </c>
      <c r="M5" s="55" t="str">
        <f>IFERROR(__xludf.DUMMYFUNCTION("QUERY('Volunteer Survey'!E4)"),"julyann.perez@upr.edu")</f>
        <v>julyann.perez@upr.edu</v>
      </c>
      <c r="N5" s="55" t="str">
        <f>IFERROR(__xludf.DUMMYFUNCTION("QUERY('Volunteer Survey'!F4)"),"Post Doc/Resident/Fellow (MD and/or PhD)")</f>
        <v>Post Doc/Resident/Fellow (MD and/or PhD)</v>
      </c>
      <c r="O5" s="48" t="str">
        <f>IFERROR(__xludf.DUMMYFUNCTION("QUERY('Volunteer Survey'!H4)"),"Baseline")</f>
        <v>Baseline</v>
      </c>
      <c r="P5" s="55" t="str">
        <f>IFERROR(__xludf.DUMMYFUNCTION("QUERY('Volunteer Survey'!I4)"),"Variant Pathogenicity")</f>
        <v>Variant Pathogenicity</v>
      </c>
      <c r="Q5" s="60" t="str">
        <f>IFERROR(__xludf.DUMMYFUNCTION("QUERY('Volunteer Survey'!J4)"),"Somatic Cancer")</f>
        <v>Somatic Cancer</v>
      </c>
      <c r="R5" s="55" t="str">
        <f>IFERROR(__xludf.DUMMYFUNCTION("QUERY('Volunteer Survey'!K4)"),"")</f>
        <v/>
      </c>
      <c r="S5" s="55" t="str">
        <f>IFERROR(__xludf.DUMMYFUNCTION("QUERY('Volunteer Survey'!L4)"),"")</f>
        <v/>
      </c>
      <c r="T5" s="55" t="str">
        <f>IFERROR(__xludf.DUMMYFUNCTION("QUERY('Volunteer Survey'!M4)"),"")</f>
        <v/>
      </c>
      <c r="U5" s="64" t="str">
        <f>IFERROR(__xludf.DUMMYFUNCTION("QUERY('Volunteer Survey'!N4)"),"No")</f>
        <v>No</v>
      </c>
      <c r="V5" s="55" t="str">
        <f>IFERROR(__xludf.DUMMYFUNCTION("QUERY('Volunteer Survey'!O4)"),"Possibly")</f>
        <v>Possibly</v>
      </c>
      <c r="W5" s="66" t="str">
        <f>IFERROR(__xludf.DUMMYFUNCTION("QUERY('Volunteer Survey'!P4)"),"Variant Curation Panel")</f>
        <v>Variant Curation Panel</v>
      </c>
      <c r="X5" s="64" t="str">
        <f>IFERROR(__xludf.DUMMYFUNCTION("QUERY('Volunteer Survey'!R4)"),"Maybe -- please contact me with other options, and I will decide based on what is available")</f>
        <v>Maybe -- please contact me with other options, and I will decide based on what is available</v>
      </c>
      <c r="Y5" s="53"/>
      <c r="Z5" s="68"/>
      <c r="AA5" s="55"/>
      <c r="AB5" s="55"/>
      <c r="AC5" s="55"/>
      <c r="AD5" s="55"/>
      <c r="AE5" s="55"/>
      <c r="AF5" s="55"/>
      <c r="AG5" s="55"/>
      <c r="AH5" s="55"/>
      <c r="AI5" s="55"/>
      <c r="AJ5" s="55"/>
      <c r="AK5" s="55"/>
      <c r="AL5" s="55"/>
      <c r="AM5" s="55"/>
      <c r="AN5" s="55"/>
      <c r="AO5" s="55"/>
    </row>
    <row r="6">
      <c r="A6" s="50">
        <f>IFERROR(__xludf.DUMMYFUNCTION("QUERY('Volunteer Survey'!A5)"),43446.65079341435)</f>
        <v>43446.65079</v>
      </c>
      <c r="B6" s="48" t="s">
        <v>108</v>
      </c>
      <c r="C6" s="53"/>
      <c r="D6" s="49">
        <v>43570.0</v>
      </c>
      <c r="E6" s="48" t="s">
        <v>117</v>
      </c>
      <c r="F6" s="48" t="s">
        <v>117</v>
      </c>
      <c r="G6" s="48" t="s">
        <v>122</v>
      </c>
      <c r="H6" s="51" t="s">
        <v>123</v>
      </c>
      <c r="I6" s="51" t="s">
        <v>139</v>
      </c>
      <c r="J6" s="56">
        <v>43712.0</v>
      </c>
      <c r="K6" s="56"/>
      <c r="L6" s="55" t="str">
        <f>IFERROR(__xludf.DUMMYFUNCTION("QUERY('Volunteer Survey'!B5)"),"Xiaodong Wang")</f>
        <v>Xiaodong Wang</v>
      </c>
      <c r="M6" s="55" t="str">
        <f>IFERROR(__xludf.DUMMYFUNCTION("QUERY('Volunteer Survey'!E5)"),"xdwang@ciphergene.com")</f>
        <v>xdwang@ciphergene.com</v>
      </c>
      <c r="N6" s="55" t="str">
        <f>IFERROR(__xludf.DUMMYFUNCTION("QUERY('Volunteer Survey'!F5)"),"Variant Analyst/Scientist")</f>
        <v>Variant Analyst/Scientist</v>
      </c>
      <c r="O6" s="48" t="str">
        <f>IFERROR(__xludf.DUMMYFUNCTION("QUERY('Volunteer Survey'!H5)"),"Comprehensive")</f>
        <v>Comprehensive</v>
      </c>
      <c r="P6" s="55" t="str">
        <f>IFERROR(__xludf.DUMMYFUNCTION("QUERY('Volunteer Survey'!I5)"),"Gene-Disease Validity")</f>
        <v>Gene-Disease Validity</v>
      </c>
      <c r="Q6" s="60" t="str">
        <f>IFERROR(__xludf.DUMMYFUNCTION("QUERY('Volunteer Survey'!J5)"),"Variant Pathogenicity")</f>
        <v>Variant Pathogenicity</v>
      </c>
      <c r="R6" s="55" t="str">
        <f>IFERROR(__xludf.DUMMYFUNCTION("QUERY('Volunteer Survey'!K5)"),"Clinical Actionability")</f>
        <v>Clinical Actionability</v>
      </c>
      <c r="S6" s="55" t="str">
        <f>IFERROR(__xludf.DUMMYFUNCTION("QUERY('Volunteer Survey'!L5)"),"")</f>
        <v/>
      </c>
      <c r="T6" s="55" t="str">
        <f>IFERROR(__xludf.DUMMYFUNCTION("QUERY('Volunteer Survey'!M5)"),"")</f>
        <v/>
      </c>
      <c r="U6" s="64" t="str">
        <f>IFERROR(__xludf.DUMMYFUNCTION("QUERY('Volunteer Survey'!N5)"),"I am familiar with ACMG for variant classification, which I do daily. ")</f>
        <v>I am familiar with ACMG for variant classification, which I do daily. </v>
      </c>
      <c r="V6" s="55" t="str">
        <f>IFERROR(__xludf.DUMMYFUNCTION("QUERY('Volunteer Survey'!O5)"),"Possibly")</f>
        <v>Possibly</v>
      </c>
      <c r="W6" s="66" t="str">
        <f>IFERROR(__xludf.DUMMYFUNCTION("QUERY('Volunteer Survey'!P5)"),"Epilepsy group")</f>
        <v>Epilepsy group</v>
      </c>
      <c r="X6" s="64" t="str">
        <f>IFERROR(__xludf.DUMMYFUNCTION("QUERY('Volunteer Survey'!R5)"),"Maybe -- please contact me with other options, and I will decide based on what is available")</f>
        <v>Maybe -- please contact me with other options, and I will decide based on what is available</v>
      </c>
      <c r="Y6" s="53"/>
      <c r="Z6" s="68"/>
      <c r="AA6" s="55"/>
      <c r="AB6" s="55"/>
      <c r="AC6" s="55"/>
      <c r="AD6" s="55"/>
      <c r="AE6" s="55"/>
      <c r="AF6" s="55"/>
      <c r="AG6" s="55"/>
      <c r="AH6" s="55"/>
      <c r="AI6" s="55"/>
      <c r="AJ6" s="55"/>
      <c r="AK6" s="55"/>
      <c r="AL6" s="55"/>
      <c r="AM6" s="55"/>
      <c r="AN6" s="55"/>
      <c r="AO6" s="55"/>
    </row>
    <row r="7">
      <c r="A7" s="50">
        <f>IFERROR(__xludf.DUMMYFUNCTION("QUERY('Volunteer Survey'!A6)"),43446.70358693287)</f>
        <v>43446.70359</v>
      </c>
      <c r="B7" s="48" t="s">
        <v>108</v>
      </c>
      <c r="C7" s="53"/>
      <c r="D7" s="55"/>
      <c r="E7" s="48" t="s">
        <v>130</v>
      </c>
      <c r="F7" s="48" t="s">
        <v>130</v>
      </c>
      <c r="G7" s="48" t="s">
        <v>202</v>
      </c>
      <c r="H7" s="53"/>
      <c r="I7" s="51" t="s">
        <v>139</v>
      </c>
      <c r="J7" s="55"/>
      <c r="K7" s="55"/>
      <c r="L7" s="55" t="str">
        <f>IFERROR(__xludf.DUMMYFUNCTION("QUERY('Volunteer Survey'!B6)"),"Jun Shen")</f>
        <v>Jun Shen</v>
      </c>
      <c r="M7" s="55" t="str">
        <f>IFERROR(__xludf.DUMMYFUNCTION("QUERY('Volunteer Survey'!E6)"),"jshen5@bwh.harvard.edu")</f>
        <v>jshen5@bwh.harvard.edu</v>
      </c>
      <c r="N7" s="55" t="str">
        <f>IFERROR(__xludf.DUMMYFUNCTION("QUERY('Volunteer Survey'!F6)"),"Clinical laboratory geneticist")</f>
        <v>Clinical laboratory geneticist</v>
      </c>
      <c r="O7" s="48" t="str">
        <f>IFERROR(__xludf.DUMMYFUNCTION("QUERY('Volunteer Survey'!H6)"),"Baseline")</f>
        <v>Baseline</v>
      </c>
      <c r="P7" s="55" t="str">
        <f>IFERROR(__xludf.DUMMYFUNCTION("QUERY('Volunteer Survey'!I6)"),"Variant Pathogenicity")</f>
        <v>Variant Pathogenicity</v>
      </c>
      <c r="Q7" s="60" t="str">
        <f>IFERROR(__xludf.DUMMYFUNCTION("QUERY('Volunteer Survey'!J6)"),"Gene-Disease Validity")</f>
        <v>Gene-Disease Validity</v>
      </c>
      <c r="R7" s="55" t="str">
        <f>IFERROR(__xludf.DUMMYFUNCTION("QUERY('Volunteer Survey'!K6)"),"Clinical Actionability")</f>
        <v>Clinical Actionability</v>
      </c>
      <c r="S7" s="55" t="str">
        <f>IFERROR(__xludf.DUMMYFUNCTION("QUERY('Volunteer Survey'!L6)"),"Dosage Sensitivity")</f>
        <v>Dosage Sensitivity</v>
      </c>
      <c r="T7" s="55" t="str">
        <f>IFERROR(__xludf.DUMMYFUNCTION("QUERY('Volunteer Survey'!M6)"),"Somatic Cancer")</f>
        <v>Somatic Cancer</v>
      </c>
      <c r="U7" s="64" t="str">
        <f>IFERROR(__xludf.DUMMYFUNCTION("QUERY('Volunteer Survey'!N6)"),"I work on the HL-EP")</f>
        <v>I work on the HL-EP</v>
      </c>
      <c r="V7" s="55" t="str">
        <f>IFERROR(__xludf.DUMMYFUNCTION("QUERY('Volunteer Survey'!O6)"),"Yes")</f>
        <v>Yes</v>
      </c>
      <c r="W7" s="66" t="str">
        <f>IFERROR(__xludf.DUMMYFUNCTION("QUERY('Volunteer Survey'!P6)"),"I'm already on the HL-EP")</f>
        <v>I'm already on the HL-EP</v>
      </c>
      <c r="X7" s="64" t="str">
        <f>IFERROR(__xludf.DUMMYFUNCTION("QUERY('Volunteer Survey'!R6)"),"Maybe -- please contact me with other options, and I will decide based on what is available")</f>
        <v>Maybe -- please contact me with other options, and I will decide based on what is available</v>
      </c>
      <c r="Y7" s="53"/>
      <c r="Z7" s="68"/>
      <c r="AA7" s="55"/>
      <c r="AB7" s="55"/>
      <c r="AC7" s="55"/>
      <c r="AD7" s="55"/>
      <c r="AE7" s="55"/>
      <c r="AF7" s="55"/>
      <c r="AG7" s="55"/>
      <c r="AH7" s="55"/>
      <c r="AI7" s="55"/>
      <c r="AJ7" s="55"/>
      <c r="AK7" s="55"/>
      <c r="AL7" s="55"/>
      <c r="AM7" s="55"/>
      <c r="AN7" s="55"/>
      <c r="AO7" s="55"/>
    </row>
    <row r="8" ht="37.5" customHeight="1">
      <c r="A8" s="50">
        <f>IFERROR(__xludf.DUMMYFUNCTION("QUERY('Volunteer Survey'!A7)"),43447.421107152775)</f>
        <v>43447.42111</v>
      </c>
      <c r="B8" s="48" t="s">
        <v>125</v>
      </c>
      <c r="C8" s="79">
        <v>43437.0</v>
      </c>
      <c r="D8" s="56">
        <v>43446.0</v>
      </c>
      <c r="E8" s="48" t="s">
        <v>117</v>
      </c>
      <c r="F8" s="48" t="s">
        <v>117</v>
      </c>
      <c r="G8" s="48" t="s">
        <v>122</v>
      </c>
      <c r="H8" s="51" t="s">
        <v>143</v>
      </c>
      <c r="I8" s="51" t="s">
        <v>139</v>
      </c>
      <c r="J8" s="56">
        <v>43592.0</v>
      </c>
      <c r="K8" s="56">
        <v>43713.0</v>
      </c>
      <c r="L8" s="55" t="str">
        <f>IFERROR(__xludf.DUMMYFUNCTION("QUERY('Volunteer Survey'!B7)"),"Jennifer Howe")</f>
        <v>Jennifer Howe</v>
      </c>
      <c r="M8" s="55" t="str">
        <f>IFERROR(__xludf.DUMMYFUNCTION("QUERY('Volunteer Survey'!E7)"),"jhowe@sickkids.ca")</f>
        <v>jhowe@sickkids.ca</v>
      </c>
      <c r="N8" s="55" t="str">
        <f>IFERROR(__xludf.DUMMYFUNCTION("QUERY('Volunteer Survey'!F7)"),"Senior Project Manager")</f>
        <v>Senior Project Manager</v>
      </c>
      <c r="O8" s="48" t="str">
        <f>IFERROR(__xludf.DUMMYFUNCTION("QUERY('Volunteer Survey'!H7)"),"Comprehensive")</f>
        <v>Comprehensive</v>
      </c>
      <c r="P8" s="55" t="str">
        <f>IFERROR(__xludf.DUMMYFUNCTION("QUERY('Volunteer Survey'!I7)"),"Gene-Disease Validity")</f>
        <v>Gene-Disease Validity</v>
      </c>
      <c r="Q8" s="60" t="str">
        <f>IFERROR(__xludf.DUMMYFUNCTION("QUERY('Volunteer Survey'!J7)"),"")</f>
        <v/>
      </c>
      <c r="R8" s="55" t="str">
        <f>IFERROR(__xludf.DUMMYFUNCTION("QUERY('Volunteer Survey'!K7)"),"")</f>
        <v/>
      </c>
      <c r="S8" s="55" t="str">
        <f>IFERROR(__xludf.DUMMYFUNCTION("QUERY('Volunteer Survey'!L7)"),"")</f>
        <v/>
      </c>
      <c r="T8" s="55" t="str">
        <f>IFERROR(__xludf.DUMMYFUNCTION("QUERY('Volunteer Survey'!M7)"),"")</f>
        <v/>
      </c>
      <c r="U8" s="64" t="str">
        <f>IFERROR(__xludf.DUMMYFUNCTION("QUERY('Volunteer Survey'!N7)"),"")</f>
        <v/>
      </c>
      <c r="V8" s="55" t="str">
        <f>IFERROR(__xludf.DUMMYFUNCTION("QUERY('Volunteer Survey'!O7)"),"No")</f>
        <v>No</v>
      </c>
      <c r="W8" s="66" t="str">
        <f>IFERROR(__xludf.DUMMYFUNCTION("QUERY('Volunteer Survey'!P7)"),"Autism and Intellectual Disability")</f>
        <v>Autism and Intellectual Disability</v>
      </c>
      <c r="X8" s="64" t="str">
        <f>IFERROR(__xludf.DUMMYFUNCTION("QUERY('Volunteer Survey'!R7)"),"No - I am only interested in the group(s) I previously indicated")</f>
        <v>No - I am only interested in the group(s) I previously indicated</v>
      </c>
      <c r="Y8" s="51" t="s">
        <v>292</v>
      </c>
      <c r="Z8" s="68"/>
      <c r="AA8" s="55"/>
      <c r="AB8" s="55"/>
      <c r="AC8" s="55"/>
      <c r="AD8" s="55"/>
      <c r="AE8" s="55"/>
      <c r="AF8" s="55"/>
      <c r="AG8" s="55"/>
      <c r="AH8" s="55"/>
      <c r="AI8" s="55"/>
      <c r="AJ8" s="55"/>
      <c r="AK8" s="55"/>
      <c r="AL8" s="55"/>
      <c r="AM8" s="55"/>
      <c r="AN8" s="55"/>
      <c r="AO8" s="55"/>
    </row>
    <row r="9">
      <c r="A9" s="50">
        <f>IFERROR(__xludf.DUMMYFUNCTION("QUERY('Volunteer Survey'!A8)"),43378.48075231482)</f>
        <v>43378.48075</v>
      </c>
      <c r="B9" s="48" t="s">
        <v>125</v>
      </c>
      <c r="C9" s="79">
        <v>43411.0</v>
      </c>
      <c r="D9" s="56">
        <v>43446.0</v>
      </c>
      <c r="E9" s="48" t="s">
        <v>117</v>
      </c>
      <c r="F9" s="48" t="s">
        <v>117</v>
      </c>
      <c r="G9" s="48" t="s">
        <v>122</v>
      </c>
      <c r="H9" s="51" t="s">
        <v>20</v>
      </c>
      <c r="I9" s="51" t="s">
        <v>139</v>
      </c>
      <c r="J9" s="56">
        <v>43592.0</v>
      </c>
      <c r="K9" s="56">
        <v>43713.0</v>
      </c>
      <c r="L9" s="55" t="str">
        <f>IFERROR(__xludf.DUMMYFUNCTION("QUERY('Volunteer Survey'!B8)"),"Kalpana Panneerselvam")</f>
        <v>Kalpana Panneerselvam</v>
      </c>
      <c r="M9" s="55" t="str">
        <f>IFERROR(__xludf.DUMMYFUNCTION("QUERY('Volunteer Survey'!E8)"),"kalpanarpanneerselvam@gmail.com")</f>
        <v>kalpanarpanneerselvam@gmail.com</v>
      </c>
      <c r="N9" s="55" t="str">
        <f>IFERROR(__xludf.DUMMYFUNCTION("QUERY('Volunteer Survey'!F8)"),"Biocurator")</f>
        <v>Biocurator</v>
      </c>
      <c r="O9" s="48" t="str">
        <f>IFERROR(__xludf.DUMMYFUNCTION("QUERY('Volunteer Survey'!H8)"),"Comprehensive")</f>
        <v>Comprehensive</v>
      </c>
      <c r="P9" s="55" t="str">
        <f>IFERROR(__xludf.DUMMYFUNCTION("QUERY('Volunteer Survey'!I8)"),"Gene-Disease Validity")</f>
        <v>Gene-Disease Validity</v>
      </c>
      <c r="Q9" s="60" t="str">
        <f>IFERROR(__xludf.DUMMYFUNCTION("QUERY('Volunteer Survey'!J8)"),"Clinical Actionability")</f>
        <v>Clinical Actionability</v>
      </c>
      <c r="R9" s="55" t="str">
        <f>IFERROR(__xludf.DUMMYFUNCTION("QUERY('Volunteer Survey'!K8)"),"Variant Pathogenicity")</f>
        <v>Variant Pathogenicity</v>
      </c>
      <c r="S9" s="55" t="str">
        <f>IFERROR(__xludf.DUMMYFUNCTION("QUERY('Volunteer Survey'!L8)"),"Dosage Sensitivity")</f>
        <v>Dosage Sensitivity</v>
      </c>
      <c r="T9" s="55" t="str">
        <f>IFERROR(__xludf.DUMMYFUNCTION("QUERY('Volunteer Survey'!M8)"),"Somatic Cancer")</f>
        <v>Somatic Cancer</v>
      </c>
      <c r="U9" s="64" t="str">
        <f>IFERROR(__xludf.DUMMYFUNCTION("QUERY('Volunteer Survey'!N8)"),"I have worked as curator for Ingenuity Variant Analysis product by Qiagen ")</f>
        <v>I have worked as curator for Ingenuity Variant Analysis product by Qiagen </v>
      </c>
      <c r="V9" s="55" t="str">
        <f>IFERROR(__xludf.DUMMYFUNCTION("QUERY('Volunteer Survey'!O8)"),"Possibly")</f>
        <v>Possibly</v>
      </c>
      <c r="W9" s="66" t="str">
        <f>IFERROR(__xludf.DUMMYFUNCTION("QUERY('Volunteer Survey'!P8)"),"Mitochondrial diseases ")</f>
        <v>Mitochondrial diseases </v>
      </c>
      <c r="X9" s="64" t="str">
        <f>IFERROR(__xludf.DUMMYFUNCTION("QUERY('Volunteer Survey'!R8)"),"Yes- I am willing to volunteer with any available ClinGen group")</f>
        <v>Yes- I am willing to volunteer with any available ClinGen group</v>
      </c>
      <c r="Y9" s="51" t="s">
        <v>295</v>
      </c>
      <c r="Z9" s="68"/>
      <c r="AA9" s="55"/>
      <c r="AB9" s="55"/>
      <c r="AC9" s="55"/>
      <c r="AD9" s="55"/>
      <c r="AE9" s="55"/>
      <c r="AF9" s="55"/>
      <c r="AG9" s="55"/>
      <c r="AH9" s="55"/>
      <c r="AI9" s="55"/>
      <c r="AJ9" s="55"/>
      <c r="AK9" s="55"/>
      <c r="AL9" s="55"/>
      <c r="AM9" s="55"/>
      <c r="AN9" s="55"/>
      <c r="AO9" s="55"/>
    </row>
    <row r="10">
      <c r="A10" s="50">
        <f>IFERROR(__xludf.DUMMYFUNCTION("QUERY('Volunteer Survey'!A9)"),43447.71939452546)</f>
        <v>43447.71939</v>
      </c>
      <c r="B10" s="48" t="s">
        <v>160</v>
      </c>
      <c r="C10" s="53"/>
      <c r="D10" s="65">
        <v>43580.0</v>
      </c>
      <c r="E10" s="48" t="s">
        <v>117</v>
      </c>
      <c r="F10" s="48" t="s">
        <v>117</v>
      </c>
      <c r="G10" s="48" t="s">
        <v>163</v>
      </c>
      <c r="H10" s="51" t="s">
        <v>164</v>
      </c>
      <c r="I10" s="51" t="s">
        <v>139</v>
      </c>
      <c r="J10" s="56">
        <v>43712.0</v>
      </c>
      <c r="K10" s="56"/>
      <c r="L10" s="55" t="str">
        <f>IFERROR(__xludf.DUMMYFUNCTION("QUERY('Volunteer Survey'!B9)"),"Justin Schleede Phd")</f>
        <v>Justin Schleede Phd</v>
      </c>
      <c r="M10" s="55" t="str">
        <f>IFERROR(__xludf.DUMMYFUNCTION("QUERY('Volunteer Survey'!E9)"),"schleej@labcorp.com")</f>
        <v>schleej@labcorp.com</v>
      </c>
      <c r="N10" s="55" t="str">
        <f>IFERROR(__xludf.DUMMYFUNCTION("QUERY('Volunteer Survey'!F9)"),"Clinical laboratory geneticist")</f>
        <v>Clinical laboratory geneticist</v>
      </c>
      <c r="O10" s="48" t="str">
        <f>IFERROR(__xludf.DUMMYFUNCTION("QUERY('Volunteer Survey'!H9)"),"Comprehensive")</f>
        <v>Comprehensive</v>
      </c>
      <c r="P10" s="55" t="str">
        <f>IFERROR(__xludf.DUMMYFUNCTION("QUERY('Volunteer Survey'!I9)"),"Dosage Sensitivity")</f>
        <v>Dosage Sensitivity</v>
      </c>
      <c r="Q10" s="60" t="str">
        <f>IFERROR(__xludf.DUMMYFUNCTION("QUERY('Volunteer Survey'!J9)"),"Variant Pathogenicity")</f>
        <v>Variant Pathogenicity</v>
      </c>
      <c r="R10" s="55" t="str">
        <f>IFERROR(__xludf.DUMMYFUNCTION("QUERY('Volunteer Survey'!K9)"),"Somatic Cancer")</f>
        <v>Somatic Cancer</v>
      </c>
      <c r="S10" s="55" t="str">
        <f>IFERROR(__xludf.DUMMYFUNCTION("QUERY('Volunteer Survey'!L9)"),"Clinical Actionability")</f>
        <v>Clinical Actionability</v>
      </c>
      <c r="T10" s="55" t="str">
        <f>IFERROR(__xludf.DUMMYFUNCTION("QUERY('Volunteer Survey'!M9)"),"Gene-Disease Validity")</f>
        <v>Gene-Disease Validity</v>
      </c>
      <c r="U10" s="64" t="str">
        <f>IFERROR(__xludf.DUMMYFUNCTION("QUERY('Volunteer Survey'!N9)"),"Yes, I review literature and classify genes as part of my daily workflow")</f>
        <v>Yes, I review literature and classify genes as part of my daily workflow</v>
      </c>
      <c r="V10" s="55" t="str">
        <f>IFERROR(__xludf.DUMMYFUNCTION("QUERY('Volunteer Survey'!O9)"),"No")</f>
        <v>No</v>
      </c>
      <c r="W10" s="66" t="str">
        <f>IFERROR(__xludf.DUMMYFUNCTION("QUERY('Volunteer Survey'!P9)"),"")</f>
        <v/>
      </c>
      <c r="X10" s="64" t="str">
        <f>IFERROR(__xludf.DUMMYFUNCTION("QUERY('Volunteer Survey'!R9)"),"Maybe -- please contact me with other options, and I will decide based on what is available")</f>
        <v>Maybe -- please contact me with other options, and I will decide based on what is available</v>
      </c>
      <c r="Y10" s="53"/>
      <c r="Z10" s="68"/>
      <c r="AA10" s="55"/>
      <c r="AB10" s="55"/>
      <c r="AC10" s="55"/>
      <c r="AD10" s="55"/>
      <c r="AE10" s="55"/>
      <c r="AF10" s="55"/>
      <c r="AG10" s="55"/>
      <c r="AH10" s="55"/>
      <c r="AI10" s="55"/>
      <c r="AJ10" s="55"/>
      <c r="AK10" s="55"/>
      <c r="AL10" s="55"/>
      <c r="AM10" s="55"/>
      <c r="AN10" s="55"/>
      <c r="AO10" s="55"/>
    </row>
    <row r="11">
      <c r="A11" s="50">
        <f>IFERROR(__xludf.DUMMYFUNCTION("QUERY('Volunteer Survey'!A11)"),43452.62491731482)</f>
        <v>43452.62492</v>
      </c>
      <c r="B11" s="48" t="s">
        <v>108</v>
      </c>
      <c r="C11" s="53"/>
      <c r="D11" s="65">
        <v>43678.0</v>
      </c>
      <c r="E11" s="48" t="s">
        <v>117</v>
      </c>
      <c r="F11" s="48" t="s">
        <v>130</v>
      </c>
      <c r="G11" s="48" t="s">
        <v>19</v>
      </c>
      <c r="H11" s="69"/>
      <c r="I11" s="69" t="s">
        <v>139</v>
      </c>
      <c r="J11" s="55"/>
      <c r="K11" s="55"/>
      <c r="L11" s="55" t="str">
        <f>IFERROR(__xludf.DUMMYFUNCTION("QUERY('Volunteer Survey'!B11)"),"Juan Carlos Diaz ")</f>
        <v>Juan Carlos Diaz </v>
      </c>
      <c r="M11" s="55" t="str">
        <f>IFERROR(__xludf.DUMMYFUNCTION("QUERY('Volunteer Survey'!E11)"),"cuallijuan@hotmail.com ")</f>
        <v>cuallijuan@hotmail.com </v>
      </c>
      <c r="N11" s="55" t="str">
        <f>IFERROR(__xludf.DUMMYFUNCTION("QUERY('Volunteer Survey'!F11)"),"Scientific Researcher")</f>
        <v>Scientific Researcher</v>
      </c>
      <c r="O11" s="48" t="str">
        <f>IFERROR(__xludf.DUMMYFUNCTION("QUERY('Volunteer Survey'!H11)"),"Comprehensive")</f>
        <v>Comprehensive</v>
      </c>
      <c r="P11" s="55" t="str">
        <f>IFERROR(__xludf.DUMMYFUNCTION("QUERY('Volunteer Survey'!I11)"),"Clinical Actionability")</f>
        <v>Clinical Actionability</v>
      </c>
      <c r="Q11" s="60" t="str">
        <f>IFERROR(__xludf.DUMMYFUNCTION("QUERY('Volunteer Survey'!J11)"),"Dosage Sensitivity")</f>
        <v>Dosage Sensitivity</v>
      </c>
      <c r="R11" s="55" t="str">
        <f>IFERROR(__xludf.DUMMYFUNCTION("QUERY('Volunteer Survey'!K11)"),"Somatic Cancer")</f>
        <v>Somatic Cancer</v>
      </c>
      <c r="S11" s="55" t="str">
        <f>IFERROR(__xludf.DUMMYFUNCTION("QUERY('Volunteer Survey'!L11)"),"Gene-Disease Validity")</f>
        <v>Gene-Disease Validity</v>
      </c>
      <c r="T11" s="55" t="str">
        <f>IFERROR(__xludf.DUMMYFUNCTION("QUERY('Volunteer Survey'!M11)"),"Variant Pathogenicity")</f>
        <v>Variant Pathogenicity</v>
      </c>
      <c r="U11" s="64" t="str">
        <f>IFERROR(__xludf.DUMMYFUNCTION("QUERY('Volunteer Survey'!N11)"),"No ")</f>
        <v>No </v>
      </c>
      <c r="V11" s="55" t="str">
        <f>IFERROR(__xludf.DUMMYFUNCTION("QUERY('Volunteer Survey'!O11)"),"Yes")</f>
        <v>Yes</v>
      </c>
      <c r="W11" s="66" t="str">
        <f>IFERROR(__xludf.DUMMYFUNCTION("QUERY('Volunteer Survey'!P11)"),"Gene Curation Expert Panels")</f>
        <v>Gene Curation Expert Panels</v>
      </c>
      <c r="X11" s="64" t="str">
        <f>IFERROR(__xludf.DUMMYFUNCTION("QUERY('Volunteer Survey'!R11)"),"Yes- I am willing to volunteer with any available ClinGen group")</f>
        <v>Yes- I am willing to volunteer with any available ClinGen group</v>
      </c>
      <c r="Y11" s="53"/>
      <c r="Z11" s="68"/>
      <c r="AA11" s="55"/>
      <c r="AB11" s="55"/>
      <c r="AC11" s="55"/>
      <c r="AD11" s="55"/>
      <c r="AE11" s="55"/>
      <c r="AF11" s="55"/>
      <c r="AG11" s="55"/>
      <c r="AH11" s="55"/>
      <c r="AI11" s="55"/>
      <c r="AJ11" s="55"/>
      <c r="AK11" s="55"/>
      <c r="AL11" s="55"/>
      <c r="AM11" s="55"/>
      <c r="AN11" s="55"/>
      <c r="AO11" s="55"/>
    </row>
    <row r="12">
      <c r="A12" s="50">
        <f>IFERROR(__xludf.DUMMYFUNCTION("QUERY('Volunteer Survey'!A12)"),43453.176856516206)</f>
        <v>43453.17686</v>
      </c>
      <c r="B12" s="48" t="s">
        <v>108</v>
      </c>
      <c r="C12" s="53"/>
      <c r="D12" s="55"/>
      <c r="E12" s="48" t="s">
        <v>130</v>
      </c>
      <c r="F12" s="48" t="s">
        <v>130</v>
      </c>
      <c r="G12" s="48" t="s">
        <v>202</v>
      </c>
      <c r="H12" s="53"/>
      <c r="I12" s="51" t="s">
        <v>139</v>
      </c>
      <c r="J12" s="55"/>
      <c r="K12" s="55"/>
      <c r="L12" s="55" t="str">
        <f>IFERROR(__xludf.DUMMYFUNCTION("QUERY('Volunteer Survey'!B12)"),"Indu Raja")</f>
        <v>Indu Raja</v>
      </c>
      <c r="M12" s="55" t="str">
        <f>IFERROR(__xludf.DUMMYFUNCTION("QUERY('Volunteer Survey'!E12)"),"indudraja@gmail.com")</f>
        <v>indudraja@gmail.com</v>
      </c>
      <c r="N12" s="55" t="str">
        <f>IFERROR(__xludf.DUMMYFUNCTION("QUERY('Volunteer Survey'!F12)"),"laboratory technologist")</f>
        <v>laboratory technologist</v>
      </c>
      <c r="O12" s="48" t="str">
        <f>IFERROR(__xludf.DUMMYFUNCTION("QUERY('Volunteer Survey'!H12)"),"Baseline")</f>
        <v>Baseline</v>
      </c>
      <c r="P12" s="55" t="str">
        <f>IFERROR(__xludf.DUMMYFUNCTION("QUERY('Volunteer Survey'!I12)"),"Clinical Actionability")</f>
        <v>Clinical Actionability</v>
      </c>
      <c r="Q12" s="60" t="str">
        <f>IFERROR(__xludf.DUMMYFUNCTION("QUERY('Volunteer Survey'!J12)"),"Variant Pathogenicity")</f>
        <v>Variant Pathogenicity</v>
      </c>
      <c r="R12" s="55" t="str">
        <f>IFERROR(__xludf.DUMMYFUNCTION("QUERY('Volunteer Survey'!K12)"),"Dosage Sensitivity")</f>
        <v>Dosage Sensitivity</v>
      </c>
      <c r="S12" s="55" t="str">
        <f>IFERROR(__xludf.DUMMYFUNCTION("QUERY('Volunteer Survey'!L12)"),"Gene-Disease Validity")</f>
        <v>Gene-Disease Validity</v>
      </c>
      <c r="T12" s="55" t="str">
        <f>IFERROR(__xludf.DUMMYFUNCTION("QUERY('Volunteer Survey'!M12)"),"")</f>
        <v/>
      </c>
      <c r="U12" s="64" t="str">
        <f>IFERROR(__xludf.DUMMYFUNCTION("QUERY('Volunteer Survey'!N12)"),"No")</f>
        <v>No</v>
      </c>
      <c r="V12" s="55" t="str">
        <f>IFERROR(__xludf.DUMMYFUNCTION("QUERY('Volunteer Survey'!O12)"),"Possibly")</f>
        <v>Possibly</v>
      </c>
      <c r="W12" s="66" t="str">
        <f>IFERROR(__xludf.DUMMYFUNCTION("QUERY('Volunteer Survey'!P12)"),"")</f>
        <v/>
      </c>
      <c r="X12" s="64" t="str">
        <f>IFERROR(__xludf.DUMMYFUNCTION("QUERY('Volunteer Survey'!R12)"),"Maybe -- please contact me with other options, and I will decide based on what is available")</f>
        <v>Maybe -- please contact me with other options, and I will decide based on what is available</v>
      </c>
      <c r="Y12" s="53"/>
      <c r="Z12" s="68"/>
      <c r="AA12" s="55"/>
      <c r="AB12" s="55"/>
      <c r="AC12" s="55"/>
      <c r="AD12" s="55"/>
      <c r="AE12" s="55"/>
      <c r="AF12" s="55"/>
      <c r="AG12" s="55"/>
      <c r="AH12" s="55"/>
      <c r="AI12" s="55"/>
      <c r="AJ12" s="55"/>
      <c r="AK12" s="55"/>
      <c r="AL12" s="55"/>
      <c r="AM12" s="55"/>
      <c r="AN12" s="55"/>
      <c r="AO12" s="55"/>
    </row>
    <row r="13">
      <c r="A13" s="50">
        <f>IFERROR(__xludf.DUMMYFUNCTION("QUERY('Volunteer Survey'!A13)"),43453.554362870374)</f>
        <v>43453.55436</v>
      </c>
      <c r="B13" s="48" t="s">
        <v>108</v>
      </c>
      <c r="C13" s="53"/>
      <c r="D13" s="65">
        <v>43570.0</v>
      </c>
      <c r="E13" s="48" t="s">
        <v>117</v>
      </c>
      <c r="F13" s="48" t="s">
        <v>117</v>
      </c>
      <c r="G13" s="48" t="s">
        <v>122</v>
      </c>
      <c r="H13" s="51" t="s">
        <v>173</v>
      </c>
      <c r="I13" s="51" t="s">
        <v>299</v>
      </c>
      <c r="J13" s="56">
        <v>43712.0</v>
      </c>
      <c r="K13" s="56"/>
      <c r="L13" s="55" t="str">
        <f>IFERROR(__xludf.DUMMYFUNCTION("QUERY('Volunteer Survey'!B13)"),"Tomohiko Ai")</f>
        <v>Tomohiko Ai</v>
      </c>
      <c r="M13" s="55" t="str">
        <f>IFERROR(__xludf.DUMMYFUNCTION("QUERY('Volunteer Survey'!E13)"),"Tomohiko.Ai@osumc.edu")</f>
        <v>Tomohiko.Ai@osumc.edu</v>
      </c>
      <c r="N13" s="55" t="str">
        <f>IFERROR(__xludf.DUMMYFUNCTION("QUERY('Volunteer Survey'!F13)"),"Scientific Researcher")</f>
        <v>Scientific Researcher</v>
      </c>
      <c r="O13" s="48" t="str">
        <f>IFERROR(__xludf.DUMMYFUNCTION("QUERY('Volunteer Survey'!H13)"),"Comprehensive")</f>
        <v>Comprehensive</v>
      </c>
      <c r="P13" s="55" t="str">
        <f>IFERROR(__xludf.DUMMYFUNCTION("QUERY('Volunteer Survey'!I13)"),"Gene-Disease Validity")</f>
        <v>Gene-Disease Validity</v>
      </c>
      <c r="Q13" s="60" t="str">
        <f>IFERROR(__xludf.DUMMYFUNCTION("QUERY('Volunteer Survey'!J13)"),"Variant Pathogenicity")</f>
        <v>Variant Pathogenicity</v>
      </c>
      <c r="R13" s="55" t="str">
        <f>IFERROR(__xludf.DUMMYFUNCTION("QUERY('Volunteer Survey'!K13)"),"")</f>
        <v/>
      </c>
      <c r="S13" s="55" t="str">
        <f>IFERROR(__xludf.DUMMYFUNCTION("QUERY('Volunteer Survey'!L13)"),"")</f>
        <v/>
      </c>
      <c r="T13" s="55" t="str">
        <f>IFERROR(__xludf.DUMMYFUNCTION("QUERY('Volunteer Survey'!M13)"),"")</f>
        <v/>
      </c>
      <c r="U13" s="64" t="str">
        <f>IFERROR(__xludf.DUMMYFUNCTION("QUERY('Volunteer Survey'!N13)"),"I have experiences with variant pathogenicity.")</f>
        <v>I have experiences with variant pathogenicity.</v>
      </c>
      <c r="V13" s="55" t="str">
        <f>IFERROR(__xludf.DUMMYFUNCTION("QUERY('Volunteer Survey'!O13)"),"Possibly")</f>
        <v>Possibly</v>
      </c>
      <c r="W13" s="66" t="str">
        <f>IFERROR(__xludf.DUMMYFUNCTION("QUERY('Volunteer Survey'!P13)"),"Cardiovascular")</f>
        <v>Cardiovascular</v>
      </c>
      <c r="X13" s="64" t="str">
        <f>IFERROR(__xludf.DUMMYFUNCTION("QUERY('Volunteer Survey'!R13)"),"Maybe -- please contact me with other options, and I will decide based on what is available")</f>
        <v>Maybe -- please contact me with other options, and I will decide based on what is available</v>
      </c>
      <c r="Y13" s="53"/>
      <c r="Z13" s="68"/>
      <c r="AA13" s="55"/>
      <c r="AB13" s="55"/>
      <c r="AC13" s="55"/>
      <c r="AD13" s="55"/>
      <c r="AE13" s="55"/>
      <c r="AF13" s="55"/>
      <c r="AG13" s="55"/>
      <c r="AH13" s="55"/>
      <c r="AI13" s="55"/>
      <c r="AJ13" s="55"/>
      <c r="AK13" s="55"/>
      <c r="AL13" s="55"/>
      <c r="AM13" s="55"/>
      <c r="AN13" s="55"/>
      <c r="AO13" s="55"/>
    </row>
    <row r="14">
      <c r="A14" s="50">
        <f>IFERROR(__xludf.DUMMYFUNCTION("QUERY('Volunteer Survey'!A14)"),43404.87436342593)</f>
        <v>43404.87436</v>
      </c>
      <c r="B14" s="48" t="s">
        <v>168</v>
      </c>
      <c r="C14" s="79">
        <v>43474.0</v>
      </c>
      <c r="D14" s="49">
        <v>43476.0</v>
      </c>
      <c r="E14" s="48" t="s">
        <v>117</v>
      </c>
      <c r="F14" s="48" t="s">
        <v>130</v>
      </c>
      <c r="G14" s="48" t="s">
        <v>136</v>
      </c>
      <c r="H14" s="51" t="s">
        <v>179</v>
      </c>
      <c r="I14" s="51" t="s">
        <v>139</v>
      </c>
      <c r="J14" s="56">
        <v>43592.0</v>
      </c>
      <c r="K14" s="48" t="s">
        <v>300</v>
      </c>
      <c r="L14" s="55" t="str">
        <f>IFERROR(__xludf.DUMMYFUNCTION("QUERY('Volunteer Survey'!B14)"),"Rajavarman Kittu")</f>
        <v>Rajavarman Kittu</v>
      </c>
      <c r="M14" s="55" t="str">
        <f>IFERROR(__xludf.DUMMYFUNCTION("QUERY('Volunteer Survey'!E14)"),"rajavarman21@gmail.com")</f>
        <v>rajavarman21@gmail.com</v>
      </c>
      <c r="N14" s="55" t="str">
        <f>IFERROR(__xludf.DUMMYFUNCTION("QUERY('Volunteer Survey'!F14)"),"Variant Analyst/Scientist")</f>
        <v>Variant Analyst/Scientist</v>
      </c>
      <c r="O14" s="48" t="str">
        <f>IFERROR(__xludf.DUMMYFUNCTION("QUERY('Volunteer Survey'!H14)"),"Comprehensive")</f>
        <v>Comprehensive</v>
      </c>
      <c r="P14" s="48" t="s">
        <v>136</v>
      </c>
      <c r="Q14" s="81" t="s">
        <v>251</v>
      </c>
      <c r="R14" s="55" t="str">
        <f>IFERROR(__xludf.DUMMYFUNCTION("QUERY('Volunteer Survey'!K14)"),"Clinical Actionability")</f>
        <v>Clinical Actionability</v>
      </c>
      <c r="S14" s="55" t="str">
        <f>IFERROR(__xludf.DUMMYFUNCTION("QUERY('Volunteer Survey'!L14)"),"Gene-Disease Validity")</f>
        <v>Gene-Disease Validity</v>
      </c>
      <c r="T14" s="55" t="str">
        <f>IFERROR(__xludf.DUMMYFUNCTION("QUERY('Volunteer Survey'!M14)"),"Dosage Sensitivity")</f>
        <v>Dosage Sensitivity</v>
      </c>
      <c r="U14" s="64" t="str">
        <f>IFERROR(__xludf.DUMMYFUNCTION("QUERY('Volunteer Survey'!N14)"),"Yea being variant analyst I'm doing curation in and out before reporting any patient observed in patient")</f>
        <v>Yea being variant analyst I'm doing curation in and out before reporting any patient observed in patient</v>
      </c>
      <c r="V14" s="55" t="str">
        <f>IFERROR(__xludf.DUMMYFUNCTION("QUERY('Volunteer Survey'!O14)"),"Possibly")</f>
        <v>Possibly</v>
      </c>
      <c r="W14" s="66" t="str">
        <f>IFERROR(__xludf.DUMMYFUNCTION("QUERY('Volunteer Survey'!P14)"),"As mentioned above in the table( ranking) i prefer to contribute. if that is not possible i would like to be any ClinGen Expert Panel/Working Group where there is need for help.")</f>
        <v>As mentioned above in the table( ranking) i prefer to contribute. if that is not possible i would like to be any ClinGen Expert Panel/Working Group where there is need for help.</v>
      </c>
      <c r="X14" s="64" t="str">
        <f>IFERROR(__xludf.DUMMYFUNCTION("QUERY('Volunteer Survey'!R14)"),"Yes- I am willing to volunteer with any available ClinGen group")</f>
        <v>Yes- I am willing to volunteer with any available ClinGen group</v>
      </c>
      <c r="Y14" s="80" t="s">
        <v>301</v>
      </c>
      <c r="Z14" s="68"/>
      <c r="AA14" s="55"/>
      <c r="AB14" s="55"/>
      <c r="AC14" s="55"/>
      <c r="AD14" s="55"/>
      <c r="AE14" s="55"/>
      <c r="AF14" s="55"/>
      <c r="AG14" s="55"/>
      <c r="AH14" s="55"/>
      <c r="AI14" s="55"/>
      <c r="AJ14" s="55"/>
      <c r="AK14" s="55"/>
      <c r="AL14" s="55"/>
      <c r="AM14" s="55"/>
      <c r="AN14" s="55"/>
      <c r="AO14" s="55"/>
    </row>
    <row r="15">
      <c r="A15" s="50">
        <f>IFERROR(__xludf.DUMMYFUNCTION("QUERY('Volunteer Survey'!A15)"),43454.651333263886)</f>
        <v>43454.65133</v>
      </c>
      <c r="B15" s="48" t="s">
        <v>108</v>
      </c>
      <c r="C15" s="53"/>
      <c r="D15" s="65">
        <v>43678.0</v>
      </c>
      <c r="E15" s="48" t="s">
        <v>117</v>
      </c>
      <c r="F15" s="48" t="s">
        <v>130</v>
      </c>
      <c r="G15" s="48" t="s">
        <v>19</v>
      </c>
      <c r="H15" s="69"/>
      <c r="I15" s="69" t="s">
        <v>139</v>
      </c>
      <c r="J15" s="55"/>
      <c r="K15" s="55"/>
      <c r="L15" s="55" t="str">
        <f>IFERROR(__xludf.DUMMYFUNCTION("QUERY('Volunteer Survey'!B15)"),"Rhea Vallente")</f>
        <v>Rhea Vallente</v>
      </c>
      <c r="M15" s="55" t="str">
        <f>IFERROR(__xludf.DUMMYFUNCTION("QUERY('Volunteer Survey'!E15)"),"rvallente@fulgentgenetics.com")</f>
        <v>rvallente@fulgentgenetics.com</v>
      </c>
      <c r="N15" s="55" t="str">
        <f>IFERROR(__xludf.DUMMYFUNCTION("QUERY('Volunteer Survey'!F15)"),"Variant Analyst/Scientist")</f>
        <v>Variant Analyst/Scientist</v>
      </c>
      <c r="O15" s="48" t="str">
        <f>IFERROR(__xludf.DUMMYFUNCTION("QUERY('Volunteer Survey'!H15)"),"Comprehensive")</f>
        <v>Comprehensive</v>
      </c>
      <c r="P15" s="55" t="str">
        <f>IFERROR(__xludf.DUMMYFUNCTION("QUERY('Volunteer Survey'!I15)"),"Clinical Actionability")</f>
        <v>Clinical Actionability</v>
      </c>
      <c r="Q15" s="60" t="str">
        <f>IFERROR(__xludf.DUMMYFUNCTION("QUERY('Volunteer Survey'!J15)"),"Gene-Disease Validity")</f>
        <v>Gene-Disease Validity</v>
      </c>
      <c r="R15" s="55" t="str">
        <f>IFERROR(__xludf.DUMMYFUNCTION("QUERY('Volunteer Survey'!K15)"),"Variant Pathogenicity")</f>
        <v>Variant Pathogenicity</v>
      </c>
      <c r="S15" s="55" t="str">
        <f>IFERROR(__xludf.DUMMYFUNCTION("QUERY('Volunteer Survey'!L15)"),"Dosage Sensitivity")</f>
        <v>Dosage Sensitivity</v>
      </c>
      <c r="T15" s="55" t="str">
        <f>IFERROR(__xludf.DUMMYFUNCTION("QUERY('Volunteer Survey'!M15)"),"Somatic Cancer")</f>
        <v>Somatic Cancer</v>
      </c>
      <c r="U15" s="64" t="str">
        <f>IFERROR(__xludf.DUMMYFUNCTION("QUERY('Volunteer Survey'!N15)"),"Yes. I have been curating variants for five years, starting at PreventionGenetics, then I moved to EGL Genetics, and now I'm working for Fulgent Genetics.")</f>
        <v>Yes. I have been curating variants for five years, starting at PreventionGenetics, then I moved to EGL Genetics, and now I'm working for Fulgent Genetics.</v>
      </c>
      <c r="V15" s="55" t="str">
        <f>IFERROR(__xludf.DUMMYFUNCTION("QUERY('Volunteer Survey'!O15)"),"Yes")</f>
        <v>Yes</v>
      </c>
      <c r="W15" s="66" t="str">
        <f>IFERROR(__xludf.DUMMYFUNCTION("QUERY('Volunteer Survey'!P15)"),"Hearing loss")</f>
        <v>Hearing loss</v>
      </c>
      <c r="X15" s="64" t="str">
        <f>IFERROR(__xludf.DUMMYFUNCTION("QUERY('Volunteer Survey'!R15)"),"Yes- I am willing to volunteer with any available ClinGen group")</f>
        <v>Yes- I am willing to volunteer with any available ClinGen group</v>
      </c>
      <c r="Y15" s="53"/>
      <c r="Z15" s="68"/>
      <c r="AA15" s="55"/>
      <c r="AB15" s="55"/>
      <c r="AC15" s="55"/>
      <c r="AD15" s="55"/>
      <c r="AE15" s="55"/>
      <c r="AF15" s="55"/>
      <c r="AG15" s="55"/>
      <c r="AH15" s="55"/>
      <c r="AI15" s="55"/>
      <c r="AJ15" s="55"/>
      <c r="AK15" s="55"/>
      <c r="AL15" s="55"/>
      <c r="AM15" s="55"/>
      <c r="AN15" s="55"/>
      <c r="AO15" s="55"/>
    </row>
    <row r="16">
      <c r="A16" s="50">
        <f>IFERROR(__xludf.DUMMYFUNCTION("QUERY('Volunteer Survey'!A16)"),43462.7220768287)</f>
        <v>43462.72208</v>
      </c>
      <c r="B16" s="48" t="s">
        <v>125</v>
      </c>
      <c r="C16" s="53"/>
      <c r="D16" s="56">
        <v>43585.0</v>
      </c>
      <c r="E16" s="48" t="s">
        <v>117</v>
      </c>
      <c r="F16" s="48" t="s">
        <v>117</v>
      </c>
      <c r="G16" s="48" t="s">
        <v>122</v>
      </c>
      <c r="H16" s="51" t="s">
        <v>197</v>
      </c>
      <c r="I16" s="51" t="s">
        <v>139</v>
      </c>
      <c r="J16" s="56">
        <v>43712.0</v>
      </c>
      <c r="K16" s="56"/>
      <c r="L16" s="55" t="str">
        <f>IFERROR(__xludf.DUMMYFUNCTION("QUERY('Volunteer Survey'!B16)"),"Caitlin Hale")</f>
        <v>Caitlin Hale</v>
      </c>
      <c r="M16" s="55" t="str">
        <f>IFERROR(__xludf.DUMMYFUNCTION("QUERY('Volunteer Survey'!E16)"),"CHale@stanfordchildrens.org")</f>
        <v>CHale@stanfordchildrens.org</v>
      </c>
      <c r="N16" s="55" t="str">
        <f>IFERROR(__xludf.DUMMYFUNCTION("QUERY('Volunteer Survey'!F16)"),"Genetic counselor")</f>
        <v>Genetic counselor</v>
      </c>
      <c r="O16" s="48" t="str">
        <f>IFERROR(__xludf.DUMMYFUNCTION("QUERY('Volunteer Survey'!H16)"),"Comprehensive")</f>
        <v>Comprehensive</v>
      </c>
      <c r="P16" s="55" t="str">
        <f>IFERROR(__xludf.DUMMYFUNCTION("QUERY('Volunteer Survey'!I16)"),"Gene-Disease Validity")</f>
        <v>Gene-Disease Validity</v>
      </c>
      <c r="Q16" s="60" t="str">
        <f>IFERROR(__xludf.DUMMYFUNCTION("QUERY('Volunteer Survey'!J16)"),"Variant Pathogenicity")</f>
        <v>Variant Pathogenicity</v>
      </c>
      <c r="R16" s="55" t="str">
        <f>IFERROR(__xludf.DUMMYFUNCTION("QUERY('Volunteer Survey'!K16)"),"Dosage Sensitivity")</f>
        <v>Dosage Sensitivity</v>
      </c>
      <c r="S16" s="55" t="str">
        <f>IFERROR(__xludf.DUMMYFUNCTION("QUERY('Volunteer Survey'!L16)"),"Clinical Actionability")</f>
        <v>Clinical Actionability</v>
      </c>
      <c r="T16" s="55" t="str">
        <f>IFERROR(__xludf.DUMMYFUNCTION("QUERY('Volunteer Survey'!M16)"),"Somatic Cancer")</f>
        <v>Somatic Cancer</v>
      </c>
      <c r="U16" s="64" t="str">
        <f>IFERROR(__xludf.DUMMYFUNCTION("QUERY('Volunteer Survey'!N16)"),"I have 3.5 years of experience as a pediatric genetic counselor. In this position, I have gained significant experience in interpreting lab results and conducting curation activity via literature searches, database searches, etc. to ensure that our clinic"&amp;"al interpretation is in agreement with the lab's interpretation.")</f>
        <v>I have 3.5 years of experience as a pediatric genetic counselor. In this position, I have gained significant experience in interpreting lab results and conducting curation activity via literature searches, database searches, etc. to ensure that our clinical interpretation is in agreement with the lab's interpretation.</v>
      </c>
      <c r="V16" s="55" t="str">
        <f>IFERROR(__xludf.DUMMYFUNCTION("QUERY('Volunteer Survey'!O16)"),"Possibly")</f>
        <v>Possibly</v>
      </c>
      <c r="W16" s="66" t="str">
        <f>IFERROR(__xludf.DUMMYFUNCTION("QUERY('Volunteer Survey'!P16)"),"I would be most interested in areas related to pediatric medical genetics (autism, ID, neurodevelopmental disorders), but I am open to  any group that is accepting volunteers.")</f>
        <v>I would be most interested in areas related to pediatric medical genetics (autism, ID, neurodevelopmental disorders), but I am open to  any group that is accepting volunteers.</v>
      </c>
      <c r="X16" s="64" t="str">
        <f>IFERROR(__xludf.DUMMYFUNCTION("QUERY('Volunteer Survey'!R16)"),"Yes- I am willing to volunteer with any available ClinGen group")</f>
        <v>Yes- I am willing to volunteer with any available ClinGen group</v>
      </c>
      <c r="Y16" s="53"/>
      <c r="Z16" s="68"/>
      <c r="AA16" s="55"/>
      <c r="AB16" s="55"/>
      <c r="AC16" s="55"/>
      <c r="AD16" s="55"/>
      <c r="AE16" s="55"/>
      <c r="AF16" s="55"/>
      <c r="AG16" s="55"/>
      <c r="AH16" s="55"/>
      <c r="AI16" s="55"/>
      <c r="AJ16" s="55"/>
      <c r="AK16" s="55"/>
      <c r="AL16" s="55"/>
      <c r="AM16" s="55"/>
      <c r="AN16" s="55"/>
      <c r="AO16" s="55"/>
    </row>
    <row r="17">
      <c r="A17" s="50">
        <f>IFERROR(__xludf.DUMMYFUNCTION("QUERY('Volunteer Survey'!A17)"),43465.469464884256)</f>
        <v>43465.46946</v>
      </c>
      <c r="B17" s="48" t="s">
        <v>108</v>
      </c>
      <c r="C17" s="53"/>
      <c r="D17" s="73">
        <v>43567.0</v>
      </c>
      <c r="E17" s="48" t="s">
        <v>117</v>
      </c>
      <c r="F17" s="48" t="s">
        <v>117</v>
      </c>
      <c r="G17" s="48" t="s">
        <v>19</v>
      </c>
      <c r="H17" s="69" t="s">
        <v>19</v>
      </c>
      <c r="I17" s="69" t="s">
        <v>139</v>
      </c>
      <c r="J17" s="56">
        <v>43712.0</v>
      </c>
      <c r="K17" s="56"/>
      <c r="L17" s="55" t="str">
        <f>IFERROR(__xludf.DUMMYFUNCTION("QUERY('Volunteer Survey'!B17)"),"Melissa Murfin")</f>
        <v>Melissa Murfin</v>
      </c>
      <c r="M17" s="55" t="str">
        <f>IFERROR(__xludf.DUMMYFUNCTION("QUERY('Volunteer Survey'!E17)"),"mmurfin@elon.edu")</f>
        <v>mmurfin@elon.edu</v>
      </c>
      <c r="N17" s="55" t="str">
        <f>IFERROR(__xludf.DUMMYFUNCTION("QUERY('Volunteer Survey'!F17)"),"Pharmacist/PA-C, PA program director")</f>
        <v>Pharmacist/PA-C, PA program director</v>
      </c>
      <c r="O17" s="48" t="str">
        <f>IFERROR(__xludf.DUMMYFUNCTION("QUERY('Volunteer Survey'!H17)"),"Comprehensive")</f>
        <v>Comprehensive</v>
      </c>
      <c r="P17" s="55" t="str">
        <f>IFERROR(__xludf.DUMMYFUNCTION("QUERY('Volunteer Survey'!I17)"),"Clinical Actionability")</f>
        <v>Clinical Actionability</v>
      </c>
      <c r="Q17" s="60" t="str">
        <f>IFERROR(__xludf.DUMMYFUNCTION("QUERY('Volunteer Survey'!J17)"),"Dosage Sensitivity")</f>
        <v>Dosage Sensitivity</v>
      </c>
      <c r="R17" s="55" t="str">
        <f>IFERROR(__xludf.DUMMYFUNCTION("QUERY('Volunteer Survey'!K17)"),"Gene-Disease Validity")</f>
        <v>Gene-Disease Validity</v>
      </c>
      <c r="S17" s="55" t="str">
        <f>IFERROR(__xludf.DUMMYFUNCTION("QUERY('Volunteer Survey'!L17)"),"Variant Pathogenicity")</f>
        <v>Variant Pathogenicity</v>
      </c>
      <c r="T17" s="55" t="str">
        <f>IFERROR(__xludf.DUMMYFUNCTION("QUERY('Volunteer Survey'!M17)"),"Somatic Cancer")</f>
        <v>Somatic Cancer</v>
      </c>
      <c r="U17" s="64" t="str">
        <f>IFERROR(__xludf.DUMMYFUNCTION("QUERY('Volunteer Survey'!N17)"),"")</f>
        <v/>
      </c>
      <c r="V17" s="55" t="str">
        <f>IFERROR(__xludf.DUMMYFUNCTION("QUERY('Volunteer Survey'!O17)"),"Possibly")</f>
        <v>Possibly</v>
      </c>
      <c r="W17" s="66" t="str">
        <f>IFERROR(__xludf.DUMMYFUNCTION("QUERY('Volunteer Survey'!P17)"),"I am open to any opportunity")</f>
        <v>I am open to any opportunity</v>
      </c>
      <c r="X17" s="64" t="str">
        <f>IFERROR(__xludf.DUMMYFUNCTION("QUERY('Volunteer Survey'!R17)"),"Yes- I am willing to volunteer with any available ClinGen group")</f>
        <v>Yes- I am willing to volunteer with any available ClinGen group</v>
      </c>
      <c r="Y17" s="53"/>
      <c r="Z17" s="68"/>
      <c r="AA17" s="55"/>
      <c r="AB17" s="55"/>
      <c r="AC17" s="55"/>
      <c r="AD17" s="55"/>
      <c r="AE17" s="55"/>
      <c r="AF17" s="55"/>
      <c r="AG17" s="55"/>
      <c r="AH17" s="55"/>
      <c r="AI17" s="55"/>
      <c r="AJ17" s="55"/>
      <c r="AK17" s="55"/>
      <c r="AL17" s="55"/>
      <c r="AM17" s="55"/>
      <c r="AN17" s="55"/>
      <c r="AO17" s="55"/>
    </row>
    <row r="18">
      <c r="A18" s="50">
        <f>IFERROR(__xludf.DUMMYFUNCTION("QUERY('Volunteer Survey'!A18)"),43467.289876111114)</f>
        <v>43467.28988</v>
      </c>
      <c r="B18" s="48" t="s">
        <v>108</v>
      </c>
      <c r="C18" s="53"/>
      <c r="D18" s="65">
        <v>43585.0</v>
      </c>
      <c r="E18" s="48" t="s">
        <v>117</v>
      </c>
      <c r="F18" s="48" t="s">
        <v>117</v>
      </c>
      <c r="G18" s="48" t="s">
        <v>122</v>
      </c>
      <c r="H18" s="51" t="s">
        <v>220</v>
      </c>
      <c r="I18" s="51" t="s">
        <v>139</v>
      </c>
      <c r="J18" s="56">
        <v>43712.0</v>
      </c>
      <c r="K18" s="56"/>
      <c r="L18" s="55" t="str">
        <f>IFERROR(__xludf.DUMMYFUNCTION("QUERY('Volunteer Survey'!B18)"),"Ana León")</f>
        <v>Ana León</v>
      </c>
      <c r="M18" s="55" t="str">
        <f>IFERROR(__xludf.DUMMYFUNCTION("QUERY('Volunteer Survey'!E18)"),"aleon@pros.upv.es")</f>
        <v>aleon@pros.upv.es</v>
      </c>
      <c r="N18" s="55" t="str">
        <f>IFERROR(__xludf.DUMMYFUNCTION("QUERY('Volunteer Survey'!F18)"),"PhD Student")</f>
        <v>PhD Student</v>
      </c>
      <c r="O18" s="48" t="str">
        <f>IFERROR(__xludf.DUMMYFUNCTION("QUERY('Volunteer Survey'!H18)"),"Comprehensive")</f>
        <v>Comprehensive</v>
      </c>
      <c r="P18" s="55" t="str">
        <f>IFERROR(__xludf.DUMMYFUNCTION("QUERY('Volunteer Survey'!I18)"),"Gene-Disease Validity")</f>
        <v>Gene-Disease Validity</v>
      </c>
      <c r="Q18" s="60" t="str">
        <f>IFERROR(__xludf.DUMMYFUNCTION("QUERY('Volunteer Survey'!J18)"),"")</f>
        <v/>
      </c>
      <c r="R18" s="55" t="str">
        <f>IFERROR(__xludf.DUMMYFUNCTION("QUERY('Volunteer Survey'!K18)"),"")</f>
        <v/>
      </c>
      <c r="S18" s="55" t="str">
        <f>IFERROR(__xludf.DUMMYFUNCTION("QUERY('Volunteer Survey'!L18)"),"")</f>
        <v/>
      </c>
      <c r="T18" s="55" t="str">
        <f>IFERROR(__xludf.DUMMYFUNCTION("QUERY('Volunteer Survey'!M18)"),"")</f>
        <v/>
      </c>
      <c r="U18" s="64" t="str">
        <f>IFERROR(__xludf.DUMMYFUNCTION("QUERY('Volunteer Survey'!N18)"),"During my research I worked in the identification of variants and genes associated with the studied diseases.")</f>
        <v>During my research I worked in the identification of variants and genes associated with the studied diseases.</v>
      </c>
      <c r="V18" s="55" t="str">
        <f>IFERROR(__xludf.DUMMYFUNCTION("QUERY('Volunteer Survey'!O18)"),"Yes")</f>
        <v>Yes</v>
      </c>
      <c r="W18" s="66" t="str">
        <f>IFERROR(__xludf.DUMMYFUNCTION("QUERY('Volunteer Survey'!P18)"),"")</f>
        <v/>
      </c>
      <c r="X18" s="64" t="str">
        <f>IFERROR(__xludf.DUMMYFUNCTION("QUERY('Volunteer Survey'!R18)"),"Maybe -- please contact me with other options, and I will decide based on what is available")</f>
        <v>Maybe -- please contact me with other options, and I will decide based on what is available</v>
      </c>
      <c r="Y18" s="53"/>
      <c r="Z18" s="68"/>
      <c r="AA18" s="55"/>
      <c r="AB18" s="55"/>
      <c r="AC18" s="55"/>
      <c r="AD18" s="55"/>
      <c r="AE18" s="55"/>
      <c r="AF18" s="55"/>
      <c r="AG18" s="55"/>
      <c r="AH18" s="55"/>
      <c r="AI18" s="55"/>
      <c r="AJ18" s="55"/>
      <c r="AK18" s="55"/>
      <c r="AL18" s="55"/>
      <c r="AM18" s="55"/>
      <c r="AN18" s="55"/>
      <c r="AO18" s="55"/>
    </row>
    <row r="19">
      <c r="A19" s="50">
        <f>IFERROR(__xludf.DUMMYFUNCTION("QUERY('Volunteer Survey'!A19)"),43469.322247662036)</f>
        <v>43469.32225</v>
      </c>
      <c r="B19" s="48" t="s">
        <v>160</v>
      </c>
      <c r="C19" s="79">
        <v>43437.0</v>
      </c>
      <c r="D19" s="56">
        <v>43446.0</v>
      </c>
      <c r="E19" s="48" t="s">
        <v>117</v>
      </c>
      <c r="F19" s="48" t="s">
        <v>117</v>
      </c>
      <c r="G19" s="48" t="s">
        <v>122</v>
      </c>
      <c r="H19" s="51" t="s">
        <v>143</v>
      </c>
      <c r="I19" s="51" t="s">
        <v>139</v>
      </c>
      <c r="J19" s="48"/>
      <c r="K19" s="48"/>
      <c r="L19" s="55" t="str">
        <f>IFERROR(__xludf.DUMMYFUNCTION("QUERY('Volunteer Survey'!B19)"),"Catalina Betancur")</f>
        <v>Catalina Betancur</v>
      </c>
      <c r="M19" s="55" t="str">
        <f>IFERROR(__xludf.DUMMYFUNCTION("QUERY('Volunteer Survey'!E19)"),"Catalina.Betancur@inserm.fr")</f>
        <v>Catalina.Betancur@inserm.fr</v>
      </c>
      <c r="N19" s="55" t="str">
        <f>IFERROR(__xludf.DUMMYFUNCTION("QUERY('Volunteer Survey'!F19)"),"NA")</f>
        <v>NA</v>
      </c>
      <c r="O19" s="48" t="str">
        <f>IFERROR(__xludf.DUMMYFUNCTION("QUERY('Volunteer Survey'!H19)"),"Comprehensive")</f>
        <v>Comprehensive</v>
      </c>
      <c r="P19" s="55" t="str">
        <f>IFERROR(__xludf.DUMMYFUNCTION("QUERY('Volunteer Survey'!I19)"),"Gene-Disease Validity")</f>
        <v>Gene-Disease Validity</v>
      </c>
      <c r="Q19" s="60" t="str">
        <f>IFERROR(__xludf.DUMMYFUNCTION("QUERY('Volunteer Survey'!J19)"),"")</f>
        <v/>
      </c>
      <c r="R19" s="55" t="str">
        <f>IFERROR(__xludf.DUMMYFUNCTION("QUERY('Volunteer Survey'!K19)"),"")</f>
        <v/>
      </c>
      <c r="S19" s="55" t="str">
        <f>IFERROR(__xludf.DUMMYFUNCTION("QUERY('Volunteer Survey'!L19)"),"")</f>
        <v/>
      </c>
      <c r="T19" s="55" t="str">
        <f>IFERROR(__xludf.DUMMYFUNCTION("QUERY('Volunteer Survey'!M19)"),"")</f>
        <v/>
      </c>
      <c r="U19" s="64" t="str">
        <f>IFERROR(__xludf.DUMMYFUNCTION("QUERY('Volunteer Survey'!N19)"),"")</f>
        <v/>
      </c>
      <c r="V19" s="55" t="str">
        <f>IFERROR(__xludf.DUMMYFUNCTION("QUERY('Volunteer Survey'!O19)"),"")</f>
        <v/>
      </c>
      <c r="W19" s="66" t="str">
        <f>IFERROR(__xludf.DUMMYFUNCTION("QUERY('Volunteer Survey'!P19)"),"ID Autism")</f>
        <v>ID Autism</v>
      </c>
      <c r="X19" s="64" t="str">
        <f>IFERROR(__xludf.DUMMYFUNCTION("QUERY('Volunteer Survey'!R19)"),"")</f>
        <v/>
      </c>
      <c r="Y19" s="51" t="s">
        <v>307</v>
      </c>
      <c r="Z19" s="68"/>
      <c r="AA19" s="55"/>
      <c r="AB19" s="55"/>
      <c r="AC19" s="55"/>
      <c r="AD19" s="55"/>
      <c r="AE19" s="55"/>
      <c r="AF19" s="55"/>
      <c r="AG19" s="55"/>
      <c r="AH19" s="55"/>
      <c r="AI19" s="55"/>
      <c r="AJ19" s="55"/>
      <c r="AK19" s="55"/>
      <c r="AL19" s="55"/>
      <c r="AM19" s="55"/>
      <c r="AN19" s="55"/>
      <c r="AO19" s="55"/>
    </row>
    <row r="20">
      <c r="A20" s="50">
        <f>IFERROR(__xludf.DUMMYFUNCTION("QUERY('Volunteer Survey'!A20)"),43469.47069386574)</f>
        <v>43469.47069</v>
      </c>
      <c r="B20" s="48" t="s">
        <v>108</v>
      </c>
      <c r="C20" s="53"/>
      <c r="D20" s="55"/>
      <c r="E20" s="48" t="s">
        <v>130</v>
      </c>
      <c r="F20" s="48" t="s">
        <v>130</v>
      </c>
      <c r="G20" s="48" t="s">
        <v>202</v>
      </c>
      <c r="H20" s="53"/>
      <c r="I20" s="51" t="s">
        <v>139</v>
      </c>
      <c r="J20" s="55"/>
      <c r="K20" s="55"/>
      <c r="L20" s="55" t="str">
        <f>IFERROR(__xludf.DUMMYFUNCTION("QUERY('Volunteer Survey'!B20)"),"Casey Brew")</f>
        <v>Casey Brew</v>
      </c>
      <c r="M20" s="55" t="str">
        <f>IFERROR(__xludf.DUMMYFUNCTION("QUERY('Volunteer Survey'!E20)"),"cbrew@luriechildrens.org")</f>
        <v>cbrew@luriechildrens.org</v>
      </c>
      <c r="N20" s="55" t="str">
        <f>IFERROR(__xludf.DUMMYFUNCTION("QUERY('Volunteer Survey'!F20)"),"Genetic counselor")</f>
        <v>Genetic counselor</v>
      </c>
      <c r="O20" s="48" t="str">
        <f>IFERROR(__xludf.DUMMYFUNCTION("QUERY('Volunteer Survey'!H20)"),"Baseline")</f>
        <v>Baseline</v>
      </c>
      <c r="P20" s="55" t="str">
        <f>IFERROR(__xludf.DUMMYFUNCTION("QUERY('Volunteer Survey'!I20)"),"Variant Pathogenicity")</f>
        <v>Variant Pathogenicity</v>
      </c>
      <c r="Q20" s="60" t="str">
        <f>IFERROR(__xludf.DUMMYFUNCTION("QUERY('Volunteer Survey'!J20)"),"Gene-Disease Validity")</f>
        <v>Gene-Disease Validity</v>
      </c>
      <c r="R20" s="55" t="str">
        <f>IFERROR(__xludf.DUMMYFUNCTION("QUERY('Volunteer Survey'!K20)"),"Clinical Actionability")</f>
        <v>Clinical Actionability</v>
      </c>
      <c r="S20" s="55" t="str">
        <f>IFERROR(__xludf.DUMMYFUNCTION("QUERY('Volunteer Survey'!L20)"),"")</f>
        <v/>
      </c>
      <c r="T20" s="55" t="str">
        <f>IFERROR(__xludf.DUMMYFUNCTION("QUERY('Volunteer Survey'!M20)"),"")</f>
        <v/>
      </c>
      <c r="U20" s="64" t="str">
        <f>IFERROR(__xludf.DUMMYFUNCTION("QUERY('Volunteer Survey'!N20)"),"I have experience in sequence variant interpretation and report writing for clinical cases through our in-house molecular diagnostics lab. ")</f>
        <v>I have experience in sequence variant interpretation and report writing for clinical cases through our in-house molecular diagnostics lab. </v>
      </c>
      <c r="V20" s="55" t="str">
        <f>IFERROR(__xludf.DUMMYFUNCTION("QUERY('Volunteer Survey'!O20)"),"Possibly")</f>
        <v>Possibly</v>
      </c>
      <c r="W20" s="66" t="str">
        <f>IFERROR(__xludf.DUMMYFUNCTION("QUERY('Volunteer Survey'!P20)"),"I would be most interested in the Inherited Cardiomyopathy Variant Curation Expert Panel, but I am open to just about anything.")</f>
        <v>I would be most interested in the Inherited Cardiomyopathy Variant Curation Expert Panel, but I am open to just about anything.</v>
      </c>
      <c r="X20" s="64" t="str">
        <f>IFERROR(__xludf.DUMMYFUNCTION("QUERY('Volunteer Survey'!R20)"),"Yes- I am willing to volunteer with any available ClinGen group")</f>
        <v>Yes- I am willing to volunteer with any available ClinGen group</v>
      </c>
      <c r="Y20" s="53"/>
      <c r="Z20" s="68"/>
      <c r="AA20" s="55"/>
      <c r="AB20" s="55"/>
      <c r="AC20" s="55"/>
      <c r="AD20" s="55"/>
      <c r="AE20" s="55"/>
      <c r="AF20" s="55"/>
      <c r="AG20" s="55"/>
      <c r="AH20" s="55"/>
      <c r="AI20" s="55"/>
      <c r="AJ20" s="55"/>
      <c r="AK20" s="55"/>
      <c r="AL20" s="55"/>
      <c r="AM20" s="55"/>
      <c r="AN20" s="55"/>
      <c r="AO20" s="55"/>
    </row>
    <row r="21">
      <c r="A21" s="50">
        <f>IFERROR(__xludf.DUMMYFUNCTION("QUERY('Volunteer Survey'!A21)"),43472.425777592594)</f>
        <v>43472.42578</v>
      </c>
      <c r="B21" s="48" t="s">
        <v>108</v>
      </c>
      <c r="C21" s="53"/>
      <c r="D21" s="65">
        <v>43580.0</v>
      </c>
      <c r="E21" s="48" t="s">
        <v>117</v>
      </c>
      <c r="F21" s="48" t="s">
        <v>117</v>
      </c>
      <c r="G21" s="48" t="s">
        <v>163</v>
      </c>
      <c r="H21" s="53"/>
      <c r="I21" s="51" t="s">
        <v>139</v>
      </c>
      <c r="J21" s="56">
        <v>43712.0</v>
      </c>
      <c r="K21" s="56"/>
      <c r="L21" s="55" t="str">
        <f>IFERROR(__xludf.DUMMYFUNCTION("QUERY('Volunteer Survey'!B21)"),"Shulin Zhang")</f>
        <v>Shulin Zhang</v>
      </c>
      <c r="M21" s="55" t="str">
        <f>IFERROR(__xludf.DUMMYFUNCTION("QUERY('Volunteer Survey'!E21)"),"shulin.zhang@uky.edu")</f>
        <v>shulin.zhang@uky.edu</v>
      </c>
      <c r="N21" s="55" t="str">
        <f>IFERROR(__xludf.DUMMYFUNCTION("QUERY('Volunteer Survey'!F21)"),"Clinical laboratory geneticist")</f>
        <v>Clinical laboratory geneticist</v>
      </c>
      <c r="O21" s="48" t="str">
        <f>IFERROR(__xludf.DUMMYFUNCTION("QUERY('Volunteer Survey'!H21)"),"Comprehensive")</f>
        <v>Comprehensive</v>
      </c>
      <c r="P21" s="55" t="str">
        <f>IFERROR(__xludf.DUMMYFUNCTION("QUERY('Volunteer Survey'!I21)"),"Dosage Sensitivity")</f>
        <v>Dosage Sensitivity</v>
      </c>
      <c r="Q21" s="60" t="str">
        <f>IFERROR(__xludf.DUMMYFUNCTION("QUERY('Volunteer Survey'!J21)"),"Variant Pathogenicity")</f>
        <v>Variant Pathogenicity</v>
      </c>
      <c r="R21" s="55" t="str">
        <f>IFERROR(__xludf.DUMMYFUNCTION("QUERY('Volunteer Survey'!K21)"),"Gene-Disease Validity")</f>
        <v>Gene-Disease Validity</v>
      </c>
      <c r="S21" s="55" t="str">
        <f>IFERROR(__xludf.DUMMYFUNCTION("QUERY('Volunteer Survey'!L21)"),"Somatic Cancer")</f>
        <v>Somatic Cancer</v>
      </c>
      <c r="T21" s="55" t="str">
        <f>IFERROR(__xludf.DUMMYFUNCTION("QUERY('Volunteer Survey'!M21)"),"Clinical Actionability")</f>
        <v>Clinical Actionability</v>
      </c>
      <c r="U21" s="64" t="str">
        <f>IFERROR(__xludf.DUMMYFUNCTION("QUERY('Volunteer Survey'!N21)"),"No")</f>
        <v>No</v>
      </c>
      <c r="V21" s="55" t="str">
        <f>IFERROR(__xludf.DUMMYFUNCTION("QUERY('Volunteer Survey'!O21)"),"No")</f>
        <v>No</v>
      </c>
      <c r="W21" s="66" t="str">
        <f>IFERROR(__xludf.DUMMYFUNCTION("QUERY('Volunteer Survey'!P21)"),"1) Dosage sensitivity working group expert panel (inherited cancers) 2) Colorectal cancer 3) mitochondrial diseases")</f>
        <v>1) Dosage sensitivity working group expert panel (inherited cancers) 2) Colorectal cancer 3) mitochondrial diseases</v>
      </c>
      <c r="X21" s="64" t="str">
        <f>IFERROR(__xludf.DUMMYFUNCTION("QUERY('Volunteer Survey'!R21)"),"Maybe -- please contact me with other options, and I will decide based on what is available")</f>
        <v>Maybe -- please contact me with other options, and I will decide based on what is available</v>
      </c>
      <c r="Y21" s="53"/>
      <c r="Z21" s="68"/>
      <c r="AA21" s="55"/>
      <c r="AB21" s="55"/>
      <c r="AC21" s="55"/>
      <c r="AD21" s="55"/>
      <c r="AE21" s="55"/>
      <c r="AF21" s="55"/>
      <c r="AG21" s="55"/>
      <c r="AH21" s="55"/>
      <c r="AI21" s="55"/>
      <c r="AJ21" s="55"/>
      <c r="AK21" s="55"/>
      <c r="AL21" s="55"/>
      <c r="AM21" s="55"/>
      <c r="AN21" s="55"/>
      <c r="AO21" s="55"/>
    </row>
    <row r="22">
      <c r="A22" s="50">
        <f>IFERROR(__xludf.DUMMYFUNCTION("QUERY('Volunteer Survey'!A22)"),43472.537255601856)</f>
        <v>43472.53726</v>
      </c>
      <c r="B22" s="48" t="s">
        <v>108</v>
      </c>
      <c r="C22" s="53"/>
      <c r="D22" s="73">
        <v>43567.0</v>
      </c>
      <c r="E22" s="48" t="s">
        <v>117</v>
      </c>
      <c r="F22" s="48" t="s">
        <v>130</v>
      </c>
      <c r="G22" s="48" t="s">
        <v>19</v>
      </c>
      <c r="H22" s="69"/>
      <c r="I22" s="69" t="s">
        <v>139</v>
      </c>
      <c r="J22" s="55"/>
      <c r="K22" s="55"/>
      <c r="L22" s="55" t="str">
        <f>IFERROR(__xludf.DUMMYFUNCTION("QUERY('Volunteer Survey'!B22)"),"Marwan Shinawi")</f>
        <v>Marwan Shinawi</v>
      </c>
      <c r="M22" s="55" t="str">
        <f>IFERROR(__xludf.DUMMYFUNCTION("QUERY('Volunteer Survey'!E22)"),"mshinawi@wustl.edu")</f>
        <v>mshinawi@wustl.edu</v>
      </c>
      <c r="N22" s="55" t="str">
        <f>IFERROR(__xludf.DUMMYFUNCTION("QUERY('Volunteer Survey'!F22)"),"Clinical Medical Geneticist")</f>
        <v>Clinical Medical Geneticist</v>
      </c>
      <c r="O22" s="48" t="str">
        <f>IFERROR(__xludf.DUMMYFUNCTION("QUERY('Volunteer Survey'!H22)"),"Comprehensive")</f>
        <v>Comprehensive</v>
      </c>
      <c r="P22" s="55" t="str">
        <f>IFERROR(__xludf.DUMMYFUNCTION("QUERY('Volunteer Survey'!I22)"),"Clinical Actionability")</f>
        <v>Clinical Actionability</v>
      </c>
      <c r="Q22" s="60" t="str">
        <f>IFERROR(__xludf.DUMMYFUNCTION("QUERY('Volunteer Survey'!J22)"),"Gene-Disease Validity")</f>
        <v>Gene-Disease Validity</v>
      </c>
      <c r="R22" s="55" t="str">
        <f>IFERROR(__xludf.DUMMYFUNCTION("QUERY('Volunteer Survey'!K22)"),"Variant Pathogenicity")</f>
        <v>Variant Pathogenicity</v>
      </c>
      <c r="S22" s="55" t="str">
        <f>IFERROR(__xludf.DUMMYFUNCTION("QUERY('Volunteer Survey'!L22)"),"Dosage Sensitivity")</f>
        <v>Dosage Sensitivity</v>
      </c>
      <c r="T22" s="55" t="str">
        <f>IFERROR(__xludf.DUMMYFUNCTION("QUERY('Volunteer Survey'!M22)"),"Somatic Cancer")</f>
        <v>Somatic Cancer</v>
      </c>
      <c r="U22" s="64" t="str">
        <f>IFERROR(__xludf.DUMMYFUNCTION("QUERY('Volunteer Survey'!N22)"),"To some extent")</f>
        <v>To some extent</v>
      </c>
      <c r="V22" s="55" t="str">
        <f>IFERROR(__xludf.DUMMYFUNCTION("QUERY('Volunteer Survey'!O22)"),"Yes")</f>
        <v>Yes</v>
      </c>
      <c r="W22" s="66" t="str">
        <f>IFERROR(__xludf.DUMMYFUNCTION("QUERY('Volunteer Survey'!P22)"),"Autism and Intellectual Disability Gene Curation Expert Panel")</f>
        <v>Autism and Intellectual Disability Gene Curation Expert Panel</v>
      </c>
      <c r="X22" s="64" t="str">
        <f>IFERROR(__xludf.DUMMYFUNCTION("QUERY('Volunteer Survey'!R22)"),"No - I am only interested in the group(s) I previously indicated")</f>
        <v>No - I am only interested in the group(s) I previously indicated</v>
      </c>
      <c r="Y22" s="53"/>
      <c r="Z22" s="68"/>
      <c r="AA22" s="55"/>
      <c r="AB22" s="55"/>
      <c r="AC22" s="55"/>
      <c r="AD22" s="55"/>
      <c r="AE22" s="55"/>
      <c r="AF22" s="55"/>
      <c r="AG22" s="55"/>
      <c r="AH22" s="55"/>
      <c r="AI22" s="55"/>
      <c r="AJ22" s="55"/>
      <c r="AK22" s="55"/>
      <c r="AL22" s="55"/>
      <c r="AM22" s="55"/>
      <c r="AN22" s="55"/>
      <c r="AO22" s="55"/>
    </row>
    <row r="23">
      <c r="A23" s="50">
        <f>IFERROR(__xludf.DUMMYFUNCTION("QUERY('Volunteer Survey'!A23)"),43473.39076508102)</f>
        <v>43473.39077</v>
      </c>
      <c r="B23" s="48" t="s">
        <v>108</v>
      </c>
      <c r="C23" s="53"/>
      <c r="D23" s="65">
        <v>43605.0</v>
      </c>
      <c r="E23" s="48" t="s">
        <v>117</v>
      </c>
      <c r="F23" s="48" t="s">
        <v>117</v>
      </c>
      <c r="G23" s="48" t="s">
        <v>251</v>
      </c>
      <c r="H23" s="51" t="s">
        <v>252</v>
      </c>
      <c r="I23" s="51" t="s">
        <v>139</v>
      </c>
      <c r="J23" s="56">
        <v>43712.0</v>
      </c>
      <c r="K23" s="56"/>
      <c r="L23" s="55" t="str">
        <f>IFERROR(__xludf.DUMMYFUNCTION("QUERY('Volunteer Survey'!B23)"),"Adam Coovadia")</f>
        <v>Adam Coovadia</v>
      </c>
      <c r="M23" s="55" t="str">
        <f>IFERROR(__xludf.DUMMYFUNCTION("QUERY('Volunteer Survey'!E23)"),"coovadiaa@gmail.com")</f>
        <v>coovadiaa@gmail.com</v>
      </c>
      <c r="N23" s="55" t="str">
        <f>IFERROR(__xludf.DUMMYFUNCTION("QUERY('Volunteer Survey'!F23)"),"Former Lab Operations Director/Molecular Genetics Lab Supervisor and College Professor of Bioinformatics, Genetics, Cell Biology, Biotechnology")</f>
        <v>Former Lab Operations Director/Molecular Genetics Lab Supervisor and College Professor of Bioinformatics, Genetics, Cell Biology, Biotechnology</v>
      </c>
      <c r="O23" s="48" t="str">
        <f>IFERROR(__xludf.DUMMYFUNCTION("QUERY('Volunteer Survey'!H23)"),"Comprehensive")</f>
        <v>Comprehensive</v>
      </c>
      <c r="P23" s="55" t="str">
        <f>IFERROR(__xludf.DUMMYFUNCTION("QUERY('Volunteer Survey'!I23)"),"Variant Pathogenicity")</f>
        <v>Variant Pathogenicity</v>
      </c>
      <c r="Q23" s="60" t="str">
        <f>IFERROR(__xludf.DUMMYFUNCTION("QUERY('Volunteer Survey'!J23)"),"Gene-Disease Validity")</f>
        <v>Gene-Disease Validity</v>
      </c>
      <c r="R23" s="55" t="str">
        <f>IFERROR(__xludf.DUMMYFUNCTION("QUERY('Volunteer Survey'!K23)"),"Somatic Cancer")</f>
        <v>Somatic Cancer</v>
      </c>
      <c r="S23" s="55" t="str">
        <f>IFERROR(__xludf.DUMMYFUNCTION("QUERY('Volunteer Survey'!L23)"),"Clinical Actionability")</f>
        <v>Clinical Actionability</v>
      </c>
      <c r="T23" s="55" t="str">
        <f>IFERROR(__xludf.DUMMYFUNCTION("QUERY('Volunteer Survey'!M23)"),"Dosage Sensitivity")</f>
        <v>Dosage Sensitivity</v>
      </c>
      <c r="U23" s="64" t="str">
        <f>IFERROR(__xludf.DUMMYFUNCTION("QUERY('Volunteer Survey'!N23)"),"")</f>
        <v/>
      </c>
      <c r="V23" s="55" t="str">
        <f>IFERROR(__xludf.DUMMYFUNCTION("QUERY('Volunteer Survey'!O23)"),"Yes")</f>
        <v>Yes</v>
      </c>
      <c r="W23" s="66" t="str">
        <f>IFERROR(__xludf.DUMMYFUNCTION("QUERY('Volunteer Survey'!P23)"),"")</f>
        <v/>
      </c>
      <c r="X23" s="64" t="str">
        <f>IFERROR(__xludf.DUMMYFUNCTION("QUERY('Volunteer Survey'!R23)"),"Yes- I am willing to volunteer with any available ClinGen group")</f>
        <v>Yes- I am willing to volunteer with any available ClinGen group</v>
      </c>
      <c r="Y23" s="53"/>
      <c r="Z23" s="68"/>
      <c r="AA23" s="55"/>
      <c r="AB23" s="55"/>
      <c r="AC23" s="55"/>
      <c r="AD23" s="55"/>
      <c r="AE23" s="55"/>
      <c r="AF23" s="55"/>
      <c r="AG23" s="55"/>
      <c r="AH23" s="55"/>
      <c r="AI23" s="55"/>
      <c r="AJ23" s="55"/>
      <c r="AK23" s="55"/>
      <c r="AL23" s="55"/>
      <c r="AM23" s="55"/>
      <c r="AN23" s="55"/>
      <c r="AO23" s="55"/>
    </row>
    <row r="24">
      <c r="A24" s="50">
        <f>IFERROR(__xludf.DUMMYFUNCTION("QUERY('Volunteer Survey'!A24)"),43332.58121527778)</f>
        <v>43332.58122</v>
      </c>
      <c r="B24" s="48" t="s">
        <v>160</v>
      </c>
      <c r="C24" s="79">
        <v>43446.0</v>
      </c>
      <c r="D24" s="56">
        <v>43446.0</v>
      </c>
      <c r="E24" s="48" t="s">
        <v>117</v>
      </c>
      <c r="F24" s="48" t="s">
        <v>117</v>
      </c>
      <c r="G24" s="48" t="s">
        <v>122</v>
      </c>
      <c r="H24" s="51" t="s">
        <v>20</v>
      </c>
      <c r="I24" s="51" t="s">
        <v>139</v>
      </c>
      <c r="J24" s="56">
        <v>43592.0</v>
      </c>
      <c r="K24" s="56">
        <v>43713.0</v>
      </c>
      <c r="L24" s="55" t="str">
        <f>IFERROR(__xludf.DUMMYFUNCTION("QUERY('Volunteer Survey'!B24)"),"Volkan Okur")</f>
        <v>Volkan Okur</v>
      </c>
      <c r="M24" s="55" t="str">
        <f>IFERROR(__xludf.DUMMYFUNCTION("QUERY('Volunteer Survey'!E24)"),"vokur@bcm.edu")</f>
        <v>vokur@bcm.edu</v>
      </c>
      <c r="N24" s="55" t="str">
        <f>IFERROR(__xludf.DUMMYFUNCTION("QUERY('Volunteer Survey'!F24)"),"Clinical medical geneticist/Clinical laboratory geneticist/Post Doc/Resident/Fellow (MD and/or Phd)/Scientific Researcher/Variant Analyst/Scientist")</f>
        <v>Clinical medical geneticist/Clinical laboratory geneticist/Post Doc/Resident/Fellow (MD and/or Phd)/Scientific Researcher/Variant Analyst/Scientist</v>
      </c>
      <c r="O24" s="48" t="str">
        <f>IFERROR(__xludf.DUMMYFUNCTION("QUERY('Volunteer Survey'!H24)"),"Comprehensive")</f>
        <v>Comprehensive</v>
      </c>
      <c r="P24" s="55" t="str">
        <f>IFERROR(__xludf.DUMMYFUNCTION("QUERY('Volunteer Survey'!I24)"),"Gene-Disease Validity")</f>
        <v>Gene-Disease Validity</v>
      </c>
      <c r="Q24" s="60" t="str">
        <f>IFERROR(__xludf.DUMMYFUNCTION("QUERY('Volunteer Survey'!J24)"),"Variant Pathogenicity")</f>
        <v>Variant Pathogenicity</v>
      </c>
      <c r="R24" s="55" t="str">
        <f>IFERROR(__xludf.DUMMYFUNCTION("QUERY('Volunteer Survey'!K24)"),"Actionability")</f>
        <v>Actionability</v>
      </c>
      <c r="S24" s="55" t="str">
        <f>IFERROR(__xludf.DUMMYFUNCTION("QUERY('Volunteer Survey'!L24)"),"Somatic Cancer")</f>
        <v>Somatic Cancer</v>
      </c>
      <c r="T24" s="55" t="str">
        <f>IFERROR(__xludf.DUMMYFUNCTION("QUERY('Volunteer Survey'!M24)"),"Dosage Sensitivity")</f>
        <v>Dosage Sensitivity</v>
      </c>
      <c r="U24" s="64" t="str">
        <f>IFERROR(__xludf.DUMMYFUNCTION("QUERY('Volunteer Survey'!N24)"),"Yes")</f>
        <v>Yes</v>
      </c>
      <c r="V24" s="55" t="str">
        <f>IFERROR(__xludf.DUMMYFUNCTION("QUERY('Volunteer Survey'!O24)"),"")</f>
        <v/>
      </c>
      <c r="W24" s="66" t="str">
        <f>IFERROR(__xludf.DUMMYFUNCTION("QUERY('Volunteer Survey'!P24)"),"any expert panel of hereditary cancer and/or inborn errors of metabolism domains. ClinVar experts can decide where I would be of the most help.")</f>
        <v>any expert panel of hereditary cancer and/or inborn errors of metabolism domains. ClinVar experts can decide where I would be of the most help.</v>
      </c>
      <c r="X24" s="64" t="str">
        <f>IFERROR(__xludf.DUMMYFUNCTION("QUERY('Volunteer Survey'!R24)"),"")</f>
        <v/>
      </c>
      <c r="Y24" s="53"/>
      <c r="Z24" s="68"/>
      <c r="AA24" s="55"/>
      <c r="AB24" s="55"/>
      <c r="AC24" s="55"/>
      <c r="AD24" s="55"/>
      <c r="AE24" s="55"/>
      <c r="AF24" s="55"/>
      <c r="AG24" s="55"/>
      <c r="AH24" s="55"/>
      <c r="AI24" s="55"/>
      <c r="AJ24" s="55"/>
      <c r="AK24" s="55"/>
      <c r="AL24" s="55"/>
      <c r="AM24" s="55"/>
      <c r="AN24" s="55"/>
      <c r="AO24" s="55"/>
    </row>
    <row r="25">
      <c r="A25" s="50">
        <f>IFERROR(__xludf.DUMMYFUNCTION("QUERY('Volunteer Survey'!A25)"),43332.58226851852)</f>
        <v>43332.58227</v>
      </c>
      <c r="B25" s="48" t="s">
        <v>160</v>
      </c>
      <c r="C25" s="79">
        <v>43411.0</v>
      </c>
      <c r="D25" s="56">
        <v>43446.0</v>
      </c>
      <c r="E25" s="48" t="s">
        <v>117</v>
      </c>
      <c r="F25" s="48" t="s">
        <v>117</v>
      </c>
      <c r="G25" s="48" t="s">
        <v>122</v>
      </c>
      <c r="H25" s="51" t="s">
        <v>197</v>
      </c>
      <c r="I25" s="51" t="s">
        <v>139</v>
      </c>
      <c r="J25" s="56">
        <v>43592.0</v>
      </c>
      <c r="K25" s="56">
        <v>43713.0</v>
      </c>
      <c r="L25" s="55" t="str">
        <f>IFERROR(__xludf.DUMMYFUNCTION("QUERY('Volunteer Survey'!B25)"),"Mythily Ganapathi")</f>
        <v>Mythily Ganapathi</v>
      </c>
      <c r="M25" s="55" t="str">
        <f>IFERROR(__xludf.DUMMYFUNCTION("QUERY('Volunteer Survey'!E25)"),"mg3560@cumc.columbia.edu")</f>
        <v>mg3560@cumc.columbia.edu</v>
      </c>
      <c r="N25" s="55" t="str">
        <f>IFERROR(__xludf.DUMMYFUNCTION("QUERY('Volunteer Survey'!F25)"),"Clinical laboratory geneticist")</f>
        <v>Clinical laboratory geneticist</v>
      </c>
      <c r="O25" s="48" t="str">
        <f>IFERROR(__xludf.DUMMYFUNCTION("QUERY('Volunteer Survey'!H25)"),"Comprehensive")</f>
        <v>Comprehensive</v>
      </c>
      <c r="P25" s="55" t="str">
        <f>IFERROR(__xludf.DUMMYFUNCTION("QUERY('Volunteer Survey'!I25)"),"Gene-Disease Validity")</f>
        <v>Gene-Disease Validity</v>
      </c>
      <c r="Q25" s="60" t="str">
        <f>IFERROR(__xludf.DUMMYFUNCTION("QUERY('Volunteer Survey'!J25)"),"Variant Pathogenicity")</f>
        <v>Variant Pathogenicity</v>
      </c>
      <c r="R25" s="55" t="str">
        <f>IFERROR(__xludf.DUMMYFUNCTION("QUERY('Volunteer Survey'!K25)"),"Actionability")</f>
        <v>Actionability</v>
      </c>
      <c r="S25" s="55" t="str">
        <f>IFERROR(__xludf.DUMMYFUNCTION("QUERY('Volunteer Survey'!L25)"),"")</f>
        <v/>
      </c>
      <c r="T25" s="55" t="str">
        <f>IFERROR(__xludf.DUMMYFUNCTION("QUERY('Volunteer Survey'!M25)"),"")</f>
        <v/>
      </c>
      <c r="U25" s="64" t="str">
        <f>IFERROR(__xludf.DUMMYFUNCTION("QUERY('Volunteer Survey'!N25)"),"Yes")</f>
        <v>Yes</v>
      </c>
      <c r="V25" s="55" t="str">
        <f>IFERROR(__xludf.DUMMYFUNCTION("QUERY('Volunteer Survey'!O25)"),"")</f>
        <v/>
      </c>
      <c r="W25" s="66" t="str">
        <f>IFERROR(__xludf.DUMMYFUNCTION("QUERY('Volunteer Survey'!P25)"),"Cardiovascular Dilated Cardiomyopathy Gene Curation Expert Panel (In progress) Cardiovascular Familial Hypercholesterolemia Variant Curation Expert Panel (In progress) Cardiovascular KCNQ1 Variant Curation Expert Panel (In progress) Cardiovascular LQTS Ge"&amp;"ne Curation Expert Panel (In progress) Cardiovascular KCNQ1 Variant Curation Expert Panel")</f>
        <v>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v>
      </c>
      <c r="X25" s="64" t="str">
        <f>IFERROR(__xludf.DUMMYFUNCTION("QUERY('Volunteer Survey'!R25)"),"")</f>
        <v/>
      </c>
      <c r="Y25" s="53"/>
      <c r="Z25" s="68"/>
      <c r="AA25" s="55"/>
      <c r="AB25" s="55"/>
      <c r="AC25" s="55"/>
      <c r="AD25" s="55"/>
      <c r="AE25" s="55"/>
      <c r="AF25" s="55"/>
      <c r="AG25" s="55"/>
      <c r="AH25" s="55"/>
      <c r="AI25" s="55"/>
      <c r="AJ25" s="55"/>
      <c r="AK25" s="55"/>
      <c r="AL25" s="55"/>
      <c r="AM25" s="55"/>
      <c r="AN25" s="55"/>
      <c r="AO25" s="55"/>
    </row>
    <row r="26">
      <c r="A26" s="86">
        <f>IFERROR(__xludf.DUMMYFUNCTION("QUERY('Volunteer Survey'!A26)"),43332.58315972222)</f>
        <v>43332.58316</v>
      </c>
      <c r="B26" s="48" t="s">
        <v>168</v>
      </c>
      <c r="C26" s="87"/>
      <c r="D26" s="65">
        <v>43585.0</v>
      </c>
      <c r="E26" s="48" t="s">
        <v>117</v>
      </c>
      <c r="F26" s="48" t="s">
        <v>130</v>
      </c>
      <c r="G26" s="48" t="s">
        <v>122</v>
      </c>
      <c r="H26" s="53"/>
      <c r="I26" s="51" t="s">
        <v>139</v>
      </c>
      <c r="J26" s="55"/>
      <c r="K26" s="55"/>
      <c r="L26" s="55" t="str">
        <f>IFERROR(__xludf.DUMMYFUNCTION("QUERY('Volunteer Survey'!B26)"),"Leslie Oldfield")</f>
        <v>Leslie Oldfield</v>
      </c>
      <c r="M26" s="55" t="str">
        <f>IFERROR(__xludf.DUMMYFUNCTION("QUERY('Volunteer Survey'!E26)"),"leslie.oldfield@gmail.com")</f>
        <v>leslie.oldfield@gmail.com</v>
      </c>
      <c r="N26" s="55" t="str">
        <f>IFERROR(__xludf.DUMMYFUNCTION("QUERY('Volunteer Survey'!F26)"),"Research Associate")</f>
        <v>Research Associate</v>
      </c>
      <c r="O26" s="48" t="str">
        <f>IFERROR(__xludf.DUMMYFUNCTION("QUERY('Volunteer Survey'!H26)"),"Comprehensive")</f>
        <v>Comprehensive</v>
      </c>
      <c r="P26" s="55" t="str">
        <f>IFERROR(__xludf.DUMMYFUNCTION("QUERY('Volunteer Survey'!I26)"),"Gene-Disease Validity")</f>
        <v>Gene-Disease Validity</v>
      </c>
      <c r="Q26" s="60" t="str">
        <f>IFERROR(__xludf.DUMMYFUNCTION("QUERY('Volunteer Survey'!J26)"),"Variant Pathogenicity")</f>
        <v>Variant Pathogenicity</v>
      </c>
      <c r="R26" s="55" t="str">
        <f>IFERROR(__xludf.DUMMYFUNCTION("QUERY('Volunteer Survey'!K26)"),"Actionability")</f>
        <v>Actionability</v>
      </c>
      <c r="S26" s="55" t="str">
        <f>IFERROR(__xludf.DUMMYFUNCTION("QUERY('Volunteer Survey'!L26)"),"Somatic Cancer")</f>
        <v>Somatic Cancer</v>
      </c>
      <c r="T26" s="55" t="str">
        <f>IFERROR(__xludf.DUMMYFUNCTION("QUERY('Volunteer Survey'!M26)"),"")</f>
        <v/>
      </c>
      <c r="U26" s="64" t="str">
        <f>IFERROR(__xludf.DUMMYFUNCTION("QUERY('Volunteer Survey'!N26)"),"Yes")</f>
        <v>Yes</v>
      </c>
      <c r="V26" s="55" t="str">
        <f>IFERROR(__xludf.DUMMYFUNCTION("QUERY('Volunteer Survey'!O26)"),"")</f>
        <v/>
      </c>
      <c r="W26" s="66" t="str">
        <f>IFERROR(__xludf.DUMMYFUNCTION("QUERY('Volunteer Survey'!P26)"),"Breast and Ovarian Cancer Gene Curation Expert Panel, Colon Cancer and Polyposis Gene Curation Expert Panel, and the Hereditary Cancer Gene Curation Expert Pane")</f>
        <v>Breast and Ovarian Cancer Gene Curation Expert Panel, Colon Cancer and Polyposis Gene Curation Expert Panel, and the Hereditary Cancer Gene Curation Expert Pane</v>
      </c>
      <c r="X26" s="64" t="str">
        <f>IFERROR(__xludf.DUMMYFUNCTION("QUERY('Volunteer Survey'!R26)"),"")</f>
        <v/>
      </c>
      <c r="Y26" s="53"/>
      <c r="Z26" s="68"/>
      <c r="AA26" s="55"/>
      <c r="AB26" s="55"/>
      <c r="AC26" s="55"/>
      <c r="AD26" s="55"/>
      <c r="AE26" s="55"/>
      <c r="AF26" s="55"/>
      <c r="AG26" s="55"/>
      <c r="AH26" s="55"/>
      <c r="AI26" s="55"/>
      <c r="AJ26" s="55"/>
      <c r="AK26" s="55"/>
      <c r="AL26" s="55"/>
      <c r="AM26" s="55"/>
      <c r="AN26" s="55"/>
      <c r="AO26" s="55"/>
    </row>
    <row r="27">
      <c r="A27" s="50">
        <f>IFERROR(__xludf.DUMMYFUNCTION("QUERY('Volunteer Survey'!A27)"),43333.58667824074)</f>
        <v>43333.58668</v>
      </c>
      <c r="B27" s="48" t="s">
        <v>160</v>
      </c>
      <c r="C27" s="87">
        <v>43411.0</v>
      </c>
      <c r="D27" s="56">
        <v>43446.0</v>
      </c>
      <c r="E27" s="48" t="s">
        <v>117</v>
      </c>
      <c r="F27" s="48" t="s">
        <v>117</v>
      </c>
      <c r="G27" s="48" t="s">
        <v>122</v>
      </c>
      <c r="H27" s="51" t="s">
        <v>287</v>
      </c>
      <c r="I27" s="51" t="s">
        <v>139</v>
      </c>
      <c r="J27" s="56">
        <v>43592.0</v>
      </c>
      <c r="K27" s="56">
        <v>43713.0</v>
      </c>
      <c r="L27" s="55" t="str">
        <f>IFERROR(__xludf.DUMMYFUNCTION("QUERY('Volunteer Survey'!B27)"),"John Shoffner")</f>
        <v>John Shoffner</v>
      </c>
      <c r="M27" s="55" t="str">
        <f>IFERROR(__xludf.DUMMYFUNCTION("QUERY('Volunteer Survey'!E27)"),"jmsiv9903@icloud.com")</f>
        <v>jmsiv9903@icloud.com</v>
      </c>
      <c r="N27" s="55" t="str">
        <f>IFERROR(__xludf.DUMMYFUNCTION("QUERY('Volunteer Survey'!F27)"),"Clinical medical geneticist/Clinical laboratory geneticist and Neurology, Biochemical and Molecular Genetics")</f>
        <v>Clinical medical geneticist/Clinical laboratory geneticist and Neurology, Biochemical and Molecular Genetics</v>
      </c>
      <c r="O27" s="48" t="str">
        <f>IFERROR(__xludf.DUMMYFUNCTION("QUERY('Volunteer Survey'!H27)"),"Comprehensive")</f>
        <v>Comprehensive</v>
      </c>
      <c r="P27" s="55" t="str">
        <f>IFERROR(__xludf.DUMMYFUNCTION("QUERY('Volunteer Survey'!I27)"),"Gene-Disease Validity")</f>
        <v>Gene-Disease Validity</v>
      </c>
      <c r="Q27" s="60" t="str">
        <f>IFERROR(__xludf.DUMMYFUNCTION("QUERY('Volunteer Survey'!J27)"),"Variant Pathogenicity")</f>
        <v>Variant Pathogenicity</v>
      </c>
      <c r="R27" s="55" t="str">
        <f>IFERROR(__xludf.DUMMYFUNCTION("QUERY('Volunteer Survey'!K27)"),"Actionability")</f>
        <v>Actionability</v>
      </c>
      <c r="S27" s="55" t="str">
        <f>IFERROR(__xludf.DUMMYFUNCTION("QUERY('Volunteer Survey'!L27)"),"Dosage Sensitivity")</f>
        <v>Dosage Sensitivity</v>
      </c>
      <c r="T27" s="55" t="str">
        <f>IFERROR(__xludf.DUMMYFUNCTION("QUERY('Volunteer Survey'!M27)"),"")</f>
        <v/>
      </c>
      <c r="U27" s="64" t="str">
        <f>IFERROR(__xludf.DUMMYFUNCTION("QUERY('Volunteer Survey'!N27)"),"Yes")</f>
        <v>Yes</v>
      </c>
      <c r="V27" s="55" t="str">
        <f>IFERROR(__xludf.DUMMYFUNCTION("QUERY('Volunteer Survey'!O27)"),"")</f>
        <v/>
      </c>
      <c r="W27" s="66" t="str">
        <f>IFERROR(__xludf.DUMMYFUNCTION("QUERY('Volunteer Survey'!P27)"),"Mitochondrial disease gene and variant expert curation panel; Dilated cardiomyopathy; Fatty acid oxidation; Neuromuscular disease")</f>
        <v>Mitochondrial disease gene and variant expert curation panel; Dilated cardiomyopathy; Fatty acid oxidation; Neuromuscular disease</v>
      </c>
      <c r="X27" s="64" t="str">
        <f>IFERROR(__xludf.DUMMYFUNCTION("QUERY('Volunteer Survey'!R27)"),"")</f>
        <v/>
      </c>
      <c r="Y27" s="53"/>
      <c r="Z27" s="68"/>
      <c r="AA27" s="55"/>
      <c r="AB27" s="55"/>
      <c r="AC27" s="55"/>
      <c r="AD27" s="55"/>
      <c r="AE27" s="55"/>
      <c r="AF27" s="55"/>
      <c r="AG27" s="55"/>
      <c r="AH27" s="55"/>
      <c r="AI27" s="55"/>
      <c r="AJ27" s="55"/>
      <c r="AK27" s="55"/>
      <c r="AL27" s="55"/>
      <c r="AM27" s="55"/>
      <c r="AN27" s="55"/>
      <c r="AO27" s="55"/>
    </row>
    <row r="28">
      <c r="A28" s="50">
        <f>IFERROR(__xludf.DUMMYFUNCTION("QUERY('Volunteer Survey'!A28)"),43335.587488425925)</f>
        <v>43335.58749</v>
      </c>
      <c r="B28" s="48" t="s">
        <v>160</v>
      </c>
      <c r="C28" s="87">
        <v>43411.0</v>
      </c>
      <c r="D28" s="56">
        <v>43446.0</v>
      </c>
      <c r="E28" s="48" t="s">
        <v>117</v>
      </c>
      <c r="F28" s="48" t="s">
        <v>117</v>
      </c>
      <c r="G28" s="48" t="s">
        <v>122</v>
      </c>
      <c r="H28" s="51" t="s">
        <v>287</v>
      </c>
      <c r="I28" s="51" t="s">
        <v>139</v>
      </c>
      <c r="J28" s="56">
        <v>43592.0</v>
      </c>
      <c r="K28" s="56">
        <v>43713.0</v>
      </c>
      <c r="L28" s="55" t="str">
        <f>IFERROR(__xludf.DUMMYFUNCTION("QUERY('Volunteer Survey'!B28)"),"Isabelle Thiffault")</f>
        <v>Isabelle Thiffault</v>
      </c>
      <c r="M28" s="55" t="str">
        <f>IFERROR(__xludf.DUMMYFUNCTION("QUERY('Volunteer Survey'!E28)"),"ithiffault@cmh.edu")</f>
        <v>ithiffault@cmh.edu</v>
      </c>
      <c r="N28" s="55" t="str">
        <f>IFERROR(__xludf.DUMMYFUNCTION("QUERY('Volunteer Survey'!F28)"),"Undergraduate")</f>
        <v>Undergraduate</v>
      </c>
      <c r="O28" s="48" t="str">
        <f>IFERROR(__xludf.DUMMYFUNCTION("QUERY('Volunteer Survey'!H28)"),"Comprehensive")</f>
        <v>Comprehensive</v>
      </c>
      <c r="P28" s="55" t="str">
        <f>IFERROR(__xludf.DUMMYFUNCTION("QUERY('Volunteer Survey'!I28)"),"Gene-Disease Validity")</f>
        <v>Gene-Disease Validity</v>
      </c>
      <c r="Q28" s="60" t="str">
        <f>IFERROR(__xludf.DUMMYFUNCTION("QUERY('Volunteer Survey'!J28)"),"Variant Pathogenicity")</f>
        <v>Variant Pathogenicity</v>
      </c>
      <c r="R28" s="55" t="str">
        <f>IFERROR(__xludf.DUMMYFUNCTION("QUERY('Volunteer Survey'!K28)"),"Actionability")</f>
        <v>Actionability</v>
      </c>
      <c r="S28" s="55" t="str">
        <f>IFERROR(__xludf.DUMMYFUNCTION("QUERY('Volunteer Survey'!L28)"),"Dosage Sensitivity")</f>
        <v>Dosage Sensitivity</v>
      </c>
      <c r="T28" s="55" t="str">
        <f>IFERROR(__xludf.DUMMYFUNCTION("QUERY('Volunteer Survey'!M28)"),"Somatic Cancer")</f>
        <v>Somatic Cancer</v>
      </c>
      <c r="U28" s="64" t="str">
        <f>IFERROR(__xludf.DUMMYFUNCTION("QUERY('Volunteer Survey'!N28)"),"Yes")</f>
        <v>Yes</v>
      </c>
      <c r="V28" s="55" t="str">
        <f>IFERROR(__xludf.DUMMYFUNCTION("QUERY('Volunteer Survey'!O28)"),"")</f>
        <v/>
      </c>
      <c r="W28" s="66" t="str">
        <f>IFERROR(__xludf.DUMMYFUNCTION("QUERY('Volunteer Survey'!P28)"),"Mitochondrial or ASD/ID")</f>
        <v>Mitochondrial or ASD/ID</v>
      </c>
      <c r="X28" s="64" t="str">
        <f>IFERROR(__xludf.DUMMYFUNCTION("QUERY('Volunteer Survey'!R28)"),"")</f>
        <v/>
      </c>
      <c r="Y28" s="53"/>
      <c r="Z28" s="68"/>
      <c r="AA28" s="55"/>
      <c r="AB28" s="55"/>
      <c r="AC28" s="55"/>
      <c r="AD28" s="55"/>
      <c r="AE28" s="55"/>
      <c r="AF28" s="55"/>
      <c r="AG28" s="55"/>
      <c r="AH28" s="55"/>
      <c r="AI28" s="55"/>
      <c r="AJ28" s="55"/>
      <c r="AK28" s="55"/>
      <c r="AL28" s="55"/>
      <c r="AM28" s="55"/>
      <c r="AN28" s="55"/>
      <c r="AO28" s="55"/>
    </row>
    <row r="29">
      <c r="A29" s="50">
        <f>IFERROR(__xludf.DUMMYFUNCTION("QUERY('Volunteer Survey'!A29)"),43339.58819444444)</f>
        <v>43339.58819</v>
      </c>
      <c r="B29" s="48" t="s">
        <v>160</v>
      </c>
      <c r="C29" s="51" t="s">
        <v>315</v>
      </c>
      <c r="D29" s="48" t="s">
        <v>291</v>
      </c>
      <c r="E29" s="48" t="s">
        <v>130</v>
      </c>
      <c r="F29" s="48" t="s">
        <v>130</v>
      </c>
      <c r="G29" s="48" t="s">
        <v>122</v>
      </c>
      <c r="H29" s="51" t="s">
        <v>20</v>
      </c>
      <c r="I29" s="51" t="s">
        <v>139</v>
      </c>
      <c r="J29" s="56">
        <v>43592.0</v>
      </c>
      <c r="K29" s="56">
        <v>43713.0</v>
      </c>
      <c r="L29" s="55" t="str">
        <f>IFERROR(__xludf.DUMMYFUNCTION("QUERY('Volunteer Survey'!B29)"),"Ye Cao")</f>
        <v>Ye Cao</v>
      </c>
      <c r="M29" s="55" t="str">
        <f>IFERROR(__xludf.DUMMYFUNCTION("QUERY('Volunteer Survey'!E29)"),"ye.cao@bcm.edu")</f>
        <v>ye.cao@bcm.edu</v>
      </c>
      <c r="N29" s="55" t="str">
        <f>IFERROR(__xludf.DUMMYFUNCTION("QUERY('Volunteer Survey'!F29)"),"Clinical laboratory geneticist and Post Doc/Resident/Fellow (MD and/or PhD)")</f>
        <v>Clinical laboratory geneticist and Post Doc/Resident/Fellow (MD and/or PhD)</v>
      </c>
      <c r="O29" s="48" t="str">
        <f>IFERROR(__xludf.DUMMYFUNCTION("QUERY('Volunteer Survey'!H29)"),"Comprehensive")</f>
        <v>Comprehensive</v>
      </c>
      <c r="P29" s="55" t="str">
        <f>IFERROR(__xludf.DUMMYFUNCTION("QUERY('Volunteer Survey'!I29)"),"Gene-Disease Validity")</f>
        <v>Gene-Disease Validity</v>
      </c>
      <c r="Q29" s="60" t="str">
        <f>IFERROR(__xludf.DUMMYFUNCTION("QUERY('Volunteer Survey'!J29)"),"Dosage Sensitivity")</f>
        <v>Dosage Sensitivity</v>
      </c>
      <c r="R29" s="55" t="str">
        <f>IFERROR(__xludf.DUMMYFUNCTION("QUERY('Volunteer Survey'!K29)"),"")</f>
        <v/>
      </c>
      <c r="S29" s="55" t="str">
        <f>IFERROR(__xludf.DUMMYFUNCTION("QUERY('Volunteer Survey'!L29)"),"")</f>
        <v/>
      </c>
      <c r="T29" s="55" t="str">
        <f>IFERROR(__xludf.DUMMYFUNCTION("QUERY('Volunteer Survey'!M29)"),"")</f>
        <v/>
      </c>
      <c r="U29" s="64" t="str">
        <f>IFERROR(__xludf.DUMMYFUNCTION("QUERY('Volunteer Survey'!N29)"),"Yes")</f>
        <v>Yes</v>
      </c>
      <c r="V29" s="55" t="str">
        <f>IFERROR(__xludf.DUMMYFUNCTION("QUERY('Volunteer Survey'!O29)"),"")</f>
        <v/>
      </c>
      <c r="W29" s="66" t="str">
        <f>IFERROR(__xludf.DUMMYFUNCTION("QUERY('Volunteer Survey'!P29)"),"Hereditary Cancer Gene Curation Expert Panel")</f>
        <v>Hereditary Cancer Gene Curation Expert Panel</v>
      </c>
      <c r="X29" s="64" t="str">
        <f>IFERROR(__xludf.DUMMYFUNCTION("QUERY('Volunteer Survey'!R29)"),"")</f>
        <v/>
      </c>
      <c r="Y29" s="53"/>
      <c r="Z29" s="68"/>
      <c r="AA29" s="55"/>
      <c r="AB29" s="55"/>
      <c r="AC29" s="55"/>
      <c r="AD29" s="55"/>
      <c r="AE29" s="55"/>
      <c r="AF29" s="55"/>
      <c r="AG29" s="55"/>
      <c r="AH29" s="55"/>
      <c r="AI29" s="55"/>
      <c r="AJ29" s="55"/>
      <c r="AK29" s="55"/>
      <c r="AL29" s="55"/>
      <c r="AM29" s="55"/>
      <c r="AN29" s="55"/>
      <c r="AO29" s="55"/>
    </row>
    <row r="30">
      <c r="A30" s="50">
        <f>IFERROR(__xludf.DUMMYFUNCTION("QUERY('Volunteer Survey'!A30)"),43343.589641203704)</f>
        <v>43343.58964</v>
      </c>
      <c r="B30" s="48" t="s">
        <v>168</v>
      </c>
      <c r="C30" s="87">
        <v>43411.0</v>
      </c>
      <c r="D30" s="56">
        <v>43446.0</v>
      </c>
      <c r="E30" s="48" t="s">
        <v>130</v>
      </c>
      <c r="F30" s="48" t="s">
        <v>130</v>
      </c>
      <c r="G30" s="48" t="s">
        <v>122</v>
      </c>
      <c r="H30" s="53"/>
      <c r="I30" s="51" t="s">
        <v>139</v>
      </c>
      <c r="J30" s="55"/>
      <c r="K30" s="55"/>
      <c r="L30" s="55" t="str">
        <f>IFERROR(__xludf.DUMMYFUNCTION("QUERY('Volunteer Survey'!B30)"),"Samar Khalefa")</f>
        <v>Samar Khalefa</v>
      </c>
      <c r="M30" s="55" t="str">
        <f>IFERROR(__xludf.DUMMYFUNCTION("QUERY('Volunteer Survey'!E30)"),"samarkhalifa@hotmail.com")</f>
        <v>samarkhalifa@hotmail.com</v>
      </c>
      <c r="N30" s="55" t="str">
        <f>IFERROR(__xludf.DUMMYFUNCTION("QUERY('Volunteer Survey'!F30)"),"High School Student")</f>
        <v>High School Student</v>
      </c>
      <c r="O30" s="48" t="str">
        <f>IFERROR(__xludf.DUMMYFUNCTION("QUERY('Volunteer Survey'!H30)"),"Comprehensive")</f>
        <v>Comprehensive</v>
      </c>
      <c r="P30" s="55" t="str">
        <f>IFERROR(__xludf.DUMMYFUNCTION("QUERY('Volunteer Survey'!I30)"),"Gene-Disease Validity")</f>
        <v>Gene-Disease Validity</v>
      </c>
      <c r="Q30" s="60" t="str">
        <f>IFERROR(__xludf.DUMMYFUNCTION("QUERY('Volunteer Survey'!J30)"),"Actionability")</f>
        <v>Actionability</v>
      </c>
      <c r="R30" s="55" t="str">
        <f>IFERROR(__xludf.DUMMYFUNCTION("QUERY('Volunteer Survey'!K30)"),"Dosage Sensitivity")</f>
        <v>Dosage Sensitivity</v>
      </c>
      <c r="S30" s="55" t="str">
        <f>IFERROR(__xludf.DUMMYFUNCTION("QUERY('Volunteer Survey'!L30)"),"Somatic Cancer")</f>
        <v>Somatic Cancer</v>
      </c>
      <c r="T30" s="55" t="str">
        <f>IFERROR(__xludf.DUMMYFUNCTION("QUERY('Volunteer Survey'!M30)"),"Variant Pathogenicity")</f>
        <v>Variant Pathogenicity</v>
      </c>
      <c r="U30" s="64" t="str">
        <f>IFERROR(__xludf.DUMMYFUNCTION("QUERY('Volunteer Survey'!N30)"),"No")</f>
        <v>No</v>
      </c>
      <c r="V30" s="55" t="str">
        <f>IFERROR(__xludf.DUMMYFUNCTION("QUERY('Volunteer Survey'!O30)"),"")</f>
        <v/>
      </c>
      <c r="W30" s="66" t="str">
        <f>IFERROR(__xludf.DUMMYFUNCTION("QUERY('Volunteer Survey'!P30)"),"Autism and Intellectual Disability Gene Curation Expert Panel. I hope to involve in all Expert Panels/Working Groups related to brain genome.")</f>
        <v>Autism and Intellectual Disability Gene Curation Expert Panel. I hope to involve in all Expert Panels/Working Groups related to brain genome.</v>
      </c>
      <c r="X30" s="64" t="str">
        <f>IFERROR(__xludf.DUMMYFUNCTION("QUERY('Volunteer Survey'!R30)"),"")</f>
        <v/>
      </c>
      <c r="Y30" s="51" t="s">
        <v>316</v>
      </c>
      <c r="Z30" s="68"/>
      <c r="AA30" s="55"/>
      <c r="AB30" s="55"/>
      <c r="AC30" s="55"/>
      <c r="AD30" s="55"/>
      <c r="AE30" s="55"/>
      <c r="AF30" s="55"/>
      <c r="AG30" s="55"/>
      <c r="AH30" s="55"/>
      <c r="AI30" s="55"/>
      <c r="AJ30" s="55"/>
      <c r="AK30" s="55"/>
      <c r="AL30" s="55"/>
      <c r="AM30" s="55"/>
      <c r="AN30" s="55"/>
      <c r="AO30" s="55"/>
    </row>
    <row r="31">
      <c r="A31" s="50">
        <f>IFERROR(__xludf.DUMMYFUNCTION("QUERY('Volunteer Survey'!A31)"),43350.59027777778)</f>
        <v>43350.59028</v>
      </c>
      <c r="B31" s="48" t="s">
        <v>160</v>
      </c>
      <c r="C31" s="87">
        <v>43350.0</v>
      </c>
      <c r="D31" s="56">
        <v>43446.0</v>
      </c>
      <c r="E31" s="48" t="s">
        <v>117</v>
      </c>
      <c r="F31" s="48" t="s">
        <v>117</v>
      </c>
      <c r="G31" s="48" t="s">
        <v>122</v>
      </c>
      <c r="H31" s="51" t="s">
        <v>104</v>
      </c>
      <c r="I31" s="51" t="s">
        <v>139</v>
      </c>
      <c r="J31" s="56">
        <v>43592.0</v>
      </c>
      <c r="K31" s="56">
        <v>43713.0</v>
      </c>
      <c r="L31" s="55" t="str">
        <f>IFERROR(__xludf.DUMMYFUNCTION("QUERY('Volunteer Survey'!B31)"),"Colin Ellis")</f>
        <v>Colin Ellis</v>
      </c>
      <c r="M31" s="55" t="str">
        <f>IFERROR(__xludf.DUMMYFUNCTION("QUERY('Volunteer Survey'!E31)"),"colin.ellis@uphs.upenn.edu")</f>
        <v>colin.ellis@uphs.upenn.edu</v>
      </c>
      <c r="N31" s="55" t="str">
        <f>IFERROR(__xludf.DUMMYFUNCTION("QUERY('Volunteer Survey'!F31)"),"Physician (Non-geneticist)")</f>
        <v>Physician (Non-geneticist)</v>
      </c>
      <c r="O31" s="48" t="str">
        <f>IFERROR(__xludf.DUMMYFUNCTION("QUERY('Volunteer Survey'!H31)"),"Comprehensive")</f>
        <v>Comprehensive</v>
      </c>
      <c r="P31" s="55" t="str">
        <f>IFERROR(__xludf.DUMMYFUNCTION("QUERY('Volunteer Survey'!I31)"),"Gene-Disease Validity")</f>
        <v>Gene-Disease Validity</v>
      </c>
      <c r="Q31" s="60" t="str">
        <f>IFERROR(__xludf.DUMMYFUNCTION("QUERY('Volunteer Survey'!J31)"),"Dosage Sensitivity")</f>
        <v>Dosage Sensitivity</v>
      </c>
      <c r="R31" s="55" t="str">
        <f>IFERROR(__xludf.DUMMYFUNCTION("QUERY('Volunteer Survey'!K31)"),"Variant Pathogenicity")</f>
        <v>Variant Pathogenicity</v>
      </c>
      <c r="S31" s="55" t="str">
        <f>IFERROR(__xludf.DUMMYFUNCTION("QUERY('Volunteer Survey'!L31)"),"")</f>
        <v/>
      </c>
      <c r="T31" s="55" t="str">
        <f>IFERROR(__xludf.DUMMYFUNCTION("QUERY('Volunteer Survey'!M31)"),"")</f>
        <v/>
      </c>
      <c r="U31" s="64" t="str">
        <f>IFERROR(__xludf.DUMMYFUNCTION("QUERY('Volunteer Survey'!N31)"),"Yes")</f>
        <v>Yes</v>
      </c>
      <c r="V31" s="55" t="str">
        <f>IFERROR(__xludf.DUMMYFUNCTION("QUERY('Volunteer Survey'!O31)"),"")</f>
        <v/>
      </c>
      <c r="W31" s="66" t="str">
        <f>IFERROR(__xludf.DUMMYFUNCTION("QUERY('Volunteer Survey'!P31)"),"Epilepsy WG")</f>
        <v>Epilepsy WG</v>
      </c>
      <c r="X31" s="64" t="str">
        <f>IFERROR(__xludf.DUMMYFUNCTION("QUERY('Volunteer Survey'!R31)"),"")</f>
        <v/>
      </c>
      <c r="Y31" s="53"/>
      <c r="Z31" s="68"/>
      <c r="AA31" s="55"/>
      <c r="AB31" s="55"/>
      <c r="AC31" s="55"/>
      <c r="AD31" s="55"/>
      <c r="AE31" s="55"/>
      <c r="AF31" s="55"/>
      <c r="AG31" s="55"/>
      <c r="AH31" s="55"/>
      <c r="AI31" s="55"/>
      <c r="AJ31" s="55"/>
      <c r="AK31" s="55"/>
      <c r="AL31" s="55"/>
      <c r="AM31" s="55"/>
      <c r="AN31" s="55"/>
      <c r="AO31" s="55"/>
    </row>
    <row r="32">
      <c r="A32" s="50">
        <f>IFERROR(__xludf.DUMMYFUNCTION("QUERY('Volunteer Survey'!A32)"),43354.59087962963)</f>
        <v>43354.59088</v>
      </c>
      <c r="B32" s="48" t="s">
        <v>125</v>
      </c>
      <c r="C32" s="87">
        <v>43411.0</v>
      </c>
      <c r="D32" s="56">
        <v>43446.0</v>
      </c>
      <c r="E32" s="48" t="s">
        <v>117</v>
      </c>
      <c r="F32" s="48" t="s">
        <v>117</v>
      </c>
      <c r="G32" s="48" t="s">
        <v>122</v>
      </c>
      <c r="H32" s="51" t="s">
        <v>20</v>
      </c>
      <c r="I32" s="51" t="s">
        <v>139</v>
      </c>
      <c r="J32" s="56">
        <v>43592.0</v>
      </c>
      <c r="K32" s="56">
        <v>43713.0</v>
      </c>
      <c r="L32" s="55" t="str">
        <f>IFERROR(__xludf.DUMMYFUNCTION("QUERY('Volunteer Survey'!B32)"),"Mansour Zamanpoor")</f>
        <v>Mansour Zamanpoor</v>
      </c>
      <c r="M32" s="55" t="str">
        <f>IFERROR(__xludf.DUMMYFUNCTION("QUERY('Volunteer Survey'!E32)"),"mansour.zamanpoor@ccdhb.org.nz")</f>
        <v>mansour.zamanpoor@ccdhb.org.nz</v>
      </c>
      <c r="N32" s="55" t="str">
        <f>IFERROR(__xludf.DUMMYFUNCTION("QUERY('Volunteer Survey'!F32)"),"Clinical laboratory genetist, PhD candidate")</f>
        <v>Clinical laboratory genetist, PhD candidate</v>
      </c>
      <c r="O32" s="48" t="str">
        <f>IFERROR(__xludf.DUMMYFUNCTION("QUERY('Volunteer Survey'!H32)"),"Comprehensive")</f>
        <v>Comprehensive</v>
      </c>
      <c r="P32" s="55" t="str">
        <f>IFERROR(__xludf.DUMMYFUNCTION("QUERY('Volunteer Survey'!I32)"),"Gene-Disease Validity")</f>
        <v>Gene-Disease Validity</v>
      </c>
      <c r="Q32" s="60" t="str">
        <f>IFERROR(__xludf.DUMMYFUNCTION("QUERY('Volunteer Survey'!J32)"),"Variant Pathogenicity")</f>
        <v>Variant Pathogenicity</v>
      </c>
      <c r="R32" s="55" t="str">
        <f>IFERROR(__xludf.DUMMYFUNCTION("QUERY('Volunteer Survey'!K32)"),"")</f>
        <v/>
      </c>
      <c r="S32" s="55" t="str">
        <f>IFERROR(__xludf.DUMMYFUNCTION("QUERY('Volunteer Survey'!L32)"),"")</f>
        <v/>
      </c>
      <c r="T32" s="55" t="str">
        <f>IFERROR(__xludf.DUMMYFUNCTION("QUERY('Volunteer Survey'!M32)"),"")</f>
        <v/>
      </c>
      <c r="U32" s="64" t="str">
        <f>IFERROR(__xludf.DUMMYFUNCTION("QUERY('Volunteer Survey'!N32)"),"Yes")</f>
        <v>Yes</v>
      </c>
      <c r="V32" s="55" t="str">
        <f>IFERROR(__xludf.DUMMYFUNCTION("QUERY('Volunteer Survey'!O32)"),"")</f>
        <v/>
      </c>
      <c r="W32" s="66" t="str">
        <f>IFERROR(__xludf.DUMMYFUNCTION("QUERY('Volunteer Survey'!P32)"),"Hereditary cancer and neuro-developmental disorders")</f>
        <v>Hereditary cancer and neuro-developmental disorders</v>
      </c>
      <c r="X32" s="64" t="str">
        <f>IFERROR(__xludf.DUMMYFUNCTION("QUERY('Volunteer Survey'!R32)"),"")</f>
        <v/>
      </c>
      <c r="Y32" s="88" t="s">
        <v>318</v>
      </c>
      <c r="Z32" s="68"/>
      <c r="AA32" s="55"/>
      <c r="AB32" s="55"/>
      <c r="AC32" s="55"/>
      <c r="AD32" s="55"/>
      <c r="AE32" s="55"/>
      <c r="AF32" s="55"/>
      <c r="AG32" s="55"/>
      <c r="AH32" s="55"/>
      <c r="AI32" s="55"/>
      <c r="AJ32" s="55"/>
      <c r="AK32" s="55"/>
      <c r="AL32" s="55"/>
      <c r="AM32" s="55"/>
      <c r="AN32" s="55"/>
      <c r="AO32" s="55"/>
    </row>
    <row r="33">
      <c r="A33" s="50">
        <f>IFERROR(__xludf.DUMMYFUNCTION("QUERY('Volunteer Survey'!A33)"),43356.59159722222)</f>
        <v>43356.5916</v>
      </c>
      <c r="B33" s="48" t="s">
        <v>160</v>
      </c>
      <c r="C33" s="87">
        <v>43411.0</v>
      </c>
      <c r="D33" s="56">
        <v>43446.0</v>
      </c>
      <c r="E33" s="48" t="s">
        <v>117</v>
      </c>
      <c r="F33" s="48" t="s">
        <v>117</v>
      </c>
      <c r="G33" s="48" t="s">
        <v>122</v>
      </c>
      <c r="H33" s="51" t="s">
        <v>293</v>
      </c>
      <c r="I33" s="51" t="s">
        <v>139</v>
      </c>
      <c r="J33" s="56">
        <v>43592.0</v>
      </c>
      <c r="K33" s="56">
        <v>43713.0</v>
      </c>
      <c r="L33" s="55" t="str">
        <f>IFERROR(__xludf.DUMMYFUNCTION("QUERY('Volunteer Survey'!B33)"),"Benjamin Kang")</f>
        <v>Benjamin Kang</v>
      </c>
      <c r="M33" s="55" t="str">
        <f>IFERROR(__xludf.DUMMYFUNCTION("QUERY('Volunteer Survey'!E33)"),"bekang@emory.edu")</f>
        <v>bekang@emory.edu</v>
      </c>
      <c r="N33" s="55" t="str">
        <f>IFERROR(__xludf.DUMMYFUNCTION("QUERY('Volunteer Survey'!F33)"),"Post Doc/Resident/Fellow (MD and/or PhD)")</f>
        <v>Post Doc/Resident/Fellow (MD and/or PhD)</v>
      </c>
      <c r="O33" s="48" t="str">
        <f>IFERROR(__xludf.DUMMYFUNCTION("QUERY('Volunteer Survey'!H33)"),"Comprehensive")</f>
        <v>Comprehensive</v>
      </c>
      <c r="P33" s="55" t="str">
        <f>IFERROR(__xludf.DUMMYFUNCTION("QUERY('Volunteer Survey'!I33)"),"Gene-Disease Validity")</f>
        <v>Gene-Disease Validity</v>
      </c>
      <c r="Q33" s="60" t="str">
        <f>IFERROR(__xludf.DUMMYFUNCTION("QUERY('Volunteer Survey'!J33)"),"Variant Pathogenicity")</f>
        <v>Variant Pathogenicity</v>
      </c>
      <c r="R33" s="55" t="str">
        <f>IFERROR(__xludf.DUMMYFUNCTION("QUERY('Volunteer Survey'!K33)"),"Dosage Sensitivity")</f>
        <v>Dosage Sensitivity</v>
      </c>
      <c r="S33" s="55" t="str">
        <f>IFERROR(__xludf.DUMMYFUNCTION("QUERY('Volunteer Survey'!L33)"),"Actionability")</f>
        <v>Actionability</v>
      </c>
      <c r="T33" s="55" t="str">
        <f>IFERROR(__xludf.DUMMYFUNCTION("QUERY('Volunteer Survey'!M33)"),"Somatic Cancer")</f>
        <v>Somatic Cancer</v>
      </c>
      <c r="U33" s="64" t="str">
        <f>IFERROR(__xludf.DUMMYFUNCTION("QUERY('Volunteer Survey'!N33)"),"Yes")</f>
        <v>Yes</v>
      </c>
      <c r="V33" s="55" t="str">
        <f>IFERROR(__xludf.DUMMYFUNCTION("QUERY('Volunteer Survey'!O33)"),"")</f>
        <v/>
      </c>
      <c r="W33" s="66" t="str">
        <f>IFERROR(__xludf.DUMMYFUNCTION("QUERY('Volunteer Survey'!P33)"),"I am interested in a couple of ClinGen Expert Panel/Working Group, 1)Cardiovascular Dilated Cardiomyopathy Gene Curation Expert Panel, 2) Rett Angelman Variant Curation Expert Panel. However, if there is any other expert panel/working group needs my help,"&amp;" I am more than happy to participate in it.")</f>
        <v>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v>
      </c>
      <c r="X33" s="64" t="str">
        <f>IFERROR(__xludf.DUMMYFUNCTION("QUERY('Volunteer Survey'!R33)"),"")</f>
        <v/>
      </c>
      <c r="Y33" s="53"/>
      <c r="Z33" s="68"/>
      <c r="AA33" s="55"/>
      <c r="AB33" s="55"/>
      <c r="AC33" s="55"/>
      <c r="AD33" s="55"/>
      <c r="AE33" s="55"/>
      <c r="AF33" s="55"/>
      <c r="AG33" s="55"/>
      <c r="AH33" s="55"/>
      <c r="AI33" s="55"/>
      <c r="AJ33" s="55"/>
      <c r="AK33" s="55"/>
      <c r="AL33" s="55"/>
      <c r="AM33" s="55"/>
      <c r="AN33" s="55"/>
      <c r="AO33" s="55"/>
    </row>
    <row r="34">
      <c r="A34" s="50">
        <f>IFERROR(__xludf.DUMMYFUNCTION("QUERY('Volunteer Survey'!A34)"),43357.59306712963)</f>
        <v>43357.59307</v>
      </c>
      <c r="B34" s="48" t="s">
        <v>108</v>
      </c>
      <c r="C34" s="53"/>
      <c r="D34" s="56">
        <v>43585.0</v>
      </c>
      <c r="E34" s="48" t="s">
        <v>117</v>
      </c>
      <c r="F34" s="48" t="s">
        <v>117</v>
      </c>
      <c r="G34" s="48" t="s">
        <v>122</v>
      </c>
      <c r="H34" s="51" t="s">
        <v>294</v>
      </c>
      <c r="I34" s="51" t="s">
        <v>299</v>
      </c>
      <c r="J34" s="55"/>
      <c r="K34" s="55"/>
      <c r="L34" s="55" t="str">
        <f>IFERROR(__xludf.DUMMYFUNCTION("QUERY('Volunteer Survey'!B34)"),"Ljubica Caldovic")</f>
        <v>Ljubica Caldovic</v>
      </c>
      <c r="M34" s="55" t="str">
        <f>IFERROR(__xludf.DUMMYFUNCTION("QUERY('Volunteer Survey'!E34)"),"lcaldovic@childrensnational.org")</f>
        <v>lcaldovic@childrensnational.org</v>
      </c>
      <c r="N34" s="55" t="str">
        <f>IFERROR(__xludf.DUMMYFUNCTION("QUERY('Volunteer Survey'!F34)"),"Scientific Researcher, Variant Analyst/Scientist")</f>
        <v>Scientific Researcher, Variant Analyst/Scientist</v>
      </c>
      <c r="O34" s="48" t="str">
        <f>IFERROR(__xludf.DUMMYFUNCTION("QUERY('Volunteer Survey'!H34)"),"Comprehensive")</f>
        <v>Comprehensive</v>
      </c>
      <c r="P34" s="55" t="str">
        <f>IFERROR(__xludf.DUMMYFUNCTION("QUERY('Volunteer Survey'!I34)"),"Gene-Disease Validity")</f>
        <v>Gene-Disease Validity</v>
      </c>
      <c r="Q34" s="60" t="str">
        <f>IFERROR(__xludf.DUMMYFUNCTION("QUERY('Volunteer Survey'!J34)"),"Variant Pathogenicity")</f>
        <v>Variant Pathogenicity</v>
      </c>
      <c r="R34" s="55" t="str">
        <f>IFERROR(__xludf.DUMMYFUNCTION("QUERY('Volunteer Survey'!K34)"),"Dosage Sensitivity")</f>
        <v>Dosage Sensitivity</v>
      </c>
      <c r="S34" s="55" t="str">
        <f>IFERROR(__xludf.DUMMYFUNCTION("QUERY('Volunteer Survey'!L34)"),"")</f>
        <v/>
      </c>
      <c r="T34" s="55" t="str">
        <f>IFERROR(__xludf.DUMMYFUNCTION("QUERY('Volunteer Survey'!M34)"),"")</f>
        <v/>
      </c>
      <c r="U34" s="64" t="str">
        <f>IFERROR(__xludf.DUMMYFUNCTION("QUERY('Volunteer Survey'!N34)"),"No")</f>
        <v>No</v>
      </c>
      <c r="V34" s="55" t="str">
        <f>IFERROR(__xludf.DUMMYFUNCTION("QUERY('Volunteer Survey'!O34)"),"")</f>
        <v/>
      </c>
      <c r="W34" s="66" t="str">
        <f>IFERROR(__xludf.DUMMYFUNCTION("QUERY('Volunteer Survey'!P34)"),"Aminoacidopathy working group/expert panel; Metabolism expert panel")</f>
        <v>Aminoacidopathy working group/expert panel; Metabolism expert panel</v>
      </c>
      <c r="X34" s="64" t="str">
        <f>IFERROR(__xludf.DUMMYFUNCTION("QUERY('Volunteer Survey'!R34)"),"")</f>
        <v/>
      </c>
      <c r="Y34" s="53"/>
      <c r="Z34" s="68"/>
      <c r="AA34" s="55"/>
      <c r="AB34" s="55"/>
      <c r="AC34" s="55"/>
      <c r="AD34" s="55"/>
      <c r="AE34" s="55"/>
      <c r="AF34" s="55"/>
      <c r="AG34" s="55"/>
      <c r="AH34" s="55"/>
      <c r="AI34" s="55"/>
      <c r="AJ34" s="55"/>
      <c r="AK34" s="55"/>
      <c r="AL34" s="55"/>
      <c r="AM34" s="55"/>
      <c r="AN34" s="55"/>
      <c r="AO34" s="55"/>
    </row>
    <row r="35">
      <c r="A35" s="50">
        <f>IFERROR(__xludf.DUMMYFUNCTION("QUERY('Volunteer Survey'!A35)"),43359.59390046296)</f>
        <v>43359.5939</v>
      </c>
      <c r="B35" s="48" t="s">
        <v>160</v>
      </c>
      <c r="C35" s="87">
        <v>43347.0</v>
      </c>
      <c r="D35" s="56">
        <v>43446.0</v>
      </c>
      <c r="E35" s="48" t="s">
        <v>130</v>
      </c>
      <c r="F35" s="48" t="s">
        <v>130</v>
      </c>
      <c r="G35" s="48" t="s">
        <v>122</v>
      </c>
      <c r="H35" s="51" t="s">
        <v>293</v>
      </c>
      <c r="I35" s="51" t="s">
        <v>139</v>
      </c>
      <c r="J35" s="48"/>
      <c r="K35" s="48"/>
      <c r="L35" s="55" t="str">
        <f>IFERROR(__xludf.DUMMYFUNCTION("QUERY('Volunteer Survey'!B35)"),"John Millichap")</f>
        <v>John Millichap</v>
      </c>
      <c r="M35" s="55" t="str">
        <f>IFERROR(__xludf.DUMMYFUNCTION("QUERY('Volunteer Survey'!E35)"),"jmillichap@luriechildrens.org")</f>
        <v>jmillichap@luriechildrens.org</v>
      </c>
      <c r="N35" s="55" t="str">
        <f>IFERROR(__xludf.DUMMYFUNCTION("QUERY('Volunteer Survey'!F35)"),"Physician (Non-geneticist)")</f>
        <v>Physician (Non-geneticist)</v>
      </c>
      <c r="O35" s="48" t="str">
        <f>IFERROR(__xludf.DUMMYFUNCTION("QUERY('Volunteer Survey'!H35)"),"Comprehensive")</f>
        <v>Comprehensive</v>
      </c>
      <c r="P35" s="55" t="str">
        <f>IFERROR(__xludf.DUMMYFUNCTION("QUERY('Volunteer Survey'!I35)"),"Gene-Disease Validity")</f>
        <v>Gene-Disease Validity</v>
      </c>
      <c r="Q35" s="60" t="str">
        <f>IFERROR(__xludf.DUMMYFUNCTION("QUERY('Volunteer Survey'!J35)"),"Actionability")</f>
        <v>Actionability</v>
      </c>
      <c r="R35" s="55" t="str">
        <f>IFERROR(__xludf.DUMMYFUNCTION("QUERY('Volunteer Survey'!K35)"),"Variant Pathogenicity")</f>
        <v>Variant Pathogenicity</v>
      </c>
      <c r="S35" s="55" t="str">
        <f>IFERROR(__xludf.DUMMYFUNCTION("QUERY('Volunteer Survey'!L35)"),"Dosage Sensitivity")</f>
        <v>Dosage Sensitivity</v>
      </c>
      <c r="T35" s="55" t="str">
        <f>IFERROR(__xludf.DUMMYFUNCTION("QUERY('Volunteer Survey'!M35)"),"")</f>
        <v/>
      </c>
      <c r="U35" s="64" t="str">
        <f>IFERROR(__xludf.DUMMYFUNCTION("QUERY('Volunteer Survey'!N35)"),"Yes")</f>
        <v>Yes</v>
      </c>
      <c r="V35" s="55" t="str">
        <f>IFERROR(__xludf.DUMMYFUNCTION("QUERY('Volunteer Survey'!O35)"),"")</f>
        <v/>
      </c>
      <c r="W35" s="66" t="str">
        <f>IFERROR(__xludf.DUMMYFUNCTION("QUERY('Volunteer Survey'!P35)"),"Epilepsy WG/EP")</f>
        <v>Epilepsy WG/EP</v>
      </c>
      <c r="X35" s="64" t="str">
        <f>IFERROR(__xludf.DUMMYFUNCTION("QUERY('Volunteer Survey'!R35)"),"")</f>
        <v/>
      </c>
      <c r="Y35" s="51" t="s">
        <v>323</v>
      </c>
      <c r="Z35" s="68"/>
      <c r="AA35" s="55"/>
      <c r="AB35" s="55"/>
      <c r="AC35" s="55"/>
      <c r="AD35" s="55"/>
      <c r="AE35" s="55"/>
      <c r="AF35" s="55"/>
      <c r="AG35" s="55"/>
      <c r="AH35" s="55"/>
      <c r="AI35" s="55"/>
      <c r="AJ35" s="55"/>
      <c r="AK35" s="55"/>
      <c r="AL35" s="55"/>
      <c r="AM35" s="55"/>
      <c r="AN35" s="55"/>
      <c r="AO35" s="55"/>
    </row>
    <row r="36">
      <c r="A36" s="50">
        <f>IFERROR(__xludf.DUMMYFUNCTION("QUERY('Volunteer Survey'!A36)"),43363.59516203703)</f>
        <v>43363.59516</v>
      </c>
      <c r="B36" s="48" t="s">
        <v>108</v>
      </c>
      <c r="C36" s="87">
        <v>43411.0</v>
      </c>
      <c r="D36" s="56">
        <v>43446.0</v>
      </c>
      <c r="E36" s="48" t="s">
        <v>130</v>
      </c>
      <c r="F36" s="48" t="s">
        <v>130</v>
      </c>
      <c r="G36" s="48" t="s">
        <v>313</v>
      </c>
      <c r="H36" s="53"/>
      <c r="I36" s="51" t="s">
        <v>139</v>
      </c>
      <c r="J36" s="55"/>
      <c r="K36" s="55"/>
      <c r="L36" s="55" t="str">
        <f>IFERROR(__xludf.DUMMYFUNCTION("QUERY('Volunteer Survey'!B36)"),"Vladimir Lialine")</f>
        <v>Vladimir Lialine</v>
      </c>
      <c r="M36" s="55" t="str">
        <f>IFERROR(__xludf.DUMMYFUNCTION("QUERY('Volunteer Survey'!E36)"),"vlad@twixsoft.com")</f>
        <v>vlad@twixsoft.com</v>
      </c>
      <c r="N36" s="55" t="str">
        <f>IFERROR(__xludf.DUMMYFUNCTION("QUERY('Volunteer Survey'!F36)"),"Scientific Researcher, Graduate Student, Citizen Scientist/Patient Advocate")</f>
        <v>Scientific Researcher, Graduate Student, Citizen Scientist/Patient Advocate</v>
      </c>
      <c r="O36" s="55" t="str">
        <f>IFERROR(__xludf.DUMMYFUNCTION("QUERY('Volunteer Survey'!H36)"),"Comprehensive")</f>
        <v>Comprehensive</v>
      </c>
      <c r="P36" s="55" t="str">
        <f>IFERROR(__xludf.DUMMYFUNCTION("QUERY('Volunteer Survey'!I36)"),"Gene-Disease Validity")</f>
        <v>Gene-Disease Validity</v>
      </c>
      <c r="Q36" s="60" t="str">
        <f>IFERROR(__xludf.DUMMYFUNCTION("QUERY('Volunteer Survey'!J36)"),"Somatic Cancer")</f>
        <v>Somatic Cancer</v>
      </c>
      <c r="R36" s="55" t="str">
        <f>IFERROR(__xludf.DUMMYFUNCTION("QUERY('Volunteer Survey'!K36)"),"Dosage Sensitivity")</f>
        <v>Dosage Sensitivity</v>
      </c>
      <c r="S36" s="55" t="str">
        <f>IFERROR(__xludf.DUMMYFUNCTION("QUERY('Volunteer Survey'!L36)"),"Actionability")</f>
        <v>Actionability</v>
      </c>
      <c r="T36" s="55" t="str">
        <f>IFERROR(__xludf.DUMMYFUNCTION("QUERY('Volunteer Survey'!M36)"),"Variant Pathogenicity")</f>
        <v>Variant Pathogenicity</v>
      </c>
      <c r="U36" s="64" t="str">
        <f>IFERROR(__xludf.DUMMYFUNCTION("QUERY('Volunteer Survey'!N36)"),"No")</f>
        <v>No</v>
      </c>
      <c r="V36" s="55" t="str">
        <f>IFERROR(__xludf.DUMMYFUNCTION("QUERY('Volunteer Survey'!O36)"),"Yes")</f>
        <v>Yes</v>
      </c>
      <c r="W36" s="66" t="str">
        <f>IFERROR(__xludf.DUMMYFUNCTION("QUERY('Volunteer Survey'!P36)"),"No")</f>
        <v>No</v>
      </c>
      <c r="X36" s="64" t="str">
        <f>IFERROR(__xludf.DUMMYFUNCTION("QUERY('Volunteer Survey'!R36)"),"")</f>
        <v/>
      </c>
      <c r="Y36" s="53"/>
      <c r="Z36" s="68"/>
      <c r="AA36" s="55"/>
      <c r="AB36" s="55"/>
      <c r="AC36" s="55"/>
      <c r="AD36" s="55"/>
      <c r="AE36" s="55"/>
      <c r="AF36" s="55"/>
      <c r="AG36" s="55"/>
      <c r="AH36" s="55"/>
      <c r="AI36" s="55"/>
      <c r="AJ36" s="55"/>
      <c r="AK36" s="55"/>
      <c r="AL36" s="55"/>
      <c r="AM36" s="55"/>
      <c r="AN36" s="55"/>
      <c r="AO36" s="55"/>
    </row>
    <row r="37">
      <c r="A37" s="50">
        <f>IFERROR(__xludf.DUMMYFUNCTION("QUERY('Volunteer Survey'!A38)"),43384.5971412037)</f>
        <v>43384.59714</v>
      </c>
      <c r="B37" s="48" t="s">
        <v>108</v>
      </c>
      <c r="C37" s="79">
        <v>43430.0</v>
      </c>
      <c r="D37" s="56">
        <v>43446.0</v>
      </c>
      <c r="E37" s="48" t="s">
        <v>117</v>
      </c>
      <c r="F37" s="48" t="s">
        <v>130</v>
      </c>
      <c r="G37" s="48" t="s">
        <v>122</v>
      </c>
      <c r="H37" s="53"/>
      <c r="I37" s="51" t="s">
        <v>139</v>
      </c>
      <c r="J37" s="55"/>
      <c r="K37" s="55"/>
      <c r="L37" s="55" t="str">
        <f>IFERROR(__xludf.DUMMYFUNCTION("QUERY('Volunteer Survey'!B38)"),"Vaidehi Jobanputra")</f>
        <v>Vaidehi Jobanputra</v>
      </c>
      <c r="M37" s="55" t="str">
        <f>IFERROR(__xludf.DUMMYFUNCTION("QUERY('Volunteer Survey'!E38)"),"vjobanputra@nygenome.org")</f>
        <v>vjobanputra@nygenome.org</v>
      </c>
      <c r="N37" s="55" t="str">
        <f>IFERROR(__xludf.DUMMYFUNCTION("QUERY('Volunteer Survey'!F38)"),"Clinical laboratory geneticist")</f>
        <v>Clinical laboratory geneticist</v>
      </c>
      <c r="O37" s="48" t="str">
        <f>IFERROR(__xludf.DUMMYFUNCTION("QUERY('Volunteer Survey'!H38)"),"Comprehensive")</f>
        <v>Comprehensive</v>
      </c>
      <c r="P37" s="55" t="str">
        <f>IFERROR(__xludf.DUMMYFUNCTION("QUERY('Volunteer Survey'!I38)"),"Gene-Disease Validity")</f>
        <v>Gene-Disease Validity</v>
      </c>
      <c r="Q37" s="60" t="str">
        <f>IFERROR(__xludf.DUMMYFUNCTION("QUERY('Volunteer Survey'!J38)"),"")</f>
        <v/>
      </c>
      <c r="R37" s="55" t="str">
        <f>IFERROR(__xludf.DUMMYFUNCTION("QUERY('Volunteer Survey'!K38)"),"")</f>
        <v/>
      </c>
      <c r="S37" s="55" t="str">
        <f>IFERROR(__xludf.DUMMYFUNCTION("QUERY('Volunteer Survey'!L38)"),"")</f>
        <v/>
      </c>
      <c r="T37" s="55" t="str">
        <f>IFERROR(__xludf.DUMMYFUNCTION("QUERY('Volunteer Survey'!M38)"),"")</f>
        <v/>
      </c>
      <c r="U37" s="64" t="str">
        <f>IFERROR(__xludf.DUMMYFUNCTION("QUERY('Volunteer Survey'!N38)"),"Yes")</f>
        <v>Yes</v>
      </c>
      <c r="V37" s="55" t="str">
        <f>IFERROR(__xludf.DUMMYFUNCTION("QUERY('Volunteer Survey'!O38)"),"")</f>
        <v/>
      </c>
      <c r="W37" s="66" t="str">
        <f>IFERROR(__xludf.DUMMYFUNCTION("QUERY('Volunteer Survey'!P38)"),"No")</f>
        <v>No</v>
      </c>
      <c r="X37" s="64" t="str">
        <f>IFERROR(__xludf.DUMMYFUNCTION("QUERY('Volunteer Survey'!R38)"),"")</f>
        <v/>
      </c>
      <c r="Y37" s="53"/>
      <c r="Z37" s="68"/>
      <c r="AA37" s="55"/>
      <c r="AB37" s="55"/>
      <c r="AC37" s="55"/>
      <c r="AD37" s="55"/>
      <c r="AE37" s="55"/>
      <c r="AF37" s="55"/>
      <c r="AG37" s="55"/>
      <c r="AH37" s="55"/>
      <c r="AI37" s="55"/>
      <c r="AJ37" s="55"/>
      <c r="AK37" s="55"/>
      <c r="AL37" s="55"/>
      <c r="AM37" s="55"/>
      <c r="AN37" s="55"/>
      <c r="AO37" s="55"/>
    </row>
    <row r="38">
      <c r="A38" s="50">
        <f>IFERROR(__xludf.DUMMYFUNCTION("QUERY('Volunteer Survey'!A39)"),43401.5984837963)</f>
        <v>43401.59848</v>
      </c>
      <c r="B38" s="48" t="s">
        <v>108</v>
      </c>
      <c r="C38" s="51" t="s">
        <v>324</v>
      </c>
      <c r="D38" s="56">
        <v>43446.0</v>
      </c>
      <c r="E38" s="48" t="s">
        <v>130</v>
      </c>
      <c r="F38" s="48" t="s">
        <v>130</v>
      </c>
      <c r="G38" s="48" t="s">
        <v>122</v>
      </c>
      <c r="H38" s="53"/>
      <c r="I38" s="51" t="s">
        <v>139</v>
      </c>
      <c r="J38" s="55"/>
      <c r="K38" s="55"/>
      <c r="L38" s="55" t="str">
        <f>IFERROR(__xludf.DUMMYFUNCTION("QUERY('Volunteer Survey'!B39)"),"Khushnooda Ramzan")</f>
        <v>Khushnooda Ramzan</v>
      </c>
      <c r="M38" s="55" t="str">
        <f>IFERROR(__xludf.DUMMYFUNCTION("QUERY('Volunteer Survey'!E39)"),"khushnooda@gmail.com")</f>
        <v>khushnooda@gmail.com</v>
      </c>
      <c r="N38" s="55" t="str">
        <f>IFERROR(__xludf.DUMMYFUNCTION("QUERY('Volunteer Survey'!F39)"),"Scientific Research/ Variant Analyst")</f>
        <v>Scientific Research/ Variant Analyst</v>
      </c>
      <c r="O38" s="48" t="str">
        <f>IFERROR(__xludf.DUMMYFUNCTION("QUERY('Volunteer Survey'!H39)"),"Comprehensive")</f>
        <v>Comprehensive</v>
      </c>
      <c r="P38" s="55" t="str">
        <f>IFERROR(__xludf.DUMMYFUNCTION("QUERY('Volunteer Survey'!I39)"),"Gene-Disease Validity")</f>
        <v>Gene-Disease Validity</v>
      </c>
      <c r="Q38" s="60" t="str">
        <f>IFERROR(__xludf.DUMMYFUNCTION("QUERY('Volunteer Survey'!J39)"),"Variant Pathogenicity")</f>
        <v>Variant Pathogenicity</v>
      </c>
      <c r="R38" s="55" t="str">
        <f>IFERROR(__xludf.DUMMYFUNCTION("QUERY('Volunteer Survey'!K39)"),"")</f>
        <v/>
      </c>
      <c r="S38" s="55" t="str">
        <f>IFERROR(__xludf.DUMMYFUNCTION("QUERY('Volunteer Survey'!L39)"),"")</f>
        <v/>
      </c>
      <c r="T38" s="55" t="str">
        <f>IFERROR(__xludf.DUMMYFUNCTION("QUERY('Volunteer Survey'!M39)"),"")</f>
        <v/>
      </c>
      <c r="U38" s="64" t="str">
        <f>IFERROR(__xludf.DUMMYFUNCTION("QUERY('Volunteer Survey'!N39)"),"")</f>
        <v/>
      </c>
      <c r="V38" s="55" t="str">
        <f>IFERROR(__xludf.DUMMYFUNCTION("QUERY('Volunteer Survey'!O39)"),"")</f>
        <v/>
      </c>
      <c r="W38" s="66" t="str">
        <f>IFERROR(__xludf.DUMMYFUNCTION("QUERY('Volunteer Survey'!P39)"),"Experience with Mendelian disorders, not noted for curation. Hearing Loss (most experience with pubs), Cardiovascular KCNQ1 Variant
Storage Diseases Variant Curation Expert Panel")</f>
        <v>Experience with Mendelian disorders, not noted for curation. Hearing Loss (most experience with pubs), Cardiovascular KCNQ1 Variant
Storage Diseases Variant Curation Expert Panel</v>
      </c>
      <c r="X38" s="64" t="str">
        <f>IFERROR(__xludf.DUMMYFUNCTION("QUERY('Volunteer Survey'!R39)"),"")</f>
        <v/>
      </c>
      <c r="Y38" s="53"/>
      <c r="Z38" s="68"/>
      <c r="AA38" s="55"/>
      <c r="AB38" s="55"/>
      <c r="AC38" s="55"/>
      <c r="AD38" s="55"/>
      <c r="AE38" s="55"/>
      <c r="AF38" s="55"/>
      <c r="AG38" s="55"/>
      <c r="AH38" s="55"/>
      <c r="AI38" s="55"/>
      <c r="AJ38" s="55"/>
      <c r="AK38" s="55"/>
      <c r="AL38" s="55"/>
      <c r="AM38" s="55"/>
      <c r="AN38" s="55"/>
      <c r="AO38" s="55"/>
    </row>
    <row r="39">
      <c r="A39" s="50">
        <f>IFERROR(__xludf.DUMMYFUNCTION("QUERY('Volunteer Survey'!A40)"),43413.59946759259)</f>
        <v>43413.59947</v>
      </c>
      <c r="B39" s="48" t="s">
        <v>108</v>
      </c>
      <c r="C39" s="79"/>
      <c r="D39" s="65">
        <v>43585.0</v>
      </c>
      <c r="E39" s="48" t="s">
        <v>117</v>
      </c>
      <c r="F39" s="48" t="s">
        <v>130</v>
      </c>
      <c r="G39" s="48" t="s">
        <v>122</v>
      </c>
      <c r="H39" s="51" t="s">
        <v>123</v>
      </c>
      <c r="I39" s="51" t="s">
        <v>139</v>
      </c>
      <c r="J39" s="56">
        <v>43712.0</v>
      </c>
      <c r="K39" s="56"/>
      <c r="L39" s="55" t="str">
        <f>IFERROR(__xludf.DUMMYFUNCTION("QUERY('Volunteer Survey'!B40)"),"Erik Thorland")</f>
        <v>Erik Thorland</v>
      </c>
      <c r="M39" s="55" t="str">
        <f>IFERROR(__xludf.DUMMYFUNCTION("QUERY('Volunteer Survey'!E40)"),"thorland.erik@mayo.edu")</f>
        <v>thorland.erik@mayo.edu</v>
      </c>
      <c r="N39" s="55" t="str">
        <f>IFERROR(__xludf.DUMMYFUNCTION("QUERY('Volunteer Survey'!F40)"),"Clinical laboratory geneticist")</f>
        <v>Clinical laboratory geneticist</v>
      </c>
      <c r="O39" s="48" t="str">
        <f>IFERROR(__xludf.DUMMYFUNCTION("QUERY('Volunteer Survey'!H40)"),"Comprehensive")</f>
        <v>Comprehensive</v>
      </c>
      <c r="P39" s="55" t="str">
        <f>IFERROR(__xludf.DUMMYFUNCTION("QUERY('Volunteer Survey'!I40)"),"Gene-Disease Validity")</f>
        <v>Gene-Disease Validity</v>
      </c>
      <c r="Q39" s="60" t="str">
        <f>IFERROR(__xludf.DUMMYFUNCTION("QUERY('Volunteer Survey'!J40)"),"Variant Pathogenicity")</f>
        <v>Variant Pathogenicity</v>
      </c>
      <c r="R39" s="55" t="str">
        <f>IFERROR(__xludf.DUMMYFUNCTION("QUERY('Volunteer Survey'!K40)"),"")</f>
        <v/>
      </c>
      <c r="S39" s="55" t="str">
        <f>IFERROR(__xludf.DUMMYFUNCTION("QUERY('Volunteer Survey'!L40)"),"")</f>
        <v/>
      </c>
      <c r="T39" s="55" t="str">
        <f>IFERROR(__xludf.DUMMYFUNCTION("QUERY('Volunteer Survey'!M40)"),"")</f>
        <v/>
      </c>
      <c r="U39" s="64" t="str">
        <f>IFERROR(__xludf.DUMMYFUNCTION("QUERY('Volunteer Survey'!N40)"),"Yes")</f>
        <v>Yes</v>
      </c>
      <c r="V39" s="55" t="str">
        <f>IFERROR(__xludf.DUMMYFUNCTION("QUERY('Volunteer Survey'!O40)"),"")</f>
        <v/>
      </c>
      <c r="W39" s="66" t="str">
        <f>IFERROR(__xludf.DUMMYFUNCTION("QUERY('Volunteer Survey'!P40)"),"I'm specifically interested in the epilespy gene curation group.  I'm already involved in the dosage sensitivity working group.")</f>
        <v>I'm specifically interested in the epilespy gene curation group.  I'm already involved in the dosage sensitivity working group.</v>
      </c>
      <c r="X39" s="64" t="str">
        <f>IFERROR(__xludf.DUMMYFUNCTION("QUERY('Volunteer Survey'!R40)"),"")</f>
        <v/>
      </c>
      <c r="Y39" s="51" t="s">
        <v>325</v>
      </c>
      <c r="Z39" s="68"/>
      <c r="AA39" s="55"/>
      <c r="AB39" s="55"/>
      <c r="AC39" s="55"/>
      <c r="AD39" s="55"/>
      <c r="AE39" s="55"/>
      <c r="AF39" s="55"/>
      <c r="AG39" s="55"/>
      <c r="AH39" s="55"/>
      <c r="AI39" s="55"/>
      <c r="AJ39" s="55"/>
      <c r="AK39" s="55"/>
      <c r="AL39" s="55"/>
      <c r="AM39" s="55"/>
      <c r="AN39" s="55"/>
      <c r="AO39" s="55"/>
    </row>
    <row r="40">
      <c r="A40" s="50">
        <f>IFERROR(__xludf.DUMMYFUNCTION("QUERY('Volunteer Survey'!A41)"),43434.60061342592)</f>
        <v>43434.60061</v>
      </c>
      <c r="B40" s="48" t="s">
        <v>160</v>
      </c>
      <c r="C40" s="87">
        <v>43437.0</v>
      </c>
      <c r="D40" s="56">
        <v>43446.0</v>
      </c>
      <c r="E40" s="48" t="s">
        <v>117</v>
      </c>
      <c r="F40" s="48" t="s">
        <v>117</v>
      </c>
      <c r="G40" s="48" t="s">
        <v>122</v>
      </c>
      <c r="H40" s="51" t="s">
        <v>143</v>
      </c>
      <c r="I40" s="51" t="s">
        <v>299</v>
      </c>
      <c r="J40" s="56">
        <v>43592.0</v>
      </c>
      <c r="K40" s="56">
        <v>43713.0</v>
      </c>
      <c r="L40" s="55" t="str">
        <f>IFERROR(__xludf.DUMMYFUNCTION("QUERY('Volunteer Survey'!B41)"),"Olivia Rennie")</f>
        <v>Olivia Rennie</v>
      </c>
      <c r="M40" s="55" t="str">
        <f>IFERROR(__xludf.DUMMYFUNCTION("QUERY('Volunteer Survey'!E41)"),"olivia.rennie@sickkids.ca")</f>
        <v>olivia.rennie@sickkids.ca</v>
      </c>
      <c r="N40" s="55" t="str">
        <f>IFERROR(__xludf.DUMMYFUNCTION("QUERY('Volunteer Survey'!F41)"),"Variant Analyst/Scientist")</f>
        <v>Variant Analyst/Scientist</v>
      </c>
      <c r="O40" s="48" t="str">
        <f>IFERROR(__xludf.DUMMYFUNCTION("QUERY('Volunteer Survey'!H41)"),"Comprehensive")</f>
        <v>Comprehensive</v>
      </c>
      <c r="P40" s="55" t="str">
        <f>IFERROR(__xludf.DUMMYFUNCTION("QUERY('Volunteer Survey'!I41)"),"Gene-Disease Validity")</f>
        <v>Gene-Disease Validity</v>
      </c>
      <c r="Q40" s="60" t="str">
        <f>IFERROR(__xludf.DUMMYFUNCTION("QUERY('Volunteer Survey'!J41)"),"Somatic Cancer")</f>
        <v>Somatic Cancer</v>
      </c>
      <c r="R40" s="55" t="str">
        <f>IFERROR(__xludf.DUMMYFUNCTION("QUERY('Volunteer Survey'!K41)"),"Dosage Sensitivity")</f>
        <v>Dosage Sensitivity</v>
      </c>
      <c r="S40" s="55" t="str">
        <f>IFERROR(__xludf.DUMMYFUNCTION("QUERY('Volunteer Survey'!L41)"),"Variant Pathogenicity")</f>
        <v>Variant Pathogenicity</v>
      </c>
      <c r="T40" s="55" t="str">
        <f>IFERROR(__xludf.DUMMYFUNCTION("QUERY('Volunteer Survey'!M41)"),"Actionability")</f>
        <v>Actionability</v>
      </c>
      <c r="U40" s="64" t="str">
        <f>IFERROR(__xludf.DUMMYFUNCTION("QUERY('Volunteer Survey'!N41)"),"No")</f>
        <v>No</v>
      </c>
      <c r="V40" s="55" t="str">
        <f>IFERROR(__xludf.DUMMYFUNCTION("QUERY('Volunteer Survey'!O41)"),"")</f>
        <v/>
      </c>
      <c r="W40" s="66" t="str">
        <f>IFERROR(__xludf.DUMMYFUNCTION("QUERY('Volunteer Survey'!P41)"),"ID/Autism Gene Curation Expert Panel")</f>
        <v>ID/Autism Gene Curation Expert Panel</v>
      </c>
      <c r="X40" s="64" t="str">
        <f>IFERROR(__xludf.DUMMYFUNCTION("QUERY('Volunteer Survey'!R41)"),"")</f>
        <v/>
      </c>
      <c r="Y40" s="53"/>
      <c r="Z40" s="68"/>
      <c r="AA40" s="55"/>
      <c r="AB40" s="55"/>
      <c r="AC40" s="55"/>
      <c r="AD40" s="55"/>
      <c r="AE40" s="55"/>
      <c r="AF40" s="55"/>
      <c r="AG40" s="55"/>
      <c r="AH40" s="55"/>
      <c r="AI40" s="55"/>
      <c r="AJ40" s="55"/>
      <c r="AK40" s="55"/>
      <c r="AL40" s="55"/>
      <c r="AM40" s="55"/>
      <c r="AN40" s="55"/>
      <c r="AO40" s="55"/>
    </row>
    <row r="41">
      <c r="A41" s="50">
        <f>IFERROR(__xludf.DUMMYFUNCTION("QUERY('Volunteer Survey'!A42)"),43473.60137534723)</f>
        <v>43473.60138</v>
      </c>
      <c r="B41" s="48" t="s">
        <v>125</v>
      </c>
      <c r="C41" s="87">
        <v>43437.0</v>
      </c>
      <c r="D41" s="56">
        <v>43446.0</v>
      </c>
      <c r="E41" s="48" t="s">
        <v>117</v>
      </c>
      <c r="F41" s="48" t="s">
        <v>117</v>
      </c>
      <c r="G41" s="48" t="s">
        <v>122</v>
      </c>
      <c r="H41" s="51" t="s">
        <v>143</v>
      </c>
      <c r="I41" s="51" t="s">
        <v>139</v>
      </c>
      <c r="J41" s="56">
        <v>43592.0</v>
      </c>
      <c r="K41" s="56">
        <v>43713.0</v>
      </c>
      <c r="L41" s="55" t="str">
        <f>IFERROR(__xludf.DUMMYFUNCTION("QUERY('Volunteer Survey'!B42)"),"Kira Dies")</f>
        <v>Kira Dies</v>
      </c>
      <c r="M41" s="55" t="str">
        <f>IFERROR(__xludf.DUMMYFUNCTION("QUERY('Volunteer Survey'!E42)"),"Kira.Dies@childrens.harvard.edu")</f>
        <v>Kira.Dies@childrens.harvard.edu</v>
      </c>
      <c r="N41" s="55" t="str">
        <f>IFERROR(__xludf.DUMMYFUNCTION("QUERY('Volunteer Survey'!F42)"),"Genetic counselor")</f>
        <v>Genetic counselor</v>
      </c>
      <c r="O41" s="48" t="s">
        <v>63</v>
      </c>
      <c r="P41" s="55" t="str">
        <f>IFERROR(__xludf.DUMMYFUNCTION("QUERY('Volunteer Survey'!I42)"),"Gene-Disease Validity")</f>
        <v>Gene-Disease Validity</v>
      </c>
      <c r="Q41" s="60" t="str">
        <f>IFERROR(__xludf.DUMMYFUNCTION("QUERY('Volunteer Survey'!J42)"),"Actionability")</f>
        <v>Actionability</v>
      </c>
      <c r="R41" s="55" t="str">
        <f>IFERROR(__xludf.DUMMYFUNCTION("QUERY('Volunteer Survey'!K42)"),"")</f>
        <v/>
      </c>
      <c r="S41" s="55" t="str">
        <f>IFERROR(__xludf.DUMMYFUNCTION("QUERY('Volunteer Survey'!L42)"),"")</f>
        <v/>
      </c>
      <c r="T41" s="55" t="str">
        <f>IFERROR(__xludf.DUMMYFUNCTION("QUERY('Volunteer Survey'!M42)"),"")</f>
        <v/>
      </c>
      <c r="U41" s="64" t="str">
        <f>IFERROR(__xludf.DUMMYFUNCTION("QUERY('Volunteer Survey'!N42)"),"No")</f>
        <v>No</v>
      </c>
      <c r="V41" s="55" t="str">
        <f>IFERROR(__xludf.DUMMYFUNCTION("QUERY('Volunteer Survey'!O42)"),"")</f>
        <v/>
      </c>
      <c r="W41" s="66" t="str">
        <f>IFERROR(__xludf.DUMMYFUNCTION("QUERY('Volunteer Survey'!P42)"),"ASD/NDD")</f>
        <v>ASD/NDD</v>
      </c>
      <c r="X41" s="64" t="str">
        <f>IFERROR(__xludf.DUMMYFUNCTION("QUERY('Volunteer Survey'!R42)"),"")</f>
        <v/>
      </c>
      <c r="Y41" s="51" t="s">
        <v>326</v>
      </c>
      <c r="Z41" s="68"/>
      <c r="AA41" s="55"/>
      <c r="AB41" s="55"/>
      <c r="AC41" s="55"/>
      <c r="AD41" s="55"/>
      <c r="AE41" s="55"/>
      <c r="AF41" s="55"/>
      <c r="AG41" s="55"/>
      <c r="AH41" s="55"/>
      <c r="AI41" s="55"/>
      <c r="AJ41" s="55"/>
      <c r="AK41" s="55"/>
      <c r="AL41" s="55"/>
      <c r="AM41" s="55"/>
      <c r="AN41" s="55"/>
      <c r="AO41" s="55"/>
    </row>
    <row r="42">
      <c r="A42" s="50">
        <f>IFERROR(__xludf.DUMMYFUNCTION("QUERY('Volunteer Survey'!A46)"),43335.60587962963)</f>
        <v>43335.60588</v>
      </c>
      <c r="B42" s="48" t="s">
        <v>160</v>
      </c>
      <c r="C42" s="87">
        <v>43341.0</v>
      </c>
      <c r="D42" s="73">
        <v>43341.0</v>
      </c>
      <c r="E42" s="48" t="s">
        <v>117</v>
      </c>
      <c r="F42" s="48" t="s">
        <v>117</v>
      </c>
      <c r="G42" s="48" t="s">
        <v>122</v>
      </c>
      <c r="H42" s="80" t="s">
        <v>20</v>
      </c>
      <c r="I42" s="80" t="s">
        <v>139</v>
      </c>
      <c r="J42" s="89">
        <v>43592.0</v>
      </c>
      <c r="K42" s="56">
        <v>43713.0</v>
      </c>
      <c r="L42" s="55" t="str">
        <f>IFERROR(__xludf.DUMMYFUNCTION("QUERY('Volunteer Survey'!B46)"),"Sainan Wei")</f>
        <v>Sainan Wei</v>
      </c>
      <c r="M42" s="55" t="str">
        <f>IFERROR(__xludf.DUMMYFUNCTION("QUERY('Volunteer Survey'!E46)"),"sainan.wei@uky.edu ")</f>
        <v>sainan.wei@uky.edu </v>
      </c>
      <c r="N42" s="55" t="str">
        <f>IFERROR(__xludf.DUMMYFUNCTION("QUERY('Volunteer Survey'!F46)"),"Clinical laboratory geneticist")</f>
        <v>Clinical laboratory geneticist</v>
      </c>
      <c r="O42" s="48" t="str">
        <f>IFERROR(__xludf.DUMMYFUNCTION("QUERY('Volunteer Survey'!H46)"),"Comprehensive")</f>
        <v>Comprehensive</v>
      </c>
      <c r="P42" s="55" t="str">
        <f>IFERROR(__xludf.DUMMYFUNCTION("QUERY('Volunteer Survey'!I46)"),"Gene-Disease Validity")</f>
        <v>Gene-Disease Validity</v>
      </c>
      <c r="Q42" s="60" t="str">
        <f>IFERROR(__xludf.DUMMYFUNCTION("QUERY('Volunteer Survey'!J46)"),"Dosage Sensitivity")</f>
        <v>Dosage Sensitivity</v>
      </c>
      <c r="R42" s="55" t="str">
        <f>IFERROR(__xludf.DUMMYFUNCTION("QUERY('Volunteer Survey'!K46)"),"Variant Pathogenicity")</f>
        <v>Variant Pathogenicity</v>
      </c>
      <c r="S42" s="55" t="str">
        <f>IFERROR(__xludf.DUMMYFUNCTION("QUERY('Volunteer Survey'!L46)"),"Actionability")</f>
        <v>Actionability</v>
      </c>
      <c r="T42" s="55" t="str">
        <f>IFERROR(__xludf.DUMMYFUNCTION("QUERY('Volunteer Survey'!M46)"),"Somatic Cancer")</f>
        <v>Somatic Cancer</v>
      </c>
      <c r="U42" s="64" t="str">
        <f>IFERROR(__xludf.DUMMYFUNCTION("QUERY('Volunteer Survey'!N46)"),"No")</f>
        <v>No</v>
      </c>
      <c r="V42" s="55" t="str">
        <f>IFERROR(__xludf.DUMMYFUNCTION("QUERY('Volunteer Survey'!O46)"),"")</f>
        <v/>
      </c>
      <c r="W42" s="66" t="str">
        <f>IFERROR(__xludf.DUMMYFUNCTION("QUERY('Volunteer Survey'!P46)"),"Hereditary cancer gene Aminoacidopathy gene fatty acid oxidation gene")</f>
        <v>Hereditary cancer gene Aminoacidopathy gene fatty acid oxidation gene</v>
      </c>
      <c r="X42" s="64" t="str">
        <f>IFERROR(__xludf.DUMMYFUNCTION("QUERY('Volunteer Survey'!R46)"),"")</f>
        <v/>
      </c>
      <c r="Y42" s="53"/>
      <c r="Z42" s="68"/>
      <c r="AA42" s="55"/>
      <c r="AB42" s="55"/>
      <c r="AC42" s="55"/>
      <c r="AD42" s="55"/>
      <c r="AE42" s="55"/>
      <c r="AF42" s="55"/>
      <c r="AG42" s="55"/>
      <c r="AH42" s="55"/>
      <c r="AI42" s="55"/>
      <c r="AJ42" s="55"/>
      <c r="AK42" s="55"/>
      <c r="AL42" s="55"/>
      <c r="AM42" s="55"/>
      <c r="AN42" s="55"/>
      <c r="AO42" s="55"/>
    </row>
    <row r="43">
      <c r="A43" s="50">
        <f>IFERROR(__xludf.DUMMYFUNCTION("QUERY('Volunteer Survey'!A47)"),43339.60663194444)</f>
        <v>43339.60663</v>
      </c>
      <c r="B43" s="48" t="s">
        <v>160</v>
      </c>
      <c r="C43" s="87">
        <v>43411.0</v>
      </c>
      <c r="D43" s="56">
        <v>43453.0</v>
      </c>
      <c r="E43" s="48" t="s">
        <v>117</v>
      </c>
      <c r="F43" s="48" t="s">
        <v>117</v>
      </c>
      <c r="G43" s="48" t="s">
        <v>163</v>
      </c>
      <c r="H43" s="53"/>
      <c r="I43" s="51" t="s">
        <v>139</v>
      </c>
      <c r="J43" s="56">
        <v>43592.0</v>
      </c>
      <c r="K43" s="56">
        <v>43713.0</v>
      </c>
      <c r="L43" s="55" t="str">
        <f>IFERROR(__xludf.DUMMYFUNCTION("QUERY('Volunteer Survey'!B47)"),"Preti Jain")</f>
        <v>Preti Jain</v>
      </c>
      <c r="M43" s="55" t="str">
        <f>IFERROR(__xludf.DUMMYFUNCTION("QUERY('Volunteer Survey'!E47)"),"preti.jain@yale.edu")</f>
        <v>preti.jain@yale.edu</v>
      </c>
      <c r="N43" s="55" t="str">
        <f>IFERROR(__xludf.DUMMYFUNCTION("QUERY('Volunteer Survey'!F47)"),"Clinical laboratory geneticist")</f>
        <v>Clinical laboratory geneticist</v>
      </c>
      <c r="O43" s="48" t="str">
        <f>IFERROR(__xludf.DUMMYFUNCTION("QUERY('Volunteer Survey'!H47)"),"Comprehensive")</f>
        <v>Comprehensive</v>
      </c>
      <c r="P43" s="55" t="str">
        <f>IFERROR(__xludf.DUMMYFUNCTION("QUERY('Volunteer Survey'!I47)"),"Dosage Sensitivity")</f>
        <v>Dosage Sensitivity</v>
      </c>
      <c r="Q43" s="60" t="str">
        <f>IFERROR(__xludf.DUMMYFUNCTION("QUERY('Volunteer Survey'!J47)"),"")</f>
        <v/>
      </c>
      <c r="R43" s="55" t="str">
        <f>IFERROR(__xludf.DUMMYFUNCTION("QUERY('Volunteer Survey'!K47)"),"")</f>
        <v/>
      </c>
      <c r="S43" s="55" t="str">
        <f>IFERROR(__xludf.DUMMYFUNCTION("QUERY('Volunteer Survey'!L47)"),"")</f>
        <v/>
      </c>
      <c r="T43" s="55" t="str">
        <f>IFERROR(__xludf.DUMMYFUNCTION("QUERY('Volunteer Survey'!M47)"),"")</f>
        <v/>
      </c>
      <c r="U43" s="64" t="str">
        <f>IFERROR(__xludf.DUMMYFUNCTION("QUERY('Volunteer Survey'!N47)"),"Yes")</f>
        <v>Yes</v>
      </c>
      <c r="V43" s="55" t="str">
        <f>IFERROR(__xludf.DUMMYFUNCTION("QUERY('Volunteer Survey'!O47)"),"")</f>
        <v/>
      </c>
      <c r="W43" s="66" t="str">
        <f>IFERROR(__xludf.DUMMYFUNCTION("QUERY('Volunteer Survey'!P47)"),"cardiomyopathy, Somatic/Germline Variant Curation, Hereditary Cancer")</f>
        <v>cardiomyopathy, Somatic/Germline Variant Curation, Hereditary Cancer</v>
      </c>
      <c r="X43" s="64" t="str">
        <f>IFERROR(__xludf.DUMMYFUNCTION("QUERY('Volunteer Survey'!R47)"),"")</f>
        <v/>
      </c>
      <c r="Y43" s="53"/>
      <c r="Z43" s="68"/>
      <c r="AA43" s="55"/>
      <c r="AB43" s="55"/>
      <c r="AC43" s="55"/>
      <c r="AD43" s="55"/>
      <c r="AE43" s="55"/>
      <c r="AF43" s="55"/>
      <c r="AG43" s="55"/>
      <c r="AH43" s="55"/>
      <c r="AI43" s="55"/>
      <c r="AJ43" s="55"/>
      <c r="AK43" s="55"/>
      <c r="AL43" s="55"/>
      <c r="AM43" s="55"/>
      <c r="AN43" s="55"/>
      <c r="AO43" s="55"/>
    </row>
    <row r="44">
      <c r="A44" s="50">
        <f>IFERROR(__xludf.DUMMYFUNCTION("QUERY('Volunteer Survey'!A48)"),43355.61038194444)</f>
        <v>43355.61038</v>
      </c>
      <c r="B44" s="48" t="s">
        <v>160</v>
      </c>
      <c r="C44" s="87">
        <v>43356.0</v>
      </c>
      <c r="D44" s="73">
        <v>43341.0</v>
      </c>
      <c r="E44" s="48" t="s">
        <v>117</v>
      </c>
      <c r="F44" s="48" t="s">
        <v>117</v>
      </c>
      <c r="G44" s="48" t="s">
        <v>163</v>
      </c>
      <c r="H44" s="53"/>
      <c r="I44" s="51" t="s">
        <v>139</v>
      </c>
      <c r="J44" s="56">
        <v>43592.0</v>
      </c>
      <c r="K44" s="56">
        <v>43713.0</v>
      </c>
      <c r="L44" s="55" t="str">
        <f>IFERROR(__xludf.DUMMYFUNCTION("QUERY('Volunteer Survey'!B48)"),"Andrea Vaags")</f>
        <v>Andrea Vaags</v>
      </c>
      <c r="M44" s="55" t="str">
        <f>IFERROR(__xludf.DUMMYFUNCTION("QUERY('Volunteer Survey'!E48)"),"andrea.vaags@thp.ca")</f>
        <v>andrea.vaags@thp.ca</v>
      </c>
      <c r="N44" s="55" t="str">
        <f>IFERROR(__xludf.DUMMYFUNCTION("QUERY('Volunteer Survey'!F48)"),"Clinical laboratory geneticist")</f>
        <v>Clinical laboratory geneticist</v>
      </c>
      <c r="O44" s="48" t="str">
        <f>IFERROR(__xludf.DUMMYFUNCTION("QUERY('Volunteer Survey'!H48)"),"Comprehensive")</f>
        <v>Comprehensive</v>
      </c>
      <c r="P44" s="55" t="str">
        <f>IFERROR(__xludf.DUMMYFUNCTION("QUERY('Volunteer Survey'!I48)"),"Dosage Sensitivity")</f>
        <v>Dosage Sensitivity</v>
      </c>
      <c r="Q44" s="60" t="str">
        <f>IFERROR(__xludf.DUMMYFUNCTION("QUERY('Volunteer Survey'!J48)"),"")</f>
        <v/>
      </c>
      <c r="R44" s="55" t="str">
        <f>IFERROR(__xludf.DUMMYFUNCTION("QUERY('Volunteer Survey'!K48)"),"")</f>
        <v/>
      </c>
      <c r="S44" s="55" t="str">
        <f>IFERROR(__xludf.DUMMYFUNCTION("QUERY('Volunteer Survey'!L48)"),"")</f>
        <v/>
      </c>
      <c r="T44" s="55" t="str">
        <f>IFERROR(__xludf.DUMMYFUNCTION("QUERY('Volunteer Survey'!M48)"),"")</f>
        <v/>
      </c>
      <c r="U44" s="64" t="str">
        <f>IFERROR(__xludf.DUMMYFUNCTION("QUERY('Volunteer Survey'!N48)"),"Yes")</f>
        <v>Yes</v>
      </c>
      <c r="V44" s="55" t="str">
        <f>IFERROR(__xludf.DUMMYFUNCTION("QUERY('Volunteer Survey'!O48)"),"")</f>
        <v/>
      </c>
      <c r="W44" s="66" t="str">
        <f>IFERROR(__xludf.DUMMYFUNCTION("QUERY('Volunteer Survey'!P48)"),"Somatic/Germline Variant Curation Group (In progress); Breast and Ovarian Cancer Gene Curation Expert Panel; Hereditary Cancer Gene Curation Expert Panel (In progress); Somatic/Germline Variant Curation Group (In progress)")</f>
        <v>Somatic/Germline Variant Curation Group (In progress); Breast and Ovarian Cancer Gene Curation Expert Panel; Hereditary Cancer Gene Curation Expert Panel (In progress); Somatic/Germline Variant Curation Group (In progress)</v>
      </c>
      <c r="X44" s="64" t="str">
        <f>IFERROR(__xludf.DUMMYFUNCTION("QUERY('Volunteer Survey'!R48)"),"")</f>
        <v/>
      </c>
      <c r="Y44" s="53"/>
      <c r="Z44" s="68"/>
      <c r="AA44" s="55"/>
      <c r="AB44" s="55"/>
      <c r="AC44" s="55"/>
      <c r="AD44" s="55"/>
      <c r="AE44" s="55"/>
      <c r="AF44" s="55"/>
      <c r="AG44" s="55"/>
      <c r="AH44" s="55"/>
      <c r="AI44" s="55"/>
      <c r="AJ44" s="55"/>
      <c r="AK44" s="55"/>
      <c r="AL44" s="55"/>
      <c r="AM44" s="55"/>
      <c r="AN44" s="55"/>
      <c r="AO44" s="55"/>
    </row>
    <row r="45">
      <c r="A45" s="50">
        <f>IFERROR(__xludf.DUMMYFUNCTION("QUERY('Volunteer Survey'!A49)"),43402.61143518519)</f>
        <v>43402.61144</v>
      </c>
      <c r="B45" s="48" t="s">
        <v>160</v>
      </c>
      <c r="C45" s="87">
        <v>43411.0</v>
      </c>
      <c r="D45" s="56">
        <v>43453.0</v>
      </c>
      <c r="E45" s="48" t="s">
        <v>117</v>
      </c>
      <c r="F45" s="48" t="s">
        <v>117</v>
      </c>
      <c r="G45" s="48" t="s">
        <v>163</v>
      </c>
      <c r="H45" s="53"/>
      <c r="I45" s="51" t="s">
        <v>139</v>
      </c>
      <c r="J45" s="56">
        <v>43592.0</v>
      </c>
      <c r="K45" s="56">
        <v>43713.0</v>
      </c>
      <c r="L45" s="55" t="str">
        <f>IFERROR(__xludf.DUMMYFUNCTION("QUERY('Volunteer Survey'!B49)"),"George Burghel")</f>
        <v>George Burghel</v>
      </c>
      <c r="M45" s="55" t="str">
        <f>IFERROR(__xludf.DUMMYFUNCTION("QUERY('Volunteer Survey'!E49)"),"george.burghel@mft.nhs.uk")</f>
        <v>george.burghel@mft.nhs.uk</v>
      </c>
      <c r="N45" s="55" t="str">
        <f>IFERROR(__xludf.DUMMYFUNCTION("QUERY('Volunteer Survey'!F49)"),"Clinical laboratory geneticist")</f>
        <v>Clinical laboratory geneticist</v>
      </c>
      <c r="O45" s="48" t="str">
        <f>IFERROR(__xludf.DUMMYFUNCTION("QUERY('Volunteer Survey'!H49)"),"Comprehensive")</f>
        <v>Comprehensive</v>
      </c>
      <c r="P45" s="55" t="str">
        <f>IFERROR(__xludf.DUMMYFUNCTION("QUERY('Volunteer Survey'!I49)"),"Dosage Sensitivity")</f>
        <v>Dosage Sensitivity</v>
      </c>
      <c r="Q45" s="60" t="str">
        <f>IFERROR(__xludf.DUMMYFUNCTION("QUERY('Volunteer Survey'!J49)"),"")</f>
        <v/>
      </c>
      <c r="R45" s="55" t="str">
        <f>IFERROR(__xludf.DUMMYFUNCTION("QUERY('Volunteer Survey'!K49)"),"")</f>
        <v/>
      </c>
      <c r="S45" s="55" t="str">
        <f>IFERROR(__xludf.DUMMYFUNCTION("QUERY('Volunteer Survey'!L49)"),"")</f>
        <v/>
      </c>
      <c r="T45" s="55" t="str">
        <f>IFERROR(__xludf.DUMMYFUNCTION("QUERY('Volunteer Survey'!M49)"),"")</f>
        <v/>
      </c>
      <c r="U45" s="64" t="str">
        <f>IFERROR(__xludf.DUMMYFUNCTION("QUERY('Volunteer Survey'!N49)"),"Yes")</f>
        <v>Yes</v>
      </c>
      <c r="V45" s="55" t="str">
        <f>IFERROR(__xludf.DUMMYFUNCTION("QUERY('Volunteer Survey'!O49)"),"")</f>
        <v/>
      </c>
      <c r="W45" s="66" t="str">
        <f>IFERROR(__xludf.DUMMYFUNCTION("QUERY('Volunteer Survey'!P49)"),"Experience with Dosage sensistivy but not curation. ")</f>
        <v>Experience with Dosage sensistivy but not curation. </v>
      </c>
      <c r="X45" s="64" t="str">
        <f>IFERROR(__xludf.DUMMYFUNCTION("QUERY('Volunteer Survey'!R49)"),"")</f>
        <v/>
      </c>
      <c r="Y45" s="53"/>
      <c r="Z45" s="68"/>
      <c r="AA45" s="55"/>
      <c r="AB45" s="55"/>
      <c r="AC45" s="55"/>
      <c r="AD45" s="55"/>
      <c r="AE45" s="55"/>
      <c r="AF45" s="55"/>
      <c r="AG45" s="55"/>
      <c r="AH45" s="55"/>
      <c r="AI45" s="55"/>
      <c r="AJ45" s="55"/>
      <c r="AK45" s="55"/>
      <c r="AL45" s="55"/>
      <c r="AM45" s="55"/>
      <c r="AN45" s="55"/>
      <c r="AO45" s="55"/>
    </row>
    <row r="46">
      <c r="A46" s="50">
        <f>IFERROR(__xludf.DUMMYFUNCTION("QUERY('Volunteer Survey'!A50)"),43417.612164351856)</f>
        <v>43417.61216</v>
      </c>
      <c r="B46" s="48" t="s">
        <v>160</v>
      </c>
      <c r="C46" s="79">
        <v>43430.0</v>
      </c>
      <c r="D46" s="56">
        <v>43453.0</v>
      </c>
      <c r="E46" s="48" t="s">
        <v>117</v>
      </c>
      <c r="F46" s="48" t="s">
        <v>117</v>
      </c>
      <c r="G46" s="48" t="s">
        <v>163</v>
      </c>
      <c r="H46" s="51"/>
      <c r="I46" s="51" t="s">
        <v>299</v>
      </c>
      <c r="J46" s="56">
        <v>43592.0</v>
      </c>
      <c r="K46" s="56">
        <v>43713.0</v>
      </c>
      <c r="L46" s="55" t="str">
        <f>IFERROR(__xludf.DUMMYFUNCTION("QUERY('Volunteer Survey'!B50)"),"Coumarane Mani")</f>
        <v>Coumarane Mani</v>
      </c>
      <c r="M46" s="55" t="str">
        <f>IFERROR(__xludf.DUMMYFUNCTION("QUERY('Volunteer Survey'!E50)"),"coumarane.mani@aruplab.com")</f>
        <v>coumarane.mani@aruplab.com</v>
      </c>
      <c r="N46" s="55" t="str">
        <f>IFERROR(__xludf.DUMMYFUNCTION("QUERY('Volunteer Survey'!F50)"),"Variant Analyst/Scientist")</f>
        <v>Variant Analyst/Scientist</v>
      </c>
      <c r="O46" s="48" t="str">
        <f>IFERROR(__xludf.DUMMYFUNCTION("QUERY('Volunteer Survey'!H50)"),"Comprehensive")</f>
        <v>Comprehensive</v>
      </c>
      <c r="P46" s="55" t="str">
        <f>IFERROR(__xludf.DUMMYFUNCTION("QUERY('Volunteer Survey'!I50)"),"Dosage Sensitivity")</f>
        <v>Dosage Sensitivity</v>
      </c>
      <c r="Q46" s="60" t="str">
        <f>IFERROR(__xludf.DUMMYFUNCTION("QUERY('Volunteer Survey'!J50)"),"")</f>
        <v/>
      </c>
      <c r="R46" s="55" t="str">
        <f>IFERROR(__xludf.DUMMYFUNCTION("QUERY('Volunteer Survey'!K50)"),"")</f>
        <v/>
      </c>
      <c r="S46" s="55" t="str">
        <f>IFERROR(__xludf.DUMMYFUNCTION("QUERY('Volunteer Survey'!L50)"),"")</f>
        <v/>
      </c>
      <c r="T46" s="55" t="str">
        <f>IFERROR(__xludf.DUMMYFUNCTION("QUERY('Volunteer Survey'!M50)"),"")</f>
        <v/>
      </c>
      <c r="U46" s="64" t="str">
        <f>IFERROR(__xludf.DUMMYFUNCTION("QUERY('Volunteer Survey'!N50)"),"Yes")</f>
        <v>Yes</v>
      </c>
      <c r="V46" s="55" t="str">
        <f>IFERROR(__xludf.DUMMYFUNCTION("QUERY('Volunteer Survey'!O50)"),"")</f>
        <v/>
      </c>
      <c r="W46" s="66" t="str">
        <f>IFERROR(__xludf.DUMMYFUNCTION("QUERY('Volunteer Survey'!P50)"),"1. Somatic/Germline Variant Curation Group 2. Myeloid Malignancy Variant Curation Expert Panel")</f>
        <v>1. Somatic/Germline Variant Curation Group 2. Myeloid Malignancy Variant Curation Expert Panel</v>
      </c>
      <c r="X46" s="64" t="str">
        <f>IFERROR(__xludf.DUMMYFUNCTION("QUERY('Volunteer Survey'!R50)"),"")</f>
        <v/>
      </c>
      <c r="Y46" s="53"/>
      <c r="Z46" s="68"/>
      <c r="AA46" s="55"/>
      <c r="AB46" s="55"/>
      <c r="AC46" s="55"/>
      <c r="AD46" s="55"/>
      <c r="AE46" s="55"/>
      <c r="AF46" s="55"/>
      <c r="AG46" s="55"/>
      <c r="AH46" s="55"/>
      <c r="AI46" s="55"/>
      <c r="AJ46" s="55"/>
      <c r="AK46" s="55"/>
      <c r="AL46" s="55"/>
      <c r="AM46" s="55"/>
      <c r="AN46" s="55"/>
      <c r="AO46" s="55"/>
    </row>
    <row r="47">
      <c r="A47" s="50">
        <f>IFERROR(__xludf.DUMMYFUNCTION("QUERY('Volunteer Survey'!A51)"),43438.613125)</f>
        <v>43438.61313</v>
      </c>
      <c r="B47" s="48" t="s">
        <v>160</v>
      </c>
      <c r="C47" s="53"/>
      <c r="D47" s="56">
        <v>43453.0</v>
      </c>
      <c r="E47" s="48" t="s">
        <v>117</v>
      </c>
      <c r="F47" s="48" t="s">
        <v>117</v>
      </c>
      <c r="G47" s="48" t="s">
        <v>163</v>
      </c>
      <c r="H47" s="53"/>
      <c r="I47" s="51" t="s">
        <v>139</v>
      </c>
      <c r="J47" s="56">
        <v>43592.0</v>
      </c>
      <c r="K47" s="56">
        <v>43713.0</v>
      </c>
      <c r="L47" s="55" t="str">
        <f>IFERROR(__xludf.DUMMYFUNCTION("QUERY('Volunteer Survey'!B51)"),"Mahesh Iddawela")</f>
        <v>Mahesh Iddawela</v>
      </c>
      <c r="M47" s="55" t="str">
        <f>IFERROR(__xludf.DUMMYFUNCTION("QUERY('Volunteer Survey'!E51)"),"mahesh.iddawela@monash.edu")</f>
        <v>mahesh.iddawela@monash.edu</v>
      </c>
      <c r="N47" s="55" t="str">
        <f>IFERROR(__xludf.DUMMYFUNCTION("QUERY('Volunteer Survey'!F51)"),"Clinician Scientist Medical Oncology")</f>
        <v>Clinician Scientist Medical Oncology</v>
      </c>
      <c r="O47" s="48" t="str">
        <f>IFERROR(__xludf.DUMMYFUNCTION("QUERY('Volunteer Survey'!H51)"),"Comprehensive")</f>
        <v>Comprehensive</v>
      </c>
      <c r="P47" s="55" t="str">
        <f>IFERROR(__xludf.DUMMYFUNCTION("QUERY('Volunteer Survey'!I51)"),"Dosage Sensitivity")</f>
        <v>Dosage Sensitivity</v>
      </c>
      <c r="Q47" s="60" t="str">
        <f>IFERROR(__xludf.DUMMYFUNCTION("QUERY('Volunteer Survey'!J51)"),"")</f>
        <v/>
      </c>
      <c r="R47" s="55" t="str">
        <f>IFERROR(__xludf.DUMMYFUNCTION("QUERY('Volunteer Survey'!K51)"),"")</f>
        <v/>
      </c>
      <c r="S47" s="55" t="str">
        <f>IFERROR(__xludf.DUMMYFUNCTION("QUERY('Volunteer Survey'!L51)"),"")</f>
        <v/>
      </c>
      <c r="T47" s="55" t="str">
        <f>IFERROR(__xludf.DUMMYFUNCTION("QUERY('Volunteer Survey'!M51)"),"")</f>
        <v/>
      </c>
      <c r="U47" s="64" t="str">
        <f>IFERROR(__xludf.DUMMYFUNCTION("QUERY('Volunteer Survey'!N51)"),"No")</f>
        <v>No</v>
      </c>
      <c r="V47" s="55" t="str">
        <f>IFERROR(__xludf.DUMMYFUNCTION("QUERY('Volunteer Survey'!O51)"),"")</f>
        <v/>
      </c>
      <c r="W47" s="66" t="str">
        <f>IFERROR(__xludf.DUMMYFUNCTION("QUERY('Volunteer Survey'!P51)"),"Somatic Cancer (TP53), Breast/Ovarian cancer")</f>
        <v>Somatic Cancer (TP53), Breast/Ovarian cancer</v>
      </c>
      <c r="X47" s="64" t="str">
        <f>IFERROR(__xludf.DUMMYFUNCTION("QUERY('Volunteer Survey'!R51)"),"")</f>
        <v/>
      </c>
      <c r="Y47" s="53"/>
      <c r="Z47" s="68"/>
      <c r="AA47" s="55"/>
      <c r="AB47" s="55"/>
      <c r="AC47" s="55"/>
      <c r="AD47" s="55"/>
      <c r="AE47" s="55"/>
      <c r="AF47" s="55"/>
      <c r="AG47" s="55"/>
      <c r="AH47" s="55"/>
      <c r="AI47" s="55"/>
      <c r="AJ47" s="55"/>
      <c r="AK47" s="55"/>
      <c r="AL47" s="55"/>
      <c r="AM47" s="55"/>
      <c r="AN47" s="55"/>
      <c r="AO47" s="55"/>
    </row>
    <row r="48">
      <c r="A48" s="50">
        <f>IFERROR(__xludf.DUMMYFUNCTION("QUERY('Volunteer Survey'!A52)"),43440.61386574074)</f>
        <v>43440.61387</v>
      </c>
      <c r="B48" s="48" t="s">
        <v>160</v>
      </c>
      <c r="C48" s="53"/>
      <c r="D48" s="56">
        <v>43453.0</v>
      </c>
      <c r="E48" s="48" t="s">
        <v>117</v>
      </c>
      <c r="F48" s="48" t="s">
        <v>117</v>
      </c>
      <c r="G48" s="48" t="s">
        <v>163</v>
      </c>
      <c r="H48" s="51"/>
      <c r="I48" s="51" t="s">
        <v>299</v>
      </c>
      <c r="J48" s="56">
        <v>43592.0</v>
      </c>
      <c r="K48" s="56">
        <v>43713.0</v>
      </c>
      <c r="L48" s="55" t="str">
        <f>IFERROR(__xludf.DUMMYFUNCTION("QUERY('Volunteer Survey'!B52)"),"Diogo Ventura Lovato")</f>
        <v>Diogo Ventura Lovato</v>
      </c>
      <c r="M48" s="55" t="str">
        <f>IFERROR(__xludf.DUMMYFUNCTION("QUERY('Volunteer Survey'!E52)"),"diogo.v.lovato@gmail.com")</f>
        <v>diogo.v.lovato@gmail.com</v>
      </c>
      <c r="N48" s="55" t="str">
        <f>IFERROR(__xludf.DUMMYFUNCTION("QUERY('Volunteer Survey'!F52)"),"Clinical laboratory geneticist, Scientific Researcher, Biocurator, Variant Analyst/Scientist")</f>
        <v>Clinical laboratory geneticist, Scientific Researcher, Biocurator, Variant Analyst/Scientist</v>
      </c>
      <c r="O48" s="48" t="str">
        <f>IFERROR(__xludf.DUMMYFUNCTION("QUERY('Volunteer Survey'!H52)"),"Comprehensive")</f>
        <v>Comprehensive</v>
      </c>
      <c r="P48" s="55" t="str">
        <f>IFERROR(__xludf.DUMMYFUNCTION("QUERY('Volunteer Survey'!I52)"),"Dosage Sensitivity")</f>
        <v>Dosage Sensitivity</v>
      </c>
      <c r="Q48" s="60" t="str">
        <f>IFERROR(__xludf.DUMMYFUNCTION("QUERY('Volunteer Survey'!J52)"),"")</f>
        <v/>
      </c>
      <c r="R48" s="55" t="str">
        <f>IFERROR(__xludf.DUMMYFUNCTION("QUERY('Volunteer Survey'!K52)"),"")</f>
        <v/>
      </c>
      <c r="S48" s="55" t="str">
        <f>IFERROR(__xludf.DUMMYFUNCTION("QUERY('Volunteer Survey'!L52)"),"")</f>
        <v/>
      </c>
      <c r="T48" s="55" t="str">
        <f>IFERROR(__xludf.DUMMYFUNCTION("QUERY('Volunteer Survey'!M52)"),"")</f>
        <v/>
      </c>
      <c r="U48" s="64" t="str">
        <f>IFERROR(__xludf.DUMMYFUNCTION("QUERY('Volunteer Survey'!N52)"),"Yes")</f>
        <v>Yes</v>
      </c>
      <c r="V48" s="55" t="str">
        <f>IFERROR(__xludf.DUMMYFUNCTION("QUERY('Volunteer Survey'!O52)"),"")</f>
        <v/>
      </c>
      <c r="W48" s="66" t="str">
        <f>IFERROR(__xludf.DUMMYFUNCTION("QUERY('Volunteer Survey'!P52)"),"Autism and Intellectual Disability, Epilepsy")</f>
        <v>Autism and Intellectual Disability, Epilepsy</v>
      </c>
      <c r="X48" s="64" t="str">
        <f>IFERROR(__xludf.DUMMYFUNCTION("QUERY('Volunteer Survey'!R52)"),"")</f>
        <v/>
      </c>
      <c r="Y48" s="53"/>
      <c r="Z48" s="68"/>
      <c r="AA48" s="55"/>
      <c r="AB48" s="55"/>
      <c r="AC48" s="55"/>
      <c r="AD48" s="55"/>
      <c r="AE48" s="55"/>
      <c r="AF48" s="55"/>
      <c r="AG48" s="55"/>
      <c r="AH48" s="55"/>
      <c r="AI48" s="55"/>
      <c r="AJ48" s="55"/>
      <c r="AK48" s="55"/>
      <c r="AL48" s="55"/>
      <c r="AM48" s="55"/>
      <c r="AN48" s="55"/>
      <c r="AO48" s="55"/>
    </row>
    <row r="49">
      <c r="A49" s="50">
        <f>IFERROR(__xludf.DUMMYFUNCTION("QUERY('Volunteer Survey'!A54)"),43343.39832175926)</f>
        <v>43343.39832</v>
      </c>
      <c r="B49" s="48" t="s">
        <v>168</v>
      </c>
      <c r="C49" s="90">
        <v>43476.0</v>
      </c>
      <c r="D49" s="49">
        <v>43476.0</v>
      </c>
      <c r="E49" s="48" t="s">
        <v>117</v>
      </c>
      <c r="F49" s="48" t="s">
        <v>130</v>
      </c>
      <c r="G49" s="48" t="s">
        <v>136</v>
      </c>
      <c r="H49" s="51" t="s">
        <v>296</v>
      </c>
      <c r="I49" s="51" t="s">
        <v>139</v>
      </c>
      <c r="J49" s="56">
        <v>43592.0</v>
      </c>
      <c r="K49" s="48" t="s">
        <v>300</v>
      </c>
      <c r="L49" s="55" t="str">
        <f>IFERROR(__xludf.DUMMYFUNCTION("QUERY('Volunteer Survey'!B54)"),"Sameeha Shirwadkar")</f>
        <v>Sameeha Shirwadkar</v>
      </c>
      <c r="M49" s="55" t="str">
        <f>IFERROR(__xludf.DUMMYFUNCTION("QUERY('Volunteer Survey'!E54)"),"sameeha9@gmail.com")</f>
        <v>sameeha9@gmail.com</v>
      </c>
      <c r="N49" s="55" t="str">
        <f>IFERROR(__xludf.DUMMYFUNCTION("QUERY('Volunteer Survey'!F54)"),"Biocurator and Variant Analyst Scientist")</f>
        <v>Biocurator and Variant Analyst Scientist</v>
      </c>
      <c r="O49" s="48" t="str">
        <f>IFERROR(__xludf.DUMMYFUNCTION("QUERY('Volunteer Survey'!H54)"),"Comprehensive")</f>
        <v>Comprehensive</v>
      </c>
      <c r="P49" s="55" t="str">
        <f>IFERROR(__xludf.DUMMYFUNCTION("QUERY('Volunteer Survey'!I54)"),"Somatic Cancer")</f>
        <v>Somatic Cancer</v>
      </c>
      <c r="Q49" s="60" t="str">
        <f>IFERROR(__xludf.DUMMYFUNCTION("QUERY('Volunteer Survey'!J54)"),"Clinical Actionability")</f>
        <v>Clinical Actionability</v>
      </c>
      <c r="R49" s="55" t="str">
        <f>IFERROR(__xludf.DUMMYFUNCTION("QUERY('Volunteer Survey'!K54)"),"Variant Pathogenicity")</f>
        <v>Variant Pathogenicity</v>
      </c>
      <c r="S49" s="55" t="str">
        <f>IFERROR(__xludf.DUMMYFUNCTION("QUERY('Volunteer Survey'!L54)"),"Gene-Disease Validity")</f>
        <v>Gene-Disease Validity</v>
      </c>
      <c r="T49" s="55" t="str">
        <f>IFERROR(__xludf.DUMMYFUNCTION("QUERY('Volunteer Survey'!M54)"),"")</f>
        <v/>
      </c>
      <c r="U49" s="64" t="str">
        <f>IFERROR(__xludf.DUMMYFUNCTION("QUERY('Volunteer Survey'!N54)"),"yes")</f>
        <v>yes</v>
      </c>
      <c r="V49" s="55" t="str">
        <f>IFERROR(__xludf.DUMMYFUNCTION("QUERY('Volunteer Survey'!O54)"),"Yes")</f>
        <v>Yes</v>
      </c>
      <c r="W49" s="66" t="str">
        <f>IFERROR(__xludf.DUMMYFUNCTION("QUERY('Volunteer Survey'!P54)"),"Somatic/Germline Variant Curation Group and TP53 Variant Curation Expert Panel")</f>
        <v>Somatic/Germline Variant Curation Group and TP53 Variant Curation Expert Panel</v>
      </c>
      <c r="X49" s="64" t="str">
        <f>IFERROR(__xludf.DUMMYFUNCTION("QUERY('Volunteer Survey'!R54)"),"Maybe -- please contact me with other options, and I will decide based on what is available")</f>
        <v>Maybe -- please contact me with other options, and I will decide based on what is available</v>
      </c>
      <c r="Y49" s="53"/>
      <c r="Z49" s="68"/>
      <c r="AA49" s="55"/>
      <c r="AB49" s="55"/>
      <c r="AC49" s="55"/>
      <c r="AD49" s="55"/>
      <c r="AE49" s="55"/>
      <c r="AF49" s="55"/>
      <c r="AG49" s="55"/>
      <c r="AH49" s="55"/>
      <c r="AI49" s="55"/>
      <c r="AJ49" s="55"/>
      <c r="AK49" s="55"/>
      <c r="AL49" s="55"/>
      <c r="AM49" s="55"/>
      <c r="AN49" s="55"/>
      <c r="AO49" s="55"/>
    </row>
    <row r="50">
      <c r="A50" s="50">
        <f>IFERROR(__xludf.DUMMYFUNCTION("QUERY('Volunteer Survey'!A55)"),43365.400613425925)</f>
        <v>43365.40061</v>
      </c>
      <c r="B50" s="48" t="s">
        <v>168</v>
      </c>
      <c r="C50" s="53"/>
      <c r="D50" s="49"/>
      <c r="E50" s="48" t="s">
        <v>130</v>
      </c>
      <c r="F50" s="48" t="s">
        <v>130</v>
      </c>
      <c r="G50" s="48" t="s">
        <v>136</v>
      </c>
      <c r="H50" s="51" t="s">
        <v>297</v>
      </c>
      <c r="I50" s="51" t="s">
        <v>139</v>
      </c>
      <c r="J50" s="55"/>
      <c r="K50" s="55"/>
      <c r="L50" s="55" t="str">
        <f>IFERROR(__xludf.DUMMYFUNCTION("QUERY('Volunteer Survey'!B55)"),"Heather Williams")</f>
        <v>Heather Williams</v>
      </c>
      <c r="M50" s="55" t="str">
        <f>IFERROR(__xludf.DUMMYFUNCTION("QUERY('Volunteer Survey'!E55)"),"heather.williams30@nhs.net")</f>
        <v>heather.williams30@nhs.net</v>
      </c>
      <c r="N50" s="55" t="str">
        <f>IFERROR(__xludf.DUMMYFUNCTION("QUERY('Volunteer Survey'!F55)"),"Clinical laboratory geneticist")</f>
        <v>Clinical laboratory geneticist</v>
      </c>
      <c r="O50" s="48" t="str">
        <f>IFERROR(__xludf.DUMMYFUNCTION("QUERY('Volunteer Survey'!H55)"),"Comprehensive")</f>
        <v>Comprehensive</v>
      </c>
      <c r="P50" s="55" t="str">
        <f>IFERROR(__xludf.DUMMYFUNCTION("QUERY('Volunteer Survey'!I55)"),"Somatic Cancer")</f>
        <v>Somatic Cancer</v>
      </c>
      <c r="Q50" s="60" t="str">
        <f>IFERROR(__xludf.DUMMYFUNCTION("QUERY('Volunteer Survey'!J55)"),"Variant Pathogenicity")</f>
        <v>Variant Pathogenicity</v>
      </c>
      <c r="R50" s="55" t="str">
        <f>IFERROR(__xludf.DUMMYFUNCTION("QUERY('Volunteer Survey'!K55)"),"Clinical Actionability")</f>
        <v>Clinical Actionability</v>
      </c>
      <c r="S50" s="55" t="str">
        <f>IFERROR(__xludf.DUMMYFUNCTION("QUERY('Volunteer Survey'!L55)"),"Gene-Disease Validity")</f>
        <v>Gene-Disease Validity</v>
      </c>
      <c r="T50" s="55" t="str">
        <f>IFERROR(__xludf.DUMMYFUNCTION("QUERY('Volunteer Survey'!M55)"),"Dosage Sensitivity")</f>
        <v>Dosage Sensitivity</v>
      </c>
      <c r="U50" s="64" t="str">
        <f>IFERROR(__xludf.DUMMYFUNCTION("QUERY('Volunteer Survey'!N55)"),"yes")</f>
        <v>yes</v>
      </c>
      <c r="V50" s="55" t="str">
        <f>IFERROR(__xludf.DUMMYFUNCTION("QUERY('Volunteer Survey'!O55)"),"Yes")</f>
        <v>Yes</v>
      </c>
      <c r="W50" s="66" t="str">
        <f>IFERROR(__xludf.DUMMYFUNCTION("QUERY('Volunteer Survey'!P55)"),"Myeloid Malignancy Variant Curation Expert Panel Somatic/Germline Variant Curation Group")</f>
        <v>Myeloid Malignancy Variant Curation Expert Panel Somatic/Germline Variant Curation Group</v>
      </c>
      <c r="X50" s="64" t="str">
        <f>IFERROR(__xludf.DUMMYFUNCTION("QUERY('Volunteer Survey'!R55)"),"Yes- I am willing to volunteer with any available ClinGen group")</f>
        <v>Yes- I am willing to volunteer with any available ClinGen group</v>
      </c>
      <c r="Y50" s="53"/>
      <c r="Z50" s="68"/>
      <c r="AA50" s="55"/>
      <c r="AB50" s="55"/>
      <c r="AC50" s="55"/>
      <c r="AD50" s="55"/>
      <c r="AE50" s="55"/>
      <c r="AF50" s="55"/>
      <c r="AG50" s="55"/>
      <c r="AH50" s="55"/>
      <c r="AI50" s="55"/>
      <c r="AJ50" s="55"/>
      <c r="AK50" s="55"/>
      <c r="AL50" s="55"/>
      <c r="AM50" s="55"/>
      <c r="AN50" s="55"/>
      <c r="AO50" s="55"/>
    </row>
    <row r="51">
      <c r="A51" s="50">
        <f>IFERROR(__xludf.DUMMYFUNCTION("QUERY('Volunteer Survey'!A56)"),43368.40216435185)</f>
        <v>43368.40216</v>
      </c>
      <c r="B51" s="48" t="s">
        <v>168</v>
      </c>
      <c r="C51" s="87">
        <v>43411.0</v>
      </c>
      <c r="D51" s="49">
        <v>43476.0</v>
      </c>
      <c r="E51" s="48" t="s">
        <v>117</v>
      </c>
      <c r="F51" s="48" t="s">
        <v>130</v>
      </c>
      <c r="G51" s="48" t="s">
        <v>136</v>
      </c>
      <c r="H51" s="51" t="s">
        <v>297</v>
      </c>
      <c r="I51" s="51" t="s">
        <v>139</v>
      </c>
      <c r="J51" s="56">
        <v>43592.0</v>
      </c>
      <c r="K51" s="56">
        <v>43713.0</v>
      </c>
      <c r="L51" s="55" t="str">
        <f>IFERROR(__xludf.DUMMYFUNCTION("QUERY('Volunteer Survey'!B56)"),"Laura Richards")</f>
        <v>Laura Richards</v>
      </c>
      <c r="M51" s="55" t="str">
        <f>IFERROR(__xludf.DUMMYFUNCTION("QUERY('Volunteer Survey'!E56)"),"lauram.richards@mail.utoronto.ca")</f>
        <v>lauram.richards@mail.utoronto.ca</v>
      </c>
      <c r="N51" s="55" t="str">
        <f>IFERROR(__xludf.DUMMYFUNCTION("QUERY('Volunteer Survey'!F56)"),"Graduate Student")</f>
        <v>Graduate Student</v>
      </c>
      <c r="O51" s="48" t="str">
        <f>IFERROR(__xludf.DUMMYFUNCTION("QUERY('Volunteer Survey'!H56)"),"Comprehensive")</f>
        <v>Comprehensive</v>
      </c>
      <c r="P51" s="55" t="str">
        <f>IFERROR(__xludf.DUMMYFUNCTION("QUERY('Volunteer Survey'!I56)"),"Somatic Cancer")</f>
        <v>Somatic Cancer</v>
      </c>
      <c r="Q51" s="60" t="str">
        <f>IFERROR(__xludf.DUMMYFUNCTION("QUERY('Volunteer Survey'!J56)"),"Clinical Actionability")</f>
        <v>Clinical Actionability</v>
      </c>
      <c r="R51" s="55" t="str">
        <f>IFERROR(__xludf.DUMMYFUNCTION("QUERY('Volunteer Survey'!K56)"),"Variant Pathogenicity")</f>
        <v>Variant Pathogenicity</v>
      </c>
      <c r="S51" s="55" t="str">
        <f>IFERROR(__xludf.DUMMYFUNCTION("QUERY('Volunteer Survey'!L56)"),"Gene-Disease Validity")</f>
        <v>Gene-Disease Validity</v>
      </c>
      <c r="T51" s="55" t="str">
        <f>IFERROR(__xludf.DUMMYFUNCTION("QUERY('Volunteer Survey'!M56)"),"Dosage Sensitivity")</f>
        <v>Dosage Sensitivity</v>
      </c>
      <c r="U51" s="64" t="str">
        <f>IFERROR(__xludf.DUMMYFUNCTION("QUERY('Volunteer Survey'!N56)"),"yes")</f>
        <v>yes</v>
      </c>
      <c r="V51" s="55" t="str">
        <f>IFERROR(__xludf.DUMMYFUNCTION("QUERY('Volunteer Survey'!O56)"),"Yes")</f>
        <v>Yes</v>
      </c>
      <c r="W51" s="66" t="str">
        <f>IFERROR(__xludf.DUMMYFUNCTION("QUERY('Volunteer Survey'!P56)"),"All expert panels in Hereditary Cancer CDWG")</f>
        <v>All expert panels in Hereditary Cancer CDWG</v>
      </c>
      <c r="X51" s="64" t="str">
        <f>IFERROR(__xludf.DUMMYFUNCTION("QUERY('Volunteer Survey'!R56)"),"Yes- I am willing to volunteer with any available ClinGen group")</f>
        <v>Yes- I am willing to volunteer with any available ClinGen group</v>
      </c>
      <c r="Y51" s="92" t="s">
        <v>328</v>
      </c>
      <c r="Z51" s="68"/>
      <c r="AA51" s="55"/>
      <c r="AB51" s="55"/>
      <c r="AC51" s="55"/>
      <c r="AD51" s="55"/>
      <c r="AE51" s="55"/>
      <c r="AF51" s="55"/>
      <c r="AG51" s="55"/>
      <c r="AH51" s="55"/>
      <c r="AI51" s="55"/>
      <c r="AJ51" s="55"/>
      <c r="AK51" s="55"/>
      <c r="AL51" s="55"/>
      <c r="AM51" s="55"/>
      <c r="AN51" s="55"/>
      <c r="AO51" s="55"/>
    </row>
    <row r="52">
      <c r="A52" s="50">
        <f>IFERROR(__xludf.DUMMYFUNCTION("QUERY('Volunteer Survey'!A57)"),43370.40420138889)</f>
        <v>43370.4042</v>
      </c>
      <c r="B52" s="48" t="s">
        <v>168</v>
      </c>
      <c r="C52" s="87">
        <v>43411.0</v>
      </c>
      <c r="D52" s="49"/>
      <c r="E52" s="48" t="s">
        <v>130</v>
      </c>
      <c r="F52" s="48" t="s">
        <v>130</v>
      </c>
      <c r="G52" s="48" t="s">
        <v>136</v>
      </c>
      <c r="H52" s="53"/>
      <c r="I52" s="51" t="s">
        <v>139</v>
      </c>
      <c r="J52" s="55"/>
      <c r="K52" s="55"/>
      <c r="L52" s="55" t="str">
        <f>IFERROR(__xludf.DUMMYFUNCTION("QUERY('Volunteer Survey'!B57)"),"Aysegul Ozanturk")</f>
        <v>Aysegul Ozanturk</v>
      </c>
      <c r="M52" s="55" t="str">
        <f>IFERROR(__xludf.DUMMYFUNCTION("QUERY('Volunteer Survey'!E57)"),"aozanturk@gmail.com")</f>
        <v>aozanturk@gmail.com</v>
      </c>
      <c r="N52" s="55" t="str">
        <f>IFERROR(__xludf.DUMMYFUNCTION("QUERY('Volunteer Survey'!F57)"),"Scientific Researcher, Variant Analyst/Scientist")</f>
        <v>Scientific Researcher, Variant Analyst/Scientist</v>
      </c>
      <c r="O52" s="48" t="str">
        <f>IFERROR(__xludf.DUMMYFUNCTION("QUERY('Volunteer Survey'!H57)"),"Comprehensive")</f>
        <v>Comprehensive</v>
      </c>
      <c r="P52" s="55" t="str">
        <f>IFERROR(__xludf.DUMMYFUNCTION("QUERY('Volunteer Survey'!I57)"),"Somatic Cancer")</f>
        <v>Somatic Cancer</v>
      </c>
      <c r="Q52" s="60" t="str">
        <f>IFERROR(__xludf.DUMMYFUNCTION("QUERY('Volunteer Survey'!J57)"),"Dosage Sensitivity")</f>
        <v>Dosage Sensitivity</v>
      </c>
      <c r="R52" s="55" t="str">
        <f>IFERROR(__xludf.DUMMYFUNCTION("QUERY('Volunteer Survey'!K57)"),"Clinical Actionability")</f>
        <v>Clinical Actionability</v>
      </c>
      <c r="S52" s="55" t="str">
        <f>IFERROR(__xludf.DUMMYFUNCTION("QUERY('Volunteer Survey'!L57)"),"")</f>
        <v/>
      </c>
      <c r="T52" s="55" t="str">
        <f>IFERROR(__xludf.DUMMYFUNCTION("QUERY('Volunteer Survey'!M57)"),"")</f>
        <v/>
      </c>
      <c r="U52" s="64" t="str">
        <f>IFERROR(__xludf.DUMMYFUNCTION("QUERY('Volunteer Survey'!N57)"),"yes")</f>
        <v>yes</v>
      </c>
      <c r="V52" s="55" t="str">
        <f>IFERROR(__xludf.DUMMYFUNCTION("QUERY('Volunteer Survey'!O57)"),"Possibly")</f>
        <v>Possibly</v>
      </c>
      <c r="W52" s="66" t="str">
        <f>IFERROR(__xludf.DUMMYFUNCTION("QUERY('Volunteer Survey'!P57)"),"I would say mostly rare disorders. I have an expertise on ciliary disorders/ Syndromic IDs/ inborn error of metabolic disorders. Happy to share my resume.")</f>
        <v>I would say mostly rare disorders. I have an expertise on ciliary disorders/ Syndromic IDs/ inborn error of metabolic disorders. Happy to share my resume.</v>
      </c>
      <c r="X52" s="64" t="str">
        <f>IFERROR(__xludf.DUMMYFUNCTION("QUERY('Volunteer Survey'!R57)"),"Yes- I am willing to volunteer with any available ClinGen group")</f>
        <v>Yes- I am willing to volunteer with any available ClinGen group</v>
      </c>
      <c r="Y52" s="53"/>
      <c r="Z52" s="68"/>
      <c r="AA52" s="55"/>
      <c r="AB52" s="55"/>
      <c r="AC52" s="55"/>
      <c r="AD52" s="55"/>
      <c r="AE52" s="55"/>
      <c r="AF52" s="55"/>
      <c r="AG52" s="55"/>
      <c r="AH52" s="55"/>
      <c r="AI52" s="55"/>
      <c r="AJ52" s="55"/>
      <c r="AK52" s="55"/>
      <c r="AL52" s="55"/>
      <c r="AM52" s="55"/>
      <c r="AN52" s="55"/>
      <c r="AO52" s="55"/>
    </row>
    <row r="53">
      <c r="A53" s="50">
        <f>IFERROR(__xludf.DUMMYFUNCTION("QUERY('Volunteer Survey'!A58)"),43382.413773148146)</f>
        <v>43382.41377</v>
      </c>
      <c r="B53" s="48" t="s">
        <v>125</v>
      </c>
      <c r="C53" s="87">
        <v>43411.0</v>
      </c>
      <c r="D53" s="49">
        <v>43476.0</v>
      </c>
      <c r="E53" s="48" t="s">
        <v>117</v>
      </c>
      <c r="F53" s="48" t="s">
        <v>130</v>
      </c>
      <c r="G53" s="48" t="s">
        <v>136</v>
      </c>
      <c r="H53" s="51" t="s">
        <v>296</v>
      </c>
      <c r="I53" s="51" t="s">
        <v>139</v>
      </c>
      <c r="J53" s="56">
        <v>43592.0</v>
      </c>
      <c r="K53" s="48" t="s">
        <v>300</v>
      </c>
      <c r="L53" s="55" t="str">
        <f>IFERROR(__xludf.DUMMYFUNCTION("QUERY('Volunteer Survey'!B58)"),"Kaylee Barber")</f>
        <v>Kaylee Barber</v>
      </c>
      <c r="M53" s="55" t="str">
        <f>IFERROR(__xludf.DUMMYFUNCTION("QUERY('Volunteer Survey'!E58)"),"kbarber@bioreference.com")</f>
        <v>kbarber@bioreference.com</v>
      </c>
      <c r="N53" s="55" t="str">
        <f>IFERROR(__xludf.DUMMYFUNCTION("QUERY('Volunteer Survey'!F58)"),"Genetic counselor")</f>
        <v>Genetic counselor</v>
      </c>
      <c r="O53" s="48" t="str">
        <f>IFERROR(__xludf.DUMMYFUNCTION("QUERY('Volunteer Survey'!H58)"),"Comprehensive")</f>
        <v>Comprehensive</v>
      </c>
      <c r="P53" s="55" t="str">
        <f>IFERROR(__xludf.DUMMYFUNCTION("QUERY('Volunteer Survey'!I58)"),"Somatic Cancer")</f>
        <v>Somatic Cancer</v>
      </c>
      <c r="Q53" s="60" t="str">
        <f>IFERROR(__xludf.DUMMYFUNCTION("QUERY('Volunteer Survey'!J58)"),"Clinical Actionability")</f>
        <v>Clinical Actionability</v>
      </c>
      <c r="R53" s="55" t="str">
        <f>IFERROR(__xludf.DUMMYFUNCTION("QUERY('Volunteer Survey'!K58)"),"Gene-Disease Validity")</f>
        <v>Gene-Disease Validity</v>
      </c>
      <c r="S53" s="55" t="str">
        <f>IFERROR(__xludf.DUMMYFUNCTION("QUERY('Volunteer Survey'!L58)"),"")</f>
        <v/>
      </c>
      <c r="T53" s="55" t="str">
        <f>IFERROR(__xludf.DUMMYFUNCTION("QUERY('Volunteer Survey'!M58)"),"")</f>
        <v/>
      </c>
      <c r="U53" s="64" t="str">
        <f>IFERROR(__xludf.DUMMYFUNCTION("QUERY('Volunteer Survey'!N58)"),"yes")</f>
        <v>yes</v>
      </c>
      <c r="V53" s="55" t="str">
        <f>IFERROR(__xludf.DUMMYFUNCTION("QUERY('Volunteer Survey'!O58)"),"Possibly")</f>
        <v>Possibly</v>
      </c>
      <c r="W53" s="66" t="str">
        <f>IFERROR(__xludf.DUMMYFUNCTION("QUERY('Volunteer Survey'!P58)"),"Somatic Cancer Working Group, Somatic/Germline Variant Curation Group")</f>
        <v>Somatic Cancer Working Group, Somatic/Germline Variant Curation Group</v>
      </c>
      <c r="X53" s="64" t="str">
        <f>IFERROR(__xludf.DUMMYFUNCTION("QUERY('Volunteer Survey'!R58)"),"No - I am only interested in the group(s) I previously indicated")</f>
        <v>No - I am only interested in the group(s) I previously indicated</v>
      </c>
      <c r="Y53" s="92" t="s">
        <v>318</v>
      </c>
      <c r="Z53" s="68"/>
      <c r="AA53" s="55"/>
      <c r="AB53" s="55"/>
      <c r="AC53" s="55"/>
      <c r="AD53" s="55"/>
      <c r="AE53" s="55"/>
      <c r="AF53" s="55"/>
      <c r="AG53" s="55"/>
      <c r="AH53" s="55"/>
      <c r="AI53" s="55"/>
      <c r="AJ53" s="55"/>
      <c r="AK53" s="55"/>
      <c r="AL53" s="55"/>
      <c r="AM53" s="55"/>
      <c r="AN53" s="55"/>
      <c r="AO53" s="55"/>
    </row>
    <row r="54">
      <c r="A54" s="50">
        <f>IFERROR(__xludf.DUMMYFUNCTION("QUERY('Volunteer Survey'!A59)"),43395.41673611111)</f>
        <v>43395.41674</v>
      </c>
      <c r="B54" s="48" t="s">
        <v>160</v>
      </c>
      <c r="C54" s="87">
        <v>43411.0</v>
      </c>
      <c r="D54" s="49">
        <v>43476.0</v>
      </c>
      <c r="E54" s="48" t="s">
        <v>117</v>
      </c>
      <c r="F54" s="48" t="s">
        <v>130</v>
      </c>
      <c r="G54" s="48" t="s">
        <v>136</v>
      </c>
      <c r="H54" s="51" t="s">
        <v>298</v>
      </c>
      <c r="I54" s="51" t="s">
        <v>139</v>
      </c>
      <c r="J54" s="56">
        <v>43592.0</v>
      </c>
      <c r="K54" s="56">
        <v>43713.0</v>
      </c>
      <c r="L54" s="55" t="str">
        <f>IFERROR(__xludf.DUMMYFUNCTION("QUERY('Volunteer Survey'!B59)"),"Wan-Hsin Lin")</f>
        <v>Wan-Hsin Lin</v>
      </c>
      <c r="M54" s="55" t="str">
        <f>IFERROR(__xludf.DUMMYFUNCTION("QUERY('Volunteer Survey'!E59)"),"lin.wanhsin@mayo.edu")</f>
        <v>lin.wanhsin@mayo.edu</v>
      </c>
      <c r="N54" s="55" t="str">
        <f>IFERROR(__xludf.DUMMYFUNCTION("QUERY('Volunteer Survey'!F59)"),"Post Doc/Resident/Fellow (MD and/or PhD)")</f>
        <v>Post Doc/Resident/Fellow (MD and/or PhD)</v>
      </c>
      <c r="O54" s="48" t="str">
        <f>IFERROR(__xludf.DUMMYFUNCTION("QUERY('Volunteer Survey'!H59)"),"Comprehensive")</f>
        <v>Comprehensive</v>
      </c>
      <c r="P54" s="55" t="str">
        <f>IFERROR(__xludf.DUMMYFUNCTION("QUERY('Volunteer Survey'!I59)"),"Somatic Cancer")</f>
        <v>Somatic Cancer</v>
      </c>
      <c r="Q54" s="60" t="str">
        <f>IFERROR(__xludf.DUMMYFUNCTION("QUERY('Volunteer Survey'!J59)"),"Variant Pathogenicity")</f>
        <v>Variant Pathogenicity</v>
      </c>
      <c r="R54" s="55" t="str">
        <f>IFERROR(__xludf.DUMMYFUNCTION("QUERY('Volunteer Survey'!K59)"),"Clinical Actionability")</f>
        <v>Clinical Actionability</v>
      </c>
      <c r="S54" s="55" t="str">
        <f>IFERROR(__xludf.DUMMYFUNCTION("QUERY('Volunteer Survey'!L59)"),"Gene-Disease Validity")</f>
        <v>Gene-Disease Validity</v>
      </c>
      <c r="T54" s="55" t="str">
        <f>IFERROR(__xludf.DUMMYFUNCTION("QUERY('Volunteer Survey'!M59)"),"")</f>
        <v/>
      </c>
      <c r="U54" s="64" t="str">
        <f>IFERROR(__xludf.DUMMYFUNCTION("QUERY('Volunteer Survey'!N59)"),"no")</f>
        <v>no</v>
      </c>
      <c r="V54" s="55" t="str">
        <f>IFERROR(__xludf.DUMMYFUNCTION("QUERY('Volunteer Survey'!O59)"),"Possibly")</f>
        <v>Possibly</v>
      </c>
      <c r="W54" s="66" t="str">
        <f>IFERROR(__xludf.DUMMYFUNCTION("QUERY('Volunteer Survey'!P59)"),"The Expert Panels/Working Groups that I am interested in are listed below. 1. ""Clinical Domain Working Groups""-Hereditary Cancer CDWG: Hereditary Cancer Gene Curation Expert Panel, Myeloid Malignancy Variant Curation Expert Panel, Somatic/Germline Varia"&amp;"nt Curation Group. 2. Gene Curation Working Group 3. Somatic Cancer Working Group")</f>
        <v>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v>
      </c>
      <c r="X54" s="64" t="str">
        <f>IFERROR(__xludf.DUMMYFUNCTION("QUERY('Volunteer Survey'!R59)"),"Maybe -- please contact me with other options, and I will decide based on what is available")</f>
        <v>Maybe -- please contact me with other options, and I will decide based on what is available</v>
      </c>
      <c r="Y54" s="53"/>
      <c r="Z54" s="68"/>
      <c r="AA54" s="55"/>
      <c r="AB54" s="55"/>
      <c r="AC54" s="55"/>
      <c r="AD54" s="55"/>
      <c r="AE54" s="55"/>
      <c r="AF54" s="55"/>
      <c r="AG54" s="55"/>
      <c r="AH54" s="55"/>
      <c r="AI54" s="55"/>
      <c r="AJ54" s="55"/>
      <c r="AK54" s="55"/>
      <c r="AL54" s="55"/>
      <c r="AM54" s="55"/>
      <c r="AN54" s="55"/>
      <c r="AO54" s="55"/>
    </row>
    <row r="55" ht="20.25" customHeight="1">
      <c r="A55" s="50">
        <f>IFERROR(__xludf.DUMMYFUNCTION("QUERY('Volunteer Survey'!A60)"),43398.4188425926)</f>
        <v>43398.41884</v>
      </c>
      <c r="B55" s="48" t="s">
        <v>168</v>
      </c>
      <c r="C55" s="87">
        <v>43411.0</v>
      </c>
      <c r="D55" s="49">
        <v>43476.0</v>
      </c>
      <c r="E55" s="48" t="s">
        <v>117</v>
      </c>
      <c r="F55" s="48" t="s">
        <v>130</v>
      </c>
      <c r="G55" s="48" t="s">
        <v>136</v>
      </c>
      <c r="H55" s="51" t="s">
        <v>297</v>
      </c>
      <c r="I55" s="51" t="s">
        <v>139</v>
      </c>
      <c r="J55" s="56">
        <v>43592.0</v>
      </c>
      <c r="K55" s="56">
        <v>43713.0</v>
      </c>
      <c r="L55" s="55" t="str">
        <f>IFERROR(__xludf.DUMMYFUNCTION("QUERY('Volunteer Survey'!B60)"),"Stefan Rentas")</f>
        <v>Stefan Rentas</v>
      </c>
      <c r="M55" s="55" t="str">
        <f>IFERROR(__xludf.DUMMYFUNCTION("QUERY('Volunteer Survey'!E60)"),"rentass@email.chop.edu")</f>
        <v>rentass@email.chop.edu</v>
      </c>
      <c r="N55" s="55" t="str">
        <f>IFERROR(__xludf.DUMMYFUNCTION("QUERY('Volunteer Survey'!F60)"),"Post Doc/Resident/Fellow (MD and/or PhD)")</f>
        <v>Post Doc/Resident/Fellow (MD and/or PhD)</v>
      </c>
      <c r="O55" s="48" t="str">
        <f>IFERROR(__xludf.DUMMYFUNCTION("QUERY('Volunteer Survey'!H60)"),"Comprehensive")</f>
        <v>Comprehensive</v>
      </c>
      <c r="P55" s="55" t="str">
        <f>IFERROR(__xludf.DUMMYFUNCTION("QUERY('Volunteer Survey'!I60)"),"Somatic Cancer")</f>
        <v>Somatic Cancer</v>
      </c>
      <c r="Q55" s="60" t="str">
        <f>IFERROR(__xludf.DUMMYFUNCTION("QUERY('Volunteer Survey'!J60)"),"Dosage Sensitivity")</f>
        <v>Dosage Sensitivity</v>
      </c>
      <c r="R55" s="55" t="str">
        <f>IFERROR(__xludf.DUMMYFUNCTION("QUERY('Volunteer Survey'!K60)"),"Gene-Disease Validity")</f>
        <v>Gene-Disease Validity</v>
      </c>
      <c r="S55" s="55" t="str">
        <f>IFERROR(__xludf.DUMMYFUNCTION("QUERY('Volunteer Survey'!L60)"),"Variant Pathogenicity")</f>
        <v>Variant Pathogenicity</v>
      </c>
      <c r="T55" s="55" t="str">
        <f>IFERROR(__xludf.DUMMYFUNCTION("QUERY('Volunteer Survey'!M60)"),"Clinical Actionability")</f>
        <v>Clinical Actionability</v>
      </c>
      <c r="U55" s="64" t="str">
        <f>IFERROR(__xludf.DUMMYFUNCTION("QUERY('Volunteer Survey'!N60)"),"yes")</f>
        <v>yes</v>
      </c>
      <c r="V55" s="55" t="str">
        <f>IFERROR(__xludf.DUMMYFUNCTION("QUERY('Volunteer Survey'!O60)"),"Possibly")</f>
        <v>Possibly</v>
      </c>
      <c r="W55" s="66" t="str">
        <f>IFERROR(__xludf.DUMMYFUNCTION("QUERY('Volunteer Survey'!P60)"),"As a current trainee in laboratory genomics I think it would be a fantastic experience to get involved in the ClinGen community. I have interest in assisting and volunteering with the Hereditary Cancer Gene Curation Expert Panel, Somatic/Germline Variant "&amp;"Curation Group, Myeloid Malignancy Variant Curation Expert Panel, or the Dosage Sensitivity Curation team.")</f>
        <v>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v>
      </c>
      <c r="X55" s="64" t="str">
        <f>IFERROR(__xludf.DUMMYFUNCTION("QUERY('Volunteer Survey'!R60)"),"Maybe -- please contact me with other options, and I will decide based on what is available")</f>
        <v>Maybe -- please contact me with other options, and I will decide based on what is available</v>
      </c>
      <c r="Y55" s="92" t="s">
        <v>328</v>
      </c>
      <c r="Z55" s="68"/>
      <c r="AA55" s="55"/>
      <c r="AB55" s="55"/>
      <c r="AC55" s="55"/>
      <c r="AD55" s="55"/>
      <c r="AE55" s="55"/>
      <c r="AF55" s="55"/>
      <c r="AG55" s="55"/>
      <c r="AH55" s="55"/>
      <c r="AI55" s="55"/>
      <c r="AJ55" s="55"/>
      <c r="AK55" s="55"/>
      <c r="AL55" s="55"/>
      <c r="AM55" s="55"/>
      <c r="AN55" s="55"/>
      <c r="AO55" s="55"/>
    </row>
    <row r="56">
      <c r="A56" s="50">
        <f>IFERROR(__xludf.DUMMYFUNCTION("QUERY('Volunteer Survey'!A61)"),43414.42046296297)</f>
        <v>43414.42046</v>
      </c>
      <c r="B56" s="48" t="s">
        <v>168</v>
      </c>
      <c r="C56" s="79">
        <v>43434.0</v>
      </c>
      <c r="D56" s="49"/>
      <c r="E56" s="48" t="s">
        <v>130</v>
      </c>
      <c r="F56" s="48" t="s">
        <v>130</v>
      </c>
      <c r="G56" s="48" t="s">
        <v>136</v>
      </c>
      <c r="H56" s="53"/>
      <c r="I56" s="51" t="s">
        <v>139</v>
      </c>
      <c r="J56" s="55"/>
      <c r="K56" s="55"/>
      <c r="L56" s="55" t="str">
        <f>IFERROR(__xludf.DUMMYFUNCTION("QUERY('Volunteer Survey'!B61)"),"Willonie Mendonca")</f>
        <v>Willonie Mendonca</v>
      </c>
      <c r="M56" s="55" t="str">
        <f>IFERROR(__xludf.DUMMYFUNCTION("QUERY('Volunteer Survey'!E61)"),"willonie@gmail.com")</f>
        <v>willonie@gmail.com</v>
      </c>
      <c r="N56" s="55" t="str">
        <f>IFERROR(__xludf.DUMMYFUNCTION("QUERY('Volunteer Survey'!F61)"),"Genetic counselor")</f>
        <v>Genetic counselor</v>
      </c>
      <c r="O56" s="48" t="str">
        <f>IFERROR(__xludf.DUMMYFUNCTION("QUERY('Volunteer Survey'!H61)"),"Comprehensive")</f>
        <v>Comprehensive</v>
      </c>
      <c r="P56" s="55" t="str">
        <f>IFERROR(__xludf.DUMMYFUNCTION("QUERY('Volunteer Survey'!I61)"),"Somatic Cancer")</f>
        <v>Somatic Cancer</v>
      </c>
      <c r="Q56" s="60" t="str">
        <f>IFERROR(__xludf.DUMMYFUNCTION("QUERY('Volunteer Survey'!J61)"),"Variant Pathogenicity")</f>
        <v>Variant Pathogenicity</v>
      </c>
      <c r="R56" s="55" t="str">
        <f>IFERROR(__xludf.DUMMYFUNCTION("QUERY('Volunteer Survey'!K61)"),"Clinical Actionability")</f>
        <v>Clinical Actionability</v>
      </c>
      <c r="S56" s="55" t="str">
        <f>IFERROR(__xludf.DUMMYFUNCTION("QUERY('Volunteer Survey'!L61)"),"Gene-Disease Validity")</f>
        <v>Gene-Disease Validity</v>
      </c>
      <c r="T56" s="55" t="str">
        <f>IFERROR(__xludf.DUMMYFUNCTION("QUERY('Volunteer Survey'!M61)"),"Dosage Sensitivity")</f>
        <v>Dosage Sensitivity</v>
      </c>
      <c r="U56" s="64" t="str">
        <f>IFERROR(__xludf.DUMMYFUNCTION("QUERY('Volunteer Survey'!N61)"),"yes")</f>
        <v>yes</v>
      </c>
      <c r="V56" s="55" t="str">
        <f>IFERROR(__xludf.DUMMYFUNCTION("QUERY('Volunteer Survey'!O61)"),"Possibly")</f>
        <v>Possibly</v>
      </c>
      <c r="W56" s="66" t="str">
        <f>IFERROR(__xludf.DUMMYFUNCTION("QUERY('Volunteer Survey'!P61)"),"Somatic cancer working groupHereditary cancer working group")</f>
        <v>Somatic cancer working groupHereditary cancer working group</v>
      </c>
      <c r="X56" s="64" t="str">
        <f>IFERROR(__xludf.DUMMYFUNCTION("QUERY('Volunteer Survey'!R61)"),"Maybe -- please contact me with other options, and I will decide based on what is available")</f>
        <v>Maybe -- please contact me with other options, and I will decide based on what is available</v>
      </c>
      <c r="Y56" s="53"/>
      <c r="Z56" s="68"/>
      <c r="AA56" s="55"/>
      <c r="AB56" s="55"/>
      <c r="AC56" s="55"/>
      <c r="AD56" s="55"/>
      <c r="AE56" s="55"/>
      <c r="AF56" s="55"/>
      <c r="AG56" s="55"/>
      <c r="AH56" s="55"/>
      <c r="AI56" s="55"/>
      <c r="AJ56" s="55"/>
      <c r="AK56" s="55"/>
      <c r="AL56" s="55"/>
      <c r="AM56" s="55"/>
      <c r="AN56" s="55"/>
      <c r="AO56" s="55"/>
    </row>
    <row r="57" ht="18.75" customHeight="1">
      <c r="A57" s="50">
        <f>IFERROR(__xludf.DUMMYFUNCTION("QUERY('Volunteer Survey'!A62)"),43422.42162037037)</f>
        <v>43422.42162</v>
      </c>
      <c r="B57" s="48" t="s">
        <v>168</v>
      </c>
      <c r="C57" s="79">
        <v>43434.0</v>
      </c>
      <c r="D57" s="49">
        <v>43476.0</v>
      </c>
      <c r="E57" s="48" t="s">
        <v>117</v>
      </c>
      <c r="F57" s="48" t="s">
        <v>130</v>
      </c>
      <c r="G57" s="48" t="s">
        <v>136</v>
      </c>
      <c r="H57" s="51" t="s">
        <v>296</v>
      </c>
      <c r="I57" s="51" t="s">
        <v>139</v>
      </c>
      <c r="J57" s="56">
        <v>43592.0</v>
      </c>
      <c r="K57" s="48" t="s">
        <v>300</v>
      </c>
      <c r="L57" s="55" t="str">
        <f>IFERROR(__xludf.DUMMYFUNCTION("QUERY('Volunteer Survey'!B62)"),"Iman Haroun")</f>
        <v>Iman Haroun</v>
      </c>
      <c r="M57" s="55" t="str">
        <f>IFERROR(__xludf.DUMMYFUNCTION("QUERY('Volunteer Survey'!E62)"),"iman.haroun@readinghealth.org")</f>
        <v>iman.haroun@readinghealth.org</v>
      </c>
      <c r="N57" s="55" t="str">
        <f>IFERROR(__xludf.DUMMYFUNCTION("QUERY('Volunteer Survey'!F62)"),"Genetic counselor")</f>
        <v>Genetic counselor</v>
      </c>
      <c r="O57" s="48" t="str">
        <f>IFERROR(__xludf.DUMMYFUNCTION("QUERY('Volunteer Survey'!H62)"),"Comprehensive")</f>
        <v>Comprehensive</v>
      </c>
      <c r="P57" s="55" t="str">
        <f>IFERROR(__xludf.DUMMYFUNCTION("QUERY('Volunteer Survey'!I62)"),"Somatic Cancer")</f>
        <v>Somatic Cancer</v>
      </c>
      <c r="Q57" s="60" t="str">
        <f>IFERROR(__xludf.DUMMYFUNCTION("QUERY('Volunteer Survey'!J62)"),"Variant Pathogenicity")</f>
        <v>Variant Pathogenicity</v>
      </c>
      <c r="R57" s="55" t="str">
        <f>IFERROR(__xludf.DUMMYFUNCTION("QUERY('Volunteer Survey'!K62)"),"Gene-Disease Validity")</f>
        <v>Gene-Disease Validity</v>
      </c>
      <c r="S57" s="55" t="str">
        <f>IFERROR(__xludf.DUMMYFUNCTION("QUERY('Volunteer Survey'!L62)"),"Dosage Sensitivity")</f>
        <v>Dosage Sensitivity</v>
      </c>
      <c r="T57" s="55" t="str">
        <f>IFERROR(__xludf.DUMMYFUNCTION("QUERY('Volunteer Survey'!M62)"),"")</f>
        <v/>
      </c>
      <c r="U57" s="64" t="str">
        <f>IFERROR(__xludf.DUMMYFUNCTION("QUERY('Volunteer Survey'!N62)"),"No")</f>
        <v>No</v>
      </c>
      <c r="V57" s="55" t="str">
        <f>IFERROR(__xludf.DUMMYFUNCTION("QUERY('Volunteer Survey'!O62)"),"Possibly")</f>
        <v>Possibly</v>
      </c>
      <c r="W57" s="66" t="str">
        <f>IFERROR(__xludf.DUMMYFUNCTION("QUERY('Volunteer Survey'!P62)"),"Somatic Cancer, Pancreatic")</f>
        <v>Somatic Cancer, Pancreatic</v>
      </c>
      <c r="X57" s="64" t="str">
        <f>IFERROR(__xludf.DUMMYFUNCTION("QUERY('Volunteer Survey'!R62)"),"Yes- I am willing to volunteer with any available ClinGen group")</f>
        <v>Yes- I am willing to volunteer with any available ClinGen group</v>
      </c>
      <c r="Y57" s="53"/>
      <c r="Z57" s="68"/>
      <c r="AA57" s="55"/>
      <c r="AB57" s="55"/>
      <c r="AC57" s="55"/>
      <c r="AD57" s="55"/>
      <c r="AE57" s="55"/>
      <c r="AF57" s="55"/>
      <c r="AG57" s="55"/>
      <c r="AH57" s="55"/>
      <c r="AI57" s="55"/>
      <c r="AJ57" s="55"/>
      <c r="AK57" s="55"/>
      <c r="AL57" s="55"/>
      <c r="AM57" s="55"/>
      <c r="AN57" s="55"/>
      <c r="AO57" s="55"/>
    </row>
    <row r="58">
      <c r="A58" s="50">
        <f>IFERROR(__xludf.DUMMYFUNCTION("QUERY('Volunteer Survey'!A63)"),43357.42855324074)</f>
        <v>43357.42855</v>
      </c>
      <c r="B58" s="48" t="s">
        <v>168</v>
      </c>
      <c r="C58" s="87">
        <v>43439.0</v>
      </c>
      <c r="D58" s="55"/>
      <c r="E58" s="48" t="s">
        <v>130</v>
      </c>
      <c r="F58" s="48" t="s">
        <v>130</v>
      </c>
      <c r="G58" s="48" t="s">
        <v>251</v>
      </c>
      <c r="H58" s="53"/>
      <c r="I58" s="51" t="s">
        <v>139</v>
      </c>
      <c r="J58" s="55"/>
      <c r="K58" s="55"/>
      <c r="L58" s="55" t="str">
        <f>IFERROR(__xludf.DUMMYFUNCTION("QUERY('Volunteer Survey'!B63)"),"Daniel Bellissimo")</f>
        <v>Daniel Bellissimo</v>
      </c>
      <c r="M58" s="55" t="str">
        <f>IFERROR(__xludf.DUMMYFUNCTION("QUERY('Volunteer Survey'!E63)"),"BELLISSIMOD@MAIL.MAGEE.EDU")</f>
        <v>BELLISSIMOD@MAIL.MAGEE.EDU</v>
      </c>
      <c r="N58" s="55" t="str">
        <f>IFERROR(__xludf.DUMMYFUNCTION("QUERY('Volunteer Survey'!F63)"),"Clinical laboratory geneticist")</f>
        <v>Clinical laboratory geneticist</v>
      </c>
      <c r="O58" s="48" t="str">
        <f>IFERROR(__xludf.DUMMYFUNCTION("QUERY('Volunteer Survey'!H63)"),"Comprehensive")</f>
        <v>Comprehensive</v>
      </c>
      <c r="P58" s="55" t="str">
        <f>IFERROR(__xludf.DUMMYFUNCTION("QUERY('Volunteer Survey'!I63)"),"Variant Pathogenicity")</f>
        <v>Variant Pathogenicity</v>
      </c>
      <c r="Q58" s="60" t="str">
        <f>IFERROR(__xludf.DUMMYFUNCTION("QUERY('Volunteer Survey'!J63)"),"Gene-Disease Validity")</f>
        <v>Gene-Disease Validity</v>
      </c>
      <c r="R58" s="55" t="str">
        <f>IFERROR(__xludf.DUMMYFUNCTION("QUERY('Volunteer Survey'!K63)"),"Clinical Actionability")</f>
        <v>Clinical Actionability</v>
      </c>
      <c r="S58" s="55" t="str">
        <f>IFERROR(__xludf.DUMMYFUNCTION("QUERY('Volunteer Survey'!L63)"),"Dosage Sensitivity")</f>
        <v>Dosage Sensitivity</v>
      </c>
      <c r="T58" s="55" t="str">
        <f>IFERROR(__xludf.DUMMYFUNCTION("QUERY('Volunteer Survey'!M63)"),"Somatic Cancer")</f>
        <v>Somatic Cancer</v>
      </c>
      <c r="U58" s="64" t="str">
        <f>IFERROR(__xludf.DUMMYFUNCTION("QUERY('Volunteer Survey'!N63)"),"yes")</f>
        <v>yes</v>
      </c>
      <c r="V58" s="55" t="str">
        <f>IFERROR(__xludf.DUMMYFUNCTION("QUERY('Volunteer Survey'!O63)"),"No")</f>
        <v>No</v>
      </c>
      <c r="W58" s="66" t="str">
        <f>IFERROR(__xludf.DUMMYFUNCTION("QUERY('Volunteer Survey'!P63)"),"I was told work groups were being formed for Platelet/Bleeding Disorders and VWD. I would be interested in those work groups.")</f>
        <v>I was told work groups were being formed for Platelet/Bleeding Disorders and VWD. I would be interested in those work groups.</v>
      </c>
      <c r="X58" s="64" t="str">
        <f>IFERROR(__xludf.DUMMYFUNCTION("QUERY('Volunteer Survey'!R63)"),"Maybe -- please contact me with other options, and I will decide based on what is available")</f>
        <v>Maybe -- please contact me with other options, and I will decide based on what is available</v>
      </c>
      <c r="Y58" s="53"/>
      <c r="Z58" s="68"/>
      <c r="AA58" s="55"/>
      <c r="AB58" s="55"/>
      <c r="AC58" s="55"/>
      <c r="AD58" s="55"/>
      <c r="AE58" s="55"/>
      <c r="AF58" s="55"/>
      <c r="AG58" s="55"/>
      <c r="AH58" s="55"/>
      <c r="AI58" s="55"/>
      <c r="AJ58" s="55"/>
      <c r="AK58" s="55"/>
      <c r="AL58" s="55"/>
      <c r="AM58" s="55"/>
      <c r="AN58" s="55"/>
      <c r="AO58" s="55"/>
    </row>
    <row r="59">
      <c r="A59" s="50">
        <f>IFERROR(__xludf.DUMMYFUNCTION("QUERY('Volunteer Survey'!A64)"),43332.43167824074)</f>
        <v>43332.43168</v>
      </c>
      <c r="B59" s="48" t="s">
        <v>108</v>
      </c>
      <c r="C59" s="87">
        <v>43439.0</v>
      </c>
      <c r="D59" s="55"/>
      <c r="E59" s="48" t="s">
        <v>130</v>
      </c>
      <c r="F59" s="48" t="s">
        <v>130</v>
      </c>
      <c r="G59" s="48" t="s">
        <v>251</v>
      </c>
      <c r="H59" s="53"/>
      <c r="I59" s="51" t="s">
        <v>139</v>
      </c>
      <c r="J59" s="55"/>
      <c r="K59" s="55"/>
      <c r="L59" s="55" t="str">
        <f>IFERROR(__xludf.DUMMYFUNCTION("QUERY('Volunteer Survey'!B64)"),"Alexa Dickson ")</f>
        <v>Alexa Dickson </v>
      </c>
      <c r="M59" s="55" t="str">
        <f>IFERROR(__xludf.DUMMYFUNCTION("QUERY('Volunteer Survey'!E64)"),"alexa.dickson@aruplab.com")</f>
        <v>alexa.dickson@aruplab.com</v>
      </c>
      <c r="N59" s="55" t="str">
        <f>IFERROR(__xludf.DUMMYFUNCTION("QUERY('Volunteer Survey'!F64)"),"Clinical laboratory geneticist")</f>
        <v>Clinical laboratory geneticist</v>
      </c>
      <c r="O59" s="48" t="str">
        <f>IFERROR(__xludf.DUMMYFUNCTION("QUERY('Volunteer Survey'!H64)"),"Comprehensive")</f>
        <v>Comprehensive</v>
      </c>
      <c r="P59" s="55" t="str">
        <f>IFERROR(__xludf.DUMMYFUNCTION("QUERY('Volunteer Survey'!I64)"),"Variant Pathogenicity")</f>
        <v>Variant Pathogenicity</v>
      </c>
      <c r="Q59" s="60" t="str">
        <f>IFERROR(__xludf.DUMMYFUNCTION("QUERY('Volunteer Survey'!J64)"),"Gene-Disease Validity")</f>
        <v>Gene-Disease Validity</v>
      </c>
      <c r="R59" s="55" t="str">
        <f>IFERROR(__xludf.DUMMYFUNCTION("QUERY('Volunteer Survey'!K64)"),"Clinical Actionability")</f>
        <v>Clinical Actionability</v>
      </c>
      <c r="S59" s="55" t="str">
        <f>IFERROR(__xludf.DUMMYFUNCTION("QUERY('Volunteer Survey'!L64)"),"Dosage Sensitivity")</f>
        <v>Dosage Sensitivity</v>
      </c>
      <c r="T59" s="55" t="str">
        <f>IFERROR(__xludf.DUMMYFUNCTION("QUERY('Volunteer Survey'!M64)"),"Somatic Cancer")</f>
        <v>Somatic Cancer</v>
      </c>
      <c r="U59" s="64" t="str">
        <f>IFERROR(__xludf.DUMMYFUNCTION("QUERY('Volunteer Survey'!N64)"),"yes")</f>
        <v>yes</v>
      </c>
      <c r="V59" s="55" t="str">
        <f>IFERROR(__xludf.DUMMYFUNCTION("QUERY('Volunteer Survey'!O64)"),"Yes")</f>
        <v>Yes</v>
      </c>
      <c r="W59" s="66" t="str">
        <f>IFERROR(__xludf.DUMMYFUNCTION("QUERY('Volunteer Survey'!P64)"),"retinal disease working group")</f>
        <v>retinal disease working group</v>
      </c>
      <c r="X59" s="64" t="str">
        <f>IFERROR(__xludf.DUMMYFUNCTION("QUERY('Volunteer Survey'!R64)"),"Yes- I am willing to volunteer with any available ClinGen group")</f>
        <v>Yes- I am willing to volunteer with any available ClinGen group</v>
      </c>
      <c r="Y59" s="53"/>
      <c r="Z59" s="68"/>
      <c r="AA59" s="55"/>
      <c r="AB59" s="55"/>
      <c r="AC59" s="55"/>
      <c r="AD59" s="55"/>
      <c r="AE59" s="55"/>
      <c r="AF59" s="55"/>
      <c r="AG59" s="55"/>
      <c r="AH59" s="55"/>
      <c r="AI59" s="55"/>
      <c r="AJ59" s="55"/>
      <c r="AK59" s="55"/>
      <c r="AL59" s="55"/>
      <c r="AM59" s="55"/>
      <c r="AN59" s="55"/>
      <c r="AO59" s="55"/>
    </row>
    <row r="60">
      <c r="A60" s="50">
        <f>IFERROR(__xludf.DUMMYFUNCTION("QUERY('Volunteer Survey'!A65)"),43334.433587962965)</f>
        <v>43334.43359</v>
      </c>
      <c r="B60" s="48" t="s">
        <v>168</v>
      </c>
      <c r="C60" s="87">
        <v>43439.0</v>
      </c>
      <c r="D60" s="65">
        <v>43605.0</v>
      </c>
      <c r="E60" s="48" t="s">
        <v>117</v>
      </c>
      <c r="F60" s="48" t="s">
        <v>117</v>
      </c>
      <c r="G60" s="48" t="s">
        <v>251</v>
      </c>
      <c r="H60" s="53"/>
      <c r="I60" s="51" t="s">
        <v>139</v>
      </c>
      <c r="J60" s="55"/>
      <c r="K60" s="55"/>
      <c r="L60" s="55" t="str">
        <f>IFERROR(__xludf.DUMMYFUNCTION("QUERY('Volunteer Survey'!B65)"),"Luke Drury")</f>
        <v>Luke Drury</v>
      </c>
      <c r="M60" s="55" t="str">
        <f>IFERROR(__xludf.DUMMYFUNCTION("QUERY('Volunteer Survey'!E65)"),"luke.drury@preventiongenetics.com")</f>
        <v>luke.drury@preventiongenetics.com</v>
      </c>
      <c r="N60" s="55" t="str">
        <f>IFERROR(__xludf.DUMMYFUNCTION("QUERY('Volunteer Survey'!F65)"),"Variant Analyst/Scientist")</f>
        <v>Variant Analyst/Scientist</v>
      </c>
      <c r="O60" s="48" t="str">
        <f>IFERROR(__xludf.DUMMYFUNCTION("QUERY('Volunteer Survey'!H65)"),"Comprehensive")</f>
        <v>Comprehensive</v>
      </c>
      <c r="P60" s="55" t="str">
        <f>IFERROR(__xludf.DUMMYFUNCTION("QUERY('Volunteer Survey'!I65)"),"Variant Pathogenicity")</f>
        <v>Variant Pathogenicity</v>
      </c>
      <c r="Q60" s="60" t="str">
        <f>IFERROR(__xludf.DUMMYFUNCTION("QUERY('Volunteer Survey'!J65)"),"Gene-Disease Validity")</f>
        <v>Gene-Disease Validity</v>
      </c>
      <c r="R60" s="55" t="str">
        <f>IFERROR(__xludf.DUMMYFUNCTION("QUERY('Volunteer Survey'!K65)"),"Clinical Actionability")</f>
        <v>Clinical Actionability</v>
      </c>
      <c r="S60" s="55" t="str">
        <f>IFERROR(__xludf.DUMMYFUNCTION("QUERY('Volunteer Survey'!L65)"),"Dosage Sensitivity")</f>
        <v>Dosage Sensitivity</v>
      </c>
      <c r="T60" s="55" t="str">
        <f>IFERROR(__xludf.DUMMYFUNCTION("QUERY('Volunteer Survey'!M65)"),"Somatic Cancer")</f>
        <v>Somatic Cancer</v>
      </c>
      <c r="U60" s="64" t="str">
        <f>IFERROR(__xludf.DUMMYFUNCTION("QUERY('Volunteer Survey'!N65)"),"yes")</f>
        <v>yes</v>
      </c>
      <c r="V60" s="55" t="str">
        <f>IFERROR(__xludf.DUMMYFUNCTION("QUERY('Volunteer Survey'!O65)"),"No")</f>
        <v>No</v>
      </c>
      <c r="W60" s="66" t="str">
        <f>IFERROR(__xludf.DUMMYFUNCTION("QUERY('Volunteer Survey'!P65)"),"any WG")</f>
        <v>any WG</v>
      </c>
      <c r="X60" s="64" t="str">
        <f>IFERROR(__xludf.DUMMYFUNCTION("QUERY('Volunteer Survey'!R65)"),"Maybe -- please contact me with other options, and I will decide based on what is available")</f>
        <v>Maybe -- please contact me with other options, and I will decide based on what is available</v>
      </c>
      <c r="Y60" s="53"/>
      <c r="Z60" s="68"/>
      <c r="AA60" s="55"/>
      <c r="AB60" s="55"/>
      <c r="AC60" s="55"/>
      <c r="AD60" s="55"/>
      <c r="AE60" s="55"/>
      <c r="AF60" s="55"/>
      <c r="AG60" s="55"/>
      <c r="AH60" s="55"/>
      <c r="AI60" s="55"/>
      <c r="AJ60" s="55"/>
      <c r="AK60" s="55"/>
      <c r="AL60" s="55"/>
      <c r="AM60" s="55"/>
      <c r="AN60" s="55"/>
      <c r="AO60" s="55"/>
    </row>
    <row r="61">
      <c r="A61" s="50">
        <f>IFERROR(__xludf.DUMMYFUNCTION("QUERY('Volunteer Survey'!A66)"),43336.43583333334)</f>
        <v>43336.43583</v>
      </c>
      <c r="B61" s="48" t="s">
        <v>160</v>
      </c>
      <c r="C61" s="87">
        <v>43439.0</v>
      </c>
      <c r="D61" s="65">
        <v>43605.0</v>
      </c>
      <c r="E61" s="48" t="s">
        <v>117</v>
      </c>
      <c r="F61" s="48" t="s">
        <v>117</v>
      </c>
      <c r="G61" s="48" t="s">
        <v>251</v>
      </c>
      <c r="H61" s="51" t="s">
        <v>248</v>
      </c>
      <c r="I61" s="51" t="s">
        <v>139</v>
      </c>
      <c r="J61" s="56">
        <v>43712.0</v>
      </c>
      <c r="K61" s="56"/>
      <c r="L61" s="55" t="str">
        <f>IFERROR(__xludf.DUMMYFUNCTION("QUERY('Volunteer Survey'!B66)"),"Lynne Rosenblum")</f>
        <v>Lynne Rosenblum</v>
      </c>
      <c r="M61" s="55" t="str">
        <f>IFERROR(__xludf.DUMMYFUNCTION("QUERY('Volunteer Survey'!E66)"),"lynne.rosenblum@integratedgenetics.com")</f>
        <v>lynne.rosenblum@integratedgenetics.com</v>
      </c>
      <c r="N61" s="55" t="str">
        <f>IFERROR(__xludf.DUMMYFUNCTION("QUERY('Volunteer Survey'!F66)"),"Clinical laboratory geneticist")</f>
        <v>Clinical laboratory geneticist</v>
      </c>
      <c r="O61" s="48" t="str">
        <f>IFERROR(__xludf.DUMMYFUNCTION("QUERY('Volunteer Survey'!H66)"),"Comprehensive")</f>
        <v>Comprehensive</v>
      </c>
      <c r="P61" s="55" t="str">
        <f>IFERROR(__xludf.DUMMYFUNCTION("QUERY('Volunteer Survey'!I66)"),"Variant Pathogenicity")</f>
        <v>Variant Pathogenicity</v>
      </c>
      <c r="Q61" s="60" t="str">
        <f>IFERROR(__xludf.DUMMYFUNCTION("QUERY('Volunteer Survey'!J66)"),"Clinical Actionability")</f>
        <v>Clinical Actionability</v>
      </c>
      <c r="R61" s="55" t="str">
        <f>IFERROR(__xludf.DUMMYFUNCTION("QUERY('Volunteer Survey'!K66)"),"Dosage Sensitivity")</f>
        <v>Dosage Sensitivity</v>
      </c>
      <c r="S61" s="55" t="str">
        <f>IFERROR(__xludf.DUMMYFUNCTION("QUERY('Volunteer Survey'!L66)"),"Gene-Disease Validity")</f>
        <v>Gene-Disease Validity</v>
      </c>
      <c r="T61" s="55" t="str">
        <f>IFERROR(__xludf.DUMMYFUNCTION("QUERY('Volunteer Survey'!M66)"),"Somatic Cancer")</f>
        <v>Somatic Cancer</v>
      </c>
      <c r="U61" s="64" t="str">
        <f>IFERROR(__xludf.DUMMYFUNCTION("QUERY('Volunteer Survey'!N66)"),"yes")</f>
        <v>yes</v>
      </c>
      <c r="V61" s="55" t="str">
        <f>IFERROR(__xludf.DUMMYFUNCTION("QUERY('Volunteer Survey'!O66)"),"Possibly")</f>
        <v>Possibly</v>
      </c>
      <c r="W61" s="66" t="str">
        <f>IFERROR(__xludf.DUMMYFUNCTION("QUERY('Volunteer Survey'!P66)"),"storage disease and somatic/germline working groups, but am open to other opportunities.")</f>
        <v>storage disease and somatic/germline working groups, but am open to other opportunities.</v>
      </c>
      <c r="X61" s="64" t="str">
        <f>IFERROR(__xludf.DUMMYFUNCTION("QUERY('Volunteer Survey'!R66)"),"Maybe -- please contact me with other options, and I will decide based on what is available")</f>
        <v>Maybe -- please contact me with other options, and I will decide based on what is available</v>
      </c>
      <c r="Y61" s="53"/>
      <c r="Z61" s="68"/>
      <c r="AA61" s="55"/>
      <c r="AB61" s="55"/>
      <c r="AC61" s="55"/>
      <c r="AD61" s="55"/>
      <c r="AE61" s="55"/>
      <c r="AF61" s="55"/>
      <c r="AG61" s="55"/>
      <c r="AH61" s="55"/>
      <c r="AI61" s="55"/>
      <c r="AJ61" s="55"/>
      <c r="AK61" s="55"/>
      <c r="AL61" s="55"/>
      <c r="AM61" s="55"/>
      <c r="AN61" s="55"/>
      <c r="AO61" s="55"/>
    </row>
    <row r="62">
      <c r="A62" s="50">
        <f>IFERROR(__xludf.DUMMYFUNCTION("QUERY('Volunteer Survey'!A67)"),43340.43892361112)</f>
        <v>43340.43892</v>
      </c>
      <c r="B62" s="48" t="s">
        <v>160</v>
      </c>
      <c r="C62" s="87">
        <v>43439.0</v>
      </c>
      <c r="D62" s="65">
        <v>43605.0</v>
      </c>
      <c r="E62" s="48" t="s">
        <v>117</v>
      </c>
      <c r="F62" s="48" t="s">
        <v>130</v>
      </c>
      <c r="G62" s="48" t="s">
        <v>251</v>
      </c>
      <c r="H62" s="51" t="s">
        <v>169</v>
      </c>
      <c r="I62" s="51" t="s">
        <v>139</v>
      </c>
      <c r="J62" s="56">
        <v>43712.0</v>
      </c>
      <c r="K62" s="56"/>
      <c r="L62" s="55" t="str">
        <f>IFERROR(__xludf.DUMMYFUNCTION("QUERY('Volunteer Survey'!B67)"),"Yang Wang")</f>
        <v>Yang Wang</v>
      </c>
      <c r="M62" s="55" t="str">
        <f>IFERROR(__xludf.DUMMYFUNCTION("QUERY('Volunteer Survey'!E67)"),"yangwangcmg@gmail.com")</f>
        <v>yangwangcmg@gmail.com</v>
      </c>
      <c r="N62" s="55" t="str">
        <f>IFERROR(__xludf.DUMMYFUNCTION("QUERY('Volunteer Survey'!F67)"),"Clinical laboratory geneticist")</f>
        <v>Clinical laboratory geneticist</v>
      </c>
      <c r="O62" s="48" t="str">
        <f>IFERROR(__xludf.DUMMYFUNCTION("QUERY('Volunteer Survey'!H67)"),"Comprehensive")</f>
        <v>Comprehensive</v>
      </c>
      <c r="P62" s="55" t="str">
        <f>IFERROR(__xludf.DUMMYFUNCTION("QUERY('Volunteer Survey'!I67)"),"Variant Pathogenicity")</f>
        <v>Variant Pathogenicity</v>
      </c>
      <c r="Q62" s="60" t="str">
        <f>IFERROR(__xludf.DUMMYFUNCTION("QUERY('Volunteer Survey'!J67)"),"Gene-Disease Validity")</f>
        <v>Gene-Disease Validity</v>
      </c>
      <c r="R62" s="55" t="str">
        <f>IFERROR(__xludf.DUMMYFUNCTION("QUERY('Volunteer Survey'!K67)"),"Clinical Actionability")</f>
        <v>Clinical Actionability</v>
      </c>
      <c r="S62" s="55" t="str">
        <f>IFERROR(__xludf.DUMMYFUNCTION("QUERY('Volunteer Survey'!L67)"),"Dosage Sensitivity")</f>
        <v>Dosage Sensitivity</v>
      </c>
      <c r="T62" s="55" t="str">
        <f>IFERROR(__xludf.DUMMYFUNCTION("QUERY('Volunteer Survey'!M67)"),"Somatic Cancer")</f>
        <v>Somatic Cancer</v>
      </c>
      <c r="U62" s="64" t="str">
        <f>IFERROR(__xludf.DUMMYFUNCTION("QUERY('Volunteer Survey'!N67)"),"yes")</f>
        <v>yes</v>
      </c>
      <c r="V62" s="55" t="str">
        <f>IFERROR(__xludf.DUMMYFUNCTION("QUERY('Volunteer Survey'!O67)"),"Possibly")</f>
        <v>Possibly</v>
      </c>
      <c r="W62" s="66" t="str">
        <f>IFERROR(__xludf.DUMMYFUNCTION("QUERY('Volunteer Survey'!P67)"),"hereditary cancer panel and inborn error of metabolism, if not a Baseline Biocurator")</f>
        <v>hereditary cancer panel and inborn error of metabolism, if not a Baseline Biocurator</v>
      </c>
      <c r="X62" s="64" t="str">
        <f>IFERROR(__xludf.DUMMYFUNCTION("QUERY('Volunteer Survey'!R67)"),"Yes- I am willing to volunteer with any available ClinGen group")</f>
        <v>Yes- I am willing to volunteer with any available ClinGen group</v>
      </c>
      <c r="Y62" s="53"/>
      <c r="Z62" s="68"/>
      <c r="AA62" s="55"/>
      <c r="AB62" s="55"/>
      <c r="AC62" s="55"/>
      <c r="AD62" s="55"/>
      <c r="AE62" s="55"/>
      <c r="AF62" s="55"/>
      <c r="AG62" s="55"/>
      <c r="AH62" s="55"/>
      <c r="AI62" s="55"/>
      <c r="AJ62" s="55"/>
      <c r="AK62" s="55"/>
      <c r="AL62" s="55"/>
      <c r="AM62" s="55"/>
      <c r="AN62" s="55"/>
      <c r="AO62" s="55"/>
    </row>
    <row r="63">
      <c r="A63" s="95">
        <f>IFERROR(__xludf.DUMMYFUNCTION("QUERY('Volunteer Survey'!A68)"),43340.441666666666)</f>
        <v>43340.44167</v>
      </c>
      <c r="B63" s="82" t="s">
        <v>108</v>
      </c>
      <c r="C63" s="96">
        <v>43439.0</v>
      </c>
      <c r="D63" s="83">
        <v>43446.0</v>
      </c>
      <c r="E63" s="82" t="s">
        <v>117</v>
      </c>
      <c r="F63" s="82" t="s">
        <v>130</v>
      </c>
      <c r="G63" s="82" t="s">
        <v>122</v>
      </c>
      <c r="H63" s="84"/>
      <c r="I63" s="84" t="s">
        <v>299</v>
      </c>
      <c r="J63" s="85"/>
      <c r="K63" s="85"/>
      <c r="L63" s="85" t="str">
        <f>IFERROR(__xludf.DUMMYFUNCTION("QUERY('Volunteer Survey'!B68)"),"Elaine Spector ")</f>
        <v>Elaine Spector </v>
      </c>
      <c r="M63" s="85" t="str">
        <f>IFERROR(__xludf.DUMMYFUNCTION("QUERY('Volunteer Survey'!E68)"),"elaine.spector@childrenscolorado.org")</f>
        <v>elaine.spector@childrenscolorado.org</v>
      </c>
      <c r="N63" s="85" t="str">
        <f>IFERROR(__xludf.DUMMYFUNCTION("QUERY('Volunteer Survey'!F68)"),"Clinical laboratory geneticist")</f>
        <v>Clinical laboratory geneticist</v>
      </c>
      <c r="O63" s="82" t="str">
        <f>IFERROR(__xludf.DUMMYFUNCTION("QUERY('Volunteer Survey'!H68)"),"Comprehensive")</f>
        <v>Comprehensive</v>
      </c>
      <c r="P63" s="85" t="str">
        <f>IFERROR(__xludf.DUMMYFUNCTION("QUERY('Volunteer Survey'!I68)"),"Gene-Disease Validity")</f>
        <v>Gene-Disease Validity</v>
      </c>
      <c r="Q63" s="97" t="str">
        <f>IFERROR(__xludf.DUMMYFUNCTION("QUERY('Volunteer Survey'!J68)"),"Variant Pathogenicity")</f>
        <v>Variant Pathogenicity</v>
      </c>
      <c r="R63" s="85" t="str">
        <f>IFERROR(__xludf.DUMMYFUNCTION("QUERY('Volunteer Survey'!K68)"),"Clinical Actionability")</f>
        <v>Clinical Actionability</v>
      </c>
      <c r="S63" s="85" t="str">
        <f>IFERROR(__xludf.DUMMYFUNCTION("QUERY('Volunteer Survey'!L68)"),"Dosage Sensitivity")</f>
        <v>Dosage Sensitivity</v>
      </c>
      <c r="T63" s="85" t="str">
        <f>IFERROR(__xludf.DUMMYFUNCTION("QUERY('Volunteer Survey'!M68)"),"Somatic Cancer")</f>
        <v>Somatic Cancer</v>
      </c>
      <c r="U63" s="98" t="str">
        <f>IFERROR(__xludf.DUMMYFUNCTION("QUERY('Volunteer Survey'!N68)"),"yes")</f>
        <v>yes</v>
      </c>
      <c r="V63" s="85" t="str">
        <f>IFERROR(__xludf.DUMMYFUNCTION("QUERY('Volunteer Survey'!O68)"),"")</f>
        <v/>
      </c>
      <c r="W63" s="99" t="str">
        <f>IFERROR(__xludf.DUMMYFUNCTION("QUERY('Volunteer Survey'!P68)"),"Inborn Errors of Metabolism Clinical Domain Working Group . Amino Acid and Fatty Acid Working Groups.")</f>
        <v>Inborn Errors of Metabolism Clinical Domain Working Group . Amino Acid and Fatty Acid Working Groups.</v>
      </c>
      <c r="X63" s="98" t="str">
        <f>IFERROR(__xludf.DUMMYFUNCTION("QUERY('Volunteer Survey'!R68)"),"Yes- I am willing to volunteer with any available ClinGen group")</f>
        <v>Yes- I am willing to volunteer with any available ClinGen group</v>
      </c>
      <c r="Y63" s="100"/>
      <c r="Z63" s="68"/>
      <c r="AA63" s="85"/>
      <c r="AB63" s="85"/>
      <c r="AC63" s="85"/>
      <c r="AD63" s="85"/>
      <c r="AE63" s="85"/>
      <c r="AF63" s="85"/>
      <c r="AG63" s="85"/>
      <c r="AH63" s="85"/>
      <c r="AI63" s="85"/>
      <c r="AJ63" s="85"/>
      <c r="AK63" s="85"/>
      <c r="AL63" s="85"/>
      <c r="AM63" s="85"/>
      <c r="AN63" s="85"/>
      <c r="AO63" s="85"/>
    </row>
    <row r="64">
      <c r="A64" s="50">
        <f>IFERROR(__xludf.DUMMYFUNCTION("QUERY('Volunteer Survey'!A69)"),43349.4431712963)</f>
        <v>43349.44317</v>
      </c>
      <c r="B64" s="48" t="s">
        <v>168</v>
      </c>
      <c r="C64" s="87">
        <v>43439.0</v>
      </c>
      <c r="D64" s="55"/>
      <c r="E64" s="48" t="s">
        <v>130</v>
      </c>
      <c r="F64" s="48" t="s">
        <v>130</v>
      </c>
      <c r="G64" s="48" t="s">
        <v>251</v>
      </c>
      <c r="H64" s="53"/>
      <c r="I64" s="53"/>
      <c r="J64" s="55"/>
      <c r="K64" s="55"/>
      <c r="L64" s="55" t="str">
        <f>IFERROR(__xludf.DUMMYFUNCTION("QUERY('Volunteer Survey'!B69)"),"Samya Chakravorty")</f>
        <v>Samya Chakravorty</v>
      </c>
      <c r="M64" s="55" t="str">
        <f>IFERROR(__xludf.DUMMYFUNCTION("QUERY('Volunteer Survey'!E69)"),"samya.chakravorty@emory.edu")</f>
        <v>samya.chakravorty@emory.edu</v>
      </c>
      <c r="N64" s="55" t="str">
        <f>IFERROR(__xludf.DUMMYFUNCTION("QUERY('Volunteer Survey'!F69)"),"Post Doc/Resident/Fellow (MD and/or PhD)")</f>
        <v>Post Doc/Resident/Fellow (MD and/or PhD)</v>
      </c>
      <c r="O64" s="48" t="str">
        <f>IFERROR(__xludf.DUMMYFUNCTION("QUERY('Volunteer Survey'!H69)"),"Comprehensive")</f>
        <v>Comprehensive</v>
      </c>
      <c r="P64" s="55" t="str">
        <f>IFERROR(__xludf.DUMMYFUNCTION("QUERY('Volunteer Survey'!I69)"),"Variant Pathogenicity")</f>
        <v>Variant Pathogenicity</v>
      </c>
      <c r="Q64" s="60" t="str">
        <f>IFERROR(__xludf.DUMMYFUNCTION("QUERY('Volunteer Survey'!J69)"),"Gene-Disease Validity")</f>
        <v>Gene-Disease Validity</v>
      </c>
      <c r="R64" s="55" t="str">
        <f>IFERROR(__xludf.DUMMYFUNCTION("QUERY('Volunteer Survey'!K69)"),"Dosage Sensitivity")</f>
        <v>Dosage Sensitivity</v>
      </c>
      <c r="S64" s="55" t="str">
        <f>IFERROR(__xludf.DUMMYFUNCTION("QUERY('Volunteer Survey'!L69)"),"Somatic Cancer")</f>
        <v>Somatic Cancer</v>
      </c>
      <c r="T64" s="55" t="str">
        <f>IFERROR(__xludf.DUMMYFUNCTION("QUERY('Volunteer Survey'!M69)"),"Clinical Actionability")</f>
        <v>Clinical Actionability</v>
      </c>
      <c r="U64" s="64" t="str">
        <f>IFERROR(__xludf.DUMMYFUNCTION("QUERY('Volunteer Survey'!N69)"),"yes")</f>
        <v>yes</v>
      </c>
      <c r="V64" s="55" t="str">
        <f>IFERROR(__xludf.DUMMYFUNCTION("QUERY('Volunteer Survey'!O69)"),"Yes")</f>
        <v>Yes</v>
      </c>
      <c r="W64" s="66" t="str">
        <f>IFERROR(__xludf.DUMMYFUNCTION("QUERY('Volunteer Survey'!P69)"),"1. Storage Diseases Variant Curation Expert Panel 2. Epilepsy Gene Curation Expert Panel 3. Cardiovascular Dilated Cardiomyopathy Gene Curation Expert Panel")</f>
        <v>1. Storage Diseases Variant Curation Expert Panel 2. Epilepsy Gene Curation Expert Panel 3. Cardiovascular Dilated Cardiomyopathy Gene Curation Expert Panel</v>
      </c>
      <c r="X64" s="64" t="str">
        <f>IFERROR(__xludf.DUMMYFUNCTION("QUERY('Volunteer Survey'!R69)"),"Maybe -- please contact me with other options, and I will decide based on what is available")</f>
        <v>Maybe -- please contact me with other options, and I will decide based on what is available</v>
      </c>
      <c r="Y64" s="53"/>
      <c r="Z64" s="68"/>
      <c r="AA64" s="55"/>
      <c r="AB64" s="55"/>
      <c r="AC64" s="55"/>
      <c r="AD64" s="55"/>
      <c r="AE64" s="55"/>
      <c r="AF64" s="55"/>
      <c r="AG64" s="55"/>
      <c r="AH64" s="55"/>
      <c r="AI64" s="55"/>
      <c r="AJ64" s="55"/>
      <c r="AK64" s="55"/>
      <c r="AL64" s="55"/>
      <c r="AM64" s="55"/>
      <c r="AN64" s="55"/>
      <c r="AO64" s="55"/>
    </row>
    <row r="65">
      <c r="A65" s="50">
        <f>IFERROR(__xludf.DUMMYFUNCTION("QUERY('Volunteer Survey'!A70)"),43362.44483796296)</f>
        <v>43362.44484</v>
      </c>
      <c r="B65" s="48" t="s">
        <v>168</v>
      </c>
      <c r="C65" s="87">
        <v>43439.0</v>
      </c>
      <c r="D65" s="55"/>
      <c r="E65" s="48" t="s">
        <v>130</v>
      </c>
      <c r="F65" s="48" t="s">
        <v>130</v>
      </c>
      <c r="G65" s="48" t="s">
        <v>251</v>
      </c>
      <c r="H65" s="53"/>
      <c r="I65" s="51" t="s">
        <v>139</v>
      </c>
      <c r="J65" s="55"/>
      <c r="K65" s="55"/>
      <c r="L65" s="55" t="str">
        <f>IFERROR(__xludf.DUMMYFUNCTION("QUERY('Volunteer Survey'!B70)"),"Marco Leung")</f>
        <v>Marco Leung</v>
      </c>
      <c r="M65" s="55" t="str">
        <f>IFERROR(__xludf.DUMMYFUNCTION("QUERY('Volunteer Survey'!E70)"),"leungm@email.chop.edu")</f>
        <v>leungm@email.chop.edu</v>
      </c>
      <c r="N65" s="55" t="str">
        <f>IFERROR(__xludf.DUMMYFUNCTION("QUERY('Volunteer Survey'!F70)"),"Clinical laboratory geneticist")</f>
        <v>Clinical laboratory geneticist</v>
      </c>
      <c r="O65" s="48" t="str">
        <f>IFERROR(__xludf.DUMMYFUNCTION("QUERY('Volunteer Survey'!H70)"),"Comprehensive")</f>
        <v>Comprehensive</v>
      </c>
      <c r="P65" s="55" t="str">
        <f>IFERROR(__xludf.DUMMYFUNCTION("QUERY('Volunteer Survey'!I70)"),"Variant Pathogenicity")</f>
        <v>Variant Pathogenicity</v>
      </c>
      <c r="Q65" s="60" t="str">
        <f>IFERROR(__xludf.DUMMYFUNCTION("QUERY('Volunteer Survey'!J70)"),"Gene-Disease Validity")</f>
        <v>Gene-Disease Validity</v>
      </c>
      <c r="R65" s="55" t="str">
        <f>IFERROR(__xludf.DUMMYFUNCTION("QUERY('Volunteer Survey'!K70)"),"Dosage Sensitivity")</f>
        <v>Dosage Sensitivity</v>
      </c>
      <c r="S65" s="55" t="str">
        <f>IFERROR(__xludf.DUMMYFUNCTION("QUERY('Volunteer Survey'!L70)"),"Clinical Actionability")</f>
        <v>Clinical Actionability</v>
      </c>
      <c r="T65" s="55" t="str">
        <f>IFERROR(__xludf.DUMMYFUNCTION("QUERY('Volunteer Survey'!M70)"),"Somatic Cancer")</f>
        <v>Somatic Cancer</v>
      </c>
      <c r="U65" s="64" t="str">
        <f>IFERROR(__xludf.DUMMYFUNCTION("QUERY('Volunteer Survey'!N70)"),"yes")</f>
        <v>yes</v>
      </c>
      <c r="V65" s="55" t="str">
        <f>IFERROR(__xludf.DUMMYFUNCTION("QUERY('Volunteer Survey'!O70)"),"Yes")</f>
        <v>Yes</v>
      </c>
      <c r="W65" s="66" t="str">
        <f>IFERROR(__xludf.DUMMYFUNCTION("QUERY('Volunteer Survey'!P70)"),"Hereditary cancers; neurodevelopmental disorders; polivy making")</f>
        <v>Hereditary cancers; neurodevelopmental disorders; polivy making</v>
      </c>
      <c r="X65" s="64" t="str">
        <f>IFERROR(__xludf.DUMMYFUNCTION("QUERY('Volunteer Survey'!R70)"),"Yes- I am willing to volunteer with any available ClinGen group")</f>
        <v>Yes- I am willing to volunteer with any available ClinGen group</v>
      </c>
      <c r="Y65" s="53"/>
      <c r="Z65" s="68"/>
      <c r="AA65" s="55"/>
      <c r="AB65" s="55"/>
      <c r="AC65" s="55"/>
      <c r="AD65" s="55"/>
      <c r="AE65" s="55"/>
      <c r="AF65" s="55"/>
      <c r="AG65" s="55"/>
      <c r="AH65" s="55"/>
      <c r="AI65" s="55"/>
      <c r="AJ65" s="55"/>
      <c r="AK65" s="55"/>
      <c r="AL65" s="55"/>
      <c r="AM65" s="55"/>
      <c r="AN65" s="55"/>
      <c r="AO65" s="55"/>
    </row>
    <row r="66">
      <c r="A66" s="50">
        <f>IFERROR(__xludf.DUMMYFUNCTION("QUERY('Volunteer Survey'!A71)"),43364.44614583333)</f>
        <v>43364.44615</v>
      </c>
      <c r="B66" s="48" t="s">
        <v>168</v>
      </c>
      <c r="C66" s="87">
        <v>43439.0</v>
      </c>
      <c r="D66" s="55"/>
      <c r="E66" s="48" t="s">
        <v>130</v>
      </c>
      <c r="F66" s="48" t="s">
        <v>130</v>
      </c>
      <c r="G66" s="48" t="s">
        <v>251</v>
      </c>
      <c r="H66" s="53"/>
      <c r="I66" s="51" t="s">
        <v>139</v>
      </c>
      <c r="J66" s="55"/>
      <c r="K66" s="55"/>
      <c r="L66" s="55" t="str">
        <f>IFERROR(__xludf.DUMMYFUNCTION("QUERY('Volunteer Survey'!B71)"),"Emily Groopman")</f>
        <v>Emily Groopman</v>
      </c>
      <c r="M66" s="55" t="str">
        <f>IFERROR(__xludf.DUMMYFUNCTION("QUERY('Volunteer Survey'!E71)"),"ee.groopman@gmail.com")</f>
        <v>ee.groopman@gmail.com</v>
      </c>
      <c r="N66" s="55" t="str">
        <f>IFERROR(__xludf.DUMMYFUNCTION("QUERY('Volunteer Survey'!F71)"),"Post Doc/Resident/Fellow (MD and/or PhD)")</f>
        <v>Post Doc/Resident/Fellow (MD and/or PhD)</v>
      </c>
      <c r="O66" s="48" t="str">
        <f>IFERROR(__xludf.DUMMYFUNCTION("QUERY('Volunteer Survey'!H71)"),"Comprehensive")</f>
        <v>Comprehensive</v>
      </c>
      <c r="P66" s="55" t="str">
        <f>IFERROR(__xludf.DUMMYFUNCTION("QUERY('Volunteer Survey'!I71)"),"Variant Pathogenicity")</f>
        <v>Variant Pathogenicity</v>
      </c>
      <c r="Q66" s="60" t="str">
        <f>IFERROR(__xludf.DUMMYFUNCTION("QUERY('Volunteer Survey'!J71)"),"Gene-Disease Validity")</f>
        <v>Gene-Disease Validity</v>
      </c>
      <c r="R66" s="55" t="str">
        <f>IFERROR(__xludf.DUMMYFUNCTION("QUERY('Volunteer Survey'!K71)"),"Dosage Sensitivity")</f>
        <v>Dosage Sensitivity</v>
      </c>
      <c r="S66" s="55" t="str">
        <f>IFERROR(__xludf.DUMMYFUNCTION("QUERY('Volunteer Survey'!L71)"),"Clinical Actionability")</f>
        <v>Clinical Actionability</v>
      </c>
      <c r="T66" s="55" t="str">
        <f>IFERROR(__xludf.DUMMYFUNCTION("QUERY('Volunteer Survey'!M71)"),"Somatic Cancer")</f>
        <v>Somatic Cancer</v>
      </c>
      <c r="U66" s="64" t="str">
        <f>IFERROR(__xludf.DUMMYFUNCTION("QUERY('Volunteer Survey'!N71)"),"yes")</f>
        <v>yes</v>
      </c>
      <c r="V66" s="55" t="str">
        <f>IFERROR(__xludf.DUMMYFUNCTION("QUERY('Volunteer Survey'!O71)"),"Yes")</f>
        <v>Yes</v>
      </c>
      <c r="W66" s="66" t="str">
        <f>IFERROR(__xludf.DUMMYFUNCTION("QUERY('Volunteer Survey'!P71)"),"Aminoacidopathy Gene Curation Expert Panel, Storage Diseases Variant Curation Expert Panel, and Hereditary Cancer Gene Curation Expert Pane")</f>
        <v>Aminoacidopathy Gene Curation Expert Panel, Storage Diseases Variant Curation Expert Panel, and Hereditary Cancer Gene Curation Expert Pane</v>
      </c>
      <c r="X66" s="64" t="str">
        <f>IFERROR(__xludf.DUMMYFUNCTION("QUERY('Volunteer Survey'!R71)"),"Yes- I am willing to volunteer with any available ClinGen group")</f>
        <v>Yes- I am willing to volunteer with any available ClinGen group</v>
      </c>
      <c r="Y66" s="53"/>
      <c r="Z66" s="68"/>
      <c r="AA66" s="55"/>
      <c r="AB66" s="55"/>
      <c r="AC66" s="55"/>
      <c r="AD66" s="55"/>
      <c r="AE66" s="55"/>
      <c r="AF66" s="55"/>
      <c r="AG66" s="55"/>
      <c r="AH66" s="55"/>
      <c r="AI66" s="55"/>
      <c r="AJ66" s="55"/>
      <c r="AK66" s="55"/>
      <c r="AL66" s="55"/>
      <c r="AM66" s="55"/>
      <c r="AN66" s="55"/>
      <c r="AO66" s="55"/>
    </row>
    <row r="67">
      <c r="A67" s="50">
        <f>IFERROR(__xludf.DUMMYFUNCTION("QUERY('Volunteer Survey'!A72)"),43369.4483449074)</f>
        <v>43369.44834</v>
      </c>
      <c r="B67" s="48" t="s">
        <v>160</v>
      </c>
      <c r="C67" s="87">
        <v>43439.0</v>
      </c>
      <c r="D67" s="65">
        <v>43608.0</v>
      </c>
      <c r="E67" s="48" t="s">
        <v>117</v>
      </c>
      <c r="F67" s="48" t="s">
        <v>117</v>
      </c>
      <c r="G67" s="48" t="s">
        <v>251</v>
      </c>
      <c r="H67" s="51" t="s">
        <v>302</v>
      </c>
      <c r="I67" s="51" t="s">
        <v>139</v>
      </c>
      <c r="J67" s="56">
        <v>43712.0</v>
      </c>
      <c r="K67" s="56"/>
      <c r="L67" s="55" t="str">
        <f>IFERROR(__xludf.DUMMYFUNCTION("QUERY('Volunteer Survey'!B72)"),"Rhonda Lassiter ")</f>
        <v>Rhonda Lassiter </v>
      </c>
      <c r="M67" s="55" t="str">
        <f>IFERROR(__xludf.DUMMYFUNCTION("QUERY('Volunteer Survey'!E72)"),"rlassiter@ambrygen.com")</f>
        <v>rlassiter@ambrygen.com</v>
      </c>
      <c r="N67" s="55" t="str">
        <f>IFERROR(__xludf.DUMMYFUNCTION("QUERY('Volunteer Survey'!F72)"),"Variant Analyst/Scientist")</f>
        <v>Variant Analyst/Scientist</v>
      </c>
      <c r="O67" s="48" t="str">
        <f>IFERROR(__xludf.DUMMYFUNCTION("QUERY('Volunteer Survey'!H72)"),"Comprehensive")</f>
        <v>Comprehensive</v>
      </c>
      <c r="P67" s="55" t="str">
        <f>IFERROR(__xludf.DUMMYFUNCTION("QUERY('Volunteer Survey'!I72)"),"Variant Pathogenicity")</f>
        <v>Variant Pathogenicity</v>
      </c>
      <c r="Q67" s="101" t="str">
        <f>IFERROR(__xludf.DUMMYFUNCTION("QUERY('Volunteer Survey'!J72)"),"Gene-Disease Validity")</f>
        <v>Gene-Disease Validity</v>
      </c>
      <c r="R67" s="55" t="str">
        <f>IFERROR(__xludf.DUMMYFUNCTION("QUERY('Volunteer Survey'!K72)"),"Dosage Sensitivity")</f>
        <v>Dosage Sensitivity</v>
      </c>
      <c r="S67" s="55" t="str">
        <f>IFERROR(__xludf.DUMMYFUNCTION("QUERY('Volunteer Survey'!L72)"),"Clinical Actionability")</f>
        <v>Clinical Actionability</v>
      </c>
      <c r="T67" s="55" t="str">
        <f>IFERROR(__xludf.DUMMYFUNCTION("QUERY('Volunteer Survey'!M72)"),"Somatic Cancer")</f>
        <v>Somatic Cancer</v>
      </c>
      <c r="U67" s="64" t="str">
        <f>IFERROR(__xludf.DUMMYFUNCTION("QUERY('Volunteer Survey'!N72)"),"yes")</f>
        <v>yes</v>
      </c>
      <c r="V67" s="55" t="str">
        <f>IFERROR(__xludf.DUMMYFUNCTION("QUERY('Volunteer Survey'!O72)"),"Yes")</f>
        <v>Yes</v>
      </c>
      <c r="W67" s="102" t="str">
        <f>IFERROR(__xludf.DUMMYFUNCTION("QUERY('Volunteer Survey'!P72)"),"I am interested in any of the Neurodevelopmental Disorders CDWG's. I am happy to help wherever there is a need.")</f>
        <v>I am interested in any of the Neurodevelopmental Disorders CDWG's. I am happy to help wherever there is a need.</v>
      </c>
      <c r="X67" s="64" t="str">
        <f>IFERROR(__xludf.DUMMYFUNCTION("QUERY('Volunteer Survey'!R72)"),"Yes- I am willing to volunteer with any available ClinGen group")</f>
        <v>Yes- I am willing to volunteer with any available ClinGen group</v>
      </c>
      <c r="Y67" s="53"/>
      <c r="Z67" s="68"/>
      <c r="AA67" s="55"/>
      <c r="AB67" s="55"/>
      <c r="AC67" s="55"/>
      <c r="AD67" s="55"/>
      <c r="AE67" s="55"/>
      <c r="AF67" s="55"/>
      <c r="AG67" s="55"/>
      <c r="AH67" s="55"/>
      <c r="AI67" s="55"/>
      <c r="AJ67" s="55"/>
      <c r="AK67" s="55"/>
      <c r="AL67" s="55"/>
      <c r="AM67" s="55"/>
      <c r="AN67" s="55"/>
      <c r="AO67" s="55"/>
    </row>
    <row r="68">
      <c r="A68" s="50">
        <f>IFERROR(__xludf.DUMMYFUNCTION("QUERY('Volunteer Survey'!A74)"),43389.45233796297)</f>
        <v>43389.45234</v>
      </c>
      <c r="B68" s="48" t="s">
        <v>108</v>
      </c>
      <c r="C68" s="87">
        <v>43439.0</v>
      </c>
      <c r="D68" s="65">
        <v>43608.0</v>
      </c>
      <c r="E68" s="48" t="s">
        <v>117</v>
      </c>
      <c r="F68" s="48" t="s">
        <v>117</v>
      </c>
      <c r="G68" s="48" t="s">
        <v>251</v>
      </c>
      <c r="H68" s="51" t="s">
        <v>303</v>
      </c>
      <c r="I68" s="51" t="s">
        <v>299</v>
      </c>
      <c r="J68" s="56">
        <v>43712.0</v>
      </c>
      <c r="K68" s="56"/>
      <c r="L68" s="55" t="str">
        <f>IFERROR(__xludf.DUMMYFUNCTION("QUERY('Volunteer Survey'!B74)"),"Emma Reble ")</f>
        <v>Emma Reble </v>
      </c>
      <c r="M68" s="55" t="str">
        <f>IFERROR(__xludf.DUMMYFUNCTION("QUERY('Volunteer Survey'!E74)"),"reblee@smh.ca")</f>
        <v>reblee@smh.ca</v>
      </c>
      <c r="N68" s="55" t="str">
        <f>IFERROR(__xludf.DUMMYFUNCTION("QUERY('Volunteer Survey'!F74)"),"Variant Analyst/Scientist")</f>
        <v>Variant Analyst/Scientist</v>
      </c>
      <c r="O68" s="48" t="str">
        <f>IFERROR(__xludf.DUMMYFUNCTION("QUERY('Volunteer Survey'!H74)"),"Comprehensive")</f>
        <v>Comprehensive</v>
      </c>
      <c r="P68" s="55" t="str">
        <f>IFERROR(__xludf.DUMMYFUNCTION("QUERY('Volunteer Survey'!I74)"),"Variant Pathogenicity")</f>
        <v>Variant Pathogenicity</v>
      </c>
      <c r="Q68" s="60" t="str">
        <f>IFERROR(__xludf.DUMMYFUNCTION("QUERY('Volunteer Survey'!J74)"),"Gene-Disease Validity")</f>
        <v>Gene-Disease Validity</v>
      </c>
      <c r="R68" s="55" t="str">
        <f>IFERROR(__xludf.DUMMYFUNCTION("QUERY('Volunteer Survey'!K74)"),"Clinical Actionability")</f>
        <v>Clinical Actionability</v>
      </c>
      <c r="S68" s="55" t="str">
        <f>IFERROR(__xludf.DUMMYFUNCTION("QUERY('Volunteer Survey'!L74)"),"Dosage Sensitivity")</f>
        <v>Dosage Sensitivity</v>
      </c>
      <c r="T68" s="55" t="str">
        <f>IFERROR(__xludf.DUMMYFUNCTION("QUERY('Volunteer Survey'!M74)"),"Somatic Cancer")</f>
        <v>Somatic Cancer</v>
      </c>
      <c r="U68" s="64" t="str">
        <f>IFERROR(__xludf.DUMMYFUNCTION("QUERY('Volunteer Survey'!N74)"),"yes")</f>
        <v>yes</v>
      </c>
      <c r="V68" s="55" t="str">
        <f>IFERROR(__xludf.DUMMYFUNCTION("QUERY('Volunteer Survey'!O74)"),"Yes")</f>
        <v>Yes</v>
      </c>
      <c r="W68" s="66" t="str">
        <f>IFERROR(__xludf.DUMMYFUNCTION("QUERY('Volunteer Survey'!P74)"),"I am interest in the neurodevelopmental disorder CDWG, particularly the Autism and ID group.")</f>
        <v>I am interest in the neurodevelopmental disorder CDWG, particularly the Autism and ID group.</v>
      </c>
      <c r="X68" s="64" t="str">
        <f>IFERROR(__xludf.DUMMYFUNCTION("QUERY('Volunteer Survey'!R74)"),"Maybe -- please contact me with other options, and I will decide based on what is available")</f>
        <v>Maybe -- please contact me with other options, and I will decide based on what is available</v>
      </c>
      <c r="Y68" s="53"/>
      <c r="Z68" s="68"/>
      <c r="AA68" s="55"/>
      <c r="AB68" s="55"/>
      <c r="AC68" s="55"/>
      <c r="AD68" s="55"/>
      <c r="AE68" s="55"/>
      <c r="AF68" s="55"/>
      <c r="AG68" s="55"/>
      <c r="AH68" s="55"/>
      <c r="AI68" s="55"/>
      <c r="AJ68" s="55"/>
      <c r="AK68" s="55"/>
      <c r="AL68" s="55"/>
      <c r="AM68" s="55"/>
      <c r="AN68" s="55"/>
      <c r="AO68" s="55"/>
    </row>
    <row r="69">
      <c r="A69" s="50">
        <f>IFERROR(__xludf.DUMMYFUNCTION("QUERY('Volunteer Survey'!A75)"),43373.450949074075)</f>
        <v>43373.45095</v>
      </c>
      <c r="B69" s="48" t="s">
        <v>168</v>
      </c>
      <c r="C69" s="87">
        <v>43439.0</v>
      </c>
      <c r="D69" s="65"/>
      <c r="E69" s="48" t="s">
        <v>130</v>
      </c>
      <c r="F69" s="48" t="s">
        <v>130</v>
      </c>
      <c r="G69" s="48" t="s">
        <v>251</v>
      </c>
      <c r="H69" s="53"/>
      <c r="I69" s="51" t="s">
        <v>139</v>
      </c>
      <c r="J69" s="55"/>
      <c r="K69" s="55"/>
      <c r="L69" s="55" t="str">
        <f>IFERROR(__xludf.DUMMYFUNCTION("QUERY('Volunteer Survey'!B75)"),"Bryony Thompson")</f>
        <v>Bryony Thompson</v>
      </c>
      <c r="M69" s="55" t="str">
        <f>IFERROR(__xludf.DUMMYFUNCTION("QUERY('Volunteer Survey'!E75)"),"Bryony.Thompson@mh.org.au")</f>
        <v>Bryony.Thompson@mh.org.au</v>
      </c>
      <c r="N69" s="55" t="str">
        <f>IFERROR(__xludf.DUMMYFUNCTION("QUERY('Volunteer Survey'!F75)"),"Post Doc/Resident/Fellow (MD and/or PhD)")</f>
        <v>Post Doc/Resident/Fellow (MD and/or PhD)</v>
      </c>
      <c r="O69" s="48" t="str">
        <f>IFERROR(__xludf.DUMMYFUNCTION("QUERY('Volunteer Survey'!H75)"),"Comprehensive")</f>
        <v>Comprehensive</v>
      </c>
      <c r="P69" s="55" t="str">
        <f>IFERROR(__xludf.DUMMYFUNCTION("QUERY('Volunteer Survey'!I75)"),"Variant Pathogenicity")</f>
        <v>Variant Pathogenicity</v>
      </c>
      <c r="Q69" s="60" t="str">
        <f>IFERROR(__xludf.DUMMYFUNCTION("QUERY('Volunteer Survey'!J75)"),"")</f>
        <v/>
      </c>
      <c r="R69" s="55" t="str">
        <f>IFERROR(__xludf.DUMMYFUNCTION("QUERY('Volunteer Survey'!K75)"),"")</f>
        <v/>
      </c>
      <c r="S69" s="55" t="str">
        <f>IFERROR(__xludf.DUMMYFUNCTION("QUERY('Volunteer Survey'!L75)"),"")</f>
        <v/>
      </c>
      <c r="T69" s="55" t="str">
        <f>IFERROR(__xludf.DUMMYFUNCTION("QUERY('Volunteer Survey'!M75)"),"")</f>
        <v/>
      </c>
      <c r="U69" s="64" t="str">
        <f>IFERROR(__xludf.DUMMYFUNCTION("QUERY('Volunteer Survey'!N75)"),"yes")</f>
        <v>yes</v>
      </c>
      <c r="V69" s="55" t="str">
        <f>IFERROR(__xludf.DUMMYFUNCTION("QUERY('Volunteer Survey'!O75)"),"No")</f>
        <v>No</v>
      </c>
      <c r="W69" s="66" t="str">
        <f>IFERROR(__xludf.DUMMYFUNCTION("QUERY('Volunteer Survey'!P75)"),"CDH1 Variant Curation Expert Panel")</f>
        <v>CDH1 Variant Curation Expert Panel</v>
      </c>
      <c r="X69" s="64" t="str">
        <f>IFERROR(__xludf.DUMMYFUNCTION("QUERY('Volunteer Survey'!R75)"),"No - I am only interested in the group(s) I previously indicated")</f>
        <v>No - I am only interested in the group(s) I previously indicated</v>
      </c>
      <c r="Y69" s="53"/>
      <c r="Z69" s="68"/>
      <c r="AA69" s="55"/>
      <c r="AB69" s="55"/>
      <c r="AC69" s="55"/>
      <c r="AD69" s="55"/>
      <c r="AE69" s="55"/>
      <c r="AF69" s="55"/>
      <c r="AG69" s="55"/>
      <c r="AH69" s="55"/>
      <c r="AI69" s="55"/>
      <c r="AJ69" s="55"/>
      <c r="AK69" s="55"/>
      <c r="AL69" s="55"/>
      <c r="AM69" s="55"/>
      <c r="AN69" s="55"/>
      <c r="AO69" s="55"/>
    </row>
    <row r="70">
      <c r="A70" s="50">
        <f>IFERROR(__xludf.DUMMYFUNCTION("QUERY('Volunteer Survey'!A76)"),43395.455196759256)</f>
        <v>43395.4552</v>
      </c>
      <c r="B70" s="48" t="s">
        <v>160</v>
      </c>
      <c r="C70" s="87">
        <v>43439.0</v>
      </c>
      <c r="D70" s="65">
        <v>43608.0</v>
      </c>
      <c r="E70" s="48" t="s">
        <v>117</v>
      </c>
      <c r="F70" s="48" t="s">
        <v>117</v>
      </c>
      <c r="G70" s="48" t="s">
        <v>251</v>
      </c>
      <c r="H70" s="51" t="s">
        <v>304</v>
      </c>
      <c r="I70" s="51" t="s">
        <v>139</v>
      </c>
      <c r="J70" s="56">
        <v>43712.0</v>
      </c>
      <c r="K70" s="56"/>
      <c r="L70" s="55" t="str">
        <f>IFERROR(__xludf.DUMMYFUNCTION("QUERY('Volunteer Survey'!B76)"),"Qiliang Ding")</f>
        <v>Qiliang Ding</v>
      </c>
      <c r="M70" s="55" t="str">
        <f>IFERROR(__xludf.DUMMYFUNCTION("QUERY('Volunteer Survey'!E76)"),"qd29@cornell.edu")</f>
        <v>qd29@cornell.edu</v>
      </c>
      <c r="N70" s="55" t="str">
        <f>IFERROR(__xludf.DUMMYFUNCTION("QUERY('Volunteer Survey'!F76)"),"Graduate Student")</f>
        <v>Graduate Student</v>
      </c>
      <c r="O70" s="48" t="str">
        <f>IFERROR(__xludf.DUMMYFUNCTION("QUERY('Volunteer Survey'!H76)"),"Comprehensive")</f>
        <v>Comprehensive</v>
      </c>
      <c r="P70" s="55" t="str">
        <f>IFERROR(__xludf.DUMMYFUNCTION("QUERY('Volunteer Survey'!I76)"),"Variant Pathogenicity")</f>
        <v>Variant Pathogenicity</v>
      </c>
      <c r="Q70" s="60" t="str">
        <f>IFERROR(__xludf.DUMMYFUNCTION("QUERY('Volunteer Survey'!J76)"),"Somatic Cancer")</f>
        <v>Somatic Cancer</v>
      </c>
      <c r="R70" s="55" t="str">
        <f>IFERROR(__xludf.DUMMYFUNCTION("QUERY('Volunteer Survey'!K76)"),"Gene-Disease Validity")</f>
        <v>Gene-Disease Validity</v>
      </c>
      <c r="S70" s="55" t="str">
        <f>IFERROR(__xludf.DUMMYFUNCTION("QUERY('Volunteer Survey'!L76)"),"Clinical Actionability")</f>
        <v>Clinical Actionability</v>
      </c>
      <c r="T70" s="55" t="str">
        <f>IFERROR(__xludf.DUMMYFUNCTION("QUERY('Volunteer Survey'!M76)"),"Dosage Sensitivity")</f>
        <v>Dosage Sensitivity</v>
      </c>
      <c r="U70" s="64" t="str">
        <f>IFERROR(__xludf.DUMMYFUNCTION("QUERY('Volunteer Survey'!N76)"),"yes")</f>
        <v>yes</v>
      </c>
      <c r="V70" s="55" t="str">
        <f>IFERROR(__xludf.DUMMYFUNCTION("QUERY('Volunteer Survey'!O76)"),"Yes")</f>
        <v>Yes</v>
      </c>
      <c r="W70" s="66" t="str">
        <f>IFERROR(__xludf.DUMMYFUNCTION("QUERY('Volunteer Survey'!P76)"),"I am interested in all working groups.")</f>
        <v>I am interested in all working groups.</v>
      </c>
      <c r="X70" s="64" t="str">
        <f>IFERROR(__xludf.DUMMYFUNCTION("QUERY('Volunteer Survey'!R76)"),"Yes- I am willing to volunteer with any available ClinGen group")</f>
        <v>Yes- I am willing to volunteer with any available ClinGen group</v>
      </c>
      <c r="Y70" s="53"/>
      <c r="Z70" s="68"/>
      <c r="AA70" s="55"/>
      <c r="AB70" s="55"/>
      <c r="AC70" s="55"/>
      <c r="AD70" s="55"/>
      <c r="AE70" s="55"/>
      <c r="AF70" s="55"/>
      <c r="AG70" s="55"/>
      <c r="AH70" s="55"/>
      <c r="AI70" s="55"/>
      <c r="AJ70" s="55"/>
      <c r="AK70" s="55"/>
      <c r="AL70" s="55"/>
      <c r="AM70" s="55"/>
      <c r="AN70" s="55"/>
      <c r="AO70" s="55"/>
    </row>
    <row r="71">
      <c r="A71" s="50">
        <f>IFERROR(__xludf.DUMMYFUNCTION("QUERY('Volunteer Survey'!A77)"),43398.45934027778)</f>
        <v>43398.45934</v>
      </c>
      <c r="B71" s="48" t="s">
        <v>108</v>
      </c>
      <c r="C71" s="87">
        <v>43439.0</v>
      </c>
      <c r="D71" s="65">
        <v>43608.0</v>
      </c>
      <c r="E71" s="48" t="s">
        <v>117</v>
      </c>
      <c r="F71" s="48" t="s">
        <v>130</v>
      </c>
      <c r="G71" s="48" t="s">
        <v>251</v>
      </c>
      <c r="H71" s="53"/>
      <c r="I71" s="51" t="s">
        <v>139</v>
      </c>
      <c r="J71" s="55"/>
      <c r="K71" s="55"/>
      <c r="L71" s="55" t="str">
        <f>IFERROR(__xludf.DUMMYFUNCTION("QUERY('Volunteer Survey'!B77)"),"Amy Donahue")</f>
        <v>Amy Donahue</v>
      </c>
      <c r="M71" s="55" t="str">
        <f>IFERROR(__xludf.DUMMYFUNCTION("QUERY('Volunteer Survey'!E77)"),"adonahue@mcw.edu")</f>
        <v>adonahue@mcw.edu</v>
      </c>
      <c r="N71" s="55" t="str">
        <f>IFERROR(__xludf.DUMMYFUNCTION("QUERY('Volunteer Survey'!F77)"),"Genetic counselor")</f>
        <v>Genetic counselor</v>
      </c>
      <c r="O71" s="48" t="str">
        <f>IFERROR(__xludf.DUMMYFUNCTION("QUERY('Volunteer Survey'!H77)"),"Comprehensive")</f>
        <v>Comprehensive</v>
      </c>
      <c r="P71" s="55" t="str">
        <f>IFERROR(__xludf.DUMMYFUNCTION("QUERY('Volunteer Survey'!I77)"),"Variant Pathogenicity")</f>
        <v>Variant Pathogenicity</v>
      </c>
      <c r="Q71" s="60" t="str">
        <f>IFERROR(__xludf.DUMMYFUNCTION("QUERY('Volunteer Survey'!J77)"),"Gene-Disease Validity")</f>
        <v>Gene-Disease Validity</v>
      </c>
      <c r="R71" s="55" t="str">
        <f>IFERROR(__xludf.DUMMYFUNCTION("QUERY('Volunteer Survey'!K77)"),"Clinical Actionability")</f>
        <v>Clinical Actionability</v>
      </c>
      <c r="S71" s="55" t="str">
        <f>IFERROR(__xludf.DUMMYFUNCTION("QUERY('Volunteer Survey'!L77)"),"Dosage Sensitivity")</f>
        <v>Dosage Sensitivity</v>
      </c>
      <c r="T71" s="55" t="str">
        <f>IFERROR(__xludf.DUMMYFUNCTION("QUERY('Volunteer Survey'!M77)"),"Somatic Cancer")</f>
        <v>Somatic Cancer</v>
      </c>
      <c r="U71" s="64" t="str">
        <f>IFERROR(__xludf.DUMMYFUNCTION("QUERY('Volunteer Survey'!N77)"),"yes")</f>
        <v>yes</v>
      </c>
      <c r="V71" s="55" t="str">
        <f>IFERROR(__xludf.DUMMYFUNCTION("QUERY('Volunteer Survey'!O77)"),"Possibly")</f>
        <v>Possibly</v>
      </c>
      <c r="W71" s="66" t="str">
        <f>IFERROR(__xludf.DUMMYFUNCTION("QUERY('Volunteer Survey'!P77)"),"Any of the cardiac or neuro as well as the mitochondrial and monogenetic diabetes groups would fit within my clinical specialties. If there is the potential to start an ophthalmology/eye disorders group, I would love to be involved there. Thank you for th"&amp;"e opportunity!")</f>
        <v>Any of the cardiac or neuro as well as the mitochondrial and monogenetic diabetes groups would fit within my clinical specialties. If there is the potential to start an ophthalmology/eye disorders group, I would love to be involved there. Thank you for the opportunity!</v>
      </c>
      <c r="X71" s="64" t="str">
        <f>IFERROR(__xludf.DUMMYFUNCTION("QUERY('Volunteer Survey'!R77)"),"Maybe -- please contact me with other options, and I will decide based on what is available")</f>
        <v>Maybe -- please contact me with other options, and I will decide based on what is available</v>
      </c>
      <c r="Y71" s="51" t="s">
        <v>329</v>
      </c>
      <c r="Z71" s="68"/>
      <c r="AA71" s="55"/>
      <c r="AB71" s="55"/>
      <c r="AC71" s="55"/>
      <c r="AD71" s="55"/>
      <c r="AE71" s="55"/>
      <c r="AF71" s="55"/>
      <c r="AG71" s="55"/>
      <c r="AH71" s="55"/>
      <c r="AI71" s="55"/>
      <c r="AJ71" s="55"/>
      <c r="AK71" s="55"/>
      <c r="AL71" s="55"/>
      <c r="AM71" s="55"/>
      <c r="AN71" s="55"/>
      <c r="AO71" s="55"/>
    </row>
    <row r="72">
      <c r="A72" s="50">
        <f>IFERROR(__xludf.DUMMYFUNCTION("QUERY('Volunteer Survey'!A78)"),43409.46091435185)</f>
        <v>43409.46091</v>
      </c>
      <c r="B72" s="48" t="s">
        <v>160</v>
      </c>
      <c r="C72" s="87">
        <v>43109.0</v>
      </c>
      <c r="D72" s="65">
        <v>43605.0</v>
      </c>
      <c r="E72" s="48" t="s">
        <v>117</v>
      </c>
      <c r="F72" s="48" t="s">
        <v>117</v>
      </c>
      <c r="G72" s="48" t="s">
        <v>251</v>
      </c>
      <c r="H72" s="51" t="s">
        <v>303</v>
      </c>
      <c r="I72" s="51" t="s">
        <v>139</v>
      </c>
      <c r="J72" s="56">
        <v>43712.0</v>
      </c>
      <c r="K72" s="56"/>
      <c r="L72" s="55" t="str">
        <f>IFERROR(__xludf.DUMMYFUNCTION("QUERY('Volunteer Survey'!B78)"),"Dave Ferguson")</f>
        <v>Dave Ferguson</v>
      </c>
      <c r="M72" s="55" t="str">
        <f>IFERROR(__xludf.DUMMYFUNCTION("QUERY('Volunteer Survey'!E78)"),"dferguso@uci.edu")</f>
        <v>dferguso@uci.edu</v>
      </c>
      <c r="N72" s="55" t="str">
        <f>IFERROR(__xludf.DUMMYFUNCTION("QUERY('Volunteer Survey'!F78)"),"Scientific Researcher")</f>
        <v>Scientific Researcher</v>
      </c>
      <c r="O72" s="48" t="str">
        <f>IFERROR(__xludf.DUMMYFUNCTION("QUERY('Volunteer Survey'!H78)"),"Comprehensive")</f>
        <v>Comprehensive</v>
      </c>
      <c r="P72" s="55" t="str">
        <f>IFERROR(__xludf.DUMMYFUNCTION("QUERY('Volunteer Survey'!I78)"),"Variant Pathogenicity")</f>
        <v>Variant Pathogenicity</v>
      </c>
      <c r="Q72" s="60" t="str">
        <f>IFERROR(__xludf.DUMMYFUNCTION("QUERY('Volunteer Survey'!J78)"),"Clinical Actionability")</f>
        <v>Clinical Actionability</v>
      </c>
      <c r="R72" s="55" t="str">
        <f>IFERROR(__xludf.DUMMYFUNCTION("QUERY('Volunteer Survey'!K78)"),"Gene-Disease Validity")</f>
        <v>Gene-Disease Validity</v>
      </c>
      <c r="S72" s="55" t="str">
        <f>IFERROR(__xludf.DUMMYFUNCTION("QUERY('Volunteer Survey'!L78)"),"Dosage Sensitivity")</f>
        <v>Dosage Sensitivity</v>
      </c>
      <c r="T72" s="55" t="str">
        <f>IFERROR(__xludf.DUMMYFUNCTION("QUERY('Volunteer Survey'!M78)"),"Somatic Cancer")</f>
        <v>Somatic Cancer</v>
      </c>
      <c r="U72" s="64" t="str">
        <f>IFERROR(__xludf.DUMMYFUNCTION("QUERY('Volunteer Survey'!N78)"),"No")</f>
        <v>No</v>
      </c>
      <c r="V72" s="55" t="str">
        <f>IFERROR(__xludf.DUMMYFUNCTION("QUERY('Volunteer Survey'!O78)"),"Yes")</f>
        <v>Yes</v>
      </c>
      <c r="W72" s="66" t="str">
        <f>IFERROR(__xludf.DUMMYFUNCTION("QUERY('Volunteer Survey'!P78)"),"Mitochondrial Disease Variant Curation Expert Panel (In progress) Autism and Intellectual Disability Gene Curation Expert Panel")</f>
        <v>Mitochondrial Disease Variant Curation Expert Panel (In progress) Autism and Intellectual Disability Gene Curation Expert Panel</v>
      </c>
      <c r="X72" s="64" t="str">
        <f>IFERROR(__xludf.DUMMYFUNCTION("QUERY('Volunteer Survey'!R78)"),"Yes- I am willing to volunteer with any available ClinGen group")</f>
        <v>Yes- I am willing to volunteer with any available ClinGen group</v>
      </c>
      <c r="Y72" s="53"/>
      <c r="Z72" s="68"/>
      <c r="AA72" s="55"/>
      <c r="AB72" s="55"/>
      <c r="AC72" s="55"/>
      <c r="AD72" s="55"/>
      <c r="AE72" s="55"/>
      <c r="AF72" s="55"/>
      <c r="AG72" s="55"/>
      <c r="AH72" s="55"/>
      <c r="AI72" s="55"/>
      <c r="AJ72" s="55"/>
      <c r="AK72" s="55"/>
      <c r="AL72" s="55"/>
      <c r="AM72" s="55"/>
      <c r="AN72" s="55"/>
      <c r="AO72" s="55"/>
    </row>
    <row r="73">
      <c r="A73" s="50">
        <f>IFERROR(__xludf.DUMMYFUNCTION("QUERY('Volunteer Survey'!A79)"),43413.46214120371)</f>
        <v>43413.46214</v>
      </c>
      <c r="B73" s="48" t="s">
        <v>168</v>
      </c>
      <c r="C73" s="87">
        <v>43109.0</v>
      </c>
      <c r="D73" s="55"/>
      <c r="E73" s="48" t="s">
        <v>130</v>
      </c>
      <c r="F73" s="48" t="s">
        <v>130</v>
      </c>
      <c r="G73" s="48" t="s">
        <v>251</v>
      </c>
      <c r="H73" s="53"/>
      <c r="I73" s="51" t="s">
        <v>139</v>
      </c>
      <c r="J73" s="55"/>
      <c r="K73" s="55"/>
      <c r="L73" s="55" t="str">
        <f>IFERROR(__xludf.DUMMYFUNCTION("QUERY('Volunteer Survey'!B79)"),"Santhi Ramachandran")</f>
        <v>Santhi Ramachandran</v>
      </c>
      <c r="M73" s="55" t="str">
        <f>IFERROR(__xludf.DUMMYFUNCTION("QUERY('Volunteer Survey'!E79)"),"santhialways4u@gmail.com")</f>
        <v>santhialways4u@gmail.com</v>
      </c>
      <c r="N73" s="55" t="str">
        <f>IFERROR(__xludf.DUMMYFUNCTION("QUERY('Volunteer Survey'!F79)"),"Biocurator")</f>
        <v>Biocurator</v>
      </c>
      <c r="O73" s="48" t="str">
        <f>IFERROR(__xludf.DUMMYFUNCTION("QUERY('Volunteer Survey'!H79)"),"Comprehensive")</f>
        <v>Comprehensive</v>
      </c>
      <c r="P73" s="55" t="str">
        <f>IFERROR(__xludf.DUMMYFUNCTION("QUERY('Volunteer Survey'!I79)"),"Variant Pathogenicity")</f>
        <v>Variant Pathogenicity</v>
      </c>
      <c r="Q73" s="60" t="str">
        <f>IFERROR(__xludf.DUMMYFUNCTION("QUERY('Volunteer Survey'!J79)"),"Gene-Disease Validity")</f>
        <v>Gene-Disease Validity</v>
      </c>
      <c r="R73" s="55" t="str">
        <f>IFERROR(__xludf.DUMMYFUNCTION("QUERY('Volunteer Survey'!K79)"),"Clinical Actionability")</f>
        <v>Clinical Actionability</v>
      </c>
      <c r="S73" s="55" t="str">
        <f>IFERROR(__xludf.DUMMYFUNCTION("QUERY('Volunteer Survey'!L79)"),"Dosage Sensitivity")</f>
        <v>Dosage Sensitivity</v>
      </c>
      <c r="T73" s="55" t="str">
        <f>IFERROR(__xludf.DUMMYFUNCTION("QUERY('Volunteer Survey'!M79)"),"Somatic Cancer")</f>
        <v>Somatic Cancer</v>
      </c>
      <c r="U73" s="64" t="str">
        <f>IFERROR(__xludf.DUMMYFUNCTION("QUERY('Volunteer Survey'!N79)"),"yes")</f>
        <v>yes</v>
      </c>
      <c r="V73" s="55" t="str">
        <f>IFERROR(__xludf.DUMMYFUNCTION("QUERY('Volunteer Survey'!O79)"),"Possibly")</f>
        <v>Possibly</v>
      </c>
      <c r="W73" s="66" t="str">
        <f>IFERROR(__xludf.DUMMYFUNCTION("QUERY('Volunteer Survey'!P79)"),"I would like to work with variant curation expert panel or gene curation expert panel")</f>
        <v>I would like to work with variant curation expert panel or gene curation expert panel</v>
      </c>
      <c r="X73" s="64" t="str">
        <f>IFERROR(__xludf.DUMMYFUNCTION("QUERY('Volunteer Survey'!R79)"),"Yes- I am willing to volunteer with any available ClinGen group")</f>
        <v>Yes- I am willing to volunteer with any available ClinGen group</v>
      </c>
      <c r="Y73" s="53"/>
      <c r="Z73" s="68"/>
      <c r="AA73" s="55"/>
      <c r="AB73" s="55"/>
      <c r="AC73" s="55"/>
      <c r="AD73" s="55"/>
      <c r="AE73" s="55"/>
      <c r="AF73" s="55"/>
      <c r="AG73" s="55"/>
      <c r="AH73" s="55"/>
      <c r="AI73" s="55"/>
      <c r="AJ73" s="55"/>
      <c r="AK73" s="55"/>
      <c r="AL73" s="55"/>
      <c r="AM73" s="55"/>
      <c r="AN73" s="55"/>
      <c r="AO73" s="55"/>
    </row>
    <row r="74">
      <c r="A74" s="50">
        <f>IFERROR(__xludf.DUMMYFUNCTION("QUERY('Volunteer Survey'!A80)"),43413.46335648149)</f>
        <v>43413.46336</v>
      </c>
      <c r="B74" s="48" t="s">
        <v>168</v>
      </c>
      <c r="C74" s="87">
        <v>43439.0</v>
      </c>
      <c r="D74" s="55"/>
      <c r="E74" s="48" t="s">
        <v>130</v>
      </c>
      <c r="F74" s="48" t="s">
        <v>130</v>
      </c>
      <c r="G74" s="48" t="s">
        <v>251</v>
      </c>
      <c r="H74" s="53"/>
      <c r="I74" s="51" t="s">
        <v>139</v>
      </c>
      <c r="J74" s="55"/>
      <c r="K74" s="55"/>
      <c r="L74" s="55" t="str">
        <f>IFERROR(__xludf.DUMMYFUNCTION("QUERY('Volunteer Survey'!B80)"),"Megan Nathan")</f>
        <v>Megan Nathan</v>
      </c>
      <c r="M74" s="55" t="str">
        <f>IFERROR(__xludf.DUMMYFUNCTION("QUERY('Volunteer Survey'!E80)"),"mlnathan.genetics@gmail.com")</f>
        <v>mlnathan.genetics@gmail.com</v>
      </c>
      <c r="N74" s="55" t="str">
        <f>IFERROR(__xludf.DUMMYFUNCTION("QUERY('Volunteer Survey'!F80)"),"Genetic counselor")</f>
        <v>Genetic counselor</v>
      </c>
      <c r="O74" s="48" t="str">
        <f>IFERROR(__xludf.DUMMYFUNCTION("QUERY('Volunteer Survey'!H80)"),"Comprehensive")</f>
        <v>Comprehensive</v>
      </c>
      <c r="P74" s="55" t="str">
        <f>IFERROR(__xludf.DUMMYFUNCTION("QUERY('Volunteer Survey'!I80)"),"Variant Pathogenicity")</f>
        <v>Variant Pathogenicity</v>
      </c>
      <c r="Q74" s="60" t="str">
        <f>IFERROR(__xludf.DUMMYFUNCTION("QUERY('Volunteer Survey'!J80)"),"Somatic Cancer")</f>
        <v>Somatic Cancer</v>
      </c>
      <c r="R74" s="55" t="str">
        <f>IFERROR(__xludf.DUMMYFUNCTION("QUERY('Volunteer Survey'!K80)"),"Dosage Sensitivity")</f>
        <v>Dosage Sensitivity</v>
      </c>
      <c r="S74" s="55" t="str">
        <f>IFERROR(__xludf.DUMMYFUNCTION("QUERY('Volunteer Survey'!L80)"),"Gene-Disease Validity")</f>
        <v>Gene-Disease Validity</v>
      </c>
      <c r="T74" s="55" t="str">
        <f>IFERROR(__xludf.DUMMYFUNCTION("QUERY('Volunteer Survey'!M80)"),"Clinical Actionability")</f>
        <v>Clinical Actionability</v>
      </c>
      <c r="U74" s="64" t="str">
        <f>IFERROR(__xludf.DUMMYFUNCTION("QUERY('Volunteer Survey'!N80)"),"yes")</f>
        <v>yes</v>
      </c>
      <c r="V74" s="55" t="str">
        <f>IFERROR(__xludf.DUMMYFUNCTION("QUERY('Volunteer Survey'!O80)"),"")</f>
        <v/>
      </c>
      <c r="W74" s="66" t="str">
        <f>IFERROR(__xludf.DUMMYFUNCTION("QUERY('Volunteer Survey'!P80)"),"I would be most interested in the following groups (1 = top choice; 5 = last choice) 1. Breast/Ovarian Cancer (newly forming) 2. Colorectal Cancer (newly forming) 3. PTEN* 4. CDH1 5. VHL (Von Hippel-Lindau)*")</f>
        <v>I would be most interested in the following groups (1 = top choice; 5 = last choice) 1. Breast/Ovarian Cancer (newly forming) 2. Colorectal Cancer (newly forming) 3. PTEN* 4. CDH1 5. VHL (Von Hippel-Lindau)*</v>
      </c>
      <c r="X74" s="64" t="str">
        <f>IFERROR(__xludf.DUMMYFUNCTION("QUERY('Volunteer Survey'!R80)"),"Maybe -- please contact me with other options, and I will decide based on what is available")</f>
        <v>Maybe -- please contact me with other options, and I will decide based on what is available</v>
      </c>
      <c r="Y74" s="53"/>
      <c r="Z74" s="68"/>
      <c r="AA74" s="55"/>
      <c r="AB74" s="55"/>
      <c r="AC74" s="55"/>
      <c r="AD74" s="55"/>
      <c r="AE74" s="55"/>
      <c r="AF74" s="55"/>
      <c r="AG74" s="55"/>
      <c r="AH74" s="55"/>
      <c r="AI74" s="55"/>
      <c r="AJ74" s="55"/>
      <c r="AK74" s="55"/>
      <c r="AL74" s="55"/>
      <c r="AM74" s="55"/>
      <c r="AN74" s="55"/>
      <c r="AO74" s="55"/>
    </row>
    <row r="75">
      <c r="A75" s="50">
        <f>IFERROR(__xludf.DUMMYFUNCTION("QUERY('Volunteer Survey'!A81)"),43416.46445601852)</f>
        <v>43416.46446</v>
      </c>
      <c r="B75" s="48" t="s">
        <v>168</v>
      </c>
      <c r="C75" s="51" t="s">
        <v>330</v>
      </c>
      <c r="D75" s="55"/>
      <c r="E75" s="48" t="s">
        <v>130</v>
      </c>
      <c r="F75" s="48" t="s">
        <v>130</v>
      </c>
      <c r="G75" s="48" t="s">
        <v>251</v>
      </c>
      <c r="H75" s="53"/>
      <c r="I75" s="51" t="s">
        <v>139</v>
      </c>
      <c r="J75" s="55"/>
      <c r="K75" s="55"/>
      <c r="L75" s="55" t="str">
        <f>IFERROR(__xludf.DUMMYFUNCTION("QUERY('Volunteer Survey'!B81)"),"Ellen Xu")</f>
        <v>Ellen Xu</v>
      </c>
      <c r="M75" s="55" t="str">
        <f>IFERROR(__xludf.DUMMYFUNCTION("QUERY('Volunteer Survey'!E81)"),"")</f>
        <v/>
      </c>
      <c r="N75" s="55" t="str">
        <f>IFERROR(__xludf.DUMMYFUNCTION("QUERY('Volunteer Survey'!F81)"),"Genetic counselor")</f>
        <v>Genetic counselor</v>
      </c>
      <c r="O75" s="48" t="str">
        <f>IFERROR(__xludf.DUMMYFUNCTION("QUERY('Volunteer Survey'!H81)"),"Comprehensive")</f>
        <v>Comprehensive</v>
      </c>
      <c r="P75" s="55" t="str">
        <f>IFERROR(__xludf.DUMMYFUNCTION("QUERY('Volunteer Survey'!I81)"),"Variant Pathogenicity")</f>
        <v>Variant Pathogenicity</v>
      </c>
      <c r="Q75" s="60" t="str">
        <f>IFERROR(__xludf.DUMMYFUNCTION("QUERY('Volunteer Survey'!J81)"),"Clinical Actionability")</f>
        <v>Clinical Actionability</v>
      </c>
      <c r="R75" s="55" t="str">
        <f>IFERROR(__xludf.DUMMYFUNCTION("QUERY('Volunteer Survey'!K81)"),"Gene-Disease Validity")</f>
        <v>Gene-Disease Validity</v>
      </c>
      <c r="S75" s="55" t="str">
        <f>IFERROR(__xludf.DUMMYFUNCTION("QUERY('Volunteer Survey'!L81)"),"Dosage Sensitivity")</f>
        <v>Dosage Sensitivity</v>
      </c>
      <c r="T75" s="55" t="str">
        <f>IFERROR(__xludf.DUMMYFUNCTION("QUERY('Volunteer Survey'!M81)"),"Somatic Cancer")</f>
        <v>Somatic Cancer</v>
      </c>
      <c r="U75" s="64" t="str">
        <f>IFERROR(__xludf.DUMMYFUNCTION("QUERY('Volunteer Survey'!N81)"),"yes")</f>
        <v>yes</v>
      </c>
      <c r="V75" s="55" t="str">
        <f>IFERROR(__xludf.DUMMYFUNCTION("QUERY('Volunteer Survey'!O81)"),"Possibly")</f>
        <v>Possibly</v>
      </c>
      <c r="W75" s="66" t="str">
        <f>IFERROR(__xludf.DUMMYFUNCTION("QUERY('Volunteer Survey'!P81)"),"Dosage sensitivity, hereditary cancer")</f>
        <v>Dosage sensitivity, hereditary cancer</v>
      </c>
      <c r="X75" s="64" t="str">
        <f>IFERROR(__xludf.DUMMYFUNCTION("QUERY('Volunteer Survey'!R81)"),"Yes- I am willing to volunteer with any available ClinGen group")</f>
        <v>Yes- I am willing to volunteer with any available ClinGen group</v>
      </c>
      <c r="Y75" s="103" t="s">
        <v>331</v>
      </c>
      <c r="Z75" s="68"/>
      <c r="AA75" s="55"/>
      <c r="AB75" s="55"/>
      <c r="AC75" s="55"/>
      <c r="AD75" s="55"/>
      <c r="AE75" s="55"/>
      <c r="AF75" s="55"/>
      <c r="AG75" s="55"/>
      <c r="AH75" s="55"/>
      <c r="AI75" s="55"/>
      <c r="AJ75" s="55"/>
      <c r="AK75" s="55"/>
      <c r="AL75" s="55"/>
      <c r="AM75" s="55"/>
      <c r="AN75" s="55"/>
      <c r="AO75" s="55"/>
    </row>
    <row r="76">
      <c r="A76" s="50">
        <f>IFERROR(__xludf.DUMMYFUNCTION("QUERY('Volunteer Survey'!A82)"),43418.46555555555)</f>
        <v>43418.46556</v>
      </c>
      <c r="B76" s="48" t="s">
        <v>160</v>
      </c>
      <c r="C76" s="87">
        <v>43109.0</v>
      </c>
      <c r="D76" s="65">
        <v>43608.0</v>
      </c>
      <c r="E76" s="48" t="s">
        <v>117</v>
      </c>
      <c r="F76" s="48" t="s">
        <v>117</v>
      </c>
      <c r="G76" s="48" t="s">
        <v>251</v>
      </c>
      <c r="H76" s="51" t="s">
        <v>305</v>
      </c>
      <c r="I76" s="51" t="s">
        <v>139</v>
      </c>
      <c r="J76" s="56">
        <v>43712.0</v>
      </c>
      <c r="K76" s="56"/>
      <c r="L76" s="55" t="str">
        <f>IFERROR(__xludf.DUMMYFUNCTION("QUERY('Volunteer Survey'!B82)"),"Alisdair Philp")</f>
        <v>Alisdair Philp</v>
      </c>
      <c r="M76" s="55" t="str">
        <f>IFERROR(__xludf.DUMMYFUNCTION("QUERY('Volunteer Survey'!E82)"),"arphilp@gmail.com")</f>
        <v>arphilp@gmail.com</v>
      </c>
      <c r="N76" s="55" t="str">
        <f>IFERROR(__xludf.DUMMYFUNCTION("QUERY('Volunteer Survey'!F82)"),"Genetic counselor")</f>
        <v>Genetic counselor</v>
      </c>
      <c r="O76" s="48" t="str">
        <f>IFERROR(__xludf.DUMMYFUNCTION("QUERY('Volunteer Survey'!H82)"),"Comprehensive")</f>
        <v>Comprehensive</v>
      </c>
      <c r="P76" s="55" t="str">
        <f>IFERROR(__xludf.DUMMYFUNCTION("QUERY('Volunteer Survey'!I82)"),"Variant Pathogenicity")</f>
        <v>Variant Pathogenicity</v>
      </c>
      <c r="Q76" s="60" t="str">
        <f>IFERROR(__xludf.DUMMYFUNCTION("QUERY('Volunteer Survey'!J82)"),"Gene-Disease Validity")</f>
        <v>Gene-Disease Validity</v>
      </c>
      <c r="R76" s="55" t="str">
        <f>IFERROR(__xludf.DUMMYFUNCTION("QUERY('Volunteer Survey'!K82)"),"Clinical Actionability")</f>
        <v>Clinical Actionability</v>
      </c>
      <c r="S76" s="55" t="str">
        <f>IFERROR(__xludf.DUMMYFUNCTION("QUERY('Volunteer Survey'!L82)"),"Dosage Sensitivity")</f>
        <v>Dosage Sensitivity</v>
      </c>
      <c r="T76" s="55" t="str">
        <f>IFERROR(__xludf.DUMMYFUNCTION("QUERY('Volunteer Survey'!M82)"),"Somatic Cancer")</f>
        <v>Somatic Cancer</v>
      </c>
      <c r="U76" s="64" t="str">
        <f>IFERROR(__xludf.DUMMYFUNCTION("QUERY('Volunteer Survey'!N82)"),"yes")</f>
        <v>yes</v>
      </c>
      <c r="V76" s="55" t="str">
        <f>IFERROR(__xludf.DUMMYFUNCTION("QUERY('Volunteer Survey'!O82)"),"No")</f>
        <v>No</v>
      </c>
      <c r="W76" s="66" t="str">
        <f>IFERROR(__xludf.DUMMYFUNCTION("QUERY('Volunteer Survey'!P82)"),"Cnv")</f>
        <v>Cnv</v>
      </c>
      <c r="X76" s="64" t="str">
        <f>IFERROR(__xludf.DUMMYFUNCTION("QUERY('Volunteer Survey'!R82)"),"Yes- I am willing to volunteer with any available ClinGen group")</f>
        <v>Yes- I am willing to volunteer with any available ClinGen group</v>
      </c>
      <c r="Y76" s="53"/>
      <c r="Z76" s="68"/>
      <c r="AA76" s="55"/>
      <c r="AB76" s="55"/>
      <c r="AC76" s="55"/>
      <c r="AD76" s="55"/>
      <c r="AE76" s="55"/>
      <c r="AF76" s="55"/>
      <c r="AG76" s="55"/>
      <c r="AH76" s="55"/>
      <c r="AI76" s="55"/>
      <c r="AJ76" s="55"/>
      <c r="AK76" s="55"/>
      <c r="AL76" s="55"/>
      <c r="AM76" s="55"/>
      <c r="AN76" s="55"/>
      <c r="AO76" s="55"/>
    </row>
    <row r="77">
      <c r="A77" s="50">
        <f>IFERROR(__xludf.DUMMYFUNCTION("QUERY('Volunteer Survey'!A83)"),43418.467453703706)</f>
        <v>43418.46745</v>
      </c>
      <c r="B77" s="48" t="s">
        <v>168</v>
      </c>
      <c r="C77" s="87">
        <v>43109.0</v>
      </c>
      <c r="D77" s="55"/>
      <c r="E77" s="48" t="s">
        <v>130</v>
      </c>
      <c r="F77" s="48" t="s">
        <v>130</v>
      </c>
      <c r="G77" s="48" t="s">
        <v>163</v>
      </c>
      <c r="H77" s="53"/>
      <c r="I77" s="51" t="s">
        <v>139</v>
      </c>
      <c r="J77" s="55"/>
      <c r="K77" s="55"/>
      <c r="L77" s="55" t="str">
        <f>IFERROR(__xludf.DUMMYFUNCTION("QUERY('Volunteer Survey'!B83)"),"Jenna Guiltinan")</f>
        <v>Jenna Guiltinan</v>
      </c>
      <c r="M77" s="55" t="str">
        <f>IFERROR(__xludf.DUMMYFUNCTION("QUERY('Volunteer Survey'!E83)"),"jenna.guiltinan@invitae.com")</f>
        <v>jenna.guiltinan@invitae.com</v>
      </c>
      <c r="N77" s="55" t="str">
        <f>IFERROR(__xludf.DUMMYFUNCTION("QUERY('Volunteer Survey'!F83)"),"Variant Analyst/Scientist")</f>
        <v>Variant Analyst/Scientist</v>
      </c>
      <c r="O77" s="48" t="str">
        <f>IFERROR(__xludf.DUMMYFUNCTION("QUERY('Volunteer Survey'!H83)"),"Comprehensive")</f>
        <v>Comprehensive</v>
      </c>
      <c r="P77" s="55" t="str">
        <f>IFERROR(__xludf.DUMMYFUNCTION("QUERY('Volunteer Survey'!I83)"),"Dosage Sensitivity")</f>
        <v>Dosage Sensitivity</v>
      </c>
      <c r="Q77" s="60" t="str">
        <f>IFERROR(__xludf.DUMMYFUNCTION("QUERY('Volunteer Survey'!J83)"),"Variant Pathogenicity")</f>
        <v>Variant Pathogenicity</v>
      </c>
      <c r="R77" s="55" t="str">
        <f>IFERROR(__xludf.DUMMYFUNCTION("QUERY('Volunteer Survey'!K83)"),"Clinical Actionability")</f>
        <v>Clinical Actionability</v>
      </c>
      <c r="S77" s="55" t="str">
        <f>IFERROR(__xludf.DUMMYFUNCTION("QUERY('Volunteer Survey'!L83)"),"Gene-Disease Validity")</f>
        <v>Gene-Disease Validity</v>
      </c>
      <c r="T77" s="55" t="str">
        <f>IFERROR(__xludf.DUMMYFUNCTION("QUERY('Volunteer Survey'!M83)"),"Somatic Cancer")</f>
        <v>Somatic Cancer</v>
      </c>
      <c r="U77" s="64" t="str">
        <f>IFERROR(__xludf.DUMMYFUNCTION("QUERY('Volunteer Survey'!N83)"),"yes")</f>
        <v>yes</v>
      </c>
      <c r="V77" s="55" t="str">
        <f>IFERROR(__xludf.DUMMYFUNCTION("QUERY('Volunteer Survey'!O83)"),"No")</f>
        <v>No</v>
      </c>
      <c r="W77" s="66" t="str">
        <f>IFERROR(__xludf.DUMMYFUNCTION("QUERY('Volunteer Survey'!P83)"),"Dosage- Hereditary Cancer sounds the most interesting to me, but any of the dosage sensitivity working groups would be great!")</f>
        <v>Dosage- Hereditary Cancer sounds the most interesting to me, but any of the dosage sensitivity working groups would be great!</v>
      </c>
      <c r="X77" s="64" t="str">
        <f>IFERROR(__xludf.DUMMYFUNCTION("QUERY('Volunteer Survey'!R83)"),"Yes- I am willing to volunteer with any available ClinGen group")</f>
        <v>Yes- I am willing to volunteer with any available ClinGen group</v>
      </c>
      <c r="Y77" s="53"/>
      <c r="Z77" s="68"/>
      <c r="AA77" s="55"/>
      <c r="AB77" s="55"/>
      <c r="AC77" s="55"/>
      <c r="AD77" s="55"/>
      <c r="AE77" s="55"/>
      <c r="AF77" s="55"/>
      <c r="AG77" s="55"/>
      <c r="AH77" s="55"/>
      <c r="AI77" s="55"/>
      <c r="AJ77" s="55"/>
      <c r="AK77" s="55"/>
      <c r="AL77" s="55"/>
      <c r="AM77" s="55"/>
      <c r="AN77" s="55"/>
      <c r="AO77" s="55"/>
    </row>
    <row r="78">
      <c r="A78" s="50">
        <f>IFERROR(__xludf.DUMMYFUNCTION("QUERY('Volunteer Survey'!A84)"),43483.52609407408)</f>
        <v>43483.52609</v>
      </c>
      <c r="B78" s="48" t="s">
        <v>168</v>
      </c>
      <c r="C78" s="53"/>
      <c r="D78" s="55"/>
      <c r="E78" s="48" t="s">
        <v>130</v>
      </c>
      <c r="F78" s="48" t="s">
        <v>130</v>
      </c>
      <c r="G78" s="48" t="s">
        <v>251</v>
      </c>
      <c r="H78" s="53"/>
      <c r="I78" s="51" t="s">
        <v>139</v>
      </c>
      <c r="J78" s="55"/>
      <c r="K78" s="55"/>
      <c r="L78" s="55" t="str">
        <f>IFERROR(__xludf.DUMMYFUNCTION("QUERY('Volunteer Survey'!B84)"),"Ron Agatep")</f>
        <v>Ron Agatep</v>
      </c>
      <c r="M78" s="55" t="str">
        <f>IFERROR(__xludf.DUMMYFUNCTION("QUERY('Volunteer Survey'!E84)"),"ragatep@sharedhealthmb.ca")</f>
        <v>ragatep@sharedhealthmb.ca</v>
      </c>
      <c r="N78" s="55" t="str">
        <f>IFERROR(__xludf.DUMMYFUNCTION("QUERY('Volunteer Survey'!F84)"),"Clinical laboratory geneticist")</f>
        <v>Clinical laboratory geneticist</v>
      </c>
      <c r="O78" s="48" t="str">
        <f>IFERROR(__xludf.DUMMYFUNCTION("QUERY('Volunteer Survey'!H84)"),"Comprehensive")</f>
        <v>Comprehensive</v>
      </c>
      <c r="P78" s="55" t="str">
        <f>IFERROR(__xludf.DUMMYFUNCTION("QUERY('Volunteer Survey'!I84)"),"Variant Pathogenicity")</f>
        <v>Variant Pathogenicity</v>
      </c>
      <c r="Q78" s="60" t="str">
        <f>IFERROR(__xludf.DUMMYFUNCTION("QUERY('Volunteer Survey'!J84)"),"Gene-Disease Validity, Somatic Cancer")</f>
        <v>Gene-Disease Validity, Somatic Cancer</v>
      </c>
      <c r="R78" s="55" t="str">
        <f>IFERROR(__xludf.DUMMYFUNCTION("QUERY('Volunteer Survey'!K84)"),"")</f>
        <v/>
      </c>
      <c r="S78" s="55" t="str">
        <f>IFERROR(__xludf.DUMMYFUNCTION("QUERY('Volunteer Survey'!L84)"),"")</f>
        <v/>
      </c>
      <c r="T78" s="55" t="str">
        <f>IFERROR(__xludf.DUMMYFUNCTION("QUERY('Volunteer Survey'!M84)"),"")</f>
        <v/>
      </c>
      <c r="U78" s="64" t="str">
        <f>IFERROR(__xludf.DUMMYFUNCTION("QUERY('Volunteer Survey'!N84)"),"")</f>
        <v/>
      </c>
      <c r="V78" s="55" t="str">
        <f>IFERROR(__xludf.DUMMYFUNCTION("QUERY('Volunteer Survey'!O84)"),"Possibly")</f>
        <v>Possibly</v>
      </c>
      <c r="W78" s="66" t="str">
        <f>IFERROR(__xludf.DUMMYFUNCTION("QUERY('Volunteer Survey'!P84)"),"Hereditary Breast and Ovarian Cancer")</f>
        <v>Hereditary Breast and Ovarian Cancer</v>
      </c>
      <c r="X78" s="64" t="str">
        <f>IFERROR(__xludf.DUMMYFUNCTION("QUERY('Volunteer Survey'!R84)"),"Maybe -- please contact me with other options, and I will decide based on what is available")</f>
        <v>Maybe -- please contact me with other options, and I will decide based on what is available</v>
      </c>
      <c r="Y78" s="53"/>
      <c r="Z78" s="68"/>
      <c r="AA78" s="55"/>
      <c r="AB78" s="55"/>
      <c r="AC78" s="55"/>
      <c r="AD78" s="55"/>
      <c r="AE78" s="55"/>
      <c r="AF78" s="55"/>
      <c r="AG78" s="55"/>
      <c r="AH78" s="55"/>
      <c r="AI78" s="55"/>
      <c r="AJ78" s="55"/>
      <c r="AK78" s="55"/>
      <c r="AL78" s="55"/>
      <c r="AM78" s="55"/>
      <c r="AN78" s="55"/>
      <c r="AO78" s="55"/>
    </row>
    <row r="79">
      <c r="A79" s="50">
        <f>IFERROR(__xludf.DUMMYFUNCTION("QUERY('Volunteer Survey'!A85)"),43342.52626157408)</f>
        <v>43342.52626</v>
      </c>
      <c r="B79" s="48" t="s">
        <v>108</v>
      </c>
      <c r="C79" s="53"/>
      <c r="D79" s="55"/>
      <c r="E79" s="48" t="s">
        <v>130</v>
      </c>
      <c r="F79" s="48" t="s">
        <v>130</v>
      </c>
      <c r="G79" s="48" t="s">
        <v>202</v>
      </c>
      <c r="H79" s="53"/>
      <c r="I79" s="51" t="s">
        <v>139</v>
      </c>
      <c r="J79" s="55"/>
      <c r="K79" s="55"/>
      <c r="L79" s="55" t="str">
        <f>IFERROR(__xludf.DUMMYFUNCTION("QUERY('Volunteer Survey'!B85)"),"Danielle Croucher")</f>
        <v>Danielle Croucher</v>
      </c>
      <c r="M79" s="55" t="str">
        <f>IFERROR(__xludf.DUMMYFUNCTION("QUERY('Volunteer Survey'!E85)"),"d.croucher@mail.utoronto.ca")</f>
        <v>d.croucher@mail.utoronto.ca</v>
      </c>
      <c r="N79" s="55" t="str">
        <f>IFERROR(__xludf.DUMMYFUNCTION("QUERY('Volunteer Survey'!F85)"),"Graduate Student")</f>
        <v>Graduate Student</v>
      </c>
      <c r="O79" s="48" t="str">
        <f>IFERROR(__xludf.DUMMYFUNCTION("QUERY('Volunteer Survey'!H85)"),"Baseline")</f>
        <v>Baseline</v>
      </c>
      <c r="P79" s="55" t="str">
        <f>IFERROR(__xludf.DUMMYFUNCTION("QUERY('Volunteer Survey'!I85)"),"Clinical Actionability")</f>
        <v>Clinical Actionability</v>
      </c>
      <c r="Q79" s="60" t="str">
        <f>IFERROR(__xludf.DUMMYFUNCTION("QUERY('Volunteer Survey'!J85)"),"Gene-Disease Validity")</f>
        <v>Gene-Disease Validity</v>
      </c>
      <c r="R79" s="55" t="str">
        <f>IFERROR(__xludf.DUMMYFUNCTION("QUERY('Volunteer Survey'!K85)"),"Variant Pathogenicity")</f>
        <v>Variant Pathogenicity</v>
      </c>
      <c r="S79" s="55" t="str">
        <f>IFERROR(__xludf.DUMMYFUNCTION("QUERY('Volunteer Survey'!L85)"),"Somatic Cancer")</f>
        <v>Somatic Cancer</v>
      </c>
      <c r="T79" s="55" t="str">
        <f>IFERROR(__xludf.DUMMYFUNCTION("QUERY('Volunteer Survey'!M85)"),"")</f>
        <v/>
      </c>
      <c r="U79" s="64" t="str">
        <f>IFERROR(__xludf.DUMMYFUNCTION("QUERY('Volunteer Survey'!N85)"),"yes")</f>
        <v>yes</v>
      </c>
      <c r="V79" s="55" t="str">
        <f>IFERROR(__xludf.DUMMYFUNCTION("QUERY('Volunteer Survey'!O85)"),"Possibly")</f>
        <v>Possibly</v>
      </c>
      <c r="W79" s="66" t="str">
        <f>IFERROR(__xludf.DUMMYFUNCTION("QUERY('Volunteer Survey'!P85)"),"Myeloid Malignancy Variant Curation Expert Panel, Somatic/Germline Variant Curation Group, TP53 Variant Curation Expert Panel, Hereditary Cancer Gene Curation Expert Panel, Breast and Ovarian Cancer Gene Curation Expert Panel")</f>
        <v>Myeloid Malignancy Variant Curation Expert Panel, Somatic/Germline Variant Curation Group, TP53 Variant Curation Expert Panel, Hereditary Cancer Gene Curation Expert Panel, Breast and Ovarian Cancer Gene Curation Expert Panel</v>
      </c>
      <c r="X79" s="64" t="str">
        <f>IFERROR(__xludf.DUMMYFUNCTION("QUERY('Volunteer Survey'!R85)"),"Maybe -- please contact me with other options, and I will decide based on what is available")</f>
        <v>Maybe -- please contact me with other options, and I will decide based on what is available</v>
      </c>
      <c r="Y79" s="53"/>
      <c r="Z79" s="68"/>
      <c r="AA79" s="55"/>
      <c r="AB79" s="55"/>
      <c r="AC79" s="55"/>
      <c r="AD79" s="55"/>
      <c r="AE79" s="55"/>
      <c r="AF79" s="55"/>
      <c r="AG79" s="55"/>
      <c r="AH79" s="55"/>
      <c r="AI79" s="55"/>
      <c r="AJ79" s="55"/>
      <c r="AK79" s="55"/>
      <c r="AL79" s="55"/>
      <c r="AM79" s="55"/>
      <c r="AN79" s="55"/>
      <c r="AO79" s="55"/>
    </row>
    <row r="80">
      <c r="A80" s="50">
        <f>IFERROR(__xludf.DUMMYFUNCTION("QUERY('Volunteer Survey'!A86)"),43339.52752314815)</f>
        <v>43339.52752</v>
      </c>
      <c r="B80" s="48" t="s">
        <v>108</v>
      </c>
      <c r="C80" s="53"/>
      <c r="D80" s="55"/>
      <c r="E80" s="48" t="s">
        <v>130</v>
      </c>
      <c r="F80" s="48" t="s">
        <v>130</v>
      </c>
      <c r="G80" s="48" t="s">
        <v>202</v>
      </c>
      <c r="H80" s="53"/>
      <c r="I80" s="51" t="s">
        <v>139</v>
      </c>
      <c r="J80" s="55"/>
      <c r="K80" s="55"/>
      <c r="L80" s="55" t="str">
        <f>IFERROR(__xludf.DUMMYFUNCTION("QUERY('Volunteer Survey'!B86)"),"Fadel Alyaquob")</f>
        <v>Fadel Alyaquob</v>
      </c>
      <c r="M80" s="55" t="str">
        <f>IFERROR(__xludf.DUMMYFUNCTION("QUERY('Volunteer Survey'!E86)"),"falyaqoub1@yahoo.com")</f>
        <v>falyaqoub1@yahoo.com</v>
      </c>
      <c r="N80" s="55" t="str">
        <f>IFERROR(__xludf.DUMMYFUNCTION("QUERY('Volunteer Survey'!F86)"),"Variant Analyst/Scientist")</f>
        <v>Variant Analyst/Scientist</v>
      </c>
      <c r="O80" s="48" t="str">
        <f>IFERROR(__xludf.DUMMYFUNCTION("QUERY('Volunteer Survey'!H86)"),"Baseline")</f>
        <v>Baseline</v>
      </c>
      <c r="P80" s="55" t="str">
        <f>IFERROR(__xludf.DUMMYFUNCTION("QUERY('Volunteer Survey'!I86)"),"Clinical Actionability")</f>
        <v>Clinical Actionability</v>
      </c>
      <c r="Q80" s="60" t="str">
        <f>IFERROR(__xludf.DUMMYFUNCTION("QUERY('Volunteer Survey'!J86)"),"Gene-Disease Validity")</f>
        <v>Gene-Disease Validity</v>
      </c>
      <c r="R80" s="55" t="str">
        <f>IFERROR(__xludf.DUMMYFUNCTION("QUERY('Volunteer Survey'!K86)"),"Variant Pathogenicity")</f>
        <v>Variant Pathogenicity</v>
      </c>
      <c r="S80" s="55" t="str">
        <f>IFERROR(__xludf.DUMMYFUNCTION("QUERY('Volunteer Survey'!L86)"),"Somatic Cancer")</f>
        <v>Somatic Cancer</v>
      </c>
      <c r="T80" s="55" t="str">
        <f>IFERROR(__xludf.DUMMYFUNCTION("QUERY('Volunteer Survey'!M86)"),"")</f>
        <v/>
      </c>
      <c r="U80" s="64" t="str">
        <f>IFERROR(__xludf.DUMMYFUNCTION("QUERY('Volunteer Survey'!N86)"),"yes")</f>
        <v>yes</v>
      </c>
      <c r="V80" s="55" t="str">
        <f>IFERROR(__xludf.DUMMYFUNCTION("QUERY('Volunteer Survey'!O86)"),"Possibly")</f>
        <v>Possibly</v>
      </c>
      <c r="W80" s="66" t="str">
        <f>IFERROR(__xludf.DUMMYFUNCTION("QUERY('Volunteer Survey'!P86)"),"No")</f>
        <v>No</v>
      </c>
      <c r="X80" s="64" t="str">
        <f>IFERROR(__xludf.DUMMYFUNCTION("QUERY('Volunteer Survey'!R86)"),"Maybe -- please contact me with other options, and I will decide based on what is available")</f>
        <v>Maybe -- please contact me with other options, and I will decide based on what is available</v>
      </c>
      <c r="Y80" s="53"/>
      <c r="Z80" s="68"/>
      <c r="AA80" s="55"/>
      <c r="AB80" s="55"/>
      <c r="AC80" s="55"/>
      <c r="AD80" s="55"/>
      <c r="AE80" s="55"/>
      <c r="AF80" s="55"/>
      <c r="AG80" s="55"/>
      <c r="AH80" s="55"/>
      <c r="AI80" s="55"/>
      <c r="AJ80" s="55"/>
      <c r="AK80" s="55"/>
      <c r="AL80" s="55"/>
      <c r="AM80" s="55"/>
      <c r="AN80" s="55"/>
      <c r="AO80" s="55"/>
    </row>
    <row r="81">
      <c r="A81" s="50">
        <f>IFERROR(__xludf.DUMMYFUNCTION("QUERY('Volunteer Survey'!A87)"),43332.52856481481)</f>
        <v>43332.52856</v>
      </c>
      <c r="B81" s="48" t="s">
        <v>108</v>
      </c>
      <c r="C81" s="53"/>
      <c r="D81" s="55"/>
      <c r="E81" s="48" t="s">
        <v>130</v>
      </c>
      <c r="F81" s="48" t="s">
        <v>130</v>
      </c>
      <c r="G81" s="48" t="s">
        <v>202</v>
      </c>
      <c r="H81" s="53"/>
      <c r="I81" s="51" t="s">
        <v>139</v>
      </c>
      <c r="J81" s="55"/>
      <c r="K81" s="55"/>
      <c r="L81" s="55" t="str">
        <f>IFERROR(__xludf.DUMMYFUNCTION("QUERY('Volunteer Survey'!B87)"),"Hilary Racher")</f>
        <v>Hilary Racher</v>
      </c>
      <c r="M81" s="55" t="str">
        <f>IFERROR(__xludf.DUMMYFUNCTION("QUERY('Volunteer Survey'!E87)"),"racherh@dynacare.ca")</f>
        <v>racherh@dynacare.ca</v>
      </c>
      <c r="N81" s="55" t="str">
        <f>IFERROR(__xludf.DUMMYFUNCTION("QUERY('Volunteer Survey'!F87)"),"Clinical laboratory geneticist")</f>
        <v>Clinical laboratory geneticist</v>
      </c>
      <c r="O81" s="48" t="str">
        <f>IFERROR(__xludf.DUMMYFUNCTION("QUERY('Volunteer Survey'!H87)"),"Baseline")</f>
        <v>Baseline</v>
      </c>
      <c r="P81" s="55" t="str">
        <f>IFERROR(__xludf.DUMMYFUNCTION("QUERY('Volunteer Survey'!I87)"),"Variant Pathogenicity")</f>
        <v>Variant Pathogenicity</v>
      </c>
      <c r="Q81" s="60" t="str">
        <f>IFERROR(__xludf.DUMMYFUNCTION("QUERY('Volunteer Survey'!J87)"),"Somatic Cancer")</f>
        <v>Somatic Cancer</v>
      </c>
      <c r="R81" s="55" t="str">
        <f>IFERROR(__xludf.DUMMYFUNCTION("QUERY('Volunteer Survey'!K87)"),"")</f>
        <v/>
      </c>
      <c r="S81" s="55" t="str">
        <f>IFERROR(__xludf.DUMMYFUNCTION("QUERY('Volunteer Survey'!L87)"),"")</f>
        <v/>
      </c>
      <c r="T81" s="55" t="str">
        <f>IFERROR(__xludf.DUMMYFUNCTION("QUERY('Volunteer Survey'!M87)"),"")</f>
        <v/>
      </c>
      <c r="U81" s="64" t="str">
        <f>IFERROR(__xludf.DUMMYFUNCTION("QUERY('Volunteer Survey'!N87)"),"Yes")</f>
        <v>Yes</v>
      </c>
      <c r="V81" s="55" t="str">
        <f>IFERROR(__xludf.DUMMYFUNCTION("QUERY('Volunteer Survey'!O87)"),"Possibly")</f>
        <v>Possibly</v>
      </c>
      <c r="W81" s="66" t="str">
        <f>IFERROR(__xludf.DUMMYFUNCTION("QUERY('Volunteer Survey'!P87)"),"Somatic/Germline Variant Curation Group Hereditary Cancer Gene Curation Expert Panel Sequence Variant Interpretation")</f>
        <v>Somatic/Germline Variant Curation Group Hereditary Cancer Gene Curation Expert Panel Sequence Variant Interpretation</v>
      </c>
      <c r="X81" s="64" t="str">
        <f>IFERROR(__xludf.DUMMYFUNCTION("QUERY('Volunteer Survey'!R87)"),"Maybe -- please contact me with other options, and I will decide based on what is available")</f>
        <v>Maybe -- please contact me with other options, and I will decide based on what is available</v>
      </c>
      <c r="Y81" s="53"/>
      <c r="Z81" s="68"/>
      <c r="AA81" s="55"/>
      <c r="AB81" s="55"/>
      <c r="AC81" s="55"/>
      <c r="AD81" s="55"/>
      <c r="AE81" s="55"/>
      <c r="AF81" s="55"/>
      <c r="AG81" s="55"/>
      <c r="AH81" s="55"/>
      <c r="AI81" s="55"/>
      <c r="AJ81" s="55"/>
      <c r="AK81" s="55"/>
      <c r="AL81" s="55"/>
      <c r="AM81" s="55"/>
      <c r="AN81" s="55"/>
      <c r="AO81" s="55"/>
    </row>
    <row r="82">
      <c r="A82" s="50">
        <f>IFERROR(__xludf.DUMMYFUNCTION("QUERY('Volunteer Survey'!A88)"),43332.52978009259)</f>
        <v>43332.52978</v>
      </c>
      <c r="B82" s="48" t="s">
        <v>108</v>
      </c>
      <c r="C82" s="53"/>
      <c r="D82" s="55"/>
      <c r="E82" s="48" t="s">
        <v>130</v>
      </c>
      <c r="F82" s="48" t="s">
        <v>130</v>
      </c>
      <c r="G82" s="48" t="s">
        <v>202</v>
      </c>
      <c r="H82" s="53"/>
      <c r="I82" s="51" t="s">
        <v>139</v>
      </c>
      <c r="J82" s="55"/>
      <c r="K82" s="55"/>
      <c r="L82" s="55" t="str">
        <f>IFERROR(__xludf.DUMMYFUNCTION("QUERY('Volunteer Survey'!B88)"),"Juan Dong")</f>
        <v>Juan Dong</v>
      </c>
      <c r="M82" s="55" t="str">
        <f>IFERROR(__xludf.DUMMYFUNCTION("QUERY('Volunteer Survey'!E88)"),"juan.dong@preventiongenetics.com")</f>
        <v>juan.dong@preventiongenetics.com</v>
      </c>
      <c r="N82" s="55" t="str">
        <f>IFERROR(__xludf.DUMMYFUNCTION("QUERY('Volunteer Survey'!F88)"),"Clinical laboratory geneticist")</f>
        <v>Clinical laboratory geneticist</v>
      </c>
      <c r="O82" s="48" t="str">
        <f>IFERROR(__xludf.DUMMYFUNCTION("QUERY('Volunteer Survey'!H88)"),"Baseline")</f>
        <v>Baseline</v>
      </c>
      <c r="P82" s="55" t="str">
        <f>IFERROR(__xludf.DUMMYFUNCTION("QUERY('Volunteer Survey'!I88)"),"Gene-Disease Validity")</f>
        <v>Gene-Disease Validity</v>
      </c>
      <c r="Q82" s="60" t="str">
        <f>IFERROR(__xludf.DUMMYFUNCTION("QUERY('Volunteer Survey'!J88)"),"Variant Pathogenicity")</f>
        <v>Variant Pathogenicity</v>
      </c>
      <c r="R82" s="55" t="str">
        <f>IFERROR(__xludf.DUMMYFUNCTION("QUERY('Volunteer Survey'!K88)"),"")</f>
        <v/>
      </c>
      <c r="S82" s="55" t="str">
        <f>IFERROR(__xludf.DUMMYFUNCTION("QUERY('Volunteer Survey'!L88)"),"")</f>
        <v/>
      </c>
      <c r="T82" s="55" t="str">
        <f>IFERROR(__xludf.DUMMYFUNCTION("QUERY('Volunteer Survey'!M88)"),"")</f>
        <v/>
      </c>
      <c r="U82" s="64" t="str">
        <f>IFERROR(__xludf.DUMMYFUNCTION("QUERY('Volunteer Survey'!N88)"),"Yes")</f>
        <v>Yes</v>
      </c>
      <c r="V82" s="55" t="str">
        <f>IFERROR(__xludf.DUMMYFUNCTION("QUERY('Volunteer Survey'!O88)"),"Possibly")</f>
        <v>Possibly</v>
      </c>
      <c r="W82" s="66" t="str">
        <f>IFERROR(__xludf.DUMMYFUNCTION("QUERY('Volunteer Survey'!P88)"),"Familial Thoracic Aortic Aneurysm and Dissection Gene Curation Expert Pane")</f>
        <v>Familial Thoracic Aortic Aneurysm and Dissection Gene Curation Expert Pane</v>
      </c>
      <c r="X82" s="64" t="str">
        <f>IFERROR(__xludf.DUMMYFUNCTION("QUERY('Volunteer Survey'!R88)"),"Maybe -- please contact me with other options, and I will decide based on what is available")</f>
        <v>Maybe -- please contact me with other options, and I will decide based on what is available</v>
      </c>
      <c r="Y82" s="53"/>
      <c r="Z82" s="68"/>
      <c r="AA82" s="55"/>
      <c r="AB82" s="55"/>
      <c r="AC82" s="55"/>
      <c r="AD82" s="55"/>
      <c r="AE82" s="55"/>
      <c r="AF82" s="55"/>
      <c r="AG82" s="55"/>
      <c r="AH82" s="55"/>
      <c r="AI82" s="55"/>
      <c r="AJ82" s="55"/>
      <c r="AK82" s="55"/>
      <c r="AL82" s="55"/>
      <c r="AM82" s="55"/>
      <c r="AN82" s="55"/>
      <c r="AO82" s="55"/>
    </row>
    <row r="83">
      <c r="A83" s="50">
        <f>IFERROR(__xludf.DUMMYFUNCTION("QUERY('Volunteer Survey'!A89)"),43332.53108796296)</f>
        <v>43332.53109</v>
      </c>
      <c r="B83" s="48" t="s">
        <v>108</v>
      </c>
      <c r="C83" s="53"/>
      <c r="D83" s="55"/>
      <c r="E83" s="48" t="s">
        <v>130</v>
      </c>
      <c r="F83" s="48" t="s">
        <v>130</v>
      </c>
      <c r="G83" s="48" t="s">
        <v>202</v>
      </c>
      <c r="H83" s="53"/>
      <c r="I83" s="51" t="s">
        <v>139</v>
      </c>
      <c r="J83" s="55"/>
      <c r="K83" s="55"/>
      <c r="L83" s="55" t="str">
        <f>IFERROR(__xludf.DUMMYFUNCTION("QUERY('Volunteer Survey'!B89)"),"Julie Kaylor")</f>
        <v>Julie Kaylor</v>
      </c>
      <c r="M83" s="55" t="str">
        <f>IFERROR(__xludf.DUMMYFUNCTION("QUERY('Volunteer Survey'!E89)"),"jkaylor@informeddna.com")</f>
        <v>jkaylor@informeddna.com</v>
      </c>
      <c r="N83" s="55" t="str">
        <f>IFERROR(__xludf.DUMMYFUNCTION("QUERY('Volunteer Survey'!F89)"),"Genetic counselor")</f>
        <v>Genetic counselor</v>
      </c>
      <c r="O83" s="48" t="str">
        <f>IFERROR(__xludf.DUMMYFUNCTION("QUERY('Volunteer Survey'!H89)"),"Baseline")</f>
        <v>Baseline</v>
      </c>
      <c r="P83" s="55" t="str">
        <f>IFERROR(__xludf.DUMMYFUNCTION("QUERY('Volunteer Survey'!I89)"),"Clinical Actionability")</f>
        <v>Clinical Actionability</v>
      </c>
      <c r="Q83" s="60" t="str">
        <f>IFERROR(__xludf.DUMMYFUNCTION("QUERY('Volunteer Survey'!J89)"),"Gene-Disease Validity")</f>
        <v>Gene-Disease Validity</v>
      </c>
      <c r="R83" s="55" t="str">
        <f>IFERROR(__xludf.DUMMYFUNCTION("QUERY('Volunteer Survey'!K89)"),"Variant Pathogenicity")</f>
        <v>Variant Pathogenicity</v>
      </c>
      <c r="S83" s="55" t="str">
        <f>IFERROR(__xludf.DUMMYFUNCTION("QUERY('Volunteer Survey'!L89)"),"")</f>
        <v/>
      </c>
      <c r="T83" s="55" t="str">
        <f>IFERROR(__xludf.DUMMYFUNCTION("QUERY('Volunteer Survey'!M89)"),"")</f>
        <v/>
      </c>
      <c r="U83" s="64" t="str">
        <f>IFERROR(__xludf.DUMMYFUNCTION("QUERY('Volunteer Survey'!N89)"),"Yes")</f>
        <v>Yes</v>
      </c>
      <c r="V83" s="55" t="str">
        <f>IFERROR(__xludf.DUMMYFUNCTION("QUERY('Volunteer Survey'!O89)"),"Possibly")</f>
        <v>Possibly</v>
      </c>
      <c r="W83" s="66" t="str">
        <f>IFERROR(__xludf.DUMMYFUNCTION("QUERY('Volunteer Survey'!P89)"),"NA")</f>
        <v>NA</v>
      </c>
      <c r="X83" s="64" t="str">
        <f>IFERROR(__xludf.DUMMYFUNCTION("QUERY('Volunteer Survey'!R89)"),"Maybe -- please contact me with other options, and I will decide based on what is available")</f>
        <v>Maybe -- please contact me with other options, and I will decide based on what is available</v>
      </c>
      <c r="Y83" s="53"/>
      <c r="Z83" s="68"/>
      <c r="AA83" s="55"/>
      <c r="AB83" s="55"/>
      <c r="AC83" s="55"/>
      <c r="AD83" s="55"/>
      <c r="AE83" s="55"/>
      <c r="AF83" s="55"/>
      <c r="AG83" s="55"/>
      <c r="AH83" s="55"/>
      <c r="AI83" s="55"/>
      <c r="AJ83" s="55"/>
      <c r="AK83" s="55"/>
      <c r="AL83" s="55"/>
      <c r="AM83" s="55"/>
      <c r="AN83" s="55"/>
      <c r="AO83" s="55"/>
    </row>
    <row r="84">
      <c r="A84" s="50">
        <f>IFERROR(__xludf.DUMMYFUNCTION("QUERY('Volunteer Survey'!A90)"),43332.53284722222)</f>
        <v>43332.53285</v>
      </c>
      <c r="B84" s="48" t="s">
        <v>108</v>
      </c>
      <c r="C84" s="53"/>
      <c r="D84" s="55"/>
      <c r="E84" s="48" t="s">
        <v>130</v>
      </c>
      <c r="F84" s="48" t="s">
        <v>130</v>
      </c>
      <c r="G84" s="48" t="s">
        <v>202</v>
      </c>
      <c r="H84" s="53"/>
      <c r="I84" s="51" t="s">
        <v>139</v>
      </c>
      <c r="J84" s="55"/>
      <c r="K84" s="55"/>
      <c r="L84" s="55" t="str">
        <f>IFERROR(__xludf.DUMMYFUNCTION("QUERY('Volunteer Survey'!B90)"),"David Ng")</f>
        <v>David Ng</v>
      </c>
      <c r="M84" s="55" t="str">
        <f>IFERROR(__xludf.DUMMYFUNCTION("QUERY('Volunteer Survey'!E90)"),"davidng@mail.nih.gov")</f>
        <v>davidng@mail.nih.gov</v>
      </c>
      <c r="N84" s="55" t="str">
        <f>IFERROR(__xludf.DUMMYFUNCTION("QUERY('Volunteer Survey'!F90)"),"Clinical medical geneticist/Variant Analyst/Scientist")</f>
        <v>Clinical medical geneticist/Variant Analyst/Scientist</v>
      </c>
      <c r="O84" s="48" t="str">
        <f>IFERROR(__xludf.DUMMYFUNCTION("QUERY('Volunteer Survey'!H90)"),"Baseline")</f>
        <v>Baseline</v>
      </c>
      <c r="P84" s="55" t="str">
        <f>IFERROR(__xludf.DUMMYFUNCTION("QUERY('Volunteer Survey'!I90)"),"Clinical Actionability")</f>
        <v>Clinical Actionability</v>
      </c>
      <c r="Q84" s="60" t="str">
        <f>IFERROR(__xludf.DUMMYFUNCTION("QUERY('Volunteer Survey'!J90)"),"Gene-Disease Validity")</f>
        <v>Gene-Disease Validity</v>
      </c>
      <c r="R84" s="55" t="str">
        <f>IFERROR(__xludf.DUMMYFUNCTION("QUERY('Volunteer Survey'!K90)"),"Variant Pathogenicity")</f>
        <v>Variant Pathogenicity</v>
      </c>
      <c r="S84" s="55" t="str">
        <f>IFERROR(__xludf.DUMMYFUNCTION("QUERY('Volunteer Survey'!L90)"),"")</f>
        <v/>
      </c>
      <c r="T84" s="55" t="str">
        <f>IFERROR(__xludf.DUMMYFUNCTION("QUERY('Volunteer Survey'!M90)"),"")</f>
        <v/>
      </c>
      <c r="U84" s="64" t="str">
        <f>IFERROR(__xludf.DUMMYFUNCTION("QUERY('Volunteer Survey'!N90)"),"Yes")</f>
        <v>Yes</v>
      </c>
      <c r="V84" s="55" t="str">
        <f>IFERROR(__xludf.DUMMYFUNCTION("QUERY('Volunteer Survey'!O90)"),"Possibly")</f>
        <v>Possibly</v>
      </c>
      <c r="W84" s="66" t="str">
        <f>IFERROR(__xludf.DUMMYFUNCTION("QUERY('Volunteer Survey'!P90)"),"Cardiology.")</f>
        <v>Cardiology.</v>
      </c>
      <c r="X84" s="64" t="str">
        <f>IFERROR(__xludf.DUMMYFUNCTION("QUERY('Volunteer Survey'!R90)"),"Maybe -- please contact me with other options, and I will decide based on what is available")</f>
        <v>Maybe -- please contact me with other options, and I will decide based on what is available</v>
      </c>
      <c r="Y84" s="53"/>
      <c r="Z84" s="68"/>
      <c r="AA84" s="55"/>
      <c r="AB84" s="55"/>
      <c r="AC84" s="55"/>
      <c r="AD84" s="55"/>
      <c r="AE84" s="55"/>
      <c r="AF84" s="55"/>
      <c r="AG84" s="55"/>
      <c r="AH84" s="55"/>
      <c r="AI84" s="55"/>
      <c r="AJ84" s="55"/>
      <c r="AK84" s="55"/>
      <c r="AL84" s="55"/>
      <c r="AM84" s="55"/>
      <c r="AN84" s="55"/>
      <c r="AO84" s="55"/>
    </row>
    <row r="85">
      <c r="A85" s="50">
        <f>IFERROR(__xludf.DUMMYFUNCTION("QUERY('Volunteer Survey'!A91)"),43483.53342149306)</f>
        <v>43483.53342</v>
      </c>
      <c r="B85" s="48" t="s">
        <v>108</v>
      </c>
      <c r="C85" s="53"/>
      <c r="D85" s="65">
        <v>43580.0</v>
      </c>
      <c r="E85" s="48" t="s">
        <v>117</v>
      </c>
      <c r="F85" s="48" t="s">
        <v>117</v>
      </c>
      <c r="G85" s="48" t="s">
        <v>163</v>
      </c>
      <c r="H85" s="53"/>
      <c r="I85" s="51" t="s">
        <v>139</v>
      </c>
      <c r="J85" s="56">
        <v>43712.0</v>
      </c>
      <c r="K85" s="56"/>
      <c r="L85" s="55" t="str">
        <f>IFERROR(__xludf.DUMMYFUNCTION("QUERY('Volunteer Survey'!B91)"),"Nan Jiang")</f>
        <v>Nan Jiang</v>
      </c>
      <c r="M85" s="55" t="str">
        <f>IFERROR(__xludf.DUMMYFUNCTION("QUERY('Volunteer Survey'!E91)"),"naj018@ucsd.edu")</f>
        <v>naj018@ucsd.edu</v>
      </c>
      <c r="N85" s="55" t="str">
        <f>IFERROR(__xludf.DUMMYFUNCTION("QUERY('Volunteer Survey'!F91)"),"Post Doc/Resident/Fellow (MD and/or PhD)")</f>
        <v>Post Doc/Resident/Fellow (MD and/or PhD)</v>
      </c>
      <c r="O85" s="48" t="str">
        <f>IFERROR(__xludf.DUMMYFUNCTION("QUERY('Volunteer Survey'!H91)"),"Comprehensive")</f>
        <v>Comprehensive</v>
      </c>
      <c r="P85" s="55" t="str">
        <f>IFERROR(__xludf.DUMMYFUNCTION("QUERY('Volunteer Survey'!I91)"),"Dosage Sensitivity")</f>
        <v>Dosage Sensitivity</v>
      </c>
      <c r="Q85" s="60" t="str">
        <f>IFERROR(__xludf.DUMMYFUNCTION("QUERY('Volunteer Survey'!J91)"),"")</f>
        <v/>
      </c>
      <c r="R85" s="55" t="str">
        <f>IFERROR(__xludf.DUMMYFUNCTION("QUERY('Volunteer Survey'!K91)"),"Gene-Disease Validity")</f>
        <v>Gene-Disease Validity</v>
      </c>
      <c r="S85" s="55" t="str">
        <f>IFERROR(__xludf.DUMMYFUNCTION("QUERY('Volunteer Survey'!L91)"),"Somatic Cancer")</f>
        <v>Somatic Cancer</v>
      </c>
      <c r="T85" s="55" t="str">
        <f>IFERROR(__xludf.DUMMYFUNCTION("QUERY('Volunteer Survey'!M91)"),"Variant Pathogenicity")</f>
        <v>Variant Pathogenicity</v>
      </c>
      <c r="U85" s="64" t="str">
        <f>IFERROR(__xludf.DUMMYFUNCTION("QUERY('Volunteer Survey'!N91)"),"Yes. I work in a clinical genetics research lab identifying disease genes in pediatric neurological disorders using whole exome and whole genome sequencing. I do variants pathogenicity curation in daily bases. ")</f>
        <v>Yes. I work in a clinical genetics research lab identifying disease genes in pediatric neurological disorders using whole exome and whole genome sequencing. I do variants pathogenicity curation in daily bases. </v>
      </c>
      <c r="V85" s="55" t="str">
        <f>IFERROR(__xludf.DUMMYFUNCTION("QUERY('Volunteer Survey'!O91)"),"Possibly")</f>
        <v>Possibly</v>
      </c>
      <c r="W85" s="66" t="str">
        <f>IFERROR(__xludf.DUMMYFUNCTION("QUERY('Volunteer Survey'!P91)"),"I am particularly interested in the variant and gene curation expert panels under dosage sensitivity working group. ")</f>
        <v>I am particularly interested in the variant and gene curation expert panels under dosage sensitivity working group. </v>
      </c>
      <c r="X85" s="64" t="str">
        <f>IFERROR(__xludf.DUMMYFUNCTION("QUERY('Volunteer Survey'!R91)"),"Yes- I am willing to volunteer with any available ClinGen group")</f>
        <v>Yes- I am willing to volunteer with any available ClinGen group</v>
      </c>
      <c r="Y85" s="53"/>
      <c r="Z85" s="68"/>
      <c r="AA85" s="55"/>
      <c r="AB85" s="55"/>
      <c r="AC85" s="55"/>
      <c r="AD85" s="55"/>
      <c r="AE85" s="55"/>
      <c r="AF85" s="55"/>
      <c r="AG85" s="55"/>
      <c r="AH85" s="55"/>
      <c r="AI85" s="55"/>
      <c r="AJ85" s="55"/>
      <c r="AK85" s="55"/>
      <c r="AL85" s="55"/>
      <c r="AM85" s="55"/>
      <c r="AN85" s="55"/>
      <c r="AO85" s="55"/>
    </row>
    <row r="86">
      <c r="A86" s="50">
        <f>IFERROR(__xludf.DUMMYFUNCTION("QUERY('Volunteer Survey'!A92)"),43366.53592592593)</f>
        <v>43366.53593</v>
      </c>
      <c r="B86" s="48" t="s">
        <v>108</v>
      </c>
      <c r="C86" s="53"/>
      <c r="D86" s="55"/>
      <c r="E86" s="48" t="s">
        <v>130</v>
      </c>
      <c r="F86" s="48" t="s">
        <v>130</v>
      </c>
      <c r="G86" s="48" t="s">
        <v>202</v>
      </c>
      <c r="H86" s="53"/>
      <c r="I86" s="53"/>
      <c r="J86" s="55"/>
      <c r="K86" s="55"/>
      <c r="L86" s="55" t="str">
        <f>IFERROR(__xludf.DUMMYFUNCTION("QUERY('Volunteer Survey'!B92)"),"Michelle Green")</f>
        <v>Michelle Green</v>
      </c>
      <c r="M86" s="55" t="str">
        <f>IFERROR(__xludf.DUMMYFUNCTION("QUERY('Volunteer Survey'!E92)"),"Michelle.green@n-of-one.com")</f>
        <v>Michelle.green@n-of-one.com</v>
      </c>
      <c r="N86" s="55" t="str">
        <f>IFERROR(__xludf.DUMMYFUNCTION("QUERY('Volunteer Survey'!F92)"),"Biocurator, Variant Analyst/Scientist")</f>
        <v>Biocurator, Variant Analyst/Scientist</v>
      </c>
      <c r="O86" s="48" t="str">
        <f>IFERROR(__xludf.DUMMYFUNCTION("QUERY('Volunteer Survey'!H92)"),"Baseline")</f>
        <v>Baseline</v>
      </c>
      <c r="P86" s="55" t="str">
        <f>IFERROR(__xludf.DUMMYFUNCTION("QUERY('Volunteer Survey'!I92)"),"Variant Pathogenicity")</f>
        <v>Variant Pathogenicity</v>
      </c>
      <c r="Q86" s="60" t="str">
        <f>IFERROR(__xludf.DUMMYFUNCTION("QUERY('Volunteer Survey'!J92)"),"")</f>
        <v/>
      </c>
      <c r="R86" s="55" t="str">
        <f>IFERROR(__xludf.DUMMYFUNCTION("QUERY('Volunteer Survey'!K92)"),"")</f>
        <v/>
      </c>
      <c r="S86" s="55" t="str">
        <f>IFERROR(__xludf.DUMMYFUNCTION("QUERY('Volunteer Survey'!L92)"),"")</f>
        <v/>
      </c>
      <c r="T86" s="55" t="str">
        <f>IFERROR(__xludf.DUMMYFUNCTION("QUERY('Volunteer Survey'!M92)"),"")</f>
        <v/>
      </c>
      <c r="U86" s="64" t="str">
        <f>IFERROR(__xludf.DUMMYFUNCTION("QUERY('Volunteer Survey'!N92)"),"Yes")</f>
        <v>Yes</v>
      </c>
      <c r="V86" s="55" t="str">
        <f>IFERROR(__xludf.DUMMYFUNCTION("QUERY('Volunteer Survey'!O92)"),"Possibly")</f>
        <v>Possibly</v>
      </c>
      <c r="W86" s="66" t="str">
        <f>IFERROR(__xludf.DUMMYFUNCTION("QUERY('Volunteer Survey'!P92)"),"NA")</f>
        <v>NA</v>
      </c>
      <c r="X86" s="64" t="str">
        <f>IFERROR(__xludf.DUMMYFUNCTION("QUERY('Volunteer Survey'!R92)"),"Maybe -- please contact me with other options, and I will decide based on what is available")</f>
        <v>Maybe -- please contact me with other options, and I will decide based on what is available</v>
      </c>
      <c r="Y86" s="53"/>
      <c r="Z86" s="68"/>
      <c r="AA86" s="55"/>
      <c r="AB86" s="55"/>
      <c r="AC86" s="55"/>
      <c r="AD86" s="55"/>
      <c r="AE86" s="55"/>
      <c r="AF86" s="55"/>
      <c r="AG86" s="55"/>
      <c r="AH86" s="55"/>
      <c r="AI86" s="55"/>
      <c r="AJ86" s="55"/>
      <c r="AK86" s="55"/>
      <c r="AL86" s="55"/>
      <c r="AM86" s="55"/>
      <c r="AN86" s="55"/>
      <c r="AO86" s="55"/>
    </row>
    <row r="87">
      <c r="A87" s="50">
        <f>IFERROR(__xludf.DUMMYFUNCTION("QUERY('Volunteer Survey'!A93)"),43371.53938657408)</f>
        <v>43371.53939</v>
      </c>
      <c r="B87" s="48" t="s">
        <v>108</v>
      </c>
      <c r="C87" s="53"/>
      <c r="D87" s="55"/>
      <c r="E87" s="48" t="s">
        <v>130</v>
      </c>
      <c r="F87" s="48" t="s">
        <v>130</v>
      </c>
      <c r="G87" s="48" t="s">
        <v>202</v>
      </c>
      <c r="H87" s="53"/>
      <c r="I87" s="51" t="s">
        <v>139</v>
      </c>
      <c r="J87" s="55"/>
      <c r="K87" s="55"/>
      <c r="L87" s="55" t="str">
        <f>IFERROR(__xludf.DUMMYFUNCTION("QUERY('Volunteer Survey'!B93)"),"Mahsa")</f>
        <v>Mahsa</v>
      </c>
      <c r="M87" s="55" t="str">
        <f>IFERROR(__xludf.DUMMYFUNCTION("QUERY('Volunteer Survey'!E93)"),"mahsash@nmsu.edu")</f>
        <v>mahsash@nmsu.edu</v>
      </c>
      <c r="N87" s="55" t="str">
        <f>IFERROR(__xludf.DUMMYFUNCTION("QUERY('Volunteer Survey'!F93)"),"Graduate Student")</f>
        <v>Graduate Student</v>
      </c>
      <c r="O87" s="48" t="str">
        <f>IFERROR(__xludf.DUMMYFUNCTION("QUERY('Volunteer Survey'!H93)"),"Baseline")</f>
        <v>Baseline</v>
      </c>
      <c r="P87" s="55" t="str">
        <f>IFERROR(__xludf.DUMMYFUNCTION("QUERY('Volunteer Survey'!I93)"),"")</f>
        <v/>
      </c>
      <c r="Q87" s="60" t="str">
        <f>IFERROR(__xludf.DUMMYFUNCTION("QUERY('Volunteer Survey'!J93)"),"")</f>
        <v/>
      </c>
      <c r="R87" s="55" t="str">
        <f>IFERROR(__xludf.DUMMYFUNCTION("QUERY('Volunteer Survey'!K93)"),"")</f>
        <v/>
      </c>
      <c r="S87" s="55" t="str">
        <f>IFERROR(__xludf.DUMMYFUNCTION("QUERY('Volunteer Survey'!L93)"),"")</f>
        <v/>
      </c>
      <c r="T87" s="55" t="str">
        <f>IFERROR(__xludf.DUMMYFUNCTION("QUERY('Volunteer Survey'!M93)"),"")</f>
        <v/>
      </c>
      <c r="U87" s="64" t="str">
        <f>IFERROR(__xludf.DUMMYFUNCTION("QUERY('Volunteer Survey'!N93)"),"No")</f>
        <v>No</v>
      </c>
      <c r="V87" s="55" t="str">
        <f>IFERROR(__xludf.DUMMYFUNCTION("QUERY('Volunteer Survey'!O93)"),"Possibly")</f>
        <v>Possibly</v>
      </c>
      <c r="W87" s="66" t="str">
        <f>IFERROR(__xludf.DUMMYFUNCTION("QUERY('Volunteer Survey'!P93)"),"NA")</f>
        <v>NA</v>
      </c>
      <c r="X87" s="64" t="str">
        <f>IFERROR(__xludf.DUMMYFUNCTION("QUERY('Volunteer Survey'!R93)"),"Maybe -- please contact me with other options, and I will decide based on what is available")</f>
        <v>Maybe -- please contact me with other options, and I will decide based on what is available</v>
      </c>
      <c r="Y87" s="53"/>
      <c r="Z87" s="68"/>
      <c r="AA87" s="55"/>
      <c r="AB87" s="55"/>
      <c r="AC87" s="55"/>
      <c r="AD87" s="55"/>
      <c r="AE87" s="55"/>
      <c r="AF87" s="55"/>
      <c r="AG87" s="55"/>
      <c r="AH87" s="55"/>
      <c r="AI87" s="55"/>
      <c r="AJ87" s="55"/>
      <c r="AK87" s="55"/>
      <c r="AL87" s="55"/>
      <c r="AM87" s="55"/>
      <c r="AN87" s="55"/>
      <c r="AO87" s="55"/>
    </row>
    <row r="88">
      <c r="A88" s="50">
        <f>IFERROR(__xludf.DUMMYFUNCTION("QUERY('Volunteer Survey'!A94)"),43372.549050925925)</f>
        <v>43372.54905</v>
      </c>
      <c r="B88" s="48" t="s">
        <v>108</v>
      </c>
      <c r="C88" s="53"/>
      <c r="D88" s="55"/>
      <c r="E88" s="48" t="s">
        <v>130</v>
      </c>
      <c r="F88" s="48" t="s">
        <v>130</v>
      </c>
      <c r="G88" s="48" t="s">
        <v>202</v>
      </c>
      <c r="H88" s="53"/>
      <c r="I88" s="53"/>
      <c r="J88" s="55"/>
      <c r="K88" s="55"/>
      <c r="L88" s="55" t="str">
        <f>IFERROR(__xludf.DUMMYFUNCTION("QUERY('Volunteer Survey'!B94)"),"Michelle Green")</f>
        <v>Michelle Green</v>
      </c>
      <c r="M88" s="55" t="str">
        <f>IFERROR(__xludf.DUMMYFUNCTION("QUERY('Volunteer Survey'!E94)"),"mfgreen14@gmail.com")</f>
        <v>mfgreen14@gmail.com</v>
      </c>
      <c r="N88" s="55" t="str">
        <f>IFERROR(__xludf.DUMMYFUNCTION("QUERY('Volunteer Survey'!F94)"),"Biocurator, Variant Analyst/Scientist")</f>
        <v>Biocurator, Variant Analyst/Scientist</v>
      </c>
      <c r="O88" s="48" t="str">
        <f>IFERROR(__xludf.DUMMYFUNCTION("QUERY('Volunteer Survey'!H94)"),"Baseline")</f>
        <v>Baseline</v>
      </c>
      <c r="P88" s="55" t="str">
        <f>IFERROR(__xludf.DUMMYFUNCTION("QUERY('Volunteer Survey'!I94)"),"")</f>
        <v/>
      </c>
      <c r="Q88" s="60" t="str">
        <f>IFERROR(__xludf.DUMMYFUNCTION("QUERY('Volunteer Survey'!J94)"),"")</f>
        <v/>
      </c>
      <c r="R88" s="55" t="str">
        <f>IFERROR(__xludf.DUMMYFUNCTION("QUERY('Volunteer Survey'!K94)"),"")</f>
        <v/>
      </c>
      <c r="S88" s="55" t="str">
        <f>IFERROR(__xludf.DUMMYFUNCTION("QUERY('Volunteer Survey'!L94)"),"")</f>
        <v/>
      </c>
      <c r="T88" s="55" t="str">
        <f>IFERROR(__xludf.DUMMYFUNCTION("QUERY('Volunteer Survey'!M94)"),"")</f>
        <v/>
      </c>
      <c r="U88" s="64" t="str">
        <f>IFERROR(__xludf.DUMMYFUNCTION("QUERY('Volunteer Survey'!N94)"),"Yes")</f>
        <v>Yes</v>
      </c>
      <c r="V88" s="55" t="str">
        <f>IFERROR(__xludf.DUMMYFUNCTION("QUERY('Volunteer Survey'!O94)"),"Possibly")</f>
        <v>Possibly</v>
      </c>
      <c r="W88" s="66" t="str">
        <f>IFERROR(__xludf.DUMMYFUNCTION("QUERY('Volunteer Survey'!P94)"),"NA")</f>
        <v>NA</v>
      </c>
      <c r="X88" s="64" t="str">
        <f>IFERROR(__xludf.DUMMYFUNCTION("QUERY('Volunteer Survey'!R94)"),"Maybe -- please contact me with other options, and I will decide based on what is available")</f>
        <v>Maybe -- please contact me with other options, and I will decide based on what is available</v>
      </c>
      <c r="Y88" s="53"/>
      <c r="Z88" s="68"/>
      <c r="AA88" s="55"/>
      <c r="AB88" s="55"/>
      <c r="AC88" s="55"/>
      <c r="AD88" s="55"/>
      <c r="AE88" s="55"/>
      <c r="AF88" s="55"/>
      <c r="AG88" s="55"/>
      <c r="AH88" s="55"/>
      <c r="AI88" s="55"/>
      <c r="AJ88" s="55"/>
      <c r="AK88" s="55"/>
      <c r="AL88" s="55"/>
      <c r="AM88" s="55"/>
      <c r="AN88" s="55"/>
      <c r="AO88" s="55"/>
    </row>
    <row r="89">
      <c r="A89" s="50">
        <f>IFERROR(__xludf.DUMMYFUNCTION("QUERY('Volunteer Survey'!A95)"),43389.55033564815)</f>
        <v>43389.55034</v>
      </c>
      <c r="B89" s="48" t="s">
        <v>108</v>
      </c>
      <c r="C89" s="53"/>
      <c r="D89" s="55"/>
      <c r="E89" s="48" t="s">
        <v>130</v>
      </c>
      <c r="F89" s="48" t="s">
        <v>130</v>
      </c>
      <c r="G89" s="48" t="s">
        <v>202</v>
      </c>
      <c r="H89" s="53"/>
      <c r="I89" s="51" t="s">
        <v>139</v>
      </c>
      <c r="J89" s="55"/>
      <c r="K89" s="55"/>
      <c r="L89" s="55" t="str">
        <f>IFERROR(__xludf.DUMMYFUNCTION("QUERY('Volunteer Survey'!B95)"),"Xinkun ""Sequen"" Wang")</f>
        <v>Xinkun "Sequen" Wang</v>
      </c>
      <c r="M89" s="55" t="str">
        <f>IFERROR(__xludf.DUMMYFUNCTION("QUERY('Volunteer Survey'!E95)"),"xinkun.wang@northwestern.edu")</f>
        <v>xinkun.wang@northwestern.edu</v>
      </c>
      <c r="N89" s="55" t="str">
        <f>IFERROR(__xludf.DUMMYFUNCTION("QUERY('Volunteer Survey'!F95)"),"Scientific Researcher")</f>
        <v>Scientific Researcher</v>
      </c>
      <c r="O89" s="48" t="str">
        <f>IFERROR(__xludf.DUMMYFUNCTION("QUERY('Volunteer Survey'!H95)"),"Baseline")</f>
        <v>Baseline</v>
      </c>
      <c r="P89" s="55" t="str">
        <f>IFERROR(__xludf.DUMMYFUNCTION("QUERY('Volunteer Survey'!I95)"),"")</f>
        <v/>
      </c>
      <c r="Q89" s="60" t="str">
        <f>IFERROR(__xludf.DUMMYFUNCTION("QUERY('Volunteer Survey'!J95)"),"")</f>
        <v/>
      </c>
      <c r="R89" s="55" t="str">
        <f>IFERROR(__xludf.DUMMYFUNCTION("QUERY('Volunteer Survey'!K95)"),"")</f>
        <v/>
      </c>
      <c r="S89" s="55" t="str">
        <f>IFERROR(__xludf.DUMMYFUNCTION("QUERY('Volunteer Survey'!L95)"),"")</f>
        <v/>
      </c>
      <c r="T89" s="55" t="str">
        <f>IFERROR(__xludf.DUMMYFUNCTION("QUERY('Volunteer Survey'!M95)"),"")</f>
        <v/>
      </c>
      <c r="U89" s="64" t="str">
        <f>IFERROR(__xludf.DUMMYFUNCTION("QUERY('Volunteer Survey'!N95)"),"No")</f>
        <v>No</v>
      </c>
      <c r="V89" s="55" t="str">
        <f>IFERROR(__xludf.DUMMYFUNCTION("QUERY('Volunteer Survey'!O95)"),"Possibly")</f>
        <v>Possibly</v>
      </c>
      <c r="W89" s="66" t="str">
        <f>IFERROR(__xludf.DUMMYFUNCTION("QUERY('Volunteer Survey'!P95)"),"Epilepsy Gene Curation Expert Panel Autism and Intellectual Disability Gene Curation Expert Panel")</f>
        <v>Epilepsy Gene Curation Expert Panel Autism and Intellectual Disability Gene Curation Expert Panel</v>
      </c>
      <c r="X89" s="64" t="str">
        <f>IFERROR(__xludf.DUMMYFUNCTION("QUERY('Volunteer Survey'!R95)"),"Maybe -- please contact me with other options, and I will decide based on what is available")</f>
        <v>Maybe -- please contact me with other options, and I will decide based on what is available</v>
      </c>
      <c r="Y89" s="53"/>
      <c r="Z89" s="68"/>
      <c r="AA89" s="55"/>
      <c r="AB89" s="55"/>
      <c r="AC89" s="55"/>
      <c r="AD89" s="55"/>
      <c r="AE89" s="55"/>
      <c r="AF89" s="55"/>
      <c r="AG89" s="55"/>
      <c r="AH89" s="55"/>
      <c r="AI89" s="55"/>
      <c r="AJ89" s="55"/>
      <c r="AK89" s="55"/>
      <c r="AL89" s="55"/>
      <c r="AM89" s="55"/>
      <c r="AN89" s="55"/>
      <c r="AO89" s="55"/>
    </row>
    <row r="90">
      <c r="A90" s="50">
        <f>IFERROR(__xludf.DUMMYFUNCTION("QUERY('Volunteer Survey'!A96)"),43402.55109953704)</f>
        <v>43402.5511</v>
      </c>
      <c r="B90" s="48" t="s">
        <v>108</v>
      </c>
      <c r="C90" s="53"/>
      <c r="D90" s="55"/>
      <c r="E90" s="48" t="s">
        <v>130</v>
      </c>
      <c r="F90" s="48" t="s">
        <v>130</v>
      </c>
      <c r="G90" s="48" t="s">
        <v>202</v>
      </c>
      <c r="H90" s="53"/>
      <c r="I90" s="51" t="s">
        <v>139</v>
      </c>
      <c r="J90" s="55"/>
      <c r="K90" s="55"/>
      <c r="L90" s="55" t="str">
        <f>IFERROR(__xludf.DUMMYFUNCTION("QUERY('Volunteer Survey'!B96)"),"Siddharth Banka")</f>
        <v>Siddharth Banka</v>
      </c>
      <c r="M90" s="55" t="str">
        <f>IFERROR(__xludf.DUMMYFUNCTION("QUERY('Volunteer Survey'!E96)"),"Siddharth.Banka@manchester.ac.uk")</f>
        <v>Siddharth.Banka@manchester.ac.uk</v>
      </c>
      <c r="N90" s="55" t="str">
        <f>IFERROR(__xludf.DUMMYFUNCTION("QUERY('Volunteer Survey'!F96)"),"Clinical Medical Geneticist")</f>
        <v>Clinical Medical Geneticist</v>
      </c>
      <c r="O90" s="48" t="str">
        <f>IFERROR(__xludf.DUMMYFUNCTION("QUERY('Volunteer Survey'!H96)"),"Baseline")</f>
        <v>Baseline</v>
      </c>
      <c r="P90" s="55" t="str">
        <f>IFERROR(__xludf.DUMMYFUNCTION("QUERY('Volunteer Survey'!I96)"),"")</f>
        <v/>
      </c>
      <c r="Q90" s="60" t="str">
        <f>IFERROR(__xludf.DUMMYFUNCTION("QUERY('Volunteer Survey'!J96)"),"")</f>
        <v/>
      </c>
      <c r="R90" s="55" t="str">
        <f>IFERROR(__xludf.DUMMYFUNCTION("QUERY('Volunteer Survey'!K96)"),"")</f>
        <v/>
      </c>
      <c r="S90" s="55" t="str">
        <f>IFERROR(__xludf.DUMMYFUNCTION("QUERY('Volunteer Survey'!L96)"),"")</f>
        <v/>
      </c>
      <c r="T90" s="55" t="str">
        <f>IFERROR(__xludf.DUMMYFUNCTION("QUERY('Volunteer Survey'!M96)"),"")</f>
        <v/>
      </c>
      <c r="U90" s="64" t="str">
        <f>IFERROR(__xludf.DUMMYFUNCTION("QUERY('Volunteer Survey'!N96)"),"Yes")</f>
        <v>Yes</v>
      </c>
      <c r="V90" s="55" t="str">
        <f>IFERROR(__xludf.DUMMYFUNCTION("QUERY('Volunteer Survey'!O96)"),"Possibly")</f>
        <v>Possibly</v>
      </c>
      <c r="W90" s="66" t="str">
        <f>IFERROR(__xludf.DUMMYFUNCTION("QUERY('Volunteer Survey'!P96)"),"Neurodevelopmental Disorders, experience with curating CNVs (potentially Dosage)")</f>
        <v>Neurodevelopmental Disorders, experience with curating CNVs (potentially Dosage)</v>
      </c>
      <c r="X90" s="64" t="str">
        <f>IFERROR(__xludf.DUMMYFUNCTION("QUERY('Volunteer Survey'!R96)"),"Maybe -- please contact me with other options, and I will decide based on what is available")</f>
        <v>Maybe -- please contact me with other options, and I will decide based on what is available</v>
      </c>
      <c r="Y90" s="53"/>
      <c r="Z90" s="68"/>
      <c r="AA90" s="55"/>
      <c r="AB90" s="55"/>
      <c r="AC90" s="55"/>
      <c r="AD90" s="55"/>
      <c r="AE90" s="55"/>
      <c r="AF90" s="55"/>
      <c r="AG90" s="55"/>
      <c r="AH90" s="55"/>
      <c r="AI90" s="55"/>
      <c r="AJ90" s="55"/>
      <c r="AK90" s="55"/>
      <c r="AL90" s="55"/>
      <c r="AM90" s="55"/>
      <c r="AN90" s="55"/>
      <c r="AO90" s="55"/>
    </row>
    <row r="91">
      <c r="A91" s="50">
        <f>IFERROR(__xludf.DUMMYFUNCTION("QUERY('Volunteer Survey'!A97)"),43426.55193287037)</f>
        <v>43426.55193</v>
      </c>
      <c r="B91" s="48" t="s">
        <v>168</v>
      </c>
      <c r="C91" s="53"/>
      <c r="D91" s="55"/>
      <c r="E91" s="48" t="s">
        <v>130</v>
      </c>
      <c r="F91" s="48" t="s">
        <v>130</v>
      </c>
      <c r="G91" s="48" t="s">
        <v>136</v>
      </c>
      <c r="H91" s="53"/>
      <c r="I91" s="51" t="s">
        <v>139</v>
      </c>
      <c r="J91" s="55"/>
      <c r="K91" s="55"/>
      <c r="L91" s="55" t="str">
        <f>IFERROR(__xludf.DUMMYFUNCTION("QUERY('Volunteer Survey'!B97)"),"Anna Tanska")</f>
        <v>Anna Tanska</v>
      </c>
      <c r="M91" s="55" t="str">
        <f>IFERROR(__xludf.DUMMYFUNCTION("QUERY('Volunteer Survey'!E97)"),"""anna.tanska@petermac.org """)</f>
        <v>"anna.tanska@petermac.org "</v>
      </c>
      <c r="N91" s="55" t="str">
        <f>IFERROR(__xludf.DUMMYFUNCTION("QUERY('Volunteer Survey'!F97)"),"Variant Analyst/Scientist")</f>
        <v>Variant Analyst/Scientist</v>
      </c>
      <c r="O91" s="48" t="str">
        <f>IFERROR(__xludf.DUMMYFUNCTION("QUERY('Volunteer Survey'!H97)"),"Comprehensive")</f>
        <v>Comprehensive</v>
      </c>
      <c r="P91" s="55" t="str">
        <f>IFERROR(__xludf.DUMMYFUNCTION("QUERY('Volunteer Survey'!I97)"),"")</f>
        <v/>
      </c>
      <c r="Q91" s="60" t="str">
        <f>IFERROR(__xludf.DUMMYFUNCTION("QUERY('Volunteer Survey'!J97)"),"")</f>
        <v/>
      </c>
      <c r="R91" s="55" t="str">
        <f>IFERROR(__xludf.DUMMYFUNCTION("QUERY('Volunteer Survey'!K97)"),"")</f>
        <v/>
      </c>
      <c r="S91" s="55" t="str">
        <f>IFERROR(__xludf.DUMMYFUNCTION("QUERY('Volunteer Survey'!L97)"),"")</f>
        <v/>
      </c>
      <c r="T91" s="55" t="str">
        <f>IFERROR(__xludf.DUMMYFUNCTION("QUERY('Volunteer Survey'!M97)"),"")</f>
        <v/>
      </c>
      <c r="U91" s="64" t="str">
        <f>IFERROR(__xludf.DUMMYFUNCTION("QUERY('Volunteer Survey'!N97)"),"Yes")</f>
        <v>Yes</v>
      </c>
      <c r="V91" s="55" t="str">
        <f>IFERROR(__xludf.DUMMYFUNCTION("QUERY('Volunteer Survey'!O97)"),"Possibly")</f>
        <v>Possibly</v>
      </c>
      <c r="W91" s="66" t="str">
        <f>IFERROR(__xludf.DUMMYFUNCTION("QUERY('Volunteer Survey'!P97)"),"Somatic cancer WG")</f>
        <v>Somatic cancer WG</v>
      </c>
      <c r="X91" s="64" t="str">
        <f>IFERROR(__xludf.DUMMYFUNCTION("QUERY('Volunteer Survey'!R97)"),"Maybe -- please contact me with other options, and I will decide based on what is available")</f>
        <v>Maybe -- please contact me with other options, and I will decide based on what is available</v>
      </c>
      <c r="Y91" s="53"/>
      <c r="Z91" s="68"/>
      <c r="AA91" s="55"/>
      <c r="AB91" s="55"/>
      <c r="AC91" s="55"/>
      <c r="AD91" s="55"/>
      <c r="AE91" s="55"/>
      <c r="AF91" s="55"/>
      <c r="AG91" s="55"/>
      <c r="AH91" s="55"/>
      <c r="AI91" s="55"/>
      <c r="AJ91" s="55"/>
      <c r="AK91" s="55"/>
      <c r="AL91" s="55"/>
      <c r="AM91" s="55"/>
      <c r="AN91" s="55"/>
      <c r="AO91" s="55"/>
    </row>
    <row r="92">
      <c r="A92" s="50">
        <f>IFERROR(__xludf.DUMMYFUNCTION("QUERY('Volunteer Survey'!A98)"),43427.552870370375)</f>
        <v>43427.55287</v>
      </c>
      <c r="B92" s="48" t="s">
        <v>108</v>
      </c>
      <c r="C92" s="53"/>
      <c r="D92" s="55"/>
      <c r="E92" s="48" t="s">
        <v>130</v>
      </c>
      <c r="F92" s="48" t="s">
        <v>130</v>
      </c>
      <c r="G92" s="48" t="s">
        <v>202</v>
      </c>
      <c r="H92" s="53"/>
      <c r="I92" s="51" t="s">
        <v>139</v>
      </c>
      <c r="J92" s="55"/>
      <c r="K92" s="55"/>
      <c r="L92" s="55" t="str">
        <f>IFERROR(__xludf.DUMMYFUNCTION("QUERY('Volunteer Survey'!B98)"),"Amanda Fortier")</f>
        <v>Amanda Fortier</v>
      </c>
      <c r="M92" s="55" t="str">
        <f>IFERROR(__xludf.DUMMYFUNCTION("QUERY('Volunteer Survey'!E98)"),"amanda.fortier@advocatehealth.com")</f>
        <v>amanda.fortier@advocatehealth.com</v>
      </c>
      <c r="N92" s="55" t="str">
        <f>IFERROR(__xludf.DUMMYFUNCTION("QUERY('Volunteer Survey'!F98)"),"Clinical laboratory geneticist")</f>
        <v>Clinical laboratory geneticist</v>
      </c>
      <c r="O92" s="48" t="str">
        <f>IFERROR(__xludf.DUMMYFUNCTION("QUERY('Volunteer Survey'!H98)"),"Baseline")</f>
        <v>Baseline</v>
      </c>
      <c r="P92" s="55" t="str">
        <f>IFERROR(__xludf.DUMMYFUNCTION("QUERY('Volunteer Survey'!I98)"),"")</f>
        <v/>
      </c>
      <c r="Q92" s="60" t="str">
        <f>IFERROR(__xludf.DUMMYFUNCTION("QUERY('Volunteer Survey'!J98)"),"")</f>
        <v/>
      </c>
      <c r="R92" s="55" t="str">
        <f>IFERROR(__xludf.DUMMYFUNCTION("QUERY('Volunteer Survey'!K98)"),"")</f>
        <v/>
      </c>
      <c r="S92" s="55" t="str">
        <f>IFERROR(__xludf.DUMMYFUNCTION("QUERY('Volunteer Survey'!L98)"),"")</f>
        <v/>
      </c>
      <c r="T92" s="55" t="str">
        <f>IFERROR(__xludf.DUMMYFUNCTION("QUERY('Volunteer Survey'!M98)"),"")</f>
        <v/>
      </c>
      <c r="U92" s="64" t="str">
        <f>IFERROR(__xludf.DUMMYFUNCTION("QUERY('Volunteer Survey'!N98)"),"No")</f>
        <v>No</v>
      </c>
      <c r="V92" s="55" t="str">
        <f>IFERROR(__xludf.DUMMYFUNCTION("QUERY('Volunteer Survey'!O98)"),"Possibly")</f>
        <v>Possibly</v>
      </c>
      <c r="W92" s="66" t="str">
        <f>IFERROR(__xludf.DUMMYFUNCTION("QUERY('Volunteer Survey'!P98)"),"Yes, if needed. I am open to considering this type of activity.")</f>
        <v>Yes, if needed. I am open to considering this type of activity.</v>
      </c>
      <c r="X92" s="64" t="str">
        <f>IFERROR(__xludf.DUMMYFUNCTION("QUERY('Volunteer Survey'!R98)"),"Maybe -- please contact me with other options, and I will decide based on what is available")</f>
        <v>Maybe -- please contact me with other options, and I will decide based on what is available</v>
      </c>
      <c r="Y92" s="53"/>
      <c r="Z92" s="68"/>
      <c r="AA92" s="55"/>
      <c r="AB92" s="55"/>
      <c r="AC92" s="55"/>
      <c r="AD92" s="55"/>
      <c r="AE92" s="55"/>
      <c r="AF92" s="55"/>
      <c r="AG92" s="55"/>
      <c r="AH92" s="55"/>
      <c r="AI92" s="55"/>
      <c r="AJ92" s="55"/>
      <c r="AK92" s="55"/>
      <c r="AL92" s="55"/>
      <c r="AM92" s="55"/>
      <c r="AN92" s="55"/>
      <c r="AO92" s="55"/>
    </row>
    <row r="93">
      <c r="A93" s="50">
        <f>IFERROR(__xludf.DUMMYFUNCTION("QUERY('Volunteer Survey'!A100)"),43483.55459590278)</f>
        <v>43483.5546</v>
      </c>
      <c r="B93" s="48" t="s">
        <v>125</v>
      </c>
      <c r="C93" s="87">
        <v>43437.0</v>
      </c>
      <c r="D93" s="56">
        <v>43446.0</v>
      </c>
      <c r="E93" s="48" t="s">
        <v>117</v>
      </c>
      <c r="F93" s="48" t="s">
        <v>117</v>
      </c>
      <c r="G93" s="48" t="s">
        <v>122</v>
      </c>
      <c r="H93" s="51" t="s">
        <v>143</v>
      </c>
      <c r="I93" s="51" t="s">
        <v>139</v>
      </c>
      <c r="J93" s="56">
        <v>43592.0</v>
      </c>
      <c r="K93" s="56">
        <v>43713.0</v>
      </c>
      <c r="L93" s="55" t="str">
        <f>IFERROR(__xludf.DUMMYFUNCTION("QUERY('Volunteer Survey'!B100)"),"Ny Hoang")</f>
        <v>Ny Hoang</v>
      </c>
      <c r="M93" s="55" t="str">
        <f>IFERROR(__xludf.DUMMYFUNCTION("QUERY('Volunteer Survey'!E100)"),"ny.hoang@sickkids.ca")</f>
        <v>ny.hoang@sickkids.ca</v>
      </c>
      <c r="N93" s="55" t="str">
        <f>IFERROR(__xludf.DUMMYFUNCTION("QUERY('Volunteer Survey'!F100)"),"Genetic counselor")</f>
        <v>Genetic counselor</v>
      </c>
      <c r="O93" s="48" t="s">
        <v>63</v>
      </c>
      <c r="P93" s="55" t="str">
        <f>IFERROR(__xludf.DUMMYFUNCTION("QUERY('Volunteer Survey'!I100)"),"Gene-Disease Validity")</f>
        <v>Gene-Disease Validity</v>
      </c>
      <c r="Q93" s="60" t="str">
        <f>IFERROR(__xludf.DUMMYFUNCTION("QUERY('Volunteer Survey'!J100)"),"")</f>
        <v/>
      </c>
      <c r="R93" s="55" t="str">
        <f>IFERROR(__xludf.DUMMYFUNCTION("QUERY('Volunteer Survey'!K100)"),"")</f>
        <v/>
      </c>
      <c r="S93" s="55" t="str">
        <f>IFERROR(__xludf.DUMMYFUNCTION("QUERY('Volunteer Survey'!L100)"),"")</f>
        <v/>
      </c>
      <c r="T93" s="55" t="str">
        <f>IFERROR(__xludf.DUMMYFUNCTION("QUERY('Volunteer Survey'!M100)"),"")</f>
        <v/>
      </c>
      <c r="U93" s="64" t="str">
        <f>IFERROR(__xludf.DUMMYFUNCTION("QUERY('Volunteer Survey'!N100)"),"Yes")</f>
        <v>Yes</v>
      </c>
      <c r="V93" s="55" t="str">
        <f>IFERROR(__xludf.DUMMYFUNCTION("QUERY('Volunteer Survey'!O100)"),"Possibly")</f>
        <v>Possibly</v>
      </c>
      <c r="W93" s="66" t="str">
        <f>IFERROR(__xludf.DUMMYFUNCTION("QUERY('Volunteer Survey'!P100)"),"Autism and ID working group")</f>
        <v>Autism and ID working group</v>
      </c>
      <c r="X93" s="64" t="str">
        <f>IFERROR(__xludf.DUMMYFUNCTION("QUERY('Volunteer Survey'!R100)"),"Maybe -- please contact me with other options, and I will decide based on what is available")</f>
        <v>Maybe -- please contact me with other options, and I will decide based on what is available</v>
      </c>
      <c r="Y93" s="51" t="s">
        <v>318</v>
      </c>
      <c r="Z93" s="68"/>
      <c r="AA93" s="55"/>
      <c r="AB93" s="55"/>
      <c r="AC93" s="55"/>
      <c r="AD93" s="55"/>
      <c r="AE93" s="55"/>
      <c r="AF93" s="55"/>
      <c r="AG93" s="55"/>
      <c r="AH93" s="55"/>
      <c r="AI93" s="55"/>
      <c r="AJ93" s="55"/>
      <c r="AK93" s="55"/>
      <c r="AL93" s="55"/>
      <c r="AM93" s="55"/>
      <c r="AN93" s="55"/>
      <c r="AO93" s="55"/>
    </row>
    <row r="94">
      <c r="A94" s="50">
        <f>IFERROR(__xludf.DUMMYFUNCTION("QUERY('Volunteer Survey'!A101)"),43434.555347222224)</f>
        <v>43434.55535</v>
      </c>
      <c r="B94" s="48" t="s">
        <v>160</v>
      </c>
      <c r="C94" s="87">
        <v>43437.0</v>
      </c>
      <c r="D94" s="56">
        <v>43446.0</v>
      </c>
      <c r="E94" s="48" t="s">
        <v>130</v>
      </c>
      <c r="F94" s="48" t="s">
        <v>130</v>
      </c>
      <c r="G94" s="48" t="s">
        <v>122</v>
      </c>
      <c r="H94" s="51" t="s">
        <v>143</v>
      </c>
      <c r="I94" s="51" t="s">
        <v>139</v>
      </c>
      <c r="J94" s="48"/>
      <c r="K94" s="48"/>
      <c r="L94" s="55" t="str">
        <f>IFERROR(__xludf.DUMMYFUNCTION("QUERY('Volunteer Survey'!B101)"),"Jacob Vorstman")</f>
        <v>Jacob Vorstman</v>
      </c>
      <c r="M94" s="55" t="str">
        <f>IFERROR(__xludf.DUMMYFUNCTION("QUERY('Volunteer Survey'!E101)"),"jacob.vorstman@sickkids.ca")</f>
        <v>jacob.vorstman@sickkids.ca</v>
      </c>
      <c r="N94" s="55" t="str">
        <f>IFERROR(__xludf.DUMMYFUNCTION("QUERY('Volunteer Survey'!F101)"),"Post Doc/Resident/Fellow (MD and/or Phd), Scientific Researcher, Physician (non-geneticist)")</f>
        <v>Post Doc/Resident/Fellow (MD and/or Phd), Scientific Researcher, Physician (non-geneticist)</v>
      </c>
      <c r="O94" s="48" t="s">
        <v>63</v>
      </c>
      <c r="P94" s="55" t="str">
        <f>IFERROR(__xludf.DUMMYFUNCTION("QUERY('Volunteer Survey'!I101)"),"Gene-Disease Validity")</f>
        <v>Gene-Disease Validity</v>
      </c>
      <c r="Q94" s="60" t="str">
        <f>IFERROR(__xludf.DUMMYFUNCTION("QUERY('Volunteer Survey'!J101)"),"")</f>
        <v/>
      </c>
      <c r="R94" s="55" t="str">
        <f>IFERROR(__xludf.DUMMYFUNCTION("QUERY('Volunteer Survey'!K101)"),"")</f>
        <v/>
      </c>
      <c r="S94" s="55" t="str">
        <f>IFERROR(__xludf.DUMMYFUNCTION("QUERY('Volunteer Survey'!L101)"),"")</f>
        <v/>
      </c>
      <c r="T94" s="55" t="str">
        <f>IFERROR(__xludf.DUMMYFUNCTION("QUERY('Volunteer Survey'!M101)"),"")</f>
        <v/>
      </c>
      <c r="U94" s="64" t="str">
        <f>IFERROR(__xludf.DUMMYFUNCTION("QUERY('Volunteer Survey'!N101)"),"Yes")</f>
        <v>Yes</v>
      </c>
      <c r="V94" s="55" t="str">
        <f>IFERROR(__xludf.DUMMYFUNCTION("QUERY('Volunteer Survey'!O101)"),"Possibly")</f>
        <v>Possibly</v>
      </c>
      <c r="W94" s="66" t="str">
        <f>IFERROR(__xludf.DUMMYFUNCTION("QUERY('Volunteer Survey'!P101)"),"Autism Spectrum Disorder - see previous and ongoing discussions following the Toronto ASD gene list meeting this fall")</f>
        <v>Autism Spectrum Disorder - see previous and ongoing discussions following the Toronto ASD gene list meeting this fall</v>
      </c>
      <c r="X94" s="64" t="str">
        <f>IFERROR(__xludf.DUMMYFUNCTION("QUERY('Volunteer Survey'!R101)"),"Maybe -- please contact me with other options, and I will decide based on what is available")</f>
        <v>Maybe -- please contact me with other options, and I will decide based on what is available</v>
      </c>
      <c r="Y94" s="53"/>
      <c r="Z94" s="68"/>
      <c r="AA94" s="55"/>
      <c r="AB94" s="55"/>
      <c r="AC94" s="55"/>
      <c r="AD94" s="55"/>
      <c r="AE94" s="55"/>
      <c r="AF94" s="55"/>
      <c r="AG94" s="55"/>
      <c r="AH94" s="55"/>
      <c r="AI94" s="55"/>
      <c r="AJ94" s="55"/>
      <c r="AK94" s="55"/>
      <c r="AL94" s="55"/>
      <c r="AM94" s="55"/>
      <c r="AN94" s="55"/>
      <c r="AO94" s="55"/>
    </row>
    <row r="95">
      <c r="A95" s="50">
        <f>IFERROR(__xludf.DUMMYFUNCTION("QUERY('Volunteer Survey'!A102)"),43485.69615496528)</f>
        <v>43485.69615</v>
      </c>
      <c r="B95" s="48" t="s">
        <v>108</v>
      </c>
      <c r="C95" s="53"/>
      <c r="D95" s="49">
        <v>43598.0</v>
      </c>
      <c r="E95" s="48" t="s">
        <v>117</v>
      </c>
      <c r="F95" s="48" t="s">
        <v>130</v>
      </c>
      <c r="G95" s="48" t="s">
        <v>136</v>
      </c>
      <c r="H95" s="53"/>
      <c r="I95" s="51" t="s">
        <v>139</v>
      </c>
      <c r="J95" s="56">
        <v>43712.0</v>
      </c>
      <c r="K95" s="56"/>
      <c r="L95" s="55" t="str">
        <f>IFERROR(__xludf.DUMMYFUNCTION("QUERY('Volunteer Survey'!B102)"),"Qiuxiang Ou")</f>
        <v>Qiuxiang Ou</v>
      </c>
      <c r="M95" s="55" t="str">
        <f>IFERROR(__xludf.DUMMYFUNCTION("QUERY('Volunteer Survey'!E102)"),"dorothy.ou@gmail.com")</f>
        <v>dorothy.ou@gmail.com</v>
      </c>
      <c r="N95" s="55" t="str">
        <f>IFERROR(__xludf.DUMMYFUNCTION("QUERY('Volunteer Survey'!F102)"),"Scientific Researcher")</f>
        <v>Scientific Researcher</v>
      </c>
      <c r="O95" s="48" t="str">
        <f>IFERROR(__xludf.DUMMYFUNCTION("QUERY('Volunteer Survey'!H102)"),"Comprehensive")</f>
        <v>Comprehensive</v>
      </c>
      <c r="P95" s="55" t="str">
        <f>IFERROR(__xludf.DUMMYFUNCTION("QUERY('Volunteer Survey'!I102)"),"Somatic Cancer")</f>
        <v>Somatic Cancer</v>
      </c>
      <c r="Q95" s="60" t="str">
        <f>IFERROR(__xludf.DUMMYFUNCTION("QUERY('Volunteer Survey'!J102)"),"Variant Pathogenicity")</f>
        <v>Variant Pathogenicity</v>
      </c>
      <c r="R95" s="55" t="str">
        <f>IFERROR(__xludf.DUMMYFUNCTION("QUERY('Volunteer Survey'!K102)"),"Clinical Actionability")</f>
        <v>Clinical Actionability</v>
      </c>
      <c r="S95" s="55" t="str">
        <f>IFERROR(__xludf.DUMMYFUNCTION("QUERY('Volunteer Survey'!L102)"),"Gene-Disease Validity")</f>
        <v>Gene-Disease Validity</v>
      </c>
      <c r="T95" s="55" t="str">
        <f>IFERROR(__xludf.DUMMYFUNCTION("QUERY('Volunteer Survey'!M102)"),"Dosage Sensitivity")</f>
        <v>Dosage Sensitivity</v>
      </c>
      <c r="U95" s="64" t="str">
        <f>IFERROR(__xludf.DUMMYFUNCTION("QUERY('Volunteer Survey'!N102)"),"")</f>
        <v/>
      </c>
      <c r="V95" s="55" t="str">
        <f>IFERROR(__xludf.DUMMYFUNCTION("QUERY('Volunteer Survey'!O102)"),"Possibly")</f>
        <v>Possibly</v>
      </c>
      <c r="W95" s="66" t="str">
        <f>IFERROR(__xludf.DUMMYFUNCTION("QUERY('Volunteer Survey'!P102)"),"Somatic Cancer Working Group")</f>
        <v>Somatic Cancer Working Group</v>
      </c>
      <c r="X95" s="64" t="str">
        <f>IFERROR(__xludf.DUMMYFUNCTION("QUERY('Volunteer Survey'!R102)"),"Yes- I am willing to volunteer with any available ClinGen group")</f>
        <v>Yes- I am willing to volunteer with any available ClinGen group</v>
      </c>
      <c r="Y95" s="53"/>
      <c r="Z95" s="68"/>
      <c r="AA95" s="55"/>
      <c r="AB95" s="55"/>
      <c r="AC95" s="55"/>
      <c r="AD95" s="55"/>
      <c r="AE95" s="55"/>
      <c r="AF95" s="55"/>
      <c r="AG95" s="55"/>
      <c r="AH95" s="55"/>
      <c r="AI95" s="55"/>
      <c r="AJ95" s="55"/>
      <c r="AK95" s="55"/>
      <c r="AL95" s="55"/>
      <c r="AM95" s="55"/>
      <c r="AN95" s="55"/>
      <c r="AO95" s="55"/>
    </row>
    <row r="96">
      <c r="A96" s="50">
        <f>IFERROR(__xludf.DUMMYFUNCTION("QUERY('Volunteer Survey'!A103)"),43416.37436342593)</f>
        <v>43416.37436</v>
      </c>
      <c r="B96" s="48" t="s">
        <v>160</v>
      </c>
      <c r="C96" s="79">
        <v>43434.0</v>
      </c>
      <c r="D96" s="73">
        <v>43522.0</v>
      </c>
      <c r="E96" s="48" t="s">
        <v>117</v>
      </c>
      <c r="F96" s="48" t="s">
        <v>117</v>
      </c>
      <c r="G96" s="48" t="s">
        <v>19</v>
      </c>
      <c r="H96" s="51" t="s">
        <v>19</v>
      </c>
      <c r="I96" s="51" t="s">
        <v>139</v>
      </c>
      <c r="J96" s="48"/>
      <c r="K96" s="48"/>
      <c r="L96" s="55" t="str">
        <f>IFERROR(__xludf.DUMMYFUNCTION("QUERY('Volunteer Survey'!B103)"),"Kylin Boehler")</f>
        <v>Kylin Boehler</v>
      </c>
      <c r="M96" s="55" t="str">
        <f>IFERROR(__xludf.DUMMYFUNCTION("QUERY('Volunteer Survey'!E103)"),"kylin.y.boehler@questdiagnostics.com")</f>
        <v>kylin.y.boehler@questdiagnostics.com</v>
      </c>
      <c r="N96" s="55" t="str">
        <f>IFERROR(__xludf.DUMMYFUNCTION("QUERY('Volunteer Survey'!F103)"),"Genetic counselor")</f>
        <v>Genetic counselor</v>
      </c>
      <c r="O96" s="48" t="str">
        <f>IFERROR(__xludf.DUMMYFUNCTION("QUERY('Volunteer Survey'!H103)"),"Comprehensive")</f>
        <v>Comprehensive</v>
      </c>
      <c r="P96" s="55" t="str">
        <f>IFERROR(__xludf.DUMMYFUNCTION("QUERY('Volunteer Survey'!I103)"),"Clinical Actionability")</f>
        <v>Clinical Actionability</v>
      </c>
      <c r="Q96" s="60" t="str">
        <f>IFERROR(__xludf.DUMMYFUNCTION("QUERY('Volunteer Survey'!J103)"),"Dosage Sensitivity")</f>
        <v>Dosage Sensitivity</v>
      </c>
      <c r="R96" s="55" t="str">
        <f>IFERROR(__xludf.DUMMYFUNCTION("QUERY('Volunteer Survey'!K103)"),"Gene-Disease Validity")</f>
        <v>Gene-Disease Validity</v>
      </c>
      <c r="S96" s="55" t="str">
        <f>IFERROR(__xludf.DUMMYFUNCTION("QUERY('Volunteer Survey'!L103)"),"Variant Pathogenicity")</f>
        <v>Variant Pathogenicity</v>
      </c>
      <c r="T96" s="55" t="str">
        <f>IFERROR(__xludf.DUMMYFUNCTION("QUERY('Volunteer Survey'!M103)"),"Somatic Cancer")</f>
        <v>Somatic Cancer</v>
      </c>
      <c r="U96" s="64" t="str">
        <f>IFERROR(__xludf.DUMMYFUNCTION("QUERY('Volunteer Survey'!N103)"),"Yes")</f>
        <v>Yes</v>
      </c>
      <c r="V96" s="55" t="str">
        <f>IFERROR(__xludf.DUMMYFUNCTION("QUERY('Volunteer Survey'!O103)"),"No")</f>
        <v>No</v>
      </c>
      <c r="W96" s="66" t="str">
        <f>IFERROR(__xludf.DUMMYFUNCTION("QUERY('Volunteer Survey'!P103)"),"I am mainly interested in the Hereditary Cancer Gene Dosage Sensitivity Curation group.")</f>
        <v>I am mainly interested in the Hereditary Cancer Gene Dosage Sensitivity Curation group.</v>
      </c>
      <c r="X96" s="64" t="str">
        <f>IFERROR(__xludf.DUMMYFUNCTION("QUERY('Volunteer Survey'!R103)"),"Maybe -- please contact me with other options, and I will decide based on what is available")</f>
        <v>Maybe -- please contact me with other options, and I will decide based on what is available</v>
      </c>
      <c r="Y96" s="51" t="s">
        <v>332</v>
      </c>
      <c r="Z96" s="68"/>
      <c r="AA96" s="55"/>
      <c r="AB96" s="55"/>
      <c r="AC96" s="55"/>
      <c r="AD96" s="55"/>
      <c r="AE96" s="55"/>
      <c r="AF96" s="55"/>
      <c r="AG96" s="55"/>
      <c r="AH96" s="55"/>
      <c r="AI96" s="55"/>
      <c r="AJ96" s="55"/>
      <c r="AK96" s="55"/>
      <c r="AL96" s="55"/>
      <c r="AM96" s="55"/>
      <c r="AN96" s="55"/>
      <c r="AO96" s="55"/>
    </row>
    <row r="97">
      <c r="A97" s="50">
        <f>IFERROR(__xludf.DUMMYFUNCTION("QUERY('Volunteer Survey'!A104)"),43347.37954861111)</f>
        <v>43347.37955</v>
      </c>
      <c r="B97" s="48" t="s">
        <v>168</v>
      </c>
      <c r="C97" s="79">
        <v>43434.0</v>
      </c>
      <c r="D97" s="55"/>
      <c r="E97" s="48" t="s">
        <v>130</v>
      </c>
      <c r="F97" s="48" t="s">
        <v>130</v>
      </c>
      <c r="G97" s="48" t="s">
        <v>19</v>
      </c>
      <c r="H97" s="51"/>
      <c r="I97" s="51" t="s">
        <v>139</v>
      </c>
      <c r="J97" s="48"/>
      <c r="K97" s="48"/>
      <c r="L97" s="55" t="str">
        <f>IFERROR(__xludf.DUMMYFUNCTION("QUERY('Volunteer Survey'!B104)"),"Lisa Diller")</f>
        <v>Lisa Diller</v>
      </c>
      <c r="M97" s="55" t="str">
        <f>IFERROR(__xludf.DUMMYFUNCTION("QUERY('Volunteer Survey'!E104)"),"lisa_diller@dfci.harvard.edu")</f>
        <v>lisa_diller@dfci.harvard.edu</v>
      </c>
      <c r="N97" s="55" t="str">
        <f>IFERROR(__xludf.DUMMYFUNCTION("QUERY('Volunteer Survey'!F104)"),"Physician (Non-geneticist)")</f>
        <v>Physician (Non-geneticist)</v>
      </c>
      <c r="O97" s="48" t="str">
        <f>IFERROR(__xludf.DUMMYFUNCTION("QUERY('Volunteer Survey'!H104)"),"Comprehensive")</f>
        <v>Comprehensive</v>
      </c>
      <c r="P97" s="55" t="str">
        <f>IFERROR(__xludf.DUMMYFUNCTION("QUERY('Volunteer Survey'!I104)"),"Clinical Actionability")</f>
        <v>Clinical Actionability</v>
      </c>
      <c r="Q97" s="60" t="str">
        <f>IFERROR(__xludf.DUMMYFUNCTION("QUERY('Volunteer Survey'!J104)"),"Gene-Disease Validity")</f>
        <v>Gene-Disease Validity</v>
      </c>
      <c r="R97" s="55" t="str">
        <f>IFERROR(__xludf.DUMMYFUNCTION("QUERY('Volunteer Survey'!K104)"),"Somatic Cancer")</f>
        <v>Somatic Cancer</v>
      </c>
      <c r="S97" s="55" t="str">
        <f>IFERROR(__xludf.DUMMYFUNCTION("QUERY('Volunteer Survey'!L104)"),"Variant Pathogenicity")</f>
        <v>Variant Pathogenicity</v>
      </c>
      <c r="T97" s="55" t="str">
        <f>IFERROR(__xludf.DUMMYFUNCTION("QUERY('Volunteer Survey'!M104)"),"Dosage Sensitivity")</f>
        <v>Dosage Sensitivity</v>
      </c>
      <c r="U97" s="64" t="str">
        <f>IFERROR(__xludf.DUMMYFUNCTION("QUERY('Volunteer Survey'!N104)"),"No")</f>
        <v>No</v>
      </c>
      <c r="V97" s="55" t="str">
        <f>IFERROR(__xludf.DUMMYFUNCTION("QUERY('Volunteer Survey'!O104)"),"Yes")</f>
        <v>Yes</v>
      </c>
      <c r="W97" s="66" t="str">
        <f>IFERROR(__xludf.DUMMYFUNCTION("QUERY('Volunteer Survey'!P104)"),"Hereditary Cancer")</f>
        <v>Hereditary Cancer</v>
      </c>
      <c r="X97" s="64" t="str">
        <f>IFERROR(__xludf.DUMMYFUNCTION("QUERY('Volunteer Survey'!R104)"),"No - I am only interested in the group(s) I previously indicated")</f>
        <v>No - I am only interested in the group(s) I previously indicated</v>
      </c>
      <c r="Y97" s="53"/>
      <c r="Z97" s="68"/>
      <c r="AA97" s="55"/>
      <c r="AB97" s="55"/>
      <c r="AC97" s="55"/>
      <c r="AD97" s="55"/>
      <c r="AE97" s="55"/>
      <c r="AF97" s="55"/>
      <c r="AG97" s="55"/>
      <c r="AH97" s="55"/>
      <c r="AI97" s="55"/>
      <c r="AJ97" s="55"/>
      <c r="AK97" s="55"/>
      <c r="AL97" s="55"/>
      <c r="AM97" s="55"/>
      <c r="AN97" s="55"/>
      <c r="AO97" s="55"/>
    </row>
    <row r="98">
      <c r="A98" s="50">
        <f>IFERROR(__xludf.DUMMYFUNCTION("QUERY('Volunteer Survey'!A105)"),43378.381261574075)</f>
        <v>43378.38126</v>
      </c>
      <c r="B98" s="48" t="s">
        <v>168</v>
      </c>
      <c r="C98" s="79">
        <v>43434.0</v>
      </c>
      <c r="D98" s="73">
        <v>43567.0</v>
      </c>
      <c r="E98" s="48" t="s">
        <v>117</v>
      </c>
      <c r="F98" s="48" t="s">
        <v>130</v>
      </c>
      <c r="G98" s="48" t="s">
        <v>19</v>
      </c>
      <c r="H98" s="51"/>
      <c r="I98" s="51" t="s">
        <v>139</v>
      </c>
      <c r="J98" s="48"/>
      <c r="K98" s="48"/>
      <c r="L98" s="55" t="str">
        <f>IFERROR(__xludf.DUMMYFUNCTION("QUERY('Volunteer Survey'!B105)"),"Nharimann Azima")</f>
        <v>Nharimann Azima</v>
      </c>
      <c r="M98" s="55" t="str">
        <f>IFERROR(__xludf.DUMMYFUNCTION("QUERY('Volunteer Survey'!E105)"),"naa3f@gwu.edu")</f>
        <v>naa3f@gwu.edu</v>
      </c>
      <c r="N98" s="55" t="str">
        <f>IFERROR(__xludf.DUMMYFUNCTION("QUERY('Volunteer Survey'!F105)"),"Analyst")</f>
        <v>Analyst</v>
      </c>
      <c r="O98" s="48" t="str">
        <f>IFERROR(__xludf.DUMMYFUNCTION("QUERY('Volunteer Survey'!H105)"),"Comprehensive")</f>
        <v>Comprehensive</v>
      </c>
      <c r="P98" s="55" t="str">
        <f>IFERROR(__xludf.DUMMYFUNCTION("QUERY('Volunteer Survey'!I105)"),"Clinical Actionability")</f>
        <v>Clinical Actionability</v>
      </c>
      <c r="Q98" s="60" t="str">
        <f>IFERROR(__xludf.DUMMYFUNCTION("QUERY('Volunteer Survey'!J105)"),"Somatic Cancer")</f>
        <v>Somatic Cancer</v>
      </c>
      <c r="R98" s="55" t="str">
        <f>IFERROR(__xludf.DUMMYFUNCTION("QUERY('Volunteer Survey'!K105)"),"Gene-Disease Validity")</f>
        <v>Gene-Disease Validity</v>
      </c>
      <c r="S98" s="55" t="str">
        <f>IFERROR(__xludf.DUMMYFUNCTION("QUERY('Volunteer Survey'!L105)"),"Variant Pathogenicity")</f>
        <v>Variant Pathogenicity</v>
      </c>
      <c r="T98" s="55" t="str">
        <f>IFERROR(__xludf.DUMMYFUNCTION("QUERY('Volunteer Survey'!M105)"),"Dosage Sensitivity")</f>
        <v>Dosage Sensitivity</v>
      </c>
      <c r="U98" s="64" t="str">
        <f>IFERROR(__xludf.DUMMYFUNCTION("QUERY('Volunteer Survey'!N105)"),"Yes")</f>
        <v>Yes</v>
      </c>
      <c r="V98" s="55" t="str">
        <f>IFERROR(__xludf.DUMMYFUNCTION("QUERY('Volunteer Survey'!O105)"),"Yes")</f>
        <v>Yes</v>
      </c>
      <c r="W98" s="66" t="str">
        <f>IFERROR(__xludf.DUMMYFUNCTION("QUERY('Volunteer Survey'!P105)"),"I am flexible")</f>
        <v>I am flexible</v>
      </c>
      <c r="X98" s="64" t="str">
        <f>IFERROR(__xludf.DUMMYFUNCTION("QUERY('Volunteer Survey'!R105)"),"Yes- I am willing to volunteer with any available ClinGen group")</f>
        <v>Yes- I am willing to volunteer with any available ClinGen group</v>
      </c>
      <c r="Y98" s="51" t="s">
        <v>339</v>
      </c>
      <c r="Z98" s="68"/>
      <c r="AA98" s="55"/>
      <c r="AB98" s="55"/>
      <c r="AC98" s="55"/>
      <c r="AD98" s="55"/>
      <c r="AE98" s="55"/>
      <c r="AF98" s="55"/>
      <c r="AG98" s="55"/>
      <c r="AH98" s="55"/>
      <c r="AI98" s="55"/>
      <c r="AJ98" s="55"/>
      <c r="AK98" s="55"/>
      <c r="AL98" s="55"/>
      <c r="AM98" s="55"/>
      <c r="AN98" s="55"/>
      <c r="AO98" s="55"/>
    </row>
    <row r="99">
      <c r="A99" s="50">
        <f>IFERROR(__xludf.DUMMYFUNCTION("QUERY('Volunteer Survey'!A106)"),43415.38344907407)</f>
        <v>43415.38345</v>
      </c>
      <c r="B99" s="48" t="s">
        <v>160</v>
      </c>
      <c r="C99" s="79">
        <v>43434.0</v>
      </c>
      <c r="D99" s="65">
        <v>43678.0</v>
      </c>
      <c r="E99" s="48" t="s">
        <v>117</v>
      </c>
      <c r="F99" s="48" t="s">
        <v>117</v>
      </c>
      <c r="G99" s="48" t="s">
        <v>19</v>
      </c>
      <c r="H99" s="51" t="s">
        <v>19</v>
      </c>
      <c r="I99" s="51" t="s">
        <v>139</v>
      </c>
      <c r="J99" s="48"/>
      <c r="K99" s="48"/>
      <c r="L99" s="55" t="str">
        <f>IFERROR(__xludf.DUMMYFUNCTION("QUERY('Volunteer Survey'!B106)"),"Krzysztof Szczaluba")</f>
        <v>Krzysztof Szczaluba</v>
      </c>
      <c r="M99" s="55" t="str">
        <f>IFERROR(__xludf.DUMMYFUNCTION("QUERY('Volunteer Survey'!E106)"),"krzysztof.szczaluba@gmail.com")</f>
        <v>krzysztof.szczaluba@gmail.com</v>
      </c>
      <c r="N99" s="55" t="str">
        <f>IFERROR(__xludf.DUMMYFUNCTION("QUERY('Volunteer Survey'!F106)"),"Clinical Medical Geneticist")</f>
        <v>Clinical Medical Geneticist</v>
      </c>
      <c r="O99" s="48" t="str">
        <f>IFERROR(__xludf.DUMMYFUNCTION("QUERY('Volunteer Survey'!H106)"),"Comprehensive")</f>
        <v>Comprehensive</v>
      </c>
      <c r="P99" s="55" t="str">
        <f>IFERROR(__xludf.DUMMYFUNCTION("QUERY('Volunteer Survey'!I106)"),"Clinical Actionability")</f>
        <v>Clinical Actionability</v>
      </c>
      <c r="Q99" s="60" t="str">
        <f>IFERROR(__xludf.DUMMYFUNCTION("QUERY('Volunteer Survey'!J106)"),"Gene-Disease Validity")</f>
        <v>Gene-Disease Validity</v>
      </c>
      <c r="R99" s="55" t="str">
        <f>IFERROR(__xludf.DUMMYFUNCTION("QUERY('Volunteer Survey'!K106)"),"Variant Pathogenicity")</f>
        <v>Variant Pathogenicity</v>
      </c>
      <c r="S99" s="55" t="str">
        <f>IFERROR(__xludf.DUMMYFUNCTION("QUERY('Volunteer Survey'!L106)"),"Dosage Sensitivity")</f>
        <v>Dosage Sensitivity</v>
      </c>
      <c r="T99" s="55" t="str">
        <f>IFERROR(__xludf.DUMMYFUNCTION("QUERY('Volunteer Survey'!M106)"),"Somatic Cancer")</f>
        <v>Somatic Cancer</v>
      </c>
      <c r="U99" s="64" t="str">
        <f>IFERROR(__xludf.DUMMYFUNCTION("QUERY('Volunteer Survey'!N106)"),"No")</f>
        <v>No</v>
      </c>
      <c r="V99" s="55" t="str">
        <f>IFERROR(__xludf.DUMMYFUNCTION("QUERY('Volunteer Survey'!O106)"),"Possibly")</f>
        <v>Possibly</v>
      </c>
      <c r="W99" s="66" t="str">
        <f>IFERROR(__xludf.DUMMYFUNCTION("QUERY('Volunteer Survey'!P106)"),"autism/ID, epi, brovca")</f>
        <v>autism/ID, epi, brovca</v>
      </c>
      <c r="X99" s="64" t="str">
        <f>IFERROR(__xludf.DUMMYFUNCTION("QUERY('Volunteer Survey'!R106)"),"Maybe -- please contact me with other options, and I will decide based on what is available")</f>
        <v>Maybe -- please contact me with other options, and I will decide based on what is available</v>
      </c>
      <c r="Y99" s="51" t="s">
        <v>340</v>
      </c>
      <c r="Z99" s="68"/>
      <c r="AA99" s="55"/>
      <c r="AB99" s="55"/>
      <c r="AC99" s="55"/>
      <c r="AD99" s="55"/>
      <c r="AE99" s="55"/>
      <c r="AF99" s="55"/>
      <c r="AG99" s="55"/>
      <c r="AH99" s="55"/>
      <c r="AI99" s="55"/>
      <c r="AJ99" s="55"/>
      <c r="AK99" s="55"/>
      <c r="AL99" s="55"/>
      <c r="AM99" s="55"/>
      <c r="AN99" s="55"/>
      <c r="AO99" s="55"/>
    </row>
    <row r="100">
      <c r="A100" s="50">
        <f>IFERROR(__xludf.DUMMYFUNCTION("QUERY('Volunteer Survey'!A107)"),43416.38512731482)</f>
        <v>43416.38513</v>
      </c>
      <c r="B100" s="48" t="s">
        <v>168</v>
      </c>
      <c r="C100" s="79">
        <v>43434.0</v>
      </c>
      <c r="D100" s="55"/>
      <c r="E100" s="48" t="s">
        <v>130</v>
      </c>
      <c r="F100" s="48" t="s">
        <v>130</v>
      </c>
      <c r="G100" s="48" t="s">
        <v>19</v>
      </c>
      <c r="H100" s="51"/>
      <c r="I100" s="51" t="s">
        <v>139</v>
      </c>
      <c r="J100" s="48"/>
      <c r="K100" s="48"/>
      <c r="L100" s="55" t="str">
        <f>IFERROR(__xludf.DUMMYFUNCTION("QUERY('Volunteer Survey'!B107)"),"Robin Bennett")</f>
        <v>Robin Bennett</v>
      </c>
      <c r="M100" s="55" t="str">
        <f>IFERROR(__xludf.DUMMYFUNCTION("QUERY('Volunteer Survey'!E107)"),"robinb@uw.edu")</f>
        <v>robinb@uw.edu</v>
      </c>
      <c r="N100" s="55" t="str">
        <f>IFERROR(__xludf.DUMMYFUNCTION("QUERY('Volunteer Survey'!F107)"),"Genetic counselor")</f>
        <v>Genetic counselor</v>
      </c>
      <c r="O100" s="48" t="str">
        <f>IFERROR(__xludf.DUMMYFUNCTION("QUERY('Volunteer Survey'!H107)"),"Comprehensive")</f>
        <v>Comprehensive</v>
      </c>
      <c r="P100" s="55" t="str">
        <f>IFERROR(__xludf.DUMMYFUNCTION("QUERY('Volunteer Survey'!I107)"),"Clinical Actionability")</f>
        <v>Clinical Actionability</v>
      </c>
      <c r="Q100" s="60" t="str">
        <f>IFERROR(__xludf.DUMMYFUNCTION("QUERY('Volunteer Survey'!J107)"),"Variant Pathogenicity")</f>
        <v>Variant Pathogenicity</v>
      </c>
      <c r="R100" s="55" t="str">
        <f>IFERROR(__xludf.DUMMYFUNCTION("QUERY('Volunteer Survey'!K107)"),"Gene-Disease Validity")</f>
        <v>Gene-Disease Validity</v>
      </c>
      <c r="S100" s="55" t="str">
        <f>IFERROR(__xludf.DUMMYFUNCTION("QUERY('Volunteer Survey'!L107)"),"Somatic Cancer")</f>
        <v>Somatic Cancer</v>
      </c>
      <c r="T100" s="55" t="str">
        <f>IFERROR(__xludf.DUMMYFUNCTION("QUERY('Volunteer Survey'!M107)"),"Dosage Sensitivity")</f>
        <v>Dosage Sensitivity</v>
      </c>
      <c r="U100" s="64" t="str">
        <f>IFERROR(__xludf.DUMMYFUNCTION("QUERY('Volunteer Survey'!N107)"),"Yes")</f>
        <v>Yes</v>
      </c>
      <c r="V100" s="55" t="str">
        <f>IFERROR(__xludf.DUMMYFUNCTION("QUERY('Volunteer Survey'!O107)"),"Possibly")</f>
        <v>Possibly</v>
      </c>
      <c r="W100" s="66" t="str">
        <f>IFERROR(__xludf.DUMMYFUNCTION("QUERY('Volunteer Survey'!P107)"),"Variant curation expert panels: PTEN, VHL, CDH1, Colorectal cancer, breast-ovarian")</f>
        <v>Variant curation expert panels: PTEN, VHL, CDH1, Colorectal cancer, breast-ovarian</v>
      </c>
      <c r="X100" s="64" t="str">
        <f>IFERROR(__xludf.DUMMYFUNCTION("QUERY('Volunteer Survey'!R107)"),"Maybe -- please contact me with other options, and I will decide based on what is available")</f>
        <v>Maybe -- please contact me with other options, and I will decide based on what is available</v>
      </c>
      <c r="Y100" s="53"/>
      <c r="Z100" s="68"/>
      <c r="AA100" s="55"/>
      <c r="AB100" s="55"/>
      <c r="AC100" s="55"/>
      <c r="AD100" s="55"/>
      <c r="AE100" s="55"/>
      <c r="AF100" s="55"/>
      <c r="AG100" s="55"/>
      <c r="AH100" s="55"/>
      <c r="AI100" s="55"/>
      <c r="AJ100" s="55"/>
      <c r="AK100" s="55"/>
      <c r="AL100" s="55"/>
      <c r="AM100" s="55"/>
      <c r="AN100" s="55"/>
      <c r="AO100" s="55"/>
    </row>
    <row r="101">
      <c r="A101" s="50">
        <f>IFERROR(__xludf.DUMMYFUNCTION("QUERY('Volunteer Survey'!A108)"),43418.386828703704)</f>
        <v>43418.38683</v>
      </c>
      <c r="B101" s="48" t="s">
        <v>168</v>
      </c>
      <c r="C101" s="79">
        <v>43434.0</v>
      </c>
      <c r="D101" s="73">
        <v>43522.0</v>
      </c>
      <c r="E101" s="48" t="s">
        <v>117</v>
      </c>
      <c r="F101" s="48" t="s">
        <v>130</v>
      </c>
      <c r="G101" s="48" t="s">
        <v>19</v>
      </c>
      <c r="H101" s="51" t="s">
        <v>19</v>
      </c>
      <c r="I101" s="51" t="s">
        <v>139</v>
      </c>
      <c r="J101" s="48"/>
      <c r="K101" s="48"/>
      <c r="L101" s="55" t="str">
        <f>IFERROR(__xludf.DUMMYFUNCTION("QUERY('Volunteer Survey'!B108)"),"Fiona Curtis")</f>
        <v>Fiona Curtis</v>
      </c>
      <c r="M101" s="55" t="str">
        <f>IFERROR(__xludf.DUMMYFUNCTION("QUERY('Volunteer Survey'!E108)"),"fionakatherinecurtis@yahoo.ca")</f>
        <v>fionakatherinecurtis@yahoo.ca</v>
      </c>
      <c r="N101" s="55" t="str">
        <f>IFERROR(__xludf.DUMMYFUNCTION("QUERY('Volunteer Survey'!F108)"),"Genetic counselor")</f>
        <v>Genetic counselor</v>
      </c>
      <c r="O101" s="48" t="str">
        <f>IFERROR(__xludf.DUMMYFUNCTION("QUERY('Volunteer Survey'!H108)"),"Comprehensive")</f>
        <v>Comprehensive</v>
      </c>
      <c r="P101" s="55" t="str">
        <f>IFERROR(__xludf.DUMMYFUNCTION("QUERY('Volunteer Survey'!I108)"),"Clinical Actionability")</f>
        <v>Clinical Actionability</v>
      </c>
      <c r="Q101" s="60" t="str">
        <f>IFERROR(__xludf.DUMMYFUNCTION("QUERY('Volunteer Survey'!J108)"),"Gene-Disease Validity")</f>
        <v>Gene-Disease Validity</v>
      </c>
      <c r="R101" s="55" t="str">
        <f>IFERROR(__xludf.DUMMYFUNCTION("QUERY('Volunteer Survey'!K108)"),"Variant Pathogenicity")</f>
        <v>Variant Pathogenicity</v>
      </c>
      <c r="S101" s="55" t="str">
        <f>IFERROR(__xludf.DUMMYFUNCTION("QUERY('Volunteer Survey'!L108)"),"Dosage Sensitivity")</f>
        <v>Dosage Sensitivity</v>
      </c>
      <c r="T101" s="55" t="str">
        <f>IFERROR(__xludf.DUMMYFUNCTION("QUERY('Volunteer Survey'!M108)"),"Somatic Cancer")</f>
        <v>Somatic Cancer</v>
      </c>
      <c r="U101" s="64" t="str">
        <f>IFERROR(__xludf.DUMMYFUNCTION("QUERY('Volunteer Survey'!N108)"),"No")</f>
        <v>No</v>
      </c>
      <c r="V101" s="55" t="str">
        <f>IFERROR(__xludf.DUMMYFUNCTION("QUERY('Volunteer Survey'!O108)"),"Possibly")</f>
        <v>Possibly</v>
      </c>
      <c r="W101" s="66" t="str">
        <f>IFERROR(__xludf.DUMMYFUNCTION("QUERY('Volunteer Survey'!P108)"),"inherited cardiomyopathy or other CV diseases")</f>
        <v>inherited cardiomyopathy or other CV diseases</v>
      </c>
      <c r="X101" s="64" t="str">
        <f>IFERROR(__xludf.DUMMYFUNCTION("QUERY('Volunteer Survey'!R108)"),"Maybe -- please contact me with other options, and I will decide based on what is available")</f>
        <v>Maybe -- please contact me with other options, and I will decide based on what is available</v>
      </c>
      <c r="Y101" s="51" t="s">
        <v>341</v>
      </c>
      <c r="Z101" s="68"/>
      <c r="AA101" s="55"/>
      <c r="AB101" s="55"/>
      <c r="AC101" s="55"/>
      <c r="AD101" s="55"/>
      <c r="AE101" s="55"/>
      <c r="AF101" s="55"/>
      <c r="AG101" s="55"/>
      <c r="AH101" s="55"/>
      <c r="AI101" s="55"/>
      <c r="AJ101" s="55"/>
      <c r="AK101" s="55"/>
      <c r="AL101" s="55"/>
      <c r="AM101" s="55"/>
      <c r="AN101" s="55"/>
      <c r="AO101" s="55"/>
    </row>
    <row r="102">
      <c r="A102" s="50">
        <f>IFERROR(__xludf.DUMMYFUNCTION("QUERY('Volunteer Survey'!A109)"),43419.394525462965)</f>
        <v>43419.39453</v>
      </c>
      <c r="B102" s="48" t="s">
        <v>168</v>
      </c>
      <c r="C102" s="79">
        <v>43434.0</v>
      </c>
      <c r="D102" s="55"/>
      <c r="E102" s="48" t="s">
        <v>130</v>
      </c>
      <c r="F102" s="48" t="s">
        <v>130</v>
      </c>
      <c r="G102" s="48" t="s">
        <v>19</v>
      </c>
      <c r="H102" s="51"/>
      <c r="I102" s="51" t="s">
        <v>139</v>
      </c>
      <c r="J102" s="48"/>
      <c r="K102" s="48"/>
      <c r="L102" s="55" t="str">
        <f>IFERROR(__xludf.DUMMYFUNCTION("QUERY('Volunteer Survey'!B109)"),"Jennifer Marie Lee")</f>
        <v>Jennifer Marie Lee</v>
      </c>
      <c r="M102" s="55" t="str">
        <f>IFERROR(__xludf.DUMMYFUNCTION("QUERY('Volunteer Survey'!E109)"),"Jennifer.Lee2@nih.gov")</f>
        <v>Jennifer.Lee2@nih.gov</v>
      </c>
      <c r="N102" s="55" t="str">
        <f>IFERROR(__xludf.DUMMYFUNCTION("QUERY('Volunteer Survey'!F109)"),"Scientific Researcher")</f>
        <v>Scientific Researcher</v>
      </c>
      <c r="O102" s="48" t="str">
        <f>IFERROR(__xludf.DUMMYFUNCTION("QUERY('Volunteer Survey'!H109)"),"Comprehensive")</f>
        <v>Comprehensive</v>
      </c>
      <c r="P102" s="55" t="str">
        <f>IFERROR(__xludf.DUMMYFUNCTION("QUERY('Volunteer Survey'!I109)"),"Clinical Actionability")</f>
        <v>Clinical Actionability</v>
      </c>
      <c r="Q102" s="60" t="str">
        <f>IFERROR(__xludf.DUMMYFUNCTION("QUERY('Volunteer Survey'!J109)"),"Somatic Cancer")</f>
        <v>Somatic Cancer</v>
      </c>
      <c r="R102" s="55" t="str">
        <f>IFERROR(__xludf.DUMMYFUNCTION("QUERY('Volunteer Survey'!K109)"),"Gene-Disease Validity")</f>
        <v>Gene-Disease Validity</v>
      </c>
      <c r="S102" s="55" t="str">
        <f>IFERROR(__xludf.DUMMYFUNCTION("QUERY('Volunteer Survey'!L109)"),"Variant Pathogenicity")</f>
        <v>Variant Pathogenicity</v>
      </c>
      <c r="T102" s="55" t="str">
        <f>IFERROR(__xludf.DUMMYFUNCTION("QUERY('Volunteer Survey'!M109)"),"")</f>
        <v/>
      </c>
      <c r="U102" s="64" t="str">
        <f>IFERROR(__xludf.DUMMYFUNCTION("QUERY('Volunteer Survey'!N109)"),"Yes")</f>
        <v>Yes</v>
      </c>
      <c r="V102" s="55" t="str">
        <f>IFERROR(__xludf.DUMMYFUNCTION("QUERY('Volunteer Survey'!O109)"),"Possibly")</f>
        <v>Possibly</v>
      </c>
      <c r="W102" s="66" t="str">
        <f>IFERROR(__xludf.DUMMYFUNCTION("QUERY('Volunteer Survey'!P109)"),"NA")</f>
        <v>NA</v>
      </c>
      <c r="X102" s="64" t="str">
        <f>IFERROR(__xludf.DUMMYFUNCTION("QUERY('Volunteer Survey'!R109)"),"")</f>
        <v/>
      </c>
      <c r="Y102" s="53"/>
      <c r="Z102" s="68"/>
      <c r="AA102" s="55"/>
      <c r="AB102" s="55"/>
      <c r="AC102" s="55"/>
      <c r="AD102" s="55"/>
      <c r="AE102" s="55"/>
      <c r="AF102" s="55"/>
      <c r="AG102" s="55"/>
      <c r="AH102" s="55"/>
      <c r="AI102" s="55"/>
      <c r="AJ102" s="55"/>
      <c r="AK102" s="55"/>
      <c r="AL102" s="55"/>
      <c r="AM102" s="55"/>
      <c r="AN102" s="55"/>
      <c r="AO102" s="55"/>
    </row>
    <row r="103">
      <c r="A103" s="50">
        <f>IFERROR(__xludf.DUMMYFUNCTION("QUERY('Volunteer Survey'!A110)"),43430.4000462963)</f>
        <v>43430.40005</v>
      </c>
      <c r="B103" s="48" t="s">
        <v>160</v>
      </c>
      <c r="C103" s="87">
        <v>43467.0</v>
      </c>
      <c r="D103" s="56">
        <v>43476.0</v>
      </c>
      <c r="E103" s="48" t="s">
        <v>117</v>
      </c>
      <c r="F103" s="48" t="s">
        <v>130</v>
      </c>
      <c r="G103" s="48" t="s">
        <v>19</v>
      </c>
      <c r="H103" s="51" t="s">
        <v>19</v>
      </c>
      <c r="I103" s="51" t="s">
        <v>299</v>
      </c>
      <c r="J103" s="56">
        <v>43593.0</v>
      </c>
      <c r="K103" s="56">
        <v>43713.0</v>
      </c>
      <c r="L103" s="55" t="str">
        <f>IFERROR(__xludf.DUMMYFUNCTION("QUERY('Volunteer Survey'!B110)"),"Laura Fuqua")</f>
        <v>Laura Fuqua</v>
      </c>
      <c r="M103" s="55" t="str">
        <f>IFERROR(__xludf.DUMMYFUNCTION("QUERY('Volunteer Survey'!E110)"),"laura.fuqua@gmail.com")</f>
        <v>laura.fuqua@gmail.com</v>
      </c>
      <c r="N103" s="55" t="str">
        <f>IFERROR(__xludf.DUMMYFUNCTION("QUERY('Volunteer Survey'!F110)"),"Genetic counselor")</f>
        <v>Genetic counselor</v>
      </c>
      <c r="O103" s="48" t="str">
        <f>IFERROR(__xludf.DUMMYFUNCTION("QUERY('Volunteer Survey'!H110)"),"Comprehensive")</f>
        <v>Comprehensive</v>
      </c>
      <c r="P103" s="48" t="str">
        <f>IFERROR(__xludf.DUMMYFUNCTION("QUERY('Volunteer Survey'!I110)"),"Somatic Cancer")</f>
        <v>Somatic Cancer</v>
      </c>
      <c r="Q103" s="60" t="str">
        <f>IFERROR(__xludf.DUMMYFUNCTION("QUERY('Volunteer Survey'!J110)"),"Variant Pathogenicity")</f>
        <v>Variant Pathogenicity</v>
      </c>
      <c r="R103" s="48" t="str">
        <f>IFERROR(__xludf.DUMMYFUNCTION("QUERY('Volunteer Survey'!K110)"),"Clinical Actionability")</f>
        <v>Clinical Actionability</v>
      </c>
      <c r="S103" s="55" t="str">
        <f>IFERROR(__xludf.DUMMYFUNCTION("QUERY('Volunteer Survey'!L110)"),"Dosage Sensitivity")</f>
        <v>Dosage Sensitivity</v>
      </c>
      <c r="T103" s="55" t="str">
        <f>IFERROR(__xludf.DUMMYFUNCTION("QUERY('Volunteer Survey'!M110)"),"Gene-Disease Validity")</f>
        <v>Gene-Disease Validity</v>
      </c>
      <c r="U103" s="64" t="str">
        <f>IFERROR(__xludf.DUMMYFUNCTION("QUERY('Volunteer Survey'!N110)"),"Yes")</f>
        <v>Yes</v>
      </c>
      <c r="V103" s="55" t="str">
        <f>IFERROR(__xludf.DUMMYFUNCTION("QUERY('Volunteer Survey'!O110)"),"Yes")</f>
        <v>Yes</v>
      </c>
      <c r="W103" s="66" t="str">
        <f>IFERROR(__xludf.DUMMYFUNCTION("QUERY('Volunteer Survey'!P110)"),"NA")</f>
        <v>NA</v>
      </c>
      <c r="X103" s="64" t="str">
        <f>IFERROR(__xludf.DUMMYFUNCTION("QUERY('Volunteer Survey'!R110)"),"Yes- I am willing to volunteer with any available ClinGen group")</f>
        <v>Yes- I am willing to volunteer with any available ClinGen group</v>
      </c>
      <c r="Y103" s="92" t="s">
        <v>342</v>
      </c>
      <c r="Z103" s="68"/>
      <c r="AA103" s="55"/>
      <c r="AB103" s="55"/>
      <c r="AC103" s="55"/>
      <c r="AD103" s="55"/>
      <c r="AE103" s="55"/>
      <c r="AF103" s="55"/>
      <c r="AG103" s="55"/>
      <c r="AH103" s="55"/>
      <c r="AI103" s="55"/>
      <c r="AJ103" s="55"/>
      <c r="AK103" s="55"/>
      <c r="AL103" s="55"/>
      <c r="AM103" s="55"/>
      <c r="AN103" s="55"/>
      <c r="AO103" s="55"/>
    </row>
    <row r="104">
      <c r="A104" s="50">
        <f>IFERROR(__xludf.DUMMYFUNCTION("QUERY('Volunteer Survey'!A111)"),43437.40190972222)</f>
        <v>43437.40191</v>
      </c>
      <c r="B104" s="48" t="s">
        <v>343</v>
      </c>
      <c r="C104" s="51" t="s">
        <v>344</v>
      </c>
      <c r="D104" s="65">
        <v>43769.0</v>
      </c>
      <c r="E104" s="48" t="s">
        <v>117</v>
      </c>
      <c r="F104" s="48" t="s">
        <v>117</v>
      </c>
      <c r="G104" s="48" t="s">
        <v>19</v>
      </c>
      <c r="H104" s="51" t="s">
        <v>19</v>
      </c>
      <c r="I104" s="51" t="s">
        <v>139</v>
      </c>
      <c r="J104" s="48"/>
      <c r="K104" s="48"/>
      <c r="L104" s="55" t="str">
        <f>IFERROR(__xludf.DUMMYFUNCTION("QUERY('Volunteer Survey'!B111)"),"Morgan Similuk")</f>
        <v>Morgan Similuk</v>
      </c>
      <c r="M104" s="55" t="str">
        <f>IFERROR(__xludf.DUMMYFUNCTION("QUERY('Volunteer Survey'!E111)"),"Morgan.similuk@nih.gov")</f>
        <v>Morgan.similuk@nih.gov</v>
      </c>
      <c r="N104" s="55" t="str">
        <f>IFERROR(__xludf.DUMMYFUNCTION("QUERY('Volunteer Survey'!F111)"),"Genetic counselor")</f>
        <v>Genetic counselor</v>
      </c>
      <c r="O104" s="48" t="str">
        <f>IFERROR(__xludf.DUMMYFUNCTION("QUERY('Volunteer Survey'!H111)"),"Comprehensive")</f>
        <v>Comprehensive</v>
      </c>
      <c r="P104" s="55" t="str">
        <f>IFERROR(__xludf.DUMMYFUNCTION("QUERY('Volunteer Survey'!I111)"),"Clinical Actionability")</f>
        <v>Clinical Actionability</v>
      </c>
      <c r="Q104" s="60" t="str">
        <f>IFERROR(__xludf.DUMMYFUNCTION("QUERY('Volunteer Survey'!J111)"),"Gene-Disease Validity")</f>
        <v>Gene-Disease Validity</v>
      </c>
      <c r="R104" s="55" t="str">
        <f>IFERROR(__xludf.DUMMYFUNCTION("QUERY('Volunteer Survey'!K111)"),"Variant Pathogenicity")</f>
        <v>Variant Pathogenicity</v>
      </c>
      <c r="S104" s="55" t="str">
        <f>IFERROR(__xludf.DUMMYFUNCTION("QUERY('Volunteer Survey'!L111)"),"Dosage Sensitivity")</f>
        <v>Dosage Sensitivity</v>
      </c>
      <c r="T104" s="55" t="str">
        <f>IFERROR(__xludf.DUMMYFUNCTION("QUERY('Volunteer Survey'!M111)"),"Somatic Cancer")</f>
        <v>Somatic Cancer</v>
      </c>
      <c r="U104" s="64" t="str">
        <f>IFERROR(__xludf.DUMMYFUNCTION("QUERY('Volunteer Survey'!N111)"),"Yes")</f>
        <v>Yes</v>
      </c>
      <c r="V104" s="55" t="str">
        <f>IFERROR(__xludf.DUMMYFUNCTION("QUERY('Volunteer Survey'!O111)"),"No")</f>
        <v>No</v>
      </c>
      <c r="W104" s="66" t="str">
        <f>IFERROR(__xludf.DUMMYFUNCTION("QUERY('Volunteer Survey'!P111)"),"NA")</f>
        <v>NA</v>
      </c>
      <c r="X104" s="64" t="str">
        <f>IFERROR(__xludf.DUMMYFUNCTION("QUERY('Volunteer Survey'!R111)"),"Maybe -- please contact me with other options, and I will decide based on what is available")</f>
        <v>Maybe -- please contact me with other options, and I will decide based on what is available</v>
      </c>
      <c r="Y104" s="53"/>
      <c r="Z104" s="68"/>
      <c r="AA104" s="55"/>
      <c r="AB104" s="55"/>
      <c r="AC104" s="55"/>
      <c r="AD104" s="55"/>
      <c r="AE104" s="55"/>
      <c r="AF104" s="55"/>
      <c r="AG104" s="55"/>
      <c r="AH104" s="55"/>
      <c r="AI104" s="55"/>
      <c r="AJ104" s="55"/>
      <c r="AK104" s="55"/>
      <c r="AL104" s="55"/>
      <c r="AM104" s="55"/>
      <c r="AN104" s="55"/>
      <c r="AO104" s="55"/>
    </row>
    <row r="105">
      <c r="A105" s="50">
        <f>IFERROR(__xludf.DUMMYFUNCTION("QUERY('Volunteer Survey'!A112)"),43439.40657407408)</f>
        <v>43439.40657</v>
      </c>
      <c r="B105" s="48" t="s">
        <v>168</v>
      </c>
      <c r="C105" s="79">
        <v>43452.0</v>
      </c>
      <c r="D105" s="65">
        <v>43678.0</v>
      </c>
      <c r="E105" s="48" t="s">
        <v>117</v>
      </c>
      <c r="F105" s="48" t="s">
        <v>130</v>
      </c>
      <c r="G105" s="48" t="s">
        <v>19</v>
      </c>
      <c r="H105" s="51"/>
      <c r="I105" s="51" t="s">
        <v>139</v>
      </c>
      <c r="J105" s="48"/>
      <c r="K105" s="48"/>
      <c r="L105" s="55" t="str">
        <f>IFERROR(__xludf.DUMMYFUNCTION("QUERY('Volunteer Survey'!B112)"),"Sandra P Smieszek")</f>
        <v>Sandra P Smieszek</v>
      </c>
      <c r="M105" s="55" t="str">
        <f>IFERROR(__xludf.DUMMYFUNCTION("QUERY('Volunteer Survey'!E112)"),"sps92@case.edu")</f>
        <v>sps92@case.edu</v>
      </c>
      <c r="N105" s="55" t="str">
        <f>IFERROR(__xludf.DUMMYFUNCTION("QUERY('Volunteer Survey'!F112)"),"Post Doc/Resident/Fellow (MD and/or PhD)")</f>
        <v>Post Doc/Resident/Fellow (MD and/or PhD)</v>
      </c>
      <c r="O105" s="48" t="str">
        <f>IFERROR(__xludf.DUMMYFUNCTION("QUERY('Volunteer Survey'!H112)"),"Comprehensive")</f>
        <v>Comprehensive</v>
      </c>
      <c r="P105" s="55" t="str">
        <f>IFERROR(__xludf.DUMMYFUNCTION("QUERY('Volunteer Survey'!I112)"),"Clinical Actionability")</f>
        <v>Clinical Actionability</v>
      </c>
      <c r="Q105" s="60" t="str">
        <f>IFERROR(__xludf.DUMMYFUNCTION("QUERY('Volunteer Survey'!J112)"),"Gene-Disease Validity")</f>
        <v>Gene-Disease Validity</v>
      </c>
      <c r="R105" s="55" t="str">
        <f>IFERROR(__xludf.DUMMYFUNCTION("QUERY('Volunteer Survey'!K112)"),"Variant Pathogenicity")</f>
        <v>Variant Pathogenicity</v>
      </c>
      <c r="S105" s="55" t="str">
        <f>IFERROR(__xludf.DUMMYFUNCTION("QUERY('Volunteer Survey'!L112)"),"Dosage Sensitivity")</f>
        <v>Dosage Sensitivity</v>
      </c>
      <c r="T105" s="55" t="str">
        <f>IFERROR(__xludf.DUMMYFUNCTION("QUERY('Volunteer Survey'!M112)"),"Somatic Cancer")</f>
        <v>Somatic Cancer</v>
      </c>
      <c r="U105" s="64" t="str">
        <f>IFERROR(__xludf.DUMMYFUNCTION("QUERY('Volunteer Survey'!N112)"),"Yes")</f>
        <v>Yes</v>
      </c>
      <c r="V105" s="55" t="str">
        <f>IFERROR(__xludf.DUMMYFUNCTION("QUERY('Volunteer Survey'!O112)"),"No")</f>
        <v>No</v>
      </c>
      <c r="W105" s="66" t="str">
        <f>IFERROR(__xludf.DUMMYFUNCTION("QUERY('Volunteer Survey'!P112)"),"Autism")</f>
        <v>Autism</v>
      </c>
      <c r="X105" s="64" t="str">
        <f>IFERROR(__xludf.DUMMYFUNCTION("QUERY('Volunteer Survey'!R112)"),"Maybe -- please contact me with other options, and I will decide based on what is available")</f>
        <v>Maybe -- please contact me with other options, and I will decide based on what is available</v>
      </c>
      <c r="Y105" s="51" t="s">
        <v>345</v>
      </c>
      <c r="Z105" s="68"/>
      <c r="AA105" s="55"/>
      <c r="AB105" s="55"/>
      <c r="AC105" s="55"/>
      <c r="AD105" s="55"/>
      <c r="AE105" s="55"/>
      <c r="AF105" s="55"/>
      <c r="AG105" s="55"/>
      <c r="AH105" s="55"/>
      <c r="AI105" s="55"/>
      <c r="AJ105" s="55"/>
      <c r="AK105" s="55"/>
      <c r="AL105" s="55"/>
      <c r="AM105" s="55"/>
      <c r="AN105" s="55"/>
      <c r="AO105" s="55"/>
    </row>
    <row r="106">
      <c r="A106" s="50">
        <f>IFERROR(__xludf.DUMMYFUNCTION("QUERY('Volunteer Survey'!A113)"),43488.21571815973)</f>
        <v>43488.21572</v>
      </c>
      <c r="B106" s="48" t="s">
        <v>108</v>
      </c>
      <c r="C106" s="53"/>
      <c r="D106" s="55"/>
      <c r="E106" s="48" t="s">
        <v>130</v>
      </c>
      <c r="F106" s="48" t="s">
        <v>130</v>
      </c>
      <c r="G106" s="48" t="s">
        <v>202</v>
      </c>
      <c r="H106" s="53"/>
      <c r="I106" s="51" t="s">
        <v>139</v>
      </c>
      <c r="J106" s="55"/>
      <c r="K106" s="55"/>
      <c r="L106" s="55" t="str">
        <f>IFERROR(__xludf.DUMMYFUNCTION("QUERY('Volunteer Survey'!B113)"),"Can Ding")</f>
        <v>Can Ding</v>
      </c>
      <c r="M106" s="55" t="str">
        <f>IFERROR(__xludf.DUMMYFUNCTION("QUERY('Volunteer Survey'!E113)"),"can.ding@unimedizin-mainz.de")</f>
        <v>can.ding@unimedizin-mainz.de</v>
      </c>
      <c r="N106" s="55" t="str">
        <f>IFERROR(__xludf.DUMMYFUNCTION("QUERY('Volunteer Survey'!F113)"),"Clinical Medical Geneticist")</f>
        <v>Clinical Medical Geneticist</v>
      </c>
      <c r="O106" s="48" t="str">
        <f>IFERROR(__xludf.DUMMYFUNCTION("QUERY('Volunteer Survey'!H113)"),"Baseline")</f>
        <v>Baseline</v>
      </c>
      <c r="P106" s="55" t="str">
        <f>IFERROR(__xludf.DUMMYFUNCTION("QUERY('Volunteer Survey'!I113)"),"Gene-Disease Validity")</f>
        <v>Gene-Disease Validity</v>
      </c>
      <c r="Q106" s="60" t="str">
        <f>IFERROR(__xludf.DUMMYFUNCTION("QUERY('Volunteer Survey'!J113)"),"Variant Pathogenicity")</f>
        <v>Variant Pathogenicity</v>
      </c>
      <c r="R106" s="55" t="str">
        <f>IFERROR(__xludf.DUMMYFUNCTION("QUERY('Volunteer Survey'!K113)"),"Clinical Actionability")</f>
        <v>Clinical Actionability</v>
      </c>
      <c r="S106" s="55" t="str">
        <f>IFERROR(__xludf.DUMMYFUNCTION("QUERY('Volunteer Survey'!L113)"),"Dosage Sensitivity")</f>
        <v>Dosage Sensitivity</v>
      </c>
      <c r="T106" s="55" t="str">
        <f>IFERROR(__xludf.DUMMYFUNCTION("QUERY('Volunteer Survey'!M113)"),"Somatic Cancer")</f>
        <v>Somatic Cancer</v>
      </c>
      <c r="U106" s="64" t="str">
        <f>IFERROR(__xludf.DUMMYFUNCTION("QUERY('Volunteer Survey'!N113)"),"I have over two years experiences in variant classification.")</f>
        <v>I have over two years experiences in variant classification.</v>
      </c>
      <c r="V106" s="55" t="str">
        <f>IFERROR(__xludf.DUMMYFUNCTION("QUERY('Volunteer Survey'!O113)"),"Yes")</f>
        <v>Yes</v>
      </c>
      <c r="W106" s="66" t="str">
        <f>IFERROR(__xludf.DUMMYFUNCTION("QUERY('Volunteer Survey'!P113)"),"I would be interested in a muscular disorder group.")</f>
        <v>I would be interested in a muscular disorder group.</v>
      </c>
      <c r="X106" s="64" t="str">
        <f>IFERROR(__xludf.DUMMYFUNCTION("QUERY('Volunteer Survey'!R113)"),"Maybe -- please contact me with other options, and I will decide based on what is available")</f>
        <v>Maybe -- please contact me with other options, and I will decide based on what is available</v>
      </c>
      <c r="Y106" s="53"/>
      <c r="Z106" s="68"/>
      <c r="AA106" s="55"/>
      <c r="AB106" s="55"/>
      <c r="AC106" s="55"/>
      <c r="AD106" s="55"/>
      <c r="AE106" s="55"/>
      <c r="AF106" s="55"/>
      <c r="AG106" s="55"/>
      <c r="AH106" s="55"/>
      <c r="AI106" s="55"/>
      <c r="AJ106" s="55"/>
      <c r="AK106" s="55"/>
      <c r="AL106" s="55"/>
      <c r="AM106" s="55"/>
      <c r="AN106" s="55"/>
      <c r="AO106" s="55"/>
    </row>
    <row r="107">
      <c r="A107" s="50">
        <f>IFERROR(__xludf.DUMMYFUNCTION("QUERY('Volunteer Survey'!A114)"),43489.18665266204)</f>
        <v>43489.18665</v>
      </c>
      <c r="B107" s="48" t="s">
        <v>168</v>
      </c>
      <c r="C107" s="53"/>
      <c r="D107" s="55"/>
      <c r="E107" s="48" t="s">
        <v>130</v>
      </c>
      <c r="F107" s="48" t="s">
        <v>130</v>
      </c>
      <c r="G107" s="48" t="s">
        <v>136</v>
      </c>
      <c r="H107" s="53"/>
      <c r="I107" s="51" t="s">
        <v>139</v>
      </c>
      <c r="J107" s="55"/>
      <c r="K107" s="55"/>
      <c r="L107" s="55" t="str">
        <f>IFERROR(__xludf.DUMMYFUNCTION("QUERY('Volunteer Survey'!B114)"),"Milda Auglyte")</f>
        <v>Milda Auglyte</v>
      </c>
      <c r="M107" s="55" t="str">
        <f>IFERROR(__xludf.DUMMYFUNCTION("QUERY('Volunteer Survey'!E114)"),"mildaaug@gmail.com")</f>
        <v>mildaaug@gmail.com</v>
      </c>
      <c r="N107" s="55" t="str">
        <f>IFERROR(__xludf.DUMMYFUNCTION("QUERY('Volunteer Survey'!F114)"),"Graduate Student")</f>
        <v>Graduate Student</v>
      </c>
      <c r="O107" s="48" t="str">
        <f>IFERROR(__xludf.DUMMYFUNCTION("QUERY('Volunteer Survey'!H114)"),"Comprehensive")</f>
        <v>Comprehensive</v>
      </c>
      <c r="P107" s="55" t="str">
        <f>IFERROR(__xludf.DUMMYFUNCTION("QUERY('Volunteer Survey'!I114)"),"Somatic Cancer")</f>
        <v>Somatic Cancer</v>
      </c>
      <c r="Q107" s="60" t="str">
        <f>IFERROR(__xludf.DUMMYFUNCTION("QUERY('Volunteer Survey'!J114)"),"Clinical Actionability")</f>
        <v>Clinical Actionability</v>
      </c>
      <c r="R107" s="55" t="str">
        <f>IFERROR(__xludf.DUMMYFUNCTION("QUERY('Volunteer Survey'!K114)"),"Variant Pathogenicity")</f>
        <v>Variant Pathogenicity</v>
      </c>
      <c r="S107" s="55" t="str">
        <f>IFERROR(__xludf.DUMMYFUNCTION("QUERY('Volunteer Survey'!L114)"),"")</f>
        <v/>
      </c>
      <c r="T107" s="55" t="str">
        <f>IFERROR(__xludf.DUMMYFUNCTION("QUERY('Volunteer Survey'!M114)"),"")</f>
        <v/>
      </c>
      <c r="U107" s="64" t="str">
        <f>IFERROR(__xludf.DUMMYFUNCTION("QUERY('Volunteer Survey'!N114)"),"During my master's I performed NSCLC solid and liquid biopsies testing by target NGS. Nowadays, I'm still continuing this path, but additionally I am working with hereditary breast and ovarian cancer clinical testing.")</f>
        <v>During my master's I performed NSCLC solid and liquid biopsies testing by target NGS. Nowadays, I'm still continuing this path, but additionally I am working with hereditary breast and ovarian cancer clinical testing.</v>
      </c>
      <c r="V107" s="55" t="str">
        <f>IFERROR(__xludf.DUMMYFUNCTION("QUERY('Volunteer Survey'!O114)"),"Possibly")</f>
        <v>Possibly</v>
      </c>
      <c r="W107" s="66" t="str">
        <f>IFERROR(__xludf.DUMMYFUNCTION("QUERY('Volunteer Survey'!P114)"),"I would be interested in newly forming groups: Breast/Ovarian Cancer, Nonsmall cell lung cancer and Somatic TP53.")</f>
        <v>I would be interested in newly forming groups: Breast/Ovarian Cancer, Nonsmall cell lung cancer and Somatic TP53.</v>
      </c>
      <c r="X107" s="64" t="str">
        <f>IFERROR(__xludf.DUMMYFUNCTION("QUERY('Volunteer Survey'!R114)"),"Maybe -- please contact me with other options, and I will decide based on what is available")</f>
        <v>Maybe -- please contact me with other options, and I will decide based on what is available</v>
      </c>
      <c r="Y107" s="53"/>
      <c r="Z107" s="68"/>
      <c r="AA107" s="55"/>
      <c r="AB107" s="55"/>
      <c r="AC107" s="55"/>
      <c r="AD107" s="55"/>
      <c r="AE107" s="55"/>
      <c r="AF107" s="55"/>
      <c r="AG107" s="55"/>
      <c r="AH107" s="55"/>
      <c r="AI107" s="55"/>
      <c r="AJ107" s="55"/>
      <c r="AK107" s="55"/>
      <c r="AL107" s="55"/>
      <c r="AM107" s="55"/>
      <c r="AN107" s="55"/>
      <c r="AO107" s="55"/>
    </row>
    <row r="108">
      <c r="A108" s="50">
        <f>IFERROR(__xludf.DUMMYFUNCTION("QUERY('Volunteer Survey'!A115)"),43489.310416782406)</f>
        <v>43489.31042</v>
      </c>
      <c r="B108" s="48" t="s">
        <v>125</v>
      </c>
      <c r="C108" s="53"/>
      <c r="D108" s="55"/>
      <c r="E108" s="48" t="s">
        <v>130</v>
      </c>
      <c r="F108" s="48" t="s">
        <v>130</v>
      </c>
      <c r="G108" s="48" t="s">
        <v>136</v>
      </c>
      <c r="H108" s="51" t="s">
        <v>308</v>
      </c>
      <c r="I108" s="51" t="s">
        <v>139</v>
      </c>
      <c r="J108" s="56">
        <v>43592.0</v>
      </c>
      <c r="K108" s="56"/>
      <c r="L108" s="55" t="str">
        <f>IFERROR(__xludf.DUMMYFUNCTION("QUERY('Volunteer Survey'!B115)"),"Andres Ressia")</f>
        <v>Andres Ressia</v>
      </c>
      <c r="M108" s="55" t="str">
        <f>IFERROR(__xludf.DUMMYFUNCTION("QUERY('Volunteer Survey'!E115)"),"andresressiacolino@gmail.com")</f>
        <v>andresressiacolino@gmail.com</v>
      </c>
      <c r="N108" s="55" t="str">
        <f>IFERROR(__xludf.DUMMYFUNCTION("QUERY('Volunteer Survey'!F115)"),"Post-Bachelors")</f>
        <v>Post-Bachelors</v>
      </c>
      <c r="O108" s="48" t="str">
        <f>IFERROR(__xludf.DUMMYFUNCTION("QUERY('Volunteer Survey'!H115)"),"Comprehensive")</f>
        <v>Comprehensive</v>
      </c>
      <c r="P108" s="55" t="str">
        <f>IFERROR(__xludf.DUMMYFUNCTION("QUERY('Volunteer Survey'!I115)"),"Somatic Cancer")</f>
        <v>Somatic Cancer</v>
      </c>
      <c r="Q108" s="60" t="str">
        <f>IFERROR(__xludf.DUMMYFUNCTION("QUERY('Volunteer Survey'!J115)"),"Gene-Disease Validity")</f>
        <v>Gene-Disease Validity</v>
      </c>
      <c r="R108" s="55" t="str">
        <f>IFERROR(__xludf.DUMMYFUNCTION("QUERY('Volunteer Survey'!K115)"),"")</f>
        <v/>
      </c>
      <c r="S108" s="55" t="str">
        <f>IFERROR(__xludf.DUMMYFUNCTION("QUERY('Volunteer Survey'!L115)"),"")</f>
        <v/>
      </c>
      <c r="T108" s="55" t="str">
        <f>IFERROR(__xludf.DUMMYFUNCTION("QUERY('Volunteer Survey'!M115)"),"")</f>
        <v/>
      </c>
      <c r="U108" s="64" t="str">
        <f>IFERROR(__xludf.DUMMYFUNCTION("QUERY('Volunteer Survey'!N115)"),"No")</f>
        <v>No</v>
      </c>
      <c r="V108" s="55" t="str">
        <f>IFERROR(__xludf.DUMMYFUNCTION("QUERY('Volunteer Survey'!O115)"),"No")</f>
        <v>No</v>
      </c>
      <c r="W108" s="66" t="str">
        <f>IFERROR(__xludf.DUMMYFUNCTION("QUERY('Volunteer Survey'!P115)"),"Breast/Ovarian Cancer (newly forming)")</f>
        <v>Breast/Ovarian Cancer (newly forming)</v>
      </c>
      <c r="X108" s="64" t="str">
        <f>IFERROR(__xludf.DUMMYFUNCTION("QUERY('Volunteer Survey'!R115)"),"Maybe -- please contact me with other options, and I will decide based on what is available")</f>
        <v>Maybe -- please contact me with other options, and I will decide based on what is available</v>
      </c>
      <c r="Y108" s="53"/>
      <c r="Z108" s="68"/>
      <c r="AA108" s="55"/>
      <c r="AB108" s="55"/>
      <c r="AC108" s="55"/>
      <c r="AD108" s="55"/>
      <c r="AE108" s="55"/>
      <c r="AF108" s="55"/>
      <c r="AG108" s="55"/>
      <c r="AH108" s="55"/>
      <c r="AI108" s="55"/>
      <c r="AJ108" s="55"/>
      <c r="AK108" s="55"/>
      <c r="AL108" s="55"/>
      <c r="AM108" s="55"/>
      <c r="AN108" s="55"/>
      <c r="AO108" s="55"/>
    </row>
    <row r="109">
      <c r="A109" s="50">
        <f>IFERROR(__xludf.DUMMYFUNCTION("QUERY('Volunteer Survey'!A116)"),43354.42292824074)</f>
        <v>43354.42293</v>
      </c>
      <c r="B109" s="48" t="s">
        <v>160</v>
      </c>
      <c r="C109" s="79">
        <v>43452.0</v>
      </c>
      <c r="D109" s="49">
        <v>43581.0</v>
      </c>
      <c r="E109" s="48" t="s">
        <v>117</v>
      </c>
      <c r="F109" s="48" t="s">
        <v>130</v>
      </c>
      <c r="G109" s="48" t="s">
        <v>136</v>
      </c>
      <c r="H109" s="51" t="s">
        <v>306</v>
      </c>
      <c r="I109" s="51" t="s">
        <v>139</v>
      </c>
      <c r="J109" s="56">
        <v>43712.0</v>
      </c>
      <c r="K109" s="56"/>
      <c r="L109" s="55" t="str">
        <f>IFERROR(__xludf.DUMMYFUNCTION("QUERY('Volunteer Survey'!B116)"),"Parisa Lotfi")</f>
        <v>Parisa Lotfi</v>
      </c>
      <c r="M109" s="55" t="str">
        <f>IFERROR(__xludf.DUMMYFUNCTION("QUERY('Volunteer Survey'!E116)"),"Parisa_Lotfi@yahoo.com")</f>
        <v>Parisa_Lotfi@yahoo.com</v>
      </c>
      <c r="N109" s="55" t="str">
        <f>IFERROR(__xludf.DUMMYFUNCTION("QUERY('Volunteer Survey'!F116)"),"Post Doc/Resident/Fellow (MD and/or Phd), Scientific Researcher")</f>
        <v>Post Doc/Resident/Fellow (MD and/or Phd), Scientific Researcher</v>
      </c>
      <c r="O109" s="48" t="str">
        <f>IFERROR(__xludf.DUMMYFUNCTION("QUERY('Volunteer Survey'!H116)"),"Comprehensive")</f>
        <v>Comprehensive</v>
      </c>
      <c r="P109" s="55" t="str">
        <f>IFERROR(__xludf.DUMMYFUNCTION("QUERY('Volunteer Survey'!I116)"),"Somatic Cancer")</f>
        <v>Somatic Cancer</v>
      </c>
      <c r="Q109" s="60" t="str">
        <f>IFERROR(__xludf.DUMMYFUNCTION("QUERY('Volunteer Survey'!J116)"),"Dosage Sensitivity")</f>
        <v>Dosage Sensitivity</v>
      </c>
      <c r="R109" s="55" t="str">
        <f>IFERROR(__xludf.DUMMYFUNCTION("QUERY('Volunteer Survey'!K116)"),"Variant Pathogenicity")</f>
        <v>Variant Pathogenicity</v>
      </c>
      <c r="S109" s="55" t="str">
        <f>IFERROR(__xludf.DUMMYFUNCTION("QUERY('Volunteer Survey'!L116)"),"Gene-Disease Validity")</f>
        <v>Gene-Disease Validity</v>
      </c>
      <c r="T109" s="55" t="str">
        <f>IFERROR(__xludf.DUMMYFUNCTION("QUERY('Volunteer Survey'!M116)"),"")</f>
        <v/>
      </c>
      <c r="U109" s="64" t="str">
        <f>IFERROR(__xludf.DUMMYFUNCTION("QUERY('Volunteer Survey'!N116)"),"no")</f>
        <v>no</v>
      </c>
      <c r="V109" s="55" t="str">
        <f>IFERROR(__xludf.DUMMYFUNCTION("QUERY('Volunteer Survey'!O116)"),"Possibly")</f>
        <v>Possibly</v>
      </c>
      <c r="W109" s="66" t="str">
        <f>IFERROR(__xludf.DUMMYFUNCTION("QUERY('Volunteer Survey'!P116)"),"intellectual disability/autism group")</f>
        <v>intellectual disability/autism group</v>
      </c>
      <c r="X109" s="64" t="str">
        <f>IFERROR(__xludf.DUMMYFUNCTION("QUERY('Volunteer Survey'!R116)"),"Yes- I am willing to volunteer with any available ClinGen group")</f>
        <v>Yes- I am willing to volunteer with any available ClinGen group</v>
      </c>
      <c r="Y109" s="53"/>
      <c r="Z109" s="68"/>
      <c r="AA109" s="55"/>
      <c r="AB109" s="55"/>
      <c r="AC109" s="55"/>
      <c r="AD109" s="55"/>
      <c r="AE109" s="55"/>
      <c r="AF109" s="55"/>
      <c r="AG109" s="55"/>
      <c r="AH109" s="55"/>
      <c r="AI109" s="55"/>
      <c r="AJ109" s="55"/>
      <c r="AK109" s="55"/>
      <c r="AL109" s="55"/>
      <c r="AM109" s="55"/>
      <c r="AN109" s="55"/>
      <c r="AO109" s="55"/>
    </row>
    <row r="110">
      <c r="A110" s="50">
        <f>IFERROR(__xludf.DUMMYFUNCTION("QUERY('Volunteer Survey'!A117)"),43423.42459490741)</f>
        <v>43423.42459</v>
      </c>
      <c r="B110" s="48" t="s">
        <v>125</v>
      </c>
      <c r="C110" s="79">
        <v>43452.0</v>
      </c>
      <c r="D110" s="55"/>
      <c r="E110" s="48" t="s">
        <v>130</v>
      </c>
      <c r="F110" s="48" t="s">
        <v>130</v>
      </c>
      <c r="G110" s="48" t="s">
        <v>136</v>
      </c>
      <c r="H110" s="51" t="s">
        <v>308</v>
      </c>
      <c r="I110" s="51" t="s">
        <v>139</v>
      </c>
      <c r="J110" s="56">
        <v>43592.0</v>
      </c>
      <c r="K110" s="56">
        <v>43713.0</v>
      </c>
      <c r="L110" s="55" t="str">
        <f>IFERROR(__xludf.DUMMYFUNCTION("QUERY('Volunteer Survey'!B117)"),"Huei San Leong")</f>
        <v>Huei San Leong</v>
      </c>
      <c r="M110" s="55" t="str">
        <f>IFERROR(__xludf.DUMMYFUNCTION("QUERY('Volunteer Survey'!E117)"),"hueisan.leong@petermac.org")</f>
        <v>hueisan.leong@petermac.org</v>
      </c>
      <c r="N110" s="55" t="str">
        <f>IFERROR(__xludf.DUMMYFUNCTION("QUERY('Volunteer Survey'!F117)"),"Variant Analyst/Scientist")</f>
        <v>Variant Analyst/Scientist</v>
      </c>
      <c r="O110" s="48" t="str">
        <f>IFERROR(__xludf.DUMMYFUNCTION("QUERY('Volunteer Survey'!H117)"),"Comprehensive")</f>
        <v>Comprehensive</v>
      </c>
      <c r="P110" s="55" t="str">
        <f>IFERROR(__xludf.DUMMYFUNCTION("QUERY('Volunteer Survey'!I117)"),"Somatic Cancer")</f>
        <v>Somatic Cancer</v>
      </c>
      <c r="Q110" s="60" t="str">
        <f>IFERROR(__xludf.DUMMYFUNCTION("QUERY('Volunteer Survey'!J117)"),"Variant Pathogenicity")</f>
        <v>Variant Pathogenicity</v>
      </c>
      <c r="R110" s="55" t="str">
        <f>IFERROR(__xludf.DUMMYFUNCTION("QUERY('Volunteer Survey'!K117)"),"Clinical Actionability")</f>
        <v>Clinical Actionability</v>
      </c>
      <c r="S110" s="55" t="str">
        <f>IFERROR(__xludf.DUMMYFUNCTION("QUERY('Volunteer Survey'!L117)"),"Gene-Disease Validity")</f>
        <v>Gene-Disease Validity</v>
      </c>
      <c r="T110" s="55" t="str">
        <f>IFERROR(__xludf.DUMMYFUNCTION("QUERY('Volunteer Survey'!M117)"),"")</f>
        <v/>
      </c>
      <c r="U110" s="64" t="str">
        <f>IFERROR(__xludf.DUMMYFUNCTION("QUERY('Volunteer Survey'!N117)"),"Yes")</f>
        <v>Yes</v>
      </c>
      <c r="V110" s="55" t="str">
        <f>IFERROR(__xludf.DUMMYFUNCTION("QUERY('Volunteer Survey'!O117)"),"Yes")</f>
        <v>Yes</v>
      </c>
      <c r="W110" s="66" t="str">
        <f>IFERROR(__xludf.DUMMYFUNCTION("QUERY('Volunteer Survey'!P117)"),"1) Breast/Ovarian Cancer 2) Colorectal Cancer 3) CDH1")</f>
        <v>1) Breast/Ovarian Cancer 2) Colorectal Cancer 3) CDH1</v>
      </c>
      <c r="X110" s="64" t="str">
        <f>IFERROR(__xludf.DUMMYFUNCTION("QUERY('Volunteer Survey'!R117)"),"Maybe -- please contact me with other options, and I will decide based on what is available")</f>
        <v>Maybe -- please contact me with other options, and I will decide based on what is available</v>
      </c>
      <c r="Y110" s="92" t="s">
        <v>318</v>
      </c>
      <c r="Z110" s="68"/>
      <c r="AA110" s="55"/>
      <c r="AB110" s="55"/>
      <c r="AC110" s="55"/>
      <c r="AD110" s="55"/>
      <c r="AE110" s="55"/>
      <c r="AF110" s="55"/>
      <c r="AG110" s="55"/>
      <c r="AH110" s="55"/>
      <c r="AI110" s="55"/>
      <c r="AJ110" s="55"/>
      <c r="AK110" s="55"/>
      <c r="AL110" s="55"/>
      <c r="AM110" s="55"/>
      <c r="AN110" s="55"/>
      <c r="AO110" s="55"/>
    </row>
    <row r="111">
      <c r="A111" s="50">
        <f>IFERROR(__xludf.DUMMYFUNCTION("QUERY('Volunteer Survey'!A118)"),43439.427199074074)</f>
        <v>43439.4272</v>
      </c>
      <c r="B111" s="48" t="s">
        <v>168</v>
      </c>
      <c r="C111" s="79">
        <v>43452.0</v>
      </c>
      <c r="D111" s="55"/>
      <c r="E111" s="48" t="s">
        <v>130</v>
      </c>
      <c r="F111" s="48" t="s">
        <v>130</v>
      </c>
      <c r="G111" s="48" t="s">
        <v>136</v>
      </c>
      <c r="H111" s="53"/>
      <c r="I111" s="51" t="s">
        <v>139</v>
      </c>
      <c r="J111" s="55"/>
      <c r="K111" s="55"/>
      <c r="L111" s="55" t="str">
        <f>IFERROR(__xludf.DUMMYFUNCTION("QUERY('Volunteer Survey'!B118)"),"Pandurang Kolekar")</f>
        <v>Pandurang Kolekar</v>
      </c>
      <c r="M111" s="55" t="str">
        <f>IFERROR(__xludf.DUMMYFUNCTION("QUERY('Volunteer Survey'!E118)"),"pandurang.kolekar@gmail.com")</f>
        <v>pandurang.kolekar@gmail.com</v>
      </c>
      <c r="N111" s="55" t="str">
        <f>IFERROR(__xludf.DUMMYFUNCTION("QUERY('Volunteer Survey'!F118)"),"""Scientific Researcher, Biocurator, Variant Analyst/Scientist, Other (please specify): Bioinformatics Engineer""")</f>
        <v>"Scientific Researcher, Biocurator, Variant Analyst/Scientist, Other (please specify): Bioinformatics Engineer"</v>
      </c>
      <c r="O111" s="48" t="str">
        <f>IFERROR(__xludf.DUMMYFUNCTION("QUERY('Volunteer Survey'!H118)"),"Comprehensive")</f>
        <v>Comprehensive</v>
      </c>
      <c r="P111" s="55" t="str">
        <f>IFERROR(__xludf.DUMMYFUNCTION("QUERY('Volunteer Survey'!I118)"),"Somatic Cancer")</f>
        <v>Somatic Cancer</v>
      </c>
      <c r="Q111" s="60" t="str">
        <f>IFERROR(__xludf.DUMMYFUNCTION("QUERY('Volunteer Survey'!J118)"),"Variant Pathogenicity")</f>
        <v>Variant Pathogenicity</v>
      </c>
      <c r="R111" s="55" t="str">
        <f>IFERROR(__xludf.DUMMYFUNCTION("QUERY('Volunteer Survey'!K118)"),"Gene-Disease Validity")</f>
        <v>Gene-Disease Validity</v>
      </c>
      <c r="S111" s="55" t="str">
        <f>IFERROR(__xludf.DUMMYFUNCTION("QUERY('Volunteer Survey'!L118)"),"Clinical Actionability")</f>
        <v>Clinical Actionability</v>
      </c>
      <c r="T111" s="55" t="str">
        <f>IFERROR(__xludf.DUMMYFUNCTION("QUERY('Volunteer Survey'!M118)"),"Dosage Sensitivity")</f>
        <v>Dosage Sensitivity</v>
      </c>
      <c r="U111" s="64" t="str">
        <f>IFERROR(__xludf.DUMMYFUNCTION("QUERY('Volunteer Survey'!N118)"),"Yes")</f>
        <v>Yes</v>
      </c>
      <c r="V111" s="55" t="str">
        <f>IFERROR(__xludf.DUMMYFUNCTION("QUERY('Volunteer Survey'!O118)"),"Possibly")</f>
        <v>Possibly</v>
      </c>
      <c r="W111" s="66" t="str">
        <f>IFERROR(__xludf.DUMMYFUNCTION("QUERY('Volunteer Survey'!P118)"),"Somatic cancer WG")</f>
        <v>Somatic cancer WG</v>
      </c>
      <c r="X111" s="64" t="str">
        <f>IFERROR(__xludf.DUMMYFUNCTION("QUERY('Volunteer Survey'!R118)"),"Maybe -- please contact me with other options, and I will decide based on what is available")</f>
        <v>Maybe -- please contact me with other options, and I will decide based on what is available</v>
      </c>
      <c r="Y111" s="53"/>
      <c r="Z111" s="68"/>
      <c r="AA111" s="55"/>
      <c r="AB111" s="55"/>
      <c r="AC111" s="55"/>
      <c r="AD111" s="55"/>
      <c r="AE111" s="55"/>
      <c r="AF111" s="55"/>
      <c r="AG111" s="55"/>
      <c r="AH111" s="55"/>
      <c r="AI111" s="55"/>
      <c r="AJ111" s="55"/>
      <c r="AK111" s="55"/>
      <c r="AL111" s="55"/>
      <c r="AM111" s="55"/>
      <c r="AN111" s="55"/>
      <c r="AO111" s="55"/>
    </row>
    <row r="112">
      <c r="A112" s="50">
        <f>IFERROR(__xludf.DUMMYFUNCTION("QUERY('Volunteer Survey'!A119)"),43494.45647408565)</f>
        <v>43494.45647</v>
      </c>
      <c r="B112" s="48" t="s">
        <v>168</v>
      </c>
      <c r="C112" s="53"/>
      <c r="D112" s="55"/>
      <c r="E112" s="48" t="s">
        <v>130</v>
      </c>
      <c r="F112" s="48" t="s">
        <v>130</v>
      </c>
      <c r="G112" s="48" t="s">
        <v>19</v>
      </c>
      <c r="H112" s="69"/>
      <c r="I112" s="69" t="s">
        <v>139</v>
      </c>
      <c r="J112" s="55"/>
      <c r="K112" s="55"/>
      <c r="L112" s="55" t="str">
        <f>IFERROR(__xludf.DUMMYFUNCTION("QUERY('Volunteer Survey'!B119)"),"Samata Singhi")</f>
        <v>Samata Singhi</v>
      </c>
      <c r="M112" s="55" t="str">
        <f>IFERROR(__xludf.DUMMYFUNCTION("QUERY('Volunteer Survey'!E119)"),"samata.singhi@gmail.com")</f>
        <v>samata.singhi@gmail.com</v>
      </c>
      <c r="N112" s="55" t="str">
        <f>IFERROR(__xludf.DUMMYFUNCTION("QUERY('Volunteer Survey'!F119)"),"Physician (Non-geneticist)")</f>
        <v>Physician (Non-geneticist)</v>
      </c>
      <c r="O112" s="48" t="str">
        <f>IFERROR(__xludf.DUMMYFUNCTION("QUERY('Volunteer Survey'!H119)"),"Comprehensive")</f>
        <v>Comprehensive</v>
      </c>
      <c r="P112" s="55" t="str">
        <f>IFERROR(__xludf.DUMMYFUNCTION("QUERY('Volunteer Survey'!I119)"),"Clinical Actionability")</f>
        <v>Clinical Actionability</v>
      </c>
      <c r="Q112" s="60" t="str">
        <f>IFERROR(__xludf.DUMMYFUNCTION("QUERY('Volunteer Survey'!J119)"),"Gene-Disease Validity")</f>
        <v>Gene-Disease Validity</v>
      </c>
      <c r="R112" s="55" t="str">
        <f>IFERROR(__xludf.DUMMYFUNCTION("QUERY('Volunteer Survey'!K119)"),"")</f>
        <v/>
      </c>
      <c r="S112" s="55" t="str">
        <f>IFERROR(__xludf.DUMMYFUNCTION("QUERY('Volunteer Survey'!L119)"),"")</f>
        <v/>
      </c>
      <c r="T112" s="55" t="str">
        <f>IFERROR(__xludf.DUMMYFUNCTION("QUERY('Volunteer Survey'!M119)"),"")</f>
        <v/>
      </c>
      <c r="U112" s="64" t="str">
        <f>IFERROR(__xludf.DUMMYFUNCTION("QUERY('Volunteer Survey'!N119)"),"")</f>
        <v/>
      </c>
      <c r="V112" s="55" t="str">
        <f>IFERROR(__xludf.DUMMYFUNCTION("QUERY('Volunteer Survey'!O119)"),"Possibly")</f>
        <v>Possibly</v>
      </c>
      <c r="W112" s="66" t="str">
        <f>IFERROR(__xludf.DUMMYFUNCTION("QUERY('Volunteer Survey'!P119)"),"Epilepsy")</f>
        <v>Epilepsy</v>
      </c>
      <c r="X112" s="64" t="str">
        <f>IFERROR(__xludf.DUMMYFUNCTION("QUERY('Volunteer Survey'!R119)"),"Maybe -- please contact me with other options, and I will decide based on what is available")</f>
        <v>Maybe -- please contact me with other options, and I will decide based on what is available</v>
      </c>
      <c r="Y112" s="53"/>
      <c r="Z112" s="68"/>
      <c r="AA112" s="55"/>
      <c r="AB112" s="55"/>
      <c r="AC112" s="55"/>
      <c r="AD112" s="55"/>
      <c r="AE112" s="55"/>
      <c r="AF112" s="55"/>
      <c r="AG112" s="55"/>
      <c r="AH112" s="55"/>
      <c r="AI112" s="55"/>
      <c r="AJ112" s="55"/>
      <c r="AK112" s="55"/>
      <c r="AL112" s="55"/>
      <c r="AM112" s="55"/>
      <c r="AN112" s="55"/>
      <c r="AO112" s="55"/>
    </row>
    <row r="113">
      <c r="A113" s="50">
        <f>IFERROR(__xludf.DUMMYFUNCTION("QUERY('Volunteer Survey'!A120)"),43496.573591817134)</f>
        <v>43496.57359</v>
      </c>
      <c r="B113" s="48" t="s">
        <v>108</v>
      </c>
      <c r="C113" s="53"/>
      <c r="D113" s="65">
        <v>43692.0</v>
      </c>
      <c r="E113" s="48" t="s">
        <v>117</v>
      </c>
      <c r="F113" s="48" t="s">
        <v>130</v>
      </c>
      <c r="G113" s="48" t="s">
        <v>122</v>
      </c>
      <c r="H113" s="53"/>
      <c r="I113" s="51" t="s">
        <v>139</v>
      </c>
      <c r="J113" s="55"/>
      <c r="K113" s="55"/>
      <c r="L113" s="55" t="str">
        <f>IFERROR(__xludf.DUMMYFUNCTION("QUERY('Volunteer Survey'!B120)"),"Szabolcs Szelinger")</f>
        <v>Szabolcs Szelinger</v>
      </c>
      <c r="M113" s="55" t="str">
        <f>IFERROR(__xludf.DUMMYFUNCTION("QUERY('Volunteer Survey'!E120)"),"sszelinger@tgen.org")</f>
        <v>sszelinger@tgen.org</v>
      </c>
      <c r="N113" s="55" t="str">
        <f>IFERROR(__xludf.DUMMYFUNCTION("QUERY('Volunteer Survey'!F120)"),"Clinical laboratory geneticist")</f>
        <v>Clinical laboratory geneticist</v>
      </c>
      <c r="O113" s="48" t="str">
        <f>IFERROR(__xludf.DUMMYFUNCTION("QUERY('Volunteer Survey'!H120)"),"Comprehensive")</f>
        <v>Comprehensive</v>
      </c>
      <c r="P113" s="55" t="str">
        <f>IFERROR(__xludf.DUMMYFUNCTION("QUERY('Volunteer Survey'!I120)"),"Gene-Disease Validity")</f>
        <v>Gene-Disease Validity</v>
      </c>
      <c r="Q113" s="60" t="str">
        <f>IFERROR(__xludf.DUMMYFUNCTION("QUERY('Volunteer Survey'!J120)"),"Variant Pathogenicity")</f>
        <v>Variant Pathogenicity</v>
      </c>
      <c r="R113" s="55" t="str">
        <f>IFERROR(__xludf.DUMMYFUNCTION("QUERY('Volunteer Survey'!K120)"),"Somatic Cancer")</f>
        <v>Somatic Cancer</v>
      </c>
      <c r="S113" s="55" t="str">
        <f>IFERROR(__xludf.DUMMYFUNCTION("QUERY('Volunteer Survey'!L120)"),"Clinical Actionability")</f>
        <v>Clinical Actionability</v>
      </c>
      <c r="T113" s="55" t="str">
        <f>IFERROR(__xludf.DUMMYFUNCTION("QUERY('Volunteer Survey'!M120)"),"")</f>
        <v/>
      </c>
      <c r="U113" s="64" t="str">
        <f>IFERROR(__xludf.DUMMYFUNCTION("QUERY('Volunteer Survey'!N120)"),"As an ACMG fellow at UCLA, and at the CLIA lab I work, we routinely assess variants for pathogenicity and disease-gene validity. In addition, I have experience in curating somatic mutations for actionability. In the research laboratory we sequenced and in"&amp;"terpreted hundreds of trio exomes in rare pediatric disease. ")</f>
        <v>As an ACMG fellow at UCLA, and at the CLIA lab I work, we routinely assess variants for pathogenicity and disease-gene validity. In addition, I have experience in curating somatic mutations for actionability. In the research laboratory we sequenced and interpreted hundreds of trio exomes in rare pediatric disease. </v>
      </c>
      <c r="V113" s="55" t="str">
        <f>IFERROR(__xludf.DUMMYFUNCTION("QUERY('Volunteer Survey'!O120)"),"Possibly")</f>
        <v>Possibly</v>
      </c>
      <c r="W113" s="66" t="str">
        <f>IFERROR(__xludf.DUMMYFUNCTION("QUERY('Volunteer Survey'!P120)"),"There are many interesting groups such as the mitochondrial disease, inherited cardiomyopathy, Epilepsy and Somatic TP53 group.")</f>
        <v>There are many interesting groups such as the mitochondrial disease, inherited cardiomyopathy, Epilepsy and Somatic TP53 group.</v>
      </c>
      <c r="X113" s="64" t="str">
        <f>IFERROR(__xludf.DUMMYFUNCTION("QUERY('Volunteer Survey'!R120)"),"Yes- I am willing to volunteer with any available ClinGen group")</f>
        <v>Yes- I am willing to volunteer with any available ClinGen group</v>
      </c>
      <c r="Y113" s="53"/>
      <c r="Z113" s="68"/>
      <c r="AA113" s="55"/>
      <c r="AB113" s="55"/>
      <c r="AC113" s="55"/>
      <c r="AD113" s="55"/>
      <c r="AE113" s="55"/>
      <c r="AF113" s="55"/>
      <c r="AG113" s="55"/>
      <c r="AH113" s="55"/>
      <c r="AI113" s="55"/>
      <c r="AJ113" s="55"/>
      <c r="AK113" s="55"/>
      <c r="AL113" s="55"/>
      <c r="AM113" s="55"/>
      <c r="AN113" s="55"/>
      <c r="AO113" s="55"/>
    </row>
    <row r="114">
      <c r="A114" s="50">
        <f>IFERROR(__xludf.DUMMYFUNCTION("QUERY('Volunteer Survey'!A121)"),43431.472766203704)</f>
        <v>43431.47277</v>
      </c>
      <c r="B114" s="48" t="s">
        <v>168</v>
      </c>
      <c r="C114" s="79">
        <v>43452.0</v>
      </c>
      <c r="D114" s="55"/>
      <c r="E114" s="48" t="s">
        <v>130</v>
      </c>
      <c r="F114" s="48" t="s">
        <v>130</v>
      </c>
      <c r="G114" s="48" t="s">
        <v>136</v>
      </c>
      <c r="H114" s="53"/>
      <c r="I114" s="51" t="s">
        <v>139</v>
      </c>
      <c r="J114" s="55"/>
      <c r="K114" s="55"/>
      <c r="L114" s="55" t="str">
        <f>IFERROR(__xludf.DUMMYFUNCTION("QUERY('Volunteer Survey'!B121)"),"Jianhong Zhou")</f>
        <v>Jianhong Zhou</v>
      </c>
      <c r="M114" s="55" t="str">
        <f>IFERROR(__xludf.DUMMYFUNCTION("QUERY('Volunteer Survey'!E121)"),"jhzhou2008@hotmail.com")</f>
        <v>jhzhou2008@hotmail.com</v>
      </c>
      <c r="N114" s="55" t="str">
        <f>IFERROR(__xludf.DUMMYFUNCTION("QUERY('Volunteer Survey'!F121)"),"Post Doc/Resident/Fellow (MD and/or Phd), Scientific Researcher, Focus on bioinformatics and computational biology")</f>
        <v>Post Doc/Resident/Fellow (MD and/or Phd), Scientific Researcher, Focus on bioinformatics and computational biology</v>
      </c>
      <c r="O114" s="48" t="str">
        <f>IFERROR(__xludf.DUMMYFUNCTION("QUERY('Volunteer Survey'!H121)"),"Comprehensive")</f>
        <v>Comprehensive</v>
      </c>
      <c r="P114" s="55" t="str">
        <f>IFERROR(__xludf.DUMMYFUNCTION("QUERY('Volunteer Survey'!I121)"),"Somatic Cancer")</f>
        <v>Somatic Cancer</v>
      </c>
      <c r="Q114" s="60" t="str">
        <f>IFERROR(__xludf.DUMMYFUNCTION("QUERY('Volunteer Survey'!J121)"),"Gene-Disease Validity")</f>
        <v>Gene-Disease Validity</v>
      </c>
      <c r="R114" s="55" t="str">
        <f>IFERROR(__xludf.DUMMYFUNCTION("QUERY('Volunteer Survey'!K121)"),"Variant Pathogenicity")</f>
        <v>Variant Pathogenicity</v>
      </c>
      <c r="S114" s="55" t="str">
        <f>IFERROR(__xludf.DUMMYFUNCTION("QUERY('Volunteer Survey'!L121)"),"Clinical Actionability")</f>
        <v>Clinical Actionability</v>
      </c>
      <c r="T114" s="55" t="str">
        <f>IFERROR(__xludf.DUMMYFUNCTION("QUERY('Volunteer Survey'!M121)"),"Dosage Sensitivity")</f>
        <v>Dosage Sensitivity</v>
      </c>
      <c r="U114" s="64" t="str">
        <f>IFERROR(__xludf.DUMMYFUNCTION("QUERY('Volunteer Survey'!N121)"),"No")</f>
        <v>No</v>
      </c>
      <c r="V114" s="55" t="str">
        <f>IFERROR(__xludf.DUMMYFUNCTION("QUERY('Volunteer Survey'!O121)"),"Yes")</f>
        <v>Yes</v>
      </c>
      <c r="W114" s="66" t="str">
        <f>IFERROR(__xludf.DUMMYFUNCTION("QUERY('Volunteer Survey'!P121)"),"Somatic Cancer WG")</f>
        <v>Somatic Cancer WG</v>
      </c>
      <c r="X114" s="64" t="str">
        <f>IFERROR(__xludf.DUMMYFUNCTION("QUERY('Volunteer Survey'!R121)"),"Yes- I am willing to volunteer with any available ClinGen group")</f>
        <v>Yes- I am willing to volunteer with any available ClinGen group</v>
      </c>
      <c r="Y114" s="53"/>
      <c r="Z114" s="68"/>
      <c r="AA114" s="55"/>
      <c r="AB114" s="55"/>
      <c r="AC114" s="55"/>
      <c r="AD114" s="55"/>
      <c r="AE114" s="55"/>
      <c r="AF114" s="55"/>
      <c r="AG114" s="55"/>
      <c r="AH114" s="55"/>
      <c r="AI114" s="55"/>
      <c r="AJ114" s="55"/>
      <c r="AK114" s="55"/>
      <c r="AL114" s="55"/>
      <c r="AM114" s="55"/>
      <c r="AN114" s="55"/>
      <c r="AO114" s="55"/>
    </row>
    <row r="115">
      <c r="A115" s="50">
        <f>IFERROR(__xludf.DUMMYFUNCTION("QUERY('Volunteer Survey'!A122)"),43498.50725701389)</f>
        <v>43498.50726</v>
      </c>
      <c r="B115" s="48" t="s">
        <v>168</v>
      </c>
      <c r="C115" s="53"/>
      <c r="D115" s="73">
        <v>43567.0</v>
      </c>
      <c r="E115" s="48" t="s">
        <v>117</v>
      </c>
      <c r="F115" s="48" t="s">
        <v>117</v>
      </c>
      <c r="G115" s="48" t="s">
        <v>19</v>
      </c>
      <c r="H115" s="69" t="s">
        <v>19</v>
      </c>
      <c r="I115" s="69" t="s">
        <v>139</v>
      </c>
      <c r="J115" s="56">
        <v>43712.0</v>
      </c>
      <c r="K115" s="56"/>
      <c r="L115" s="55" t="str">
        <f>IFERROR(__xludf.DUMMYFUNCTION("QUERY('Volunteer Survey'!B122)"),"Ramesh Vaidyanathan")</f>
        <v>Ramesh Vaidyanathan</v>
      </c>
      <c r="M115" s="55" t="str">
        <f>IFERROR(__xludf.DUMMYFUNCTION("QUERY('Volunteer Survey'!E122)"),"vaid@rocketmail.com")</f>
        <v>vaid@rocketmail.com</v>
      </c>
      <c r="N115" s="55" t="str">
        <f>IFERROR(__xludf.DUMMYFUNCTION("QUERY('Volunteer Survey'!F122)"),"Biotech Professional with Biochemistry and Genomics background and a Citizen Scientist")</f>
        <v>Biotech Professional with Biochemistry and Genomics background and a Citizen Scientist</v>
      </c>
      <c r="O115" s="48" t="str">
        <f>IFERROR(__xludf.DUMMYFUNCTION("QUERY('Volunteer Survey'!H122)"),"Comprehensive")</f>
        <v>Comprehensive</v>
      </c>
      <c r="P115" s="55" t="str">
        <f>IFERROR(__xludf.DUMMYFUNCTION("QUERY('Volunteer Survey'!I122)"),"Clinical Actionability")</f>
        <v>Clinical Actionability</v>
      </c>
      <c r="Q115" s="60" t="str">
        <f>IFERROR(__xludf.DUMMYFUNCTION("QUERY('Volunteer Survey'!J122)"),"Dosage Sensitivity")</f>
        <v>Dosage Sensitivity</v>
      </c>
      <c r="R115" s="55" t="str">
        <f>IFERROR(__xludf.DUMMYFUNCTION("QUERY('Volunteer Survey'!K122)"),"Somatic Cancer")</f>
        <v>Somatic Cancer</v>
      </c>
      <c r="S115" s="55" t="str">
        <f>IFERROR(__xludf.DUMMYFUNCTION("QUERY('Volunteer Survey'!L122)"),"Gene-Disease Validity")</f>
        <v>Gene-Disease Validity</v>
      </c>
      <c r="T115" s="55" t="str">
        <f>IFERROR(__xludf.DUMMYFUNCTION("QUERY('Volunteer Survey'!M122)"),"Variant Pathogenicity")</f>
        <v>Variant Pathogenicity</v>
      </c>
      <c r="U115" s="64" t="str">
        <f>IFERROR(__xludf.DUMMYFUNCTION("QUERY('Volunteer Survey'!N122)"),"No ")</f>
        <v>No </v>
      </c>
      <c r="V115" s="55" t="str">
        <f>IFERROR(__xludf.DUMMYFUNCTION("QUERY('Volunteer Survey'!O122)"),"Yes")</f>
        <v>Yes</v>
      </c>
      <c r="W115" s="66" t="str">
        <f>IFERROR(__xludf.DUMMYFUNCTION("QUERY('Volunteer Survey'!P122)"),"")</f>
        <v/>
      </c>
      <c r="X115" s="64" t="str">
        <f>IFERROR(__xludf.DUMMYFUNCTION("QUERY('Volunteer Survey'!R122)"),"Yes- I am willing to volunteer with any available ClinGen group")</f>
        <v>Yes- I am willing to volunteer with any available ClinGen group</v>
      </c>
      <c r="Y115" s="53"/>
      <c r="Z115" s="68"/>
      <c r="AA115" s="55"/>
      <c r="AB115" s="55"/>
      <c r="AC115" s="55"/>
      <c r="AD115" s="55"/>
      <c r="AE115" s="55"/>
      <c r="AF115" s="55"/>
      <c r="AG115" s="55"/>
      <c r="AH115" s="55"/>
      <c r="AI115" s="55"/>
      <c r="AJ115" s="55"/>
      <c r="AK115" s="55"/>
      <c r="AL115" s="55"/>
      <c r="AM115" s="55"/>
      <c r="AN115" s="55"/>
      <c r="AO115" s="55"/>
    </row>
    <row r="116">
      <c r="A116" s="50">
        <f>IFERROR(__xludf.DUMMYFUNCTION("QUERY('Volunteer Survey'!A123)"),43504.64437269676)</f>
        <v>43504.64437</v>
      </c>
      <c r="B116" s="48" t="s">
        <v>108</v>
      </c>
      <c r="C116" s="53"/>
      <c r="D116" s="49">
        <v>43598.0</v>
      </c>
      <c r="E116" s="48" t="s">
        <v>117</v>
      </c>
      <c r="F116" s="48" t="s">
        <v>130</v>
      </c>
      <c r="G116" s="48" t="s">
        <v>136</v>
      </c>
      <c r="H116" s="53"/>
      <c r="I116" s="51" t="s">
        <v>139</v>
      </c>
      <c r="J116" s="55"/>
      <c r="K116" s="55"/>
      <c r="L116" s="55" t="str">
        <f>IFERROR(__xludf.DUMMYFUNCTION("QUERY('Volunteer Survey'!B123)"),"Ranjit Shetty")</f>
        <v>Ranjit Shetty</v>
      </c>
      <c r="M116" s="55" t="str">
        <f>IFERROR(__xludf.DUMMYFUNCTION("QUERY('Volunteer Survey'!E123)"),"ranjit.shetty@novartis.com")</f>
        <v>ranjit.shetty@novartis.com</v>
      </c>
      <c r="N116" s="55" t="str">
        <f>IFERROR(__xludf.DUMMYFUNCTION("QUERY('Volunteer Survey'!F123)"),"Scientific Researcher")</f>
        <v>Scientific Researcher</v>
      </c>
      <c r="O116" s="48" t="str">
        <f>IFERROR(__xludf.DUMMYFUNCTION("QUERY('Volunteer Survey'!H123)"),"Comprehensive")</f>
        <v>Comprehensive</v>
      </c>
      <c r="P116" s="55" t="str">
        <f>IFERROR(__xludf.DUMMYFUNCTION("QUERY('Volunteer Survey'!I123)"),"Somatic Cancer")</f>
        <v>Somatic Cancer</v>
      </c>
      <c r="Q116" s="60" t="str">
        <f>IFERROR(__xludf.DUMMYFUNCTION("QUERY('Volunteer Survey'!J123)"),"Variant Pathogenicity")</f>
        <v>Variant Pathogenicity</v>
      </c>
      <c r="R116" s="55" t="str">
        <f>IFERROR(__xludf.DUMMYFUNCTION("QUERY('Volunteer Survey'!K123)"),"Gene-Disease Validity")</f>
        <v>Gene-Disease Validity</v>
      </c>
      <c r="S116" s="55" t="str">
        <f>IFERROR(__xludf.DUMMYFUNCTION("QUERY('Volunteer Survey'!L123)"),"Clinical Actionability")</f>
        <v>Clinical Actionability</v>
      </c>
      <c r="T116" s="55" t="str">
        <f>IFERROR(__xludf.DUMMYFUNCTION("QUERY('Volunteer Survey'!M123)"),"Dosage Sensitivity")</f>
        <v>Dosage Sensitivity</v>
      </c>
      <c r="U116" s="64" t="str">
        <f>IFERROR(__xludf.DUMMYFUNCTION("QUERY('Volunteer Survey'!N123)"),"Evaluating TP53 and NF2 variants from NGS data")</f>
        <v>Evaluating TP53 and NF2 variants from NGS data</v>
      </c>
      <c r="V116" s="55" t="str">
        <f>IFERROR(__xludf.DUMMYFUNCTION("QUERY('Volunteer Survey'!O123)"),"No")</f>
        <v>No</v>
      </c>
      <c r="W116" s="66" t="str">
        <f>IFERROR(__xludf.DUMMYFUNCTION("QUERY('Volunteer Survey'!P123)"),"")</f>
        <v/>
      </c>
      <c r="X116" s="64" t="str">
        <f>IFERROR(__xludf.DUMMYFUNCTION("QUERY('Volunteer Survey'!R123)"),"Maybe -- please contact me with other options, and I will decide based on what is available")</f>
        <v>Maybe -- please contact me with other options, and I will decide based on what is available</v>
      </c>
      <c r="Y116" s="51" t="s">
        <v>346</v>
      </c>
      <c r="Z116" s="68"/>
      <c r="AA116" s="55"/>
      <c r="AB116" s="55"/>
      <c r="AC116" s="55"/>
      <c r="AD116" s="55"/>
      <c r="AE116" s="55"/>
      <c r="AF116" s="55"/>
      <c r="AG116" s="55"/>
      <c r="AH116" s="55"/>
      <c r="AI116" s="55"/>
      <c r="AJ116" s="55"/>
      <c r="AK116" s="55"/>
      <c r="AL116" s="55"/>
      <c r="AM116" s="55"/>
      <c r="AN116" s="55"/>
      <c r="AO116" s="55"/>
    </row>
    <row r="117">
      <c r="A117" s="50">
        <f>IFERROR(__xludf.DUMMYFUNCTION("QUERY('Volunteer Survey'!A124)"),43510.15695694444)</f>
        <v>43510.15696</v>
      </c>
      <c r="B117" s="48" t="s">
        <v>108</v>
      </c>
      <c r="C117" s="53"/>
      <c r="D117" s="65">
        <v>43696.0</v>
      </c>
      <c r="E117" s="48" t="s">
        <v>117</v>
      </c>
      <c r="F117" s="48" t="s">
        <v>130</v>
      </c>
      <c r="G117" s="48" t="s">
        <v>122</v>
      </c>
      <c r="H117" s="53"/>
      <c r="I117" s="51" t="s">
        <v>139</v>
      </c>
      <c r="J117" s="55"/>
      <c r="K117" s="55"/>
      <c r="L117" s="55" t="str">
        <f>IFERROR(__xludf.DUMMYFUNCTION("QUERY('Volunteer Survey'!B124)"),"Brooke H. Miller")</f>
        <v>Brooke H. Miller</v>
      </c>
      <c r="M117" s="55" t="str">
        <f>IFERROR(__xludf.DUMMYFUNCTION("QUERY('Volunteer Survey'!E124)"),"brooke.h.miller@gmail.com")</f>
        <v>brooke.h.miller@gmail.com</v>
      </c>
      <c r="N117" s="55" t="str">
        <f>IFERROR(__xludf.DUMMYFUNCTION("QUERY('Volunteer Survey'!F124)"),"Scientific Researcher")</f>
        <v>Scientific Researcher</v>
      </c>
      <c r="O117" s="48" t="str">
        <f>IFERROR(__xludf.DUMMYFUNCTION("QUERY('Volunteer Survey'!H124)"),"Comprehensive")</f>
        <v>Comprehensive</v>
      </c>
      <c r="P117" s="55" t="str">
        <f>IFERROR(__xludf.DUMMYFUNCTION("QUERY('Volunteer Survey'!I124)"),"Gene-Disease Validity")</f>
        <v>Gene-Disease Validity</v>
      </c>
      <c r="Q117" s="60" t="str">
        <f>IFERROR(__xludf.DUMMYFUNCTION("QUERY('Volunteer Survey'!J124)"),"Variant Pathogenicity")</f>
        <v>Variant Pathogenicity</v>
      </c>
      <c r="R117" s="55" t="str">
        <f>IFERROR(__xludf.DUMMYFUNCTION("QUERY('Volunteer Survey'!K124)"),"Clinical Actionability")</f>
        <v>Clinical Actionability</v>
      </c>
      <c r="S117" s="55" t="str">
        <f>IFERROR(__xludf.DUMMYFUNCTION("QUERY('Volunteer Survey'!L124)"),"")</f>
        <v/>
      </c>
      <c r="T117" s="55" t="str">
        <f>IFERROR(__xludf.DUMMYFUNCTION("QUERY('Volunteer Survey'!M124)"),"")</f>
        <v/>
      </c>
      <c r="U117" s="64" t="str">
        <f>IFERROR(__xludf.DUMMYFUNCTION("QUERY('Volunteer Survey'!N124)"),"Yes--used inbred strain haplotype mapping, gene expression analysis, and re-sequencing to identify SNPs associated with behavioral despair and antidepressant efficacy in mice. Research profile available: https://www.researchgate.net/profile/Brooke_Miller3")</f>
        <v>Yes--used inbred strain haplotype mapping, gene expression analysis, and re-sequencing to identify SNPs associated with behavioral despair and antidepressant efficacy in mice. Research profile available: https://www.researchgate.net/profile/Brooke_Miller3</v>
      </c>
      <c r="V117" s="55" t="str">
        <f>IFERROR(__xludf.DUMMYFUNCTION("QUERY('Volunteer Survey'!O124)"),"Possibly")</f>
        <v>Possibly</v>
      </c>
      <c r="W117" s="66" t="str">
        <f>IFERROR(__xludf.DUMMYFUNCTION("QUERY('Volunteer Survey'!P124)"),"Not at the moment, but wouldn't rule out future involvement")</f>
        <v>Not at the moment, but wouldn't rule out future involvement</v>
      </c>
      <c r="X117" s="64" t="str">
        <f>IFERROR(__xludf.DUMMYFUNCTION("QUERY('Volunteer Survey'!R124)"),"Yes- I am willing to volunteer with any available ClinGen group")</f>
        <v>Yes- I am willing to volunteer with any available ClinGen group</v>
      </c>
      <c r="Y117" s="53"/>
      <c r="Z117" s="68"/>
      <c r="AA117" s="55"/>
      <c r="AB117" s="55"/>
      <c r="AC117" s="55"/>
      <c r="AD117" s="55"/>
      <c r="AE117" s="55"/>
      <c r="AF117" s="55"/>
      <c r="AG117" s="55"/>
      <c r="AH117" s="55"/>
      <c r="AI117" s="55"/>
      <c r="AJ117" s="55"/>
      <c r="AK117" s="55"/>
      <c r="AL117" s="55"/>
      <c r="AM117" s="55"/>
      <c r="AN117" s="55"/>
      <c r="AO117" s="55"/>
    </row>
    <row r="118">
      <c r="A118" s="50">
        <f>IFERROR(__xludf.DUMMYFUNCTION("QUERY('Volunteer Survey'!A125)"),43510.64592836806)</f>
        <v>43510.64593</v>
      </c>
      <c r="B118" s="48" t="s">
        <v>168</v>
      </c>
      <c r="C118" s="53"/>
      <c r="D118" s="55"/>
      <c r="E118" s="48" t="s">
        <v>130</v>
      </c>
      <c r="F118" s="48" t="s">
        <v>130</v>
      </c>
      <c r="G118" s="48" t="s">
        <v>163</v>
      </c>
      <c r="H118" s="53"/>
      <c r="I118" s="51" t="s">
        <v>139</v>
      </c>
      <c r="J118" s="55"/>
      <c r="K118" s="55"/>
      <c r="L118" s="55" t="str">
        <f>IFERROR(__xludf.DUMMYFUNCTION("QUERY('Volunteer Survey'!B125)"),"Elizabeth Spiteri")</f>
        <v>Elizabeth Spiteri</v>
      </c>
      <c r="M118" s="55" t="str">
        <f>IFERROR(__xludf.DUMMYFUNCTION("QUERY('Volunteer Survey'!E125)"),"espiteri@gmail.com")</f>
        <v>espiteri@gmail.com</v>
      </c>
      <c r="N118" s="55" t="str">
        <f>IFERROR(__xludf.DUMMYFUNCTION("QUERY('Volunteer Survey'!F125)"),"Clinical laboratory geneticist")</f>
        <v>Clinical laboratory geneticist</v>
      </c>
      <c r="O118" s="48" t="str">
        <f>IFERROR(__xludf.DUMMYFUNCTION("QUERY('Volunteer Survey'!H125)"),"Comprehensive")</f>
        <v>Comprehensive</v>
      </c>
      <c r="P118" s="55" t="str">
        <f>IFERROR(__xludf.DUMMYFUNCTION("QUERY('Volunteer Survey'!I125)"),"Dosage Sensitivity")</f>
        <v>Dosage Sensitivity</v>
      </c>
      <c r="Q118" s="60" t="str">
        <f>IFERROR(__xludf.DUMMYFUNCTION("QUERY('Volunteer Survey'!J125)"),"Somatic Cancer")</f>
        <v>Somatic Cancer</v>
      </c>
      <c r="R118" s="55" t="str">
        <f>IFERROR(__xludf.DUMMYFUNCTION("QUERY('Volunteer Survey'!K125)"),"Gene-Disease Validity")</f>
        <v>Gene-Disease Validity</v>
      </c>
      <c r="S118" s="55" t="str">
        <f>IFERROR(__xludf.DUMMYFUNCTION("QUERY('Volunteer Survey'!L125)"),"Variant Pathogenicity")</f>
        <v>Variant Pathogenicity</v>
      </c>
      <c r="T118" s="55" t="str">
        <f>IFERROR(__xludf.DUMMYFUNCTION("QUERY('Volunteer Survey'!M125)"),"")</f>
        <v/>
      </c>
      <c r="U118" s="64" t="str">
        <f>IFERROR(__xludf.DUMMYFUNCTION("QUERY('Volunteer Survey'!N125)"),"I have participated in a Clinical Genomics Consortium for Copy Number Variants")</f>
        <v>I have participated in a Clinical Genomics Consortium for Copy Number Variants</v>
      </c>
      <c r="V118" s="55" t="str">
        <f>IFERROR(__xludf.DUMMYFUNCTION("QUERY('Volunteer Survey'!O125)"),"Yes")</f>
        <v>Yes</v>
      </c>
      <c r="W118" s="66" t="str">
        <f>IFERROR(__xludf.DUMMYFUNCTION("QUERY('Volunteer Survey'!P125)"),"In addition to the somatic panel curation I would also be interested in Breast/Ovarian or Colon Cancer Expert panels ")</f>
        <v>In addition to the somatic panel curation I would also be interested in Breast/Ovarian or Colon Cancer Expert panels </v>
      </c>
      <c r="X118" s="64" t="str">
        <f>IFERROR(__xludf.DUMMYFUNCTION("QUERY('Volunteer Survey'!R125)"),"Yes- I am willing to volunteer with any available ClinGen group")</f>
        <v>Yes- I am willing to volunteer with any available ClinGen group</v>
      </c>
      <c r="Y118" s="53"/>
      <c r="Z118" s="68"/>
      <c r="AA118" s="55"/>
      <c r="AB118" s="55"/>
      <c r="AC118" s="55"/>
      <c r="AD118" s="55"/>
      <c r="AE118" s="55"/>
      <c r="AF118" s="55"/>
      <c r="AG118" s="55"/>
      <c r="AH118" s="55"/>
      <c r="AI118" s="55"/>
      <c r="AJ118" s="55"/>
      <c r="AK118" s="55"/>
      <c r="AL118" s="55"/>
      <c r="AM118" s="55"/>
      <c r="AN118" s="55"/>
      <c r="AO118" s="55"/>
    </row>
    <row r="119">
      <c r="A119" s="50">
        <f>IFERROR(__xludf.DUMMYFUNCTION("QUERY('Volunteer Survey'!A126)"),43511.51492671297)</f>
        <v>43511.51493</v>
      </c>
      <c r="B119" s="48" t="s">
        <v>168</v>
      </c>
      <c r="C119" s="53"/>
      <c r="D119" s="55"/>
      <c r="E119" s="48" t="s">
        <v>130</v>
      </c>
      <c r="F119" s="48" t="s">
        <v>130</v>
      </c>
      <c r="G119" s="48" t="s">
        <v>251</v>
      </c>
      <c r="H119" s="53"/>
      <c r="I119" s="53"/>
      <c r="J119" s="55"/>
      <c r="K119" s="55"/>
      <c r="L119" s="55" t="str">
        <f>IFERROR(__xludf.DUMMYFUNCTION("QUERY('Volunteer Survey'!B126)"),"Yasser Sullcahuaman")</f>
        <v>Yasser Sullcahuaman</v>
      </c>
      <c r="M119" s="55" t="str">
        <f>IFERROR(__xludf.DUMMYFUNCTION("QUERY('Volunteer Survey'!E126)"),"ysullcahuaman@gmail.com")</f>
        <v>ysullcahuaman@gmail.com</v>
      </c>
      <c r="N119" s="55" t="str">
        <f>IFERROR(__xludf.DUMMYFUNCTION("QUERY('Volunteer Survey'!F126)"),"Clinical Medical Geneticist")</f>
        <v>Clinical Medical Geneticist</v>
      </c>
      <c r="O119" s="48" t="str">
        <f>IFERROR(__xludf.DUMMYFUNCTION("QUERY('Volunteer Survey'!H126)"),"Comprehensive")</f>
        <v>Comprehensive</v>
      </c>
      <c r="P119" s="55" t="str">
        <f>IFERROR(__xludf.DUMMYFUNCTION("QUERY('Volunteer Survey'!I126)"),"Variant Pathogenicity")</f>
        <v>Variant Pathogenicity</v>
      </c>
      <c r="Q119" s="60" t="str">
        <f>IFERROR(__xludf.DUMMYFUNCTION("QUERY('Volunteer Survey'!J126)"),"Gene-Disease Validity")</f>
        <v>Gene-Disease Validity</v>
      </c>
      <c r="R119" s="55" t="str">
        <f>IFERROR(__xludf.DUMMYFUNCTION("QUERY('Volunteer Survey'!K126)"),"Clinical Actionability")</f>
        <v>Clinical Actionability</v>
      </c>
      <c r="S119" s="55" t="str">
        <f>IFERROR(__xludf.DUMMYFUNCTION("QUERY('Volunteer Survey'!L126)"),"Somatic Cancer")</f>
        <v>Somatic Cancer</v>
      </c>
      <c r="T119" s="55" t="str">
        <f>IFERROR(__xludf.DUMMYFUNCTION("QUERY('Volunteer Survey'!M126)"),"Dosage Sensitivity")</f>
        <v>Dosage Sensitivity</v>
      </c>
      <c r="U119" s="64" t="str">
        <f>IFERROR(__xludf.DUMMYFUNCTION("QUERY('Volunteer Survey'!N126)"),"")</f>
        <v/>
      </c>
      <c r="V119" s="55" t="str">
        <f>IFERROR(__xludf.DUMMYFUNCTION("QUERY('Volunteer Survey'!O126)"),"Possibly")</f>
        <v>Possibly</v>
      </c>
      <c r="W119" s="66" t="str">
        <f>IFERROR(__xludf.DUMMYFUNCTION("QUERY('Volunteer Survey'!P126)"),"")</f>
        <v/>
      </c>
      <c r="X119" s="64" t="str">
        <f>IFERROR(__xludf.DUMMYFUNCTION("QUERY('Volunteer Survey'!R126)"),"Maybe -- please contact me with other options, and I will decide based on what is available")</f>
        <v>Maybe -- please contact me with other options, and I will decide based on what is available</v>
      </c>
      <c r="Y119" s="53"/>
      <c r="Z119" s="68"/>
      <c r="AA119" s="55"/>
      <c r="AB119" s="55"/>
      <c r="AC119" s="55"/>
      <c r="AD119" s="55"/>
      <c r="AE119" s="55"/>
      <c r="AF119" s="55"/>
      <c r="AG119" s="55"/>
      <c r="AH119" s="55"/>
      <c r="AI119" s="55"/>
      <c r="AJ119" s="55"/>
      <c r="AK119" s="55"/>
      <c r="AL119" s="55"/>
      <c r="AM119" s="55"/>
      <c r="AN119" s="55"/>
      <c r="AO119" s="55"/>
    </row>
    <row r="120" ht="16.5" customHeight="1">
      <c r="A120" s="50">
        <f>IFERROR(__xludf.DUMMYFUNCTION("QUERY('Volunteer Survey'!A127)"),43515.32583059028)</f>
        <v>43515.32583</v>
      </c>
      <c r="B120" s="48" t="s">
        <v>108</v>
      </c>
      <c r="C120" s="53"/>
      <c r="D120" s="49">
        <v>43581.0</v>
      </c>
      <c r="E120" s="48" t="s">
        <v>117</v>
      </c>
      <c r="F120" s="48" t="s">
        <v>130</v>
      </c>
      <c r="G120" s="48" t="s">
        <v>136</v>
      </c>
      <c r="H120" s="51" t="s">
        <v>308</v>
      </c>
      <c r="I120" s="51" t="s">
        <v>139</v>
      </c>
      <c r="J120" s="56">
        <v>43712.0</v>
      </c>
      <c r="K120" s="56"/>
      <c r="L120" s="55" t="str">
        <f>IFERROR(__xludf.DUMMYFUNCTION("QUERY('Volunteer Survey'!B127)"),"HUILING XU")</f>
        <v>HUILING XU</v>
      </c>
      <c r="M120" s="55" t="str">
        <f>IFERROR(__xludf.DUMMYFUNCTION("QUERY('Volunteer Survey'!E127)"),"huiling.xu@petermac.org")</f>
        <v>huiling.xu@petermac.org</v>
      </c>
      <c r="N120" s="55" t="str">
        <f>IFERROR(__xludf.DUMMYFUNCTION("QUERY('Volunteer Survey'!F127)"),"Variant Analyst/Scientist - Academic")</f>
        <v>Variant Analyst/Scientist - Academic</v>
      </c>
      <c r="O120" s="48" t="str">
        <f>IFERROR(__xludf.DUMMYFUNCTION("QUERY('Volunteer Survey'!H127)"),"Comprehensive")</f>
        <v>Comprehensive</v>
      </c>
      <c r="P120" s="55" t="str">
        <f>IFERROR(__xludf.DUMMYFUNCTION("QUERY('Volunteer Survey'!I127)"),"Somatic Cancer")</f>
        <v>Somatic Cancer</v>
      </c>
      <c r="Q120" s="60" t="str">
        <f>IFERROR(__xludf.DUMMYFUNCTION("QUERY('Volunteer Survey'!J127)"),"")</f>
        <v/>
      </c>
      <c r="R120" s="55" t="str">
        <f>IFERROR(__xludf.DUMMYFUNCTION("QUERY('Volunteer Survey'!K127)"),"")</f>
        <v/>
      </c>
      <c r="S120" s="55" t="str">
        <f>IFERROR(__xludf.DUMMYFUNCTION("QUERY('Volunteer Survey'!L127)"),"")</f>
        <v/>
      </c>
      <c r="T120" s="55" t="str">
        <f>IFERROR(__xludf.DUMMYFUNCTION("QUERY('Volunteer Survey'!M127)"),"")</f>
        <v/>
      </c>
      <c r="U120" s="64" t="str">
        <f>IFERROR(__xludf.DUMMYFUNCTION("QUERY('Volunteer Survey'!N127)"),"I am a senior clinical genomic analyst/scientist in the Molecular Pathology Section of the Department of Pathology, Peter MacCallum Cancer Centre, Australia. I have been involved in interpreting and reporting cancer genomic alterations to guide targeted t"&amp;"herapy in multiple government-funded prospective precision oncology programs for the past four years. I have extensive knowledge of clinical laboratory practise, cancer biology, targeted therapy, and clinical care. 
I am also a researcher with 20 years c"&amp;"ancer research experience and have a strong track record in cancer research. I have a career total of 54 publications including a number of papers in the highly influential clinical and scientific journals.")</f>
        <v>I am a senior clinical genomic analyst/scientist in the Molecular Pathology Section of the Department of Pathology, Peter MacCallum Cancer Centre, Australia. I have been involved in interpreting and reporting cancer genomic alterations to guide targeted therapy in multiple government-funded prospective precision oncology programs for the past four years. I have extensive knowledge of clinical laboratory practise, cancer biology, targeted therapy, and clinical care. 
I am also a researcher with 20 years cancer research experience and have a strong track record in cancer research. I have a career total of 54 publications including a number of papers in the highly influential clinical and scientific journals.</v>
      </c>
      <c r="V120" s="55" t="str">
        <f>IFERROR(__xludf.DUMMYFUNCTION("QUERY('Volunteer Survey'!O127)"),"Yes")</f>
        <v>Yes</v>
      </c>
      <c r="W120" s="66" t="str">
        <f>IFERROR(__xludf.DUMMYFUNCTION("QUERY('Volunteer Survey'!P127)"),"Somatic cancer working groups")</f>
        <v>Somatic cancer working groups</v>
      </c>
      <c r="X120" s="64" t="str">
        <f>IFERROR(__xludf.DUMMYFUNCTION("QUERY('Volunteer Survey'!R127)"),"Yes- I am willing to volunteer with any available ClinGen group")</f>
        <v>Yes- I am willing to volunteer with any available ClinGen group</v>
      </c>
      <c r="Y120" s="53"/>
      <c r="Z120" s="68"/>
      <c r="AA120" s="55"/>
      <c r="AB120" s="55"/>
      <c r="AC120" s="55"/>
      <c r="AD120" s="55"/>
      <c r="AE120" s="55"/>
      <c r="AF120" s="55"/>
      <c r="AG120" s="55"/>
      <c r="AH120" s="55"/>
      <c r="AI120" s="55"/>
      <c r="AJ120" s="55"/>
      <c r="AK120" s="55"/>
      <c r="AL120" s="55"/>
      <c r="AM120" s="55"/>
      <c r="AN120" s="55"/>
      <c r="AO120" s="55"/>
    </row>
    <row r="121">
      <c r="A121" s="50">
        <f>IFERROR(__xludf.DUMMYFUNCTION("QUERY('Volunteer Survey'!A128)"),43524.49831216435)</f>
        <v>43524.49831</v>
      </c>
      <c r="B121" s="48" t="s">
        <v>108</v>
      </c>
      <c r="C121" s="53"/>
      <c r="D121" s="49">
        <v>43570.0</v>
      </c>
      <c r="E121" s="48" t="s">
        <v>117</v>
      </c>
      <c r="F121" s="48" t="s">
        <v>117</v>
      </c>
      <c r="G121" s="48" t="s">
        <v>122</v>
      </c>
      <c r="H121" s="51" t="s">
        <v>294</v>
      </c>
      <c r="I121" s="51" t="s">
        <v>139</v>
      </c>
      <c r="J121" s="56">
        <v>43712.0</v>
      </c>
      <c r="K121" s="56"/>
      <c r="L121" s="55" t="str">
        <f>IFERROR(__xludf.DUMMYFUNCTION("QUERY('Volunteer Survey'!B128)"),"Nilufar Inamdar")</f>
        <v>Nilufar Inamdar</v>
      </c>
      <c r="M121" s="55" t="str">
        <f>IFERROR(__xludf.DUMMYFUNCTION("QUERY('Volunteer Survey'!E128)"),"inamdar555@yahoo.com")</f>
        <v>inamdar555@yahoo.com</v>
      </c>
      <c r="N121" s="55" t="str">
        <f>IFERROR(__xludf.DUMMYFUNCTION("QUERY('Volunteer Survey'!F128)"),"Clinical laboratory geneticist")</f>
        <v>Clinical laboratory geneticist</v>
      </c>
      <c r="O121" s="48" t="str">
        <f>IFERROR(__xludf.DUMMYFUNCTION("QUERY('Volunteer Survey'!H128)"),"Comprehensive")</f>
        <v>Comprehensive</v>
      </c>
      <c r="P121" s="55" t="str">
        <f>IFERROR(__xludf.DUMMYFUNCTION("QUERY('Volunteer Survey'!I128)"),"Gene-Disease Validity")</f>
        <v>Gene-Disease Validity</v>
      </c>
      <c r="Q121" s="60" t="str">
        <f>IFERROR(__xludf.DUMMYFUNCTION("QUERY('Volunteer Survey'!J128)"),"Dosage Sensitivity")</f>
        <v>Dosage Sensitivity</v>
      </c>
      <c r="R121" s="55" t="str">
        <f>IFERROR(__xludf.DUMMYFUNCTION("QUERY('Volunteer Survey'!K128)"),"Variant Pathogenicity")</f>
        <v>Variant Pathogenicity</v>
      </c>
      <c r="S121" s="55" t="str">
        <f>IFERROR(__xludf.DUMMYFUNCTION("QUERY('Volunteer Survey'!L128)"),"Somatic Cancer")</f>
        <v>Somatic Cancer</v>
      </c>
      <c r="T121" s="55" t="str">
        <f>IFERROR(__xludf.DUMMYFUNCTION("QUERY('Volunteer Survey'!M128)"),"Clinical Actionability")</f>
        <v>Clinical Actionability</v>
      </c>
      <c r="U121" s="64" t="str">
        <f>IFERROR(__xludf.DUMMYFUNCTION("QUERY('Volunteer Survey'!N128)"),"No")</f>
        <v>No</v>
      </c>
      <c r="V121" s="55" t="str">
        <f>IFERROR(__xludf.DUMMYFUNCTION("QUERY('Volunteer Survey'!O128)"),"Yes")</f>
        <v>Yes</v>
      </c>
      <c r="W121" s="66" t="str">
        <f>IFERROR(__xludf.DUMMYFUNCTION("QUERY('Volunteer Survey'!P128)"),"Mitochondrial or Aminoaciopathy")</f>
        <v>Mitochondrial or Aminoaciopathy</v>
      </c>
      <c r="X121" s="64" t="str">
        <f>IFERROR(__xludf.DUMMYFUNCTION("QUERY('Volunteer Survey'!R128)"),"Yes- I am willing to volunteer with any available ClinGen group")</f>
        <v>Yes- I am willing to volunteer with any available ClinGen group</v>
      </c>
      <c r="Y121" s="53"/>
      <c r="Z121" s="68"/>
      <c r="AA121" s="55"/>
      <c r="AB121" s="55"/>
      <c r="AC121" s="55"/>
      <c r="AD121" s="55"/>
      <c r="AE121" s="55"/>
      <c r="AF121" s="55"/>
      <c r="AG121" s="55"/>
      <c r="AH121" s="55"/>
      <c r="AI121" s="55"/>
      <c r="AJ121" s="55"/>
      <c r="AK121" s="55"/>
      <c r="AL121" s="55"/>
      <c r="AM121" s="55"/>
      <c r="AN121" s="55"/>
      <c r="AO121" s="55"/>
    </row>
    <row r="122">
      <c r="A122" s="50">
        <f>IFERROR(__xludf.DUMMYFUNCTION("QUERY('Volunteer Survey'!A129)"),43525.50388739583)</f>
        <v>43525.50389</v>
      </c>
      <c r="B122" s="48" t="s">
        <v>108</v>
      </c>
      <c r="C122" s="53"/>
      <c r="D122" s="56">
        <v>43608.0</v>
      </c>
      <c r="E122" s="48" t="s">
        <v>117</v>
      </c>
      <c r="F122" s="48" t="s">
        <v>117</v>
      </c>
      <c r="G122" s="48" t="s">
        <v>251</v>
      </c>
      <c r="H122" s="51" t="s">
        <v>169</v>
      </c>
      <c r="I122" s="51" t="s">
        <v>139</v>
      </c>
      <c r="J122" s="56">
        <v>43712.0</v>
      </c>
      <c r="K122" s="56"/>
      <c r="L122" s="55" t="str">
        <f>IFERROR(__xludf.DUMMYFUNCTION("QUERY('Volunteer Survey'!B129)"),"Michael McLachlan")</f>
        <v>Michael McLachlan</v>
      </c>
      <c r="M122" s="55" t="str">
        <f>IFERROR(__xludf.DUMMYFUNCTION("QUERY('Volunteer Survey'!E129)"),"mikejmclachlan@gmail.com")</f>
        <v>mikejmclachlan@gmail.com</v>
      </c>
      <c r="N122" s="55" t="str">
        <f>IFERROR(__xludf.DUMMYFUNCTION("QUERY('Volunteer Survey'!F129)"),"Scientific Researcher")</f>
        <v>Scientific Researcher</v>
      </c>
      <c r="O122" s="48" t="str">
        <f>IFERROR(__xludf.DUMMYFUNCTION("QUERY('Volunteer Survey'!H129)"),"Comprehensive")</f>
        <v>Comprehensive</v>
      </c>
      <c r="P122" s="55" t="str">
        <f>IFERROR(__xludf.DUMMYFUNCTION("QUERY('Volunteer Survey'!I129)"),"Variant Pathogenicity")</f>
        <v>Variant Pathogenicity</v>
      </c>
      <c r="Q122" s="60" t="str">
        <f>IFERROR(__xludf.DUMMYFUNCTION("QUERY('Volunteer Survey'!J129)"),"Gene-Disease Validity")</f>
        <v>Gene-Disease Validity</v>
      </c>
      <c r="R122" s="55" t="str">
        <f>IFERROR(__xludf.DUMMYFUNCTION("QUERY('Volunteer Survey'!K129)"),"Dosage Sensitivity")</f>
        <v>Dosage Sensitivity</v>
      </c>
      <c r="S122" s="55" t="str">
        <f>IFERROR(__xludf.DUMMYFUNCTION("QUERY('Volunteer Survey'!L129)"),"")</f>
        <v/>
      </c>
      <c r="T122" s="55" t="str">
        <f>IFERROR(__xludf.DUMMYFUNCTION("QUERY('Volunteer Survey'!M129)"),"")</f>
        <v/>
      </c>
      <c r="U122" s="64" t="str">
        <f>IFERROR(__xludf.DUMMYFUNCTION("QUERY('Volunteer Survey'!N129)"),"No curation experience but professional experience with genome analysis and disease models")</f>
        <v>No curation experience but professional experience with genome analysis and disease models</v>
      </c>
      <c r="V122" s="55" t="str">
        <f>IFERROR(__xludf.DUMMYFUNCTION("QUERY('Volunteer Survey'!O129)"),"Yes")</f>
        <v>Yes</v>
      </c>
      <c r="W122" s="66" t="str">
        <f>IFERROR(__xludf.DUMMYFUNCTION("QUERY('Volunteer Survey'!P129)"),"")</f>
        <v/>
      </c>
      <c r="X122" s="64" t="str">
        <f>IFERROR(__xludf.DUMMYFUNCTION("QUERY('Volunteer Survey'!R129)"),"Yes- I am willing to volunteer with any available ClinGen group")</f>
        <v>Yes- I am willing to volunteer with any available ClinGen group</v>
      </c>
      <c r="Y122" s="53"/>
      <c r="Z122" s="68"/>
      <c r="AA122" s="55"/>
      <c r="AB122" s="55"/>
      <c r="AC122" s="55"/>
      <c r="AD122" s="55"/>
      <c r="AE122" s="55"/>
      <c r="AF122" s="55"/>
      <c r="AG122" s="55"/>
      <c r="AH122" s="55"/>
      <c r="AI122" s="55"/>
      <c r="AJ122" s="55"/>
      <c r="AK122" s="55"/>
      <c r="AL122" s="55"/>
      <c r="AM122" s="55"/>
      <c r="AN122" s="55"/>
      <c r="AO122" s="55"/>
    </row>
    <row r="123">
      <c r="A123" s="50">
        <f>IFERROR(__xludf.DUMMYFUNCTION("QUERY('Volunteer Survey'!A130)"),43530.32366586806)</f>
        <v>43530.32367</v>
      </c>
      <c r="B123" s="48" t="s">
        <v>168</v>
      </c>
      <c r="C123" s="53"/>
      <c r="D123" s="55"/>
      <c r="E123" s="48" t="s">
        <v>130</v>
      </c>
      <c r="F123" s="48" t="s">
        <v>130</v>
      </c>
      <c r="G123" s="48" t="s">
        <v>122</v>
      </c>
      <c r="H123" s="53"/>
      <c r="I123" s="51" t="s">
        <v>139</v>
      </c>
      <c r="J123" s="55"/>
      <c r="K123" s="55"/>
      <c r="L123" s="55" t="str">
        <f>IFERROR(__xludf.DUMMYFUNCTION("QUERY('Volunteer Survey'!B130)"),"Anand Narayanan")</f>
        <v>Anand Narayanan</v>
      </c>
      <c r="M123" s="55" t="str">
        <f>IFERROR(__xludf.DUMMYFUNCTION("QUERY('Volunteer Survey'!E130)"),"anandnpillai@gmail.com")</f>
        <v>anandnpillai@gmail.com</v>
      </c>
      <c r="N123" s="55" t="str">
        <f>IFERROR(__xludf.DUMMYFUNCTION("QUERY('Volunteer Survey'!F130)"),"Post Doc/Resident/Fellow (MD and/or PhD)")</f>
        <v>Post Doc/Resident/Fellow (MD and/or PhD)</v>
      </c>
      <c r="O123" s="48" t="str">
        <f>IFERROR(__xludf.DUMMYFUNCTION("QUERY('Volunteer Survey'!H130)"),"Comprehensive")</f>
        <v>Comprehensive</v>
      </c>
      <c r="P123" s="55" t="str">
        <f>IFERROR(__xludf.DUMMYFUNCTION("QUERY('Volunteer Survey'!I130)"),"Gene-Disease Validity")</f>
        <v>Gene-Disease Validity</v>
      </c>
      <c r="Q123" s="60" t="str">
        <f>IFERROR(__xludf.DUMMYFUNCTION("QUERY('Volunteer Survey'!J130)"),"Variant Pathogenicity")</f>
        <v>Variant Pathogenicity</v>
      </c>
      <c r="R123" s="55" t="str">
        <f>IFERROR(__xludf.DUMMYFUNCTION("QUERY('Volunteer Survey'!K130)"),"Dosage Sensitivity")</f>
        <v>Dosage Sensitivity</v>
      </c>
      <c r="S123" s="55" t="str">
        <f>IFERROR(__xludf.DUMMYFUNCTION("QUERY('Volunteer Survey'!L130)"),"Clinical Actionability")</f>
        <v>Clinical Actionability</v>
      </c>
      <c r="T123" s="55" t="str">
        <f>IFERROR(__xludf.DUMMYFUNCTION("QUERY('Volunteer Survey'!M130)"),"Somatic Cancer")</f>
        <v>Somatic Cancer</v>
      </c>
      <c r="U123" s="64" t="str">
        <f>IFERROR(__xludf.DUMMYFUNCTION("QUERY('Volunteer Survey'!N130)"),"I have served as a liaison of groups comprising clinicians, genetic counselors, researchers and bioinformatic staff. I am involved in the novel gene discovery and characterization ")</f>
        <v>I have served as a liaison of groups comprising clinicians, genetic counselors, researchers and bioinformatic staff. I am involved in the novel gene discovery and characterization </v>
      </c>
      <c r="V123" s="55" t="str">
        <f>IFERROR(__xludf.DUMMYFUNCTION("QUERY('Volunteer Survey'!O130)"),"Yes")</f>
        <v>Yes</v>
      </c>
      <c r="W123" s="66" t="str">
        <f>IFERROR(__xludf.DUMMYFUNCTION("QUERY('Volunteer Survey'!P130)"),"No")</f>
        <v>No</v>
      </c>
      <c r="X123" s="64" t="str">
        <f>IFERROR(__xludf.DUMMYFUNCTION("QUERY('Volunteer Survey'!R130)"),"Yes- I am willing to volunteer with any available ClinGen group")</f>
        <v>Yes- I am willing to volunteer with any available ClinGen group</v>
      </c>
      <c r="Y123" s="53"/>
      <c r="Z123" s="68"/>
      <c r="AA123" s="55"/>
      <c r="AB123" s="55"/>
      <c r="AC123" s="55"/>
      <c r="AD123" s="55"/>
      <c r="AE123" s="55"/>
      <c r="AF123" s="55"/>
      <c r="AG123" s="55"/>
      <c r="AH123" s="55"/>
      <c r="AI123" s="55"/>
      <c r="AJ123" s="55"/>
      <c r="AK123" s="55"/>
      <c r="AL123" s="55"/>
      <c r="AM123" s="55"/>
      <c r="AN123" s="55"/>
      <c r="AO123" s="55"/>
    </row>
    <row r="124">
      <c r="A124" s="50">
        <f>IFERROR(__xludf.DUMMYFUNCTION("QUERY('Volunteer Survey'!A131)"),43531.57807722222)</f>
        <v>43531.57808</v>
      </c>
      <c r="B124" s="48" t="s">
        <v>108</v>
      </c>
      <c r="C124" s="53"/>
      <c r="D124" s="55"/>
      <c r="E124" s="48" t="s">
        <v>130</v>
      </c>
      <c r="F124" s="48" t="s">
        <v>130</v>
      </c>
      <c r="G124" s="48" t="s">
        <v>202</v>
      </c>
      <c r="H124" s="53"/>
      <c r="I124" s="51" t="s">
        <v>139</v>
      </c>
      <c r="J124" s="55"/>
      <c r="K124" s="55"/>
      <c r="L124" s="55" t="str">
        <f>IFERROR(__xludf.DUMMYFUNCTION("QUERY('Volunteer Survey'!B131)"),"Rebekah Waikel")</f>
        <v>Rebekah Waikel</v>
      </c>
      <c r="M124" s="55" t="str">
        <f>IFERROR(__xludf.DUMMYFUNCTION("QUERY('Volunteer Survey'!E131)"),"rebekah.waikel@uky.edu")</f>
        <v>rebekah.waikel@uky.edu</v>
      </c>
      <c r="N124" s="55" t="str">
        <f>IFERROR(__xludf.DUMMYFUNCTION("QUERY('Volunteer Survey'!F131)"),"Clinical laboratory geneticist")</f>
        <v>Clinical laboratory geneticist</v>
      </c>
      <c r="O124" s="48" t="str">
        <f>IFERROR(__xludf.DUMMYFUNCTION("QUERY('Volunteer Survey'!H131)"),"Baseline")</f>
        <v>Baseline</v>
      </c>
      <c r="P124" s="55" t="str">
        <f>IFERROR(__xludf.DUMMYFUNCTION("QUERY('Volunteer Survey'!I131)"),"")</f>
        <v/>
      </c>
      <c r="Q124" s="60" t="str">
        <f>IFERROR(__xludf.DUMMYFUNCTION("QUERY('Volunteer Survey'!J131)"),"")</f>
        <v/>
      </c>
      <c r="R124" s="55" t="str">
        <f>IFERROR(__xludf.DUMMYFUNCTION("QUERY('Volunteer Survey'!K131)"),"")</f>
        <v/>
      </c>
      <c r="S124" s="55" t="str">
        <f>IFERROR(__xludf.DUMMYFUNCTION("QUERY('Volunteer Survey'!L131)"),"")</f>
        <v/>
      </c>
      <c r="T124" s="55" t="str">
        <f>IFERROR(__xludf.DUMMYFUNCTION("QUERY('Volunteer Survey'!M131)"),"")</f>
        <v/>
      </c>
      <c r="U124" s="64" t="str">
        <f>IFERROR(__xludf.DUMMYFUNCTION("QUERY('Volunteer Survey'!N131)"),"")</f>
        <v/>
      </c>
      <c r="V124" s="55" t="str">
        <f>IFERROR(__xludf.DUMMYFUNCTION("QUERY('Volunteer Survey'!O131)"),"Yes")</f>
        <v>Yes</v>
      </c>
      <c r="W124" s="66" t="str">
        <f>IFERROR(__xludf.DUMMYFUNCTION("QUERY('Volunteer Survey'!P131)"),"Inherited cardiopathy")</f>
        <v>Inherited cardiopathy</v>
      </c>
      <c r="X124" s="64" t="str">
        <f>IFERROR(__xludf.DUMMYFUNCTION("QUERY('Volunteer Survey'!R131)"),"Maybe -- please contact me with other options, and I will decide based on what is available")</f>
        <v>Maybe -- please contact me with other options, and I will decide based on what is available</v>
      </c>
      <c r="Y124" s="53"/>
      <c r="Z124" s="68"/>
      <c r="AA124" s="55"/>
      <c r="AB124" s="55"/>
      <c r="AC124" s="55"/>
      <c r="AD124" s="55"/>
      <c r="AE124" s="55"/>
      <c r="AF124" s="55"/>
      <c r="AG124" s="55"/>
      <c r="AH124" s="55"/>
      <c r="AI124" s="55"/>
      <c r="AJ124" s="55"/>
      <c r="AK124" s="55"/>
      <c r="AL124" s="55"/>
      <c r="AM124" s="55"/>
      <c r="AN124" s="55"/>
      <c r="AO124" s="55"/>
    </row>
    <row r="125">
      <c r="A125" s="50">
        <f>IFERROR(__xludf.DUMMYFUNCTION("QUERY('Volunteer Survey'!A132)"),43531.608363842584)</f>
        <v>43531.60836</v>
      </c>
      <c r="B125" s="48" t="s">
        <v>108</v>
      </c>
      <c r="C125" s="53"/>
      <c r="D125" s="65">
        <v>43585.0</v>
      </c>
      <c r="E125" s="48" t="s">
        <v>117</v>
      </c>
      <c r="F125" s="48" t="s">
        <v>117</v>
      </c>
      <c r="G125" s="48" t="s">
        <v>122</v>
      </c>
      <c r="H125" s="53"/>
      <c r="I125" s="51" t="s">
        <v>139</v>
      </c>
      <c r="J125" s="56">
        <v>43712.0</v>
      </c>
      <c r="K125" s="56"/>
      <c r="L125" s="55" t="str">
        <f>IFERROR(__xludf.DUMMYFUNCTION("QUERY('Volunteer Survey'!B132)"),"Urjit Patel")</f>
        <v>Urjit Patel</v>
      </c>
      <c r="M125" s="55" t="str">
        <f>IFERROR(__xludf.DUMMYFUNCTION("QUERY('Volunteer Survey'!E132)"),"urjit.x.patel@questdiagnostics.com")</f>
        <v>urjit.x.patel@questdiagnostics.com</v>
      </c>
      <c r="N125" s="55" t="str">
        <f>IFERROR(__xludf.DUMMYFUNCTION("QUERY('Volunteer Survey'!F132)"),"Variant Analyst/Scientist - Industry")</f>
        <v>Variant Analyst/Scientist - Industry</v>
      </c>
      <c r="O125" s="48" t="str">
        <f>IFERROR(__xludf.DUMMYFUNCTION("QUERY('Volunteer Survey'!H132)"),"Comprehensive")</f>
        <v>Comprehensive</v>
      </c>
      <c r="P125" s="55" t="str">
        <f>IFERROR(__xludf.DUMMYFUNCTION("QUERY('Volunteer Survey'!I132)"),"Gene-Disease Validity")</f>
        <v>Gene-Disease Validity</v>
      </c>
      <c r="Q125" s="60" t="str">
        <f>IFERROR(__xludf.DUMMYFUNCTION("QUERY('Volunteer Survey'!J132)"),"Dosage Sensitivity")</f>
        <v>Dosage Sensitivity</v>
      </c>
      <c r="R125" s="55" t="str">
        <f>IFERROR(__xludf.DUMMYFUNCTION("QUERY('Volunteer Survey'!K132)"),"Variant Pathogenicity")</f>
        <v>Variant Pathogenicity</v>
      </c>
      <c r="S125" s="55" t="str">
        <f>IFERROR(__xludf.DUMMYFUNCTION("QUERY('Volunteer Survey'!L132)"),"")</f>
        <v/>
      </c>
      <c r="T125" s="55" t="str">
        <f>IFERROR(__xludf.DUMMYFUNCTION("QUERY('Volunteer Survey'!M132)"),"")</f>
        <v/>
      </c>
      <c r="U125" s="64" t="str">
        <f>IFERROR(__xludf.DUMMYFUNCTION("QUERY('Volunteer Survey'!N132)"),"")</f>
        <v/>
      </c>
      <c r="V125" s="55" t="str">
        <f>IFERROR(__xludf.DUMMYFUNCTION("QUERY('Volunteer Survey'!O132)"),"Possibly")</f>
        <v>Possibly</v>
      </c>
      <c r="W125" s="66" t="str">
        <f>IFERROR(__xludf.DUMMYFUNCTION("QUERY('Volunteer Survey'!P132)"),"")</f>
        <v/>
      </c>
      <c r="X125" s="64" t="str">
        <f>IFERROR(__xludf.DUMMYFUNCTION("QUERY('Volunteer Survey'!R132)"),"Maybe -- please contact me with other options, and I will decide based on what is available")</f>
        <v>Maybe -- please contact me with other options, and I will decide based on what is available</v>
      </c>
      <c r="Y125" s="53"/>
      <c r="Z125" s="68"/>
      <c r="AA125" s="55"/>
      <c r="AB125" s="55"/>
      <c r="AC125" s="55"/>
      <c r="AD125" s="55"/>
      <c r="AE125" s="55"/>
      <c r="AF125" s="55"/>
      <c r="AG125" s="55"/>
      <c r="AH125" s="55"/>
      <c r="AI125" s="55"/>
      <c r="AJ125" s="55"/>
      <c r="AK125" s="55"/>
      <c r="AL125" s="55"/>
      <c r="AM125" s="55"/>
      <c r="AN125" s="55"/>
      <c r="AO125" s="55"/>
    </row>
    <row r="126">
      <c r="A126" s="50">
        <f>IFERROR(__xludf.DUMMYFUNCTION("QUERY('Volunteer Survey'!A133)"),43531.6175765162)</f>
        <v>43531.61758</v>
      </c>
      <c r="B126" s="48" t="s">
        <v>168</v>
      </c>
      <c r="C126" s="53"/>
      <c r="D126" s="73">
        <v>43567.0</v>
      </c>
      <c r="E126" s="48" t="s">
        <v>117</v>
      </c>
      <c r="F126" s="48" t="s">
        <v>117</v>
      </c>
      <c r="G126" s="48" t="s">
        <v>19</v>
      </c>
      <c r="H126" s="69" t="s">
        <v>19</v>
      </c>
      <c r="I126" s="69" t="s">
        <v>139</v>
      </c>
      <c r="J126" s="56">
        <v>43712.0</v>
      </c>
      <c r="K126" s="56"/>
      <c r="L126" s="55" t="str">
        <f>IFERROR(__xludf.DUMMYFUNCTION("QUERY('Volunteer Survey'!B133)"),"Lesley Northrop")</f>
        <v>Lesley Northrop</v>
      </c>
      <c r="M126" s="55" t="str">
        <f>IFERROR(__xludf.DUMMYFUNCTION("QUERY('Volunteer Survey'!E133)"),"lesleyenorthrop@gmail.com")</f>
        <v>lesleyenorthrop@gmail.com</v>
      </c>
      <c r="N126" s="55" t="str">
        <f>IFERROR(__xludf.DUMMYFUNCTION("QUERY('Volunteer Survey'!F133)"),"Clinical laboratory geneticist")</f>
        <v>Clinical laboratory geneticist</v>
      </c>
      <c r="O126" s="48" t="str">
        <f>IFERROR(__xludf.DUMMYFUNCTION("QUERY('Volunteer Survey'!H133)"),"Comprehensive")</f>
        <v>Comprehensive</v>
      </c>
      <c r="P126" s="55" t="str">
        <f>IFERROR(__xludf.DUMMYFUNCTION("QUERY('Volunteer Survey'!I133)"),"Clinical Actionability")</f>
        <v>Clinical Actionability</v>
      </c>
      <c r="Q126" s="60" t="str">
        <f>IFERROR(__xludf.DUMMYFUNCTION("QUERY('Volunteer Survey'!J133)"),"Gene-Disease Validity")</f>
        <v>Gene-Disease Validity</v>
      </c>
      <c r="R126" s="55" t="str">
        <f>IFERROR(__xludf.DUMMYFUNCTION("QUERY('Volunteer Survey'!K133)"),"Variant Pathogenicity")</f>
        <v>Variant Pathogenicity</v>
      </c>
      <c r="S126" s="55" t="str">
        <f>IFERROR(__xludf.DUMMYFUNCTION("QUERY('Volunteer Survey'!L133)"),"Dosage Sensitivity")</f>
        <v>Dosage Sensitivity</v>
      </c>
      <c r="T126" s="55" t="str">
        <f>IFERROR(__xludf.DUMMYFUNCTION("QUERY('Volunteer Survey'!M133)"),"Somatic Cancer")</f>
        <v>Somatic Cancer</v>
      </c>
      <c r="U126" s="64" t="str">
        <f>IFERROR(__xludf.DUMMYFUNCTION("QUERY('Volunteer Survey'!N133)"),"within my own institution designing a panel following ClinGen guidelines")</f>
        <v>within my own institution designing a panel following ClinGen guidelines</v>
      </c>
      <c r="V126" s="55" t="str">
        <f>IFERROR(__xludf.DUMMYFUNCTION("QUERY('Volunteer Survey'!O133)"),"Yes")</f>
        <v>Yes</v>
      </c>
      <c r="W126" s="66" t="str">
        <f>IFERROR(__xludf.DUMMYFUNCTION("QUERY('Volunteer Survey'!P133)"),"Gene Curation - Epilepsy or Autism &amp; ID")</f>
        <v>Gene Curation - Epilepsy or Autism &amp; ID</v>
      </c>
      <c r="X126" s="64" t="str">
        <f>IFERROR(__xludf.DUMMYFUNCTION("QUERY('Volunteer Survey'!R133)"),"Yes- I am willing to volunteer with any available ClinGen group")</f>
        <v>Yes- I am willing to volunteer with any available ClinGen group</v>
      </c>
      <c r="Y126" s="53"/>
      <c r="Z126" s="68"/>
      <c r="AA126" s="55"/>
      <c r="AB126" s="55"/>
      <c r="AC126" s="55"/>
      <c r="AD126" s="55"/>
      <c r="AE126" s="55"/>
      <c r="AF126" s="55"/>
      <c r="AG126" s="55"/>
      <c r="AH126" s="55"/>
      <c r="AI126" s="55"/>
      <c r="AJ126" s="55"/>
      <c r="AK126" s="55"/>
      <c r="AL126" s="55"/>
      <c r="AM126" s="55"/>
      <c r="AN126" s="55"/>
      <c r="AO126" s="55"/>
    </row>
    <row r="127" ht="18.0" customHeight="1">
      <c r="A127" s="50">
        <f>IFERROR(__xludf.DUMMYFUNCTION("QUERY('Volunteer Survey'!A134)"),43535.006761145836)</f>
        <v>43535.00676</v>
      </c>
      <c r="B127" s="48" t="s">
        <v>168</v>
      </c>
      <c r="C127" s="53"/>
      <c r="D127" s="55"/>
      <c r="E127" s="48" t="s">
        <v>130</v>
      </c>
      <c r="F127" s="48" t="s">
        <v>130</v>
      </c>
      <c r="G127" s="48" t="s">
        <v>163</v>
      </c>
      <c r="H127" s="53"/>
      <c r="I127" s="51" t="s">
        <v>139</v>
      </c>
      <c r="J127" s="55"/>
      <c r="K127" s="55"/>
      <c r="L127" s="55" t="str">
        <f>IFERROR(__xludf.DUMMYFUNCTION("QUERY('Volunteer Survey'!B134)"),"Hafsa Amtul")</f>
        <v>Hafsa Amtul</v>
      </c>
      <c r="M127" s="55" t="str">
        <f>IFERROR(__xludf.DUMMYFUNCTION("QUERY('Volunteer Survey'!E134)"),"hafsa.amtul2502@gmail.com")</f>
        <v>hafsa.amtul2502@gmail.com</v>
      </c>
      <c r="N127" s="55" t="str">
        <f>IFERROR(__xludf.DUMMYFUNCTION("QUERY('Volunteer Survey'!F134)"),"Scientific Researcher")</f>
        <v>Scientific Researcher</v>
      </c>
      <c r="O127" s="48" t="str">
        <f>IFERROR(__xludf.DUMMYFUNCTION("QUERY('Volunteer Survey'!H134)"),"Comprehensive")</f>
        <v>Comprehensive</v>
      </c>
      <c r="P127" s="55" t="str">
        <f>IFERROR(__xludf.DUMMYFUNCTION("QUERY('Volunteer Survey'!I134)"),"Dosage Sensitivity")</f>
        <v>Dosage Sensitivity</v>
      </c>
      <c r="Q127" s="60" t="str">
        <f>IFERROR(__xludf.DUMMYFUNCTION("QUERY('Volunteer Survey'!J134)"),"Clinical Actionability")</f>
        <v>Clinical Actionability</v>
      </c>
      <c r="R127" s="55" t="str">
        <f>IFERROR(__xludf.DUMMYFUNCTION("QUERY('Volunteer Survey'!K134)"),"Gene-Disease Validity")</f>
        <v>Gene-Disease Validity</v>
      </c>
      <c r="S127" s="55" t="str">
        <f>IFERROR(__xludf.DUMMYFUNCTION("QUERY('Volunteer Survey'!L134)"),"Somatic Cancer")</f>
        <v>Somatic Cancer</v>
      </c>
      <c r="T127" s="55" t="str">
        <f>IFERROR(__xludf.DUMMYFUNCTION("QUERY('Volunteer Survey'!M134)"),"Variant Pathogenicity")</f>
        <v>Variant Pathogenicity</v>
      </c>
      <c r="U127" s="64" t="str">
        <f>IFERROR(__xludf.DUMMYFUNCTION("QUERY('Volunteer Survey'!N134)"),"drug toxicity associated with tpmt genetic variants *1, *2, *3A, *3B")</f>
        <v>drug toxicity associated with tpmt genetic variants *1, *2, *3A, *3B</v>
      </c>
      <c r="V127" s="55" t="str">
        <f>IFERROR(__xludf.DUMMYFUNCTION("QUERY('Volunteer Survey'!O134)"),"Yes")</f>
        <v>Yes</v>
      </c>
      <c r="W127" s="66" t="str">
        <f>IFERROR(__xludf.DUMMYFUNCTION("QUERY('Volunteer Survey'!P134)"),"Dosage- Neurodevelopemental, Pediatric, Nonsmall cell lung cancer, 
Somatic TP53 ")</f>
        <v>Dosage- Neurodevelopemental, Pediatric, Nonsmall cell lung cancer, 
Somatic TP53 </v>
      </c>
      <c r="X127" s="64" t="str">
        <f>IFERROR(__xludf.DUMMYFUNCTION("QUERY('Volunteer Survey'!R134)"),"Maybe -- please contact me with other options, and I will decide based on what is available")</f>
        <v>Maybe -- please contact me with other options, and I will decide based on what is available</v>
      </c>
      <c r="Y127" s="53"/>
      <c r="Z127" s="68"/>
      <c r="AA127" s="55"/>
      <c r="AB127" s="55"/>
      <c r="AC127" s="55"/>
      <c r="AD127" s="55"/>
      <c r="AE127" s="55"/>
      <c r="AF127" s="55"/>
      <c r="AG127" s="55"/>
      <c r="AH127" s="55"/>
      <c r="AI127" s="55"/>
      <c r="AJ127" s="55"/>
      <c r="AK127" s="55"/>
      <c r="AL127" s="55"/>
      <c r="AM127" s="55"/>
      <c r="AN127" s="55"/>
      <c r="AO127" s="55"/>
    </row>
    <row r="128">
      <c r="A128" s="50">
        <f>IFERROR(__xludf.DUMMYFUNCTION("QUERY('Volunteer Survey'!A135)"),43537.38783907407)</f>
        <v>43537.38784</v>
      </c>
      <c r="B128" s="48" t="s">
        <v>108</v>
      </c>
      <c r="C128" s="53"/>
      <c r="D128" s="55"/>
      <c r="E128" s="48" t="s">
        <v>130</v>
      </c>
      <c r="F128" s="48" t="s">
        <v>130</v>
      </c>
      <c r="G128" s="48" t="s">
        <v>202</v>
      </c>
      <c r="H128" s="53"/>
      <c r="I128" s="51" t="s">
        <v>139</v>
      </c>
      <c r="J128" s="55"/>
      <c r="K128" s="55"/>
      <c r="L128" s="55" t="str">
        <f>IFERROR(__xludf.DUMMYFUNCTION("QUERY('Volunteer Survey'!B135)"),"Manya Warrier")</f>
        <v>Manya Warrier</v>
      </c>
      <c r="M128" s="55" t="str">
        <f>IFERROR(__xludf.DUMMYFUNCTION("QUERY('Volunteer Survey'!E135)"),"manyawarrier@gmail.com")</f>
        <v>manyawarrier@gmail.com</v>
      </c>
      <c r="N128" s="55" t="str">
        <f>IFERROR(__xludf.DUMMYFUNCTION("QUERY('Volunteer Survey'!F135)"),"Variant Analyst/Scientist - Industry")</f>
        <v>Variant Analyst/Scientist - Industry</v>
      </c>
      <c r="O128" s="48" t="str">
        <f>IFERROR(__xludf.DUMMYFUNCTION("QUERY('Volunteer Survey'!H135)"),"Baseline")</f>
        <v>Baseline</v>
      </c>
      <c r="P128" s="55" t="str">
        <f>IFERROR(__xludf.DUMMYFUNCTION("QUERY('Volunteer Survey'!I135)"),"")</f>
        <v/>
      </c>
      <c r="Q128" s="60" t="str">
        <f>IFERROR(__xludf.DUMMYFUNCTION("QUERY('Volunteer Survey'!J135)"),"")</f>
        <v/>
      </c>
      <c r="R128" s="55" t="str">
        <f>IFERROR(__xludf.DUMMYFUNCTION("QUERY('Volunteer Survey'!K135)"),"")</f>
        <v/>
      </c>
      <c r="S128" s="55" t="str">
        <f>IFERROR(__xludf.DUMMYFUNCTION("QUERY('Volunteer Survey'!L135)"),"")</f>
        <v/>
      </c>
      <c r="T128" s="55" t="str">
        <f>IFERROR(__xludf.DUMMYFUNCTION("QUERY('Volunteer Survey'!M135)"),"")</f>
        <v/>
      </c>
      <c r="U128" s="64" t="str">
        <f>IFERROR(__xludf.DUMMYFUNCTION("QUERY('Volunteer Survey'!N135)"),"")</f>
        <v/>
      </c>
      <c r="V128" s="55" t="str">
        <f>IFERROR(__xludf.DUMMYFUNCTION("QUERY('Volunteer Survey'!O135)"),"Possibly")</f>
        <v>Possibly</v>
      </c>
      <c r="W128" s="66" t="str">
        <f>IFERROR(__xludf.DUMMYFUNCTION("QUERY('Volunteer Survey'!P135)"),"")</f>
        <v/>
      </c>
      <c r="X128" s="64" t="str">
        <f>IFERROR(__xludf.DUMMYFUNCTION("QUERY('Volunteer Survey'!R135)"),"Yes- I am willing to volunteer with any available ClinGen group")</f>
        <v>Yes- I am willing to volunteer with any available ClinGen group</v>
      </c>
      <c r="Y128" s="53"/>
      <c r="Z128" s="68"/>
      <c r="AA128" s="55"/>
      <c r="AB128" s="55"/>
      <c r="AC128" s="55"/>
      <c r="AD128" s="55"/>
      <c r="AE128" s="55"/>
      <c r="AF128" s="55"/>
      <c r="AG128" s="55"/>
      <c r="AH128" s="55"/>
      <c r="AI128" s="55"/>
      <c r="AJ128" s="55"/>
      <c r="AK128" s="55"/>
      <c r="AL128" s="55"/>
      <c r="AM128" s="55"/>
      <c r="AN128" s="55"/>
      <c r="AO128" s="55"/>
    </row>
    <row r="129">
      <c r="A129" s="50">
        <f>IFERROR(__xludf.DUMMYFUNCTION("QUERY('Volunteer Survey'!A136)"),43542.63785333333)</f>
        <v>43542.63785</v>
      </c>
      <c r="B129" s="48" t="s">
        <v>108</v>
      </c>
      <c r="C129" s="53"/>
      <c r="D129" s="49">
        <v>43570.0</v>
      </c>
      <c r="E129" s="48" t="s">
        <v>117</v>
      </c>
      <c r="F129" s="48" t="s">
        <v>117</v>
      </c>
      <c r="G129" s="48" t="s">
        <v>122</v>
      </c>
      <c r="H129" s="51" t="s">
        <v>123</v>
      </c>
      <c r="I129" s="51" t="s">
        <v>139</v>
      </c>
      <c r="J129" s="56">
        <v>43712.0</v>
      </c>
      <c r="K129" s="56"/>
      <c r="L129" s="55" t="str">
        <f>IFERROR(__xludf.DUMMYFUNCTION("QUERY('Volunteer Survey'!B136)"),"Angela Pickart")</f>
        <v>Angela Pickart</v>
      </c>
      <c r="M129" s="55" t="str">
        <f>IFERROR(__xludf.DUMMYFUNCTION("QUERY('Volunteer Survey'!E136)"),"pickart.angela@mayo.edu")</f>
        <v>pickart.angela@mayo.edu</v>
      </c>
      <c r="N129" s="55" t="str">
        <f>IFERROR(__xludf.DUMMYFUNCTION("QUERY('Volunteer Survey'!F136)"),"Genetic counselor")</f>
        <v>Genetic counselor</v>
      </c>
      <c r="O129" s="48" t="str">
        <f>IFERROR(__xludf.DUMMYFUNCTION("QUERY('Volunteer Survey'!H136)"),"Comprehensive")</f>
        <v>Comprehensive</v>
      </c>
      <c r="P129" s="55" t="str">
        <f>IFERROR(__xludf.DUMMYFUNCTION("QUERY('Volunteer Survey'!I136)"),"Gene-Disease Validity")</f>
        <v>Gene-Disease Validity</v>
      </c>
      <c r="Q129" s="60" t="str">
        <f>IFERROR(__xludf.DUMMYFUNCTION("QUERY('Volunteer Survey'!J136)"),"Variant Pathogenicity")</f>
        <v>Variant Pathogenicity</v>
      </c>
      <c r="R129" s="55" t="str">
        <f>IFERROR(__xludf.DUMMYFUNCTION("QUERY('Volunteer Survey'!K136)"),"")</f>
        <v/>
      </c>
      <c r="S129" s="55" t="str">
        <f>IFERROR(__xludf.DUMMYFUNCTION("QUERY('Volunteer Survey'!L136)"),"")</f>
        <v/>
      </c>
      <c r="T129" s="55" t="str">
        <f>IFERROR(__xludf.DUMMYFUNCTION("QUERY('Volunteer Survey'!M136)"),"")</f>
        <v/>
      </c>
      <c r="U129" s="64" t="str">
        <f>IFERROR(__xludf.DUMMYFUNCTION("QUERY('Volunteer Survey'!N136)"),"I work for a clinical laboratory and both assess gene-disease validity and provide variant annotation for a variety of molecular tests, including large epilepsy panels")</f>
        <v>I work for a clinical laboratory and both assess gene-disease validity and provide variant annotation for a variety of molecular tests, including large epilepsy panels</v>
      </c>
      <c r="V129" s="55" t="str">
        <f>IFERROR(__xludf.DUMMYFUNCTION("QUERY('Volunteer Survey'!O136)"),"Possibly")</f>
        <v>Possibly</v>
      </c>
      <c r="W129" s="66" t="str">
        <f>IFERROR(__xludf.DUMMYFUNCTION("QUERY('Volunteer Survey'!P136)"),"Epilepsy")</f>
        <v>Epilepsy</v>
      </c>
      <c r="X129" s="64" t="str">
        <f>IFERROR(__xludf.DUMMYFUNCTION("QUERY('Volunteer Survey'!R136)"),"Maybe -- please contact me with other options, and I will decide based on what is available")</f>
        <v>Maybe -- please contact me with other options, and I will decide based on what is available</v>
      </c>
      <c r="Y129" s="53"/>
      <c r="Z129" s="68"/>
      <c r="AA129" s="55"/>
      <c r="AB129" s="55"/>
      <c r="AC129" s="55"/>
      <c r="AD129" s="55"/>
      <c r="AE129" s="55"/>
      <c r="AF129" s="55"/>
      <c r="AG129" s="55"/>
      <c r="AH129" s="55"/>
      <c r="AI129" s="55"/>
      <c r="AJ129" s="55"/>
      <c r="AK129" s="55"/>
      <c r="AL129" s="55"/>
      <c r="AM129" s="55"/>
      <c r="AN129" s="55"/>
      <c r="AO129" s="55"/>
    </row>
    <row r="130">
      <c r="A130" s="50">
        <f>IFERROR(__xludf.DUMMYFUNCTION("QUERY('Volunteer Survey'!A137)"),43543.44051402778)</f>
        <v>43543.44051</v>
      </c>
      <c r="B130" s="48" t="s">
        <v>160</v>
      </c>
      <c r="C130" s="53"/>
      <c r="D130" s="65">
        <v>43605.0</v>
      </c>
      <c r="E130" s="48" t="s">
        <v>117</v>
      </c>
      <c r="F130" s="48" t="s">
        <v>117</v>
      </c>
      <c r="G130" s="48" t="s">
        <v>251</v>
      </c>
      <c r="H130" s="51" t="s">
        <v>248</v>
      </c>
      <c r="I130" s="51" t="s">
        <v>139</v>
      </c>
      <c r="J130" s="56">
        <v>43712.0</v>
      </c>
      <c r="K130" s="56"/>
      <c r="L130" s="55" t="str">
        <f>IFERROR(__xludf.DUMMYFUNCTION("QUERY('Volunteer Survey'!B137)"),"Jing Xie")</f>
        <v>Jing Xie</v>
      </c>
      <c r="M130" s="55" t="str">
        <f>IFERROR(__xludf.DUMMYFUNCTION("QUERY('Volunteer Survey'!E137)"),"jingxiegene@gmail.com")</f>
        <v>jingxiegene@gmail.com</v>
      </c>
      <c r="N130" s="55" t="str">
        <f>IFERROR(__xludf.DUMMYFUNCTION("QUERY('Volunteer Survey'!F137)"),"Clinical laboratory geneticist")</f>
        <v>Clinical laboratory geneticist</v>
      </c>
      <c r="O130" s="48" t="str">
        <f>IFERROR(__xludf.DUMMYFUNCTION("QUERY('Volunteer Survey'!H137)"),"Comprehensive")</f>
        <v>Comprehensive</v>
      </c>
      <c r="P130" s="55" t="str">
        <f>IFERROR(__xludf.DUMMYFUNCTION("QUERY('Volunteer Survey'!I137)"),"Variant Pathogenicity")</f>
        <v>Variant Pathogenicity</v>
      </c>
      <c r="Q130" s="60" t="str">
        <f>IFERROR(__xludf.DUMMYFUNCTION("QUERY('Volunteer Survey'!J137)"),"Gene-Disease Validity")</f>
        <v>Gene-Disease Validity</v>
      </c>
      <c r="R130" s="55" t="str">
        <f>IFERROR(__xludf.DUMMYFUNCTION("QUERY('Volunteer Survey'!K137)"),"Clinical Actionability")</f>
        <v>Clinical Actionability</v>
      </c>
      <c r="S130" s="55" t="str">
        <f>IFERROR(__xludf.DUMMYFUNCTION("QUERY('Volunteer Survey'!L137)"),"Dosage Sensitivity")</f>
        <v>Dosage Sensitivity</v>
      </c>
      <c r="T130" s="55" t="str">
        <f>IFERROR(__xludf.DUMMYFUNCTION("QUERY('Volunteer Survey'!M137)"),"Somatic Cancer")</f>
        <v>Somatic Cancer</v>
      </c>
      <c r="U130" s="64" t="str">
        <f>IFERROR(__xludf.DUMMYFUNCTION("QUERY('Volunteer Survey'!N137)"),"Yes, as a clinical laboratory director, I have been heavily involved in variant pathogenicity evaluation myself and variant analyst training. Meanwhile, I also worked on gene-disease curation periodically for our interpretation pipeline. ")</f>
        <v>Yes, as a clinical laboratory director, I have been heavily involved in variant pathogenicity evaluation myself and variant analyst training. Meanwhile, I also worked on gene-disease curation periodically for our interpretation pipeline. </v>
      </c>
      <c r="V130" s="55" t="str">
        <f>IFERROR(__xludf.DUMMYFUNCTION("QUERY('Volunteer Survey'!O137)"),"Yes")</f>
        <v>Yes</v>
      </c>
      <c r="W130" s="66" t="str">
        <f>IFERROR(__xludf.DUMMYFUNCTION("QUERY('Volunteer Survey'!P137)"),"Gene Curation Panel: Hereditary Cancer; Storage Diseases. Variant Curation Panel: Breast/Ovarian Cancer; Colorectal Cancer; Fatty Acid Oxidation; Cerebral Creatine Deficiency Syndrome")</f>
        <v>Gene Curation Panel: Hereditary Cancer; Storage Diseases. Variant Curation Panel: Breast/Ovarian Cancer; Colorectal Cancer; Fatty Acid Oxidation; Cerebral Creatine Deficiency Syndrome</v>
      </c>
      <c r="X130" s="64" t="str">
        <f>IFERROR(__xludf.DUMMYFUNCTION("QUERY('Volunteer Survey'!R137)"),"Yes- I am willing to volunteer with any available ClinGen group")</f>
        <v>Yes- I am willing to volunteer with any available ClinGen group</v>
      </c>
      <c r="Y130" s="51" t="s">
        <v>349</v>
      </c>
      <c r="Z130" s="68"/>
      <c r="AA130" s="55"/>
      <c r="AB130" s="55"/>
      <c r="AC130" s="55"/>
      <c r="AD130" s="55"/>
      <c r="AE130" s="55"/>
      <c r="AF130" s="55"/>
      <c r="AG130" s="55"/>
      <c r="AH130" s="55"/>
      <c r="AI130" s="55"/>
      <c r="AJ130" s="55"/>
      <c r="AK130" s="55"/>
      <c r="AL130" s="55"/>
      <c r="AM130" s="55"/>
      <c r="AN130" s="55"/>
      <c r="AO130" s="55"/>
    </row>
    <row r="131">
      <c r="A131" s="50">
        <f>IFERROR(__xludf.DUMMYFUNCTION("QUERY('Volunteer Survey'!A138)"),43549.5145897801)</f>
        <v>43549.51459</v>
      </c>
      <c r="B131" s="48" t="s">
        <v>108</v>
      </c>
      <c r="C131" s="53"/>
      <c r="D131" s="55"/>
      <c r="E131" s="48" t="s">
        <v>130</v>
      </c>
      <c r="F131" s="48" t="s">
        <v>130</v>
      </c>
      <c r="G131" s="48" t="s">
        <v>202</v>
      </c>
      <c r="H131" s="53"/>
      <c r="I131" s="51" t="s">
        <v>139</v>
      </c>
      <c r="J131" s="55"/>
      <c r="K131" s="55"/>
      <c r="L131" s="55" t="str">
        <f>IFERROR(__xludf.DUMMYFUNCTION("QUERY('Volunteer Survey'!B138)"),"Jianli Dong")</f>
        <v>Jianli Dong</v>
      </c>
      <c r="M131" s="55" t="str">
        <f>IFERROR(__xludf.DUMMYFUNCTION("QUERY('Volunteer Survey'!E138)"),"jidong@utmb.edu")</f>
        <v>jidong@utmb.edu</v>
      </c>
      <c r="N131" s="55" t="str">
        <f>IFERROR(__xludf.DUMMYFUNCTION("QUERY('Volunteer Survey'!F138)"),"Clinical laboratory geneticist")</f>
        <v>Clinical laboratory geneticist</v>
      </c>
      <c r="O131" s="48" t="str">
        <f>IFERROR(__xludf.DUMMYFUNCTION("QUERY('Volunteer Survey'!H138)"),"Baseline")</f>
        <v>Baseline</v>
      </c>
      <c r="P131" s="55" t="str">
        <f>IFERROR(__xludf.DUMMYFUNCTION("QUERY('Volunteer Survey'!I138)"),"")</f>
        <v/>
      </c>
      <c r="Q131" s="60" t="str">
        <f>IFERROR(__xludf.DUMMYFUNCTION("QUERY('Volunteer Survey'!J138)"),"")</f>
        <v/>
      </c>
      <c r="R131" s="55" t="str">
        <f>IFERROR(__xludf.DUMMYFUNCTION("QUERY('Volunteer Survey'!K138)"),"")</f>
        <v/>
      </c>
      <c r="S131" s="55" t="str">
        <f>IFERROR(__xludf.DUMMYFUNCTION("QUERY('Volunteer Survey'!L138)"),"")</f>
        <v/>
      </c>
      <c r="T131" s="55" t="str">
        <f>IFERROR(__xludf.DUMMYFUNCTION("QUERY('Volunteer Survey'!M138)"),"")</f>
        <v/>
      </c>
      <c r="U131" s="64" t="str">
        <f>IFERROR(__xludf.DUMMYFUNCTION("QUERY('Volunteer Survey'!N138)"),"")</f>
        <v/>
      </c>
      <c r="V131" s="55" t="str">
        <f>IFERROR(__xludf.DUMMYFUNCTION("QUERY('Volunteer Survey'!O138)"),"No")</f>
        <v>No</v>
      </c>
      <c r="W131" s="66" t="str">
        <f>IFERROR(__xludf.DUMMYFUNCTION("QUERY('Volunteer Survey'!P138)"),"Breast/Ovarian Cancer (newly forming), Dosage- Hereditary Cancer (newly forming)*, Colorectal Cancer (newly forming), Somatic Cancer")</f>
        <v>Breast/Ovarian Cancer (newly forming), Dosage- Hereditary Cancer (newly forming)*, Colorectal Cancer (newly forming), Somatic Cancer</v>
      </c>
      <c r="X131" s="64" t="str">
        <f>IFERROR(__xludf.DUMMYFUNCTION("QUERY('Volunteer Survey'!R138)"),"Maybe -- please contact me with other options, and I will decide based on what is available")</f>
        <v>Maybe -- please contact me with other options, and I will decide based on what is available</v>
      </c>
      <c r="Y131" s="53"/>
      <c r="Z131" s="68"/>
      <c r="AA131" s="55"/>
      <c r="AB131" s="55"/>
      <c r="AC131" s="55"/>
      <c r="AD131" s="55"/>
      <c r="AE131" s="55"/>
      <c r="AF131" s="55"/>
      <c r="AG131" s="55"/>
      <c r="AH131" s="55"/>
      <c r="AI131" s="55"/>
      <c r="AJ131" s="55"/>
      <c r="AK131" s="55"/>
      <c r="AL131" s="55"/>
      <c r="AM131" s="55"/>
      <c r="AN131" s="55"/>
      <c r="AO131" s="55"/>
    </row>
    <row r="132">
      <c r="A132" s="50">
        <f>IFERROR(__xludf.DUMMYFUNCTION("QUERY('Volunteer Survey'!A139)"),43549.53046127314)</f>
        <v>43549.53046</v>
      </c>
      <c r="B132" s="48" t="s">
        <v>108</v>
      </c>
      <c r="C132" s="53"/>
      <c r="D132" s="65">
        <v>43605.0</v>
      </c>
      <c r="E132" s="48" t="s">
        <v>117</v>
      </c>
      <c r="F132" s="48" t="s">
        <v>117</v>
      </c>
      <c r="G132" s="48" t="s">
        <v>251</v>
      </c>
      <c r="H132" s="51" t="s">
        <v>242</v>
      </c>
      <c r="I132" s="51" t="s">
        <v>139</v>
      </c>
      <c r="J132" s="56">
        <v>43712.0</v>
      </c>
      <c r="K132" s="56"/>
      <c r="L132" s="55" t="str">
        <f>IFERROR(__xludf.DUMMYFUNCTION("QUERY('Volunteer Survey'!B139)"),"Kathryn Kronquist")</f>
        <v>Kathryn Kronquist</v>
      </c>
      <c r="M132" s="55" t="str">
        <f>IFERROR(__xludf.DUMMYFUNCTION("QUERY('Volunteer Survey'!E139)"),"Kathryn.Kronquist@childrenscolorado.org")</f>
        <v>Kathryn.Kronquist@childrenscolorado.org</v>
      </c>
      <c r="N132" s="55" t="str">
        <f>IFERROR(__xludf.DUMMYFUNCTION("QUERY('Volunteer Survey'!F139)"),"Clinical laboratory geneticist")</f>
        <v>Clinical laboratory geneticist</v>
      </c>
      <c r="O132" s="48" t="str">
        <f>IFERROR(__xludf.DUMMYFUNCTION("QUERY('Volunteer Survey'!H139)"),"Comprehensive")</f>
        <v>Comprehensive</v>
      </c>
      <c r="P132" s="55" t="str">
        <f>IFERROR(__xludf.DUMMYFUNCTION("QUERY('Volunteer Survey'!I139)"),"Variant Pathogenicity")</f>
        <v>Variant Pathogenicity</v>
      </c>
      <c r="Q132" s="60" t="str">
        <f>IFERROR(__xludf.DUMMYFUNCTION("QUERY('Volunteer Survey'!J139)"),"Dosage Sensitivity")</f>
        <v>Dosage Sensitivity</v>
      </c>
      <c r="R132" s="55" t="str">
        <f>IFERROR(__xludf.DUMMYFUNCTION("QUERY('Volunteer Survey'!K139)"),"")</f>
        <v/>
      </c>
      <c r="S132" s="55" t="str">
        <f>IFERROR(__xludf.DUMMYFUNCTION("QUERY('Volunteer Survey'!L139)"),"")</f>
        <v/>
      </c>
      <c r="T132" s="55" t="str">
        <f>IFERROR(__xludf.DUMMYFUNCTION("QUERY('Volunteer Survey'!M139)"),"")</f>
        <v/>
      </c>
      <c r="U132" s="64" t="str">
        <f>IFERROR(__xludf.DUMMYFUNCTION("QUERY('Volunteer Survey'!N139)"),"applying ACMG Guidelines for variant curation in daily work")</f>
        <v>applying ACMG Guidelines for variant curation in daily work</v>
      </c>
      <c r="V132" s="55" t="str">
        <f>IFERROR(__xludf.DUMMYFUNCTION("QUERY('Volunteer Survey'!O139)"),"Possibly")</f>
        <v>Possibly</v>
      </c>
      <c r="W132" s="66" t="str">
        <f>IFERROR(__xludf.DUMMYFUNCTION("QUERY('Volunteer Survey'!P139)"),"epilepsy, RASopathy")</f>
        <v>epilepsy, RASopathy</v>
      </c>
      <c r="X132" s="64" t="str">
        <f>IFERROR(__xludf.DUMMYFUNCTION("QUERY('Volunteer Survey'!R139)"),"Yes- I am willing to volunteer with any available ClinGen group")</f>
        <v>Yes- I am willing to volunteer with any available ClinGen group</v>
      </c>
      <c r="Y132" s="53"/>
      <c r="Z132" s="68"/>
      <c r="AA132" s="55"/>
      <c r="AB132" s="55"/>
      <c r="AC132" s="55"/>
      <c r="AD132" s="55"/>
      <c r="AE132" s="55"/>
      <c r="AF132" s="55"/>
      <c r="AG132" s="55"/>
      <c r="AH132" s="55"/>
      <c r="AI132" s="55"/>
      <c r="AJ132" s="55"/>
      <c r="AK132" s="55"/>
      <c r="AL132" s="55"/>
      <c r="AM132" s="55"/>
      <c r="AN132" s="55"/>
      <c r="AO132" s="55"/>
    </row>
    <row r="133">
      <c r="A133" s="50">
        <f>IFERROR(__xludf.DUMMYFUNCTION("QUERY('Volunteer Survey'!A140)"),43549.67094309028)</f>
        <v>43549.67094</v>
      </c>
      <c r="B133" s="48" t="s">
        <v>108</v>
      </c>
      <c r="C133" s="53"/>
      <c r="D133" s="55"/>
      <c r="E133" s="48" t="s">
        <v>130</v>
      </c>
      <c r="F133" s="48" t="s">
        <v>130</v>
      </c>
      <c r="G133" s="48" t="s">
        <v>202</v>
      </c>
      <c r="H133" s="53"/>
      <c r="I133" s="51" t="s">
        <v>139</v>
      </c>
      <c r="J133" s="55"/>
      <c r="K133" s="55"/>
      <c r="L133" s="55" t="str">
        <f>IFERROR(__xludf.DUMMYFUNCTION("QUERY('Volunteer Survey'!B140)"),"Kristen L Deak")</f>
        <v>Kristen L Deak</v>
      </c>
      <c r="M133" s="55" t="str">
        <f>IFERROR(__xludf.DUMMYFUNCTION("QUERY('Volunteer Survey'!E140)"),"kristen.deak@duke.edu")</f>
        <v>kristen.deak@duke.edu</v>
      </c>
      <c r="N133" s="55" t="str">
        <f>IFERROR(__xludf.DUMMYFUNCTION("QUERY('Volunteer Survey'!F140)"),"Clinical laboratory geneticist")</f>
        <v>Clinical laboratory geneticist</v>
      </c>
      <c r="O133" s="48" t="str">
        <f>IFERROR(__xludf.DUMMYFUNCTION("QUERY('Volunteer Survey'!H140)"),"Comprehensive")</f>
        <v>Comprehensive</v>
      </c>
      <c r="P133" s="55" t="str">
        <f>IFERROR(__xludf.DUMMYFUNCTION("QUERY('Volunteer Survey'!I140)"),"Variant Pathogenicity")</f>
        <v>Variant Pathogenicity</v>
      </c>
      <c r="Q133" s="60" t="str">
        <f>IFERROR(__xludf.DUMMYFUNCTION("QUERY('Volunteer Survey'!J140)"),"Somatic Cancer")</f>
        <v>Somatic Cancer</v>
      </c>
      <c r="R133" s="55" t="str">
        <f>IFERROR(__xludf.DUMMYFUNCTION("QUERY('Volunteer Survey'!K140)"),"Dosage Sensitivity")</f>
        <v>Dosage Sensitivity</v>
      </c>
      <c r="S133" s="55" t="str">
        <f>IFERROR(__xludf.DUMMYFUNCTION("QUERY('Volunteer Survey'!L140)"),"Clinical Actionability")</f>
        <v>Clinical Actionability</v>
      </c>
      <c r="T133" s="55" t="str">
        <f>IFERROR(__xludf.DUMMYFUNCTION("QUERY('Volunteer Survey'!M140)"),"Gene-Disease Validity")</f>
        <v>Gene-Disease Validity</v>
      </c>
      <c r="U133" s="64" t="str">
        <f>IFERROR(__xludf.DUMMYFUNCTION("QUERY('Volunteer Survey'!N140)"),"Not other than evaluation and signout of patient reports")</f>
        <v>Not other than evaluation and signout of patient reports</v>
      </c>
      <c r="V133" s="55" t="str">
        <f>IFERROR(__xludf.DUMMYFUNCTION("QUERY('Volunteer Survey'!O140)"),"Yes")</f>
        <v>Yes</v>
      </c>
      <c r="W133" s="66" t="str">
        <f>IFERROR(__xludf.DUMMYFUNCTION("QUERY('Volunteer Survey'!P140)"),"")</f>
        <v/>
      </c>
      <c r="X133" s="64" t="str">
        <f>IFERROR(__xludf.DUMMYFUNCTION("QUERY('Volunteer Survey'!R140)"),"Yes- I am willing to volunteer with any available ClinGen group")</f>
        <v>Yes- I am willing to volunteer with any available ClinGen group</v>
      </c>
      <c r="Y133" s="53"/>
      <c r="Z133" s="68"/>
      <c r="AA133" s="55"/>
      <c r="AB133" s="55"/>
      <c r="AC133" s="55"/>
      <c r="AD133" s="55"/>
      <c r="AE133" s="55"/>
      <c r="AF133" s="55"/>
      <c r="AG133" s="55"/>
      <c r="AH133" s="55"/>
      <c r="AI133" s="55"/>
      <c r="AJ133" s="55"/>
      <c r="AK133" s="55"/>
      <c r="AL133" s="55"/>
      <c r="AM133" s="55"/>
      <c r="AN133" s="55"/>
      <c r="AO133" s="55"/>
    </row>
    <row r="134">
      <c r="A134" s="50">
        <f>IFERROR(__xludf.DUMMYFUNCTION("QUERY('Volunteer Survey'!A141)"),43550.17733546296)</f>
        <v>43550.17734</v>
      </c>
      <c r="B134" s="48" t="s">
        <v>108</v>
      </c>
      <c r="C134" s="53"/>
      <c r="D134" s="49">
        <v>43581.0</v>
      </c>
      <c r="E134" s="48" t="s">
        <v>117</v>
      </c>
      <c r="F134" s="48" t="s">
        <v>130</v>
      </c>
      <c r="G134" s="48" t="s">
        <v>136</v>
      </c>
      <c r="H134" s="53"/>
      <c r="I134" s="51" t="s">
        <v>139</v>
      </c>
      <c r="J134" s="56">
        <v>43712.0</v>
      </c>
      <c r="K134" s="56"/>
      <c r="L134" s="55" t="str">
        <f>IFERROR(__xludf.DUMMYFUNCTION("QUERY('Volunteer Survey'!B141)"),"Venkataswamy Eswarachari")</f>
        <v>Venkataswamy Eswarachari</v>
      </c>
      <c r="M134" s="55" t="str">
        <f>IFERROR(__xludf.DUMMYFUNCTION("QUERY('Volunteer Survey'!E141)"),"venkataswamy@medgenome.com")</f>
        <v>venkataswamy@medgenome.com</v>
      </c>
      <c r="N134" s="55" t="str">
        <f>IFERROR(__xludf.DUMMYFUNCTION("QUERY('Volunteer Survey'!F141)"),"Clinical laboratory geneticist")</f>
        <v>Clinical laboratory geneticist</v>
      </c>
      <c r="O134" s="48" t="str">
        <f>IFERROR(__xludf.DUMMYFUNCTION("QUERY('Volunteer Survey'!H141)"),"Comprehensive")</f>
        <v>Comprehensive</v>
      </c>
      <c r="P134" s="55" t="str">
        <f>IFERROR(__xludf.DUMMYFUNCTION("QUERY('Volunteer Survey'!I141)"),"Somatic Cancer")</f>
        <v>Somatic Cancer</v>
      </c>
      <c r="Q134" s="60" t="str">
        <f>IFERROR(__xludf.DUMMYFUNCTION("QUERY('Volunteer Survey'!J141)"),"Gene-Disease Validity")</f>
        <v>Gene-Disease Validity</v>
      </c>
      <c r="R134" s="55" t="str">
        <f>IFERROR(__xludf.DUMMYFUNCTION("QUERY('Volunteer Survey'!K141)"),"Clinical Actionability")</f>
        <v>Clinical Actionability</v>
      </c>
      <c r="S134" s="55" t="str">
        <f>IFERROR(__xludf.DUMMYFUNCTION("QUERY('Volunteer Survey'!L141)"),"Variant Pathogenicity")</f>
        <v>Variant Pathogenicity</v>
      </c>
      <c r="T134" s="55" t="str">
        <f>IFERROR(__xludf.DUMMYFUNCTION("QUERY('Volunteer Survey'!M141)"),"Dosage Sensitivity")</f>
        <v>Dosage Sensitivity</v>
      </c>
      <c r="U134" s="64" t="str">
        <f>IFERROR(__xludf.DUMMYFUNCTION("QUERY('Volunteer Survey'!N141)"),"Not professionally but for clinical reporting I have done some curation. ")</f>
        <v>Not professionally but for clinical reporting I have done some curation. </v>
      </c>
      <c r="V134" s="55" t="str">
        <f>IFERROR(__xludf.DUMMYFUNCTION("QUERY('Volunteer Survey'!O141)"),"Possibly")</f>
        <v>Possibly</v>
      </c>
      <c r="W134" s="66" t="str">
        <f>IFERROR(__xludf.DUMMYFUNCTION("QUERY('Volunteer Survey'!P141)"),"")</f>
        <v/>
      </c>
      <c r="X134" s="64" t="str">
        <f>IFERROR(__xludf.DUMMYFUNCTION("QUERY('Volunteer Survey'!R141)"),"Yes- I am willing to volunteer with any available ClinGen group")</f>
        <v>Yes- I am willing to volunteer with any available ClinGen group</v>
      </c>
      <c r="Y134" s="53"/>
      <c r="Z134" s="68"/>
      <c r="AA134" s="55"/>
      <c r="AB134" s="55"/>
      <c r="AC134" s="55"/>
      <c r="AD134" s="55"/>
      <c r="AE134" s="55"/>
      <c r="AF134" s="55"/>
      <c r="AG134" s="55"/>
      <c r="AH134" s="55"/>
      <c r="AI134" s="55"/>
      <c r="AJ134" s="55"/>
      <c r="AK134" s="55"/>
      <c r="AL134" s="55"/>
      <c r="AM134" s="55"/>
      <c r="AN134" s="55"/>
      <c r="AO134" s="55"/>
    </row>
    <row r="135">
      <c r="A135" s="50">
        <f>IFERROR(__xludf.DUMMYFUNCTION("QUERY('Volunteer Survey'!A142)"),43551.42424122685)</f>
        <v>43551.42424</v>
      </c>
      <c r="B135" s="48" t="s">
        <v>108</v>
      </c>
      <c r="C135" s="53"/>
      <c r="D135" s="55"/>
      <c r="E135" s="48" t="s">
        <v>130</v>
      </c>
      <c r="F135" s="48" t="s">
        <v>130</v>
      </c>
      <c r="G135" s="48" t="s">
        <v>202</v>
      </c>
      <c r="H135" s="53"/>
      <c r="I135" s="51" t="s">
        <v>139</v>
      </c>
      <c r="J135" s="55"/>
      <c r="K135" s="55"/>
      <c r="L135" s="55" t="str">
        <f>IFERROR(__xludf.DUMMYFUNCTION("QUERY('Volunteer Survey'!B142)"),"Tyler Parris")</f>
        <v>Tyler Parris</v>
      </c>
      <c r="M135" s="55" t="str">
        <f>IFERROR(__xludf.DUMMYFUNCTION("QUERY('Volunteer Survey'!E142)"),"tylerchristianparrismd@gmail.com")</f>
        <v>tylerchristianparrismd@gmail.com</v>
      </c>
      <c r="N135" s="55" t="str">
        <f>IFERROR(__xludf.DUMMYFUNCTION("QUERY('Volunteer Survey'!F142)"),"Post Doc/Resident/Fellow (MD and/or PhD)")</f>
        <v>Post Doc/Resident/Fellow (MD and/or PhD)</v>
      </c>
      <c r="O135" s="48" t="str">
        <f>IFERROR(__xludf.DUMMYFUNCTION("QUERY('Volunteer Survey'!H142)"),"Baseline")</f>
        <v>Baseline</v>
      </c>
      <c r="P135" s="55" t="str">
        <f>IFERROR(__xludf.DUMMYFUNCTION("QUERY('Volunteer Survey'!I142)"),"Clinical Actionability")</f>
        <v>Clinical Actionability</v>
      </c>
      <c r="Q135" s="60" t="str">
        <f>IFERROR(__xludf.DUMMYFUNCTION("QUERY('Volunteer Survey'!J142)"),"")</f>
        <v/>
      </c>
      <c r="R135" s="55" t="str">
        <f>IFERROR(__xludf.DUMMYFUNCTION("QUERY('Volunteer Survey'!K142)"),"")</f>
        <v/>
      </c>
      <c r="S135" s="55" t="str">
        <f>IFERROR(__xludf.DUMMYFUNCTION("QUERY('Volunteer Survey'!L142)"),"")</f>
        <v/>
      </c>
      <c r="T135" s="55" t="str">
        <f>IFERROR(__xludf.DUMMYFUNCTION("QUERY('Volunteer Survey'!M142)"),"")</f>
        <v/>
      </c>
      <c r="U135" s="64" t="str">
        <f>IFERROR(__xludf.DUMMYFUNCTION("QUERY('Volunteer Survey'!N142)"),"")</f>
        <v/>
      </c>
      <c r="V135" s="55" t="str">
        <f>IFERROR(__xludf.DUMMYFUNCTION("QUERY('Volunteer Survey'!O142)"),"Possibly")</f>
        <v>Possibly</v>
      </c>
      <c r="W135" s="66" t="str">
        <f>IFERROR(__xludf.DUMMYFUNCTION("QUERY('Volunteer Survey'!P142)"),"")</f>
        <v/>
      </c>
      <c r="X135" s="64" t="str">
        <f>IFERROR(__xludf.DUMMYFUNCTION("QUERY('Volunteer Survey'!R142)"),"Maybe -- please contact me with other options, and I will decide based on what is available")</f>
        <v>Maybe -- please contact me with other options, and I will decide based on what is available</v>
      </c>
      <c r="Y135" s="53"/>
      <c r="Z135" s="68"/>
      <c r="AA135" s="55"/>
      <c r="AB135" s="55"/>
      <c r="AC135" s="55"/>
      <c r="AD135" s="55"/>
      <c r="AE135" s="55"/>
      <c r="AF135" s="55"/>
      <c r="AG135" s="55"/>
      <c r="AH135" s="55"/>
      <c r="AI135" s="55"/>
      <c r="AJ135" s="55"/>
      <c r="AK135" s="55"/>
      <c r="AL135" s="55"/>
      <c r="AM135" s="55"/>
      <c r="AN135" s="55"/>
      <c r="AO135" s="55"/>
    </row>
    <row r="136">
      <c r="A136" s="50">
        <f>IFERROR(__xludf.DUMMYFUNCTION("QUERY('Volunteer Survey'!A143)"),43556.9679415162)</f>
        <v>43556.96794</v>
      </c>
      <c r="B136" s="48" t="s">
        <v>108</v>
      </c>
      <c r="C136" s="53"/>
      <c r="D136" s="55"/>
      <c r="E136" s="48" t="s">
        <v>130</v>
      </c>
      <c r="F136" s="48" t="s">
        <v>130</v>
      </c>
      <c r="G136" s="48" t="s">
        <v>202</v>
      </c>
      <c r="H136" s="53"/>
      <c r="I136" s="51" t="s">
        <v>139</v>
      </c>
      <c r="J136" s="55"/>
      <c r="K136" s="55"/>
      <c r="L136" s="55" t="str">
        <f>IFERROR(__xludf.DUMMYFUNCTION("QUERY('Volunteer Survey'!B143)"),"Edward Shadiack")</f>
        <v>Edward Shadiack</v>
      </c>
      <c r="M136" s="55" t="str">
        <f>IFERROR(__xludf.DUMMYFUNCTION("QUERY('Volunteer Survey'!E143)"),"shadiaec@gmail.com")</f>
        <v>shadiaec@gmail.com</v>
      </c>
      <c r="N136" s="55" t="str">
        <f>IFERROR(__xludf.DUMMYFUNCTION("QUERY('Volunteer Survey'!F143)"),"Physician (Non-geneticist)")</f>
        <v>Physician (Non-geneticist)</v>
      </c>
      <c r="O136" s="48" t="str">
        <f>IFERROR(__xludf.DUMMYFUNCTION("QUERY('Volunteer Survey'!H143)"),"Baseline")</f>
        <v>Baseline</v>
      </c>
      <c r="P136" s="55" t="str">
        <f>IFERROR(__xludf.DUMMYFUNCTION("QUERY('Volunteer Survey'!I143)"),"Variant Pathogenicity")</f>
        <v>Variant Pathogenicity</v>
      </c>
      <c r="Q136" s="60" t="str">
        <f>IFERROR(__xludf.DUMMYFUNCTION("QUERY('Volunteer Survey'!J143)"),"Gene-Disease Validity")</f>
        <v>Gene-Disease Validity</v>
      </c>
      <c r="R136" s="55" t="str">
        <f>IFERROR(__xludf.DUMMYFUNCTION("QUERY('Volunteer Survey'!K143)"),"Clinical Actionability")</f>
        <v>Clinical Actionability</v>
      </c>
      <c r="S136" s="55" t="str">
        <f>IFERROR(__xludf.DUMMYFUNCTION("QUERY('Volunteer Survey'!L143)"),"Dosage Sensitivity")</f>
        <v>Dosage Sensitivity</v>
      </c>
      <c r="T136" s="55" t="str">
        <f>IFERROR(__xludf.DUMMYFUNCTION("QUERY('Volunteer Survey'!M143)"),"Somatic Cancer")</f>
        <v>Somatic Cancer</v>
      </c>
      <c r="U136" s="64" t="str">
        <f>IFERROR(__xludf.DUMMYFUNCTION("QUERY('Volunteer Survey'!N143)"),"No experience whatsoever")</f>
        <v>No experience whatsoever</v>
      </c>
      <c r="V136" s="55" t="str">
        <f>IFERROR(__xludf.DUMMYFUNCTION("QUERY('Volunteer Survey'!O143)"),"No")</f>
        <v>No</v>
      </c>
      <c r="W136" s="66" t="str">
        <f>IFERROR(__xludf.DUMMYFUNCTION("QUERY('Volunteer Survey'!P143)"),"Mitochondrial Diseases")</f>
        <v>Mitochondrial Diseases</v>
      </c>
      <c r="X136" s="64" t="str">
        <f>IFERROR(__xludf.DUMMYFUNCTION("QUERY('Volunteer Survey'!R143)"),"Yes- I am willing to volunteer with any available ClinGen group")</f>
        <v>Yes- I am willing to volunteer with any available ClinGen group</v>
      </c>
      <c r="Y136" s="53"/>
      <c r="Z136" s="68"/>
      <c r="AA136" s="55"/>
      <c r="AB136" s="55"/>
      <c r="AC136" s="55"/>
      <c r="AD136" s="55"/>
      <c r="AE136" s="55"/>
      <c r="AF136" s="55"/>
      <c r="AG136" s="55"/>
      <c r="AH136" s="55"/>
      <c r="AI136" s="55"/>
      <c r="AJ136" s="55"/>
      <c r="AK136" s="55"/>
      <c r="AL136" s="55"/>
      <c r="AM136" s="55"/>
      <c r="AN136" s="55"/>
      <c r="AO136" s="55"/>
    </row>
    <row r="137">
      <c r="A137" s="50">
        <f>IFERROR(__xludf.DUMMYFUNCTION("QUERY('Volunteer Survey'!A144)"),43558.13699107639)</f>
        <v>43558.13699</v>
      </c>
      <c r="B137" s="48" t="s">
        <v>160</v>
      </c>
      <c r="C137" s="53"/>
      <c r="D137" s="56">
        <v>43626.0</v>
      </c>
      <c r="E137" s="48" t="s">
        <v>117</v>
      </c>
      <c r="F137" s="48" t="s">
        <v>117</v>
      </c>
      <c r="G137" s="48" t="s">
        <v>251</v>
      </c>
      <c r="H137" s="51" t="s">
        <v>252</v>
      </c>
      <c r="I137" s="51" t="s">
        <v>139</v>
      </c>
      <c r="J137" s="56">
        <v>43712.0</v>
      </c>
      <c r="K137" s="56"/>
      <c r="L137" s="55" t="str">
        <f>IFERROR(__xludf.DUMMYFUNCTION("QUERY('Volunteer Survey'!B144)"),"Barbara Vona")</f>
        <v>Barbara Vona</v>
      </c>
      <c r="M137" s="55" t="str">
        <f>IFERROR(__xludf.DUMMYFUNCTION("QUERY('Volunteer Survey'!E144)"),"barbara.vona@uni-tuebingen.de")</f>
        <v>barbara.vona@uni-tuebingen.de</v>
      </c>
      <c r="N137" s="55" t="str">
        <f>IFERROR(__xludf.DUMMYFUNCTION("QUERY('Volunteer Survey'!F144)"),"Half variant analyst, half scientific researcher")</f>
        <v>Half variant analyst, half scientific researcher</v>
      </c>
      <c r="O137" s="48" t="str">
        <f>IFERROR(__xludf.DUMMYFUNCTION("QUERY('Volunteer Survey'!H144)"),"Comprehensive")</f>
        <v>Comprehensive</v>
      </c>
      <c r="P137" s="55" t="str">
        <f>IFERROR(__xludf.DUMMYFUNCTION("QUERY('Volunteer Survey'!I144)"),"Variant Pathogenicity")</f>
        <v>Variant Pathogenicity</v>
      </c>
      <c r="Q137" s="60" t="str">
        <f>IFERROR(__xludf.DUMMYFUNCTION("QUERY('Volunteer Survey'!J144)"),"Gene-Disease Validity")</f>
        <v>Gene-Disease Validity</v>
      </c>
      <c r="R137" s="55" t="str">
        <f>IFERROR(__xludf.DUMMYFUNCTION("QUERY('Volunteer Survey'!K144)"),"")</f>
        <v/>
      </c>
      <c r="S137" s="55" t="str">
        <f>IFERROR(__xludf.DUMMYFUNCTION("QUERY('Volunteer Survey'!L144)"),"")</f>
        <v/>
      </c>
      <c r="T137" s="55" t="str">
        <f>IFERROR(__xludf.DUMMYFUNCTION("QUERY('Volunteer Survey'!M144)"),"")</f>
        <v/>
      </c>
      <c r="U137" s="64" t="str">
        <f>IFERROR(__xludf.DUMMYFUNCTION("QUERY('Volunteer Survey'!N144)"),"LOVD3 variant curation for several hearing loss genes (STRC, GRHL2, CEACAM16, S1PR2)")</f>
        <v>LOVD3 variant curation for several hearing loss genes (STRC, GRHL2, CEACAM16, S1PR2)</v>
      </c>
      <c r="V137" s="55" t="str">
        <f>IFERROR(__xludf.DUMMYFUNCTION("QUERY('Volunteer Survey'!O144)"),"Yes")</f>
        <v>Yes</v>
      </c>
      <c r="W137" s="66" t="str">
        <f>IFERROR(__xludf.DUMMYFUNCTION("QUERY('Volunteer Survey'!P144)"),"Hearing Loss Variant and Gene Curation Expert Panels")</f>
        <v>Hearing Loss Variant and Gene Curation Expert Panels</v>
      </c>
      <c r="X137" s="64" t="str">
        <f>IFERROR(__xludf.DUMMYFUNCTION("QUERY('Volunteer Survey'!R144)"),"Maybe -- please contact me with other options, and I will decide based on what is available")</f>
        <v>Maybe -- please contact me with other options, and I will decide based on what is available</v>
      </c>
      <c r="Y137" s="53"/>
      <c r="Z137" s="68"/>
      <c r="AA137" s="55"/>
      <c r="AB137" s="55"/>
      <c r="AC137" s="55"/>
      <c r="AD137" s="55"/>
      <c r="AE137" s="55"/>
      <c r="AF137" s="55"/>
      <c r="AG137" s="55"/>
      <c r="AH137" s="55"/>
      <c r="AI137" s="55"/>
      <c r="AJ137" s="55"/>
      <c r="AK137" s="55"/>
      <c r="AL137" s="55"/>
      <c r="AM137" s="55"/>
      <c r="AN137" s="55"/>
      <c r="AO137" s="55"/>
    </row>
    <row r="138">
      <c r="A138" s="50">
        <f>IFERROR(__xludf.DUMMYFUNCTION("QUERY('Volunteer Survey'!A145)"),43558.605901724535)</f>
        <v>43558.6059</v>
      </c>
      <c r="B138" s="48" t="s">
        <v>160</v>
      </c>
      <c r="C138" s="53"/>
      <c r="D138" s="65">
        <v>43605.0</v>
      </c>
      <c r="E138" s="48" t="s">
        <v>117</v>
      </c>
      <c r="F138" s="48" t="s">
        <v>117</v>
      </c>
      <c r="G138" s="48" t="s">
        <v>251</v>
      </c>
      <c r="H138" s="51" t="s">
        <v>309</v>
      </c>
      <c r="I138" s="51" t="s">
        <v>139</v>
      </c>
      <c r="J138" s="56">
        <v>43712.0</v>
      </c>
      <c r="K138" s="56"/>
      <c r="L138" s="55" t="str">
        <f>IFERROR(__xludf.DUMMYFUNCTION("QUERY('Volunteer Survey'!B145)"),"Viridiana Murillo")</f>
        <v>Viridiana Murillo</v>
      </c>
      <c r="M138" s="55" t="str">
        <f>IFERROR(__xludf.DUMMYFUNCTION("QUERY('Volunteer Survey'!E145)"),"vmurillo18@students.kgi.edu")</f>
        <v>vmurillo18@students.kgi.edu</v>
      </c>
      <c r="N138" s="55" t="str">
        <f>IFERROR(__xludf.DUMMYFUNCTION("QUERY('Volunteer Survey'!F145)"),"Graduate Student")</f>
        <v>Graduate Student</v>
      </c>
      <c r="O138" s="48" t="str">
        <f>IFERROR(__xludf.DUMMYFUNCTION("QUERY('Volunteer Survey'!H145)"),"Comprehensive")</f>
        <v>Comprehensive</v>
      </c>
      <c r="P138" s="55" t="str">
        <f>IFERROR(__xludf.DUMMYFUNCTION("QUERY('Volunteer Survey'!I145)"),"Variant Pathogenicity")</f>
        <v>Variant Pathogenicity</v>
      </c>
      <c r="Q138" s="60" t="str">
        <f>IFERROR(__xludf.DUMMYFUNCTION("QUERY('Volunteer Survey'!J145)"),"")</f>
        <v/>
      </c>
      <c r="R138" s="55" t="str">
        <f>IFERROR(__xludf.DUMMYFUNCTION("QUERY('Volunteer Survey'!K145)"),"")</f>
        <v/>
      </c>
      <c r="S138" s="55" t="str">
        <f>IFERROR(__xludf.DUMMYFUNCTION("QUERY('Volunteer Survey'!L145)"),"")</f>
        <v/>
      </c>
      <c r="T138" s="55" t="str">
        <f>IFERROR(__xludf.DUMMYFUNCTION("QUERY('Volunteer Survey'!M145)"),"")</f>
        <v/>
      </c>
      <c r="U138" s="64" t="str">
        <f>IFERROR(__xludf.DUMMYFUNCTION("QUERY('Volunteer Survey'!N145)"),"We have had some introduction to variant curation using the ACMG guidelines in my Human Genomics course and a training we attended on variant curation. ")</f>
        <v>We have had some introduction to variant curation using the ACMG guidelines in my Human Genomics course and a training we attended on variant curation. </v>
      </c>
      <c r="V138" s="55" t="str">
        <f>IFERROR(__xludf.DUMMYFUNCTION("QUERY('Volunteer Survey'!O145)"),"Possibly")</f>
        <v>Possibly</v>
      </c>
      <c r="W138" s="66" t="str">
        <f>IFERROR(__xludf.DUMMYFUNCTION("QUERY('Volunteer Survey'!P145)"),"Metabolism (PAH) workgroup and/or  Epilepsy work group")</f>
        <v>Metabolism (PAH) workgroup and/or  Epilepsy work group</v>
      </c>
      <c r="X138" s="64" t="str">
        <f>IFERROR(__xludf.DUMMYFUNCTION("QUERY('Volunteer Survey'!R145)"),"Yes- I am willing to volunteer with any available ClinGen group")</f>
        <v>Yes- I am willing to volunteer with any available ClinGen group</v>
      </c>
      <c r="Y138" s="53"/>
      <c r="Z138" s="68"/>
      <c r="AA138" s="55"/>
      <c r="AB138" s="55"/>
      <c r="AC138" s="55"/>
      <c r="AD138" s="55"/>
      <c r="AE138" s="55"/>
      <c r="AF138" s="55"/>
      <c r="AG138" s="55"/>
      <c r="AH138" s="55"/>
      <c r="AI138" s="55"/>
      <c r="AJ138" s="55"/>
      <c r="AK138" s="55"/>
      <c r="AL138" s="55"/>
      <c r="AM138" s="55"/>
      <c r="AN138" s="55"/>
      <c r="AO138" s="55"/>
    </row>
    <row r="139">
      <c r="A139" s="50">
        <f>IFERROR(__xludf.DUMMYFUNCTION("QUERY('Volunteer Survey'!A146)"),43558.62698700232)</f>
        <v>43558.62699</v>
      </c>
      <c r="B139" s="48" t="s">
        <v>168</v>
      </c>
      <c r="C139" s="53"/>
      <c r="D139" s="65">
        <v>43605.0</v>
      </c>
      <c r="E139" s="48" t="s">
        <v>117</v>
      </c>
      <c r="F139" s="48" t="s">
        <v>130</v>
      </c>
      <c r="G139" s="48" t="s">
        <v>251</v>
      </c>
      <c r="H139" s="53"/>
      <c r="I139" s="51" t="s">
        <v>139</v>
      </c>
      <c r="J139" s="55"/>
      <c r="K139" s="55"/>
      <c r="L139" s="55" t="str">
        <f>IFERROR(__xludf.DUMMYFUNCTION("QUERY('Volunteer Survey'!B146)"),"Sharon Suchy")</f>
        <v>Sharon Suchy</v>
      </c>
      <c r="M139" s="55" t="str">
        <f>IFERROR(__xludf.DUMMYFUNCTION("QUERY('Volunteer Survey'!E146)"),"ssuchy@genedx.com")</f>
        <v>ssuchy@genedx.com</v>
      </c>
      <c r="N139" s="55" t="str">
        <f>IFERROR(__xludf.DUMMYFUNCTION("QUERY('Volunteer Survey'!F146)"),"Clinical laboratory geneticist")</f>
        <v>Clinical laboratory geneticist</v>
      </c>
      <c r="O139" s="48" t="str">
        <f>IFERROR(__xludf.DUMMYFUNCTION("QUERY('Volunteer Survey'!H146)"),"Comprehensive")</f>
        <v>Comprehensive</v>
      </c>
      <c r="P139" s="55" t="str">
        <f>IFERROR(__xludf.DUMMYFUNCTION("QUERY('Volunteer Survey'!I146)"),"Variant Pathogenicity")</f>
        <v>Variant Pathogenicity</v>
      </c>
      <c r="Q139" s="60" t="str">
        <f>IFERROR(__xludf.DUMMYFUNCTION("QUERY('Volunteer Survey'!J146)"),"Clinical Actionability")</f>
        <v>Clinical Actionability</v>
      </c>
      <c r="R139" s="55" t="str">
        <f>IFERROR(__xludf.DUMMYFUNCTION("QUERY('Volunteer Survey'!K146)"),"Gene-Disease Validity")</f>
        <v>Gene-Disease Validity</v>
      </c>
      <c r="S139" s="55" t="str">
        <f>IFERROR(__xludf.DUMMYFUNCTION("QUERY('Volunteer Survey'!L146)"),"")</f>
        <v/>
      </c>
      <c r="T139" s="55" t="str">
        <f>IFERROR(__xludf.DUMMYFUNCTION("QUERY('Volunteer Survey'!M146)"),"")</f>
        <v/>
      </c>
      <c r="U139" s="64" t="str">
        <f>IFERROR(__xludf.DUMMYFUNCTION("QUERY('Volunteer Survey'!N146)"),"yes, assessing variant pathogenicity /clinical actionability issues")</f>
        <v>yes, assessing variant pathogenicity /clinical actionability issues</v>
      </c>
      <c r="V139" s="55" t="str">
        <f>IFERROR(__xludf.DUMMYFUNCTION("QUERY('Volunteer Survey'!O146)"),"Possibly")</f>
        <v>Possibly</v>
      </c>
      <c r="W139" s="66" t="str">
        <f>IFERROR(__xludf.DUMMYFUNCTION("QUERY('Volunteer Survey'!P146)"),"lysosomal storage, inborn errors of metabolism")</f>
        <v>lysosomal storage, inborn errors of metabolism</v>
      </c>
      <c r="X139" s="64" t="str">
        <f>IFERROR(__xludf.DUMMYFUNCTION("QUERY('Volunteer Survey'!R146)"),"Maybe -- please contact me with other options, and I will decide based on what is available")</f>
        <v>Maybe -- please contact me with other options, and I will decide based on what is available</v>
      </c>
      <c r="Y139" s="53"/>
      <c r="Z139" s="68"/>
      <c r="AA139" s="55"/>
      <c r="AB139" s="55"/>
      <c r="AC139" s="55"/>
      <c r="AD139" s="55"/>
      <c r="AE139" s="55"/>
      <c r="AF139" s="55"/>
      <c r="AG139" s="55"/>
      <c r="AH139" s="55"/>
      <c r="AI139" s="55"/>
      <c r="AJ139" s="55"/>
      <c r="AK139" s="55"/>
      <c r="AL139" s="55"/>
      <c r="AM139" s="55"/>
      <c r="AN139" s="55"/>
      <c r="AO139" s="55"/>
    </row>
    <row r="140">
      <c r="A140" s="50">
        <f>IFERROR(__xludf.DUMMYFUNCTION("QUERY('Volunteer Survey'!A147)"),43558.975779976856)</f>
        <v>43558.97578</v>
      </c>
      <c r="B140" s="48" t="s">
        <v>108</v>
      </c>
      <c r="C140" s="51" t="s">
        <v>350</v>
      </c>
      <c r="D140" s="55"/>
      <c r="E140" s="48" t="s">
        <v>130</v>
      </c>
      <c r="F140" s="48" t="s">
        <v>130</v>
      </c>
      <c r="G140" s="48" t="s">
        <v>122</v>
      </c>
      <c r="H140" s="53"/>
      <c r="I140" s="51" t="s">
        <v>299</v>
      </c>
      <c r="J140" s="55"/>
      <c r="K140" s="55"/>
      <c r="L140" s="55" t="str">
        <f>IFERROR(__xludf.DUMMYFUNCTION("QUERY('Volunteer Survey'!B147)"),"GIFTY BHAT")</f>
        <v>GIFTY BHAT</v>
      </c>
      <c r="M140" s="55" t="str">
        <f>IFERROR(__xludf.DUMMYFUNCTION("QUERY('Volunteer Survey'!E147)"),"drgiftybhat@gmail.com")</f>
        <v>drgiftybhat@gmail.com</v>
      </c>
      <c r="N140" s="55" t="str">
        <f>IFERROR(__xludf.DUMMYFUNCTION("QUERY('Volunteer Survey'!F147)"),"Clinical Medical Geneticist")</f>
        <v>Clinical Medical Geneticist</v>
      </c>
      <c r="O140" s="48" t="str">
        <f>IFERROR(__xludf.DUMMYFUNCTION("QUERY('Volunteer Survey'!H147)"),"Comprehensive")</f>
        <v>Comprehensive</v>
      </c>
      <c r="P140" s="55" t="str">
        <f>IFERROR(__xludf.DUMMYFUNCTION("QUERY('Volunteer Survey'!I147)"),"Gene-Disease Validity")</f>
        <v>Gene-Disease Validity</v>
      </c>
      <c r="Q140" s="60" t="str">
        <f>IFERROR(__xludf.DUMMYFUNCTION("QUERY('Volunteer Survey'!J147)"),"Variant Pathogenicity")</f>
        <v>Variant Pathogenicity</v>
      </c>
      <c r="R140" s="55" t="str">
        <f>IFERROR(__xludf.DUMMYFUNCTION("QUERY('Volunteer Survey'!K147)"),"Clinical Actionability")</f>
        <v>Clinical Actionability</v>
      </c>
      <c r="S140" s="55" t="str">
        <f>IFERROR(__xludf.DUMMYFUNCTION("QUERY('Volunteer Survey'!L147)"),"Dosage Sensitivity")</f>
        <v>Dosage Sensitivity</v>
      </c>
      <c r="T140" s="55" t="str">
        <f>IFERROR(__xludf.DUMMYFUNCTION("QUERY('Volunteer Survey'!M147)"),"Somatic Cancer")</f>
        <v>Somatic Cancer</v>
      </c>
      <c r="U140" s="64" t="str">
        <f>IFERROR(__xludf.DUMMYFUNCTION("QUERY('Volunteer Survey'!N147)"),"Research activity for 6 months for neurodevelopmental disorders in consanguineous population")</f>
        <v>Research activity for 6 months for neurodevelopmental disorders in consanguineous population</v>
      </c>
      <c r="V140" s="55" t="str">
        <f>IFERROR(__xludf.DUMMYFUNCTION("QUERY('Volunteer Survey'!O147)"),"Yes")</f>
        <v>Yes</v>
      </c>
      <c r="W140" s="66" t="str">
        <f>IFERROR(__xludf.DUMMYFUNCTION("QUERY('Volunteer Survey'!P147)"),"Neurodevelopmental/intellectual disability, Rett-Angelman syndrome, PTEN related disorders")</f>
        <v>Neurodevelopmental/intellectual disability, Rett-Angelman syndrome, PTEN related disorders</v>
      </c>
      <c r="X140" s="64" t="str">
        <f>IFERROR(__xludf.DUMMYFUNCTION("QUERY('Volunteer Survey'!R147)"),"Yes- I am willing to volunteer with any available ClinGen group")</f>
        <v>Yes- I am willing to volunteer with any available ClinGen group</v>
      </c>
      <c r="Y140" s="53"/>
      <c r="Z140" s="68"/>
      <c r="AA140" s="55"/>
      <c r="AB140" s="55"/>
      <c r="AC140" s="55"/>
      <c r="AD140" s="55"/>
      <c r="AE140" s="55"/>
      <c r="AF140" s="55"/>
      <c r="AG140" s="55"/>
      <c r="AH140" s="55"/>
      <c r="AI140" s="55"/>
      <c r="AJ140" s="55"/>
      <c r="AK140" s="55"/>
      <c r="AL140" s="55"/>
      <c r="AM140" s="55"/>
      <c r="AN140" s="55"/>
      <c r="AO140" s="55"/>
    </row>
    <row r="141">
      <c r="A141" s="50">
        <f>IFERROR(__xludf.DUMMYFUNCTION("QUERY('Volunteer Survey'!A148)"),43559.45062822916)</f>
        <v>43559.45063</v>
      </c>
      <c r="B141" s="48" t="s">
        <v>160</v>
      </c>
      <c r="C141" s="53"/>
      <c r="D141" s="65">
        <v>43608.0</v>
      </c>
      <c r="E141" s="48" t="s">
        <v>117</v>
      </c>
      <c r="F141" s="48" t="s">
        <v>117</v>
      </c>
      <c r="G141" s="48" t="s">
        <v>251</v>
      </c>
      <c r="H141" s="51" t="s">
        <v>310</v>
      </c>
      <c r="I141" s="51" t="s">
        <v>139</v>
      </c>
      <c r="J141" s="56">
        <v>43712.0</v>
      </c>
      <c r="K141" s="56"/>
      <c r="L141" s="55" t="str">
        <f>IFERROR(__xludf.DUMMYFUNCTION("QUERY('Volunteer Survey'!B148)"),"Theodore E. Wilson")</f>
        <v>Theodore E. Wilson</v>
      </c>
      <c r="M141" s="55" t="str">
        <f>IFERROR(__xludf.DUMMYFUNCTION("QUERY('Volunteer Survey'!E148)"),"theowils@iu.edu")</f>
        <v>theowils@iu.edu</v>
      </c>
      <c r="N141" s="55" t="str">
        <f>IFERROR(__xludf.DUMMYFUNCTION("QUERY('Volunteer Survey'!F148)"),"Clinical Medical Geneticist")</f>
        <v>Clinical Medical Geneticist</v>
      </c>
      <c r="O141" s="48" t="str">
        <f>IFERROR(__xludf.DUMMYFUNCTION("QUERY('Volunteer Survey'!H148)"),"Comprehensive")</f>
        <v>Comprehensive</v>
      </c>
      <c r="P141" s="55" t="str">
        <f>IFERROR(__xludf.DUMMYFUNCTION("QUERY('Volunteer Survey'!I148)"),"Variant Pathogenicity")</f>
        <v>Variant Pathogenicity</v>
      </c>
      <c r="Q141" s="60" t="str">
        <f>IFERROR(__xludf.DUMMYFUNCTION("QUERY('Volunteer Survey'!J148)"),"Gene-Disease Validity")</f>
        <v>Gene-Disease Validity</v>
      </c>
      <c r="R141" s="55" t="str">
        <f>IFERROR(__xludf.DUMMYFUNCTION("QUERY('Volunteer Survey'!K148)"),"")</f>
        <v/>
      </c>
      <c r="S141" s="55" t="str">
        <f>IFERROR(__xludf.DUMMYFUNCTION("QUERY('Volunteer Survey'!L148)"),"")</f>
        <v/>
      </c>
      <c r="T141" s="55" t="str">
        <f>IFERROR(__xludf.DUMMYFUNCTION("QUERY('Volunteer Survey'!M148)"),"")</f>
        <v/>
      </c>
      <c r="U141" s="64" t="str">
        <f>IFERROR(__xludf.DUMMYFUNCTION("QUERY('Volunteer Survey'!N148)"),"During my fellowship I worked closely with ARUP Molecular geneticists to call variant pathogenicity based on the 2015 criteria.")</f>
        <v>During my fellowship I worked closely with ARUP Molecular geneticists to call variant pathogenicity based on the 2015 criteria.</v>
      </c>
      <c r="V141" s="55" t="str">
        <f>IFERROR(__xludf.DUMMYFUNCTION("QUERY('Volunteer Survey'!O148)"),"No")</f>
        <v>No</v>
      </c>
      <c r="W141" s="66" t="str">
        <f>IFERROR(__xludf.DUMMYFUNCTION("QUERY('Volunteer Survey'!P148)"),"cardiomyopathy")</f>
        <v>cardiomyopathy</v>
      </c>
      <c r="X141" s="64" t="str">
        <f>IFERROR(__xludf.DUMMYFUNCTION("QUERY('Volunteer Survey'!R148)"),"Maybe -- please contact me with other options, and I will decide based on what is available")</f>
        <v>Maybe -- please contact me with other options, and I will decide based on what is available</v>
      </c>
      <c r="Y141" s="53"/>
      <c r="Z141" s="68"/>
      <c r="AA141" s="55"/>
      <c r="AB141" s="55"/>
      <c r="AC141" s="55"/>
      <c r="AD141" s="55"/>
      <c r="AE141" s="55"/>
      <c r="AF141" s="55"/>
      <c r="AG141" s="55"/>
      <c r="AH141" s="55"/>
      <c r="AI141" s="55"/>
      <c r="AJ141" s="55"/>
      <c r="AK141" s="55"/>
      <c r="AL141" s="55"/>
      <c r="AM141" s="55"/>
      <c r="AN141" s="55"/>
      <c r="AO141" s="55"/>
    </row>
    <row r="142">
      <c r="A142" s="50">
        <f>IFERROR(__xludf.DUMMYFUNCTION("QUERY('Volunteer Survey'!A149)"),43559.49000396991)</f>
        <v>43559.49</v>
      </c>
      <c r="B142" s="48" t="s">
        <v>160</v>
      </c>
      <c r="C142" s="53"/>
      <c r="D142" s="65">
        <v>43605.0</v>
      </c>
      <c r="E142" s="48" t="s">
        <v>117</v>
      </c>
      <c r="F142" s="48" t="s">
        <v>117</v>
      </c>
      <c r="G142" s="48" t="s">
        <v>251</v>
      </c>
      <c r="H142" s="51" t="s">
        <v>248</v>
      </c>
      <c r="I142" s="51" t="s">
        <v>139</v>
      </c>
      <c r="J142" s="56">
        <v>43712.0</v>
      </c>
      <c r="K142" s="56"/>
      <c r="L142" s="55" t="str">
        <f>IFERROR(__xludf.DUMMYFUNCTION("QUERY('Volunteer Survey'!B149)"),"Christina Y Hung")</f>
        <v>Christina Y Hung</v>
      </c>
      <c r="M142" s="55" t="str">
        <f>IFERROR(__xludf.DUMMYFUNCTION("QUERY('Volunteer Survey'!E149)"),"christina.hung@childrens.harvard.edu")</f>
        <v>christina.hung@childrens.harvard.edu</v>
      </c>
      <c r="N142" s="55" t="str">
        <f>IFERROR(__xludf.DUMMYFUNCTION("QUERY('Volunteer Survey'!F149)"),"Scientific Researcher")</f>
        <v>Scientific Researcher</v>
      </c>
      <c r="O142" s="48" t="str">
        <f>IFERROR(__xludf.DUMMYFUNCTION("QUERY('Volunteer Survey'!H149)"),"Comprehensive")</f>
        <v>Comprehensive</v>
      </c>
      <c r="P142" s="55" t="str">
        <f>IFERROR(__xludf.DUMMYFUNCTION("QUERY('Volunteer Survey'!I149)"),"Variant Pathogenicity")</f>
        <v>Variant Pathogenicity</v>
      </c>
      <c r="Q142" s="60" t="str">
        <f>IFERROR(__xludf.DUMMYFUNCTION("QUERY('Volunteer Survey'!J149)"),"Gene-Disease Validity")</f>
        <v>Gene-Disease Validity</v>
      </c>
      <c r="R142" s="55" t="str">
        <f>IFERROR(__xludf.DUMMYFUNCTION("QUERY('Volunteer Survey'!K149)"),"Clinical Actionability")</f>
        <v>Clinical Actionability</v>
      </c>
      <c r="S142" s="55" t="str">
        <f>IFERROR(__xludf.DUMMYFUNCTION("QUERY('Volunteer Survey'!L149)"),"Dosage Sensitivity")</f>
        <v>Dosage Sensitivity</v>
      </c>
      <c r="T142" s="55" t="str">
        <f>IFERROR(__xludf.DUMMYFUNCTION("QUERY('Volunteer Survey'!M149)"),"")</f>
        <v/>
      </c>
      <c r="U142" s="64" t="str">
        <f>IFERROR(__xludf.DUMMYFUNCTION("QUERY('Volunteer Survey'!N149)"),"ABMGG training/fellowships")</f>
        <v>ABMGG training/fellowships</v>
      </c>
      <c r="V142" s="55" t="str">
        <f>IFERROR(__xludf.DUMMYFUNCTION("QUERY('Volunteer Survey'!O149)"),"Possibly")</f>
        <v>Possibly</v>
      </c>
      <c r="W142" s="66" t="str">
        <f>IFERROR(__xludf.DUMMYFUNCTION("QUERY('Volunteer Survey'!P149)"),"Inborn error of Metabolism, Lysosomal Storage Disorders, Aminoacidopathy; have talked to Meredith Weaver regarding options of joining Metabolism Workgroup")</f>
        <v>Inborn error of Metabolism, Lysosomal Storage Disorders, Aminoacidopathy; have talked to Meredith Weaver regarding options of joining Metabolism Workgroup</v>
      </c>
      <c r="X142" s="64" t="str">
        <f>IFERROR(__xludf.DUMMYFUNCTION("QUERY('Volunteer Survey'!R149)"),"Maybe -- please contact me with other options, and I will decide based on what is available")</f>
        <v>Maybe -- please contact me with other options, and I will decide based on what is available</v>
      </c>
      <c r="Y142" s="53"/>
      <c r="Z142" s="68"/>
      <c r="AA142" s="55"/>
      <c r="AB142" s="55"/>
      <c r="AC142" s="55"/>
      <c r="AD142" s="55"/>
      <c r="AE142" s="55"/>
      <c r="AF142" s="55"/>
      <c r="AG142" s="55"/>
      <c r="AH142" s="55"/>
      <c r="AI142" s="55"/>
      <c r="AJ142" s="55"/>
      <c r="AK142" s="55"/>
      <c r="AL142" s="55"/>
      <c r="AM142" s="55"/>
      <c r="AN142" s="55"/>
      <c r="AO142" s="55"/>
    </row>
    <row r="143">
      <c r="A143" s="50">
        <f>IFERROR(__xludf.DUMMYFUNCTION("QUERY('Volunteer Survey'!A150)"),43560.44773336806)</f>
        <v>43560.44773</v>
      </c>
      <c r="B143" s="48" t="s">
        <v>168</v>
      </c>
      <c r="C143" s="51" t="s">
        <v>351</v>
      </c>
      <c r="D143" s="55"/>
      <c r="E143" s="48" t="s">
        <v>130</v>
      </c>
      <c r="F143" s="48" t="s">
        <v>130</v>
      </c>
      <c r="G143" s="48" t="s">
        <v>19</v>
      </c>
      <c r="H143" s="69"/>
      <c r="I143" s="69" t="s">
        <v>139</v>
      </c>
      <c r="J143" s="55"/>
      <c r="K143" s="55"/>
      <c r="L143" s="55" t="str">
        <f>IFERROR(__xludf.DUMMYFUNCTION("QUERY('Volunteer Survey'!B150)"),"Alka Chaubey")</f>
        <v>Alka Chaubey</v>
      </c>
      <c r="M143" s="55" t="str">
        <f>IFERROR(__xludf.DUMMYFUNCTION("QUERY('Volunteer Survey'!E150)"),"")</f>
        <v/>
      </c>
      <c r="N143" s="55" t="str">
        <f>IFERROR(__xludf.DUMMYFUNCTION("QUERY('Volunteer Survey'!F150)"),"Clinical laboratory geneticist")</f>
        <v>Clinical laboratory geneticist</v>
      </c>
      <c r="O143" s="48" t="str">
        <f>IFERROR(__xludf.DUMMYFUNCTION("QUERY('Volunteer Survey'!H150)"),"Comprehensive")</f>
        <v>Comprehensive</v>
      </c>
      <c r="P143" s="55" t="str">
        <f>IFERROR(__xludf.DUMMYFUNCTION("QUERY('Volunteer Survey'!I150)"),"Clinical Actionability")</f>
        <v>Clinical Actionability</v>
      </c>
      <c r="Q143" s="60" t="str">
        <f>IFERROR(__xludf.DUMMYFUNCTION("QUERY('Volunteer Survey'!J150)"),"Gene-Disease Validity")</f>
        <v>Gene-Disease Validity</v>
      </c>
      <c r="R143" s="55" t="str">
        <f>IFERROR(__xludf.DUMMYFUNCTION("QUERY('Volunteer Survey'!K150)"),"Variant Pathogenicity")</f>
        <v>Variant Pathogenicity</v>
      </c>
      <c r="S143" s="55" t="str">
        <f>IFERROR(__xludf.DUMMYFUNCTION("QUERY('Volunteer Survey'!L150)"),"")</f>
        <v/>
      </c>
      <c r="T143" s="55" t="str">
        <f>IFERROR(__xludf.DUMMYFUNCTION("QUERY('Volunteer Survey'!M150)"),"")</f>
        <v/>
      </c>
      <c r="U143" s="64" t="str">
        <f>IFERROR(__xludf.DUMMYFUNCTION("QUERY('Volunteer Survey'!N150)"),"Participated in pilot dosage sensitivity effort of analyzing and curating CNVs")</f>
        <v>Participated in pilot dosage sensitivity effort of analyzing and curating CNVs</v>
      </c>
      <c r="V143" s="55" t="str">
        <f>IFERROR(__xludf.DUMMYFUNCTION("QUERY('Volunteer Survey'!O150)"),"Possibly")</f>
        <v>Possibly</v>
      </c>
      <c r="W143" s="66" t="str">
        <f>IFERROR(__xludf.DUMMYFUNCTION("QUERY('Volunteer Survey'!P150)"),"Dosage sensitivity and somatic cancer ")</f>
        <v>Dosage sensitivity and somatic cancer </v>
      </c>
      <c r="X143" s="64" t="str">
        <f>IFERROR(__xludf.DUMMYFUNCTION("QUERY('Volunteer Survey'!R150)"),"Maybe -- please contact me with other options, and I will decide based on what is available")</f>
        <v>Maybe -- please contact me with other options, and I will decide based on what is available</v>
      </c>
      <c r="Y143" s="53"/>
      <c r="Z143" s="68"/>
      <c r="AA143" s="55"/>
      <c r="AB143" s="55"/>
      <c r="AC143" s="55"/>
      <c r="AD143" s="55"/>
      <c r="AE143" s="55"/>
      <c r="AF143" s="55"/>
      <c r="AG143" s="55"/>
      <c r="AH143" s="55"/>
      <c r="AI143" s="55"/>
      <c r="AJ143" s="55"/>
      <c r="AK143" s="55"/>
      <c r="AL143" s="55"/>
      <c r="AM143" s="55"/>
      <c r="AN143" s="55"/>
      <c r="AO143" s="55"/>
    </row>
    <row r="144">
      <c r="A144" s="50">
        <f>IFERROR(__xludf.DUMMYFUNCTION("QUERY('Volunteer Survey'!A151)"),43560.45181064815)</f>
        <v>43560.45181</v>
      </c>
      <c r="B144" s="48" t="s">
        <v>160</v>
      </c>
      <c r="C144" s="53"/>
      <c r="D144" s="65">
        <v>43605.0</v>
      </c>
      <c r="E144" s="48" t="s">
        <v>117</v>
      </c>
      <c r="F144" s="48" t="s">
        <v>117</v>
      </c>
      <c r="G144" s="48" t="s">
        <v>251</v>
      </c>
      <c r="H144" s="51" t="s">
        <v>302</v>
      </c>
      <c r="I144" s="51" t="s">
        <v>139</v>
      </c>
      <c r="J144" s="56">
        <v>43712.0</v>
      </c>
      <c r="K144" s="56"/>
      <c r="L144" s="55" t="str">
        <f>IFERROR(__xludf.DUMMYFUNCTION("QUERY('Volunteer Survey'!B151)"),"Junyu Zhang")</f>
        <v>Junyu Zhang</v>
      </c>
      <c r="M144" s="55" t="str">
        <f>IFERROR(__xludf.DUMMYFUNCTION("QUERY('Volunteer Survey'!E151)"),"junyuzhang@hotmail.com")</f>
        <v>junyuzhang@hotmail.com</v>
      </c>
      <c r="N144" s="55" t="str">
        <f>IFERROR(__xludf.DUMMYFUNCTION("QUERY('Volunteer Survey'!F151)"),"Clinical laboratory geneticist")</f>
        <v>Clinical laboratory geneticist</v>
      </c>
      <c r="O144" s="48" t="str">
        <f>IFERROR(__xludf.DUMMYFUNCTION("QUERY('Volunteer Survey'!H151)"),"Comprehensive")</f>
        <v>Comprehensive</v>
      </c>
      <c r="P144" s="55" t="str">
        <f>IFERROR(__xludf.DUMMYFUNCTION("QUERY('Volunteer Survey'!I151)"),"Variant Pathogenicity")</f>
        <v>Variant Pathogenicity</v>
      </c>
      <c r="Q144" s="60" t="str">
        <f>IFERROR(__xludf.DUMMYFUNCTION("QUERY('Volunteer Survey'!J151)"),"Gene-Disease Validity")</f>
        <v>Gene-Disease Validity</v>
      </c>
      <c r="R144" s="55" t="str">
        <f>IFERROR(__xludf.DUMMYFUNCTION("QUERY('Volunteer Survey'!K151)"),"Clinical Actionability")</f>
        <v>Clinical Actionability</v>
      </c>
      <c r="S144" s="55" t="str">
        <f>IFERROR(__xludf.DUMMYFUNCTION("QUERY('Volunteer Survey'!L151)"),"")</f>
        <v/>
      </c>
      <c r="T144" s="55" t="str">
        <f>IFERROR(__xludf.DUMMYFUNCTION("QUERY('Volunteer Survey'!M151)"),"")</f>
        <v/>
      </c>
      <c r="U144" s="64" t="str">
        <f>IFERROR(__xludf.DUMMYFUNCTION("QUERY('Volunteer Survey'!N151)"),"Curate more than 1000 variants in Chinese patients ")</f>
        <v>Curate more than 1000 variants in Chinese patients </v>
      </c>
      <c r="V144" s="55" t="str">
        <f>IFERROR(__xludf.DUMMYFUNCTION("QUERY('Volunteer Survey'!O151)"),"Possibly")</f>
        <v>Possibly</v>
      </c>
      <c r="W144" s="66" t="str">
        <f>IFERROR(__xludf.DUMMYFUNCTION("QUERY('Volunteer Survey'!P151)"),"Yes. Brain Malformations")</f>
        <v>Yes. Brain Malformations</v>
      </c>
      <c r="X144" s="64" t="str">
        <f>IFERROR(__xludf.DUMMYFUNCTION("QUERY('Volunteer Survey'!R151)"),"Maybe -- please contact me with other options, and I will decide based on what is available")</f>
        <v>Maybe -- please contact me with other options, and I will decide based on what is available</v>
      </c>
      <c r="Y144" s="53"/>
      <c r="Z144" s="68"/>
      <c r="AA144" s="55"/>
      <c r="AB144" s="55"/>
      <c r="AC144" s="55"/>
      <c r="AD144" s="55"/>
      <c r="AE144" s="55"/>
      <c r="AF144" s="55"/>
      <c r="AG144" s="55"/>
      <c r="AH144" s="55"/>
      <c r="AI144" s="55"/>
      <c r="AJ144" s="55"/>
      <c r="AK144" s="55"/>
      <c r="AL144" s="55"/>
      <c r="AM144" s="55"/>
      <c r="AN144" s="55"/>
      <c r="AO144" s="55"/>
    </row>
    <row r="145">
      <c r="A145" s="50">
        <f>IFERROR(__xludf.DUMMYFUNCTION("QUERY('Volunteer Survey'!A152)"),43560.45312697917)</f>
        <v>43560.45313</v>
      </c>
      <c r="B145" s="48" t="s">
        <v>108</v>
      </c>
      <c r="C145" s="53"/>
      <c r="D145" s="65">
        <v>43585.0</v>
      </c>
      <c r="E145" s="48" t="s">
        <v>117</v>
      </c>
      <c r="F145" s="48" t="s">
        <v>117</v>
      </c>
      <c r="G145" s="48" t="s">
        <v>122</v>
      </c>
      <c r="H145" s="51" t="s">
        <v>220</v>
      </c>
      <c r="I145" s="51" t="s">
        <v>139</v>
      </c>
      <c r="J145" s="56">
        <v>43712.0</v>
      </c>
      <c r="K145" s="56"/>
      <c r="L145" s="55" t="str">
        <f>IFERROR(__xludf.DUMMYFUNCTION("QUERY('Volunteer Survey'!B152)"),"Jing Zhang")</f>
        <v>Jing Zhang</v>
      </c>
      <c r="M145" s="55" t="str">
        <f>IFERROR(__xludf.DUMMYFUNCTION("QUERY('Volunteer Survey'!E152)"),"jzhang@wuxinextcode.com")</f>
        <v>jzhang@wuxinextcode.com</v>
      </c>
      <c r="N145" s="55" t="str">
        <f>IFERROR(__xludf.DUMMYFUNCTION("QUERY('Volunteer Survey'!F152)"),"Clinical laboratory geneticist")</f>
        <v>Clinical laboratory geneticist</v>
      </c>
      <c r="O145" s="48" t="str">
        <f>IFERROR(__xludf.DUMMYFUNCTION("QUERY('Volunteer Survey'!H152)"),"Comprehensive")</f>
        <v>Comprehensive</v>
      </c>
      <c r="P145" s="55" t="str">
        <f>IFERROR(__xludf.DUMMYFUNCTION("QUERY('Volunteer Survey'!I152)"),"Gene-Disease Validity")</f>
        <v>Gene-Disease Validity</v>
      </c>
      <c r="Q145" s="60" t="str">
        <f>IFERROR(__xludf.DUMMYFUNCTION("QUERY('Volunteer Survey'!J152)"),"Variant Pathogenicity")</f>
        <v>Variant Pathogenicity</v>
      </c>
      <c r="R145" s="55" t="str">
        <f>IFERROR(__xludf.DUMMYFUNCTION("QUERY('Volunteer Survey'!K152)"),"Clinical Actionability")</f>
        <v>Clinical Actionability</v>
      </c>
      <c r="S145" s="55" t="str">
        <f>IFERROR(__xludf.DUMMYFUNCTION("QUERY('Volunteer Survey'!L152)"),"Somatic Cancer")</f>
        <v>Somatic Cancer</v>
      </c>
      <c r="T145" s="55" t="str">
        <f>IFERROR(__xludf.DUMMYFUNCTION("QUERY('Volunteer Survey'!M152)"),"")</f>
        <v/>
      </c>
      <c r="U145" s="64" t="str">
        <f>IFERROR(__xludf.DUMMYFUNCTION("QUERY('Volunteer Survey'!N152)"),"As the director of clinical genomic interpretation division of WuXi NextCODE, I do gene/variant curation on daily basis. ")</f>
        <v>As the director of clinical genomic interpretation division of WuXi NextCODE, I do gene/variant curation on daily basis. </v>
      </c>
      <c r="V145" s="55" t="str">
        <f>IFERROR(__xludf.DUMMYFUNCTION("QUERY('Volunteer Survey'!O152)"),"Possibly")</f>
        <v>Possibly</v>
      </c>
      <c r="W145" s="66" t="str">
        <f>IFERROR(__xludf.DUMMYFUNCTION("QUERY('Volunteer Survey'!P152)"),"")</f>
        <v/>
      </c>
      <c r="X145" s="64" t="str">
        <f>IFERROR(__xludf.DUMMYFUNCTION("QUERY('Volunteer Survey'!R152)"),"Yes- I am willing to volunteer with any available ClinGen group")</f>
        <v>Yes- I am willing to volunteer with any available ClinGen group</v>
      </c>
      <c r="Y145" s="53"/>
      <c r="Z145" s="68"/>
      <c r="AA145" s="55"/>
      <c r="AB145" s="55"/>
      <c r="AC145" s="55"/>
      <c r="AD145" s="55"/>
      <c r="AE145" s="55"/>
      <c r="AF145" s="55"/>
      <c r="AG145" s="55"/>
      <c r="AH145" s="55"/>
      <c r="AI145" s="55"/>
      <c r="AJ145" s="55"/>
      <c r="AK145" s="55"/>
      <c r="AL145" s="55"/>
      <c r="AM145" s="55"/>
      <c r="AN145" s="55"/>
      <c r="AO145" s="55"/>
    </row>
    <row r="146">
      <c r="A146" s="50">
        <f>IFERROR(__xludf.DUMMYFUNCTION("QUERY('Volunteer Survey'!A153)"),43560.47645966435)</f>
        <v>43560.47646</v>
      </c>
      <c r="B146" s="48" t="s">
        <v>168</v>
      </c>
      <c r="C146" s="53"/>
      <c r="D146" s="55"/>
      <c r="E146" s="48" t="s">
        <v>130</v>
      </c>
      <c r="F146" s="48" t="s">
        <v>130</v>
      </c>
      <c r="G146" s="48" t="s">
        <v>122</v>
      </c>
      <c r="H146" s="53"/>
      <c r="I146" s="51" t="s">
        <v>139</v>
      </c>
      <c r="J146" s="55"/>
      <c r="K146" s="55"/>
      <c r="L146" s="55" t="str">
        <f>IFERROR(__xludf.DUMMYFUNCTION("QUERY('Volunteer Survey'!B153)"),"Mary-Alice Abbott")</f>
        <v>Mary-Alice Abbott</v>
      </c>
      <c r="M146" s="55" t="str">
        <f>IFERROR(__xludf.DUMMYFUNCTION("QUERY('Volunteer Survey'!E153)"),"Maryalice.abbott@baystatehealth.org")</f>
        <v>Maryalice.abbott@baystatehealth.org</v>
      </c>
      <c r="N146" s="55" t="str">
        <f>IFERROR(__xludf.DUMMYFUNCTION("QUERY('Volunteer Survey'!F153)"),"Clinical Medical Geneticist")</f>
        <v>Clinical Medical Geneticist</v>
      </c>
      <c r="O146" s="48" t="str">
        <f>IFERROR(__xludf.DUMMYFUNCTION("QUERY('Volunteer Survey'!H153)"),"Comprehensive")</f>
        <v>Comprehensive</v>
      </c>
      <c r="P146" s="55" t="str">
        <f>IFERROR(__xludf.DUMMYFUNCTION("QUERY('Volunteer Survey'!I153)"),"Gene-Disease Validity")</f>
        <v>Gene-Disease Validity</v>
      </c>
      <c r="Q146" s="60" t="str">
        <f>IFERROR(__xludf.DUMMYFUNCTION("QUERY('Volunteer Survey'!J153)"),"Clinical Actionability")</f>
        <v>Clinical Actionability</v>
      </c>
      <c r="R146" s="55" t="str">
        <f>IFERROR(__xludf.DUMMYFUNCTION("QUERY('Volunteer Survey'!K153)"),"")</f>
        <v/>
      </c>
      <c r="S146" s="55" t="str">
        <f>IFERROR(__xludf.DUMMYFUNCTION("QUERY('Volunteer Survey'!L153)"),"")</f>
        <v/>
      </c>
      <c r="T146" s="55" t="str">
        <f>IFERROR(__xludf.DUMMYFUNCTION("QUERY('Volunteer Survey'!M153)"),"")</f>
        <v/>
      </c>
      <c r="U146" s="64" t="str">
        <f>IFERROR(__xludf.DUMMYFUNCTION("QUERY('Volunteer Survey'!N153)"),"As clinical geneticist I regularly interpret clinical significance of gene variants for my patients but do not have formal variant interpretation experience ")</f>
        <v>As clinical geneticist I regularly interpret clinical significance of gene variants for my patients but do not have formal variant interpretation experience </v>
      </c>
      <c r="V146" s="55" t="str">
        <f>IFERROR(__xludf.DUMMYFUNCTION("QUERY('Volunteer Survey'!O153)"),"No")</f>
        <v>No</v>
      </c>
      <c r="W146" s="66" t="str">
        <f>IFERROR(__xludf.DUMMYFUNCTION("QUERY('Volunteer Survey'!P153)"),"LSD, ID, actionability")</f>
        <v>LSD, ID, actionability</v>
      </c>
      <c r="X146" s="64" t="str">
        <f>IFERROR(__xludf.DUMMYFUNCTION("QUERY('Volunteer Survey'!R153)"),"Maybe -- please contact me with other options, and I will decide based on what is available")</f>
        <v>Maybe -- please contact me with other options, and I will decide based on what is available</v>
      </c>
      <c r="Y146" s="53"/>
      <c r="Z146" s="68"/>
      <c r="AA146" s="55"/>
      <c r="AB146" s="55"/>
      <c r="AC146" s="55"/>
      <c r="AD146" s="55"/>
      <c r="AE146" s="55"/>
      <c r="AF146" s="55"/>
      <c r="AG146" s="55"/>
      <c r="AH146" s="55"/>
      <c r="AI146" s="55"/>
      <c r="AJ146" s="55"/>
      <c r="AK146" s="55"/>
      <c r="AL146" s="55"/>
      <c r="AM146" s="55"/>
      <c r="AN146" s="55"/>
      <c r="AO146" s="55"/>
    </row>
    <row r="147">
      <c r="A147" s="50">
        <f>IFERROR(__xludf.DUMMYFUNCTION("QUERY('Volunteer Survey'!A154)"),43560.5073359838)</f>
        <v>43560.50734</v>
      </c>
      <c r="B147" s="48" t="s">
        <v>160</v>
      </c>
      <c r="C147" s="53"/>
      <c r="D147" s="65">
        <v>43605.0</v>
      </c>
      <c r="E147" s="48" t="s">
        <v>117</v>
      </c>
      <c r="F147" s="48" t="s">
        <v>117</v>
      </c>
      <c r="G147" s="48" t="s">
        <v>251</v>
      </c>
      <c r="H147" s="51" t="s">
        <v>305</v>
      </c>
      <c r="I147" s="51" t="s">
        <v>139</v>
      </c>
      <c r="J147" s="56">
        <v>43712.0</v>
      </c>
      <c r="K147" s="56"/>
      <c r="L147" s="55" t="str">
        <f>IFERROR(__xludf.DUMMYFUNCTION("QUERY('Volunteer Survey'!B154)"),"Emily Higgs")</f>
        <v>Emily Higgs</v>
      </c>
      <c r="M147" s="55" t="str">
        <f>IFERROR(__xludf.DUMMYFUNCTION("QUERY('Volunteer Survey'!E154)"),"ehiggs@stanford.edu")</f>
        <v>ehiggs@stanford.edu</v>
      </c>
      <c r="N147" s="55" t="str">
        <f>IFERROR(__xludf.DUMMYFUNCTION("QUERY('Volunteer Survey'!F154)"),"Variant Analyst/Scientist - Academic")</f>
        <v>Variant Analyst/Scientist - Academic</v>
      </c>
      <c r="O147" s="48" t="str">
        <f>IFERROR(__xludf.DUMMYFUNCTION("QUERY('Volunteer Survey'!H154)"),"Comprehensive")</f>
        <v>Comprehensive</v>
      </c>
      <c r="P147" s="55" t="str">
        <f>IFERROR(__xludf.DUMMYFUNCTION("QUERY('Volunteer Survey'!I154)"),"Variant Pathogenicity")</f>
        <v>Variant Pathogenicity</v>
      </c>
      <c r="Q147" s="60" t="str">
        <f>IFERROR(__xludf.DUMMYFUNCTION("QUERY('Volunteer Survey'!J154)"),"Gene-Disease Validity")</f>
        <v>Gene-Disease Validity</v>
      </c>
      <c r="R147" s="55" t="str">
        <f>IFERROR(__xludf.DUMMYFUNCTION("QUERY('Volunteer Survey'!K154)"),"Dosage Sensitivity")</f>
        <v>Dosage Sensitivity</v>
      </c>
      <c r="S147" s="55" t="str">
        <f>IFERROR(__xludf.DUMMYFUNCTION("QUERY('Volunteer Survey'!L154)"),"")</f>
        <v/>
      </c>
      <c r="T147" s="55" t="str">
        <f>IFERROR(__xludf.DUMMYFUNCTION("QUERY('Volunteer Survey'!M154)"),"")</f>
        <v/>
      </c>
      <c r="U147" s="64" t="str">
        <f>IFERROR(__xludf.DUMMYFUNCTION("QUERY('Volunteer Survey'!N154)"),"For the past year I have been doing variant interpretation for 'healthy exomes' in the research setting and supervising Master of Genetic Counseling students' variant interpretation rotations.  ")</f>
        <v>For the past year I have been doing variant interpretation for 'healthy exomes' in the research setting and supervising Master of Genetic Counseling students' variant interpretation rotations.  </v>
      </c>
      <c r="V147" s="55" t="str">
        <f>IFERROR(__xludf.DUMMYFUNCTION("QUERY('Volunteer Survey'!O154)"),"Possibly")</f>
        <v>Possibly</v>
      </c>
      <c r="W147" s="66" t="str">
        <f>IFERROR(__xludf.DUMMYFUNCTION("QUERY('Volunteer Survey'!P154)"),"Dosage- Neurodevelopemental; Gene curation - Intellectual Disability and Autism,
Epilepsy, Hereditary Cancer, Mitochondrial Diseases, Brain Malformations, Monogenic Diabetes; Variant curation - VHL, CDH1, Brain Malformations, Monogenic Diabetes, Colorecta"&amp;"l Cancer ")</f>
        <v>Dosage- Neurodevelopemental; Gene curation - Intellectual Disability and Autism,
Epilepsy, Hereditary Cancer, Mitochondrial Diseases, Brain Malformations, Monogenic Diabetes; Variant curation - VHL, CDH1, Brain Malformations, Monogenic Diabetes, Colorectal Cancer </v>
      </c>
      <c r="X147" s="64" t="str">
        <f>IFERROR(__xludf.DUMMYFUNCTION("QUERY('Volunteer Survey'!R154)"),"Yes- I am willing to volunteer with any available ClinGen group")</f>
        <v>Yes- I am willing to volunteer with any available ClinGen group</v>
      </c>
      <c r="Y147" s="53"/>
      <c r="Z147" s="68"/>
      <c r="AA147" s="55"/>
      <c r="AB147" s="55"/>
      <c r="AC147" s="55"/>
      <c r="AD147" s="55"/>
      <c r="AE147" s="55"/>
      <c r="AF147" s="55"/>
      <c r="AG147" s="55"/>
      <c r="AH147" s="55"/>
      <c r="AI147" s="55"/>
      <c r="AJ147" s="55"/>
      <c r="AK147" s="55"/>
      <c r="AL147" s="55"/>
      <c r="AM147" s="55"/>
      <c r="AN147" s="55"/>
      <c r="AO147" s="55"/>
    </row>
    <row r="148">
      <c r="A148" s="50">
        <f>IFERROR(__xludf.DUMMYFUNCTION("QUERY('Volunteer Survey'!A155)"),43560.65032049768)</f>
        <v>43560.65032</v>
      </c>
      <c r="B148" s="48" t="s">
        <v>108</v>
      </c>
      <c r="C148" s="79">
        <v>43819.0</v>
      </c>
      <c r="D148" s="55"/>
      <c r="E148" s="48" t="s">
        <v>130</v>
      </c>
      <c r="F148" s="48" t="s">
        <v>130</v>
      </c>
      <c r="G148" s="48" t="s">
        <v>251</v>
      </c>
      <c r="H148" s="53"/>
      <c r="I148" s="51" t="s">
        <v>139</v>
      </c>
      <c r="J148" s="55"/>
      <c r="K148" s="55"/>
      <c r="L148" s="55" t="str">
        <f>IFERROR(__xludf.DUMMYFUNCTION("QUERY('Volunteer Survey'!B155)"),"Matt Wright")</f>
        <v>Matt Wright</v>
      </c>
      <c r="M148" s="55" t="str">
        <f>IFERROR(__xludf.DUMMYFUNCTION("QUERY('Volunteer Survey'!E155)"),"wrightmw@stanford.edu")</f>
        <v>wrightmw@stanford.edu</v>
      </c>
      <c r="N148" s="55" t="str">
        <f>IFERROR(__xludf.DUMMYFUNCTION("QUERY('Volunteer Survey'!F155)"),"Biocurator")</f>
        <v>Biocurator</v>
      </c>
      <c r="O148" s="48" t="str">
        <f>IFERROR(__xludf.DUMMYFUNCTION("QUERY('Volunteer Survey'!H155)"),"Comprehensive")</f>
        <v>Comprehensive</v>
      </c>
      <c r="P148" s="55" t="str">
        <f>IFERROR(__xludf.DUMMYFUNCTION("QUERY('Volunteer Survey'!I155)"),"Variant Pathogenicity")</f>
        <v>Variant Pathogenicity</v>
      </c>
      <c r="Q148" s="60" t="str">
        <f>IFERROR(__xludf.DUMMYFUNCTION("QUERY('Volunteer Survey'!J155)"),"")</f>
        <v/>
      </c>
      <c r="R148" s="55" t="str">
        <f>IFERROR(__xludf.DUMMYFUNCTION("QUERY('Volunteer Survey'!K155)"),"")</f>
        <v/>
      </c>
      <c r="S148" s="55" t="str">
        <f>IFERROR(__xludf.DUMMYFUNCTION("QUERY('Volunteer Survey'!L155)"),"")</f>
        <v/>
      </c>
      <c r="T148" s="55" t="str">
        <f>IFERROR(__xludf.DUMMYFUNCTION("QUERY('Volunteer Survey'!M155)"),"")</f>
        <v/>
      </c>
      <c r="U148" s="64" t="str">
        <f>IFERROR(__xludf.DUMMYFUNCTION("QUERY('Volunteer Survey'!N155)"),"Most of my experience is gene-level curation but I’m especially interested in the variant curator’s experience")</f>
        <v>Most of my experience is gene-level curation but I’m especially interested in the variant curator’s experience</v>
      </c>
      <c r="V148" s="55" t="str">
        <f>IFERROR(__xludf.DUMMYFUNCTION("QUERY('Volunteer Survey'!O155)"),"No")</f>
        <v>No</v>
      </c>
      <c r="W148" s="66" t="str">
        <f>IFERROR(__xludf.DUMMYFUNCTION("QUERY('Volunteer Survey'!P155)"),"Hearing Loss or Brain Malformations or Cardiomyopathy ")</f>
        <v>Hearing Loss or Brain Malformations or Cardiomyopathy </v>
      </c>
      <c r="X148" s="64" t="str">
        <f>IFERROR(__xludf.DUMMYFUNCTION("QUERY('Volunteer Survey'!R155)"),"Maybe -- please contact me with other options, and I will decide based on what is available")</f>
        <v>Maybe -- please contact me with other options, and I will decide based on what is available</v>
      </c>
      <c r="Y148" s="53"/>
      <c r="Z148" s="68"/>
      <c r="AA148" s="55"/>
      <c r="AB148" s="55"/>
      <c r="AC148" s="55"/>
      <c r="AD148" s="55"/>
      <c r="AE148" s="55"/>
      <c r="AF148" s="55"/>
      <c r="AG148" s="55"/>
      <c r="AH148" s="55"/>
      <c r="AI148" s="55"/>
      <c r="AJ148" s="55"/>
      <c r="AK148" s="55"/>
      <c r="AL148" s="55"/>
      <c r="AM148" s="55"/>
      <c r="AN148" s="55"/>
      <c r="AO148" s="55"/>
    </row>
    <row r="149">
      <c r="A149" s="50">
        <f>IFERROR(__xludf.DUMMYFUNCTION("QUERY('Volunteer Survey'!A156)"),43560.80082045139)</f>
        <v>43560.80082</v>
      </c>
      <c r="B149" s="48" t="s">
        <v>125</v>
      </c>
      <c r="C149" s="53"/>
      <c r="D149" s="49">
        <v>43570.0</v>
      </c>
      <c r="E149" s="48" t="s">
        <v>117</v>
      </c>
      <c r="F149" s="48" t="s">
        <v>117</v>
      </c>
      <c r="G149" s="48" t="s">
        <v>122</v>
      </c>
      <c r="H149" s="51" t="s">
        <v>220</v>
      </c>
      <c r="I149" s="51" t="s">
        <v>139</v>
      </c>
      <c r="J149" s="56">
        <v>43712.0</v>
      </c>
      <c r="K149" s="56"/>
      <c r="L149" s="55" t="str">
        <f>IFERROR(__xludf.DUMMYFUNCTION("QUERY('Volunteer Survey'!B156)"),"Samantha Chill")</f>
        <v>Samantha Chill</v>
      </c>
      <c r="M149" s="55" t="str">
        <f>IFERROR(__xludf.DUMMYFUNCTION("QUERY('Volunteer Survey'!E156)"),"slsevilla@gmail.com")</f>
        <v>slsevilla@gmail.com</v>
      </c>
      <c r="N149" s="55" t="str">
        <f>IFERROR(__xludf.DUMMYFUNCTION("QUERY('Volunteer Survey'!F156)"),"Graduate Student")</f>
        <v>Graduate Student</v>
      </c>
      <c r="O149" s="48" t="str">
        <f>IFERROR(__xludf.DUMMYFUNCTION("QUERY('Volunteer Survey'!H156)"),"Comprehensive")</f>
        <v>Comprehensive</v>
      </c>
      <c r="P149" s="55" t="str">
        <f>IFERROR(__xludf.DUMMYFUNCTION("QUERY('Volunteer Survey'!I156)"),"Gene-Disease Validity")</f>
        <v>Gene-Disease Validity</v>
      </c>
      <c r="Q149" s="60" t="str">
        <f>IFERROR(__xludf.DUMMYFUNCTION("QUERY('Volunteer Survey'!J156)"),"Variant Pathogenicity")</f>
        <v>Variant Pathogenicity</v>
      </c>
      <c r="R149" s="55" t="str">
        <f>IFERROR(__xludf.DUMMYFUNCTION("QUERY('Volunteer Survey'!K156)"),"Somatic Cancer")</f>
        <v>Somatic Cancer</v>
      </c>
      <c r="S149" s="55" t="str">
        <f>IFERROR(__xludf.DUMMYFUNCTION("QUERY('Volunteer Survey'!L156)"),"Dosage Sensitivity")</f>
        <v>Dosage Sensitivity</v>
      </c>
      <c r="T149" s="55" t="str">
        <f>IFERROR(__xludf.DUMMYFUNCTION("QUERY('Volunteer Survey'!M156)"),"Clinical Actionability")</f>
        <v>Clinical Actionability</v>
      </c>
      <c r="U149" s="64" t="str">
        <f>IFERROR(__xludf.DUMMYFUNCTION("QUERY('Volunteer Survey'!N156)"),"")</f>
        <v/>
      </c>
      <c r="V149" s="55" t="str">
        <f>IFERROR(__xludf.DUMMYFUNCTION("QUERY('Volunteer Survey'!O156)"),"Possibly")</f>
        <v>Possibly</v>
      </c>
      <c r="W149" s="66" t="str">
        <f>IFERROR(__xludf.DUMMYFUNCTION("QUERY('Volunteer Survey'!P156)"),"")</f>
        <v/>
      </c>
      <c r="X149" s="64" t="str">
        <f>IFERROR(__xludf.DUMMYFUNCTION("QUERY('Volunteer Survey'!R156)"),"Maybe -- please contact me with other options, and I will decide based on what is available")</f>
        <v>Maybe -- please contact me with other options, and I will decide based on what is available</v>
      </c>
      <c r="Y149" s="53"/>
      <c r="Z149" s="68"/>
      <c r="AA149" s="55"/>
      <c r="AB149" s="55"/>
      <c r="AC149" s="55"/>
      <c r="AD149" s="55"/>
      <c r="AE149" s="55"/>
      <c r="AF149" s="55"/>
      <c r="AG149" s="55"/>
      <c r="AH149" s="55"/>
      <c r="AI149" s="55"/>
      <c r="AJ149" s="55"/>
      <c r="AK149" s="55"/>
      <c r="AL149" s="55"/>
      <c r="AM149" s="55"/>
      <c r="AN149" s="55"/>
      <c r="AO149" s="55"/>
    </row>
    <row r="150">
      <c r="A150" s="50">
        <f>IFERROR(__xludf.DUMMYFUNCTION("QUERY('Volunteer Survey'!A157)"),43560.84205873843)</f>
        <v>43560.84206</v>
      </c>
      <c r="B150" s="48" t="s">
        <v>108</v>
      </c>
      <c r="C150" s="53"/>
      <c r="D150" s="65"/>
      <c r="E150" s="48" t="s">
        <v>130</v>
      </c>
      <c r="F150" s="48" t="s">
        <v>130</v>
      </c>
      <c r="G150" s="48" t="s">
        <v>202</v>
      </c>
      <c r="H150" s="53"/>
      <c r="I150" s="51" t="s">
        <v>139</v>
      </c>
      <c r="J150" s="55"/>
      <c r="K150" s="55"/>
      <c r="L150" s="55" t="str">
        <f>IFERROR(__xludf.DUMMYFUNCTION("QUERY('Volunteer Survey'!B157)"),"Kristin Maloney")</f>
        <v>Kristin Maloney</v>
      </c>
      <c r="M150" s="55" t="str">
        <f>IFERROR(__xludf.DUMMYFUNCTION("QUERY('Volunteer Survey'!E157)"),"kmaloney1@som.umaryland.edu")</f>
        <v>kmaloney1@som.umaryland.edu</v>
      </c>
      <c r="N150" s="55" t="str">
        <f>IFERROR(__xludf.DUMMYFUNCTION("QUERY('Volunteer Survey'!F157)"),"Genetic counselor")</f>
        <v>Genetic counselor</v>
      </c>
      <c r="O150" s="48" t="str">
        <f>IFERROR(__xludf.DUMMYFUNCTION("QUERY('Volunteer Survey'!H157)"),"Baseline")</f>
        <v>Baseline</v>
      </c>
      <c r="P150" s="55" t="str">
        <f>IFERROR(__xludf.DUMMYFUNCTION("QUERY('Volunteer Survey'!I157)"),"Somatic Cancer")</f>
        <v>Somatic Cancer</v>
      </c>
      <c r="Q150" s="60" t="str">
        <f>IFERROR(__xludf.DUMMYFUNCTION("QUERY('Volunteer Survey'!J157)"),"")</f>
        <v/>
      </c>
      <c r="R150" s="55" t="str">
        <f>IFERROR(__xludf.DUMMYFUNCTION("QUERY('Volunteer Survey'!K157)"),"")</f>
        <v/>
      </c>
      <c r="S150" s="55" t="str">
        <f>IFERROR(__xludf.DUMMYFUNCTION("QUERY('Volunteer Survey'!L157)"),"")</f>
        <v/>
      </c>
      <c r="T150" s="55" t="str">
        <f>IFERROR(__xludf.DUMMYFUNCTION("QUERY('Volunteer Survey'!M157)"),"")</f>
        <v/>
      </c>
      <c r="U150" s="64" t="str">
        <f>IFERROR(__xludf.DUMMYFUNCTION("QUERY('Volunteer Survey'!N157)"),"I don't have much experience with somatic variant interpretation, but am a biocurator on the monogenic diabetes expert panel.")</f>
        <v>I don't have much experience with somatic variant interpretation, but am a biocurator on the monogenic diabetes expert panel.</v>
      </c>
      <c r="V150" s="55" t="str">
        <f>IFERROR(__xludf.DUMMYFUNCTION("QUERY('Volunteer Survey'!O157)"),"No")</f>
        <v>No</v>
      </c>
      <c r="W150" s="66" t="str">
        <f>IFERROR(__xludf.DUMMYFUNCTION("QUERY('Volunteer Survey'!P157)"),"Somatic cancer (am already on the monogenic diabetes expert panel)")</f>
        <v>Somatic cancer (am already on the monogenic diabetes expert panel)</v>
      </c>
      <c r="X150" s="64" t="str">
        <f>IFERROR(__xludf.DUMMYFUNCTION("QUERY('Volunteer Survey'!R157)"),"No - I am only interested in the group(s) I previously indicated")</f>
        <v>No - I am only interested in the group(s) I previously indicated</v>
      </c>
      <c r="Y150" s="53"/>
      <c r="Z150" s="68"/>
      <c r="AA150" s="55"/>
      <c r="AB150" s="55"/>
      <c r="AC150" s="55"/>
      <c r="AD150" s="55"/>
      <c r="AE150" s="55"/>
      <c r="AF150" s="55"/>
      <c r="AG150" s="55"/>
      <c r="AH150" s="55"/>
      <c r="AI150" s="55"/>
      <c r="AJ150" s="55"/>
      <c r="AK150" s="55"/>
      <c r="AL150" s="55"/>
      <c r="AM150" s="55"/>
      <c r="AN150" s="55"/>
      <c r="AO150" s="55"/>
    </row>
    <row r="151">
      <c r="A151" s="50">
        <f>IFERROR(__xludf.DUMMYFUNCTION("QUERY('Volunteer Survey'!A158)"),43560.988255763885)</f>
        <v>43560.98826</v>
      </c>
      <c r="B151" s="48" t="s">
        <v>108</v>
      </c>
      <c r="C151" s="53"/>
      <c r="D151" s="65">
        <v>43585.0</v>
      </c>
      <c r="E151" s="48" t="s">
        <v>117</v>
      </c>
      <c r="F151" s="48" t="s">
        <v>117</v>
      </c>
      <c r="G151" s="48" t="s">
        <v>122</v>
      </c>
      <c r="H151" s="51" t="s">
        <v>197</v>
      </c>
      <c r="I151" s="51" t="s">
        <v>139</v>
      </c>
      <c r="J151" s="56">
        <v>43712.0</v>
      </c>
      <c r="K151" s="56"/>
      <c r="L151" s="55" t="str">
        <f>IFERROR(__xludf.DUMMYFUNCTION("QUERY('Volunteer Survey'!B158)"),"HECTOR RODRIGO MENDEZ")</f>
        <v>HECTOR RODRIGO MENDEZ</v>
      </c>
      <c r="M151" s="55" t="str">
        <f>IFERROR(__xludf.DUMMYFUNCTION("QUERY('Volunteer Survey'!E158)"),"rodrigomendezh@gmail.com")</f>
        <v>rodrigomendezh@gmail.com</v>
      </c>
      <c r="N151" s="55" t="str">
        <f>IFERROR(__xludf.DUMMYFUNCTION("QUERY('Volunteer Survey'!F158)"),"Clinical Medical Geneticist")</f>
        <v>Clinical Medical Geneticist</v>
      </c>
      <c r="O151" s="48" t="str">
        <f>IFERROR(__xludf.DUMMYFUNCTION("QUERY('Volunteer Survey'!H158)"),"Comprehensive")</f>
        <v>Comprehensive</v>
      </c>
      <c r="P151" s="55" t="str">
        <f>IFERROR(__xludf.DUMMYFUNCTION("QUERY('Volunteer Survey'!I158)"),"Gene-Disease Validity")</f>
        <v>Gene-Disease Validity</v>
      </c>
      <c r="Q151" s="60" t="str">
        <f>IFERROR(__xludf.DUMMYFUNCTION("QUERY('Volunteer Survey'!J158)"),"Variant Pathogenicity")</f>
        <v>Variant Pathogenicity</v>
      </c>
      <c r="R151" s="55" t="str">
        <f>IFERROR(__xludf.DUMMYFUNCTION("QUERY('Volunteer Survey'!K158)"),"Clinical Actionability")</f>
        <v>Clinical Actionability</v>
      </c>
      <c r="S151" s="55" t="str">
        <f>IFERROR(__xludf.DUMMYFUNCTION("QUERY('Volunteer Survey'!L158)"),"")</f>
        <v/>
      </c>
      <c r="T151" s="55" t="str">
        <f>IFERROR(__xludf.DUMMYFUNCTION("QUERY('Volunteer Survey'!M158)"),"")</f>
        <v/>
      </c>
      <c r="U151" s="64" t="str">
        <f>IFERROR(__xludf.DUMMYFUNCTION("QUERY('Volunteer Survey'!N158)"),"My Master´s thesis project was about the utility of whole Exome sequencing in some patient in the NICU.")</f>
        <v>My Master´s thesis project was about the utility of whole Exome sequencing in some patient in the NICU.</v>
      </c>
      <c r="V151" s="55" t="str">
        <f>IFERROR(__xludf.DUMMYFUNCTION("QUERY('Volunteer Survey'!O158)"),"Possibly")</f>
        <v>Possibly</v>
      </c>
      <c r="W151" s="66" t="str">
        <f>IFERROR(__xludf.DUMMYFUNCTION("QUERY('Volunteer Survey'!P158)"),"Intellectual Disability and Autism, RASopathy")</f>
        <v>Intellectual Disability and Autism, RASopathy</v>
      </c>
      <c r="X151" s="64" t="str">
        <f>IFERROR(__xludf.DUMMYFUNCTION("QUERY('Volunteer Survey'!R158)"),"Yes- I am willing to volunteer with any available ClinGen group")</f>
        <v>Yes- I am willing to volunteer with any available ClinGen group</v>
      </c>
      <c r="Y151" s="53"/>
      <c r="Z151" s="68"/>
      <c r="AA151" s="55"/>
      <c r="AB151" s="55"/>
      <c r="AC151" s="55"/>
      <c r="AD151" s="55"/>
      <c r="AE151" s="55"/>
      <c r="AF151" s="55"/>
      <c r="AG151" s="55"/>
      <c r="AH151" s="55"/>
      <c r="AI151" s="55"/>
      <c r="AJ151" s="55"/>
      <c r="AK151" s="55"/>
      <c r="AL151" s="55"/>
      <c r="AM151" s="55"/>
      <c r="AN151" s="55"/>
      <c r="AO151" s="55"/>
    </row>
    <row r="152">
      <c r="A152" s="50">
        <f>IFERROR(__xludf.DUMMYFUNCTION("QUERY('Volunteer Survey'!A159)"),43562.74876119213)</f>
        <v>43562.74876</v>
      </c>
      <c r="B152" s="48" t="s">
        <v>108</v>
      </c>
      <c r="C152" s="53"/>
      <c r="D152" s="55"/>
      <c r="E152" s="48" t="s">
        <v>130</v>
      </c>
      <c r="F152" s="48" t="s">
        <v>130</v>
      </c>
      <c r="G152" s="48" t="s">
        <v>202</v>
      </c>
      <c r="H152" s="53"/>
      <c r="I152" s="51" t="s">
        <v>139</v>
      </c>
      <c r="J152" s="55"/>
      <c r="K152" s="55"/>
      <c r="L152" s="55" t="str">
        <f>IFERROR(__xludf.DUMMYFUNCTION("QUERY('Volunteer Survey'!B159)"),"M.I. anwar")</f>
        <v>M.I. anwar</v>
      </c>
      <c r="M152" s="55" t="str">
        <f>IFERROR(__xludf.DUMMYFUNCTION("QUERY('Volunteer Survey'!E159)"),"mimtiazanwar@gmail.com")</f>
        <v>mimtiazanwar@gmail.com</v>
      </c>
      <c r="N152" s="55" t="str">
        <f>IFERROR(__xludf.DUMMYFUNCTION("QUERY('Volunteer Survey'!F159)"),"Scientific Researcher")</f>
        <v>Scientific Researcher</v>
      </c>
      <c r="O152" s="48" t="str">
        <f>IFERROR(__xludf.DUMMYFUNCTION("QUERY('Volunteer Survey'!H159)"),"Baseline")</f>
        <v>Baseline</v>
      </c>
      <c r="P152" s="55" t="str">
        <f>IFERROR(__xludf.DUMMYFUNCTION("QUERY('Volunteer Survey'!I159)"),"Clinical Actionability")</f>
        <v>Clinical Actionability</v>
      </c>
      <c r="Q152" s="60" t="str">
        <f>IFERROR(__xludf.DUMMYFUNCTION("QUERY('Volunteer Survey'!J159)"),"")</f>
        <v/>
      </c>
      <c r="R152" s="55" t="str">
        <f>IFERROR(__xludf.DUMMYFUNCTION("QUERY('Volunteer Survey'!K159)"),"")</f>
        <v/>
      </c>
      <c r="S152" s="55" t="str">
        <f>IFERROR(__xludf.DUMMYFUNCTION("QUERY('Volunteer Survey'!L159)"),"")</f>
        <v/>
      </c>
      <c r="T152" s="55" t="str">
        <f>IFERROR(__xludf.DUMMYFUNCTION("QUERY('Volunteer Survey'!M159)"),"")</f>
        <v/>
      </c>
      <c r="U152" s="64" t="str">
        <f>IFERROR(__xludf.DUMMYFUNCTION("QUERY('Volunteer Survey'!N159)"),"")</f>
        <v/>
      </c>
      <c r="V152" s="55" t="str">
        <f>IFERROR(__xludf.DUMMYFUNCTION("QUERY('Volunteer Survey'!O159)"),"Yes")</f>
        <v>Yes</v>
      </c>
      <c r="W152" s="66" t="str">
        <f>IFERROR(__xludf.DUMMYFUNCTION("QUERY('Volunteer Survey'!P159)"),"YES I AM")</f>
        <v>YES I AM</v>
      </c>
      <c r="X152" s="64" t="str">
        <f>IFERROR(__xludf.DUMMYFUNCTION("QUERY('Volunteer Survey'!R159)"),"Yes- I am willing to volunteer with any available ClinGen group")</f>
        <v>Yes- I am willing to volunteer with any available ClinGen group</v>
      </c>
      <c r="Y152" s="53"/>
      <c r="Z152" s="68"/>
      <c r="AA152" s="55"/>
      <c r="AB152" s="55"/>
      <c r="AC152" s="55"/>
      <c r="AD152" s="55"/>
      <c r="AE152" s="55"/>
      <c r="AF152" s="55"/>
      <c r="AG152" s="55"/>
      <c r="AH152" s="55"/>
      <c r="AI152" s="55"/>
      <c r="AJ152" s="55"/>
      <c r="AK152" s="55"/>
      <c r="AL152" s="55"/>
      <c r="AM152" s="55"/>
      <c r="AN152" s="55"/>
      <c r="AO152" s="55"/>
    </row>
    <row r="153">
      <c r="A153" s="50">
        <f>IFERROR(__xludf.DUMMYFUNCTION("QUERY('Volunteer Survey'!A160)"),43563.39827228009)</f>
        <v>43563.39827</v>
      </c>
      <c r="B153" s="48" t="s">
        <v>108</v>
      </c>
      <c r="C153" s="53"/>
      <c r="D153" s="65">
        <v>43594.0</v>
      </c>
      <c r="E153" s="48" t="s">
        <v>117</v>
      </c>
      <c r="F153" s="48" t="s">
        <v>117</v>
      </c>
      <c r="G153" s="48" t="s">
        <v>19</v>
      </c>
      <c r="H153" s="69" t="s">
        <v>19</v>
      </c>
      <c r="I153" s="69" t="s">
        <v>139</v>
      </c>
      <c r="J153" s="56">
        <v>43712.0</v>
      </c>
      <c r="K153" s="56"/>
      <c r="L153" s="55" t="str">
        <f>IFERROR(__xludf.DUMMYFUNCTION("QUERY('Volunteer Survey'!B160)"),"Karen Hanson")</f>
        <v>Karen Hanson</v>
      </c>
      <c r="M153" s="55" t="str">
        <f>IFERROR(__xludf.DUMMYFUNCTION("QUERY('Volunteer Survey'!E160)"),"krhms3@gmail.com")</f>
        <v>krhms3@gmail.com</v>
      </c>
      <c r="N153" s="55" t="str">
        <f>IFERROR(__xludf.DUMMYFUNCTION("QUERY('Volunteer Survey'!F160)"),"Genetic counselor")</f>
        <v>Genetic counselor</v>
      </c>
      <c r="O153" s="48" t="str">
        <f>IFERROR(__xludf.DUMMYFUNCTION("QUERY('Volunteer Survey'!H160)"),"Comprehensive")</f>
        <v>Comprehensive</v>
      </c>
      <c r="P153" s="55" t="str">
        <f>IFERROR(__xludf.DUMMYFUNCTION("QUERY('Volunteer Survey'!I160)"),"Clinical Actionability")</f>
        <v>Clinical Actionability</v>
      </c>
      <c r="Q153" s="60" t="str">
        <f>IFERROR(__xludf.DUMMYFUNCTION("QUERY('Volunteer Survey'!J160)"),"Gene-Disease Validity")</f>
        <v>Gene-Disease Validity</v>
      </c>
      <c r="R153" s="55" t="str">
        <f>IFERROR(__xludf.DUMMYFUNCTION("QUERY('Volunteer Survey'!K160)"),"Somatic Cancer")</f>
        <v>Somatic Cancer</v>
      </c>
      <c r="S153" s="55" t="str">
        <f>IFERROR(__xludf.DUMMYFUNCTION("QUERY('Volunteer Survey'!L160)"),"")</f>
        <v/>
      </c>
      <c r="T153" s="55" t="str">
        <f>IFERROR(__xludf.DUMMYFUNCTION("QUERY('Volunteer Survey'!M160)"),"")</f>
        <v/>
      </c>
      <c r="U153" s="64" t="str">
        <f>IFERROR(__xludf.DUMMYFUNCTION("QUERY('Volunteer Survey'!N160)"),"n/a")</f>
        <v>n/a</v>
      </c>
      <c r="V153" s="55" t="str">
        <f>IFERROR(__xludf.DUMMYFUNCTION("QUERY('Volunteer Survey'!O160)"),"Possibly")</f>
        <v>Possibly</v>
      </c>
      <c r="W153" s="66" t="str">
        <f>IFERROR(__xludf.DUMMYFUNCTION("QUERY('Volunteer Survey'!P160)"),"brain malformations, cancer")</f>
        <v>brain malformations, cancer</v>
      </c>
      <c r="X153" s="64" t="str">
        <f>IFERROR(__xludf.DUMMYFUNCTION("QUERY('Volunteer Survey'!R160)"),"Yes- I am willing to volunteer with any available ClinGen group")</f>
        <v>Yes- I am willing to volunteer with any available ClinGen group</v>
      </c>
      <c r="Y153" s="53"/>
      <c r="Z153" s="68"/>
      <c r="AA153" s="55"/>
      <c r="AB153" s="55"/>
      <c r="AC153" s="55"/>
      <c r="AD153" s="55"/>
      <c r="AE153" s="55"/>
      <c r="AF153" s="55"/>
      <c r="AG153" s="55"/>
      <c r="AH153" s="55"/>
      <c r="AI153" s="55"/>
      <c r="AJ153" s="55"/>
      <c r="AK153" s="55"/>
      <c r="AL153" s="55"/>
      <c r="AM153" s="55"/>
      <c r="AN153" s="55"/>
      <c r="AO153" s="55"/>
    </row>
    <row r="154">
      <c r="A154" s="50">
        <f>IFERROR(__xludf.DUMMYFUNCTION("QUERY('Volunteer Survey'!A161)"),43563.56040282408)</f>
        <v>43563.5604</v>
      </c>
      <c r="B154" s="48" t="s">
        <v>168</v>
      </c>
      <c r="C154" s="53"/>
      <c r="D154" s="55"/>
      <c r="E154" s="48" t="s">
        <v>130</v>
      </c>
      <c r="F154" s="48" t="s">
        <v>130</v>
      </c>
      <c r="G154" s="48" t="s">
        <v>251</v>
      </c>
      <c r="H154" s="53"/>
      <c r="I154" s="51" t="s">
        <v>139</v>
      </c>
      <c r="J154" s="55"/>
      <c r="K154" s="55"/>
      <c r="L154" s="55" t="str">
        <f>IFERROR(__xludf.DUMMYFUNCTION("QUERY('Volunteer Survey'!B161)"),"Daniel Reich")</f>
        <v>Daniel Reich</v>
      </c>
      <c r="M154" s="55" t="str">
        <f>IFERROR(__xludf.DUMMYFUNCTION("QUERY('Volunteer Survey'!E161)"),"daniel.reich@aruplab.com")</f>
        <v>daniel.reich@aruplab.com</v>
      </c>
      <c r="N154" s="55" t="str">
        <f>IFERROR(__xludf.DUMMYFUNCTION("QUERY('Volunteer Survey'!F161)"),"Variant Analyst/Scientist - Industry")</f>
        <v>Variant Analyst/Scientist - Industry</v>
      </c>
      <c r="O154" s="48" t="str">
        <f>IFERROR(__xludf.DUMMYFUNCTION("QUERY('Volunteer Survey'!H161)"),"Comprehensive")</f>
        <v>Comprehensive</v>
      </c>
      <c r="P154" s="55" t="str">
        <f>IFERROR(__xludf.DUMMYFUNCTION("QUERY('Volunteer Survey'!I161)"),"Variant Pathogenicity")</f>
        <v>Variant Pathogenicity</v>
      </c>
      <c r="Q154" s="60" t="str">
        <f>IFERROR(__xludf.DUMMYFUNCTION("QUERY('Volunteer Survey'!J161)"),"Gene-Disease Validity")</f>
        <v>Gene-Disease Validity</v>
      </c>
      <c r="R154" s="55" t="str">
        <f>IFERROR(__xludf.DUMMYFUNCTION("QUERY('Volunteer Survey'!K161)"),"Clinical Actionability")</f>
        <v>Clinical Actionability</v>
      </c>
      <c r="S154" s="55" t="str">
        <f>IFERROR(__xludf.DUMMYFUNCTION("QUERY('Volunteer Survey'!L161)"),"")</f>
        <v/>
      </c>
      <c r="T154" s="55" t="str">
        <f>IFERROR(__xludf.DUMMYFUNCTION("QUERY('Volunteer Survey'!M161)"),"")</f>
        <v/>
      </c>
      <c r="U154" s="64" t="str">
        <f>IFERROR(__xludf.DUMMYFUNCTION("QUERY('Volunteer Survey'!N161)"),"As a variant scientist, I have been doing variant classification for clinical genetics tests for ~10 months. I have been involved in discussing gene-disease validity, though only for the last 1-2 months.")</f>
        <v>As a variant scientist, I have been doing variant classification for clinical genetics tests for ~10 months. I have been involved in discussing gene-disease validity, though only for the last 1-2 months.</v>
      </c>
      <c r="V154" s="55" t="str">
        <f>IFERROR(__xludf.DUMMYFUNCTION("QUERY('Volunteer Survey'!O161)"),"No")</f>
        <v>No</v>
      </c>
      <c r="W154" s="66" t="str">
        <f>IFERROR(__xludf.DUMMYFUNCTION("QUERY('Volunteer Survey'!P161)"),"Cerebral Creatine Deficiency Syndromes")</f>
        <v>Cerebral Creatine Deficiency Syndromes</v>
      </c>
      <c r="X154" s="64" t="str">
        <f>IFERROR(__xludf.DUMMYFUNCTION("QUERY('Volunteer Survey'!R161)"),"Yes- I am willing to volunteer with any available ClinGen group")</f>
        <v>Yes- I am willing to volunteer with any available ClinGen group</v>
      </c>
      <c r="Y154" s="53"/>
      <c r="Z154" s="68"/>
      <c r="AA154" s="55"/>
      <c r="AB154" s="55"/>
      <c r="AC154" s="55"/>
      <c r="AD154" s="55"/>
      <c r="AE154" s="55"/>
      <c r="AF154" s="55"/>
      <c r="AG154" s="55"/>
      <c r="AH154" s="55"/>
      <c r="AI154" s="55"/>
      <c r="AJ154" s="55"/>
      <c r="AK154" s="55"/>
      <c r="AL154" s="55"/>
      <c r="AM154" s="55"/>
      <c r="AN154" s="55"/>
      <c r="AO154" s="55"/>
    </row>
    <row r="155">
      <c r="A155" s="50">
        <f>IFERROR(__xludf.DUMMYFUNCTION("QUERY('Volunteer Survey'!A162)"),43563.61847023148)</f>
        <v>43563.61847</v>
      </c>
      <c r="B155" s="48" t="s">
        <v>108</v>
      </c>
      <c r="C155" s="53"/>
      <c r="D155" s="65">
        <v>43580.0</v>
      </c>
      <c r="E155" s="48" t="s">
        <v>117</v>
      </c>
      <c r="F155" s="48" t="s">
        <v>117</v>
      </c>
      <c r="G155" s="48" t="s">
        <v>163</v>
      </c>
      <c r="H155" s="53"/>
      <c r="I155" s="51" t="s">
        <v>139</v>
      </c>
      <c r="J155" s="56">
        <v>43712.0</v>
      </c>
      <c r="K155" s="56"/>
      <c r="L155" s="55" t="str">
        <f>IFERROR(__xludf.DUMMYFUNCTION("QUERY('Volunteer Survey'!B162)"),"Christine Preston")</f>
        <v>Christine Preston</v>
      </c>
      <c r="M155" s="55" t="str">
        <f>IFERROR(__xludf.DUMMYFUNCTION("QUERY('Volunteer Survey'!E162)"),"christip@stanford.edu")</f>
        <v>christip@stanford.edu</v>
      </c>
      <c r="N155" s="55" t="str">
        <f>IFERROR(__xludf.DUMMYFUNCTION("QUERY('Volunteer Survey'!F162)"),"Biocurator")</f>
        <v>Biocurator</v>
      </c>
      <c r="O155" s="48" t="str">
        <f>IFERROR(__xludf.DUMMYFUNCTION("QUERY('Volunteer Survey'!H162)"),"Comprehensive")</f>
        <v>Comprehensive</v>
      </c>
      <c r="P155" s="55" t="str">
        <f>IFERROR(__xludf.DUMMYFUNCTION("QUERY('Volunteer Survey'!I162)"),"Dosage Sensitivity")</f>
        <v>Dosage Sensitivity</v>
      </c>
      <c r="Q155" s="60" t="str">
        <f>IFERROR(__xludf.DUMMYFUNCTION("QUERY('Volunteer Survey'!J162)"),"Clinical Actionability")</f>
        <v>Clinical Actionability</v>
      </c>
      <c r="R155" s="55" t="str">
        <f>IFERROR(__xludf.DUMMYFUNCTION("QUERY('Volunteer Survey'!K162)"),"Variant Pathogenicity")</f>
        <v>Variant Pathogenicity</v>
      </c>
      <c r="S155" s="55" t="str">
        <f>IFERROR(__xludf.DUMMYFUNCTION("QUERY('Volunteer Survey'!L162)"),"")</f>
        <v/>
      </c>
      <c r="T155" s="55" t="str">
        <f>IFERROR(__xludf.DUMMYFUNCTION("QUERY('Volunteer Survey'!M162)"),"")</f>
        <v/>
      </c>
      <c r="U155" s="64" t="str">
        <f>IFERROR(__xludf.DUMMYFUNCTION("QUERY('Volunteer Survey'!N162)"),"")</f>
        <v/>
      </c>
      <c r="V155" s="55" t="str">
        <f>IFERROR(__xludf.DUMMYFUNCTION("QUERY('Volunteer Survey'!O162)"),"No")</f>
        <v>No</v>
      </c>
      <c r="W155" s="66" t="str">
        <f>IFERROR(__xludf.DUMMYFUNCTION("QUERY('Volunteer Survey'!P162)"),"Dosage Sensitivity Working Group")</f>
        <v>Dosage Sensitivity Working Group</v>
      </c>
      <c r="X155" s="64" t="str">
        <f>IFERROR(__xludf.DUMMYFUNCTION("QUERY('Volunteer Survey'!R162)"),"Maybe -- please contact me with other options, and I will decide based on what is available")</f>
        <v>Maybe -- please contact me with other options, and I will decide based on what is available</v>
      </c>
      <c r="Y155" s="53"/>
      <c r="Z155" s="68"/>
      <c r="AA155" s="55"/>
      <c r="AB155" s="55"/>
      <c r="AC155" s="55"/>
      <c r="AD155" s="55"/>
      <c r="AE155" s="55"/>
      <c r="AF155" s="55"/>
      <c r="AG155" s="55"/>
      <c r="AH155" s="55"/>
      <c r="AI155" s="55"/>
      <c r="AJ155" s="55"/>
      <c r="AK155" s="55"/>
      <c r="AL155" s="55"/>
      <c r="AM155" s="55"/>
      <c r="AN155" s="55"/>
      <c r="AO155" s="55"/>
    </row>
    <row r="156">
      <c r="A156" s="50">
        <f>IFERROR(__xludf.DUMMYFUNCTION("QUERY('Volunteer Survey'!A163)"),43564.41759017361)</f>
        <v>43564.41759</v>
      </c>
      <c r="B156" s="48" t="s">
        <v>108</v>
      </c>
      <c r="C156" s="79">
        <v>43819.0</v>
      </c>
      <c r="D156" s="55"/>
      <c r="E156" s="48" t="s">
        <v>130</v>
      </c>
      <c r="F156" s="48" t="s">
        <v>130</v>
      </c>
      <c r="G156" s="48" t="s">
        <v>122</v>
      </c>
      <c r="H156" s="53"/>
      <c r="I156" s="51" t="s">
        <v>139</v>
      </c>
      <c r="J156" s="55"/>
      <c r="K156" s="55"/>
      <c r="L156" s="55" t="str">
        <f>IFERROR(__xludf.DUMMYFUNCTION("QUERY('Volunteer Survey'!B163)"),"Julie Hathaway")</f>
        <v>Julie Hathaway</v>
      </c>
      <c r="M156" s="55" t="str">
        <f>IFERROR(__xludf.DUMMYFUNCTION("QUERY('Volunteer Survey'!E163)"),"julie.hathaway@blueprintgenetics.com")</f>
        <v>julie.hathaway@blueprintgenetics.com</v>
      </c>
      <c r="N156" s="55" t="str">
        <f>IFERROR(__xludf.DUMMYFUNCTION("QUERY('Volunteer Survey'!F163)"),"Genetic counselor")</f>
        <v>Genetic counselor</v>
      </c>
      <c r="O156" s="48" t="str">
        <f>IFERROR(__xludf.DUMMYFUNCTION("QUERY('Volunteer Survey'!H163)"),"Comprehensive")</f>
        <v>Comprehensive</v>
      </c>
      <c r="P156" s="55" t="str">
        <f>IFERROR(__xludf.DUMMYFUNCTION("QUERY('Volunteer Survey'!I163)"),"Variant Pathogenicity")</f>
        <v>Variant Pathogenicity</v>
      </c>
      <c r="Q156" s="60" t="str">
        <f>IFERROR(__xludf.DUMMYFUNCTION("QUERY('Volunteer Survey'!J163)"),"Gene-Disease Validity")</f>
        <v>Gene-Disease Validity</v>
      </c>
      <c r="R156" s="55" t="str">
        <f>IFERROR(__xludf.DUMMYFUNCTION("QUERY('Volunteer Survey'!K163)"),"Clinical Actionability")</f>
        <v>Clinical Actionability</v>
      </c>
      <c r="S156" s="55" t="str">
        <f>IFERROR(__xludf.DUMMYFUNCTION("QUERY('Volunteer Survey'!L163)"),"Dosage Sensitivity")</f>
        <v>Dosage Sensitivity</v>
      </c>
      <c r="T156" s="55" t="str">
        <f>IFERROR(__xludf.DUMMYFUNCTION("QUERY('Volunteer Survey'!M163)"),"Somatic Cancer")</f>
        <v>Somatic Cancer</v>
      </c>
      <c r="U156" s="64" t="str">
        <f>IFERROR(__xludf.DUMMYFUNCTION("QUERY('Volunteer Survey'!N163)"),"I have worked in the clinic and now in a commercial laboratory. In the clinic, we performed our own internal variant classifications and also, part of this included thoroughly researching gene-disease associations. In the laboratory, I have a clinical sup"&amp;"port role, contributing to gene panel curation/creation. ")</f>
        <v>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v>
      </c>
      <c r="V156" s="55" t="str">
        <f>IFERROR(__xludf.DUMMYFUNCTION("QUERY('Volunteer Survey'!O163)"),"No")</f>
        <v>No</v>
      </c>
      <c r="W156" s="66" t="str">
        <f>IFERROR(__xludf.DUMMYFUNCTION("QUERY('Volunteer Survey'!P163)"),"Cardiomyopathy (or arrhythmias if available- I tried to be involved in the KCNQ1 variant curation group but I understand their group is now full) ")</f>
        <v>Cardiomyopathy (or arrhythmias if available- I tried to be involved in the KCNQ1 variant curation group but I understand their group is now full) </v>
      </c>
      <c r="X156" s="64" t="str">
        <f>IFERROR(__xludf.DUMMYFUNCTION("QUERY('Volunteer Survey'!R163)"),"Maybe -- please contact me with other options, and I will decide based on what is available")</f>
        <v>Maybe -- please contact me with other options, and I will decide based on what is available</v>
      </c>
      <c r="Y156" s="53"/>
      <c r="Z156" s="68"/>
      <c r="AA156" s="55"/>
      <c r="AB156" s="55"/>
      <c r="AC156" s="55"/>
      <c r="AD156" s="55"/>
      <c r="AE156" s="55"/>
      <c r="AF156" s="55"/>
      <c r="AG156" s="55"/>
      <c r="AH156" s="55"/>
      <c r="AI156" s="55"/>
      <c r="AJ156" s="55"/>
      <c r="AK156" s="55"/>
      <c r="AL156" s="55"/>
      <c r="AM156" s="55"/>
      <c r="AN156" s="55"/>
      <c r="AO156" s="55"/>
    </row>
    <row r="157">
      <c r="A157" s="50">
        <f>IFERROR(__xludf.DUMMYFUNCTION("QUERY('Volunteer Survey'!A164)"),43564.41960033565)</f>
        <v>43564.4196</v>
      </c>
      <c r="B157" s="48" t="s">
        <v>108</v>
      </c>
      <c r="C157" s="53"/>
      <c r="D157" s="55"/>
      <c r="E157" s="48" t="s">
        <v>130</v>
      </c>
      <c r="F157" s="48" t="s">
        <v>130</v>
      </c>
      <c r="G157" s="48" t="s">
        <v>202</v>
      </c>
      <c r="H157" s="53"/>
      <c r="I157" s="51" t="s">
        <v>139</v>
      </c>
      <c r="J157" s="55"/>
      <c r="K157" s="55"/>
      <c r="L157" s="55" t="str">
        <f>IFERROR(__xludf.DUMMYFUNCTION("QUERY('Volunteer Survey'!B164)"),"Jose Maria Urbano")</f>
        <v>Jose Maria Urbano</v>
      </c>
      <c r="M157" s="55" t="str">
        <f>IFERROR(__xludf.DUMMYFUNCTION("QUERY('Volunteer Survey'!E164)"),"jmu22@cam.ac.uk")</f>
        <v>jmu22@cam.ac.uk</v>
      </c>
      <c r="N157" s="55" t="str">
        <f>IFERROR(__xludf.DUMMYFUNCTION("QUERY('Volunteer Survey'!F164)"),"Biocurator")</f>
        <v>Biocurator</v>
      </c>
      <c r="O157" s="48" t="str">
        <f>IFERROR(__xludf.DUMMYFUNCTION("QUERY('Volunteer Survey'!H164)"),"Baseline")</f>
        <v>Baseline</v>
      </c>
      <c r="P157" s="55" t="str">
        <f>IFERROR(__xludf.DUMMYFUNCTION("QUERY('Volunteer Survey'!I164)"),"Gene-Disease Validity")</f>
        <v>Gene-Disease Validity</v>
      </c>
      <c r="Q157" s="60" t="str">
        <f>IFERROR(__xludf.DUMMYFUNCTION("QUERY('Volunteer Survey'!J164)"),"Variant Pathogenicity")</f>
        <v>Variant Pathogenicity</v>
      </c>
      <c r="R157" s="55" t="str">
        <f>IFERROR(__xludf.DUMMYFUNCTION("QUERY('Volunteer Survey'!K164)"),"Dosage Sensitivity")</f>
        <v>Dosage Sensitivity</v>
      </c>
      <c r="S157" s="55" t="str">
        <f>IFERROR(__xludf.DUMMYFUNCTION("QUERY('Volunteer Survey'!L164)"),"Somatic Cancer")</f>
        <v>Somatic Cancer</v>
      </c>
      <c r="T157" s="55" t="str">
        <f>IFERROR(__xludf.DUMMYFUNCTION("QUERY('Volunteer Survey'!M164)"),"Clinical Actionability")</f>
        <v>Clinical Actionability</v>
      </c>
      <c r="U157" s="64" t="str">
        <f>IFERROR(__xludf.DUMMYFUNCTION("QUERY('Volunteer Survey'!N164)"),"I am a Drosophila biocurator. I've been working for FlyBase for 4 years")</f>
        <v>I am a Drosophila biocurator. I've been working for FlyBase for 4 years</v>
      </c>
      <c r="V157" s="55" t="str">
        <f>IFERROR(__xludf.DUMMYFUNCTION("QUERY('Volunteer Survey'!O164)"),"No")</f>
        <v>No</v>
      </c>
      <c r="W157" s="66" t="str">
        <f>IFERROR(__xludf.DUMMYFUNCTION("QUERY('Volunteer Survey'!P164)"),"")</f>
        <v/>
      </c>
      <c r="X157" s="64" t="str">
        <f>IFERROR(__xludf.DUMMYFUNCTION("QUERY('Volunteer Survey'!R164)"),"")</f>
        <v/>
      </c>
      <c r="Y157" s="53"/>
      <c r="Z157" s="68"/>
      <c r="AA157" s="55"/>
      <c r="AB157" s="55"/>
      <c r="AC157" s="55"/>
      <c r="AD157" s="55"/>
      <c r="AE157" s="55"/>
      <c r="AF157" s="55"/>
      <c r="AG157" s="55"/>
      <c r="AH157" s="55"/>
      <c r="AI157" s="55"/>
      <c r="AJ157" s="55"/>
      <c r="AK157" s="55"/>
      <c r="AL157" s="55"/>
      <c r="AM157" s="55"/>
      <c r="AN157" s="55"/>
      <c r="AO157" s="55"/>
    </row>
    <row r="158">
      <c r="A158" s="50">
        <f>IFERROR(__xludf.DUMMYFUNCTION("QUERY('Volunteer Survey'!A165)"),43564.493346400464)</f>
        <v>43564.49335</v>
      </c>
      <c r="B158" s="48" t="s">
        <v>108</v>
      </c>
      <c r="C158" s="53"/>
      <c r="D158" s="65">
        <v>43585.0</v>
      </c>
      <c r="E158" s="48" t="s">
        <v>117</v>
      </c>
      <c r="F158" s="48" t="s">
        <v>117</v>
      </c>
      <c r="G158" s="48" t="s">
        <v>122</v>
      </c>
      <c r="H158" s="51" t="s">
        <v>123</v>
      </c>
      <c r="I158" s="51" t="s">
        <v>139</v>
      </c>
      <c r="J158" s="56">
        <v>43712.0</v>
      </c>
      <c r="K158" s="56"/>
      <c r="L158" s="55" t="str">
        <f>IFERROR(__xludf.DUMMYFUNCTION("QUERY('Volunteer Survey'!B165)"),"Alexander Ing")</f>
        <v>Alexander Ing</v>
      </c>
      <c r="M158" s="55" t="str">
        <f>IFERROR(__xludf.DUMMYFUNCTION("QUERY('Volunteer Survey'!E165)"),"aing@luriechildrens.org")</f>
        <v>aing@luriechildrens.org</v>
      </c>
      <c r="N158" s="55" t="str">
        <f>IFERROR(__xludf.DUMMYFUNCTION("QUERY('Volunteer Survey'!F165)"),"Genetic counselor")</f>
        <v>Genetic counselor</v>
      </c>
      <c r="O158" s="48" t="str">
        <f>IFERROR(__xludf.DUMMYFUNCTION("QUERY('Volunteer Survey'!H165)"),"Comprehensive")</f>
        <v>Comprehensive</v>
      </c>
      <c r="P158" s="55" t="str">
        <f>IFERROR(__xludf.DUMMYFUNCTION("QUERY('Volunteer Survey'!I165)"),"Gene-Disease Validity")</f>
        <v>Gene-Disease Validity</v>
      </c>
      <c r="Q158" s="60" t="str">
        <f>IFERROR(__xludf.DUMMYFUNCTION("QUERY('Volunteer Survey'!J165)"),"Variant Pathogenicity")</f>
        <v>Variant Pathogenicity</v>
      </c>
      <c r="R158" s="55" t="str">
        <f>IFERROR(__xludf.DUMMYFUNCTION("QUERY('Volunteer Survey'!K165)"),"Clinical Actionability")</f>
        <v>Clinical Actionability</v>
      </c>
      <c r="S158" s="55" t="str">
        <f>IFERROR(__xludf.DUMMYFUNCTION("QUERY('Volunteer Survey'!L165)"),"")</f>
        <v/>
      </c>
      <c r="T158" s="55" t="str">
        <f>IFERROR(__xludf.DUMMYFUNCTION("QUERY('Volunteer Survey'!M165)"),"")</f>
        <v/>
      </c>
      <c r="U158" s="64" t="str">
        <f>IFERROR(__xludf.DUMMYFUNCTION("QUERY('Volunteer Survey'!N165)"),"I am a laboratory genetic counselor and my responsibilities are centered around variant interpretation and test reporting. I have served in this role for 4 years. I have some gene curation experience.")</f>
        <v>I am a laboratory genetic counselor and my responsibilities are centered around variant interpretation and test reporting. I have served in this role for 4 years. I have some gene curation experience.</v>
      </c>
      <c r="V158" s="55" t="str">
        <f>IFERROR(__xludf.DUMMYFUNCTION("QUERY('Volunteer Survey'!O165)"),"Possibly")</f>
        <v>Possibly</v>
      </c>
      <c r="W158" s="66" t="str">
        <f>IFERROR(__xludf.DUMMYFUNCTION("QUERY('Volunteer Survey'!P165)"),"epilepsy")</f>
        <v>epilepsy</v>
      </c>
      <c r="X158" s="64" t="str">
        <f>IFERROR(__xludf.DUMMYFUNCTION("QUERY('Volunteer Survey'!R165)"),"Maybe -- please contact me with other options, and I will decide based on what is available")</f>
        <v>Maybe -- please contact me with other options, and I will decide based on what is available</v>
      </c>
      <c r="Y158" s="53"/>
      <c r="Z158" s="68"/>
      <c r="AA158" s="55"/>
      <c r="AB158" s="55"/>
      <c r="AC158" s="55"/>
      <c r="AD158" s="55"/>
      <c r="AE158" s="55"/>
      <c r="AF158" s="55"/>
      <c r="AG158" s="55"/>
      <c r="AH158" s="55"/>
      <c r="AI158" s="55"/>
      <c r="AJ158" s="55"/>
      <c r="AK158" s="55"/>
      <c r="AL158" s="55"/>
      <c r="AM158" s="55"/>
      <c r="AN158" s="55"/>
      <c r="AO158" s="55"/>
    </row>
    <row r="159">
      <c r="A159" s="50">
        <f>IFERROR(__xludf.DUMMYFUNCTION("QUERY('Volunteer Survey'!A166)"),43564.694213055554)</f>
        <v>43564.69421</v>
      </c>
      <c r="B159" s="48" t="s">
        <v>108</v>
      </c>
      <c r="C159" s="53"/>
      <c r="D159" s="65">
        <v>43692.0</v>
      </c>
      <c r="E159" s="48" t="s">
        <v>117</v>
      </c>
      <c r="F159" s="48" t="s">
        <v>130</v>
      </c>
      <c r="G159" s="48" t="s">
        <v>122</v>
      </c>
      <c r="H159" s="53"/>
      <c r="I159" s="51" t="s">
        <v>139</v>
      </c>
      <c r="J159" s="55"/>
      <c r="K159" s="55"/>
      <c r="L159" s="55" t="str">
        <f>IFERROR(__xludf.DUMMYFUNCTION("QUERY('Volunteer Survey'!B166)"),"Jun Liao")</f>
        <v>Jun Liao</v>
      </c>
      <c r="M159" s="55" t="str">
        <f>IFERROR(__xludf.DUMMYFUNCTION("QUERY('Volunteer Survey'!E166)"),"jl5098@cumc.columbia.edu")</f>
        <v>jl5098@cumc.columbia.edu</v>
      </c>
      <c r="N159" s="55" t="str">
        <f>IFERROR(__xludf.DUMMYFUNCTION("QUERY('Volunteer Survey'!F166)"),"Clinical laboratory geneticist")</f>
        <v>Clinical laboratory geneticist</v>
      </c>
      <c r="O159" s="48" t="str">
        <f>IFERROR(__xludf.DUMMYFUNCTION("QUERY('Volunteer Survey'!H166)"),"Comprehensive")</f>
        <v>Comprehensive</v>
      </c>
      <c r="P159" s="55" t="str">
        <f>IFERROR(__xludf.DUMMYFUNCTION("QUERY('Volunteer Survey'!I166)"),"Gene-Disease Validity")</f>
        <v>Gene-Disease Validity</v>
      </c>
      <c r="Q159" s="60" t="str">
        <f>IFERROR(__xludf.DUMMYFUNCTION("QUERY('Volunteer Survey'!J166)"),"Variant Pathogenicity")</f>
        <v>Variant Pathogenicity</v>
      </c>
      <c r="R159" s="55" t="str">
        <f>IFERROR(__xludf.DUMMYFUNCTION("QUERY('Volunteer Survey'!K166)"),"Dosage Sensitivity")</f>
        <v>Dosage Sensitivity</v>
      </c>
      <c r="S159" s="55" t="str">
        <f>IFERROR(__xludf.DUMMYFUNCTION("QUERY('Volunteer Survey'!L166)"),"Clinical Actionability")</f>
        <v>Clinical Actionability</v>
      </c>
      <c r="T159" s="55" t="str">
        <f>IFERROR(__xludf.DUMMYFUNCTION("QUERY('Volunteer Survey'!M166)"),"Somatic Cancer")</f>
        <v>Somatic Cancer</v>
      </c>
      <c r="U159" s="64" t="str">
        <f>IFERROR(__xludf.DUMMYFUNCTION("QUERY('Volunteer Survey'!N166)"),"As a laboratory director, I sign out WES, NGS panel, and microarray cases daily. So I am very familiar with curation activities for variant pathogenicity, gene-disease validity, and dosage sensitivity.")</f>
        <v>As a laboratory director, I sign out WES, NGS panel, and microarray cases daily. So I am very familiar with curation activities for variant pathogenicity, gene-disease validity, and dosage sensitivity.</v>
      </c>
      <c r="V159" s="55" t="str">
        <f>IFERROR(__xludf.DUMMYFUNCTION("QUERY('Volunteer Survey'!O166)"),"Yes")</f>
        <v>Yes</v>
      </c>
      <c r="W159" s="66" t="str">
        <f>IFERROR(__xludf.DUMMYFUNCTION("QUERY('Volunteer Survey'!P166)"),"1. Lysosomal Storage Disorders VCEP; 2. ID/Autism GCEP")</f>
        <v>1. Lysosomal Storage Disorders VCEP; 2. ID/Autism GCEP</v>
      </c>
      <c r="X159" s="64" t="str">
        <f>IFERROR(__xludf.DUMMYFUNCTION("QUERY('Volunteer Survey'!R166)"),"Maybe -- please contact me with other options, and I will decide based on what is available")</f>
        <v>Maybe -- please contact me with other options, and I will decide based on what is available</v>
      </c>
      <c r="Y159" s="53"/>
      <c r="Z159" s="68"/>
      <c r="AA159" s="55"/>
      <c r="AB159" s="55"/>
      <c r="AC159" s="55"/>
      <c r="AD159" s="55"/>
      <c r="AE159" s="55"/>
      <c r="AF159" s="55"/>
      <c r="AG159" s="55"/>
      <c r="AH159" s="55"/>
      <c r="AI159" s="55"/>
      <c r="AJ159" s="55"/>
      <c r="AK159" s="55"/>
      <c r="AL159" s="55"/>
      <c r="AM159" s="55"/>
      <c r="AN159" s="55"/>
      <c r="AO159" s="55"/>
    </row>
    <row r="160">
      <c r="A160" s="50">
        <f>IFERROR(__xludf.DUMMYFUNCTION("QUERY('Volunteer Survey'!A167)"),43564.71066725694)</f>
        <v>43564.71067</v>
      </c>
      <c r="B160" s="48" t="s">
        <v>108</v>
      </c>
      <c r="C160" s="53"/>
      <c r="D160" s="65">
        <v>43585.0</v>
      </c>
      <c r="E160" s="48" t="s">
        <v>117</v>
      </c>
      <c r="F160" s="48" t="s">
        <v>117</v>
      </c>
      <c r="G160" s="48" t="s">
        <v>122</v>
      </c>
      <c r="H160" s="51" t="s">
        <v>123</v>
      </c>
      <c r="I160" s="51" t="s">
        <v>139</v>
      </c>
      <c r="J160" s="56">
        <v>43712.0</v>
      </c>
      <c r="K160" s="56"/>
      <c r="L160" s="55" t="str">
        <f>IFERROR(__xludf.DUMMYFUNCTION("QUERY('Volunteer Survey'!B167)"),"Maki Kaneko")</f>
        <v>Maki Kaneko</v>
      </c>
      <c r="M160" s="55" t="str">
        <f>IFERROR(__xludf.DUMMYFUNCTION("QUERY('Volunteer Survey'!E167)"),"mkaneko@chla.usc.edu")</f>
        <v>mkaneko@chla.usc.edu</v>
      </c>
      <c r="N160" s="55" t="str">
        <f>IFERROR(__xludf.DUMMYFUNCTION("QUERY('Volunteer Survey'!F167)"),"Genetic counselor")</f>
        <v>Genetic counselor</v>
      </c>
      <c r="O160" s="48" t="str">
        <f>IFERROR(__xludf.DUMMYFUNCTION("QUERY('Volunteer Survey'!H167)"),"Comprehensive")</f>
        <v>Comprehensive</v>
      </c>
      <c r="P160" s="55" t="str">
        <f>IFERROR(__xludf.DUMMYFUNCTION("QUERY('Volunteer Survey'!I167)"),"Gene-Disease Validity")</f>
        <v>Gene-Disease Validity</v>
      </c>
      <c r="Q160" s="60" t="str">
        <f>IFERROR(__xludf.DUMMYFUNCTION("QUERY('Volunteer Survey'!J167)"),"Variant Pathogenicity")</f>
        <v>Variant Pathogenicity</v>
      </c>
      <c r="R160" s="55" t="str">
        <f>IFERROR(__xludf.DUMMYFUNCTION("QUERY('Volunteer Survey'!K167)"),"Clinical Actionability")</f>
        <v>Clinical Actionability</v>
      </c>
      <c r="S160" s="55" t="str">
        <f>IFERROR(__xludf.DUMMYFUNCTION("QUERY('Volunteer Survey'!L167)"),"Dosage Sensitivity")</f>
        <v>Dosage Sensitivity</v>
      </c>
      <c r="T160" s="55" t="str">
        <f>IFERROR(__xludf.DUMMYFUNCTION("QUERY('Volunteer Survey'!M167)"),"Somatic Cancer")</f>
        <v>Somatic Cancer</v>
      </c>
      <c r="U160" s="64" t="str">
        <f>IFERROR(__xludf.DUMMYFUNCTION("QUERY('Volunteer Survey'!N167)"),"")</f>
        <v/>
      </c>
      <c r="V160" s="55" t="str">
        <f>IFERROR(__xludf.DUMMYFUNCTION("QUERY('Volunteer Survey'!O167)"),"No")</f>
        <v>No</v>
      </c>
      <c r="W160" s="66" t="str">
        <f>IFERROR(__xludf.DUMMYFUNCTION("QUERY('Volunteer Survey'!P167)"),"Epilepsy")</f>
        <v>Epilepsy</v>
      </c>
      <c r="X160" s="64" t="str">
        <f>IFERROR(__xludf.DUMMYFUNCTION("QUERY('Volunteer Survey'!R167)"),"Maybe -- please contact me with other options, and I will decide based on what is available")</f>
        <v>Maybe -- please contact me with other options, and I will decide based on what is available</v>
      </c>
      <c r="Y160" s="53"/>
      <c r="Z160" s="68"/>
      <c r="AA160" s="55"/>
      <c r="AB160" s="55"/>
      <c r="AC160" s="55"/>
      <c r="AD160" s="55"/>
      <c r="AE160" s="55"/>
      <c r="AF160" s="55"/>
      <c r="AG160" s="55"/>
      <c r="AH160" s="55"/>
      <c r="AI160" s="55"/>
      <c r="AJ160" s="55"/>
      <c r="AK160" s="55"/>
      <c r="AL160" s="55"/>
      <c r="AM160" s="55"/>
      <c r="AN160" s="55"/>
      <c r="AO160" s="55"/>
    </row>
    <row r="161">
      <c r="A161" s="50">
        <f>IFERROR(__xludf.DUMMYFUNCTION("QUERY('Volunteer Survey'!A168)"),43564.76043560185)</f>
        <v>43564.76044</v>
      </c>
      <c r="B161" s="48" t="s">
        <v>108</v>
      </c>
      <c r="C161" s="53"/>
      <c r="D161" s="55"/>
      <c r="E161" s="48" t="s">
        <v>130</v>
      </c>
      <c r="F161" s="48" t="s">
        <v>130</v>
      </c>
      <c r="G161" s="48" t="s">
        <v>202</v>
      </c>
      <c r="H161" s="53"/>
      <c r="I161" s="51" t="s">
        <v>139</v>
      </c>
      <c r="J161" s="55"/>
      <c r="K161" s="55"/>
      <c r="L161" s="55" t="str">
        <f>IFERROR(__xludf.DUMMYFUNCTION("QUERY('Volunteer Survey'!B168)"),"Emma Leach")</f>
        <v>Emma Leach</v>
      </c>
      <c r="M161" s="55" t="str">
        <f>IFERROR(__xludf.DUMMYFUNCTION("QUERY('Volunteer Survey'!E168)"),"eleach@providencehealth.bc.ca")</f>
        <v>eleach@providencehealth.bc.ca</v>
      </c>
      <c r="N161" s="55" t="str">
        <f>IFERROR(__xludf.DUMMYFUNCTION("QUERY('Volunteer Survey'!F168)"),"Genetic counselor")</f>
        <v>Genetic counselor</v>
      </c>
      <c r="O161" s="48" t="str">
        <f>IFERROR(__xludf.DUMMYFUNCTION("QUERY('Volunteer Survey'!H168)"),"Baseline")</f>
        <v>Baseline</v>
      </c>
      <c r="P161" s="55" t="str">
        <f>IFERROR(__xludf.DUMMYFUNCTION("QUERY('Volunteer Survey'!I168)"),"Clinical Actionability")</f>
        <v>Clinical Actionability</v>
      </c>
      <c r="Q161" s="60" t="str">
        <f>IFERROR(__xludf.DUMMYFUNCTION("QUERY('Volunteer Survey'!J168)"),"Gene-Disease Validity")</f>
        <v>Gene-Disease Validity</v>
      </c>
      <c r="R161" s="55" t="str">
        <f>IFERROR(__xludf.DUMMYFUNCTION("QUERY('Volunteer Survey'!K168)"),"Variant Pathogenicity")</f>
        <v>Variant Pathogenicity</v>
      </c>
      <c r="S161" s="55" t="str">
        <f>IFERROR(__xludf.DUMMYFUNCTION("QUERY('Volunteer Survey'!L168)"),"Somatic Cancer")</f>
        <v>Somatic Cancer</v>
      </c>
      <c r="T161" s="55" t="str">
        <f>IFERROR(__xludf.DUMMYFUNCTION("QUERY('Volunteer Survey'!M168)"),"Dosage Sensitivity")</f>
        <v>Dosage Sensitivity</v>
      </c>
      <c r="U161" s="64" t="str">
        <f>IFERROR(__xludf.DUMMYFUNCTION("QUERY('Volunteer Survey'!N168)"),"previously published systematic literature review")</f>
        <v>previously published systematic literature review</v>
      </c>
      <c r="V161" s="55" t="str">
        <f>IFERROR(__xludf.DUMMYFUNCTION("QUERY('Volunteer Survey'!O168)"),"Yes")</f>
        <v>Yes</v>
      </c>
      <c r="W161" s="66" t="str">
        <f>IFERROR(__xludf.DUMMYFUNCTION("QUERY('Volunteer Survey'!P168)"),"cardiomyopathy")</f>
        <v>cardiomyopathy</v>
      </c>
      <c r="X161" s="64" t="str">
        <f>IFERROR(__xludf.DUMMYFUNCTION("QUERY('Volunteer Survey'!R168)"),"Yes- I am willing to volunteer with any available ClinGen group")</f>
        <v>Yes- I am willing to volunteer with any available ClinGen group</v>
      </c>
      <c r="Y161" s="53"/>
      <c r="Z161" s="68"/>
      <c r="AA161" s="55"/>
      <c r="AB161" s="55"/>
      <c r="AC161" s="55"/>
      <c r="AD161" s="55"/>
      <c r="AE161" s="55"/>
      <c r="AF161" s="55"/>
      <c r="AG161" s="55"/>
      <c r="AH161" s="55"/>
      <c r="AI161" s="55"/>
      <c r="AJ161" s="55"/>
      <c r="AK161" s="55"/>
      <c r="AL161" s="55"/>
      <c r="AM161" s="55"/>
      <c r="AN161" s="55"/>
      <c r="AO161" s="55"/>
    </row>
    <row r="162">
      <c r="A162" s="50">
        <f>IFERROR(__xludf.DUMMYFUNCTION("QUERY('Volunteer Survey'!A169)"),43565.61995707176)</f>
        <v>43565.61996</v>
      </c>
      <c r="B162" s="48" t="s">
        <v>108</v>
      </c>
      <c r="C162" s="53"/>
      <c r="D162" s="55"/>
      <c r="E162" s="48" t="s">
        <v>130</v>
      </c>
      <c r="F162" s="48" t="s">
        <v>130</v>
      </c>
      <c r="G162" s="48" t="s">
        <v>202</v>
      </c>
      <c r="H162" s="53"/>
      <c r="I162" s="51" t="s">
        <v>139</v>
      </c>
      <c r="J162" s="55"/>
      <c r="K162" s="55"/>
      <c r="L162" s="55" t="str">
        <f>IFERROR(__xludf.DUMMYFUNCTION("QUERY('Volunteer Survey'!B169)"),"Megan Lynch")</f>
        <v>Megan Lynch</v>
      </c>
      <c r="M162" s="55" t="str">
        <f>IFERROR(__xludf.DUMMYFUNCTION("QUERY('Volunteer Survey'!E169)"),"megan.lynch@umaryland.edu")</f>
        <v>megan.lynch@umaryland.edu</v>
      </c>
      <c r="N162" s="55" t="str">
        <f>IFERROR(__xludf.DUMMYFUNCTION("QUERY('Volunteer Survey'!F169)"),"Graduate Student")</f>
        <v>Graduate Student</v>
      </c>
      <c r="O162" s="48" t="str">
        <f>IFERROR(__xludf.DUMMYFUNCTION("QUERY('Volunteer Survey'!H169)"),"Baseline")</f>
        <v>Baseline</v>
      </c>
      <c r="P162" s="55" t="str">
        <f>IFERROR(__xludf.DUMMYFUNCTION("QUERY('Volunteer Survey'!I169)"),"Dosage Sensitivity")</f>
        <v>Dosage Sensitivity</v>
      </c>
      <c r="Q162" s="60" t="str">
        <f>IFERROR(__xludf.DUMMYFUNCTION("QUERY('Volunteer Survey'!J169)"),"Variant Pathogenicity")</f>
        <v>Variant Pathogenicity</v>
      </c>
      <c r="R162" s="55" t="str">
        <f>IFERROR(__xludf.DUMMYFUNCTION("QUERY('Volunteer Survey'!K169)"),"Clinical Actionability")</f>
        <v>Clinical Actionability</v>
      </c>
      <c r="S162" s="55" t="str">
        <f>IFERROR(__xludf.DUMMYFUNCTION("QUERY('Volunteer Survey'!L169)"),"")</f>
        <v/>
      </c>
      <c r="T162" s="55" t="str">
        <f>IFERROR(__xludf.DUMMYFUNCTION("QUERY('Volunteer Survey'!M169)"),"")</f>
        <v/>
      </c>
      <c r="U162" s="64" t="str">
        <f>IFERROR(__xludf.DUMMYFUNCTION("QUERY('Volunteer Survey'!N169)"),"")</f>
        <v/>
      </c>
      <c r="V162" s="55" t="str">
        <f>IFERROR(__xludf.DUMMYFUNCTION("QUERY('Volunteer Survey'!O169)"),"Possibly")</f>
        <v>Possibly</v>
      </c>
      <c r="W162" s="66" t="str">
        <f>IFERROR(__xludf.DUMMYFUNCTION("QUERY('Volunteer Survey'!P169)"),"any of the cardiovascular working groups")</f>
        <v>any of the cardiovascular working groups</v>
      </c>
      <c r="X162" s="64" t="str">
        <f>IFERROR(__xludf.DUMMYFUNCTION("QUERY('Volunteer Survey'!R169)"),"No - I am only interested in the group(s) I previously indicated")</f>
        <v>No - I am only interested in the group(s) I previously indicated</v>
      </c>
      <c r="Y162" s="53"/>
      <c r="Z162" s="68"/>
      <c r="AA162" s="55"/>
      <c r="AB162" s="55"/>
      <c r="AC162" s="55"/>
      <c r="AD162" s="55"/>
      <c r="AE162" s="55"/>
      <c r="AF162" s="55"/>
      <c r="AG162" s="55"/>
      <c r="AH162" s="55"/>
      <c r="AI162" s="55"/>
      <c r="AJ162" s="55"/>
      <c r="AK162" s="55"/>
      <c r="AL162" s="55"/>
      <c r="AM162" s="55"/>
      <c r="AN162" s="55"/>
      <c r="AO162" s="55"/>
    </row>
    <row r="163">
      <c r="A163" s="50">
        <f>IFERROR(__xludf.DUMMYFUNCTION("QUERY('Volunteer Survey'!A170)"),43566.03965038195)</f>
        <v>43566.03965</v>
      </c>
      <c r="B163" s="48" t="s">
        <v>160</v>
      </c>
      <c r="C163" s="53"/>
      <c r="D163" s="56">
        <v>43627.0</v>
      </c>
      <c r="E163" s="48" t="s">
        <v>117</v>
      </c>
      <c r="F163" s="48" t="s">
        <v>117</v>
      </c>
      <c r="G163" s="48" t="s">
        <v>251</v>
      </c>
      <c r="H163" s="51" t="s">
        <v>311</v>
      </c>
      <c r="I163" s="51" t="s">
        <v>139</v>
      </c>
      <c r="J163" s="56">
        <v>43712.0</v>
      </c>
      <c r="K163" s="56"/>
      <c r="L163" s="55" t="str">
        <f>IFERROR(__xludf.DUMMYFUNCTION("QUERY('Volunteer Survey'!B170)"),"Suvina To")</f>
        <v>Suvina To</v>
      </c>
      <c r="M163" s="55" t="str">
        <f>IFERROR(__xludf.DUMMYFUNCTION("QUERY('Volunteer Survey'!E170)"),"suvina@gmail.com")</f>
        <v>suvina@gmail.com</v>
      </c>
      <c r="N163" s="55" t="str">
        <f>IFERROR(__xludf.DUMMYFUNCTION("QUERY('Volunteer Survey'!F170)"),"Variant Analyst/Scientist - Industry")</f>
        <v>Variant Analyst/Scientist - Industry</v>
      </c>
      <c r="O163" s="48" t="str">
        <f>IFERROR(__xludf.DUMMYFUNCTION("QUERY('Volunteer Survey'!H170)"),"Comprehensive")</f>
        <v>Comprehensive</v>
      </c>
      <c r="P163" s="55" t="str">
        <f>IFERROR(__xludf.DUMMYFUNCTION("QUERY('Volunteer Survey'!I170)"),"Variant Pathogenicity")</f>
        <v>Variant Pathogenicity</v>
      </c>
      <c r="Q163" s="60" t="str">
        <f>IFERROR(__xludf.DUMMYFUNCTION("QUERY('Volunteer Survey'!J170)"),"Dosage Sensitivity")</f>
        <v>Dosage Sensitivity</v>
      </c>
      <c r="R163" s="55" t="str">
        <f>IFERROR(__xludf.DUMMYFUNCTION("QUERY('Volunteer Survey'!K170)"),"Gene-Disease Validity")</f>
        <v>Gene-Disease Validity</v>
      </c>
      <c r="S163" s="55" t="str">
        <f>IFERROR(__xludf.DUMMYFUNCTION("QUERY('Volunteer Survey'!L170)"),"Clinical Actionability")</f>
        <v>Clinical Actionability</v>
      </c>
      <c r="T163" s="55" t="str">
        <f>IFERROR(__xludf.DUMMYFUNCTION("QUERY('Volunteer Survey'!M170)"),"Somatic Cancer")</f>
        <v>Somatic Cancer</v>
      </c>
      <c r="U163" s="64" t="str">
        <f>IFERROR(__xludf.DUMMYFUNCTION("QUERY('Volunteer Survey'!N170)"),"I am a variant curation specialist in my company")</f>
        <v>I am a variant curation specialist in my company</v>
      </c>
      <c r="V163" s="55" t="str">
        <f>IFERROR(__xludf.DUMMYFUNCTION("QUERY('Volunteer Survey'!O170)"),"Possibly")</f>
        <v>Possibly</v>
      </c>
      <c r="W163" s="66" t="str">
        <f>IFERROR(__xludf.DUMMYFUNCTION("QUERY('Volunteer Survey'!P170)"),"monogenic diabetes")</f>
        <v>monogenic diabetes</v>
      </c>
      <c r="X163" s="64" t="str">
        <f>IFERROR(__xludf.DUMMYFUNCTION("QUERY('Volunteer Survey'!R170)"),"Yes- I am willing to volunteer with any available ClinGen group")</f>
        <v>Yes- I am willing to volunteer with any available ClinGen group</v>
      </c>
      <c r="Y163" s="53"/>
      <c r="Z163" s="68"/>
      <c r="AA163" s="55"/>
      <c r="AB163" s="55"/>
      <c r="AC163" s="55"/>
      <c r="AD163" s="55"/>
      <c r="AE163" s="55"/>
      <c r="AF163" s="55"/>
      <c r="AG163" s="55"/>
      <c r="AH163" s="55"/>
      <c r="AI163" s="55"/>
      <c r="AJ163" s="55"/>
      <c r="AK163" s="55"/>
      <c r="AL163" s="55"/>
      <c r="AM163" s="55"/>
      <c r="AN163" s="55"/>
      <c r="AO163" s="55"/>
    </row>
    <row r="164">
      <c r="A164" s="50">
        <f>IFERROR(__xludf.DUMMYFUNCTION("QUERY('Volunteer Survey'!A171)"),43566.525071446755)</f>
        <v>43566.52507</v>
      </c>
      <c r="B164" s="48" t="s">
        <v>160</v>
      </c>
      <c r="C164" s="53"/>
      <c r="D164" s="65">
        <v>43608.0</v>
      </c>
      <c r="E164" s="48" t="s">
        <v>117</v>
      </c>
      <c r="F164" s="48" t="s">
        <v>117</v>
      </c>
      <c r="G164" s="48" t="s">
        <v>251</v>
      </c>
      <c r="H164" s="51" t="s">
        <v>169</v>
      </c>
      <c r="I164" s="51" t="s">
        <v>139</v>
      </c>
      <c r="J164" s="56">
        <v>43712.0</v>
      </c>
      <c r="K164" s="56"/>
      <c r="L164" s="55" t="str">
        <f>IFERROR(__xludf.DUMMYFUNCTION("QUERY('Volunteer Survey'!B171)"),"Lemuel Racacho")</f>
        <v>Lemuel Racacho</v>
      </c>
      <c r="M164" s="55" t="str">
        <f>IFERROR(__xludf.DUMMYFUNCTION("QUERY('Volunteer Survey'!E171)"),"lracacho@cheo.on.ca")</f>
        <v>lracacho@cheo.on.ca</v>
      </c>
      <c r="N164" s="55" t="str">
        <f>IFERROR(__xludf.DUMMYFUNCTION("QUERY('Volunteer Survey'!F171)"),"Post Doc/Resident/Fellow (MD and/or PhD)")</f>
        <v>Post Doc/Resident/Fellow (MD and/or PhD)</v>
      </c>
      <c r="O164" s="48" t="str">
        <f>IFERROR(__xludf.DUMMYFUNCTION("QUERY('Volunteer Survey'!H171)"),"Comprehensive")</f>
        <v>Comprehensive</v>
      </c>
      <c r="P164" s="55" t="str">
        <f>IFERROR(__xludf.DUMMYFUNCTION("QUERY('Volunteer Survey'!I171)"),"Variant Pathogenicity")</f>
        <v>Variant Pathogenicity</v>
      </c>
      <c r="Q164" s="60" t="str">
        <f>IFERROR(__xludf.DUMMYFUNCTION("QUERY('Volunteer Survey'!J171)"),"Gene-Disease Validity")</f>
        <v>Gene-Disease Validity</v>
      </c>
      <c r="R164" s="55" t="str">
        <f>IFERROR(__xludf.DUMMYFUNCTION("QUERY('Volunteer Survey'!K171)"),"Clinical Actionability")</f>
        <v>Clinical Actionability</v>
      </c>
      <c r="S164" s="55" t="str">
        <f>IFERROR(__xludf.DUMMYFUNCTION("QUERY('Volunteer Survey'!L171)"),"Dosage Sensitivity")</f>
        <v>Dosage Sensitivity</v>
      </c>
      <c r="T164" s="55" t="str">
        <f>IFERROR(__xludf.DUMMYFUNCTION("QUERY('Volunteer Survey'!M171)"),"Somatic Cancer")</f>
        <v>Somatic Cancer</v>
      </c>
      <c r="U164" s="64" t="str">
        <f>IFERROR(__xludf.DUMMYFUNCTION("QUERY('Volunteer Survey'!N171)"),"Yes, I currently interpret variants for mitochondrial based disorders")</f>
        <v>Yes, I currently interpret variants for mitochondrial based disorders</v>
      </c>
      <c r="V164" s="55" t="str">
        <f>IFERROR(__xludf.DUMMYFUNCTION("QUERY('Volunteer Survey'!O171)"),"Possibly")</f>
        <v>Possibly</v>
      </c>
      <c r="W164" s="66" t="str">
        <f>IFERROR(__xludf.DUMMYFUNCTION("QUERY('Volunteer Survey'!P171)"),"Inborn errors of metabolism; Low penetrance/risk allele")</f>
        <v>Inborn errors of metabolism; Low penetrance/risk allele</v>
      </c>
      <c r="X164" s="64" t="str">
        <f>IFERROR(__xludf.DUMMYFUNCTION("QUERY('Volunteer Survey'!R171)"),"Yes- I am willing to volunteer with any available ClinGen group")</f>
        <v>Yes- I am willing to volunteer with any available ClinGen group</v>
      </c>
      <c r="Y164" s="53"/>
      <c r="Z164" s="68"/>
      <c r="AA164" s="55"/>
      <c r="AB164" s="55"/>
      <c r="AC164" s="55"/>
      <c r="AD164" s="55"/>
      <c r="AE164" s="55"/>
      <c r="AF164" s="55"/>
      <c r="AG164" s="55"/>
      <c r="AH164" s="55"/>
      <c r="AI164" s="55"/>
      <c r="AJ164" s="55"/>
      <c r="AK164" s="55"/>
      <c r="AL164" s="55"/>
      <c r="AM164" s="55"/>
      <c r="AN164" s="55"/>
      <c r="AO164" s="55"/>
    </row>
    <row r="165">
      <c r="A165" s="50">
        <f>IFERROR(__xludf.DUMMYFUNCTION("QUERY('Volunteer Survey'!A172)"),43566.667404039355)</f>
        <v>43566.6674</v>
      </c>
      <c r="B165" s="48" t="s">
        <v>108</v>
      </c>
      <c r="C165" s="79">
        <v>43819.0</v>
      </c>
      <c r="D165" s="55"/>
      <c r="E165" s="48" t="s">
        <v>130</v>
      </c>
      <c r="F165" s="48" t="s">
        <v>130</v>
      </c>
      <c r="G165" s="48" t="s">
        <v>122</v>
      </c>
      <c r="H165" s="53"/>
      <c r="I165" s="51" t="s">
        <v>139</v>
      </c>
      <c r="J165" s="55"/>
      <c r="K165" s="55"/>
      <c r="L165" s="55" t="str">
        <f>IFERROR(__xludf.DUMMYFUNCTION("QUERY('Volunteer Survey'!B172)"),"Bo Yuan")</f>
        <v>Bo Yuan</v>
      </c>
      <c r="M165" s="55" t="str">
        <f>IFERROR(__xludf.DUMMYFUNCTION("QUERY('Volunteer Survey'!E172)"),"by2@bcm.edu")</f>
        <v>by2@bcm.edu</v>
      </c>
      <c r="N165" s="55" t="str">
        <f>IFERROR(__xludf.DUMMYFUNCTION("QUERY('Volunteer Survey'!F172)"),"Clinical laboratory geneticist")</f>
        <v>Clinical laboratory geneticist</v>
      </c>
      <c r="O165" s="48" t="str">
        <f>IFERROR(__xludf.DUMMYFUNCTION("QUERY('Volunteer Survey'!H172)"),"Comprehensive")</f>
        <v>Comprehensive</v>
      </c>
      <c r="P165" s="55" t="str">
        <f>IFERROR(__xludf.DUMMYFUNCTION("QUERY('Volunteer Survey'!I172)"),"Gene-Disease Validity")</f>
        <v>Gene-Disease Validity</v>
      </c>
      <c r="Q165" s="60" t="str">
        <f>IFERROR(__xludf.DUMMYFUNCTION("QUERY('Volunteer Survey'!J172)"),"Somatic Cancer")</f>
        <v>Somatic Cancer</v>
      </c>
      <c r="R165" s="55" t="str">
        <f>IFERROR(__xludf.DUMMYFUNCTION("QUERY('Volunteer Survey'!K172)"),"Clinical Actionability")</f>
        <v>Clinical Actionability</v>
      </c>
      <c r="S165" s="55" t="str">
        <f>IFERROR(__xludf.DUMMYFUNCTION("QUERY('Volunteer Survey'!L172)"),"Variant Pathogenicity")</f>
        <v>Variant Pathogenicity</v>
      </c>
      <c r="T165" s="55" t="str">
        <f>IFERROR(__xludf.DUMMYFUNCTION("QUERY('Volunteer Survey'!M172)"),"Dosage Sensitivity")</f>
        <v>Dosage Sensitivity</v>
      </c>
      <c r="U165" s="64" t="str">
        <f>IFERROR(__xludf.DUMMYFUNCTION("QUERY('Volunteer Survey'!N172)"),"I have been involved in some gene curation using ClinGen format. Variant curation is part of my routine practice.")</f>
        <v>I have been involved in some gene curation using ClinGen format. Variant curation is part of my routine practice.</v>
      </c>
      <c r="V165" s="55" t="str">
        <f>IFERROR(__xludf.DUMMYFUNCTION("QUERY('Volunteer Survey'!O172)"),"Yes")</f>
        <v>Yes</v>
      </c>
      <c r="W165" s="66" t="str">
        <f>IFERROR(__xludf.DUMMYFUNCTION("QUERY('Volunteer Survey'!P172)"),"")</f>
        <v/>
      </c>
      <c r="X165" s="64" t="str">
        <f>IFERROR(__xludf.DUMMYFUNCTION("QUERY('Volunteer Survey'!R172)"),"Maybe -- please contact me with other options, and I will decide based on what is available")</f>
        <v>Maybe -- please contact me with other options, and I will decide based on what is available</v>
      </c>
      <c r="Y165" s="53"/>
      <c r="Z165" s="68"/>
      <c r="AA165" s="55"/>
      <c r="AB165" s="55"/>
      <c r="AC165" s="55"/>
      <c r="AD165" s="55"/>
      <c r="AE165" s="55"/>
      <c r="AF165" s="55"/>
      <c r="AG165" s="55"/>
      <c r="AH165" s="55"/>
      <c r="AI165" s="55"/>
      <c r="AJ165" s="55"/>
      <c r="AK165" s="55"/>
      <c r="AL165" s="55"/>
      <c r="AM165" s="55"/>
      <c r="AN165" s="55"/>
      <c r="AO165" s="55"/>
    </row>
    <row r="166">
      <c r="A166" s="50">
        <f>IFERROR(__xludf.DUMMYFUNCTION("QUERY('Volunteer Survey'!A173)"),43566.96253849537)</f>
        <v>43566.96254</v>
      </c>
      <c r="B166" s="48" t="s">
        <v>108</v>
      </c>
      <c r="C166" s="79">
        <v>43819.0</v>
      </c>
      <c r="D166" s="55"/>
      <c r="E166" s="48" t="s">
        <v>130</v>
      </c>
      <c r="F166" s="48" t="s">
        <v>130</v>
      </c>
      <c r="G166" s="48" t="s">
        <v>122</v>
      </c>
      <c r="H166" s="53"/>
      <c r="I166" s="51" t="s">
        <v>139</v>
      </c>
      <c r="J166" s="55"/>
      <c r="K166" s="55"/>
      <c r="L166" s="55" t="str">
        <f>IFERROR(__xludf.DUMMYFUNCTION("QUERY('Volunteer Survey'!B173)"),"Avinash Dharmadhikari")</f>
        <v>Avinash Dharmadhikari</v>
      </c>
      <c r="M166" s="55" t="str">
        <f>IFERROR(__xludf.DUMMYFUNCTION("QUERY('Volunteer Survey'!E173)"),"avd2129@cumc.columbia.edu")</f>
        <v>avd2129@cumc.columbia.edu</v>
      </c>
      <c r="N166" s="55" t="str">
        <f>IFERROR(__xludf.DUMMYFUNCTION("QUERY('Volunteer Survey'!F173)"),"Post Doc/Resident/Fellow (MD and/or PhD)")</f>
        <v>Post Doc/Resident/Fellow (MD and/or PhD)</v>
      </c>
      <c r="O166" s="48" t="str">
        <f>IFERROR(__xludf.DUMMYFUNCTION("QUERY('Volunteer Survey'!H173)"),"Comprehensive")</f>
        <v>Comprehensive</v>
      </c>
      <c r="P166" s="55" t="str">
        <f>IFERROR(__xludf.DUMMYFUNCTION("QUERY('Volunteer Survey'!I173)"),"Gene-Disease Validity")</f>
        <v>Gene-Disease Validity</v>
      </c>
      <c r="Q166" s="60" t="str">
        <f>IFERROR(__xludf.DUMMYFUNCTION("QUERY('Volunteer Survey'!J173)"),"Variant Pathogenicity")</f>
        <v>Variant Pathogenicity</v>
      </c>
      <c r="R166" s="55" t="str">
        <f>IFERROR(__xludf.DUMMYFUNCTION("QUERY('Volunteer Survey'!K173)"),"Dosage Sensitivity")</f>
        <v>Dosage Sensitivity</v>
      </c>
      <c r="S166" s="55" t="str">
        <f>IFERROR(__xludf.DUMMYFUNCTION("QUERY('Volunteer Survey'!L173)"),"")</f>
        <v/>
      </c>
      <c r="T166" s="55" t="str">
        <f>IFERROR(__xludf.DUMMYFUNCTION("QUERY('Volunteer Survey'!M173)"),"")</f>
        <v/>
      </c>
      <c r="U166" s="64" t="str">
        <f>IFERROR(__xludf.DUMMYFUNCTION("QUERY('Volunteer Survey'!N173)"),"Previously variant analyst/curator at Baylor Genetics and Natera; currently LGG fellow at Columbia University")</f>
        <v>Previously variant analyst/curator at Baylor Genetics and Natera; currently LGG fellow at Columbia University</v>
      </c>
      <c r="V166" s="55" t="str">
        <f>IFERROR(__xludf.DUMMYFUNCTION("QUERY('Volunteer Survey'!O173)"),"Possibly")</f>
        <v>Possibly</v>
      </c>
      <c r="W166" s="66" t="str">
        <f>IFERROR(__xludf.DUMMYFUNCTION("QUERY('Volunteer Survey'!P173)"),"Hearing Loss VCEP &amp; GCEP or Dosage Sensitivity WG or ID/Autism GCEP")</f>
        <v>Hearing Loss VCEP &amp; GCEP or Dosage Sensitivity WG or ID/Autism GCEP</v>
      </c>
      <c r="X166" s="64" t="str">
        <f>IFERROR(__xludf.DUMMYFUNCTION("QUERY('Volunteer Survey'!R173)"),"Maybe -- please contact me with other options, and I will decide based on what is available")</f>
        <v>Maybe -- please contact me with other options, and I will decide based on what is available</v>
      </c>
      <c r="Y166" s="53"/>
      <c r="Z166" s="68"/>
      <c r="AA166" s="55"/>
      <c r="AB166" s="55"/>
      <c r="AC166" s="55"/>
      <c r="AD166" s="55"/>
      <c r="AE166" s="55"/>
      <c r="AF166" s="55"/>
      <c r="AG166" s="55"/>
      <c r="AH166" s="55"/>
      <c r="AI166" s="55"/>
      <c r="AJ166" s="55"/>
      <c r="AK166" s="55"/>
      <c r="AL166" s="55"/>
      <c r="AM166" s="55"/>
      <c r="AN166" s="55"/>
      <c r="AO166" s="55"/>
    </row>
    <row r="167">
      <c r="A167" s="50">
        <f>IFERROR(__xludf.DUMMYFUNCTION("QUERY('Volunteer Survey'!A174)"),43567.67818671296)</f>
        <v>43567.67819</v>
      </c>
      <c r="B167" s="48" t="s">
        <v>168</v>
      </c>
      <c r="C167" s="53"/>
      <c r="D167" s="55"/>
      <c r="E167" s="48" t="s">
        <v>130</v>
      </c>
      <c r="F167" s="48" t="s">
        <v>130</v>
      </c>
      <c r="G167" s="48" t="s">
        <v>251</v>
      </c>
      <c r="H167" s="53"/>
      <c r="I167" s="51" t="s">
        <v>139</v>
      </c>
      <c r="J167" s="55"/>
      <c r="K167" s="55"/>
      <c r="L167" s="55" t="str">
        <f>IFERROR(__xludf.DUMMYFUNCTION("QUERY('Volunteer Survey'!B174)"),"Sara Fitzgerald-Butt")</f>
        <v>Sara Fitzgerald-Butt</v>
      </c>
      <c r="M167" s="55" t="str">
        <f>IFERROR(__xludf.DUMMYFUNCTION("QUERY('Volunteer Survey'!E174)"),"sfitzge@iu.edu")</f>
        <v>sfitzge@iu.edu</v>
      </c>
      <c r="N167" s="55" t="str">
        <f>IFERROR(__xludf.DUMMYFUNCTION("QUERY('Volunteer Survey'!F174)"),"Genetic counselor")</f>
        <v>Genetic counselor</v>
      </c>
      <c r="O167" s="48" t="str">
        <f>IFERROR(__xludf.DUMMYFUNCTION("QUERY('Volunteer Survey'!H174)"),"Comprehensive")</f>
        <v>Comprehensive</v>
      </c>
      <c r="P167" s="55" t="str">
        <f>IFERROR(__xludf.DUMMYFUNCTION("QUERY('Volunteer Survey'!I174)"),"Variant Pathogenicity")</f>
        <v>Variant Pathogenicity</v>
      </c>
      <c r="Q167" s="60" t="str">
        <f>IFERROR(__xludf.DUMMYFUNCTION("QUERY('Volunteer Survey'!J174)"),"Gene-Disease Validity")</f>
        <v>Gene-Disease Validity</v>
      </c>
      <c r="R167" s="55" t="str">
        <f>IFERROR(__xludf.DUMMYFUNCTION("QUERY('Volunteer Survey'!K174)"),"")</f>
        <v/>
      </c>
      <c r="S167" s="55" t="str">
        <f>IFERROR(__xludf.DUMMYFUNCTION("QUERY('Volunteer Survey'!L174)"),"")</f>
        <v/>
      </c>
      <c r="T167" s="55" t="str">
        <f>IFERROR(__xludf.DUMMYFUNCTION("QUERY('Volunteer Survey'!M174)"),"")</f>
        <v/>
      </c>
      <c r="U167" s="64" t="str">
        <f>IFERROR(__xludf.DUMMYFUNCTION("QUERY('Volunteer Survey'!N174)"),"I was part of a research team that reinterpreted the variants seen in our pediatric arrhythmia patients following the release of the 2015 ACMG/AMP guidelines.  Also, as a genetic counselor, I an evaluating the interpretation of the clinical laboratory.")</f>
        <v>I was part of a research team that reinterpreted the variants seen in our pediatric arrhythmia patients following the release of the 2015 ACMG/AMP guidelines.  Also, as a genetic counselor, I an evaluating the interpretation of the clinical laboratory.</v>
      </c>
      <c r="V167" s="55" t="str">
        <f>IFERROR(__xludf.DUMMYFUNCTION("QUERY('Volunteer Survey'!O174)"),"No")</f>
        <v>No</v>
      </c>
      <c r="W167" s="66" t="str">
        <f>IFERROR(__xludf.DUMMYFUNCTION("QUERY('Volunteer Survey'!P174)"),"Cardiovascular, cardiomyopathy, Long QT syndrome, FBN1")</f>
        <v>Cardiovascular, cardiomyopathy, Long QT syndrome, FBN1</v>
      </c>
      <c r="X167" s="64" t="str">
        <f>IFERROR(__xludf.DUMMYFUNCTION("QUERY('Volunteer Survey'!R174)"),"Maybe -- please contact me with other options, and I will decide based on what is available")</f>
        <v>Maybe -- please contact me with other options, and I will decide based on what is available</v>
      </c>
      <c r="Y167" s="53"/>
      <c r="Z167" s="68"/>
      <c r="AA167" s="55"/>
      <c r="AB167" s="55"/>
      <c r="AC167" s="55"/>
      <c r="AD167" s="55"/>
      <c r="AE167" s="55"/>
      <c r="AF167" s="55"/>
      <c r="AG167" s="55"/>
      <c r="AH167" s="55"/>
      <c r="AI167" s="55"/>
      <c r="AJ167" s="55"/>
      <c r="AK167" s="55"/>
      <c r="AL167" s="55"/>
      <c r="AM167" s="55"/>
      <c r="AN167" s="55"/>
      <c r="AO167" s="55"/>
    </row>
    <row r="168">
      <c r="A168" s="50">
        <f>IFERROR(__xludf.DUMMYFUNCTION("QUERY('Volunteer Survey'!A175)"),43567.92645009259)</f>
        <v>43567.92645</v>
      </c>
      <c r="B168" s="48" t="s">
        <v>160</v>
      </c>
      <c r="C168" s="53"/>
      <c r="D168" s="65">
        <v>43608.0</v>
      </c>
      <c r="E168" s="48" t="s">
        <v>117</v>
      </c>
      <c r="F168" s="48" t="s">
        <v>117</v>
      </c>
      <c r="G168" s="48" t="s">
        <v>251</v>
      </c>
      <c r="H168" s="51" t="s">
        <v>312</v>
      </c>
      <c r="I168" s="51"/>
      <c r="J168" s="56">
        <v>43712.0</v>
      </c>
      <c r="K168" s="56"/>
      <c r="L168" s="55" t="str">
        <f>IFERROR(__xludf.DUMMYFUNCTION("QUERY('Volunteer Survey'!B175)"),"Samya Chakravorty")</f>
        <v>Samya Chakravorty</v>
      </c>
      <c r="M168" s="55" t="str">
        <f>IFERROR(__xludf.DUMMYFUNCTION("QUERY('Volunteer Survey'!E175)"),"samya.chakravorty@emory.edu")</f>
        <v>samya.chakravorty@emory.edu</v>
      </c>
      <c r="N168" s="55" t="str">
        <f>IFERROR(__xludf.DUMMYFUNCTION("QUERY('Volunteer Survey'!F175)"),"Scientific Researcher")</f>
        <v>Scientific Researcher</v>
      </c>
      <c r="O168" s="48" t="str">
        <f>IFERROR(__xludf.DUMMYFUNCTION("QUERY('Volunteer Survey'!H175)"),"Comprehensive")</f>
        <v>Comprehensive</v>
      </c>
      <c r="P168" s="55" t="str">
        <f>IFERROR(__xludf.DUMMYFUNCTION("QUERY('Volunteer Survey'!I175)"),"Variant Pathogenicity")</f>
        <v>Variant Pathogenicity</v>
      </c>
      <c r="Q168" s="60" t="str">
        <f>IFERROR(__xludf.DUMMYFUNCTION("QUERY('Volunteer Survey'!J175)"),"Gene-Disease Validity")</f>
        <v>Gene-Disease Validity</v>
      </c>
      <c r="R168" s="55" t="str">
        <f>IFERROR(__xludf.DUMMYFUNCTION("QUERY('Volunteer Survey'!K175)"),"Clinical Actionability")</f>
        <v>Clinical Actionability</v>
      </c>
      <c r="S168" s="55" t="str">
        <f>IFERROR(__xludf.DUMMYFUNCTION("QUERY('Volunteer Survey'!L175)"),"Dosage Sensitivity")</f>
        <v>Dosage Sensitivity</v>
      </c>
      <c r="T168" s="55" t="str">
        <f>IFERROR(__xludf.DUMMYFUNCTION("QUERY('Volunteer Survey'!M175)"),"")</f>
        <v/>
      </c>
      <c r="U168" s="64" t="str">
        <f>IFERROR(__xludf.DUMMYFUNCTION("QUERY('Volunteer Survey'!N175)"),"I do have experience in classifying variants based on my functional data and submitting in Clinvar, other databases, and understanding variant annotation and classification based on 2015 ACMG-AMP guidelines. I also have experience in understanding the dis"&amp;"ease causality of variants and genes in correlation with clinical data. Though most of my experiences are in clinical research setting, but I do work closely with CLIA labs, organizations, and board-certified clinical geneticists. ")</f>
        <v>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v>
      </c>
      <c r="V168" s="55" t="str">
        <f>IFERROR(__xludf.DUMMYFUNCTION("QUERY('Volunteer Survey'!O175)"),"Yes")</f>
        <v>Yes</v>
      </c>
      <c r="W168" s="66" t="str">
        <f>IFERROR(__xludf.DUMMYFUNCTION("QUERY('Volunteer Survey'!P175)"),"Lysosomal Storage Disorders, Epilepsy")</f>
        <v>Lysosomal Storage Disorders, Epilepsy</v>
      </c>
      <c r="X168" s="64" t="str">
        <f>IFERROR(__xludf.DUMMYFUNCTION("QUERY('Volunteer Survey'!R175)"),"Maybe -- please contact me with other options, and I will decide based on what is available")</f>
        <v>Maybe -- please contact me with other options, and I will decide based on what is available</v>
      </c>
      <c r="Y168" s="53"/>
      <c r="Z168" s="68"/>
      <c r="AA168" s="55"/>
      <c r="AB168" s="55"/>
      <c r="AC168" s="55"/>
      <c r="AD168" s="55"/>
      <c r="AE168" s="55"/>
      <c r="AF168" s="55"/>
      <c r="AG168" s="55"/>
      <c r="AH168" s="55"/>
      <c r="AI168" s="55"/>
      <c r="AJ168" s="55"/>
      <c r="AK168" s="55"/>
      <c r="AL168" s="55"/>
      <c r="AM168" s="55"/>
      <c r="AN168" s="55"/>
      <c r="AO168" s="55"/>
    </row>
    <row r="169" ht="20.25" customHeight="1">
      <c r="A169" s="50">
        <f>IFERROR(__xludf.DUMMYFUNCTION("QUERY('Volunteer Survey'!A176)"),43568.82464288195)</f>
        <v>43568.82464</v>
      </c>
      <c r="B169" s="48" t="s">
        <v>160</v>
      </c>
      <c r="C169" s="90">
        <v>43787.0</v>
      </c>
      <c r="D169" s="55"/>
      <c r="E169" s="48" t="s">
        <v>130</v>
      </c>
      <c r="F169" s="48" t="s">
        <v>130</v>
      </c>
      <c r="G169" s="48" t="s">
        <v>19</v>
      </c>
      <c r="H169" s="53"/>
      <c r="I169" s="51" t="s">
        <v>139</v>
      </c>
      <c r="J169" s="55"/>
      <c r="K169" s="55"/>
      <c r="L169" s="55" t="str">
        <f>IFERROR(__xludf.DUMMYFUNCTION("QUERY('Volunteer Survey'!B176)"),"Fareed Al Qusous")</f>
        <v>Fareed Al Qusous</v>
      </c>
      <c r="M169" s="55" t="str">
        <f>IFERROR(__xludf.DUMMYFUNCTION("QUERY('Volunteer Survey'!E176)"),"Fareedh.al.qusous@hotmail.com")</f>
        <v>Fareedh.al.qusous@hotmail.com</v>
      </c>
      <c r="N169" s="55" t="str">
        <f>IFERROR(__xludf.DUMMYFUNCTION("QUERY('Volunteer Survey'!F176)"),"Undergraduate Student")</f>
        <v>Undergraduate Student</v>
      </c>
      <c r="O169" s="48" t="str">
        <f>IFERROR(__xludf.DUMMYFUNCTION("QUERY('Volunteer Survey'!H176)"),"Comprehensive")</f>
        <v>Comprehensive</v>
      </c>
      <c r="P169" s="55" t="str">
        <f>IFERROR(__xludf.DUMMYFUNCTION("QUERY('Volunteer Survey'!I176)"),"Clinical Actionability")</f>
        <v>Clinical Actionability</v>
      </c>
      <c r="Q169" s="60" t="str">
        <f>IFERROR(__xludf.DUMMYFUNCTION("QUERY('Volunteer Survey'!J176)"),"Gene-Disease Validity")</f>
        <v>Gene-Disease Validity</v>
      </c>
      <c r="R169" s="55" t="str">
        <f>IFERROR(__xludf.DUMMYFUNCTION("QUERY('Volunteer Survey'!K176)"),"Variant Pathogenicity")</f>
        <v>Variant Pathogenicity</v>
      </c>
      <c r="S169" s="55" t="str">
        <f>IFERROR(__xludf.DUMMYFUNCTION("QUERY('Volunteer Survey'!L176)"),"Dosage Sensitivity")</f>
        <v>Dosage Sensitivity</v>
      </c>
      <c r="T169" s="55" t="str">
        <f>IFERROR(__xludf.DUMMYFUNCTION("QUERY('Volunteer Survey'!M176)"),"Somatic Cancer")</f>
        <v>Somatic Cancer</v>
      </c>
      <c r="U169" s="64" t="str">
        <f>IFERROR(__xludf.DUMMYFUNCTION("QUERY('Volunteer Survey'!N176)"),"")</f>
        <v/>
      </c>
      <c r="V169" s="55" t="str">
        <f>IFERROR(__xludf.DUMMYFUNCTION("QUERY('Volunteer Survey'!O176)"),"Possibly")</f>
        <v>Possibly</v>
      </c>
      <c r="W169" s="66" t="str">
        <f>IFERROR(__xludf.DUMMYFUNCTION("QUERY('Volunteer Survey'!P176)"),"")</f>
        <v/>
      </c>
      <c r="X169" s="64" t="str">
        <f>IFERROR(__xludf.DUMMYFUNCTION("QUERY('Volunteer Survey'!R176)"),"Maybe -- please contact me with other options, and I will decide based on what is available")</f>
        <v>Maybe -- please contact me with other options, and I will decide based on what is available</v>
      </c>
      <c r="Y169" s="51" t="s">
        <v>352</v>
      </c>
      <c r="Z169" s="68"/>
      <c r="AA169" s="55"/>
      <c r="AB169" s="55"/>
      <c r="AC169" s="55"/>
      <c r="AD169" s="55"/>
      <c r="AE169" s="55"/>
      <c r="AF169" s="55"/>
      <c r="AG169" s="55"/>
      <c r="AH169" s="55"/>
      <c r="AI169" s="55"/>
      <c r="AJ169" s="55"/>
      <c r="AK169" s="55"/>
      <c r="AL169" s="55"/>
      <c r="AM169" s="55"/>
      <c r="AN169" s="55"/>
      <c r="AO169" s="55"/>
    </row>
    <row r="170">
      <c r="A170" s="50">
        <f>IFERROR(__xludf.DUMMYFUNCTION("QUERY('Volunteer Survey'!A177)"),43570.893279675925)</f>
        <v>43570.89328</v>
      </c>
      <c r="B170" s="48" t="s">
        <v>108</v>
      </c>
      <c r="C170" s="53"/>
      <c r="D170" s="55"/>
      <c r="E170" s="48" t="s">
        <v>130</v>
      </c>
      <c r="F170" s="48" t="s">
        <v>130</v>
      </c>
      <c r="G170" s="48" t="s">
        <v>202</v>
      </c>
      <c r="H170" s="53"/>
      <c r="I170" s="51" t="s">
        <v>139</v>
      </c>
      <c r="J170" s="55"/>
      <c r="K170" s="55"/>
      <c r="L170" s="55" t="str">
        <f>IFERROR(__xludf.DUMMYFUNCTION("QUERY('Volunteer Survey'!B177)"),"Mi-Ae Jang")</f>
        <v>Mi-Ae Jang</v>
      </c>
      <c r="M170" s="55" t="str">
        <f>IFERROR(__xludf.DUMMYFUNCTION("QUERY('Volunteer Survey'!E177)"),"miaeyaho@gmail.com")</f>
        <v>miaeyaho@gmail.com</v>
      </c>
      <c r="N170" s="55" t="str">
        <f>IFERROR(__xludf.DUMMYFUNCTION("QUERY('Volunteer Survey'!F177)"),"Clinical laboratory geneticist")</f>
        <v>Clinical laboratory geneticist</v>
      </c>
      <c r="O170" s="48" t="str">
        <f>IFERROR(__xludf.DUMMYFUNCTION("QUERY('Volunteer Survey'!H177)"),"Baseline")</f>
        <v>Baseline</v>
      </c>
      <c r="P170" s="55" t="str">
        <f>IFERROR(__xludf.DUMMYFUNCTION("QUERY('Volunteer Survey'!I177)"),"")</f>
        <v/>
      </c>
      <c r="Q170" s="60" t="str">
        <f>IFERROR(__xludf.DUMMYFUNCTION("QUERY('Volunteer Survey'!J177)"),"")</f>
        <v/>
      </c>
      <c r="R170" s="55" t="str">
        <f>IFERROR(__xludf.DUMMYFUNCTION("QUERY('Volunteer Survey'!K177)"),"")</f>
        <v/>
      </c>
      <c r="S170" s="55" t="str">
        <f>IFERROR(__xludf.DUMMYFUNCTION("QUERY('Volunteer Survey'!L177)"),"")</f>
        <v/>
      </c>
      <c r="T170" s="55" t="str">
        <f>IFERROR(__xludf.DUMMYFUNCTION("QUERY('Volunteer Survey'!M177)"),"")</f>
        <v/>
      </c>
      <c r="U170" s="64" t="str">
        <f>IFERROR(__xludf.DUMMYFUNCTION("QUERY('Volunteer Survey'!N177)"),"")</f>
        <v/>
      </c>
      <c r="V170" s="55" t="str">
        <f>IFERROR(__xludf.DUMMYFUNCTION("QUERY('Volunteer Survey'!O177)"),"Possibly")</f>
        <v>Possibly</v>
      </c>
      <c r="W170" s="66" t="str">
        <f>IFERROR(__xludf.DUMMYFUNCTION("QUERY('Volunteer Survey'!P177)"),"Variant curation expert panel for myeloid malignancy and brain malformation")</f>
        <v>Variant curation expert panel for myeloid malignancy and brain malformation</v>
      </c>
      <c r="X170" s="64" t="str">
        <f>IFERROR(__xludf.DUMMYFUNCTION("QUERY('Volunteer Survey'!R177)"),"Maybe -- please contact me with other options, and I will decide based on what is available")</f>
        <v>Maybe -- please contact me with other options, and I will decide based on what is available</v>
      </c>
      <c r="Y170" s="53"/>
      <c r="Z170" s="68"/>
      <c r="AA170" s="55"/>
      <c r="AB170" s="55"/>
      <c r="AC170" s="55"/>
      <c r="AD170" s="55"/>
      <c r="AE170" s="55"/>
      <c r="AF170" s="55"/>
      <c r="AG170" s="55"/>
      <c r="AH170" s="55"/>
      <c r="AI170" s="55"/>
      <c r="AJ170" s="55"/>
      <c r="AK170" s="55"/>
      <c r="AL170" s="55"/>
      <c r="AM170" s="55"/>
      <c r="AN170" s="55"/>
      <c r="AO170" s="55"/>
    </row>
    <row r="171">
      <c r="A171" s="50">
        <f>IFERROR(__xludf.DUMMYFUNCTION("QUERY('Volunteer Survey'!A178)"),43571.977917592594)</f>
        <v>43571.97792</v>
      </c>
      <c r="B171" s="48" t="s">
        <v>108</v>
      </c>
      <c r="C171" s="53"/>
      <c r="D171" s="65">
        <v>43692.0</v>
      </c>
      <c r="E171" s="48" t="s">
        <v>117</v>
      </c>
      <c r="F171" s="48" t="s">
        <v>130</v>
      </c>
      <c r="G171" s="48" t="s">
        <v>122</v>
      </c>
      <c r="H171" s="53"/>
      <c r="I171" s="51" t="s">
        <v>139</v>
      </c>
      <c r="J171" s="55"/>
      <c r="K171" s="55"/>
      <c r="L171" s="55" t="str">
        <f>IFERROR(__xludf.DUMMYFUNCTION("QUERY('Volunteer Survey'!B178)"),"Alison Bright")</f>
        <v>Alison Bright</v>
      </c>
      <c r="M171" s="55" t="str">
        <f>IFERROR(__xludf.DUMMYFUNCTION("QUERY('Volunteer Survey'!E178)"),"alison.r.bright@questdiagnostics.com")</f>
        <v>alison.r.bright@questdiagnostics.com</v>
      </c>
      <c r="N171" s="55" t="str">
        <f>IFERROR(__xludf.DUMMYFUNCTION("QUERY('Volunteer Survey'!F178)"),"Variant Analyst/Scientist - Industry")</f>
        <v>Variant Analyst/Scientist - Industry</v>
      </c>
      <c r="O171" s="48" t="str">
        <f>IFERROR(__xludf.DUMMYFUNCTION("QUERY('Volunteer Survey'!H178)"),"Comprehensive")</f>
        <v>Comprehensive</v>
      </c>
      <c r="P171" s="55" t="str">
        <f>IFERROR(__xludf.DUMMYFUNCTION("QUERY('Volunteer Survey'!I178)"),"Gene-Disease Validity")</f>
        <v>Gene-Disease Validity</v>
      </c>
      <c r="Q171" s="60" t="str">
        <f>IFERROR(__xludf.DUMMYFUNCTION("QUERY('Volunteer Survey'!J178)"),"Dosage Sensitivity")</f>
        <v>Dosage Sensitivity</v>
      </c>
      <c r="R171" s="55" t="str">
        <f>IFERROR(__xludf.DUMMYFUNCTION("QUERY('Volunteer Survey'!K178)"),"")</f>
        <v/>
      </c>
      <c r="S171" s="55" t="str">
        <f>IFERROR(__xludf.DUMMYFUNCTION("QUERY('Volunteer Survey'!L178)"),"")</f>
        <v/>
      </c>
      <c r="T171" s="55" t="str">
        <f>IFERROR(__xludf.DUMMYFUNCTION("QUERY('Volunteer Survey'!M178)"),"")</f>
        <v/>
      </c>
      <c r="U171" s="64" t="str">
        <f>IFERROR(__xludf.DUMMYFUNCTION("QUERY('Volunteer Survey'!N178)"),"6 years as a variant scientist: past 2 years focused on CNVs identified by microarray. Prior to that was focused on SNVs identified by single gene and panel tests.")</f>
        <v>6 years as a variant scientist: past 2 years focused on CNVs identified by microarray. Prior to that was focused on SNVs identified by single gene and panel tests.</v>
      </c>
      <c r="V171" s="55" t="str">
        <f>IFERROR(__xludf.DUMMYFUNCTION("QUERY('Volunteer Survey'!O178)"),"No")</f>
        <v>No</v>
      </c>
      <c r="W171" s="66" t="str">
        <f>IFERROR(__xludf.DUMMYFUNCTION("QUERY('Volunteer Survey'!P178)"),"ID/Autism")</f>
        <v>ID/Autism</v>
      </c>
      <c r="X171" s="64" t="str">
        <f>IFERROR(__xludf.DUMMYFUNCTION("QUERY('Volunteer Survey'!R178)"),"Maybe -- please contact me with other options, and I will decide based on what is available")</f>
        <v>Maybe -- please contact me with other options, and I will decide based on what is available</v>
      </c>
      <c r="Y171" s="53"/>
      <c r="Z171" s="68"/>
      <c r="AA171" s="55"/>
      <c r="AB171" s="55"/>
      <c r="AC171" s="55"/>
      <c r="AD171" s="55"/>
      <c r="AE171" s="55"/>
      <c r="AF171" s="55"/>
      <c r="AG171" s="55"/>
      <c r="AH171" s="55"/>
      <c r="AI171" s="55"/>
      <c r="AJ171" s="55"/>
      <c r="AK171" s="55"/>
      <c r="AL171" s="55"/>
      <c r="AM171" s="55"/>
      <c r="AN171" s="55"/>
      <c r="AO171" s="55"/>
    </row>
    <row r="172">
      <c r="A172" s="50">
        <f>IFERROR(__xludf.DUMMYFUNCTION("QUERY('Volunteer Survey'!A179)"),43577.60680598379)</f>
        <v>43577.60681</v>
      </c>
      <c r="B172" s="48" t="s">
        <v>108</v>
      </c>
      <c r="C172" s="79">
        <v>43819.0</v>
      </c>
      <c r="D172" s="55"/>
      <c r="E172" s="48"/>
      <c r="F172" s="48" t="s">
        <v>130</v>
      </c>
      <c r="G172" s="48" t="s">
        <v>251</v>
      </c>
      <c r="H172" s="53"/>
      <c r="I172" s="51" t="s">
        <v>139</v>
      </c>
      <c r="J172" s="55"/>
      <c r="K172" s="55"/>
      <c r="L172" s="55" t="str">
        <f>IFERROR(__xludf.DUMMYFUNCTION("QUERY('Volunteer Survey'!B179)"),"Chloe Whitten")</f>
        <v>Chloe Whitten</v>
      </c>
      <c r="M172" s="55" t="str">
        <f>IFERROR(__xludf.DUMMYFUNCTION("QUERY('Volunteer Survey'!E179)"),"cwhitten@ambrygen.com")</f>
        <v>cwhitten@ambrygen.com</v>
      </c>
      <c r="N172" s="55" t="str">
        <f>IFERROR(__xludf.DUMMYFUNCTION("QUERY('Volunteer Survey'!F179)"),"Recent graduate, can help with more admin tasks")</f>
        <v>Recent graduate, can help with more admin tasks</v>
      </c>
      <c r="O172" s="48" t="str">
        <f>IFERROR(__xludf.DUMMYFUNCTION("QUERY('Volunteer Survey'!H179)"),"Comprehensive")</f>
        <v>Comprehensive</v>
      </c>
      <c r="P172" s="55" t="str">
        <f>IFERROR(__xludf.DUMMYFUNCTION("QUERY('Volunteer Survey'!I179)"),"Variant Pathogenicity")</f>
        <v>Variant Pathogenicity</v>
      </c>
      <c r="Q172" s="60" t="str">
        <f>IFERROR(__xludf.DUMMYFUNCTION("QUERY('Volunteer Survey'!J179)"),"")</f>
        <v/>
      </c>
      <c r="R172" s="55" t="str">
        <f>IFERROR(__xludf.DUMMYFUNCTION("QUERY('Volunteer Survey'!K179)"),"")</f>
        <v/>
      </c>
      <c r="S172" s="55" t="str">
        <f>IFERROR(__xludf.DUMMYFUNCTION("QUERY('Volunteer Survey'!L179)"),"")</f>
        <v/>
      </c>
      <c r="T172" s="55" t="str">
        <f>IFERROR(__xludf.DUMMYFUNCTION("QUERY('Volunteer Survey'!M179)"),"")</f>
        <v/>
      </c>
      <c r="U172" s="64" t="str">
        <f>IFERROR(__xludf.DUMMYFUNCTION("QUERY('Volunteer Survey'!N179)"),"I don’t have experience with curation but I am eager to learn and have experience with more administrative/tedious tasks. I’d love to be involved but I understand that I do not have an clinical degrees")</f>
        <v>I don’t have experience with curation but I am eager to learn and have experience with more administrative/tedious tasks. I’d love to be involved but I understand that I do not have an clinical degrees</v>
      </c>
      <c r="V172" s="55" t="str">
        <f>IFERROR(__xludf.DUMMYFUNCTION("QUERY('Volunteer Survey'!O179)"),"Possibly")</f>
        <v>Possibly</v>
      </c>
      <c r="W172" s="66" t="str">
        <f>IFERROR(__xludf.DUMMYFUNCTION("QUERY('Volunteer Survey'!P179)"),"FBN1, PKU or LSD")</f>
        <v>FBN1, PKU or LSD</v>
      </c>
      <c r="X172" s="64" t="str">
        <f>IFERROR(__xludf.DUMMYFUNCTION("QUERY('Volunteer Survey'!R179)"),"Yes- I am willing to volunteer with any available ClinGen group")</f>
        <v>Yes- I am willing to volunteer with any available ClinGen group</v>
      </c>
      <c r="Y172" s="53"/>
      <c r="Z172" s="68"/>
      <c r="AA172" s="55"/>
      <c r="AB172" s="55"/>
      <c r="AC172" s="55"/>
      <c r="AD172" s="55"/>
      <c r="AE172" s="55"/>
      <c r="AF172" s="55"/>
      <c r="AG172" s="55"/>
      <c r="AH172" s="55"/>
      <c r="AI172" s="55"/>
      <c r="AJ172" s="55"/>
      <c r="AK172" s="55"/>
      <c r="AL172" s="55"/>
      <c r="AM172" s="55"/>
      <c r="AN172" s="55"/>
      <c r="AO172" s="55"/>
    </row>
    <row r="173">
      <c r="A173" s="50">
        <f>IFERROR(__xludf.DUMMYFUNCTION("QUERY('Volunteer Survey'!A180)"),43577.87438443287)</f>
        <v>43577.87438</v>
      </c>
      <c r="B173" s="48" t="s">
        <v>108</v>
      </c>
      <c r="C173" s="53"/>
      <c r="D173" s="55"/>
      <c r="E173" s="48"/>
      <c r="F173" s="48" t="s">
        <v>130</v>
      </c>
      <c r="G173" s="48" t="s">
        <v>202</v>
      </c>
      <c r="H173" s="53"/>
      <c r="I173" s="51" t="s">
        <v>139</v>
      </c>
      <c r="J173" s="55"/>
      <c r="K173" s="55"/>
      <c r="L173" s="55" t="str">
        <f>IFERROR(__xludf.DUMMYFUNCTION("QUERY('Volunteer Survey'!B180)"),"Jaclyn Murry")</f>
        <v>Jaclyn Murry</v>
      </c>
      <c r="M173" s="55" t="str">
        <f>IFERROR(__xludf.DUMMYFUNCTION("QUERY('Volunteer Survey'!E180)"),"jmurry@mednet.ucla.edu")</f>
        <v>jmurry@mednet.ucla.edu</v>
      </c>
      <c r="N173" s="55" t="str">
        <f>IFERROR(__xludf.DUMMYFUNCTION("QUERY('Volunteer Survey'!F180)"),"Clinical laboratory geneticist")</f>
        <v>Clinical laboratory geneticist</v>
      </c>
      <c r="O173" s="48" t="str">
        <f>IFERROR(__xludf.DUMMYFUNCTION("QUERY('Volunteer Survey'!H180)"),"Baseline")</f>
        <v>Baseline</v>
      </c>
      <c r="P173" s="55" t="str">
        <f>IFERROR(__xludf.DUMMYFUNCTION("QUERY('Volunteer Survey'!I180)"),"Dosage Sensitivity")</f>
        <v>Dosage Sensitivity</v>
      </c>
      <c r="Q173" s="60" t="str">
        <f>IFERROR(__xludf.DUMMYFUNCTION("QUERY('Volunteer Survey'!J180)"),"Variant Pathogenicity")</f>
        <v>Variant Pathogenicity</v>
      </c>
      <c r="R173" s="55" t="str">
        <f>IFERROR(__xludf.DUMMYFUNCTION("QUERY('Volunteer Survey'!K180)"),"")</f>
        <v/>
      </c>
      <c r="S173" s="55" t="str">
        <f>IFERROR(__xludf.DUMMYFUNCTION("QUERY('Volunteer Survey'!L180)"),"")</f>
        <v/>
      </c>
      <c r="T173" s="55" t="str">
        <f>IFERROR(__xludf.DUMMYFUNCTION("QUERY('Volunteer Survey'!M180)"),"")</f>
        <v/>
      </c>
      <c r="U173" s="64" t="str">
        <f>IFERROR(__xludf.DUMMYFUNCTION("QUERY('Volunteer Survey'!N180)"),"Currently review CMA cases on service")</f>
        <v>Currently review CMA cases on service</v>
      </c>
      <c r="V173" s="55" t="str">
        <f>IFERROR(__xludf.DUMMYFUNCTION("QUERY('Volunteer Survey'!O180)"),"No")</f>
        <v>No</v>
      </c>
      <c r="W173" s="66" t="str">
        <f>IFERROR(__xludf.DUMMYFUNCTION("QUERY('Volunteer Survey'!P180)"),"Interest in CNVs")</f>
        <v>Interest in CNVs</v>
      </c>
      <c r="X173" s="64" t="str">
        <f>IFERROR(__xludf.DUMMYFUNCTION("QUERY('Volunteer Survey'!R180)"),"Maybe -- please contact me with other options, and I will decide based on what is available")</f>
        <v>Maybe -- please contact me with other options, and I will decide based on what is available</v>
      </c>
      <c r="Y173" s="53"/>
      <c r="Z173" s="68"/>
      <c r="AA173" s="55"/>
      <c r="AB173" s="55"/>
      <c r="AC173" s="55"/>
      <c r="AD173" s="55"/>
      <c r="AE173" s="55"/>
      <c r="AF173" s="55"/>
      <c r="AG173" s="55"/>
      <c r="AH173" s="55"/>
      <c r="AI173" s="55"/>
      <c r="AJ173" s="55"/>
      <c r="AK173" s="55"/>
      <c r="AL173" s="55"/>
      <c r="AM173" s="55"/>
      <c r="AN173" s="55"/>
      <c r="AO173" s="55"/>
    </row>
    <row r="174">
      <c r="A174" s="50">
        <f>IFERROR(__xludf.DUMMYFUNCTION("QUERY('Volunteer Survey'!A181)"),43578.689141759256)</f>
        <v>43578.68914</v>
      </c>
      <c r="B174" s="48" t="s">
        <v>108</v>
      </c>
      <c r="C174" s="53"/>
      <c r="D174" s="49">
        <v>43581.0</v>
      </c>
      <c r="E174" s="48" t="s">
        <v>117</v>
      </c>
      <c r="F174" s="48" t="s">
        <v>130</v>
      </c>
      <c r="G174" s="48" t="s">
        <v>136</v>
      </c>
      <c r="H174" s="53"/>
      <c r="I174" s="51" t="s">
        <v>139</v>
      </c>
      <c r="J174" s="56">
        <v>43712.0</v>
      </c>
      <c r="K174" s="56"/>
      <c r="L174" s="55" t="str">
        <f>IFERROR(__xludf.DUMMYFUNCTION("QUERY('Volunteer Survey'!B181)"),"Ying Zou")</f>
        <v>Ying Zou</v>
      </c>
      <c r="M174" s="55" t="str">
        <f>IFERROR(__xludf.DUMMYFUNCTION("QUERY('Volunteer Survey'!E181)")," yzou19@jhmi.edu")</f>
        <v> yzou19@jhmi.edu</v>
      </c>
      <c r="N174" s="55" t="str">
        <f>IFERROR(__xludf.DUMMYFUNCTION("QUERY('Volunteer Survey'!F181)"),"Clinical laboratory geneticist")</f>
        <v>Clinical laboratory geneticist</v>
      </c>
      <c r="O174" s="48" t="str">
        <f>IFERROR(__xludf.DUMMYFUNCTION("QUERY('Volunteer Survey'!H181)"),"Comprehensive")</f>
        <v>Comprehensive</v>
      </c>
      <c r="P174" s="55" t="str">
        <f>IFERROR(__xludf.DUMMYFUNCTION("QUERY('Volunteer Survey'!I181)"),"Somatic Cancer")</f>
        <v>Somatic Cancer</v>
      </c>
      <c r="Q174" s="60" t="str">
        <f>IFERROR(__xludf.DUMMYFUNCTION("QUERY('Volunteer Survey'!J181)"),"Variant Pathogenicity")</f>
        <v>Variant Pathogenicity</v>
      </c>
      <c r="R174" s="55" t="str">
        <f>IFERROR(__xludf.DUMMYFUNCTION("QUERY('Volunteer Survey'!K181)"),"Clinical Actionability")</f>
        <v>Clinical Actionability</v>
      </c>
      <c r="S174" s="55" t="str">
        <f>IFERROR(__xludf.DUMMYFUNCTION("QUERY('Volunteer Survey'!L181)"),"Gene-Disease Validity")</f>
        <v>Gene-Disease Validity</v>
      </c>
      <c r="T174" s="55" t="str">
        <f>IFERROR(__xludf.DUMMYFUNCTION("QUERY('Volunteer Survey'!M181)"),"Dosage Sensitivity")</f>
        <v>Dosage Sensitivity</v>
      </c>
      <c r="U174" s="64" t="str">
        <f>IFERROR(__xludf.DUMMYFUNCTION("QUERY('Volunteer Survey'!N181)"),"")</f>
        <v/>
      </c>
      <c r="V174" s="55" t="str">
        <f>IFERROR(__xludf.DUMMYFUNCTION("QUERY('Volunteer Survey'!O181)"),"Possibly")</f>
        <v>Possibly</v>
      </c>
      <c r="W174" s="66" t="str">
        <f>IFERROR(__xludf.DUMMYFUNCTION("QUERY('Volunteer Survey'!P181)"),"somatic cancer")</f>
        <v>somatic cancer</v>
      </c>
      <c r="X174" s="64" t="str">
        <f>IFERROR(__xludf.DUMMYFUNCTION("QUERY('Volunteer Survey'!R181)"),"Maybe -- please contact me with other options, and I will decide based on what is available")</f>
        <v>Maybe -- please contact me with other options, and I will decide based on what is available</v>
      </c>
      <c r="Y174" s="53"/>
      <c r="Z174" s="68"/>
      <c r="AA174" s="55"/>
      <c r="AB174" s="55"/>
      <c r="AC174" s="55"/>
      <c r="AD174" s="55"/>
      <c r="AE174" s="55"/>
      <c r="AF174" s="55"/>
      <c r="AG174" s="55"/>
      <c r="AH174" s="55"/>
      <c r="AI174" s="55"/>
      <c r="AJ174" s="55"/>
      <c r="AK174" s="55"/>
      <c r="AL174" s="55"/>
      <c r="AM174" s="55"/>
      <c r="AN174" s="55"/>
      <c r="AO174" s="55"/>
    </row>
    <row r="175">
      <c r="A175" s="50">
        <f>IFERROR(__xludf.DUMMYFUNCTION("QUERY('Volunteer Survey'!A182)"),43581.01534331018)</f>
        <v>43581.01534</v>
      </c>
      <c r="B175" s="48" t="s">
        <v>168</v>
      </c>
      <c r="C175" s="53"/>
      <c r="D175" s="65">
        <v>43570.0</v>
      </c>
      <c r="E175" s="48" t="s">
        <v>117</v>
      </c>
      <c r="F175" s="48" t="s">
        <v>117</v>
      </c>
      <c r="G175" s="48" t="s">
        <v>313</v>
      </c>
      <c r="H175" s="53"/>
      <c r="I175" s="51" t="s">
        <v>139</v>
      </c>
      <c r="J175" s="55"/>
      <c r="K175" s="55"/>
      <c r="L175" s="55" t="str">
        <f>IFERROR(__xludf.DUMMYFUNCTION("QUERY('Volunteer Survey'!B182)"),"JIXIA LIU")</f>
        <v>JIXIA LIU</v>
      </c>
      <c r="M175" s="55" t="str">
        <f>IFERROR(__xludf.DUMMYFUNCTION("QUERY('Volunteer Survey'!E182)"),"jixialiu@gmail.com")</f>
        <v>jixialiu@gmail.com</v>
      </c>
      <c r="N175" s="55" t="str">
        <f>IFERROR(__xludf.DUMMYFUNCTION("QUERY('Volunteer Survey'!F182)"),"Clinical Variant Curator")</f>
        <v>Clinical Variant Curator</v>
      </c>
      <c r="O175" s="48" t="str">
        <f>IFERROR(__xludf.DUMMYFUNCTION("QUERY('Volunteer Survey'!H182)"),"Comprehensive")</f>
        <v>Comprehensive</v>
      </c>
      <c r="P175" s="55" t="str">
        <f>IFERROR(__xludf.DUMMYFUNCTION("QUERY('Volunteer Survey'!I182)"),"Gene-Disease Validity")</f>
        <v>Gene-Disease Validity</v>
      </c>
      <c r="Q175" s="60" t="str">
        <f>IFERROR(__xludf.DUMMYFUNCTION("QUERY('Volunteer Survey'!J182)"),"Variant Pathogenicity")</f>
        <v>Variant Pathogenicity</v>
      </c>
      <c r="R175" s="55" t="str">
        <f>IFERROR(__xludf.DUMMYFUNCTION("QUERY('Volunteer Survey'!K182)"),"Somatic Cancer")</f>
        <v>Somatic Cancer</v>
      </c>
      <c r="S175" s="55" t="str">
        <f>IFERROR(__xludf.DUMMYFUNCTION("QUERY('Volunteer Survey'!L182)"),"Clinical Actionability")</f>
        <v>Clinical Actionability</v>
      </c>
      <c r="T175" s="55" t="str">
        <f>IFERROR(__xludf.DUMMYFUNCTION("QUERY('Volunteer Survey'!M182)"),"Dosage Sensitivity")</f>
        <v>Dosage Sensitivity</v>
      </c>
      <c r="U175" s="64" t="str">
        <f>IFERROR(__xludf.DUMMYFUNCTION("QUERY('Volunteer Survey'!N182)"),"I have had one year working experience with variant pathogenicity  in carrier testing. I have some knowledge about Gene-Disease Validity and Somatic Cancer curation by attending seminars and working on research project.")</f>
        <v>I have had one year working experience with variant pathogenicity  in carrier testing. I have some knowledge about Gene-Disease Validity and Somatic Cancer curation by attending seminars and working on research project.</v>
      </c>
      <c r="V175" s="55" t="str">
        <f>IFERROR(__xludf.DUMMYFUNCTION("QUERY('Volunteer Survey'!O182)"),"Possibly")</f>
        <v>Possibly</v>
      </c>
      <c r="W175" s="66" t="str">
        <f>IFERROR(__xludf.DUMMYFUNCTION("QUERY('Volunteer Survey'!P182)"),"I am in Variant Curation for Lysosomal Storage Disorders now, and would be interested in any gene curation group as well.")</f>
        <v>I am in Variant Curation for Lysosomal Storage Disorders now, and would be interested in any gene curation group as well.</v>
      </c>
      <c r="X175" s="64" t="str">
        <f>IFERROR(__xludf.DUMMYFUNCTION("QUERY('Volunteer Survey'!R182)"),"Yes- I am willing to volunteer with any available ClinGen group")</f>
        <v>Yes- I am willing to volunteer with any available ClinGen group</v>
      </c>
      <c r="Y175" s="53"/>
      <c r="Z175" s="68"/>
      <c r="AA175" s="55"/>
      <c r="AB175" s="55"/>
      <c r="AC175" s="55"/>
      <c r="AD175" s="55"/>
      <c r="AE175" s="55"/>
      <c r="AF175" s="55"/>
      <c r="AG175" s="55"/>
      <c r="AH175" s="55"/>
      <c r="AI175" s="55"/>
      <c r="AJ175" s="55"/>
      <c r="AK175" s="55"/>
      <c r="AL175" s="55"/>
      <c r="AM175" s="55"/>
      <c r="AN175" s="55"/>
      <c r="AO175" s="55"/>
    </row>
    <row r="176" ht="18.0" customHeight="1">
      <c r="A176" s="50">
        <f>IFERROR(__xludf.DUMMYFUNCTION("QUERY('Volunteer Survey'!A183)"),43581.592380995375)</f>
        <v>43581.59238</v>
      </c>
      <c r="B176" s="48" t="s">
        <v>160</v>
      </c>
      <c r="C176" s="53"/>
      <c r="D176" s="56">
        <v>43605.0</v>
      </c>
      <c r="E176" s="48" t="s">
        <v>117</v>
      </c>
      <c r="F176" s="48" t="s">
        <v>117</v>
      </c>
      <c r="G176" s="48" t="s">
        <v>251</v>
      </c>
      <c r="H176" s="51" t="s">
        <v>314</v>
      </c>
      <c r="I176" s="51" t="s">
        <v>139</v>
      </c>
      <c r="J176" s="56">
        <v>43712.0</v>
      </c>
      <c r="K176" s="56"/>
      <c r="L176" s="55" t="str">
        <f>IFERROR(__xludf.DUMMYFUNCTION("QUERY('Volunteer Survey'!B183)"),"Catherine Driscoll")</f>
        <v>Catherine Driscoll</v>
      </c>
      <c r="M176" s="55" t="str">
        <f>IFERROR(__xludf.DUMMYFUNCTION("QUERY('Volunteer Survey'!E183)"),"kate.driscoll@nih.gov")</f>
        <v>kate.driscoll@nih.gov</v>
      </c>
      <c r="N176" s="55" t="str">
        <f>IFERROR(__xludf.DUMMYFUNCTION("QUERY('Volunteer Survey'!F183)"),"Clinical laboratory geneticist")</f>
        <v>Clinical laboratory geneticist</v>
      </c>
      <c r="O176" s="48" t="str">
        <f>IFERROR(__xludf.DUMMYFUNCTION("QUERY('Volunteer Survey'!H183)"),"Comprehensive")</f>
        <v>Comprehensive</v>
      </c>
      <c r="P176" s="55" t="str">
        <f>IFERROR(__xludf.DUMMYFUNCTION("QUERY('Volunteer Survey'!I183)"),"Variant Pathogenicity")</f>
        <v>Variant Pathogenicity</v>
      </c>
      <c r="Q176" s="60" t="str">
        <f>IFERROR(__xludf.DUMMYFUNCTION("QUERY('Volunteer Survey'!J183)"),"")</f>
        <v/>
      </c>
      <c r="R176" s="55" t="str">
        <f>IFERROR(__xludf.DUMMYFUNCTION("QUERY('Volunteer Survey'!K183)"),"")</f>
        <v/>
      </c>
      <c r="S176" s="55" t="str">
        <f>IFERROR(__xludf.DUMMYFUNCTION("QUERY('Volunteer Survey'!L183)"),"")</f>
        <v/>
      </c>
      <c r="T176" s="55" t="str">
        <f>IFERROR(__xludf.DUMMYFUNCTION("QUERY('Volunteer Survey'!M183)"),"")</f>
        <v/>
      </c>
      <c r="U176" s="64" t="str">
        <f>IFERROR(__xludf.DUMMYFUNCTION("QUERY('Volunteer Survey'!N183)"),"Yes, my main task at work is annotation of variants in Dr. Biesecker's lab")</f>
        <v>Yes, my main task at work is annotation of variants in Dr. Biesecker's lab</v>
      </c>
      <c r="V176" s="55" t="str">
        <f>IFERROR(__xludf.DUMMYFUNCTION("QUERY('Volunteer Survey'!O183)"),"No")</f>
        <v>No</v>
      </c>
      <c r="W176" s="66" t="str">
        <f>IFERROR(__xludf.DUMMYFUNCTION("QUERY('Volunteer Survey'!P183)"),"Yes, RYR1 MHS")</f>
        <v>Yes, RYR1 MHS</v>
      </c>
      <c r="X176" s="64" t="str">
        <f>IFERROR(__xludf.DUMMYFUNCTION("QUERY('Volunteer Survey'!R183)"),"No - I am only interested in the group(s) I previously indicated")</f>
        <v>No - I am only interested in the group(s) I previously indicated</v>
      </c>
      <c r="Y176" s="51" t="s">
        <v>353</v>
      </c>
      <c r="Z176" s="68"/>
      <c r="AA176" s="55"/>
      <c r="AB176" s="55"/>
      <c r="AC176" s="55"/>
      <c r="AD176" s="55"/>
      <c r="AE176" s="55"/>
      <c r="AF176" s="55"/>
      <c r="AG176" s="55"/>
      <c r="AH176" s="55"/>
      <c r="AI176" s="55"/>
      <c r="AJ176" s="55"/>
      <c r="AK176" s="55"/>
      <c r="AL176" s="55"/>
      <c r="AM176" s="55"/>
      <c r="AN176" s="55"/>
      <c r="AO176" s="55"/>
    </row>
    <row r="177">
      <c r="A177" s="50">
        <f>IFERROR(__xludf.DUMMYFUNCTION("QUERY('Volunteer Survey'!A184)"),43584.797477719905)</f>
        <v>43584.79748</v>
      </c>
      <c r="B177" s="48" t="s">
        <v>108</v>
      </c>
      <c r="C177" s="53"/>
      <c r="D177" s="55"/>
      <c r="E177" s="48"/>
      <c r="F177" s="48" t="s">
        <v>130</v>
      </c>
      <c r="G177" s="48" t="s">
        <v>202</v>
      </c>
      <c r="H177" s="53"/>
      <c r="I177" s="51" t="s">
        <v>139</v>
      </c>
      <c r="J177" s="55"/>
      <c r="K177" s="55"/>
      <c r="L177" s="55" t="str">
        <f>IFERROR(__xludf.DUMMYFUNCTION("QUERY('Volunteer Survey'!B184)"),"Sara King")</f>
        <v>Sara King</v>
      </c>
      <c r="M177" s="55" t="str">
        <f>IFERROR(__xludf.DUMMYFUNCTION("QUERY('Volunteer Survey'!E184)"),"sking127@student.umuc.edu")</f>
        <v>sking127@student.umuc.edu</v>
      </c>
      <c r="N177" s="55" t="str">
        <f>IFERROR(__xludf.DUMMYFUNCTION("QUERY('Volunteer Survey'!F184)"),"Graduate Student")</f>
        <v>Graduate Student</v>
      </c>
      <c r="O177" s="48" t="str">
        <f>IFERROR(__xludf.DUMMYFUNCTION("QUERY('Volunteer Survey'!H184)"),"Baseline")</f>
        <v>Baseline</v>
      </c>
      <c r="P177" s="55" t="str">
        <f>IFERROR(__xludf.DUMMYFUNCTION("QUERY('Volunteer Survey'!I184)"),"")</f>
        <v/>
      </c>
      <c r="Q177" s="60" t="str">
        <f>IFERROR(__xludf.DUMMYFUNCTION("QUERY('Volunteer Survey'!J184)"),"")</f>
        <v/>
      </c>
      <c r="R177" s="55" t="str">
        <f>IFERROR(__xludf.DUMMYFUNCTION("QUERY('Volunteer Survey'!K184)"),"")</f>
        <v/>
      </c>
      <c r="S177" s="55" t="str">
        <f>IFERROR(__xludf.DUMMYFUNCTION("QUERY('Volunteer Survey'!L184)"),"")</f>
        <v/>
      </c>
      <c r="T177" s="55" t="str">
        <f>IFERROR(__xludf.DUMMYFUNCTION("QUERY('Volunteer Survey'!M184)"),"")</f>
        <v/>
      </c>
      <c r="U177" s="64" t="str">
        <f>IFERROR(__xludf.DUMMYFUNCTION("QUERY('Volunteer Survey'!N184)"),"")</f>
        <v/>
      </c>
      <c r="V177" s="55" t="str">
        <f>IFERROR(__xludf.DUMMYFUNCTION("QUERY('Volunteer Survey'!O184)"),"Possibly")</f>
        <v>Possibly</v>
      </c>
      <c r="W177" s="66" t="str">
        <f>IFERROR(__xludf.DUMMYFUNCTION("QUERY('Volunteer Survey'!P184)"),"")</f>
        <v/>
      </c>
      <c r="X177" s="64" t="str">
        <f>IFERROR(__xludf.DUMMYFUNCTION("QUERY('Volunteer Survey'!R184)"),"")</f>
        <v/>
      </c>
      <c r="Y177" s="51"/>
      <c r="Z177" s="68"/>
      <c r="AA177" s="55"/>
      <c r="AB177" s="55"/>
      <c r="AC177" s="55"/>
      <c r="AD177" s="55"/>
      <c r="AE177" s="55"/>
      <c r="AF177" s="55"/>
      <c r="AG177" s="55"/>
      <c r="AH177" s="55"/>
      <c r="AI177" s="55"/>
      <c r="AJ177" s="55"/>
      <c r="AK177" s="55"/>
      <c r="AL177" s="55"/>
      <c r="AM177" s="55"/>
      <c r="AN177" s="55"/>
      <c r="AO177" s="55"/>
    </row>
    <row r="178">
      <c r="A178" s="50">
        <f>IFERROR(__xludf.DUMMYFUNCTION("QUERY('Volunteer Survey'!A185)"),43585.63376069444)</f>
        <v>43585.63376</v>
      </c>
      <c r="B178" s="48" t="s">
        <v>108</v>
      </c>
      <c r="C178" s="79">
        <v>43689.0</v>
      </c>
      <c r="D178" s="56">
        <v>43768.0</v>
      </c>
      <c r="E178" s="48" t="s">
        <v>117</v>
      </c>
      <c r="F178" s="48" t="s">
        <v>117</v>
      </c>
      <c r="G178" s="48" t="s">
        <v>19</v>
      </c>
      <c r="H178" s="69" t="s">
        <v>19</v>
      </c>
      <c r="I178" s="69" t="s">
        <v>139</v>
      </c>
      <c r="J178" s="55"/>
      <c r="K178" s="55"/>
      <c r="L178" s="55" t="str">
        <f>IFERROR(__xludf.DUMMYFUNCTION("QUERY('Volunteer Survey'!B185)"),"Gifty Bhat")</f>
        <v>Gifty Bhat</v>
      </c>
      <c r="M178" s="55" t="str">
        <f>IFERROR(__xludf.DUMMYFUNCTION("QUERY('Volunteer Survey'!E185)"),"drgiftybhat@gmail.com")</f>
        <v>drgiftybhat@gmail.com</v>
      </c>
      <c r="N178" s="55" t="str">
        <f>IFERROR(__xludf.DUMMYFUNCTION("QUERY('Volunteer Survey'!F185)"),"Clinical Medical Geneticist")</f>
        <v>Clinical Medical Geneticist</v>
      </c>
      <c r="O178" s="48" t="str">
        <f>IFERROR(__xludf.DUMMYFUNCTION("QUERY('Volunteer Survey'!H185)"),"Comprehensive")</f>
        <v>Comprehensive</v>
      </c>
      <c r="P178" s="55" t="str">
        <f>IFERROR(__xludf.DUMMYFUNCTION("QUERY('Volunteer Survey'!I185)"),"Clinical Actionability")</f>
        <v>Clinical Actionability</v>
      </c>
      <c r="Q178" s="60" t="str">
        <f>IFERROR(__xludf.DUMMYFUNCTION("QUERY('Volunteer Survey'!J185)"),"Gene-Disease Validity")</f>
        <v>Gene-Disease Validity</v>
      </c>
      <c r="R178" s="55" t="str">
        <f>IFERROR(__xludf.DUMMYFUNCTION("QUERY('Volunteer Survey'!K185)"),"Variant Pathogenicity")</f>
        <v>Variant Pathogenicity</v>
      </c>
      <c r="S178" s="55" t="str">
        <f>IFERROR(__xludf.DUMMYFUNCTION("QUERY('Volunteer Survey'!L185)"),"Dosage Sensitivity")</f>
        <v>Dosage Sensitivity</v>
      </c>
      <c r="T178" s="55" t="str">
        <f>IFERROR(__xludf.DUMMYFUNCTION("QUERY('Volunteer Survey'!M185)"),"Somatic Cancer")</f>
        <v>Somatic Cancer</v>
      </c>
      <c r="U178" s="64" t="str">
        <f>IFERROR(__xludf.DUMMYFUNCTION("QUERY('Volunteer Survey'!N185)"),"")</f>
        <v/>
      </c>
      <c r="V178" s="55" t="str">
        <f>IFERROR(__xludf.DUMMYFUNCTION("QUERY('Volunteer Survey'!O185)"),"Yes")</f>
        <v>Yes</v>
      </c>
      <c r="W178" s="66" t="str">
        <f>IFERROR(__xludf.DUMMYFUNCTION("QUERY('Volunteer Survey'!P185)"),"Intellectual disability and autism")</f>
        <v>Intellectual disability and autism</v>
      </c>
      <c r="X178" s="64" t="str">
        <f>IFERROR(__xludf.DUMMYFUNCTION("QUERY('Volunteer Survey'!R185)"),"Yes- I am willing to volunteer with any available ClinGen group")</f>
        <v>Yes- I am willing to volunteer with any available ClinGen group</v>
      </c>
      <c r="Y178" s="51"/>
      <c r="Z178" s="55"/>
      <c r="AA178" s="55"/>
      <c r="AB178" s="55"/>
      <c r="AC178" s="55"/>
      <c r="AD178" s="55"/>
      <c r="AE178" s="55"/>
      <c r="AF178" s="55"/>
      <c r="AG178" s="55"/>
      <c r="AH178" s="55"/>
      <c r="AI178" s="55"/>
      <c r="AJ178" s="55"/>
      <c r="AK178" s="55"/>
      <c r="AL178" s="55"/>
      <c r="AM178" s="55"/>
      <c r="AN178" s="55"/>
      <c r="AO178" s="55"/>
    </row>
    <row r="179" ht="17.25" customHeight="1">
      <c r="A179" s="50">
        <f>IFERROR(__xludf.DUMMYFUNCTION("QUERY('Volunteer Survey'!A186)"),43586.59645730324)</f>
        <v>43586.59646</v>
      </c>
      <c r="B179" s="48" t="s">
        <v>160</v>
      </c>
      <c r="C179" s="53"/>
      <c r="D179" s="56">
        <v>43608.0</v>
      </c>
      <c r="E179" s="48" t="s">
        <v>117</v>
      </c>
      <c r="F179" s="48" t="s">
        <v>117</v>
      </c>
      <c r="G179" s="48" t="s">
        <v>251</v>
      </c>
      <c r="H179" s="51" t="s">
        <v>302</v>
      </c>
      <c r="I179" s="69" t="s">
        <v>139</v>
      </c>
      <c r="J179" s="56">
        <v>43712.0</v>
      </c>
      <c r="K179" s="56"/>
      <c r="L179" s="55" t="str">
        <f>IFERROR(__xludf.DUMMYFUNCTION("QUERY('Volunteer Survey'!B186)"),"Ashley Marsh")</f>
        <v>Ashley Marsh</v>
      </c>
      <c r="M179" s="55" t="str">
        <f>IFERROR(__xludf.DUMMYFUNCTION("QUERY('Volunteer Survey'!E186)"),"amarsh@ucsd.edu")</f>
        <v>amarsh@ucsd.edu</v>
      </c>
      <c r="N179" s="55" t="str">
        <f>IFERROR(__xludf.DUMMYFUNCTION("QUERY('Volunteer Survey'!F186)"),"Post Doc/Resident/Fellow (MD and/or PhD)")</f>
        <v>Post Doc/Resident/Fellow (MD and/or PhD)</v>
      </c>
      <c r="O179" s="48" t="str">
        <f>IFERROR(__xludf.DUMMYFUNCTION("QUERY('Volunteer Survey'!H186)"),"Comprehensive")</f>
        <v>Comprehensive</v>
      </c>
      <c r="P179" s="55" t="str">
        <f>IFERROR(__xludf.DUMMYFUNCTION("QUERY('Volunteer Survey'!I186)"),"Variant Pathogenicity")</f>
        <v>Variant Pathogenicity</v>
      </c>
      <c r="Q179" s="60" t="str">
        <f>IFERROR(__xludf.DUMMYFUNCTION("QUERY('Volunteer Survey'!J186)"),"Gene-Disease Validity")</f>
        <v>Gene-Disease Validity</v>
      </c>
      <c r="R179" s="55" t="str">
        <f>IFERROR(__xludf.DUMMYFUNCTION("QUERY('Volunteer Survey'!K186)"),"")</f>
        <v/>
      </c>
      <c r="S179" s="55" t="str">
        <f>IFERROR(__xludf.DUMMYFUNCTION("QUERY('Volunteer Survey'!L186)"),"")</f>
        <v/>
      </c>
      <c r="T179" s="55" t="str">
        <f>IFERROR(__xludf.DUMMYFUNCTION("QUERY('Volunteer Survey'!M186)"),"")</f>
        <v/>
      </c>
      <c r="U179" s="64" t="str">
        <f>IFERROR(__xludf.DUMMYFUNCTION("QUERY('Volunteer Survey'!N186)"),"Variant Pathogenicity – I gained extensive sequence variant interpretation experience through my undergraduate and graduate research projects. I assessed the pathogenicity of variants associated with inherited cardiomyopathies during my undergraduate degr"&amp;"ee and undertook similar assessments during my graduate studies, focused on neurodevelopment and novel disease gene discovery. I published a Nature Genetics paper in 2017 describing the first genetic cause of isolated agenesis of the corpus callosum. I su"&amp;"bsequently created and maintain a LOVD for the disease gene (DCC), where I use ACMG and other criteria (in silico, conversation, population databases, etc.) to assess the pathogenicity of reported variants.
Gene-Disease Validity – My PhD dissertation foc"&amp;"used on novel disease gene discovery. Throughout my candidature, I utilized modern genomic technologies (including exome and targeted resequencing) to identify and characterize novel disease genes associated with neurodevelopmental disorders such as agene"&amp;"sis of the corpus callosum and focal cortical dysplasia.")</f>
        <v>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v>
      </c>
      <c r="V179" s="55" t="str">
        <f>IFERROR(__xludf.DUMMYFUNCTION("QUERY('Volunteer Survey'!O186)"),"Possibly")</f>
        <v>Possibly</v>
      </c>
      <c r="W179" s="66" t="str">
        <f>IFERROR(__xludf.DUMMYFUNCTION("QUERY('Volunteer Survey'!P186)"),"•	Brain Malformations Variant Curation Expert Panel
•	Brain Malformations Gene Curation Expert Panel")</f>
        <v>•	Brain Malformations Variant Curation Expert Panel
•	Brain Malformations Gene Curation Expert Panel</v>
      </c>
      <c r="X179" s="64" t="str">
        <f>IFERROR(__xludf.DUMMYFUNCTION("QUERY('Volunteer Survey'!R186)"),"Maybe -- please contact me with other options, and I will decide based on what is available")</f>
        <v>Maybe -- please contact me with other options, and I will decide based on what is available</v>
      </c>
      <c r="Y179" s="51"/>
      <c r="Z179" s="55"/>
      <c r="AA179" s="55"/>
      <c r="AB179" s="55"/>
      <c r="AC179" s="55"/>
      <c r="AD179" s="55"/>
      <c r="AE179" s="55"/>
      <c r="AF179" s="55"/>
      <c r="AG179" s="55"/>
      <c r="AH179" s="55"/>
      <c r="AI179" s="55"/>
      <c r="AJ179" s="55"/>
      <c r="AK179" s="55"/>
      <c r="AL179" s="55"/>
      <c r="AM179" s="55"/>
      <c r="AN179" s="55"/>
      <c r="AO179" s="55"/>
    </row>
    <row r="180">
      <c r="A180" s="50">
        <f>IFERROR(__xludf.DUMMYFUNCTION("QUERY('Volunteer Survey'!A187)"),43587.167243738426)</f>
        <v>43587.16724</v>
      </c>
      <c r="B180" s="48" t="s">
        <v>108</v>
      </c>
      <c r="C180" s="53"/>
      <c r="D180" s="65">
        <v>43585.0</v>
      </c>
      <c r="E180" s="48" t="s">
        <v>117</v>
      </c>
      <c r="F180" s="48" t="s">
        <v>117</v>
      </c>
      <c r="G180" s="48" t="s">
        <v>122</v>
      </c>
      <c r="H180" s="51" t="s">
        <v>311</v>
      </c>
      <c r="I180" s="69" t="s">
        <v>139</v>
      </c>
      <c r="J180" s="55"/>
      <c r="K180" s="55"/>
      <c r="L180" s="55" t="str">
        <f>IFERROR(__xludf.DUMMYFUNCTION("QUERY('Volunteer Survey'!B187)"),"Kevin Colclough")</f>
        <v>Kevin Colclough</v>
      </c>
      <c r="M180" s="55" t="str">
        <f>IFERROR(__xludf.DUMMYFUNCTION("QUERY('Volunteer Survey'!E187)"),"kevin.colclough@nhs.net")</f>
        <v>kevin.colclough@nhs.net</v>
      </c>
      <c r="N180" s="55" t="str">
        <f>IFERROR(__xludf.DUMMYFUNCTION("QUERY('Volunteer Survey'!F187)"),"Clinical laboratory geneticist")</f>
        <v>Clinical laboratory geneticist</v>
      </c>
      <c r="O180" s="48" t="str">
        <f>IFERROR(__xludf.DUMMYFUNCTION("QUERY('Volunteer Survey'!H187)"),"Comprehensive")</f>
        <v>Comprehensive</v>
      </c>
      <c r="P180" s="55" t="str">
        <f>IFERROR(__xludf.DUMMYFUNCTION("QUERY('Volunteer Survey'!I187)"),"Variant Pathogenicity")</f>
        <v>Variant Pathogenicity</v>
      </c>
      <c r="Q180" s="60" t="str">
        <f>IFERROR(__xludf.DUMMYFUNCTION("QUERY('Volunteer Survey'!J187)"),"Gene-Disease Validity")</f>
        <v>Gene-Disease Validity</v>
      </c>
      <c r="R180" s="55" t="str">
        <f>IFERROR(__xludf.DUMMYFUNCTION("QUERY('Volunteer Survey'!K187)"),"Clinical Actionability")</f>
        <v>Clinical Actionability</v>
      </c>
      <c r="S180" s="55" t="str">
        <f>IFERROR(__xludf.DUMMYFUNCTION("QUERY('Volunteer Survey'!L187)"),"Dosage Sensitivity")</f>
        <v>Dosage Sensitivity</v>
      </c>
      <c r="T180" s="55" t="str">
        <f>IFERROR(__xludf.DUMMYFUNCTION("QUERY('Volunteer Survey'!M187)"),"Somatic Cancer")</f>
        <v>Somatic Cancer</v>
      </c>
      <c r="U180" s="64" t="str">
        <f>IFERROR(__xludf.DUMMYFUNCTION("QUERY('Volunteer Survey'!N187)"),"I routinely perform variant pathogenicity classification and gene-disease validity as part of my routine diagnostic laboratory work.")</f>
        <v>I routinely perform variant pathogenicity classification and gene-disease validity as part of my routine diagnostic laboratory work.</v>
      </c>
      <c r="V180" s="55" t="str">
        <f>IFERROR(__xludf.DUMMYFUNCTION("QUERY('Volunteer Survey'!O187)"),"Yes")</f>
        <v>Yes</v>
      </c>
      <c r="W180" s="66" t="str">
        <f>IFERROR(__xludf.DUMMYFUNCTION("QUERY('Volunteer Survey'!P187)"),"I am a member of the variant curation and gene curation expert panels for monogenic diabetes.")</f>
        <v>I am a member of the variant curation and gene curation expert panels for monogenic diabetes.</v>
      </c>
      <c r="X180" s="64" t="str">
        <f>IFERROR(__xludf.DUMMYFUNCTION("QUERY('Volunteer Survey'!R187)"),"No - I am only interested in the group(s) I previously indicated")</f>
        <v>No - I am only interested in the group(s) I previously indicated</v>
      </c>
      <c r="Y180" s="51"/>
      <c r="Z180" s="55"/>
      <c r="AA180" s="55"/>
      <c r="AB180" s="55"/>
      <c r="AC180" s="55"/>
      <c r="AD180" s="55"/>
      <c r="AE180" s="55"/>
      <c r="AF180" s="55"/>
      <c r="AG180" s="55"/>
      <c r="AH180" s="55"/>
      <c r="AI180" s="55"/>
      <c r="AJ180" s="55"/>
      <c r="AK180" s="55"/>
      <c r="AL180" s="55"/>
      <c r="AM180" s="55"/>
      <c r="AN180" s="55"/>
      <c r="AO180" s="55"/>
    </row>
    <row r="181">
      <c r="A181" s="50">
        <f>IFERROR(__xludf.DUMMYFUNCTION("QUERY('Volunteer Survey'!A188)"),43588.538737627314)</f>
        <v>43588.53874</v>
      </c>
      <c r="B181" s="48" t="s">
        <v>108</v>
      </c>
      <c r="C181" s="79">
        <v>43705.0</v>
      </c>
      <c r="D181" s="55"/>
      <c r="E181" s="48"/>
      <c r="F181" s="48" t="s">
        <v>130</v>
      </c>
      <c r="G181" s="48" t="s">
        <v>136</v>
      </c>
      <c r="H181" s="53"/>
      <c r="I181" s="69" t="s">
        <v>139</v>
      </c>
      <c r="J181" s="55"/>
      <c r="K181" s="55"/>
      <c r="L181" s="55" t="str">
        <f>IFERROR(__xludf.DUMMYFUNCTION("QUERY('Volunteer Survey'!B188)"),"Erin Sybouts")</f>
        <v>Erin Sybouts</v>
      </c>
      <c r="M181" s="55" t="str">
        <f>IFERROR(__xludf.DUMMYFUNCTION("QUERY('Volunteer Survey'!E188)"),"sybouts@livemail.uthscsa.edu")</f>
        <v>sybouts@livemail.uthscsa.edu</v>
      </c>
      <c r="N181" s="55" t="str">
        <f>IFERROR(__xludf.DUMMYFUNCTION("QUERY('Volunteer Survey'!F188)"),"Graduate Student")</f>
        <v>Graduate Student</v>
      </c>
      <c r="O181" s="48" t="str">
        <f>IFERROR(__xludf.DUMMYFUNCTION("QUERY('Volunteer Survey'!H188)"),"Comprehensive")</f>
        <v>Comprehensive</v>
      </c>
      <c r="P181" s="55" t="str">
        <f>IFERROR(__xludf.DUMMYFUNCTION("QUERY('Volunteer Survey'!I188)"),"Somatic Cancer")</f>
        <v>Somatic Cancer</v>
      </c>
      <c r="Q181" s="60" t="str">
        <f>IFERROR(__xludf.DUMMYFUNCTION("QUERY('Volunteer Survey'!J188)"),"Dosage Sensitivity")</f>
        <v>Dosage Sensitivity</v>
      </c>
      <c r="R181" s="55" t="str">
        <f>IFERROR(__xludf.DUMMYFUNCTION("QUERY('Volunteer Survey'!K188)"),"Gene-Disease Validity")</f>
        <v>Gene-Disease Validity</v>
      </c>
      <c r="S181" s="55" t="str">
        <f>IFERROR(__xludf.DUMMYFUNCTION("QUERY('Volunteer Survey'!L188)"),"Variant Pathogenicity")</f>
        <v>Variant Pathogenicity</v>
      </c>
      <c r="T181" s="55" t="str">
        <f>IFERROR(__xludf.DUMMYFUNCTION("QUERY('Volunteer Survey'!M188)"),"Clinical Actionability")</f>
        <v>Clinical Actionability</v>
      </c>
      <c r="U181" s="64" t="str">
        <f>IFERROR(__xludf.DUMMYFUNCTION("QUERY('Volunteer Survey'!N188)"),"")</f>
        <v/>
      </c>
      <c r="V181" s="55" t="str">
        <f>IFERROR(__xludf.DUMMYFUNCTION("QUERY('Volunteer Survey'!O188)"),"Yes")</f>
        <v>Yes</v>
      </c>
      <c r="W181" s="66" t="str">
        <f>IFERROR(__xludf.DUMMYFUNCTION("QUERY('Volunteer Survey'!P188)"),"TP53")</f>
        <v>TP53</v>
      </c>
      <c r="X181" s="64" t="str">
        <f>IFERROR(__xludf.DUMMYFUNCTION("QUERY('Volunteer Survey'!R188)"),"Yes- I am willing to volunteer with any available ClinGen group")</f>
        <v>Yes- I am willing to volunteer with any available ClinGen group</v>
      </c>
      <c r="Y181" s="51"/>
      <c r="Z181" s="55"/>
      <c r="AA181" s="55"/>
      <c r="AB181" s="55"/>
      <c r="AC181" s="55"/>
      <c r="AD181" s="55"/>
      <c r="AE181" s="55"/>
      <c r="AF181" s="55"/>
      <c r="AG181" s="55"/>
      <c r="AH181" s="55"/>
      <c r="AI181" s="55"/>
      <c r="AJ181" s="55"/>
      <c r="AK181" s="55"/>
      <c r="AL181" s="55"/>
      <c r="AM181" s="55"/>
      <c r="AN181" s="55"/>
      <c r="AO181" s="55"/>
    </row>
    <row r="182">
      <c r="A182" s="50">
        <f>IFERROR(__xludf.DUMMYFUNCTION("QUERY('Volunteer Survey'!A189)"),43591.44244180556)</f>
        <v>43591.44244</v>
      </c>
      <c r="B182" s="48" t="s">
        <v>108</v>
      </c>
      <c r="C182" s="53"/>
      <c r="D182" s="55"/>
      <c r="E182" s="48"/>
      <c r="F182" s="48" t="s">
        <v>130</v>
      </c>
      <c r="G182" s="48" t="s">
        <v>202</v>
      </c>
      <c r="H182" s="53"/>
      <c r="I182" s="69" t="s">
        <v>139</v>
      </c>
      <c r="J182" s="55"/>
      <c r="K182" s="55"/>
      <c r="L182" s="55" t="str">
        <f>IFERROR(__xludf.DUMMYFUNCTION("QUERY('Volunteer Survey'!B189)"),"Jimena Murguia")</f>
        <v>Jimena Murguia</v>
      </c>
      <c r="M182" s="55" t="str">
        <f>IFERROR(__xludf.DUMMYFUNCTION("QUERY('Volunteer Survey'!E189)"),"jimena887@yahoo.es")</f>
        <v>jimena887@yahoo.es</v>
      </c>
      <c r="N182" s="55" t="str">
        <f>IFERROR(__xludf.DUMMYFUNCTION("QUERY('Volunteer Survey'!F189)"),"Clinical laboratory geneticist")</f>
        <v>Clinical laboratory geneticist</v>
      </c>
      <c r="O182" s="48" t="str">
        <f>IFERROR(__xludf.DUMMYFUNCTION("QUERY('Volunteer Survey'!H189)"),"Baseline")</f>
        <v>Baseline</v>
      </c>
      <c r="P182" s="55" t="str">
        <f>IFERROR(__xludf.DUMMYFUNCTION("QUERY('Volunteer Survey'!I189)"),"Variant Pathogenicity")</f>
        <v>Variant Pathogenicity</v>
      </c>
      <c r="Q182" s="60" t="str">
        <f>IFERROR(__xludf.DUMMYFUNCTION("QUERY('Volunteer Survey'!J189)"),"Clinical Actionability")</f>
        <v>Clinical Actionability</v>
      </c>
      <c r="R182" s="55" t="str">
        <f>IFERROR(__xludf.DUMMYFUNCTION("QUERY('Volunteer Survey'!K189)"),"Gene-Disease Validity")</f>
        <v>Gene-Disease Validity</v>
      </c>
      <c r="S182" s="55" t="str">
        <f>IFERROR(__xludf.DUMMYFUNCTION("QUERY('Volunteer Survey'!L189)"),"Dosage Sensitivity")</f>
        <v>Dosage Sensitivity</v>
      </c>
      <c r="T182" s="55" t="str">
        <f>IFERROR(__xludf.DUMMYFUNCTION("QUERY('Volunteer Survey'!M189)"),"Somatic Cancer")</f>
        <v>Somatic Cancer</v>
      </c>
      <c r="U182" s="64" t="str">
        <f>IFERROR(__xludf.DUMMYFUNCTION("QUERY('Volunteer Survey'!N189)"),"")</f>
        <v/>
      </c>
      <c r="V182" s="55" t="str">
        <f>IFERROR(__xludf.DUMMYFUNCTION("QUERY('Volunteer Survey'!O189)"),"Possibly")</f>
        <v>Possibly</v>
      </c>
      <c r="W182" s="66" t="str">
        <f>IFERROR(__xludf.DUMMYFUNCTION("QUERY('Volunteer Survey'!P189)"),"")</f>
        <v/>
      </c>
      <c r="X182" s="64" t="str">
        <f>IFERROR(__xludf.DUMMYFUNCTION("QUERY('Volunteer Survey'!R189)"),"Yes- I am willing to volunteer with any available ClinGen group")</f>
        <v>Yes- I am willing to volunteer with any available ClinGen group</v>
      </c>
      <c r="Y182" s="51"/>
      <c r="Z182" s="55"/>
      <c r="AA182" s="55"/>
      <c r="AB182" s="55"/>
      <c r="AC182" s="55"/>
      <c r="AD182" s="55"/>
      <c r="AE182" s="55"/>
      <c r="AF182" s="55"/>
      <c r="AG182" s="55"/>
      <c r="AH182" s="55"/>
      <c r="AI182" s="55"/>
      <c r="AJ182" s="55"/>
      <c r="AK182" s="55"/>
      <c r="AL182" s="55"/>
      <c r="AM182" s="55"/>
      <c r="AN182" s="55"/>
      <c r="AO182" s="55"/>
    </row>
    <row r="183">
      <c r="A183" s="50">
        <f>IFERROR(__xludf.DUMMYFUNCTION("QUERY('Volunteer Survey'!A190)"),43591.690803784724)</f>
        <v>43591.6908</v>
      </c>
      <c r="B183" s="48" t="s">
        <v>108</v>
      </c>
      <c r="C183" s="53"/>
      <c r="D183" s="55"/>
      <c r="E183" s="48"/>
      <c r="F183" s="48" t="s">
        <v>130</v>
      </c>
      <c r="G183" s="48" t="s">
        <v>202</v>
      </c>
      <c r="H183" s="53"/>
      <c r="I183" s="69" t="s">
        <v>139</v>
      </c>
      <c r="J183" s="55"/>
      <c r="K183" s="55"/>
      <c r="L183" s="55" t="str">
        <f>IFERROR(__xludf.DUMMYFUNCTION("QUERY('Volunteer Survey'!B190)"),"Robert Lewis")</f>
        <v>Robert Lewis</v>
      </c>
      <c r="M183" s="55" t="str">
        <f>IFERROR(__xludf.DUMMYFUNCTION("QUERY('Volunteer Survey'!E190)"),"rglewis@uci.edu")</f>
        <v>rglewis@uci.edu</v>
      </c>
      <c r="N183" s="55" t="str">
        <f>IFERROR(__xludf.DUMMYFUNCTION("QUERY('Volunteer Survey'!F190)"),"Graduate Student")</f>
        <v>Graduate Student</v>
      </c>
      <c r="O183" s="48" t="str">
        <f>IFERROR(__xludf.DUMMYFUNCTION("QUERY('Volunteer Survey'!H190)"),"Baseline")</f>
        <v>Baseline</v>
      </c>
      <c r="P183" s="55" t="str">
        <f>IFERROR(__xludf.DUMMYFUNCTION("QUERY('Volunteer Survey'!I190)"),"Gene-Disease Validity")</f>
        <v>Gene-Disease Validity</v>
      </c>
      <c r="Q183" s="60" t="str">
        <f>IFERROR(__xludf.DUMMYFUNCTION("QUERY('Volunteer Survey'!J190)"),"Variant Pathogenicity")</f>
        <v>Variant Pathogenicity</v>
      </c>
      <c r="R183" s="55" t="str">
        <f>IFERROR(__xludf.DUMMYFUNCTION("QUERY('Volunteer Survey'!K190)"),"Clinical Actionability")</f>
        <v>Clinical Actionability</v>
      </c>
      <c r="S183" s="55" t="str">
        <f>IFERROR(__xludf.DUMMYFUNCTION("QUERY('Volunteer Survey'!L190)"),"Dosage Sensitivity")</f>
        <v>Dosage Sensitivity</v>
      </c>
      <c r="T183" s="55" t="str">
        <f>IFERROR(__xludf.DUMMYFUNCTION("QUERY('Volunteer Survey'!M190)"),"Somatic Cancer")</f>
        <v>Somatic Cancer</v>
      </c>
      <c r="U183" s="64" t="str">
        <f>IFERROR(__xludf.DUMMYFUNCTION("QUERY('Volunteer Survey'!N190)"),"")</f>
        <v/>
      </c>
      <c r="V183" s="55" t="str">
        <f>IFERROR(__xludf.DUMMYFUNCTION("QUERY('Volunteer Survey'!O190)"),"Possibly")</f>
        <v>Possibly</v>
      </c>
      <c r="W183" s="66" t="str">
        <f>IFERROR(__xludf.DUMMYFUNCTION("QUERY('Volunteer Survey'!P190)"),"Neurodevelopmental")</f>
        <v>Neurodevelopmental</v>
      </c>
      <c r="X183" s="64" t="str">
        <f>IFERROR(__xludf.DUMMYFUNCTION("QUERY('Volunteer Survey'!R190)"),"Maybe -- please contact me with other options, and I will decide based on what is available")</f>
        <v>Maybe -- please contact me with other options, and I will decide based on what is available</v>
      </c>
      <c r="Y183" s="53"/>
      <c r="Z183" s="55"/>
      <c r="AA183" s="55"/>
      <c r="AB183" s="55"/>
      <c r="AC183" s="55"/>
      <c r="AD183" s="55"/>
      <c r="AE183" s="55"/>
      <c r="AF183" s="55"/>
      <c r="AG183" s="55"/>
      <c r="AH183" s="55"/>
      <c r="AI183" s="55"/>
      <c r="AJ183" s="55"/>
      <c r="AK183" s="55"/>
      <c r="AL183" s="55"/>
      <c r="AM183" s="55"/>
      <c r="AN183" s="55"/>
      <c r="AO183" s="55"/>
    </row>
    <row r="184">
      <c r="A184" s="50">
        <f>IFERROR(__xludf.DUMMYFUNCTION("QUERY('Volunteer Survey'!A191)"),43592.73996135417)</f>
        <v>43592.73996</v>
      </c>
      <c r="B184" s="48" t="s">
        <v>108</v>
      </c>
      <c r="C184" s="53"/>
      <c r="D184" s="65">
        <v>43692.0</v>
      </c>
      <c r="E184" s="48" t="s">
        <v>117</v>
      </c>
      <c r="F184" s="48" t="s">
        <v>117</v>
      </c>
      <c r="G184" s="48" t="s">
        <v>122</v>
      </c>
      <c r="H184" s="53"/>
      <c r="I184" s="69" t="s">
        <v>139</v>
      </c>
      <c r="J184" s="55"/>
      <c r="K184" s="55"/>
      <c r="L184" s="55" t="str">
        <f>IFERROR(__xludf.DUMMYFUNCTION("QUERY('Volunteer Survey'!B191)"),"FEN GUO")</f>
        <v>FEN GUO</v>
      </c>
      <c r="M184" s="55" t="str">
        <f>IFERROR(__xludf.DUMMYFUNCTION("QUERY('Volunteer Survey'!E191)"),"fguo34@wisc.edu")</f>
        <v>fguo34@wisc.edu</v>
      </c>
      <c r="N184" s="55" t="str">
        <f>IFERROR(__xludf.DUMMYFUNCTION("QUERY('Volunteer Survey'!F191)"),"Post Doc/Resident/Fellow (MD and/or PhD)")</f>
        <v>Post Doc/Resident/Fellow (MD and/or PhD)</v>
      </c>
      <c r="O184" s="48" t="str">
        <f>IFERROR(__xludf.DUMMYFUNCTION("QUERY('Volunteer Survey'!H191)"),"Comprehensive")</f>
        <v>Comprehensive</v>
      </c>
      <c r="P184" s="55" t="str">
        <f>IFERROR(__xludf.DUMMYFUNCTION("QUERY('Volunteer Survey'!I191)"),"Gene-Disease Validity")</f>
        <v>Gene-Disease Validity</v>
      </c>
      <c r="Q184" s="60" t="str">
        <f>IFERROR(__xludf.DUMMYFUNCTION("QUERY('Volunteer Survey'!J191)"),"Variant Pathogenicity")</f>
        <v>Variant Pathogenicity</v>
      </c>
      <c r="R184" s="55" t="str">
        <f>IFERROR(__xludf.DUMMYFUNCTION("QUERY('Volunteer Survey'!K191)"),"Somatic Cancer")</f>
        <v>Somatic Cancer</v>
      </c>
      <c r="S184" s="55" t="str">
        <f>IFERROR(__xludf.DUMMYFUNCTION("QUERY('Volunteer Survey'!L191)"),"Clinical Actionability")</f>
        <v>Clinical Actionability</v>
      </c>
      <c r="T184" s="55" t="str">
        <f>IFERROR(__xludf.DUMMYFUNCTION("QUERY('Volunteer Survey'!M191)"),"Dosage Sensitivity")</f>
        <v>Dosage Sensitivity</v>
      </c>
      <c r="U184" s="64" t="str">
        <f>IFERROR(__xludf.DUMMYFUNCTION("QUERY('Volunteer Survey'!N191)"),"No")</f>
        <v>No</v>
      </c>
      <c r="V184" s="55" t="str">
        <f>IFERROR(__xludf.DUMMYFUNCTION("QUERY('Volunteer Survey'!O191)"),"Possibly")</f>
        <v>Possibly</v>
      </c>
      <c r="W184" s="66" t="str">
        <f>IFERROR(__xludf.DUMMYFUNCTION("QUERY('Volunteer Survey'!P191)"),"Gene Curation Expert Panels-Hereditary Cancer")</f>
        <v>Gene Curation Expert Panels-Hereditary Cancer</v>
      </c>
      <c r="X184" s="64" t="str">
        <f>IFERROR(__xludf.DUMMYFUNCTION("QUERY('Volunteer Survey'!R191)"),"Yes- I am willing to volunteer with any available ClinGen group")</f>
        <v>Yes- I am willing to volunteer with any available ClinGen group</v>
      </c>
      <c r="Y184" s="53"/>
      <c r="Z184" s="55"/>
      <c r="AA184" s="55"/>
      <c r="AB184" s="55"/>
      <c r="AC184" s="55"/>
      <c r="AD184" s="55"/>
      <c r="AE184" s="55"/>
      <c r="AF184" s="55"/>
      <c r="AG184" s="55"/>
      <c r="AH184" s="55"/>
      <c r="AI184" s="55"/>
      <c r="AJ184" s="55"/>
      <c r="AK184" s="55"/>
      <c r="AL184" s="55"/>
      <c r="AM184" s="55"/>
      <c r="AN184" s="55"/>
      <c r="AO184" s="55"/>
    </row>
    <row r="185">
      <c r="A185" s="50">
        <f>IFERROR(__xludf.DUMMYFUNCTION("QUERY('Volunteer Survey'!A192)"),43592.88754996528)</f>
        <v>43592.88755</v>
      </c>
      <c r="B185" s="48" t="s">
        <v>108</v>
      </c>
      <c r="C185" s="79">
        <v>43819.0</v>
      </c>
      <c r="D185" s="55"/>
      <c r="E185" s="48"/>
      <c r="F185" s="48" t="s">
        <v>130</v>
      </c>
      <c r="G185" s="48" t="s">
        <v>122</v>
      </c>
      <c r="H185" s="53"/>
      <c r="I185" s="69" t="s">
        <v>139</v>
      </c>
      <c r="J185" s="55"/>
      <c r="K185" s="55"/>
      <c r="L185" s="55" t="str">
        <f>IFERROR(__xludf.DUMMYFUNCTION("QUERY('Volunteer Survey'!B192)"),"Elizabeth Palmer")</f>
        <v>Elizabeth Palmer</v>
      </c>
      <c r="M185" s="55" t="str">
        <f>IFERROR(__xludf.DUMMYFUNCTION("QUERY('Volunteer Survey'!E192)"),"elizabeth.palmer1@health.nsw.gov.au")</f>
        <v>elizabeth.palmer1@health.nsw.gov.au</v>
      </c>
      <c r="N185" s="55" t="str">
        <f>IFERROR(__xludf.DUMMYFUNCTION("QUERY('Volunteer Survey'!F192)"),"Clinical Medical Geneticist")</f>
        <v>Clinical Medical Geneticist</v>
      </c>
      <c r="O185" s="48" t="str">
        <f>IFERROR(__xludf.DUMMYFUNCTION("QUERY('Volunteer Survey'!H192)"),"Comprehensive")</f>
        <v>Comprehensive</v>
      </c>
      <c r="P185" s="55" t="str">
        <f>IFERROR(__xludf.DUMMYFUNCTION("QUERY('Volunteer Survey'!I192)"),"Gene-Disease Validity")</f>
        <v>Gene-Disease Validity</v>
      </c>
      <c r="Q185" s="60" t="str">
        <f>IFERROR(__xludf.DUMMYFUNCTION("QUERY('Volunteer Survey'!J192)"),"Variant Pathogenicity")</f>
        <v>Variant Pathogenicity</v>
      </c>
      <c r="R185" s="55" t="str">
        <f>IFERROR(__xludf.DUMMYFUNCTION("QUERY('Volunteer Survey'!K192)"),"")</f>
        <v/>
      </c>
      <c r="S185" s="55" t="str">
        <f>IFERROR(__xludf.DUMMYFUNCTION("QUERY('Volunteer Survey'!L192)"),"")</f>
        <v/>
      </c>
      <c r="T185" s="55" t="str">
        <f>IFERROR(__xludf.DUMMYFUNCTION("QUERY('Volunteer Survey'!M192)"),"")</f>
        <v/>
      </c>
      <c r="U185" s="64" t="str">
        <f>IFERROR(__xludf.DUMMYFUNCTION("QUERY('Volunteer Survey'!N192)"),"member of AUSTRALIAN FUNCTIONAL GENOMICS CLINICAL REVIEW PANEL. Variant curation as part of my PhD and clinical research practice. ")</f>
        <v>member of AUSTRALIAN FUNCTIONAL GENOMICS CLINICAL REVIEW PANEL. Variant curation as part of my PhD and clinical research practice. </v>
      </c>
      <c r="V185" s="55" t="str">
        <f>IFERROR(__xludf.DUMMYFUNCTION("QUERY('Volunteer Survey'!O192)"),"No")</f>
        <v>No</v>
      </c>
      <c r="W185" s="66" t="str">
        <f>IFERROR(__xludf.DUMMYFUNCTION("QUERY('Volunteer Survey'!P192)"),"epilepsy / ID and autism")</f>
        <v>epilepsy / ID and autism</v>
      </c>
      <c r="X185" s="64" t="str">
        <f>IFERROR(__xludf.DUMMYFUNCTION("QUERY('Volunteer Survey'!R192)"),"Maybe -- please contact me with other options, and I will decide based on what is available")</f>
        <v>Maybe -- please contact me with other options, and I will decide based on what is available</v>
      </c>
      <c r="Y185" s="53"/>
      <c r="Z185" s="55"/>
      <c r="AA185" s="55"/>
      <c r="AB185" s="55"/>
      <c r="AC185" s="55"/>
      <c r="AD185" s="55"/>
      <c r="AE185" s="55"/>
      <c r="AF185" s="55"/>
      <c r="AG185" s="55"/>
      <c r="AH185" s="55"/>
      <c r="AI185" s="55"/>
      <c r="AJ185" s="55"/>
      <c r="AK185" s="55"/>
      <c r="AL185" s="55"/>
      <c r="AM185" s="55"/>
      <c r="AN185" s="55"/>
      <c r="AO185" s="55"/>
    </row>
    <row r="186">
      <c r="A186" s="50">
        <f>IFERROR(__xludf.DUMMYFUNCTION("QUERY('Volunteer Survey'!A193)"),43593.204109722225)</f>
        <v>43593.20411</v>
      </c>
      <c r="B186" s="48" t="s">
        <v>108</v>
      </c>
      <c r="C186" s="53"/>
      <c r="D186" s="55"/>
      <c r="E186" s="48"/>
      <c r="F186" s="48" t="s">
        <v>130</v>
      </c>
      <c r="G186" s="48" t="s">
        <v>202</v>
      </c>
      <c r="H186" s="53"/>
      <c r="I186" s="69" t="s">
        <v>139</v>
      </c>
      <c r="J186" s="55"/>
      <c r="K186" s="55"/>
      <c r="L186" s="55" t="str">
        <f>IFERROR(__xludf.DUMMYFUNCTION("QUERY('Volunteer Survey'!B193)"),"Vira Lamtieva")</f>
        <v>Vira Lamtieva</v>
      </c>
      <c r="M186" s="55" t="str">
        <f>IFERROR(__xludf.DUMMYFUNCTION("QUERY('Volunteer Survey'!E193)"),"lamteva.vera@gmail.com")</f>
        <v>lamteva.vera@gmail.com</v>
      </c>
      <c r="N186" s="55" t="str">
        <f>IFERROR(__xludf.DUMMYFUNCTION("QUERY('Volunteer Survey'!F193)"),"Clinical laboratory geneticist")</f>
        <v>Clinical laboratory geneticist</v>
      </c>
      <c r="O186" s="48" t="str">
        <f>IFERROR(__xludf.DUMMYFUNCTION("QUERY('Volunteer Survey'!H193)"),"Baseline")</f>
        <v>Baseline</v>
      </c>
      <c r="P186" s="55" t="str">
        <f>IFERROR(__xludf.DUMMYFUNCTION("QUERY('Volunteer Survey'!I193)"),"Variant Pathogenicity")</f>
        <v>Variant Pathogenicity</v>
      </c>
      <c r="Q186" s="60" t="str">
        <f>IFERROR(__xludf.DUMMYFUNCTION("QUERY('Volunteer Survey'!J193)"),"Gene-Disease Validity")</f>
        <v>Gene-Disease Validity</v>
      </c>
      <c r="R186" s="55" t="str">
        <f>IFERROR(__xludf.DUMMYFUNCTION("QUERY('Volunteer Survey'!K193)"),"")</f>
        <v/>
      </c>
      <c r="S186" s="55" t="str">
        <f>IFERROR(__xludf.DUMMYFUNCTION("QUERY('Volunteer Survey'!L193)"),"")</f>
        <v/>
      </c>
      <c r="T186" s="55" t="str">
        <f>IFERROR(__xludf.DUMMYFUNCTION("QUERY('Volunteer Survey'!M193)"),"")</f>
        <v/>
      </c>
      <c r="U186" s="64" t="str">
        <f>IFERROR(__xludf.DUMMYFUNCTION("QUERY('Volunteer Survey'!N193)"),"I don't have curation experience but I have been learning variant analysis and interpretation since 2016. Our lab has been offering WES interpretation for some time, and it is currently my working responsibility. Yet I have analysed up to 10 cases so far."&amp;" ")</f>
        <v>I don't have curation experience but I have been learning variant analysis and interpretation since 2016. Our lab has been offering WES interpretation for some time, and it is currently my working responsibility. Yet I have analysed up to 10 cases so far. </v>
      </c>
      <c r="V186" s="55" t="str">
        <f>IFERROR(__xludf.DUMMYFUNCTION("QUERY('Volunteer Survey'!O193)"),"Possibly")</f>
        <v>Possibly</v>
      </c>
      <c r="W186" s="66" t="str">
        <f>IFERROR(__xludf.DUMMYFUNCTION("QUERY('Volunteer Survey'!P193)"),"Brain malformations, Lysosomal storage diseases, Mitochondrial diseases, Intellectual Disability/Autism")</f>
        <v>Brain malformations, Lysosomal storage diseases, Mitochondrial diseases, Intellectual Disability/Autism</v>
      </c>
      <c r="X186" s="64" t="str">
        <f>IFERROR(__xludf.DUMMYFUNCTION("QUERY('Volunteer Survey'!R193)"),"Maybe -- please contact me with other options, and I will decide based on what is available")</f>
        <v>Maybe -- please contact me with other options, and I will decide based on what is available</v>
      </c>
      <c r="Y186" s="53"/>
      <c r="Z186" s="55"/>
      <c r="AA186" s="55"/>
      <c r="AB186" s="55"/>
      <c r="AC186" s="55"/>
      <c r="AD186" s="55"/>
      <c r="AE186" s="55"/>
      <c r="AF186" s="55"/>
      <c r="AG186" s="55"/>
      <c r="AH186" s="55"/>
      <c r="AI186" s="55"/>
      <c r="AJ186" s="55"/>
      <c r="AK186" s="55"/>
      <c r="AL186" s="55"/>
      <c r="AM186" s="55"/>
      <c r="AN186" s="55"/>
      <c r="AO186" s="55"/>
    </row>
    <row r="187">
      <c r="A187" s="50">
        <f>IFERROR(__xludf.DUMMYFUNCTION("QUERY('Volunteer Survey'!A194)"),43593.56649472222)</f>
        <v>43593.56649</v>
      </c>
      <c r="B187" s="48" t="s">
        <v>168</v>
      </c>
      <c r="C187" s="53"/>
      <c r="D187" s="56">
        <v>43476.0</v>
      </c>
      <c r="E187" s="48" t="s">
        <v>117</v>
      </c>
      <c r="F187" s="48" t="s">
        <v>130</v>
      </c>
      <c r="G187" s="48" t="s">
        <v>136</v>
      </c>
      <c r="H187" s="53"/>
      <c r="I187" s="51" t="s">
        <v>139</v>
      </c>
      <c r="J187" s="56">
        <v>43593.0</v>
      </c>
      <c r="K187" s="56">
        <v>43713.0</v>
      </c>
      <c r="L187" s="55" t="str">
        <f>IFERROR(__xludf.DUMMYFUNCTION("QUERY('Volunteer Survey'!B194)"),"Lisa Dyer")</f>
        <v>Lisa Dyer</v>
      </c>
      <c r="M187" s="55" t="str">
        <f>IFERROR(__xludf.DUMMYFUNCTION("QUERY('Volunteer Survey'!E194)"),"Lisa.Dyer@cchmc.org")</f>
        <v>Lisa.Dyer@cchmc.org</v>
      </c>
      <c r="N187" s="55" t="str">
        <f>IFERROR(__xludf.DUMMYFUNCTION("QUERY('Volunteer Survey'!F194)"),"NA")</f>
        <v>NA</v>
      </c>
      <c r="O187" s="48" t="str">
        <f>IFERROR(__xludf.DUMMYFUNCTION("QUERY('Volunteer Survey'!H194)"),"Comprehensive")</f>
        <v>Comprehensive</v>
      </c>
      <c r="P187" s="55" t="str">
        <f>IFERROR(__xludf.DUMMYFUNCTION("QUERY('Volunteer Survey'!I194)"),"Somatic Cancer")</f>
        <v>Somatic Cancer</v>
      </c>
      <c r="Q187" s="60" t="str">
        <f>IFERROR(__xludf.DUMMYFUNCTION("QUERY('Volunteer Survey'!J194)"),"")</f>
        <v/>
      </c>
      <c r="R187" s="55" t="str">
        <f>IFERROR(__xludf.DUMMYFUNCTION("QUERY('Volunteer Survey'!K194)"),"")</f>
        <v/>
      </c>
      <c r="S187" s="55" t="str">
        <f>IFERROR(__xludf.DUMMYFUNCTION("QUERY('Volunteer Survey'!L194)"),"")</f>
        <v/>
      </c>
      <c r="T187" s="55" t="str">
        <f>IFERROR(__xludf.DUMMYFUNCTION("QUERY('Volunteer Survey'!M194)"),"")</f>
        <v/>
      </c>
      <c r="U187" s="64" t="str">
        <f>IFERROR(__xludf.DUMMYFUNCTION("QUERY('Volunteer Survey'!N194)"),"")</f>
        <v/>
      </c>
      <c r="V187" s="55" t="str">
        <f>IFERROR(__xludf.DUMMYFUNCTION("QUERY('Volunteer Survey'!O194)"),"")</f>
        <v/>
      </c>
      <c r="W187" s="66" t="str">
        <f>IFERROR(__xludf.DUMMYFUNCTION("QUERY('Volunteer Survey'!P194)"),"")</f>
        <v/>
      </c>
      <c r="X187" s="64" t="str">
        <f>IFERROR(__xludf.DUMMYFUNCTION("QUERY('Volunteer Survey'!R194)"),"")</f>
        <v/>
      </c>
      <c r="Y187" s="92" t="s">
        <v>328</v>
      </c>
      <c r="Z187" s="55"/>
      <c r="AA187" s="55"/>
      <c r="AB187" s="55"/>
      <c r="AC187" s="55"/>
      <c r="AD187" s="55"/>
      <c r="AE187" s="55"/>
      <c r="AF187" s="55"/>
      <c r="AG187" s="55"/>
      <c r="AH187" s="55"/>
      <c r="AI187" s="55"/>
      <c r="AJ187" s="55"/>
      <c r="AK187" s="55"/>
      <c r="AL187" s="55"/>
      <c r="AM187" s="55"/>
      <c r="AN187" s="55"/>
      <c r="AO187" s="55"/>
    </row>
    <row r="188">
      <c r="A188" s="50">
        <f>IFERROR(__xludf.DUMMYFUNCTION("QUERY('Volunteer Survey'!A195)"),43593.736186539354)</f>
        <v>43593.73619</v>
      </c>
      <c r="B188" s="48" t="s">
        <v>108</v>
      </c>
      <c r="C188" s="79">
        <v>43819.0</v>
      </c>
      <c r="D188" s="55"/>
      <c r="E188" s="48"/>
      <c r="F188" s="48" t="s">
        <v>130</v>
      </c>
      <c r="G188" s="48" t="s">
        <v>122</v>
      </c>
      <c r="H188" s="53"/>
      <c r="I188" s="51" t="s">
        <v>139</v>
      </c>
      <c r="J188" s="56"/>
      <c r="K188" s="56"/>
      <c r="L188" s="55" t="str">
        <f>IFERROR(__xludf.DUMMYFUNCTION("QUERY('Volunteer Survey'!B195)"),"Andrea Hallberg")</f>
        <v>Andrea Hallberg</v>
      </c>
      <c r="M188" s="55" t="str">
        <f>IFERROR(__xludf.DUMMYFUNCTION("QUERY('Volunteer Survey'!E195)"),"hallberg.andrea@gmail.com")</f>
        <v>hallberg.andrea@gmail.com</v>
      </c>
      <c r="N188" s="55" t="str">
        <f>IFERROR(__xludf.DUMMYFUNCTION("QUERY('Volunteer Survey'!F195)"),"Post Doc/Resident/Fellow (MD and/or PhD)")</f>
        <v>Post Doc/Resident/Fellow (MD and/or PhD)</v>
      </c>
      <c r="O188" s="48" t="str">
        <f>IFERROR(__xludf.DUMMYFUNCTION("QUERY('Volunteer Survey'!H195)"),"Comprehensive")</f>
        <v>Comprehensive</v>
      </c>
      <c r="P188" s="55" t="str">
        <f>IFERROR(__xludf.DUMMYFUNCTION("QUERY('Volunteer Survey'!I195)"),"Gene-Disease Validity")</f>
        <v>Gene-Disease Validity</v>
      </c>
      <c r="Q188" s="60" t="str">
        <f>IFERROR(__xludf.DUMMYFUNCTION("QUERY('Volunteer Survey'!J195)"),"Variant Pathogenicity")</f>
        <v>Variant Pathogenicity</v>
      </c>
      <c r="R188" s="55" t="str">
        <f>IFERROR(__xludf.DUMMYFUNCTION("QUERY('Volunteer Survey'!K195)"),"Dosage Sensitivity")</f>
        <v>Dosage Sensitivity</v>
      </c>
      <c r="S188" s="55" t="str">
        <f>IFERROR(__xludf.DUMMYFUNCTION("QUERY('Volunteer Survey'!L195)"),"Clinical Actionability")</f>
        <v>Clinical Actionability</v>
      </c>
      <c r="T188" s="55" t="str">
        <f>IFERROR(__xludf.DUMMYFUNCTION("QUERY('Volunteer Survey'!M195)"),"Somatic Cancer")</f>
        <v>Somatic Cancer</v>
      </c>
      <c r="U188" s="64" t="str">
        <f>IFERROR(__xludf.DUMMYFUNCTION("QUERY('Volunteer Survey'!N195)"),"No ")</f>
        <v>No </v>
      </c>
      <c r="V188" s="55" t="str">
        <f>IFERROR(__xludf.DUMMYFUNCTION("QUERY('Volunteer Survey'!O195)"),"Possibly")</f>
        <v>Possibly</v>
      </c>
      <c r="W188" s="66" t="str">
        <f>IFERROR(__xludf.DUMMYFUNCTION("QUERY('Volunteer Survey'!P195)"),"")</f>
        <v/>
      </c>
      <c r="X188" s="64" t="str">
        <f>IFERROR(__xludf.DUMMYFUNCTION("QUERY('Volunteer Survey'!R195)"),"Yes- I am willing to volunteer with any available ClinGen group")</f>
        <v>Yes- I am willing to volunteer with any available ClinGen group</v>
      </c>
      <c r="Y188" s="53"/>
      <c r="Z188" s="55"/>
      <c r="AA188" s="55"/>
      <c r="AB188" s="55"/>
      <c r="AC188" s="55"/>
      <c r="AD188" s="55"/>
      <c r="AE188" s="55"/>
      <c r="AF188" s="55"/>
      <c r="AG188" s="55"/>
      <c r="AH188" s="55"/>
      <c r="AI188" s="55"/>
      <c r="AJ188" s="55"/>
      <c r="AK188" s="55"/>
      <c r="AL188" s="55"/>
      <c r="AM188" s="55"/>
      <c r="AN188" s="55"/>
      <c r="AO188" s="55"/>
    </row>
    <row r="189">
      <c r="A189" s="50">
        <f>IFERROR(__xludf.DUMMYFUNCTION("QUERY('Volunteer Survey'!A196)"),43595.37445846065)</f>
        <v>43595.37446</v>
      </c>
      <c r="B189" s="48" t="s">
        <v>108</v>
      </c>
      <c r="C189" s="53"/>
      <c r="D189" s="55"/>
      <c r="E189" s="48"/>
      <c r="F189" s="48" t="s">
        <v>130</v>
      </c>
      <c r="G189" s="48" t="s">
        <v>202</v>
      </c>
      <c r="H189" s="53"/>
      <c r="I189" s="51" t="s">
        <v>139</v>
      </c>
      <c r="J189" s="55"/>
      <c r="K189" s="55"/>
      <c r="L189" s="55" t="str">
        <f>IFERROR(__xludf.DUMMYFUNCTION("QUERY('Volunteer Survey'!B196)"),"Bianca Tesi")</f>
        <v>Bianca Tesi</v>
      </c>
      <c r="M189" s="55" t="str">
        <f>IFERROR(__xludf.DUMMYFUNCTION("QUERY('Volunteer Survey'!E196)"),"bianca.tesi@sll.se")</f>
        <v>bianca.tesi@sll.se</v>
      </c>
      <c r="N189" s="55" t="str">
        <f>IFERROR(__xludf.DUMMYFUNCTION("QUERY('Volunteer Survey'!F196)"),"Post Doc/Resident/Fellow (MD and/or PhD)")</f>
        <v>Post Doc/Resident/Fellow (MD and/or PhD)</v>
      </c>
      <c r="O189" s="48" t="str">
        <f>IFERROR(__xludf.DUMMYFUNCTION("QUERY('Volunteer Survey'!H196)"),"Baseline")</f>
        <v>Baseline</v>
      </c>
      <c r="P189" s="55" t="str">
        <f>IFERROR(__xludf.DUMMYFUNCTION("QUERY('Volunteer Survey'!I196)"),"Clinical Actionability")</f>
        <v>Clinical Actionability</v>
      </c>
      <c r="Q189" s="60" t="str">
        <f>IFERROR(__xludf.DUMMYFUNCTION("QUERY('Volunteer Survey'!J196)"),"Gene-Disease Validity")</f>
        <v>Gene-Disease Validity</v>
      </c>
      <c r="R189" s="55" t="str">
        <f>IFERROR(__xludf.DUMMYFUNCTION("QUERY('Volunteer Survey'!K196)"),"Variant Pathogenicity")</f>
        <v>Variant Pathogenicity</v>
      </c>
      <c r="S189" s="55" t="str">
        <f>IFERROR(__xludf.DUMMYFUNCTION("QUERY('Volunteer Survey'!L196)"),"Somatic Cancer")</f>
        <v>Somatic Cancer</v>
      </c>
      <c r="T189" s="55" t="str">
        <f>IFERROR(__xludf.DUMMYFUNCTION("QUERY('Volunteer Survey'!M196)"),"Dosage Sensitivity")</f>
        <v>Dosage Sensitivity</v>
      </c>
      <c r="U189" s="64" t="str">
        <f>IFERROR(__xludf.DUMMYFUNCTION("QUERY('Volunteer Survey'!N196)"),"Experienced with reading literature, evaluating results in the clinical setting.")</f>
        <v>Experienced with reading literature, evaluating results in the clinical setting.</v>
      </c>
      <c r="V189" s="55" t="str">
        <f>IFERROR(__xludf.DUMMYFUNCTION("QUERY('Volunteer Survey'!O196)"),"Possibly")</f>
        <v>Possibly</v>
      </c>
      <c r="W189" s="66" t="str">
        <f>IFERROR(__xludf.DUMMYFUNCTION("QUERY('Volunteer Survey'!P196)"),"myeloid neoplasm, hereditary cancer")</f>
        <v>myeloid neoplasm, hereditary cancer</v>
      </c>
      <c r="X189" s="64" t="str">
        <f>IFERROR(__xludf.DUMMYFUNCTION("QUERY('Volunteer Survey'!R196)"),"Yes- I am willing to volunteer with any available ClinGen group")</f>
        <v>Yes- I am willing to volunteer with any available ClinGen group</v>
      </c>
      <c r="Y189" s="53"/>
      <c r="Z189" s="55"/>
      <c r="AA189" s="55"/>
      <c r="AB189" s="55"/>
      <c r="AC189" s="55"/>
      <c r="AD189" s="55"/>
      <c r="AE189" s="55"/>
      <c r="AF189" s="55"/>
      <c r="AG189" s="55"/>
      <c r="AH189" s="55"/>
      <c r="AI189" s="55"/>
      <c r="AJ189" s="55"/>
      <c r="AK189" s="55"/>
      <c r="AL189" s="55"/>
      <c r="AM189" s="55"/>
      <c r="AN189" s="55"/>
      <c r="AO189" s="55"/>
    </row>
    <row r="190">
      <c r="A190" s="50">
        <f>IFERROR(__xludf.DUMMYFUNCTION("QUERY('Volunteer Survey'!A197)"),43596.24046488426)</f>
        <v>43596.24046</v>
      </c>
      <c r="B190" s="48" t="s">
        <v>108</v>
      </c>
      <c r="C190" s="79">
        <v>43819.0</v>
      </c>
      <c r="D190" s="55"/>
      <c r="E190" s="48"/>
      <c r="F190" s="48" t="s">
        <v>130</v>
      </c>
      <c r="G190" s="48" t="s">
        <v>251</v>
      </c>
      <c r="H190" s="53"/>
      <c r="I190" s="51" t="s">
        <v>139</v>
      </c>
      <c r="J190" s="55"/>
      <c r="K190" s="55"/>
      <c r="L190" s="55" t="str">
        <f>IFERROR(__xludf.DUMMYFUNCTION("QUERY('Volunteer Survey'!B197)"),"Lisa Chen")</f>
        <v>Lisa Chen</v>
      </c>
      <c r="M190" s="55" t="str">
        <f>IFERROR(__xludf.DUMMYFUNCTION("QUERY('Volunteer Survey'!E197)"),"lisa498484901@gmail.com")</f>
        <v>lisa498484901@gmail.com</v>
      </c>
      <c r="N190" s="55" t="str">
        <f>IFERROR(__xludf.DUMMYFUNCTION("QUERY('Volunteer Survey'!F197)"),"Graduate Student")</f>
        <v>Graduate Student</v>
      </c>
      <c r="O190" s="48" t="str">
        <f>IFERROR(__xludf.DUMMYFUNCTION("QUERY('Volunteer Survey'!H197)"),"Comprehensive")</f>
        <v>Comprehensive</v>
      </c>
      <c r="P190" s="55" t="str">
        <f>IFERROR(__xludf.DUMMYFUNCTION("QUERY('Volunteer Survey'!I197)"),"Variant Pathogenicity")</f>
        <v>Variant Pathogenicity</v>
      </c>
      <c r="Q190" s="60" t="str">
        <f>IFERROR(__xludf.DUMMYFUNCTION("QUERY('Volunteer Survey'!J197)"),"Gene-Disease Validity")</f>
        <v>Gene-Disease Validity</v>
      </c>
      <c r="R190" s="55" t="str">
        <f>IFERROR(__xludf.DUMMYFUNCTION("QUERY('Volunteer Survey'!K197)"),"Clinical Actionability")</f>
        <v>Clinical Actionability</v>
      </c>
      <c r="S190" s="55" t="str">
        <f>IFERROR(__xludf.DUMMYFUNCTION("QUERY('Volunteer Survey'!L197)"),"Dosage Sensitivity")</f>
        <v>Dosage Sensitivity</v>
      </c>
      <c r="T190" s="55" t="str">
        <f>IFERROR(__xludf.DUMMYFUNCTION("QUERY('Volunteer Survey'!M197)"),"Somatic Cancer")</f>
        <v>Somatic Cancer</v>
      </c>
      <c r="U190" s="64" t="str">
        <f>IFERROR(__xludf.DUMMYFUNCTION("QUERY('Volunteer Survey'!N197)"),"I have been doing variant classification for 4 years.")</f>
        <v>I have been doing variant classification for 4 years.</v>
      </c>
      <c r="V190" s="55" t="str">
        <f>IFERROR(__xludf.DUMMYFUNCTION("QUERY('Volunteer Survey'!O197)"),"Possibly")</f>
        <v>Possibly</v>
      </c>
      <c r="W190" s="66" t="str">
        <f>IFERROR(__xludf.DUMMYFUNCTION("QUERY('Volunteer Survey'!P197)"),"Congenital Myopathies")</f>
        <v>Congenital Myopathies</v>
      </c>
      <c r="X190" s="64" t="str">
        <f>IFERROR(__xludf.DUMMYFUNCTION("QUERY('Volunteer Survey'!R197)"),"Yes- I am willing to volunteer with any available ClinGen group")</f>
        <v>Yes- I am willing to volunteer with any available ClinGen group</v>
      </c>
      <c r="Y190" s="53"/>
      <c r="Z190" s="55"/>
      <c r="AA190" s="55"/>
      <c r="AB190" s="55"/>
      <c r="AC190" s="55"/>
      <c r="AD190" s="55"/>
      <c r="AE190" s="55"/>
      <c r="AF190" s="55"/>
      <c r="AG190" s="55"/>
      <c r="AH190" s="55"/>
      <c r="AI190" s="55"/>
      <c r="AJ190" s="55"/>
      <c r="AK190" s="55"/>
      <c r="AL190" s="55"/>
      <c r="AM190" s="55"/>
      <c r="AN190" s="55"/>
      <c r="AO190" s="55"/>
    </row>
    <row r="191">
      <c r="A191" s="50">
        <f>IFERROR(__xludf.DUMMYFUNCTION("QUERY('Volunteer Survey'!A198)"),43390.565046296295)</f>
        <v>43390.56505</v>
      </c>
      <c r="B191" s="48" t="s">
        <v>108</v>
      </c>
      <c r="C191" s="79">
        <v>43819.0</v>
      </c>
      <c r="D191" s="55"/>
      <c r="E191" s="48"/>
      <c r="F191" s="48" t="s">
        <v>130</v>
      </c>
      <c r="G191" s="48" t="s">
        <v>122</v>
      </c>
      <c r="H191" s="53"/>
      <c r="I191" s="51" t="s">
        <v>139</v>
      </c>
      <c r="J191" s="55"/>
      <c r="K191" s="55"/>
      <c r="L191" s="55" t="str">
        <f>IFERROR(__xludf.DUMMYFUNCTION("QUERY('Volunteer Survey'!B198)"),"Ingrid Paine")</f>
        <v>Ingrid Paine</v>
      </c>
      <c r="M191" s="55" t="str">
        <f>IFERROR(__xludf.DUMMYFUNCTION("QUERY('Volunteer Survey'!E198)"),"runquist@alumni.bcm.edu")</f>
        <v>runquist@alumni.bcm.edu</v>
      </c>
      <c r="N191" s="55" t="str">
        <f>IFERROR(__xludf.DUMMYFUNCTION("QUERY('Volunteer Survey'!F198)"),"Post Doc/Resident/Fellow (MD and/or PhD)")</f>
        <v>Post Doc/Resident/Fellow (MD and/or PhD)</v>
      </c>
      <c r="O191" s="48" t="str">
        <f>IFERROR(__xludf.DUMMYFUNCTION("QUERY('Volunteer Survey'!H198)"),"Comprehensive")</f>
        <v>Comprehensive</v>
      </c>
      <c r="P191" s="55" t="str">
        <f>IFERROR(__xludf.DUMMYFUNCTION("QUERY('Volunteer Survey'!I198)"),"Gene-Disease Validity")</f>
        <v>Gene-Disease Validity</v>
      </c>
      <c r="Q191" s="60" t="str">
        <f>IFERROR(__xludf.DUMMYFUNCTION("QUERY('Volunteer Survey'!J198)"),"Variant Pathogenicity")</f>
        <v>Variant Pathogenicity</v>
      </c>
      <c r="R191" s="55" t="str">
        <f>IFERROR(__xludf.DUMMYFUNCTION("QUERY('Volunteer Survey'!K198)"),"")</f>
        <v/>
      </c>
      <c r="S191" s="55" t="str">
        <f>IFERROR(__xludf.DUMMYFUNCTION("QUERY('Volunteer Survey'!L198)"),"")</f>
        <v/>
      </c>
      <c r="T191" s="55" t="str">
        <f>IFERROR(__xludf.DUMMYFUNCTION("QUERY('Volunteer Survey'!M198)"),"")</f>
        <v/>
      </c>
      <c r="U191" s="64" t="str">
        <f>IFERROR(__xludf.DUMMYFUNCTION("QUERY('Volunteer Survey'!N198)"),"No")</f>
        <v>No</v>
      </c>
      <c r="V191" s="55" t="str">
        <f>IFERROR(__xludf.DUMMYFUNCTION("QUERY('Volunteer Survey'!O198)"),"Possibly")</f>
        <v>Possibly</v>
      </c>
      <c r="W191" s="66" t="str">
        <f>IFERROR(__xludf.DUMMYFUNCTION("QUERY('Volunteer Survey'!P198)"),"Epilepsy genes and neurodevelopmental")</f>
        <v>Epilepsy genes and neurodevelopmental</v>
      </c>
      <c r="X191" s="64" t="str">
        <f>IFERROR(__xludf.DUMMYFUNCTION("QUERY('Volunteer Survey'!R198)"),"Maybe -- please contact me with other options, and I will decide based on what is available")</f>
        <v>Maybe -- please contact me with other options, and I will decide based on what is available</v>
      </c>
      <c r="Y191" s="103" t="s">
        <v>354</v>
      </c>
      <c r="Z191" s="55"/>
      <c r="AA191" s="55"/>
      <c r="AB191" s="55"/>
      <c r="AC191" s="55"/>
      <c r="AD191" s="55"/>
      <c r="AE191" s="55"/>
      <c r="AF191" s="55"/>
      <c r="AG191" s="55"/>
      <c r="AH191" s="55"/>
      <c r="AI191" s="55"/>
      <c r="AJ191" s="55"/>
      <c r="AK191" s="55"/>
      <c r="AL191" s="55"/>
      <c r="AM191" s="55"/>
      <c r="AN191" s="55"/>
      <c r="AO191" s="55"/>
    </row>
    <row r="192">
      <c r="A192" s="50">
        <f>IFERROR(__xludf.DUMMYFUNCTION("QUERY('Volunteer Survey'!A199)"),43601.325485277775)</f>
        <v>43601.32549</v>
      </c>
      <c r="B192" s="48" t="s">
        <v>322</v>
      </c>
      <c r="C192" s="53"/>
      <c r="D192" s="55"/>
      <c r="E192" s="48"/>
      <c r="F192" s="48" t="s">
        <v>130</v>
      </c>
      <c r="G192" s="48" t="s">
        <v>202</v>
      </c>
      <c r="H192" s="53"/>
      <c r="I192" s="51" t="s">
        <v>139</v>
      </c>
      <c r="J192" s="55"/>
      <c r="K192" s="55"/>
      <c r="L192" s="55" t="str">
        <f>IFERROR(__xludf.DUMMYFUNCTION("QUERY('Volunteer Survey'!B199)"),"Michelle Paczosa")</f>
        <v>Michelle Paczosa</v>
      </c>
      <c r="M192" s="55" t="str">
        <f>IFERROR(__xludf.DUMMYFUNCTION("QUERY('Volunteer Survey'!E199)"),"Michelle.K.Paczosa@questdiagnostics.com")</f>
        <v>Michelle.K.Paczosa@questdiagnostics.com</v>
      </c>
      <c r="N192" s="55" t="str">
        <f>IFERROR(__xludf.DUMMYFUNCTION("QUERY('Volunteer Survey'!F199)"),"Variant Analyst/Scientist - Industry")</f>
        <v>Variant Analyst/Scientist - Industry</v>
      </c>
      <c r="O192" s="48" t="str">
        <f>IFERROR(__xludf.DUMMYFUNCTION("QUERY('Volunteer Survey'!H199)"),"Comprehensive")</f>
        <v>Comprehensive</v>
      </c>
      <c r="P192" s="55" t="str">
        <f>IFERROR(__xludf.DUMMYFUNCTION("QUERY('Volunteer Survey'!I199)"),"Dosage Sensitivity")</f>
        <v>Dosage Sensitivity</v>
      </c>
      <c r="Q192" s="60" t="str">
        <f>IFERROR(__xludf.DUMMYFUNCTION("QUERY('Volunteer Survey'!J199)"),"Gene-Disease Validity")</f>
        <v>Gene-Disease Validity</v>
      </c>
      <c r="R192" s="55" t="str">
        <f>IFERROR(__xludf.DUMMYFUNCTION("QUERY('Volunteer Survey'!K199)"),"")</f>
        <v/>
      </c>
      <c r="S192" s="55" t="str">
        <f>IFERROR(__xludf.DUMMYFUNCTION("QUERY('Volunteer Survey'!L199)"),"")</f>
        <v/>
      </c>
      <c r="T192" s="55" t="str">
        <f>IFERROR(__xludf.DUMMYFUNCTION("QUERY('Volunteer Survey'!M199)"),"")</f>
        <v/>
      </c>
      <c r="U192" s="64" t="str">
        <f>IFERROR(__xludf.DUMMYFUNCTION("QUERY('Volunteer Survey'!N199)"),"")</f>
        <v/>
      </c>
      <c r="V192" s="55" t="str">
        <f>IFERROR(__xludf.DUMMYFUNCTION("QUERY('Volunteer Survey'!O199)"),"")</f>
        <v/>
      </c>
      <c r="W192" s="66" t="str">
        <f>IFERROR(__xludf.DUMMYFUNCTION("QUERY('Volunteer Survey'!P199)"),"1. Recurrent 2. Neurodevelopmental 3. Cancer 4. Mitochondrial 5.Hereditary Cancer 6. Monogenic Diabetes")</f>
        <v>1. Recurrent 2. Neurodevelopmental 3. Cancer 4. Mitochondrial 5.Hereditary Cancer 6. Monogenic Diabetes</v>
      </c>
      <c r="X192" s="64" t="str">
        <f>IFERROR(__xludf.DUMMYFUNCTION("QUERY('Volunteer Survey'!R199)"),"Yes- I am willing to volunteer with any available ClinGen group")</f>
        <v>Yes- I am willing to volunteer with any available ClinGen group</v>
      </c>
      <c r="Y192" s="51" t="s">
        <v>355</v>
      </c>
      <c r="Z192" s="55"/>
      <c r="AA192" s="55"/>
      <c r="AB192" s="55"/>
      <c r="AC192" s="55"/>
      <c r="AD192" s="55"/>
      <c r="AE192" s="55"/>
      <c r="AF192" s="55"/>
      <c r="AG192" s="55"/>
      <c r="AH192" s="55"/>
      <c r="AI192" s="55"/>
      <c r="AJ192" s="55"/>
      <c r="AK192" s="55"/>
      <c r="AL192" s="55"/>
      <c r="AM192" s="55"/>
      <c r="AN192" s="55"/>
      <c r="AO192" s="55"/>
    </row>
    <row r="193">
      <c r="A193" s="50">
        <f>IFERROR(__xludf.DUMMYFUNCTION("QUERY('Volunteer Survey'!A200)"),43601.53615817129)</f>
        <v>43601.53616</v>
      </c>
      <c r="B193" s="48" t="s">
        <v>160</v>
      </c>
      <c r="C193" s="53"/>
      <c r="D193" s="56">
        <v>43605.0</v>
      </c>
      <c r="E193" s="48" t="s">
        <v>117</v>
      </c>
      <c r="F193" s="48" t="s">
        <v>117</v>
      </c>
      <c r="G193" s="48" t="s">
        <v>251</v>
      </c>
      <c r="H193" s="51" t="s">
        <v>305</v>
      </c>
      <c r="I193" s="51" t="s">
        <v>356</v>
      </c>
      <c r="J193" s="56">
        <v>43712.0</v>
      </c>
      <c r="K193" s="56"/>
      <c r="L193" s="55" t="str">
        <f>IFERROR(__xludf.DUMMYFUNCTION("QUERY('Volunteer Survey'!B200)"),"Olivia Rennie")</f>
        <v>Olivia Rennie</v>
      </c>
      <c r="M193" s="55" t="str">
        <f>IFERROR(__xludf.DUMMYFUNCTION("QUERY('Volunteer Survey'!E200)"),"olivia.rennie@sickkids.ca")</f>
        <v>olivia.rennie@sickkids.ca</v>
      </c>
      <c r="N193" s="55" t="str">
        <f>IFERROR(__xludf.DUMMYFUNCTION("QUERY('Volunteer Survey'!F200)"),"Biocurator")</f>
        <v>Biocurator</v>
      </c>
      <c r="O193" s="48" t="str">
        <f>IFERROR(__xludf.DUMMYFUNCTION("QUERY('Volunteer Survey'!H200)"),"Comprehensive")</f>
        <v>Comprehensive</v>
      </c>
      <c r="P193" s="55" t="str">
        <f>IFERROR(__xludf.DUMMYFUNCTION("QUERY('Volunteer Survey'!I200)"),"Variant Pathogenicity")</f>
        <v>Variant Pathogenicity</v>
      </c>
      <c r="Q193" s="60" t="str">
        <f>IFERROR(__xludf.DUMMYFUNCTION("QUERY('Volunteer Survey'!J200)"),"Somatic Cancer")</f>
        <v>Somatic Cancer</v>
      </c>
      <c r="R193" s="55" t="str">
        <f>IFERROR(__xludf.DUMMYFUNCTION("QUERY('Volunteer Survey'!K200)"),"Clinical Actionability")</f>
        <v>Clinical Actionability</v>
      </c>
      <c r="S193" s="55" t="str">
        <f>IFERROR(__xludf.DUMMYFUNCTION("QUERY('Volunteer Survey'!L200)"),"")</f>
        <v/>
      </c>
      <c r="T193" s="55" t="str">
        <f>IFERROR(__xludf.DUMMYFUNCTION("QUERY('Volunteer Survey'!M200)"),"")</f>
        <v/>
      </c>
      <c r="U193" s="64" t="str">
        <f>IFERROR(__xludf.DUMMYFUNCTION("QUERY('Volunteer Survey'!N200)"),"As noted above, I am currently a gene-disease curator with the ID &amp; ASD EP.")</f>
        <v>As noted above, I am currently a gene-disease curator with the ID &amp; ASD EP.</v>
      </c>
      <c r="V193" s="55" t="str">
        <f>IFERROR(__xludf.DUMMYFUNCTION("QUERY('Volunteer Survey'!O200)"),"Yes")</f>
        <v>Yes</v>
      </c>
      <c r="W193" s="66" t="str">
        <f>IFERROR(__xludf.DUMMYFUNCTION("QUERY('Volunteer Survey'!P200)"),"I am open to any variant curation EPs that are currently looking for volunteers. ")</f>
        <v>I am open to any variant curation EPs that are currently looking for volunteers. </v>
      </c>
      <c r="X193" s="64" t="str">
        <f>IFERROR(__xludf.DUMMYFUNCTION("QUERY('Volunteer Survey'!R200)"),"Yes- I am willing to volunteer with any available ClinGen group")</f>
        <v>Yes- I am willing to volunteer with any available ClinGen group</v>
      </c>
      <c r="Y193" s="51" t="s">
        <v>357</v>
      </c>
      <c r="Z193" s="55"/>
      <c r="AA193" s="55"/>
      <c r="AB193" s="55"/>
      <c r="AC193" s="55"/>
      <c r="AD193" s="55"/>
      <c r="AE193" s="55"/>
      <c r="AF193" s="55"/>
      <c r="AG193" s="55"/>
      <c r="AH193" s="55"/>
      <c r="AI193" s="55"/>
      <c r="AJ193" s="55"/>
      <c r="AK193" s="55"/>
      <c r="AL193" s="55"/>
      <c r="AM193" s="55"/>
      <c r="AN193" s="55"/>
      <c r="AO193" s="55"/>
    </row>
    <row r="194">
      <c r="A194" s="50">
        <f>IFERROR(__xludf.DUMMYFUNCTION("QUERY('Volunteer Survey'!A201)"),43602.702408564815)</f>
        <v>43602.70241</v>
      </c>
      <c r="B194" s="48" t="s">
        <v>108</v>
      </c>
      <c r="C194" s="53"/>
      <c r="D194" s="56">
        <v>43627.0</v>
      </c>
      <c r="E194" s="48" t="s">
        <v>117</v>
      </c>
      <c r="F194" s="48" t="s">
        <v>117</v>
      </c>
      <c r="G194" s="48" t="s">
        <v>313</v>
      </c>
      <c r="H194" s="53"/>
      <c r="I194" s="51" t="s">
        <v>139</v>
      </c>
      <c r="J194" s="55"/>
      <c r="K194" s="55"/>
      <c r="L194" s="55" t="str">
        <f>IFERROR(__xludf.DUMMYFUNCTION("QUERY('Volunteer Survey'!B201)"),"Aleš Maver")</f>
        <v>Aleš Maver</v>
      </c>
      <c r="M194" s="55" t="str">
        <f>IFERROR(__xludf.DUMMYFUNCTION("QUERY('Volunteer Survey'!E201)"),"ales.maver@kclj.si")</f>
        <v>ales.maver@kclj.si</v>
      </c>
      <c r="N194" s="55" t="str">
        <f>IFERROR(__xludf.DUMMYFUNCTION("QUERY('Volunteer Survey'!F201)"),"Clinical laboratory geneticist")</f>
        <v>Clinical laboratory geneticist</v>
      </c>
      <c r="O194" s="48" t="str">
        <f>IFERROR(__xludf.DUMMYFUNCTION("QUERY('Volunteer Survey'!H201)"),"Comprehensive")</f>
        <v>Comprehensive</v>
      </c>
      <c r="P194" s="55" t="str">
        <f>IFERROR(__xludf.DUMMYFUNCTION("QUERY('Volunteer Survey'!I201)"),"Variant Pathogenicity")</f>
        <v>Variant Pathogenicity</v>
      </c>
      <c r="Q194" s="60" t="str">
        <f>IFERROR(__xludf.DUMMYFUNCTION("QUERY('Volunteer Survey'!J201)"),"Gene-Disease Validity")</f>
        <v>Gene-Disease Validity</v>
      </c>
      <c r="R194" s="55" t="str">
        <f>IFERROR(__xludf.DUMMYFUNCTION("QUERY('Volunteer Survey'!K201)"),"Clinical Actionability")</f>
        <v>Clinical Actionability</v>
      </c>
      <c r="S194" s="55" t="str">
        <f>IFERROR(__xludf.DUMMYFUNCTION("QUERY('Volunteer Survey'!L201)"),"Dosage Sensitivity")</f>
        <v>Dosage Sensitivity</v>
      </c>
      <c r="T194" s="55" t="str">
        <f>IFERROR(__xludf.DUMMYFUNCTION("QUERY('Volunteer Survey'!M201)"),"Somatic Cancer")</f>
        <v>Somatic Cancer</v>
      </c>
      <c r="U194" s="64" t="str">
        <f>IFERROR(__xludf.DUMMYFUNCTION("QUERY('Volunteer Survey'!N201)"),"Not extensive, but I am the responsible person for ClinVar deposits and data sharing at our institution. I also participate in the Variant discrepancy resolution project led by Steven Harrison. ")</f>
        <v>Not extensive, but I am the responsible person for ClinVar deposits and data sharing at our institution. I also participate in the Variant discrepancy resolution project led by Steven Harrison. </v>
      </c>
      <c r="V194" s="55" t="str">
        <f>IFERROR(__xludf.DUMMYFUNCTION("QUERY('Volunteer Survey'!O201)"),"Yes")</f>
        <v>Yes</v>
      </c>
      <c r="W194" s="66" t="str">
        <f>IFERROR(__xludf.DUMMYFUNCTION("QUERY('Volunteer Survey'!P201)"),"Variant Curation Expert Panels and Gene Curation Expert Panels")</f>
        <v>Variant Curation Expert Panels and Gene Curation Expert Panels</v>
      </c>
      <c r="X194" s="64" t="str">
        <f>IFERROR(__xludf.DUMMYFUNCTION("QUERY('Volunteer Survey'!R201)"),"Yes- I am willing to volunteer with any available ClinGen group")</f>
        <v>Yes- I am willing to volunteer with any available ClinGen group</v>
      </c>
      <c r="Y194" s="53"/>
      <c r="Z194" s="55"/>
      <c r="AA194" s="55"/>
      <c r="AB194" s="55"/>
      <c r="AC194" s="55"/>
      <c r="AD194" s="55"/>
      <c r="AE194" s="55"/>
      <c r="AF194" s="55"/>
      <c r="AG194" s="55"/>
      <c r="AH194" s="55"/>
      <c r="AI194" s="55"/>
      <c r="AJ194" s="55"/>
      <c r="AK194" s="55"/>
      <c r="AL194" s="55"/>
      <c r="AM194" s="55"/>
      <c r="AN194" s="55"/>
      <c r="AO194" s="55"/>
    </row>
    <row r="195">
      <c r="A195" s="50">
        <f>IFERROR(__xludf.DUMMYFUNCTION("QUERY('Volunteer Survey'!A202)"),43605.50311005787)</f>
        <v>43605.50311</v>
      </c>
      <c r="B195" s="48" t="s">
        <v>108</v>
      </c>
      <c r="C195" s="79">
        <v>43689.0</v>
      </c>
      <c r="D195" s="55"/>
      <c r="E195" s="48"/>
      <c r="F195" s="48" t="s">
        <v>130</v>
      </c>
      <c r="G195" s="48" t="s">
        <v>19</v>
      </c>
      <c r="H195" s="69"/>
      <c r="I195" s="69" t="s">
        <v>139</v>
      </c>
      <c r="J195" s="55"/>
      <c r="K195" s="55"/>
      <c r="L195" s="55" t="str">
        <f>IFERROR(__xludf.DUMMYFUNCTION("QUERY('Volunteer Survey'!B202)"),"Léon Tshilolo")</f>
        <v>Léon Tshilolo</v>
      </c>
      <c r="M195" s="55" t="str">
        <f>IFERROR(__xludf.DUMMYFUNCTION("QUERY('Volunteer Survey'!E202)"),"leon.tshilolo2012@gmail.com")</f>
        <v>leon.tshilolo2012@gmail.com</v>
      </c>
      <c r="N195" s="55" t="str">
        <f>IFERROR(__xludf.DUMMYFUNCTION("QUERY('Volunteer Survey'!F202)"),"hematologist, expert of SCD")</f>
        <v>hematologist, expert of SCD</v>
      </c>
      <c r="O195" s="48" t="str">
        <f>IFERROR(__xludf.DUMMYFUNCTION("QUERY('Volunteer Survey'!H202)"),"Comprehensive")</f>
        <v>Comprehensive</v>
      </c>
      <c r="P195" s="55" t="str">
        <f>IFERROR(__xludf.DUMMYFUNCTION("QUERY('Volunteer Survey'!I202)"),"Clinical Actionability")</f>
        <v>Clinical Actionability</v>
      </c>
      <c r="Q195" s="60" t="str">
        <f>IFERROR(__xludf.DUMMYFUNCTION("QUERY('Volunteer Survey'!J202)"),"Variant Pathogenicity")</f>
        <v>Variant Pathogenicity</v>
      </c>
      <c r="R195" s="55" t="str">
        <f>IFERROR(__xludf.DUMMYFUNCTION("QUERY('Volunteer Survey'!K202)"),"Gene-Disease Validity")</f>
        <v>Gene-Disease Validity</v>
      </c>
      <c r="S195" s="55" t="str">
        <f>IFERROR(__xludf.DUMMYFUNCTION("QUERY('Volunteer Survey'!L202)"),"Dosage Sensitivity")</f>
        <v>Dosage Sensitivity</v>
      </c>
      <c r="T195" s="55" t="str">
        <f>IFERROR(__xludf.DUMMYFUNCTION("QUERY('Volunteer Survey'!M202)"),"Somatic Cancer")</f>
        <v>Somatic Cancer</v>
      </c>
      <c r="U195" s="64" t="str">
        <f>IFERROR(__xludf.DUMMYFUNCTION("QUERY('Volunteer Survey'!N202)"),"")</f>
        <v/>
      </c>
      <c r="V195" s="55" t="str">
        <f>IFERROR(__xludf.DUMMYFUNCTION("QUERY('Volunteer Survey'!O202)"),"No")</f>
        <v>No</v>
      </c>
      <c r="W195" s="66" t="str">
        <f>IFERROR(__xludf.DUMMYFUNCTION("QUERY('Volunteer Survey'!P202)"),"hemoglobinopathies")</f>
        <v>hemoglobinopathies</v>
      </c>
      <c r="X195" s="64" t="str">
        <f>IFERROR(__xludf.DUMMYFUNCTION("QUERY('Volunteer Survey'!R202)"),"Maybe -- please contact me with other options, and I will decide based on what is available")</f>
        <v>Maybe -- please contact me with other options, and I will decide based on what is available</v>
      </c>
      <c r="Y195" s="53"/>
      <c r="Z195" s="55"/>
      <c r="AA195" s="55"/>
      <c r="AB195" s="55"/>
      <c r="AC195" s="55"/>
      <c r="AD195" s="55"/>
      <c r="AE195" s="55"/>
      <c r="AF195" s="55"/>
      <c r="AG195" s="55"/>
      <c r="AH195" s="55"/>
      <c r="AI195" s="55"/>
      <c r="AJ195" s="55"/>
      <c r="AK195" s="55"/>
      <c r="AL195" s="55"/>
      <c r="AM195" s="55"/>
      <c r="AN195" s="55"/>
      <c r="AO195" s="55"/>
    </row>
    <row r="196">
      <c r="A196" s="50">
        <f>IFERROR(__xludf.DUMMYFUNCTION("QUERY('Volunteer Survey'!A203)"),43605.743656238425)</f>
        <v>43605.74366</v>
      </c>
      <c r="B196" s="48" t="s">
        <v>108</v>
      </c>
      <c r="C196" s="53"/>
      <c r="D196" s="56"/>
      <c r="E196" s="48"/>
      <c r="F196" s="48" t="s">
        <v>130</v>
      </c>
      <c r="G196" s="48" t="s">
        <v>202</v>
      </c>
      <c r="H196" s="53"/>
      <c r="I196" s="51" t="s">
        <v>139</v>
      </c>
      <c r="J196" s="55"/>
      <c r="K196" s="55"/>
      <c r="L196" s="55" t="str">
        <f>IFERROR(__xludf.DUMMYFUNCTION("QUERY('Volunteer Survey'!B203)"),"Danielle Mouhlas")</f>
        <v>Danielle Mouhlas</v>
      </c>
      <c r="M196" s="55" t="str">
        <f>IFERROR(__xludf.DUMMYFUNCTION("QUERY('Volunteer Survey'!E203)"),"danielle.mouhlas@nationwidechildrens.org")</f>
        <v>danielle.mouhlas@nationwidechildrens.org</v>
      </c>
      <c r="N196" s="55" t="str">
        <f>IFERROR(__xludf.DUMMYFUNCTION("QUERY('Volunteer Survey'!F203)"),"Genetic counselor")</f>
        <v>Genetic counselor</v>
      </c>
      <c r="O196" s="48" t="str">
        <f>IFERROR(__xludf.DUMMYFUNCTION("QUERY('Volunteer Survey'!H203)"),"Baseline")</f>
        <v>Baseline</v>
      </c>
      <c r="P196" s="55" t="str">
        <f>IFERROR(__xludf.DUMMYFUNCTION("QUERY('Volunteer Survey'!I203)"),"Variant Pathogenicity")</f>
        <v>Variant Pathogenicity</v>
      </c>
      <c r="Q196" s="60" t="str">
        <f>IFERROR(__xludf.DUMMYFUNCTION("QUERY('Volunteer Survey'!J203)"),"Gene-Disease Validity")</f>
        <v>Gene-Disease Validity</v>
      </c>
      <c r="R196" s="55" t="str">
        <f>IFERROR(__xludf.DUMMYFUNCTION("QUERY('Volunteer Survey'!K203)"),"Dosage Sensitivity")</f>
        <v>Dosage Sensitivity</v>
      </c>
      <c r="S196" s="55" t="str">
        <f>IFERROR(__xludf.DUMMYFUNCTION("QUERY('Volunteer Survey'!L203)"),"Clinical Actionability")</f>
        <v>Clinical Actionability</v>
      </c>
      <c r="T196" s="55" t="str">
        <f>IFERROR(__xludf.DUMMYFUNCTION("QUERY('Volunteer Survey'!M203)"),"Somatic Cancer")</f>
        <v>Somatic Cancer</v>
      </c>
      <c r="U196" s="64" t="str">
        <f>IFERROR(__xludf.DUMMYFUNCTION("QUERY('Volunteer Survey'!N203)"),"I have performed some variant interpretation for clinical report writing. ")</f>
        <v>I have performed some variant interpretation for clinical report writing. </v>
      </c>
      <c r="V196" s="55" t="str">
        <f>IFERROR(__xludf.DUMMYFUNCTION("QUERY('Volunteer Survey'!O203)"),"Yes")</f>
        <v>Yes</v>
      </c>
      <c r="W196" s="66" t="str">
        <f>IFERROR(__xludf.DUMMYFUNCTION("QUERY('Volunteer Survey'!P203)"),"")</f>
        <v/>
      </c>
      <c r="X196" s="64" t="str">
        <f>IFERROR(__xludf.DUMMYFUNCTION("QUERY('Volunteer Survey'!R203)"),"")</f>
        <v/>
      </c>
      <c r="Y196" s="51" t="s">
        <v>358</v>
      </c>
      <c r="Z196" s="55"/>
      <c r="AA196" s="55"/>
      <c r="AB196" s="55"/>
      <c r="AC196" s="55"/>
      <c r="AD196" s="55"/>
      <c r="AE196" s="55"/>
      <c r="AF196" s="55"/>
      <c r="AG196" s="55"/>
      <c r="AH196" s="55"/>
      <c r="AI196" s="55"/>
      <c r="AJ196" s="55"/>
      <c r="AK196" s="55"/>
      <c r="AL196" s="55"/>
      <c r="AM196" s="55"/>
      <c r="AN196" s="55"/>
      <c r="AO196" s="55"/>
    </row>
    <row r="197" ht="17.25" customHeight="1">
      <c r="A197" s="50">
        <f>IFERROR(__xludf.DUMMYFUNCTION("QUERY('Volunteer Survey'!A204)"),43606.40039928241)</f>
        <v>43606.4004</v>
      </c>
      <c r="B197" s="48" t="s">
        <v>108</v>
      </c>
      <c r="C197" s="79">
        <v>43819.0</v>
      </c>
      <c r="D197" s="56"/>
      <c r="E197" s="48"/>
      <c r="F197" s="48" t="s">
        <v>130</v>
      </c>
      <c r="G197" s="48" t="s">
        <v>122</v>
      </c>
      <c r="H197" s="51"/>
      <c r="I197" s="51" t="s">
        <v>356</v>
      </c>
      <c r="J197" s="55"/>
      <c r="K197" s="55"/>
      <c r="L197" s="55" t="str">
        <f>IFERROR(__xludf.DUMMYFUNCTION("QUERY('Volunteer Survey'!B204)"),"Emma Reble")</f>
        <v>Emma Reble</v>
      </c>
      <c r="M197" s="55" t="str">
        <f>IFERROR(__xludf.DUMMYFUNCTION("QUERY('Volunteer Survey'!E204)"),"reblee@smh.ca")</f>
        <v>reblee@smh.ca</v>
      </c>
      <c r="N197" s="55" t="str">
        <f>IFERROR(__xludf.DUMMYFUNCTION("QUERY('Volunteer Survey'!F204)"),"Variant Analyst/Scientist - Academic")</f>
        <v>Variant Analyst/Scientist - Academic</v>
      </c>
      <c r="O197" s="48" t="str">
        <f>IFERROR(__xludf.DUMMYFUNCTION("QUERY('Volunteer Survey'!H204)"),"Comprehensive")</f>
        <v>Comprehensive</v>
      </c>
      <c r="P197" s="55" t="str">
        <f>IFERROR(__xludf.DUMMYFUNCTION("QUERY('Volunteer Survey'!I204)"),"Gene-Disease Validity")</f>
        <v>Gene-Disease Validity</v>
      </c>
      <c r="Q197" s="60" t="str">
        <f>IFERROR(__xludf.DUMMYFUNCTION("QUERY('Volunteer Survey'!J204)"),"")</f>
        <v/>
      </c>
      <c r="R197" s="55" t="str">
        <f>IFERROR(__xludf.DUMMYFUNCTION("QUERY('Volunteer Survey'!K204)"),"")</f>
        <v/>
      </c>
      <c r="S197" s="55" t="str">
        <f>IFERROR(__xludf.DUMMYFUNCTION("QUERY('Volunteer Survey'!L204)"),"")</f>
        <v/>
      </c>
      <c r="T197" s="55" t="str">
        <f>IFERROR(__xludf.DUMMYFUNCTION("QUERY('Volunteer Survey'!M204)"),"")</f>
        <v/>
      </c>
      <c r="U197" s="64" t="str">
        <f>IFERROR(__xludf.DUMMYFUNCTION("QUERY('Volunteer Survey'!N204)"),"This is my second time filing out this survey. I am doing the variant curation training and have re-filled out this survey to participate in the gene curation training in the future. ")</f>
        <v>This is my second time filing out this survey. I am doing the variant curation training and have re-filled out this survey to participate in the gene curation training in the future. </v>
      </c>
      <c r="V197" s="55" t="str">
        <f>IFERROR(__xludf.DUMMYFUNCTION("QUERY('Volunteer Survey'!O204)"),"Yes")</f>
        <v>Yes</v>
      </c>
      <c r="W197" s="66" t="str">
        <f>IFERROR(__xludf.DUMMYFUNCTION("QUERY('Volunteer Survey'!P204)"),"ID/Autism")</f>
        <v>ID/Autism</v>
      </c>
      <c r="X197" s="64" t="str">
        <f>IFERROR(__xludf.DUMMYFUNCTION("QUERY('Volunteer Survey'!R204)"),"Maybe -- please contact me with other options, and I will decide based on what is available")</f>
        <v>Maybe -- please contact me with other options, and I will decide based on what is available</v>
      </c>
      <c r="Y197" s="51" t="s">
        <v>359</v>
      </c>
      <c r="Z197" s="55"/>
      <c r="AA197" s="55"/>
      <c r="AB197" s="55"/>
      <c r="AC197" s="55"/>
      <c r="AD197" s="55"/>
      <c r="AE197" s="55"/>
      <c r="AF197" s="55"/>
      <c r="AG197" s="55"/>
      <c r="AH197" s="55"/>
      <c r="AI197" s="55"/>
      <c r="AJ197" s="55"/>
      <c r="AK197" s="55"/>
      <c r="AL197" s="55"/>
      <c r="AM197" s="55"/>
      <c r="AN197" s="55"/>
      <c r="AO197" s="55"/>
    </row>
    <row r="198">
      <c r="A198" s="50">
        <f>IFERROR(__xludf.DUMMYFUNCTION("QUERY('Volunteer Survey'!A205)"),43607.54873863426)</f>
        <v>43607.54874</v>
      </c>
      <c r="B198" s="48" t="s">
        <v>108</v>
      </c>
      <c r="C198" s="53"/>
      <c r="D198" s="56">
        <v>43627.0</v>
      </c>
      <c r="E198" s="48" t="s">
        <v>117</v>
      </c>
      <c r="F198" s="48" t="s">
        <v>117</v>
      </c>
      <c r="G198" s="48" t="s">
        <v>313</v>
      </c>
      <c r="H198" s="53"/>
      <c r="I198" s="51" t="s">
        <v>139</v>
      </c>
      <c r="J198" s="55"/>
      <c r="K198" s="55"/>
      <c r="L198" s="55" t="str">
        <f>IFERROR(__xludf.DUMMYFUNCTION("QUERY('Volunteer Survey'!B205)"),"Robert Butler")</f>
        <v>Robert Butler</v>
      </c>
      <c r="M198" s="55" t="str">
        <f>IFERROR(__xludf.DUMMYFUNCTION("QUERY('Volunteer Survey'!E205)"),"rbutler@northshore.org")</f>
        <v>rbutler@northshore.org</v>
      </c>
      <c r="N198" s="55" t="str">
        <f>IFERROR(__xludf.DUMMYFUNCTION("QUERY('Volunteer Survey'!F205)"),"Post Doc/Resident/Fellow (MD and/or PhD)")</f>
        <v>Post Doc/Resident/Fellow (MD and/or PhD)</v>
      </c>
      <c r="O198" s="48" t="str">
        <f>IFERROR(__xludf.DUMMYFUNCTION("QUERY('Volunteer Survey'!H205)"),"Comprehensive")</f>
        <v>Comprehensive</v>
      </c>
      <c r="P198" s="55" t="str">
        <f>IFERROR(__xludf.DUMMYFUNCTION("QUERY('Volunteer Survey'!I205)"),"Variant Pathogenicity")</f>
        <v>Variant Pathogenicity</v>
      </c>
      <c r="Q198" s="60" t="str">
        <f>IFERROR(__xludf.DUMMYFUNCTION("QUERY('Volunteer Survey'!J205)"),"Gene-Disease Validity")</f>
        <v>Gene-Disease Validity</v>
      </c>
      <c r="R198" s="55" t="str">
        <f>IFERROR(__xludf.DUMMYFUNCTION("QUERY('Volunteer Survey'!K205)"),"")</f>
        <v/>
      </c>
      <c r="S198" s="55" t="str">
        <f>IFERROR(__xludf.DUMMYFUNCTION("QUERY('Volunteer Survey'!L205)"),"")</f>
        <v/>
      </c>
      <c r="T198" s="55" t="str">
        <f>IFERROR(__xludf.DUMMYFUNCTION("QUERY('Volunteer Survey'!M205)"),"")</f>
        <v/>
      </c>
      <c r="U198" s="64" t="str">
        <f>IFERROR(__xludf.DUMMYFUNCTION("QUERY('Volunteer Survey'!N205)"),"I have some experience with variant interpretation and classification. My primary role in my job at NorthShore is research on our hospital cohort of variant data. I also authored a software tool, Clinotator, to examine variant evidence in ClinVar. My seco"&amp;"ndary job position is with the UChicago Department of Psychiatry and Behavioral Neuroscience and deals with neurodegenerative conditions (mainly AD). ")</f>
        <v>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v>
      </c>
      <c r="V198" s="55" t="str">
        <f>IFERROR(__xludf.DUMMYFUNCTION("QUERY('Volunteer Survey'!O205)"),"Possibly")</f>
        <v>Possibly</v>
      </c>
      <c r="W198" s="66" t="str">
        <f>IFERROR(__xludf.DUMMYFUNCTION("QUERY('Volunteer Survey'!P205)"),"Ideally a working group regarding my experience, like Sequence Variant Discrepancy Resolution or Interpretation. Alternately, I have a growing interest (but much less knowledge) in the three areas of dosage sensitivity working groups, coming from a comput"&amp;"ational perspective (equal interest in all three). ")</f>
        <v>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v>
      </c>
      <c r="X198" s="64" t="str">
        <f>IFERROR(__xludf.DUMMYFUNCTION("QUERY('Volunteer Survey'!R205)"),"Maybe -- please contact me with other options, and I will decide based on what is available")</f>
        <v>Maybe -- please contact me with other options, and I will decide based on what is available</v>
      </c>
      <c r="Y198" s="53"/>
      <c r="Z198" s="55"/>
      <c r="AA198" s="55"/>
      <c r="AB198" s="55"/>
      <c r="AC198" s="55"/>
      <c r="AD198" s="55"/>
      <c r="AE198" s="55"/>
      <c r="AF198" s="55"/>
      <c r="AG198" s="55"/>
      <c r="AH198" s="55"/>
      <c r="AI198" s="55"/>
      <c r="AJ198" s="55"/>
      <c r="AK198" s="55"/>
      <c r="AL198" s="55"/>
      <c r="AM198" s="55"/>
      <c r="AN198" s="55"/>
      <c r="AO198" s="55"/>
    </row>
    <row r="199">
      <c r="A199" s="50">
        <f>IFERROR(__xludf.DUMMYFUNCTION("QUERY('Volunteer Survey'!A206)"),43609.955753240734)</f>
        <v>43609.95575</v>
      </c>
      <c r="B199" s="48" t="s">
        <v>108</v>
      </c>
      <c r="C199" s="53"/>
      <c r="D199" s="56">
        <v>43626.0</v>
      </c>
      <c r="E199" s="48" t="s">
        <v>117</v>
      </c>
      <c r="F199" s="48" t="s">
        <v>117</v>
      </c>
      <c r="G199" s="48" t="s">
        <v>251</v>
      </c>
      <c r="H199" s="53"/>
      <c r="I199" s="51" t="s">
        <v>356</v>
      </c>
      <c r="J199" s="55"/>
      <c r="K199" s="55"/>
      <c r="L199" s="55" t="str">
        <f>IFERROR(__xludf.DUMMYFUNCTION("QUERY('Volunteer Survey'!B206)"),"Ljubica Caldovic")</f>
        <v>Ljubica Caldovic</v>
      </c>
      <c r="M199" s="55" t="str">
        <f>IFERROR(__xludf.DUMMYFUNCTION("QUERY('Volunteer Survey'!E206)"),"lcaldovic@childrensnational.org")</f>
        <v>lcaldovic@childrensnational.org</v>
      </c>
      <c r="N199" s="55" t="str">
        <f>IFERROR(__xludf.DUMMYFUNCTION("QUERY('Volunteer Survey'!F206)"),"Scientific Researcher")</f>
        <v>Scientific Researcher</v>
      </c>
      <c r="O199" s="48" t="str">
        <f>IFERROR(__xludf.DUMMYFUNCTION("QUERY('Volunteer Survey'!H206)"),"Comprehensive")</f>
        <v>Comprehensive</v>
      </c>
      <c r="P199" s="55" t="str">
        <f>IFERROR(__xludf.DUMMYFUNCTION("QUERY('Volunteer Survey'!I206)"),"Variant Pathogenicity")</f>
        <v>Variant Pathogenicity</v>
      </c>
      <c r="Q199" s="60" t="str">
        <f>IFERROR(__xludf.DUMMYFUNCTION("QUERY('Volunteer Survey'!J206)"),"Gene-Disease Validity")</f>
        <v>Gene-Disease Validity</v>
      </c>
      <c r="R199" s="55" t="str">
        <f>IFERROR(__xludf.DUMMYFUNCTION("QUERY('Volunteer Survey'!K206)"),"")</f>
        <v/>
      </c>
      <c r="S199" s="55" t="str">
        <f>IFERROR(__xludf.DUMMYFUNCTION("QUERY('Volunteer Survey'!L206)"),"")</f>
        <v/>
      </c>
      <c r="T199" s="55" t="str">
        <f>IFERROR(__xludf.DUMMYFUNCTION("QUERY('Volunteer Survey'!M206)"),"")</f>
        <v/>
      </c>
      <c r="U199" s="64" t="str">
        <f>IFERROR(__xludf.DUMMYFUNCTION("QUERY('Volunteer Survey'!N206)"),"I am currently a member of the aminoacidopathy expert panel and curator for the NAGS gene. Because of my expertise in molecular biology, biochemistry, genetics and genomics I am really interested in variant curation")</f>
        <v>I am currently a member of the aminoacidopathy expert panel and curator for the NAGS gene. Because of my expertise in molecular biology, biochemistry, genetics and genomics I am really interested in variant curation</v>
      </c>
      <c r="V199" s="55" t="str">
        <f>IFERROR(__xludf.DUMMYFUNCTION("QUERY('Volunteer Survey'!O206)"),"Yes")</f>
        <v>Yes</v>
      </c>
      <c r="W199" s="66" t="str">
        <f>IFERROR(__xludf.DUMMYFUNCTION("QUERY('Volunteer Survey'!P206)"),"I am a member of the aminoacidopathy expert panel")</f>
        <v>I am a member of the aminoacidopathy expert panel</v>
      </c>
      <c r="X199" s="64" t="str">
        <f>IFERROR(__xludf.DUMMYFUNCTION("QUERY('Volunteer Survey'!R206)"),"No - I am only interested in the group(s) I previously indicated")</f>
        <v>No - I am only interested in the group(s) I previously indicated</v>
      </c>
      <c r="Y199" s="51" t="s">
        <v>360</v>
      </c>
      <c r="Z199" s="55"/>
      <c r="AA199" s="55"/>
      <c r="AB199" s="55"/>
      <c r="AC199" s="55"/>
      <c r="AD199" s="55"/>
      <c r="AE199" s="55"/>
      <c r="AF199" s="55"/>
      <c r="AG199" s="55"/>
      <c r="AH199" s="55"/>
      <c r="AI199" s="55"/>
      <c r="AJ199" s="55"/>
      <c r="AK199" s="55"/>
      <c r="AL199" s="55"/>
      <c r="AM199" s="55"/>
      <c r="AN199" s="55"/>
      <c r="AO199" s="55"/>
    </row>
    <row r="200">
      <c r="A200" s="50">
        <f>IFERROR(__xludf.DUMMYFUNCTION("QUERY('Volunteer Survey'!A207)"),43610.740048368054)</f>
        <v>43610.74005</v>
      </c>
      <c r="B200" s="48" t="s">
        <v>160</v>
      </c>
      <c r="C200" s="53"/>
      <c r="D200" s="56">
        <v>43627.0</v>
      </c>
      <c r="E200" s="48" t="s">
        <v>117</v>
      </c>
      <c r="F200" s="48" t="s">
        <v>117</v>
      </c>
      <c r="G200" s="48" t="s">
        <v>251</v>
      </c>
      <c r="H200" s="51" t="s">
        <v>303</v>
      </c>
      <c r="I200" s="51" t="s">
        <v>139</v>
      </c>
      <c r="J200" s="56">
        <v>43712.0</v>
      </c>
      <c r="K200" s="56"/>
      <c r="L200" s="55" t="str">
        <f>IFERROR(__xludf.DUMMYFUNCTION("QUERY('Volunteer Survey'!B207)"),"Joy Goffena")</f>
        <v>Joy Goffena</v>
      </c>
      <c r="M200" s="55" t="str">
        <f>IFERROR(__xludf.DUMMYFUNCTION("QUERY('Volunteer Survey'!E207)"),"joy.goffena@gmail.com")</f>
        <v>joy.goffena@gmail.com</v>
      </c>
      <c r="N200" s="55" t="str">
        <f>IFERROR(__xludf.DUMMYFUNCTION("QUERY('Volunteer Survey'!F207)"),"Scientific Researcher")</f>
        <v>Scientific Researcher</v>
      </c>
      <c r="O200" s="48" t="str">
        <f>IFERROR(__xludf.DUMMYFUNCTION("QUERY('Volunteer Survey'!H207)"),"Comprehensive")</f>
        <v>Comprehensive</v>
      </c>
      <c r="P200" s="55" t="str">
        <f>IFERROR(__xludf.DUMMYFUNCTION("QUERY('Volunteer Survey'!I207)"),"Variant Pathogenicity")</f>
        <v>Variant Pathogenicity</v>
      </c>
      <c r="Q200" s="60" t="str">
        <f>IFERROR(__xludf.DUMMYFUNCTION("QUERY('Volunteer Survey'!J207)"),"Gene-Disease Validity")</f>
        <v>Gene-Disease Validity</v>
      </c>
      <c r="R200" s="55" t="str">
        <f>IFERROR(__xludf.DUMMYFUNCTION("QUERY('Volunteer Survey'!K207)"),"Somatic Cancer")</f>
        <v>Somatic Cancer</v>
      </c>
      <c r="S200" s="55" t="str">
        <f>IFERROR(__xludf.DUMMYFUNCTION("QUERY('Volunteer Survey'!L207)"),"Clinical Actionability")</f>
        <v>Clinical Actionability</v>
      </c>
      <c r="T200" s="55" t="str">
        <f>IFERROR(__xludf.DUMMYFUNCTION("QUERY('Volunteer Survey'!M207)"),"Dosage Sensitivity")</f>
        <v>Dosage Sensitivity</v>
      </c>
      <c r="U200" s="64" t="str">
        <f>IFERROR(__xludf.DUMMYFUNCTION("QUERY('Volunteer Survey'!N207)"),"")</f>
        <v/>
      </c>
      <c r="V200" s="55" t="str">
        <f>IFERROR(__xludf.DUMMYFUNCTION("QUERY('Volunteer Survey'!O207)"),"Yes")</f>
        <v>Yes</v>
      </c>
      <c r="W200" s="66" t="str">
        <f>IFERROR(__xludf.DUMMYFUNCTION("QUERY('Volunteer Survey'!P207)"),"")</f>
        <v/>
      </c>
      <c r="X200" s="64" t="str">
        <f>IFERROR(__xludf.DUMMYFUNCTION("QUERY('Volunteer Survey'!R207)"),"Yes- I am willing to volunteer with any available ClinGen group")</f>
        <v>Yes- I am willing to volunteer with any available ClinGen group</v>
      </c>
      <c r="Y200" s="53"/>
      <c r="Z200" s="55"/>
      <c r="AA200" s="55"/>
      <c r="AB200" s="55"/>
      <c r="AC200" s="55"/>
      <c r="AD200" s="55"/>
      <c r="AE200" s="55"/>
      <c r="AF200" s="55"/>
      <c r="AG200" s="55"/>
      <c r="AH200" s="55"/>
      <c r="AI200" s="55"/>
      <c r="AJ200" s="55"/>
      <c r="AK200" s="55"/>
      <c r="AL200" s="55"/>
      <c r="AM200" s="55"/>
      <c r="AN200" s="55"/>
      <c r="AO200" s="55"/>
    </row>
    <row r="201">
      <c r="A201" s="50">
        <f>IFERROR(__xludf.DUMMYFUNCTION("QUERY('Volunteer Survey'!A208)"),43612.744829560186)</f>
        <v>43612.74483</v>
      </c>
      <c r="B201" s="48" t="s">
        <v>108</v>
      </c>
      <c r="C201" s="53"/>
      <c r="D201" s="65">
        <v>43692.0</v>
      </c>
      <c r="E201" s="48" t="s">
        <v>117</v>
      </c>
      <c r="F201" s="48" t="s">
        <v>117</v>
      </c>
      <c r="G201" s="48" t="s">
        <v>122</v>
      </c>
      <c r="H201" s="53"/>
      <c r="I201" s="51" t="s">
        <v>299</v>
      </c>
      <c r="J201" s="55"/>
      <c r="K201" s="55"/>
      <c r="L201" s="55" t="str">
        <f>IFERROR(__xludf.DUMMYFUNCTION("QUERY('Volunteer Survey'!B208)"),"Amruta Phatak")</f>
        <v>Amruta Phatak</v>
      </c>
      <c r="M201" s="55" t="str">
        <f>IFERROR(__xludf.DUMMYFUNCTION("QUERY('Volunteer Survey'!E208)"),"arphatak@iu.edu")</f>
        <v>arphatak@iu.edu</v>
      </c>
      <c r="N201" s="55" t="str">
        <f>IFERROR(__xludf.DUMMYFUNCTION("QUERY('Volunteer Survey'!F208)"),"Post Doc/Resident/Fellow (MD and/or PhD)")</f>
        <v>Post Doc/Resident/Fellow (MD and/or PhD)</v>
      </c>
      <c r="O201" s="48" t="str">
        <f>IFERROR(__xludf.DUMMYFUNCTION("QUERY('Volunteer Survey'!H208)"),"Comprehensive")</f>
        <v>Comprehensive</v>
      </c>
      <c r="P201" s="55" t="str">
        <f>IFERROR(__xludf.DUMMYFUNCTION("QUERY('Volunteer Survey'!I208)"),"Gene-Disease Validity")</f>
        <v>Gene-Disease Validity</v>
      </c>
      <c r="Q201" s="60" t="str">
        <f>IFERROR(__xludf.DUMMYFUNCTION("QUERY('Volunteer Survey'!J208)"),"Variant Pathogenicity")</f>
        <v>Variant Pathogenicity</v>
      </c>
      <c r="R201" s="55" t="str">
        <f>IFERROR(__xludf.DUMMYFUNCTION("QUERY('Volunteer Survey'!K208)"),"Dosage Sensitivity")</f>
        <v>Dosage Sensitivity</v>
      </c>
      <c r="S201" s="55" t="str">
        <f>IFERROR(__xludf.DUMMYFUNCTION("QUERY('Volunteer Survey'!L208)"),"")</f>
        <v/>
      </c>
      <c r="T201" s="55" t="str">
        <f>IFERROR(__xludf.DUMMYFUNCTION("QUERY('Volunteer Survey'!M208)"),"")</f>
        <v/>
      </c>
      <c r="U201" s="64" t="str">
        <f>IFERROR(__xludf.DUMMYFUNCTION("QUERY('Volunteer Survey'!N208)"),"")</f>
        <v/>
      </c>
      <c r="V201" s="55" t="str">
        <f>IFERROR(__xludf.DUMMYFUNCTION("QUERY('Volunteer Survey'!O208)"),"Yes")</f>
        <v>Yes</v>
      </c>
      <c r="W201" s="66" t="str">
        <f>IFERROR(__xludf.DUMMYFUNCTION("QUERY('Volunteer Survey'!P208)"),"")</f>
        <v/>
      </c>
      <c r="X201" s="64" t="str">
        <f>IFERROR(__xludf.DUMMYFUNCTION("QUERY('Volunteer Survey'!R208)"),"Yes- I am willing to volunteer with any available ClinGen group")</f>
        <v>Yes- I am willing to volunteer with any available ClinGen group</v>
      </c>
      <c r="Y201" s="53"/>
      <c r="Z201" s="55"/>
      <c r="AA201" s="55"/>
      <c r="AB201" s="55"/>
      <c r="AC201" s="55"/>
      <c r="AD201" s="55"/>
      <c r="AE201" s="55"/>
      <c r="AF201" s="55"/>
      <c r="AG201" s="55"/>
      <c r="AH201" s="55"/>
      <c r="AI201" s="55"/>
      <c r="AJ201" s="55"/>
      <c r="AK201" s="55"/>
      <c r="AL201" s="55"/>
      <c r="AM201" s="55"/>
      <c r="AN201" s="55"/>
      <c r="AO201" s="55"/>
    </row>
    <row r="202">
      <c r="A202" s="50">
        <f>IFERROR(__xludf.DUMMYFUNCTION("QUERY('Volunteer Survey'!A209)"),43614.60976244212)</f>
        <v>43614.60976</v>
      </c>
      <c r="B202" s="48" t="s">
        <v>108</v>
      </c>
      <c r="C202" s="53"/>
      <c r="D202" s="55"/>
      <c r="E202" s="55"/>
      <c r="F202" s="48" t="s">
        <v>130</v>
      </c>
      <c r="G202" s="48" t="s">
        <v>202</v>
      </c>
      <c r="H202" s="53"/>
      <c r="I202" s="51" t="s">
        <v>139</v>
      </c>
      <c r="J202" s="55"/>
      <c r="K202" s="55"/>
      <c r="L202" s="55" t="str">
        <f>IFERROR(__xludf.DUMMYFUNCTION("QUERY('Volunteer Survey'!B209)"),"Marcela Dias Hanna")</f>
        <v>Marcela Dias Hanna</v>
      </c>
      <c r="M202" s="55" t="str">
        <f>IFERROR(__xludf.DUMMYFUNCTION("QUERY('Volunteer Survey'!E209)"),"marcelahanna8@gmail.com")</f>
        <v>marcelahanna8@gmail.com</v>
      </c>
      <c r="N202" s="55" t="str">
        <f>IFERROR(__xludf.DUMMYFUNCTION("QUERY('Volunteer Survey'!F209)"),"Graduate Student")</f>
        <v>Graduate Student</v>
      </c>
      <c r="O202" s="48" t="str">
        <f>IFERROR(__xludf.DUMMYFUNCTION("QUERY('Volunteer Survey'!H209)"),"Baseline")</f>
        <v>Baseline</v>
      </c>
      <c r="P202" s="55" t="str">
        <f>IFERROR(__xludf.DUMMYFUNCTION("QUERY('Volunteer Survey'!I209)"),"Gene-Disease Validity")</f>
        <v>Gene-Disease Validity</v>
      </c>
      <c r="Q202" s="60" t="str">
        <f>IFERROR(__xludf.DUMMYFUNCTION("QUERY('Volunteer Survey'!J209)"),"Variant Pathogenicity")</f>
        <v>Variant Pathogenicity</v>
      </c>
      <c r="R202" s="55" t="str">
        <f>IFERROR(__xludf.DUMMYFUNCTION("QUERY('Volunteer Survey'!K209)"),"Somatic Cancer")</f>
        <v>Somatic Cancer</v>
      </c>
      <c r="S202" s="55" t="str">
        <f>IFERROR(__xludf.DUMMYFUNCTION("QUERY('Volunteer Survey'!L209)"),"")</f>
        <v/>
      </c>
      <c r="T202" s="55" t="str">
        <f>IFERROR(__xludf.DUMMYFUNCTION("QUERY('Volunteer Survey'!M209)"),"")</f>
        <v/>
      </c>
      <c r="U202" s="64" t="str">
        <f>IFERROR(__xludf.DUMMYFUNCTION("QUERY('Volunteer Survey'!N209)"),"No.")</f>
        <v>No.</v>
      </c>
      <c r="V202" s="55" t="str">
        <f>IFERROR(__xludf.DUMMYFUNCTION("QUERY('Volunteer Survey'!O209)"),"No")</f>
        <v>No</v>
      </c>
      <c r="W202" s="66" t="str">
        <f>IFERROR(__xludf.DUMMYFUNCTION("QUERY('Volunteer Survey'!P209)"),"In order of preference: Gene curations: brain malformations; Variant: platelet disorder, TP53, VHL, brain malformations; Somatic: prediatric")</f>
        <v>In order of preference: Gene curations: brain malformations; Variant: platelet disorder, TP53, VHL, brain malformations; Somatic: prediatric</v>
      </c>
      <c r="X202" s="64" t="str">
        <f>IFERROR(__xludf.DUMMYFUNCTION("QUERY('Volunteer Survey'!R209)"),"Maybe -- please contact me with other options, and I will decide based on what is available")</f>
        <v>Maybe -- please contact me with other options, and I will decide based on what is available</v>
      </c>
      <c r="Y202" s="53"/>
      <c r="Z202" s="55"/>
      <c r="AA202" s="55"/>
      <c r="AB202" s="55"/>
      <c r="AC202" s="55"/>
      <c r="AD202" s="55"/>
      <c r="AE202" s="55"/>
      <c r="AF202" s="55"/>
      <c r="AG202" s="55"/>
      <c r="AH202" s="55"/>
      <c r="AI202" s="55"/>
      <c r="AJ202" s="55"/>
      <c r="AK202" s="55"/>
      <c r="AL202" s="55"/>
      <c r="AM202" s="55"/>
      <c r="AN202" s="55"/>
      <c r="AO202" s="55"/>
    </row>
    <row r="203">
      <c r="A203" s="50">
        <f>IFERROR(__xludf.DUMMYFUNCTION("QUERY('Volunteer Survey'!A210)"),43615.06075428241)</f>
        <v>43615.06075</v>
      </c>
      <c r="B203" s="48" t="s">
        <v>361</v>
      </c>
      <c r="C203" s="79">
        <v>43819.0</v>
      </c>
      <c r="D203" s="55"/>
      <c r="E203" s="55"/>
      <c r="F203" s="48" t="s">
        <v>130</v>
      </c>
      <c r="G203" s="48" t="s">
        <v>251</v>
      </c>
      <c r="H203" s="53"/>
      <c r="I203" s="51" t="s">
        <v>139</v>
      </c>
      <c r="J203" s="55"/>
      <c r="K203" s="55"/>
      <c r="L203" s="55" t="str">
        <f>IFERROR(__xludf.DUMMYFUNCTION("QUERY('Volunteer Survey'!B210)"),"Cath Tyner")</f>
        <v>Cath Tyner</v>
      </c>
      <c r="M203" s="55" t="str">
        <f>IFERROR(__xludf.DUMMYFUNCTION("QUERY('Volunteer Survey'!E210)"),"cathtyner@gmail.com")</f>
        <v>cathtyner@gmail.com</v>
      </c>
      <c r="N203" s="55" t="str">
        <f>IFERROR(__xludf.DUMMYFUNCTION("QUERY('Volunteer Survey'!F210)"),"Software QA Engineer at Invitae")</f>
        <v>Software QA Engineer at Invitae</v>
      </c>
      <c r="O203" s="48" t="str">
        <f>IFERROR(__xludf.DUMMYFUNCTION("QUERY('Volunteer Survey'!H210)"),"Comprehensive")</f>
        <v>Comprehensive</v>
      </c>
      <c r="P203" s="55" t="str">
        <f>IFERROR(__xludf.DUMMYFUNCTION("QUERY('Volunteer Survey'!I210)"),"Variant Pathogenicity")</f>
        <v>Variant Pathogenicity</v>
      </c>
      <c r="Q203" s="60" t="str">
        <f>IFERROR(__xludf.DUMMYFUNCTION("QUERY('Volunteer Survey'!J210)"),"Gene-Disease Validity")</f>
        <v>Gene-Disease Validity</v>
      </c>
      <c r="R203" s="55" t="str">
        <f>IFERROR(__xludf.DUMMYFUNCTION("QUERY('Volunteer Survey'!K210)"),"Clinical Actionability")</f>
        <v>Clinical Actionability</v>
      </c>
      <c r="S203" s="55" t="str">
        <f>IFERROR(__xludf.DUMMYFUNCTION("QUERY('Volunteer Survey'!L210)"),"Somatic Cancer")</f>
        <v>Somatic Cancer</v>
      </c>
      <c r="T203" s="55" t="str">
        <f>IFERROR(__xludf.DUMMYFUNCTION("QUERY('Volunteer Survey'!M210)"),"Dosage Sensitivity")</f>
        <v>Dosage Sensitivity</v>
      </c>
      <c r="U203" s="64" t="str">
        <f>IFERROR(__xludf.DUMMYFUNCTION("QUERY('Volunteer Survey'!N210)"),"QA software which is used in gene curation for Invitae")</f>
        <v>QA software which is used in gene curation for Invitae</v>
      </c>
      <c r="V203" s="55" t="str">
        <f>IFERROR(__xludf.DUMMYFUNCTION("QUERY('Volunteer Survey'!O210)"),"Possibly")</f>
        <v>Possibly</v>
      </c>
      <c r="W203" s="66" t="str">
        <f>IFERROR(__xludf.DUMMYFUNCTION("QUERY('Volunteer Survey'!P210)"),"")</f>
        <v/>
      </c>
      <c r="X203" s="64" t="str">
        <f>IFERROR(__xludf.DUMMYFUNCTION("QUERY('Volunteer Survey'!R210)"),"Maybe -- please contact me with other options, and I will decide based on what is available")</f>
        <v>Maybe -- please contact me with other options, and I will decide based on what is available</v>
      </c>
      <c r="Y203" s="51" t="s">
        <v>355</v>
      </c>
      <c r="Z203" s="55"/>
      <c r="AA203" s="55"/>
      <c r="AB203" s="55"/>
      <c r="AC203" s="55"/>
      <c r="AD203" s="55"/>
      <c r="AE203" s="55"/>
      <c r="AF203" s="55"/>
      <c r="AG203" s="55"/>
      <c r="AH203" s="55"/>
      <c r="AI203" s="55"/>
      <c r="AJ203" s="55"/>
      <c r="AK203" s="55"/>
      <c r="AL203" s="55"/>
      <c r="AM203" s="55"/>
      <c r="AN203" s="55"/>
      <c r="AO203" s="55"/>
    </row>
    <row r="204">
      <c r="A204" s="50">
        <f>IFERROR(__xludf.DUMMYFUNCTION("QUERY('Volunteer Survey'!A211)"),43615.399297673604)</f>
        <v>43615.3993</v>
      </c>
      <c r="B204" s="48" t="s">
        <v>108</v>
      </c>
      <c r="C204" s="53"/>
      <c r="D204" s="56">
        <v>43627.0</v>
      </c>
      <c r="E204" s="48" t="s">
        <v>117</v>
      </c>
      <c r="F204" s="48" t="s">
        <v>130</v>
      </c>
      <c r="G204" s="48" t="s">
        <v>251</v>
      </c>
      <c r="H204" s="53"/>
      <c r="I204" s="51" t="s">
        <v>139</v>
      </c>
      <c r="J204" s="55"/>
      <c r="K204" s="55"/>
      <c r="L204" s="55" t="str">
        <f>IFERROR(__xludf.DUMMYFUNCTION("QUERY('Volunteer Survey'!B211)"),"Abdelazeem Elhabyan ")</f>
        <v>Abdelazeem Elhabyan </v>
      </c>
      <c r="M204" s="55" t="str">
        <f>IFERROR(__xludf.DUMMYFUNCTION("QUERY('Volunteer Survey'!E211)"),"Abdelazeem_abdelhameed2015505@yahoo.com")</f>
        <v>Abdelazeem_abdelhameed2015505@yahoo.com</v>
      </c>
      <c r="N204" s="55" t="str">
        <f>IFERROR(__xludf.DUMMYFUNCTION("QUERY('Volunteer Survey'!F211)"),"Graduate Student")</f>
        <v>Graduate Student</v>
      </c>
      <c r="O204" s="48" t="str">
        <f>IFERROR(__xludf.DUMMYFUNCTION("QUERY('Volunteer Survey'!H211)"),"Comprehensive")</f>
        <v>Comprehensive</v>
      </c>
      <c r="P204" s="55" t="str">
        <f>IFERROR(__xludf.DUMMYFUNCTION("QUERY('Volunteer Survey'!I211)"),"Variant Pathogenicity")</f>
        <v>Variant Pathogenicity</v>
      </c>
      <c r="Q204" s="60" t="str">
        <f>IFERROR(__xludf.DUMMYFUNCTION("QUERY('Volunteer Survey'!J211)"),"Somatic Cancer")</f>
        <v>Somatic Cancer</v>
      </c>
      <c r="R204" s="55" t="str">
        <f>IFERROR(__xludf.DUMMYFUNCTION("QUERY('Volunteer Survey'!K211)"),"Gene-Disease Validity")</f>
        <v>Gene-Disease Validity</v>
      </c>
      <c r="S204" s="55" t="str">
        <f>IFERROR(__xludf.DUMMYFUNCTION("QUERY('Volunteer Survey'!L211)"),"Clinical Actionability")</f>
        <v>Clinical Actionability</v>
      </c>
      <c r="T204" s="55" t="str">
        <f>IFERROR(__xludf.DUMMYFUNCTION("QUERY('Volunteer Survey'!M211)"),"Dosage Sensitivity")</f>
        <v>Dosage Sensitivity</v>
      </c>
      <c r="U204" s="64" t="str">
        <f>IFERROR(__xludf.DUMMYFUNCTION("QUERY('Volunteer Survey'!N211)"),"I have received training In mapping,  variant calling using galaxy project and received many online courses in genomics ")</f>
        <v>I have received training In mapping,  variant calling using galaxy project and received many online courses in genomics </v>
      </c>
      <c r="V204" s="55" t="str">
        <f>IFERROR(__xludf.DUMMYFUNCTION("QUERY('Volunteer Survey'!O211)"),"Yes")</f>
        <v>Yes</v>
      </c>
      <c r="W204" s="66" t="str">
        <f>IFERROR(__xludf.DUMMYFUNCTION("QUERY('Volunteer Survey'!P211)"),"Hereditary cancer ")</f>
        <v>Hereditary cancer </v>
      </c>
      <c r="X204" s="64" t="str">
        <f>IFERROR(__xludf.DUMMYFUNCTION("QUERY('Volunteer Survey'!R211)"),"Yes- I am willing to volunteer with any available ClinGen group")</f>
        <v>Yes- I am willing to volunteer with any available ClinGen group</v>
      </c>
      <c r="Y204" s="53"/>
      <c r="Z204" s="55"/>
      <c r="AA204" s="55"/>
      <c r="AB204" s="55"/>
      <c r="AC204" s="55"/>
      <c r="AD204" s="55"/>
      <c r="AE204" s="55"/>
      <c r="AF204" s="55"/>
      <c r="AG204" s="55"/>
      <c r="AH204" s="55"/>
      <c r="AI204" s="55"/>
      <c r="AJ204" s="55"/>
      <c r="AK204" s="55"/>
      <c r="AL204" s="55"/>
      <c r="AM204" s="55"/>
      <c r="AN204" s="55"/>
      <c r="AO204" s="55"/>
    </row>
    <row r="205">
      <c r="A205" s="50">
        <f>IFERROR(__xludf.DUMMYFUNCTION("QUERY('Volunteer Survey'!A212)"),43615.57070869213)</f>
        <v>43615.57071</v>
      </c>
      <c r="B205" s="48" t="s">
        <v>108</v>
      </c>
      <c r="C205" s="79">
        <v>43819.0</v>
      </c>
      <c r="D205" s="55"/>
      <c r="E205" s="55"/>
      <c r="F205" s="48" t="s">
        <v>130</v>
      </c>
      <c r="G205" s="48" t="s">
        <v>122</v>
      </c>
      <c r="H205" s="53"/>
      <c r="I205" s="51" t="s">
        <v>139</v>
      </c>
      <c r="J205" s="55"/>
      <c r="K205" s="55"/>
      <c r="L205" s="55" t="str">
        <f>IFERROR(__xludf.DUMMYFUNCTION("QUERY('Volunteer Survey'!B212)"),"Claudia Gonzaga-Jauregui")</f>
        <v>Claudia Gonzaga-Jauregui</v>
      </c>
      <c r="M205" s="55" t="str">
        <f>IFERROR(__xludf.DUMMYFUNCTION("QUERY('Volunteer Survey'!E212)"),"cgonzagaj@gmail.com")</f>
        <v>cgonzagaj@gmail.com</v>
      </c>
      <c r="N205" s="55" t="str">
        <f>IFERROR(__xludf.DUMMYFUNCTION("QUERY('Volunteer Survey'!F212)"),"Scientific Researcher")</f>
        <v>Scientific Researcher</v>
      </c>
      <c r="O205" s="48" t="str">
        <f>IFERROR(__xludf.DUMMYFUNCTION("QUERY('Volunteer Survey'!H212)"),"Comprehensive")</f>
        <v>Comprehensive</v>
      </c>
      <c r="P205" s="55" t="str">
        <f>IFERROR(__xludf.DUMMYFUNCTION("QUERY('Volunteer Survey'!I212)"),"Gene-Disease Validity")</f>
        <v>Gene-Disease Validity</v>
      </c>
      <c r="Q205" s="60" t="str">
        <f>IFERROR(__xludf.DUMMYFUNCTION("QUERY('Volunteer Survey'!J212)"),"Clinical Actionability")</f>
        <v>Clinical Actionability</v>
      </c>
      <c r="R205" s="55" t="str">
        <f>IFERROR(__xludf.DUMMYFUNCTION("QUERY('Volunteer Survey'!K212)"),"Variant Pathogenicity")</f>
        <v>Variant Pathogenicity</v>
      </c>
      <c r="S205" s="55" t="str">
        <f>IFERROR(__xludf.DUMMYFUNCTION("QUERY('Volunteer Survey'!L212)"),"")</f>
        <v/>
      </c>
      <c r="T205" s="55" t="str">
        <f>IFERROR(__xludf.DUMMYFUNCTION("QUERY('Volunteer Survey'!M212)"),"")</f>
        <v/>
      </c>
      <c r="U205" s="64" t="str">
        <f>IFERROR(__xludf.DUMMYFUNCTION("QUERY('Volunteer Survey'!N212)"),"Yes, I have analyzed more than 5,000 probands and families segregating Mendelian and yet uncharacterized rare genetic disorders and identified and published more than 20 novel disease gene associations, as well as characterized pathogenic variants in know"&amp;"n disease genes to enable diagnoses in patients with suspected genetic disorders. I have also analyzed and curated pathogenic and likely pathogenic variation in large population cohorts such as the Gesinger DiscovEHR collaboration and the UK Bionbank to a"&amp;"ssess clinical actionability of pathogenic variation and prevalence of disease in unascertained populations.")</f>
        <v>Yes, I have analyzed more than 5,000 probands and families segregating Mendelian and yet uncharacterized rare genetic disorders and identified and published more than 20 novel disease gene associations, as well as characterized pathogenic variants in known disease genes to enable diagnoses in patients with suspected genetic disorders. I have also analyzed and curated pathogenic and likely pathogenic variation in large population cohorts such as the Gesinger DiscovEHR collaboration and the UK Bionbank to assess clinical actionability of pathogenic variation and prevalence of disease in unascertained populations.</v>
      </c>
      <c r="V205" s="55" t="str">
        <f>IFERROR(__xludf.DUMMYFUNCTION("QUERY('Volunteer Survey'!O212)"),"Possibly")</f>
        <v>Possibly</v>
      </c>
      <c r="W205" s="66" t="str">
        <f>IFERROR(__xludf.DUMMYFUNCTION("QUERY('Volunteer Survey'!P212)"),"Intellectual Disability and Autism, Brain Malformations, Charcot-Marie-Tooth Disease")</f>
        <v>Intellectual Disability and Autism, Brain Malformations, Charcot-Marie-Tooth Disease</v>
      </c>
      <c r="X205" s="64" t="str">
        <f>IFERROR(__xludf.DUMMYFUNCTION("QUERY('Volunteer Survey'!R212)"),"Maybe -- please contact me with other options, and I will decide based on what is available")</f>
        <v>Maybe -- please contact me with other options, and I will decide based on what is available</v>
      </c>
      <c r="Y205" s="53"/>
      <c r="Z205" s="55"/>
      <c r="AA205" s="55"/>
      <c r="AB205" s="55"/>
      <c r="AC205" s="55"/>
      <c r="AD205" s="55"/>
      <c r="AE205" s="55"/>
      <c r="AF205" s="55"/>
      <c r="AG205" s="55"/>
      <c r="AH205" s="55"/>
      <c r="AI205" s="55"/>
      <c r="AJ205" s="55"/>
      <c r="AK205" s="55"/>
      <c r="AL205" s="55"/>
      <c r="AM205" s="55"/>
      <c r="AN205" s="55"/>
      <c r="AO205" s="55"/>
    </row>
    <row r="206">
      <c r="A206" s="50">
        <f>IFERROR(__xludf.DUMMYFUNCTION("QUERY('Volunteer Survey'!A213)"),43615.977712569445)</f>
        <v>43615.97771</v>
      </c>
      <c r="B206" s="48" t="s">
        <v>168</v>
      </c>
      <c r="C206" s="79">
        <v>43689.0</v>
      </c>
      <c r="D206" s="55"/>
      <c r="E206" s="55"/>
      <c r="F206" s="48" t="s">
        <v>130</v>
      </c>
      <c r="G206" s="48" t="s">
        <v>19</v>
      </c>
      <c r="H206" s="69"/>
      <c r="I206" s="51" t="s">
        <v>139</v>
      </c>
      <c r="J206" s="55"/>
      <c r="K206" s="55"/>
      <c r="L206" s="55" t="str">
        <f>IFERROR(__xludf.DUMMYFUNCTION("QUERY('Volunteer Survey'!B213)"),"Altovise Ewing")</f>
        <v>Altovise Ewing</v>
      </c>
      <c r="M206" s="55" t="str">
        <f>IFERROR(__xludf.DUMMYFUNCTION("QUERY('Volunteer Survey'!E213)"),"altovisee@gmail.com")</f>
        <v>altovisee@gmail.com</v>
      </c>
      <c r="N206" s="55" t="str">
        <f>IFERROR(__xludf.DUMMYFUNCTION("QUERY('Volunteer Survey'!F213)"),"Genetic counselor and health equity scientist")</f>
        <v>Genetic counselor and health equity scientist</v>
      </c>
      <c r="O206" s="48" t="str">
        <f>IFERROR(__xludf.DUMMYFUNCTION("QUERY('Volunteer Survey'!H213)"),"Comprehensive")</f>
        <v>Comprehensive</v>
      </c>
      <c r="P206" s="55" t="str">
        <f>IFERROR(__xludf.DUMMYFUNCTION("QUERY('Volunteer Survey'!I213)"),"Clinical Actionability")</f>
        <v>Clinical Actionability</v>
      </c>
      <c r="Q206" s="60" t="str">
        <f>IFERROR(__xludf.DUMMYFUNCTION("QUERY('Volunteer Survey'!J213)"),"Variant Pathogenicity")</f>
        <v>Variant Pathogenicity</v>
      </c>
      <c r="R206" s="55" t="str">
        <f>IFERROR(__xludf.DUMMYFUNCTION("QUERY('Volunteer Survey'!K213)"),"Gene-Disease Validity")</f>
        <v>Gene-Disease Validity</v>
      </c>
      <c r="S206" s="55" t="str">
        <f>IFERROR(__xludf.DUMMYFUNCTION("QUERY('Volunteer Survey'!L213)"),"Dosage Sensitivity")</f>
        <v>Dosage Sensitivity</v>
      </c>
      <c r="T206" s="55" t="str">
        <f>IFERROR(__xludf.DUMMYFUNCTION("QUERY('Volunteer Survey'!M213)"),"Somatic Cancer")</f>
        <v>Somatic Cancer</v>
      </c>
      <c r="U206" s="64" t="str">
        <f>IFERROR(__xludf.DUMMYFUNCTION("QUERY('Volunteer Survey'!N213)"),"")</f>
        <v/>
      </c>
      <c r="V206" s="55" t="str">
        <f>IFERROR(__xludf.DUMMYFUNCTION("QUERY('Volunteer Survey'!O213)"),"Yes")</f>
        <v>Yes</v>
      </c>
      <c r="W206" s="66" t="str">
        <f>IFERROR(__xludf.DUMMYFUNCTION("QUERY('Volunteer Survey'!P213)"),"Hereditary cancer")</f>
        <v>Hereditary cancer</v>
      </c>
      <c r="X206" s="64" t="str">
        <f>IFERROR(__xludf.DUMMYFUNCTION("QUERY('Volunteer Survey'!R213)"),"Yes- I am willing to volunteer with any available ClinGen group")</f>
        <v>Yes- I am willing to volunteer with any available ClinGen group</v>
      </c>
      <c r="Y206" s="53"/>
      <c r="Z206" s="55"/>
      <c r="AA206" s="55"/>
      <c r="AB206" s="55"/>
      <c r="AC206" s="55"/>
      <c r="AD206" s="55"/>
      <c r="AE206" s="55"/>
      <c r="AF206" s="55"/>
      <c r="AG206" s="55"/>
      <c r="AH206" s="55"/>
      <c r="AI206" s="55"/>
      <c r="AJ206" s="55"/>
      <c r="AK206" s="55"/>
      <c r="AL206" s="55"/>
      <c r="AM206" s="55"/>
      <c r="AN206" s="55"/>
      <c r="AO206" s="55"/>
    </row>
    <row r="207">
      <c r="A207" s="50">
        <f>IFERROR(__xludf.DUMMYFUNCTION("QUERY('Volunteer Survey'!A214)"),43619.48182516204)</f>
        <v>43619.48183</v>
      </c>
      <c r="B207" s="48" t="s">
        <v>322</v>
      </c>
      <c r="C207" s="53"/>
      <c r="D207" s="55"/>
      <c r="E207" s="55"/>
      <c r="F207" s="48" t="s">
        <v>130</v>
      </c>
      <c r="G207" s="48" t="s">
        <v>163</v>
      </c>
      <c r="H207" s="53"/>
      <c r="I207" s="51" t="s">
        <v>139</v>
      </c>
      <c r="J207" s="55"/>
      <c r="K207" s="55"/>
      <c r="L207" s="55" t="str">
        <f>IFERROR(__xludf.DUMMYFUNCTION("QUERY('Volunteer Survey'!B214)"),"Laura Sack")</f>
        <v>Laura Sack</v>
      </c>
      <c r="M207" s="55" t="str">
        <f>IFERROR(__xludf.DUMMYFUNCTION("QUERY('Volunteer Survey'!E214)"),"laura@sack.io")</f>
        <v>laura@sack.io</v>
      </c>
      <c r="N207" s="55" t="str">
        <f>IFERROR(__xludf.DUMMYFUNCTION("QUERY('Volunteer Survey'!F214)"),"Variant Analyst/Scientist - Industry")</f>
        <v>Variant Analyst/Scientist - Industry</v>
      </c>
      <c r="O207" s="48" t="str">
        <f>IFERROR(__xludf.DUMMYFUNCTION("QUERY('Volunteer Survey'!H214)"),"Comprehensive")</f>
        <v>Comprehensive</v>
      </c>
      <c r="P207" s="55" t="str">
        <f>IFERROR(__xludf.DUMMYFUNCTION("QUERY('Volunteer Survey'!I214)"),"Dosage Sensitivity")</f>
        <v>Dosage Sensitivity</v>
      </c>
      <c r="Q207" s="60" t="str">
        <f>IFERROR(__xludf.DUMMYFUNCTION("QUERY('Volunteer Survey'!J214)"),"Gene-Disease Validity")</f>
        <v>Gene-Disease Validity</v>
      </c>
      <c r="R207" s="55" t="str">
        <f>IFERROR(__xludf.DUMMYFUNCTION("QUERY('Volunteer Survey'!K214)"),"Variant Pathogenicity")</f>
        <v>Variant Pathogenicity</v>
      </c>
      <c r="S207" s="55" t="str">
        <f>IFERROR(__xludf.DUMMYFUNCTION("QUERY('Volunteer Survey'!L214)"),"")</f>
        <v/>
      </c>
      <c r="T207" s="55" t="str">
        <f>IFERROR(__xludf.DUMMYFUNCTION("QUERY('Volunteer Survey'!M214)"),"")</f>
        <v/>
      </c>
      <c r="U207" s="64" t="str">
        <f>IFERROR(__xludf.DUMMYFUNCTION("QUERY('Volunteer Survey'!N214)"),"Yes, in interpreting CNVs in clinical cases, I assess dosage sensitivity and gene-disease associations in order to determine variant pathogenicity")</f>
        <v>Yes, in interpreting CNVs in clinical cases, I assess dosage sensitivity and gene-disease associations in order to determine variant pathogenicity</v>
      </c>
      <c r="V207" s="55" t="str">
        <f>IFERROR(__xludf.DUMMYFUNCTION("QUERY('Volunteer Survey'!O214)"),"Possibly")</f>
        <v>Possibly</v>
      </c>
      <c r="W207" s="66" t="str">
        <f>IFERROR(__xludf.DUMMYFUNCTION("QUERY('Volunteer Survey'!P214)"),"Dosage-Recurrent Regions, Dosage- Neurodevelopemental, Hereditary Cancer, Intellectual Disability and Autism, Epilepsy")</f>
        <v>Dosage-Recurrent Regions, Dosage- Neurodevelopemental, Hereditary Cancer, Intellectual Disability and Autism, Epilepsy</v>
      </c>
      <c r="X207" s="64" t="str">
        <f>IFERROR(__xludf.DUMMYFUNCTION("QUERY('Volunteer Survey'!R214)"),"Yes- I am willing to volunteer with any available ClinGen group")</f>
        <v>Yes- I am willing to volunteer with any available ClinGen group</v>
      </c>
      <c r="Y207" s="53"/>
      <c r="Z207" s="55"/>
      <c r="AA207" s="55"/>
      <c r="AB207" s="55"/>
      <c r="AC207" s="55"/>
      <c r="AD207" s="55"/>
      <c r="AE207" s="55"/>
      <c r="AF207" s="55"/>
      <c r="AG207" s="55"/>
      <c r="AH207" s="55"/>
      <c r="AI207" s="55"/>
      <c r="AJ207" s="55"/>
      <c r="AK207" s="55"/>
      <c r="AL207" s="55"/>
      <c r="AM207" s="55"/>
      <c r="AN207" s="55"/>
      <c r="AO207" s="55"/>
    </row>
    <row r="208">
      <c r="A208" s="50">
        <f>IFERROR(__xludf.DUMMYFUNCTION("QUERY('Volunteer Survey'!A215)"),43620.78905363426)</f>
        <v>43620.78905</v>
      </c>
      <c r="B208" s="48" t="s">
        <v>108</v>
      </c>
      <c r="C208" s="79">
        <v>43819.0</v>
      </c>
      <c r="D208" s="55"/>
      <c r="E208" s="55"/>
      <c r="F208" s="48" t="s">
        <v>130</v>
      </c>
      <c r="G208" s="48" t="s">
        <v>251</v>
      </c>
      <c r="H208" s="53"/>
      <c r="I208" s="51" t="s">
        <v>139</v>
      </c>
      <c r="J208" s="55"/>
      <c r="K208" s="55"/>
      <c r="L208" s="55" t="str">
        <f>IFERROR(__xludf.DUMMYFUNCTION("QUERY('Volunteer Survey'!B215)"),"Janel Case")</f>
        <v>Janel Case</v>
      </c>
      <c r="M208" s="55" t="str">
        <f>IFERROR(__xludf.DUMMYFUNCTION("QUERY('Volunteer Survey'!E215)"),"janelcase@live.com")</f>
        <v>janelcase@live.com</v>
      </c>
      <c r="N208" s="55" t="str">
        <f>IFERROR(__xludf.DUMMYFUNCTION("QUERY('Volunteer Survey'!F215)"),"Genetic counselor")</f>
        <v>Genetic counselor</v>
      </c>
      <c r="O208" s="48" t="str">
        <f>IFERROR(__xludf.DUMMYFUNCTION("QUERY('Volunteer Survey'!H215)"),"Comprehensive")</f>
        <v>Comprehensive</v>
      </c>
      <c r="P208" s="55" t="str">
        <f>IFERROR(__xludf.DUMMYFUNCTION("QUERY('Volunteer Survey'!I215)"),"Variant Pathogenicity")</f>
        <v>Variant Pathogenicity</v>
      </c>
      <c r="Q208" s="60" t="str">
        <f>IFERROR(__xludf.DUMMYFUNCTION("QUERY('Volunteer Survey'!J215)"),"Actionability")</f>
        <v>Actionability</v>
      </c>
      <c r="R208" s="55" t="str">
        <f>IFERROR(__xludf.DUMMYFUNCTION("QUERY('Volunteer Survey'!K215)"),"")</f>
        <v/>
      </c>
      <c r="S208" s="55" t="str">
        <f>IFERROR(__xludf.DUMMYFUNCTION("QUERY('Volunteer Survey'!L215)"),"")</f>
        <v/>
      </c>
      <c r="T208" s="55" t="str">
        <f>IFERROR(__xludf.DUMMYFUNCTION("QUERY('Volunteer Survey'!M215)"),"")</f>
        <v/>
      </c>
      <c r="U208" s="64" t="str">
        <f>IFERROR(__xludf.DUMMYFUNCTION("QUERY('Volunteer Survey'!N215)"),"Variant curation internship at Illumina ")</f>
        <v>Variant curation internship at Illumina </v>
      </c>
      <c r="V208" s="55" t="str">
        <f>IFERROR(__xludf.DUMMYFUNCTION("QUERY('Volunteer Survey'!O215)"),"Possibly")</f>
        <v>Possibly</v>
      </c>
      <c r="W208" s="66" t="str">
        <f>IFERROR(__xludf.DUMMYFUNCTION("QUERY('Volunteer Survey'!P215)"),"Any hereditary cancer related groups ")</f>
        <v>Any hereditary cancer related groups </v>
      </c>
      <c r="X208" s="64" t="str">
        <f>IFERROR(__xludf.DUMMYFUNCTION("QUERY('Volunteer Survey'!R215)"),"Maybe -- please contact me with other options, and I will decide based on what is available")</f>
        <v>Maybe -- please contact me with other options, and I will decide based on what is available</v>
      </c>
      <c r="Y208" s="53"/>
      <c r="Z208" s="55"/>
      <c r="AA208" s="55"/>
      <c r="AB208" s="55"/>
      <c r="AC208" s="55"/>
      <c r="AD208" s="55"/>
      <c r="AE208" s="55"/>
      <c r="AF208" s="55"/>
      <c r="AG208" s="55"/>
      <c r="AH208" s="55"/>
      <c r="AI208" s="55"/>
      <c r="AJ208" s="55"/>
      <c r="AK208" s="55"/>
      <c r="AL208" s="55"/>
      <c r="AM208" s="55"/>
      <c r="AN208" s="55"/>
      <c r="AO208" s="55"/>
    </row>
    <row r="209">
      <c r="A209" s="50">
        <f>IFERROR(__xludf.DUMMYFUNCTION("QUERY('Volunteer Survey'!A216)"),43621.34168687501)</f>
        <v>43621.34169</v>
      </c>
      <c r="B209" s="48" t="s">
        <v>108</v>
      </c>
      <c r="C209" s="53"/>
      <c r="D209" s="56">
        <v>43627.0</v>
      </c>
      <c r="E209" s="48" t="s">
        <v>117</v>
      </c>
      <c r="F209" s="48" t="s">
        <v>117</v>
      </c>
      <c r="G209" s="48" t="s">
        <v>251</v>
      </c>
      <c r="H209" s="53"/>
      <c r="I209" s="51" t="s">
        <v>139</v>
      </c>
      <c r="J209" s="55"/>
      <c r="K209" s="55"/>
      <c r="L209" s="55" t="str">
        <f>IFERROR(__xludf.DUMMYFUNCTION("QUERY('Volunteer Survey'!B216)"),"Carolina Bustamante")</f>
        <v>Carolina Bustamante</v>
      </c>
      <c r="M209" s="55" t="str">
        <f>IFERROR(__xludf.DUMMYFUNCTION("QUERY('Volunteer Survey'!E216)"),"carolina.bustamante@gmail.com")</f>
        <v>carolina.bustamante@gmail.com</v>
      </c>
      <c r="N209" s="55" t="str">
        <f>IFERROR(__xludf.DUMMYFUNCTION("QUERY('Volunteer Survey'!F216)"),"Variant Analyst/Scientist - Industry")</f>
        <v>Variant Analyst/Scientist - Industry</v>
      </c>
      <c r="O209" s="48" t="str">
        <f>IFERROR(__xludf.DUMMYFUNCTION("QUERY('Volunteer Survey'!H216)"),"Comprehensive")</f>
        <v>Comprehensive</v>
      </c>
      <c r="P209" s="55" t="str">
        <f>IFERROR(__xludf.DUMMYFUNCTION("QUERY('Volunteer Survey'!I216)"),"Variant Pathogenicity")</f>
        <v>Variant Pathogenicity</v>
      </c>
      <c r="Q209" s="60" t="str">
        <f>IFERROR(__xludf.DUMMYFUNCTION("QUERY('Volunteer Survey'!J216)"),"Somatic Cancer")</f>
        <v>Somatic Cancer</v>
      </c>
      <c r="R209" s="55" t="str">
        <f>IFERROR(__xludf.DUMMYFUNCTION("QUERY('Volunteer Survey'!K216)"),"Clinical Actionability")</f>
        <v>Clinical Actionability</v>
      </c>
      <c r="S209" s="55" t="str">
        <f>IFERROR(__xludf.DUMMYFUNCTION("QUERY('Volunteer Survey'!L216)"),"Gene-Disease Validity")</f>
        <v>Gene-Disease Validity</v>
      </c>
      <c r="T209" s="55" t="str">
        <f>IFERROR(__xludf.DUMMYFUNCTION("QUERY('Volunteer Survey'!M216)"),"Dosage Sensitivity")</f>
        <v>Dosage Sensitivity</v>
      </c>
      <c r="U209" s="64" t="str">
        <f>IFERROR(__xludf.DUMMYFUNCTION("QUERY('Volunteer Survey'!N216)"),"Yes, I worked as bioinformatician performing NGS analyses and variant interpretation in a genetic diagnostic lab that sequenced cerca 600 samples a month.")</f>
        <v>Yes, I worked as bioinformatician performing NGS analyses and variant interpretation in a genetic diagnostic lab that sequenced cerca 600 samples a month.</v>
      </c>
      <c r="V209" s="55" t="str">
        <f>IFERROR(__xludf.DUMMYFUNCTION("QUERY('Volunteer Survey'!O216)"),"Yes")</f>
        <v>Yes</v>
      </c>
      <c r="W209" s="66" t="str">
        <f>IFERROR(__xludf.DUMMYFUNCTION("QUERY('Volunteer Survey'!P216)"),"Cancer, Hereditary Cancer, Colorectal Cancer, Genitourinary Tract Cancers, TP53, PTEN, CDH1, FBN1. ")</f>
        <v>Cancer, Hereditary Cancer, Colorectal Cancer, Genitourinary Tract Cancers, TP53, PTEN, CDH1, FBN1. </v>
      </c>
      <c r="X209" s="64" t="str">
        <f>IFERROR(__xludf.DUMMYFUNCTION("QUERY('Volunteer Survey'!R216)"),"Yes- I am willing to volunteer with any available ClinGen group")</f>
        <v>Yes- I am willing to volunteer with any available ClinGen group</v>
      </c>
      <c r="Y209" s="53"/>
      <c r="Z209" s="55"/>
      <c r="AA209" s="55"/>
      <c r="AB209" s="55"/>
      <c r="AC209" s="55"/>
      <c r="AD209" s="55"/>
      <c r="AE209" s="55"/>
      <c r="AF209" s="55"/>
      <c r="AG209" s="55"/>
      <c r="AH209" s="55"/>
      <c r="AI209" s="55"/>
      <c r="AJ209" s="55"/>
      <c r="AK209" s="55"/>
      <c r="AL209" s="55"/>
      <c r="AM209" s="55"/>
      <c r="AN209" s="55"/>
      <c r="AO209" s="55"/>
    </row>
    <row r="210">
      <c r="A210" s="50">
        <f>IFERROR(__xludf.DUMMYFUNCTION("QUERY('Volunteer Survey'!A217)"),43621.37989456018)</f>
        <v>43621.37989</v>
      </c>
      <c r="B210" s="48" t="s">
        <v>108</v>
      </c>
      <c r="C210" s="53"/>
      <c r="D210" s="55"/>
      <c r="E210" s="55"/>
      <c r="F210" s="48" t="s">
        <v>130</v>
      </c>
      <c r="G210" s="48" t="s">
        <v>202</v>
      </c>
      <c r="H210" s="53"/>
      <c r="I210" s="51" t="s">
        <v>139</v>
      </c>
      <c r="J210" s="55"/>
      <c r="K210" s="55"/>
      <c r="L210" s="55" t="str">
        <f>IFERROR(__xludf.DUMMYFUNCTION("QUERY('Volunteer Survey'!B217)"),"Natalie Hollister")</f>
        <v>Natalie Hollister</v>
      </c>
      <c r="M210" s="55" t="str">
        <f>IFERROR(__xludf.DUMMYFUNCTION("QUERY('Volunteer Survey'!E217)"),"nsh10@alumni.duke.edu")</f>
        <v>nsh10@alumni.duke.edu</v>
      </c>
      <c r="N210" s="55" t="str">
        <f>IFERROR(__xludf.DUMMYFUNCTION("QUERY('Volunteer Survey'!F217)"),"Graduate Student")</f>
        <v>Graduate Student</v>
      </c>
      <c r="O210" s="48" t="str">
        <f>IFERROR(__xludf.DUMMYFUNCTION("QUERY('Volunteer Survey'!H217)"),"Baseline")</f>
        <v>Baseline</v>
      </c>
      <c r="P210" s="55" t="str">
        <f>IFERROR(__xludf.DUMMYFUNCTION("QUERY('Volunteer Survey'!I217)"),"")</f>
        <v/>
      </c>
      <c r="Q210" s="60" t="str">
        <f>IFERROR(__xludf.DUMMYFUNCTION("QUERY('Volunteer Survey'!J217)"),"")</f>
        <v/>
      </c>
      <c r="R210" s="55" t="str">
        <f>IFERROR(__xludf.DUMMYFUNCTION("QUERY('Volunteer Survey'!K217)"),"")</f>
        <v/>
      </c>
      <c r="S210" s="55" t="str">
        <f>IFERROR(__xludf.DUMMYFUNCTION("QUERY('Volunteer Survey'!L217)"),"")</f>
        <v/>
      </c>
      <c r="T210" s="55" t="str">
        <f>IFERROR(__xludf.DUMMYFUNCTION("QUERY('Volunteer Survey'!M217)"),"")</f>
        <v/>
      </c>
      <c r="U210" s="64" t="str">
        <f>IFERROR(__xludf.DUMMYFUNCTION("QUERY('Volunteer Survey'!N217)"),"")</f>
        <v/>
      </c>
      <c r="V210" s="55" t="str">
        <f>IFERROR(__xludf.DUMMYFUNCTION("QUERY('Volunteer Survey'!O217)"),"No")</f>
        <v>No</v>
      </c>
      <c r="W210" s="66" t="str">
        <f>IFERROR(__xludf.DUMMYFUNCTION("QUERY('Volunteer Survey'!P217)"),"")</f>
        <v/>
      </c>
      <c r="X210" s="64" t="str">
        <f>IFERROR(__xludf.DUMMYFUNCTION("QUERY('Volunteer Survey'!R217)"),"")</f>
        <v/>
      </c>
      <c r="Y210" s="53"/>
      <c r="Z210" s="55"/>
      <c r="AA210" s="55"/>
      <c r="AB210" s="55"/>
      <c r="AC210" s="55"/>
      <c r="AD210" s="55"/>
      <c r="AE210" s="55"/>
      <c r="AF210" s="55"/>
      <c r="AG210" s="55"/>
      <c r="AH210" s="55"/>
      <c r="AI210" s="55"/>
      <c r="AJ210" s="55"/>
      <c r="AK210" s="55"/>
      <c r="AL210" s="55"/>
      <c r="AM210" s="55"/>
      <c r="AN210" s="55"/>
      <c r="AO210" s="55"/>
    </row>
    <row r="211">
      <c r="A211" s="50">
        <f>IFERROR(__xludf.DUMMYFUNCTION("QUERY('Volunteer Survey'!A218)"),43622.554816875)</f>
        <v>43622.55482</v>
      </c>
      <c r="B211" s="48" t="s">
        <v>108</v>
      </c>
      <c r="C211" s="53"/>
      <c r="D211" s="65">
        <v>43692.0</v>
      </c>
      <c r="E211" s="48" t="s">
        <v>117</v>
      </c>
      <c r="F211" s="48" t="s">
        <v>117</v>
      </c>
      <c r="G211" s="48" t="s">
        <v>122</v>
      </c>
      <c r="H211" s="53"/>
      <c r="I211" s="51" t="s">
        <v>139</v>
      </c>
      <c r="J211" s="55"/>
      <c r="K211" s="55"/>
      <c r="L211" s="55" t="str">
        <f>IFERROR(__xludf.DUMMYFUNCTION("QUERY('Volunteer Survey'!B218)"),"Jean Davidson")</f>
        <v>Jean Davidson</v>
      </c>
      <c r="M211" s="55" t="str">
        <f>IFERROR(__xludf.DUMMYFUNCTION("QUERY('Volunteer Survey'!E218)"),"jdavid06@calpoly.edu")</f>
        <v>jdavid06@calpoly.edu</v>
      </c>
      <c r="N211" s="55" t="str">
        <f>IFERROR(__xludf.DUMMYFUNCTION("QUERY('Volunteer Survey'!F218)"),"Scientific Researcher")</f>
        <v>Scientific Researcher</v>
      </c>
      <c r="O211" s="48" t="str">
        <f>IFERROR(__xludf.DUMMYFUNCTION("QUERY('Volunteer Survey'!H218)"),"Comprehensive")</f>
        <v>Comprehensive</v>
      </c>
      <c r="P211" s="55" t="str">
        <f>IFERROR(__xludf.DUMMYFUNCTION("QUERY('Volunteer Survey'!I218)"),"Gene-Disease Validity")</f>
        <v>Gene-Disease Validity</v>
      </c>
      <c r="Q211" s="60" t="str">
        <f>IFERROR(__xludf.DUMMYFUNCTION("QUERY('Volunteer Survey'!J218)"),"Variant Pathogenicity")</f>
        <v>Variant Pathogenicity</v>
      </c>
      <c r="R211" s="55" t="str">
        <f>IFERROR(__xludf.DUMMYFUNCTION("QUERY('Volunteer Survey'!K218)"),"Clinical Actionability")</f>
        <v>Clinical Actionability</v>
      </c>
      <c r="S211" s="55" t="str">
        <f>IFERROR(__xludf.DUMMYFUNCTION("QUERY('Volunteer Survey'!L218)"),"Dosage Sensitivity")</f>
        <v>Dosage Sensitivity</v>
      </c>
      <c r="T211" s="55" t="str">
        <f>IFERROR(__xludf.DUMMYFUNCTION("QUERY('Volunteer Survey'!M218)"),"Somatic Cancer")</f>
        <v>Somatic Cancer</v>
      </c>
      <c r="U211" s="64" t="str">
        <f>IFERROR(__xludf.DUMMYFUNCTION("QUERY('Volunteer Survey'!N218)"),"I was a member of the Undiagnosed Disease Network at Stanford University as a genomics coordinator, as well as a member of the ENCODE coordination center at Stanford.  ")</f>
        <v>I was a member of the Undiagnosed Disease Network at Stanford University as a genomics coordinator, as well as a member of the ENCODE coordination center at Stanford.  </v>
      </c>
      <c r="V211" s="55" t="str">
        <f>IFERROR(__xludf.DUMMYFUNCTION("QUERY('Volunteer Survey'!O218)"),"No")</f>
        <v>No</v>
      </c>
      <c r="W211" s="66" t="str">
        <f>IFERROR(__xludf.DUMMYFUNCTION("QUERY('Volunteer Survey'!P218)"),"mitochondrial diseases, dilated cardiomyopathy, ")</f>
        <v>mitochondrial diseases, dilated cardiomyopathy, </v>
      </c>
      <c r="X211" s="64" t="str">
        <f>IFERROR(__xludf.DUMMYFUNCTION("QUERY('Volunteer Survey'!R218)"),"Yes- I am willing to volunteer with any available ClinGen group")</f>
        <v>Yes- I am willing to volunteer with any available ClinGen group</v>
      </c>
      <c r="Y211" s="53"/>
      <c r="Z211" s="55"/>
      <c r="AA211" s="55"/>
      <c r="AB211" s="55"/>
      <c r="AC211" s="55"/>
      <c r="AD211" s="55"/>
      <c r="AE211" s="55"/>
      <c r="AF211" s="55"/>
      <c r="AG211" s="55"/>
      <c r="AH211" s="55"/>
      <c r="AI211" s="55"/>
      <c r="AJ211" s="55"/>
      <c r="AK211" s="55"/>
      <c r="AL211" s="55"/>
      <c r="AM211" s="55"/>
      <c r="AN211" s="55"/>
      <c r="AO211" s="55"/>
    </row>
    <row r="212">
      <c r="A212" s="50">
        <f>IFERROR(__xludf.DUMMYFUNCTION("QUERY('Volunteer Survey'!A219)"),43623.2904925463)</f>
        <v>43623.29049</v>
      </c>
      <c r="B212" s="48" t="s">
        <v>168</v>
      </c>
      <c r="C212" s="53"/>
      <c r="D212" s="55"/>
      <c r="E212" s="55"/>
      <c r="F212" s="48" t="s">
        <v>130</v>
      </c>
      <c r="G212" s="48" t="s">
        <v>251</v>
      </c>
      <c r="H212" s="53"/>
      <c r="I212" s="51" t="s">
        <v>139</v>
      </c>
      <c r="J212" s="55"/>
      <c r="K212" s="55"/>
      <c r="L212" s="55" t="str">
        <f>IFERROR(__xludf.DUMMYFUNCTION("QUERY('Volunteer Survey'!B219)"),"Timo Dereani")</f>
        <v>Timo Dereani</v>
      </c>
      <c r="M212" s="55" t="str">
        <f>IFERROR(__xludf.DUMMYFUNCTION("QUERY('Volunteer Survey'!E219)"),"dereani@biologis.diagnosticum.eu")</f>
        <v>dereani@biologis.diagnosticum.eu</v>
      </c>
      <c r="N212" s="55" t="str">
        <f>IFERROR(__xludf.DUMMYFUNCTION("QUERY('Volunteer Survey'!F219)"),"Clinical laboratory geneticist")</f>
        <v>Clinical laboratory geneticist</v>
      </c>
      <c r="O212" s="48" t="str">
        <f>IFERROR(__xludf.DUMMYFUNCTION("QUERY('Volunteer Survey'!H219)"),"Comprehensive")</f>
        <v>Comprehensive</v>
      </c>
      <c r="P212" s="55" t="str">
        <f>IFERROR(__xludf.DUMMYFUNCTION("QUERY('Volunteer Survey'!I219)"),"Variant Pathogenicity")</f>
        <v>Variant Pathogenicity</v>
      </c>
      <c r="Q212" s="60" t="str">
        <f>IFERROR(__xludf.DUMMYFUNCTION("QUERY('Volunteer Survey'!J219)"),"Clinical Actionability")</f>
        <v>Clinical Actionability</v>
      </c>
      <c r="R212" s="55" t="str">
        <f>IFERROR(__xludf.DUMMYFUNCTION("QUERY('Volunteer Survey'!K219)"),"Dosage Sensitivity")</f>
        <v>Dosage Sensitivity</v>
      </c>
      <c r="S212" s="55" t="str">
        <f>IFERROR(__xludf.DUMMYFUNCTION("QUERY('Volunteer Survey'!L219)"),"Gene-Disease Validity")</f>
        <v>Gene-Disease Validity</v>
      </c>
      <c r="T212" s="55" t="str">
        <f>IFERROR(__xludf.DUMMYFUNCTION("QUERY('Volunteer Survey'!M219)"),"Somatic Cancer")</f>
        <v>Somatic Cancer</v>
      </c>
      <c r="U212" s="64" t="str">
        <f>IFERROR(__xludf.DUMMYFUNCTION("QUERY('Volunteer Survey'!N219)"),"I've already curated hundreds of variants during my work as a clinical laboratory geneticist. Additionally I've used various classification guidelines (internal, ACMG etc.) and I'm constantly trying to implement new ideas. I am currently also participatig"&amp;" in the ClinGen low penetrance working group. Additionally I've helped to create various virtual panels for the routine diagnostics at our center.")</f>
        <v>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v>
      </c>
      <c r="V212" s="55" t="str">
        <f>IFERROR(__xludf.DUMMYFUNCTION("QUERY('Volunteer Survey'!O219)"),"Yes")</f>
        <v>Yes</v>
      </c>
      <c r="W212" s="66" t="str">
        <f>IFERROR(__xludf.DUMMYFUNCTION("QUERY('Volunteer Survey'!P219)"),"Monogenic Diabetes, Hereditary Cancer")</f>
        <v>Monogenic Diabetes, Hereditary Cancer</v>
      </c>
      <c r="X212" s="64" t="str">
        <f>IFERROR(__xludf.DUMMYFUNCTION("QUERY('Volunteer Survey'!R219)"),"Maybe -- please contact me with other options, and I will decide based on what is available")</f>
        <v>Maybe -- please contact me with other options, and I will decide based on what is available</v>
      </c>
      <c r="Y212" s="53"/>
      <c r="Z212" s="55"/>
      <c r="AA212" s="55"/>
      <c r="AB212" s="55"/>
      <c r="AC212" s="55"/>
      <c r="AD212" s="55"/>
      <c r="AE212" s="55"/>
      <c r="AF212" s="55"/>
      <c r="AG212" s="55"/>
      <c r="AH212" s="55"/>
      <c r="AI212" s="55"/>
      <c r="AJ212" s="55"/>
      <c r="AK212" s="55"/>
      <c r="AL212" s="55"/>
      <c r="AM212" s="55"/>
      <c r="AN212" s="55"/>
      <c r="AO212" s="55"/>
    </row>
    <row r="213">
      <c r="A213" s="50">
        <f>IFERROR(__xludf.DUMMYFUNCTION("QUERY('Volunteer Survey'!A220)"),43625.51218064815)</f>
        <v>43625.51218</v>
      </c>
      <c r="B213" s="48" t="s">
        <v>322</v>
      </c>
      <c r="C213" s="53"/>
      <c r="D213" s="55"/>
      <c r="E213" s="55"/>
      <c r="F213" s="48" t="s">
        <v>130</v>
      </c>
      <c r="G213" s="48" t="s">
        <v>122</v>
      </c>
      <c r="H213" s="53"/>
      <c r="I213" s="51" t="s">
        <v>139</v>
      </c>
      <c r="J213" s="55"/>
      <c r="K213" s="55"/>
      <c r="L213" s="55" t="str">
        <f>IFERROR(__xludf.DUMMYFUNCTION("QUERY('Volunteer Survey'!B220)"),"Konstantinos Varvagiannis")</f>
        <v>Konstantinos Varvagiannis</v>
      </c>
      <c r="M213" s="55" t="str">
        <f>IFERROR(__xludf.DUMMYFUNCTION("QUERY('Volunteer Survey'!E220)"),"knsvarv@ath.forthnet.gr")</f>
        <v>knsvarv@ath.forthnet.gr</v>
      </c>
      <c r="N213" s="55" t="str">
        <f>IFERROR(__xludf.DUMMYFUNCTION("QUERY('Volunteer Survey'!F220)"),"Clinical Medical Geneticist")</f>
        <v>Clinical Medical Geneticist</v>
      </c>
      <c r="O213" s="48" t="str">
        <f>IFERROR(__xludf.DUMMYFUNCTION("QUERY('Volunteer Survey'!H220)"),"Baseline")</f>
        <v>Baseline</v>
      </c>
      <c r="P213" s="55" t="str">
        <f>IFERROR(__xludf.DUMMYFUNCTION("QUERY('Volunteer Survey'!I220)"),"Gene-Disease Validity")</f>
        <v>Gene-Disease Validity</v>
      </c>
      <c r="Q213" s="60" t="str">
        <f>IFERROR(__xludf.DUMMYFUNCTION("QUERY('Volunteer Survey'!J220)"),"Variant Pathogenicity")</f>
        <v>Variant Pathogenicity</v>
      </c>
      <c r="R213" s="55" t="str">
        <f>IFERROR(__xludf.DUMMYFUNCTION("QUERY('Volunteer Survey'!K220)"),"Dosage Sensitivity")</f>
        <v>Dosage Sensitivity</v>
      </c>
      <c r="S213" s="55" t="str">
        <f>IFERROR(__xludf.DUMMYFUNCTION("QUERY('Volunteer Survey'!L220)"),"Clinical Actionability")</f>
        <v>Clinical Actionability</v>
      </c>
      <c r="T213" s="55" t="str">
        <f>IFERROR(__xludf.DUMMYFUNCTION("QUERY('Volunteer Survey'!M220)"),"Somatic Cancer")</f>
        <v>Somatic Cancer</v>
      </c>
      <c r="U213" s="64" t="str">
        <f>IFERROR(__xludf.DUMMYFUNCTION("QUERY('Volunteer Survey'!N220)"),"Genomics England PanelApp - ID/epilepsy panels - (reviews available after filtering the respective panels' activity / : https://panelapp.genomicsengland.co.uk/panels/activity/?panel=285  -  https://panelapp.genomicsengland.co.uk/panels/activity/?panel=402"&amp;" )")</f>
        <v>Genomics England PanelApp - ID/epilepsy panels - (reviews available after filtering the respective panels' activity / : https://panelapp.genomicsengland.co.uk/panels/activity/?panel=285  -  https://panelapp.genomicsengland.co.uk/panels/activity/?panel=402 )</v>
      </c>
      <c r="V213" s="55" t="str">
        <f>IFERROR(__xludf.DUMMYFUNCTION("QUERY('Volunteer Survey'!O220)"),"Possibly")</f>
        <v>Possibly</v>
      </c>
      <c r="W213" s="66" t="str">
        <f>IFERROR(__xludf.DUMMYFUNCTION("QUERY('Volunteer Survey'!P220)"),"Intellectual Disability and Autism / Epilepsy")</f>
        <v>Intellectual Disability and Autism / Epilepsy</v>
      </c>
      <c r="X213" s="64" t="str">
        <f>IFERROR(__xludf.DUMMYFUNCTION("QUERY('Volunteer Survey'!R220)"),"Maybe -- please contact me with other options, and I will decide based on what is available")</f>
        <v>Maybe -- please contact me with other options, and I will decide based on what is available</v>
      </c>
      <c r="Y213" s="53"/>
      <c r="Z213" s="55"/>
      <c r="AA213" s="55"/>
      <c r="AB213" s="55"/>
      <c r="AC213" s="55"/>
      <c r="AD213" s="55"/>
      <c r="AE213" s="55"/>
      <c r="AF213" s="55"/>
      <c r="AG213" s="55"/>
      <c r="AH213" s="55"/>
      <c r="AI213" s="55"/>
      <c r="AJ213" s="55"/>
      <c r="AK213" s="55"/>
      <c r="AL213" s="55"/>
      <c r="AM213" s="55"/>
      <c r="AN213" s="55"/>
      <c r="AO213" s="55"/>
    </row>
    <row r="214">
      <c r="A214" s="50">
        <f>IFERROR(__xludf.DUMMYFUNCTION("QUERY('Volunteer Survey'!A221)"),43625.56646847222)</f>
        <v>43625.56647</v>
      </c>
      <c r="B214" s="48" t="s">
        <v>168</v>
      </c>
      <c r="C214" s="53"/>
      <c r="D214" s="55"/>
      <c r="E214" s="55"/>
      <c r="F214" s="48" t="s">
        <v>130</v>
      </c>
      <c r="G214" s="48" t="s">
        <v>251</v>
      </c>
      <c r="H214" s="53"/>
      <c r="I214" s="51" t="s">
        <v>139</v>
      </c>
      <c r="J214" s="55"/>
      <c r="K214" s="55"/>
      <c r="L214" s="55" t="str">
        <f>IFERROR(__xludf.DUMMYFUNCTION("QUERY('Volunteer Survey'!B221)"),"Jennifer Bullard")</f>
        <v>Jennifer Bullard</v>
      </c>
      <c r="M214" s="55" t="str">
        <f>IFERROR(__xludf.DUMMYFUNCTION("QUERY('Volunteer Survey'!E221)"),"jenniferluja@gmail.com")</f>
        <v>jenniferluja@gmail.com</v>
      </c>
      <c r="N214" s="55" t="str">
        <f>IFERROR(__xludf.DUMMYFUNCTION("QUERY('Volunteer Survey'!F221)"),"Clinical laboratory geneticist")</f>
        <v>Clinical laboratory geneticist</v>
      </c>
      <c r="O214" s="48" t="str">
        <f>IFERROR(__xludf.DUMMYFUNCTION("QUERY('Volunteer Survey'!H221)"),"Comprehensive")</f>
        <v>Comprehensive</v>
      </c>
      <c r="P214" s="55" t="str">
        <f>IFERROR(__xludf.DUMMYFUNCTION("QUERY('Volunteer Survey'!I221)"),"Variant Pathogenicity")</f>
        <v>Variant Pathogenicity</v>
      </c>
      <c r="Q214" s="60" t="str">
        <f>IFERROR(__xludf.DUMMYFUNCTION("QUERY('Volunteer Survey'!J221)"),"Gene-Disease Validity")</f>
        <v>Gene-Disease Validity</v>
      </c>
      <c r="R214" s="55" t="str">
        <f>IFERROR(__xludf.DUMMYFUNCTION("QUERY('Volunteer Survey'!K221)"),"Dosage Sensitivity")</f>
        <v>Dosage Sensitivity</v>
      </c>
      <c r="S214" s="55" t="str">
        <f>IFERROR(__xludf.DUMMYFUNCTION("QUERY('Volunteer Survey'!L221)"),"Clinical Actionability")</f>
        <v>Clinical Actionability</v>
      </c>
      <c r="T214" s="55" t="str">
        <f>IFERROR(__xludf.DUMMYFUNCTION("QUERY('Volunteer Survey'!M221)"),"Somatic Cancer")</f>
        <v>Somatic Cancer</v>
      </c>
      <c r="U214" s="64" t="str">
        <f>IFERROR(__xludf.DUMMYFUNCTION("QUERY('Volunteer Survey'!N221)"),"")</f>
        <v/>
      </c>
      <c r="V214" s="55" t="str">
        <f>IFERROR(__xludf.DUMMYFUNCTION("QUERY('Volunteer Survey'!O221)"),"No")</f>
        <v>No</v>
      </c>
      <c r="W214" s="66" t="str">
        <f>IFERROR(__xludf.DUMMYFUNCTION("QUERY('Volunteer Survey'!P221)"),"Monogenic Diabetes")</f>
        <v>Monogenic Diabetes</v>
      </c>
      <c r="X214" s="64" t="str">
        <f>IFERROR(__xludf.DUMMYFUNCTION("QUERY('Volunteer Survey'!R221)"),"Yes- I am willing to volunteer with any available ClinGen group")</f>
        <v>Yes- I am willing to volunteer with any available ClinGen group</v>
      </c>
      <c r="Y214" s="53"/>
      <c r="Z214" s="55"/>
      <c r="AA214" s="55"/>
      <c r="AB214" s="55"/>
      <c r="AC214" s="55"/>
      <c r="AD214" s="55"/>
      <c r="AE214" s="55"/>
      <c r="AF214" s="55"/>
      <c r="AG214" s="55"/>
      <c r="AH214" s="55"/>
      <c r="AI214" s="55"/>
      <c r="AJ214" s="55"/>
      <c r="AK214" s="55"/>
      <c r="AL214" s="55"/>
      <c r="AM214" s="55"/>
      <c r="AN214" s="55"/>
      <c r="AO214" s="55"/>
    </row>
    <row r="215">
      <c r="A215" s="50">
        <f>IFERROR(__xludf.DUMMYFUNCTION("QUERY('Volunteer Survey'!A222)"),43625.72974097222)</f>
        <v>43625.72974</v>
      </c>
      <c r="B215" s="48" t="s">
        <v>108</v>
      </c>
      <c r="C215" s="79">
        <v>43689.0</v>
      </c>
      <c r="D215" s="65">
        <v>43768.0</v>
      </c>
      <c r="E215" s="48" t="s">
        <v>117</v>
      </c>
      <c r="F215" s="48" t="s">
        <v>117</v>
      </c>
      <c r="G215" s="48" t="s">
        <v>19</v>
      </c>
      <c r="H215" s="69" t="s">
        <v>19</v>
      </c>
      <c r="I215" s="51" t="s">
        <v>139</v>
      </c>
      <c r="J215" s="55"/>
      <c r="K215" s="55"/>
      <c r="L215" s="55" t="str">
        <f>IFERROR(__xludf.DUMMYFUNCTION("QUERY('Volunteer Survey'!B222)"),"Greg Lennon")</f>
        <v>Greg Lennon</v>
      </c>
      <c r="M215" s="55" t="str">
        <f>IFERROR(__xludf.DUMMYFUNCTION("QUERY('Volunteer Survey'!E222)"),"greg.lennon@gmail.com")</f>
        <v>greg.lennon@gmail.com</v>
      </c>
      <c r="N215" s="55" t="str">
        <f>IFERROR(__xludf.DUMMYFUNCTION("QUERY('Volunteer Survey'!F222)"),"Scientific Researcher")</f>
        <v>Scientific Researcher</v>
      </c>
      <c r="O215" s="48" t="str">
        <f>IFERROR(__xludf.DUMMYFUNCTION("QUERY('Volunteer Survey'!H222)"),"Comprehensive")</f>
        <v>Comprehensive</v>
      </c>
      <c r="P215" s="55" t="str">
        <f>IFERROR(__xludf.DUMMYFUNCTION("QUERY('Volunteer Survey'!I222)"),"Clinical Actionability")</f>
        <v>Clinical Actionability</v>
      </c>
      <c r="Q215" s="60" t="str">
        <f>IFERROR(__xludf.DUMMYFUNCTION("QUERY('Volunteer Survey'!J222)"),"Variant Pathogenicity")</f>
        <v>Variant Pathogenicity</v>
      </c>
      <c r="R215" s="55" t="str">
        <f>IFERROR(__xludf.DUMMYFUNCTION("QUERY('Volunteer Survey'!K222)"),"")</f>
        <v/>
      </c>
      <c r="S215" s="55" t="str">
        <f>IFERROR(__xludf.DUMMYFUNCTION("QUERY('Volunteer Survey'!L222)"),"")</f>
        <v/>
      </c>
      <c r="T215" s="55" t="str">
        <f>IFERROR(__xludf.DUMMYFUNCTION("QUERY('Volunteer Survey'!M222)"),"")</f>
        <v/>
      </c>
      <c r="U215" s="64" t="str">
        <f>IFERROR(__xludf.DUMMYFUNCTION("QUERY('Volunteer Survey'!N222)"),"Curation of SNPedia (since 2006)")</f>
        <v>Curation of SNPedia (since 2006)</v>
      </c>
      <c r="V215" s="55" t="str">
        <f>IFERROR(__xludf.DUMMYFUNCTION("QUERY('Volunteer Survey'!O222)"),"Possibly")</f>
        <v>Possibly</v>
      </c>
      <c r="W215" s="66" t="str">
        <f>IFERROR(__xludf.DUMMYFUNCTION("QUERY('Volunteer Survey'!P222)"),"Actionability Working Group")</f>
        <v>Actionability Working Group</v>
      </c>
      <c r="X215" s="64" t="str">
        <f>IFERROR(__xludf.DUMMYFUNCTION("QUERY('Volunteer Survey'!R222)"),"Maybe -- please contact me with other options, and I will decide based on what is available")</f>
        <v>Maybe -- please contact me with other options, and I will decide based on what is available</v>
      </c>
      <c r="Y215" s="53"/>
      <c r="Z215" s="55"/>
      <c r="AA215" s="55"/>
      <c r="AB215" s="55"/>
      <c r="AC215" s="55"/>
      <c r="AD215" s="55"/>
      <c r="AE215" s="55"/>
      <c r="AF215" s="55"/>
      <c r="AG215" s="55"/>
      <c r="AH215" s="55"/>
      <c r="AI215" s="55"/>
      <c r="AJ215" s="55"/>
      <c r="AK215" s="55"/>
      <c r="AL215" s="55"/>
      <c r="AM215" s="55"/>
      <c r="AN215" s="55"/>
      <c r="AO215" s="55"/>
    </row>
    <row r="216">
      <c r="A216" s="50">
        <f>IFERROR(__xludf.DUMMYFUNCTION("QUERY('Volunteer Survey'!A223)"),43626.46727800926)</f>
        <v>43626.46728</v>
      </c>
      <c r="B216" s="48" t="s">
        <v>108</v>
      </c>
      <c r="C216" s="53"/>
      <c r="D216" s="56">
        <v>43626.0</v>
      </c>
      <c r="E216" s="48" t="s">
        <v>117</v>
      </c>
      <c r="F216" s="48" t="s">
        <v>117</v>
      </c>
      <c r="G216" s="48" t="s">
        <v>313</v>
      </c>
      <c r="H216" s="53"/>
      <c r="I216" s="51" t="s">
        <v>139</v>
      </c>
      <c r="J216" s="55"/>
      <c r="K216" s="55"/>
      <c r="L216" s="55" t="str">
        <f>IFERROR(__xludf.DUMMYFUNCTION("QUERY('Volunteer Survey'!B223)"),"Pamela")</f>
        <v>Pamela</v>
      </c>
      <c r="M216" s="55" t="str">
        <f>IFERROR(__xludf.DUMMYFUNCTION("QUERY('Volunteer Survey'!E223)"),"pchristopherson@versiti.org")</f>
        <v>pchristopherson@versiti.org</v>
      </c>
      <c r="N216" s="55" t="str">
        <f>IFERROR(__xludf.DUMMYFUNCTION("QUERY('Volunteer Survey'!F223)"),"Scientific Researcher")</f>
        <v>Scientific Researcher</v>
      </c>
      <c r="O216" s="48" t="str">
        <f>IFERROR(__xludf.DUMMYFUNCTION("QUERY('Volunteer Survey'!H223)"),"Comprehensive")</f>
        <v>Comprehensive</v>
      </c>
      <c r="P216" s="55" t="str">
        <f>IFERROR(__xludf.DUMMYFUNCTION("QUERY('Volunteer Survey'!I223)"),"Variant Pathogenicity")</f>
        <v>Variant Pathogenicity</v>
      </c>
      <c r="Q216" s="60" t="str">
        <f>IFERROR(__xludf.DUMMYFUNCTION("QUERY('Volunteer Survey'!J223)"),"")</f>
        <v/>
      </c>
      <c r="R216" s="55" t="str">
        <f>IFERROR(__xludf.DUMMYFUNCTION("QUERY('Volunteer Survey'!K223)"),"")</f>
        <v/>
      </c>
      <c r="S216" s="55" t="str">
        <f>IFERROR(__xludf.DUMMYFUNCTION("QUERY('Volunteer Survey'!L223)"),"")</f>
        <v/>
      </c>
      <c r="T216" s="55" t="str">
        <f>IFERROR(__xludf.DUMMYFUNCTION("QUERY('Volunteer Survey'!M223)"),"")</f>
        <v/>
      </c>
      <c r="U216" s="64" t="str">
        <f>IFERROR(__xludf.DUMMYFUNCTION("QUERY('Volunteer Survey'!N223)"),"Submission of variants to LOVD")</f>
        <v>Submission of variants to LOVD</v>
      </c>
      <c r="V216" s="55" t="str">
        <f>IFERROR(__xludf.DUMMYFUNCTION("QUERY('Volunteer Survey'!O223)"),"Possibly")</f>
        <v>Possibly</v>
      </c>
      <c r="W216" s="66" t="str">
        <f>IFERROR(__xludf.DUMMYFUNCTION("QUERY('Volunteer Survey'!P223)"),"Already on VWD working group")</f>
        <v>Already on VWD working group</v>
      </c>
      <c r="X216" s="64" t="str">
        <f>IFERROR(__xludf.DUMMYFUNCTION("QUERY('Volunteer Survey'!R223)"),"No - I am only interested in the group(s) I previously indicated")</f>
        <v>No - I am only interested in the group(s) I previously indicated</v>
      </c>
      <c r="Y216" s="53"/>
      <c r="Z216" s="55"/>
      <c r="AA216" s="55"/>
      <c r="AB216" s="55"/>
      <c r="AC216" s="55"/>
      <c r="AD216" s="55"/>
      <c r="AE216" s="55"/>
      <c r="AF216" s="55"/>
      <c r="AG216" s="55"/>
      <c r="AH216" s="55"/>
      <c r="AI216" s="55"/>
      <c r="AJ216" s="55"/>
      <c r="AK216" s="55"/>
      <c r="AL216" s="55"/>
      <c r="AM216" s="55"/>
      <c r="AN216" s="55"/>
      <c r="AO216" s="55"/>
    </row>
    <row r="217">
      <c r="A217" s="50">
        <f>IFERROR(__xludf.DUMMYFUNCTION("QUERY('Volunteer Survey'!A224)"),43626.62412516204)</f>
        <v>43626.62413</v>
      </c>
      <c r="B217" s="48" t="s">
        <v>160</v>
      </c>
      <c r="C217" s="53"/>
      <c r="D217" s="55"/>
      <c r="E217" s="55"/>
      <c r="F217" s="48" t="s">
        <v>130</v>
      </c>
      <c r="G217" s="48" t="s">
        <v>202</v>
      </c>
      <c r="H217" s="53"/>
      <c r="I217" s="51" t="s">
        <v>139</v>
      </c>
      <c r="J217" s="55"/>
      <c r="K217" s="55"/>
      <c r="L217" s="55" t="str">
        <f>IFERROR(__xludf.DUMMYFUNCTION("QUERY('Volunteer Survey'!B224)"),"Ernie Hobbs")</f>
        <v>Ernie Hobbs</v>
      </c>
      <c r="M217" s="55" t="str">
        <f>IFERROR(__xludf.DUMMYFUNCTION("QUERY('Volunteer Survey'!E224)"),"ernie.hobbs@congenica.com")</f>
        <v>ernie.hobbs@congenica.com</v>
      </c>
      <c r="N217" s="55" t="str">
        <f>IFERROR(__xludf.DUMMYFUNCTION("QUERY('Volunteer Survey'!F224)"),"Citizen Scientist/Patient Advocate")</f>
        <v>Citizen Scientist/Patient Advocate</v>
      </c>
      <c r="O217" s="48" t="str">
        <f>IFERROR(__xludf.DUMMYFUNCTION("QUERY('Volunteer Survey'!H224)"),"Baseline")</f>
        <v>Baseline</v>
      </c>
      <c r="P217" s="55" t="str">
        <f>IFERROR(__xludf.DUMMYFUNCTION("QUERY('Volunteer Survey'!I224)"),"Variant Pathogenicity")</f>
        <v>Variant Pathogenicity</v>
      </c>
      <c r="Q217" s="60" t="str">
        <f>IFERROR(__xludf.DUMMYFUNCTION("QUERY('Volunteer Survey'!J224)"),"Clinical Actionability")</f>
        <v>Clinical Actionability</v>
      </c>
      <c r="R217" s="55" t="str">
        <f>IFERROR(__xludf.DUMMYFUNCTION("QUERY('Volunteer Survey'!K224)"),"")</f>
        <v/>
      </c>
      <c r="S217" s="55" t="str">
        <f>IFERROR(__xludf.DUMMYFUNCTION("QUERY('Volunteer Survey'!L224)"),"")</f>
        <v/>
      </c>
      <c r="T217" s="55" t="str">
        <f>IFERROR(__xludf.DUMMYFUNCTION("QUERY('Volunteer Survey'!M224)"),"")</f>
        <v/>
      </c>
      <c r="U217" s="64" t="str">
        <f>IFERROR(__xludf.DUMMYFUNCTION("QUERY('Volunteer Survey'!N224)"),"No (but have worked for several companies that offered genomic analysis software)")</f>
        <v>No (but have worked for several companies that offered genomic analysis software)</v>
      </c>
      <c r="V217" s="55" t="str">
        <f>IFERROR(__xludf.DUMMYFUNCTION("QUERY('Volunteer Survey'!O224)"),"Possibly")</f>
        <v>Possibly</v>
      </c>
      <c r="W217" s="66" t="str">
        <f>IFERROR(__xludf.DUMMYFUNCTION("QUERY('Volunteer Survey'!P224)"),"Mitochondrial Diseases")</f>
        <v>Mitochondrial Diseases</v>
      </c>
      <c r="X217" s="64" t="str">
        <f>IFERROR(__xludf.DUMMYFUNCTION("QUERY('Volunteer Survey'!R224)"),"Maybe -- please contact me with other options, and I will decide based on what is available")</f>
        <v>Maybe -- please contact me with other options, and I will decide based on what is available</v>
      </c>
      <c r="Y217" s="53"/>
      <c r="Z217" s="55"/>
      <c r="AA217" s="55"/>
      <c r="AB217" s="55"/>
      <c r="AC217" s="55"/>
      <c r="AD217" s="55"/>
      <c r="AE217" s="55"/>
      <c r="AF217" s="55"/>
      <c r="AG217" s="55"/>
      <c r="AH217" s="55"/>
      <c r="AI217" s="55"/>
      <c r="AJ217" s="55"/>
      <c r="AK217" s="55"/>
      <c r="AL217" s="55"/>
      <c r="AM217" s="55"/>
      <c r="AN217" s="55"/>
      <c r="AO217" s="55"/>
    </row>
    <row r="218">
      <c r="A218" s="50">
        <f>IFERROR(__xludf.DUMMYFUNCTION("QUERY('Volunteer Survey'!A225)"),43626.94418322916)</f>
        <v>43626.94418</v>
      </c>
      <c r="B218" s="48" t="s">
        <v>108</v>
      </c>
      <c r="C218" s="53"/>
      <c r="D218" s="55"/>
      <c r="E218" s="55"/>
      <c r="F218" s="48" t="s">
        <v>130</v>
      </c>
      <c r="G218" s="48" t="s">
        <v>202</v>
      </c>
      <c r="H218" s="53"/>
      <c r="I218" s="51" t="s">
        <v>139</v>
      </c>
      <c r="J218" s="55"/>
      <c r="K218" s="55"/>
      <c r="L218" s="55" t="str">
        <f>IFERROR(__xludf.DUMMYFUNCTION("QUERY('Volunteer Survey'!B225)"),"Sandy Au")</f>
        <v>Sandy Au</v>
      </c>
      <c r="M218" s="55" t="str">
        <f>IFERROR(__xludf.DUMMYFUNCTION("QUERY('Volunteer Survey'!E225)"),"alkuen@hku.hk")</f>
        <v>alkuen@hku.hk</v>
      </c>
      <c r="N218" s="55" t="str">
        <f>IFERROR(__xludf.DUMMYFUNCTION("QUERY('Volunteer Survey'!F225)"),"Scientific Researcher")</f>
        <v>Scientific Researcher</v>
      </c>
      <c r="O218" s="48" t="str">
        <f>IFERROR(__xludf.DUMMYFUNCTION("QUERY('Volunteer Survey'!H225)"),"Baseline")</f>
        <v>Baseline</v>
      </c>
      <c r="P218" s="55" t="str">
        <f>IFERROR(__xludf.DUMMYFUNCTION("QUERY('Volunteer Survey'!I225)"),"Variant Pathogenicity")</f>
        <v>Variant Pathogenicity</v>
      </c>
      <c r="Q218" s="60" t="str">
        <f>IFERROR(__xludf.DUMMYFUNCTION("QUERY('Volunteer Survey'!J225)"),"Gene-Disease Validity")</f>
        <v>Gene-Disease Validity</v>
      </c>
      <c r="R218" s="55" t="str">
        <f>IFERROR(__xludf.DUMMYFUNCTION("QUERY('Volunteer Survey'!K225)"),"Dosage Sensitivity")</f>
        <v>Dosage Sensitivity</v>
      </c>
      <c r="S218" s="55" t="str">
        <f>IFERROR(__xludf.DUMMYFUNCTION("QUERY('Volunteer Survey'!L225)"),"Somatic Cancer")</f>
        <v>Somatic Cancer</v>
      </c>
      <c r="T218" s="55" t="str">
        <f>IFERROR(__xludf.DUMMYFUNCTION("QUERY('Volunteer Survey'!M225)"),"Clinical Actionability")</f>
        <v>Clinical Actionability</v>
      </c>
      <c r="U218" s="64" t="str">
        <f>IFERROR(__xludf.DUMMYFUNCTION("QUERY('Volunteer Survey'!N225)"),"I am working in a prenatal diagnostic laboratory and perform WES for prenatal cases. We have experience in variant classification and clinical reporting. ")</f>
        <v>I am working in a prenatal diagnostic laboratory and perform WES for prenatal cases. We have experience in variant classification and clinical reporting. </v>
      </c>
      <c r="V218" s="55" t="str">
        <f>IFERROR(__xludf.DUMMYFUNCTION("QUERY('Volunteer Survey'!O225)"),"Yes")</f>
        <v>Yes</v>
      </c>
      <c r="W218" s="66" t="str">
        <f>IFERROR(__xludf.DUMMYFUNCTION("QUERY('Volunteer Survey'!P225)"),"Variant Curation Expert Panels")</f>
        <v>Variant Curation Expert Panels</v>
      </c>
      <c r="X218" s="64" t="str">
        <f>IFERROR(__xludf.DUMMYFUNCTION("QUERY('Volunteer Survey'!R225)"),"Yes- I am willing to volunteer with any available ClinGen group")</f>
        <v>Yes- I am willing to volunteer with any available ClinGen group</v>
      </c>
      <c r="Y218" s="53"/>
      <c r="Z218" s="55"/>
      <c r="AA218" s="55"/>
      <c r="AB218" s="55"/>
      <c r="AC218" s="55"/>
      <c r="AD218" s="55"/>
      <c r="AE218" s="55"/>
      <c r="AF218" s="55"/>
      <c r="AG218" s="55"/>
      <c r="AH218" s="55"/>
      <c r="AI218" s="55"/>
      <c r="AJ218" s="55"/>
      <c r="AK218" s="55"/>
      <c r="AL218" s="55"/>
      <c r="AM218" s="55"/>
      <c r="AN218" s="55"/>
      <c r="AO218" s="55"/>
    </row>
    <row r="219">
      <c r="A219" s="50">
        <f>IFERROR(__xludf.DUMMYFUNCTION("QUERY('Volunteer Survey'!A226)"),43627.30079422453)</f>
        <v>43627.30079</v>
      </c>
      <c r="B219" s="48" t="s">
        <v>108</v>
      </c>
      <c r="C219" s="79">
        <v>43689.0</v>
      </c>
      <c r="D219" s="55"/>
      <c r="E219" s="48" t="s">
        <v>117</v>
      </c>
      <c r="F219" s="48" t="s">
        <v>130</v>
      </c>
      <c r="G219" s="48" t="s">
        <v>19</v>
      </c>
      <c r="H219" s="69"/>
      <c r="I219" s="51" t="s">
        <v>139</v>
      </c>
      <c r="J219" s="55"/>
      <c r="K219" s="55"/>
      <c r="L219" s="55" t="str">
        <f>IFERROR(__xludf.DUMMYFUNCTION("QUERY('Volunteer Survey'!B226)"),"Generoso")</f>
        <v>Generoso</v>
      </c>
      <c r="M219" s="55" t="str">
        <f>IFERROR(__xludf.DUMMYFUNCTION("QUERY('Volunteer Survey'!E226)"),"generoso@dantelabs.com")</f>
        <v>generoso@dantelabs.com</v>
      </c>
      <c r="N219" s="55" t="str">
        <f>IFERROR(__xludf.DUMMYFUNCTION("QUERY('Volunteer Survey'!F226)"),"Variant Analyst/Scientist - Industry")</f>
        <v>Variant Analyst/Scientist - Industry</v>
      </c>
      <c r="O219" s="48" t="str">
        <f>IFERROR(__xludf.DUMMYFUNCTION("QUERY('Volunteer Survey'!H226)"),"Comprehensive")</f>
        <v>Comprehensive</v>
      </c>
      <c r="P219" s="55" t="str">
        <f>IFERROR(__xludf.DUMMYFUNCTION("QUERY('Volunteer Survey'!I226)"),"Clinical Actionability")</f>
        <v>Clinical Actionability</v>
      </c>
      <c r="Q219" s="60" t="str">
        <f>IFERROR(__xludf.DUMMYFUNCTION("QUERY('Volunteer Survey'!J226)"),"Gene-Disease Validity")</f>
        <v>Gene-Disease Validity</v>
      </c>
      <c r="R219" s="55" t="str">
        <f>IFERROR(__xludf.DUMMYFUNCTION("QUERY('Volunteer Survey'!K226)"),"Variant Pathogenicity")</f>
        <v>Variant Pathogenicity</v>
      </c>
      <c r="S219" s="55" t="str">
        <f>IFERROR(__xludf.DUMMYFUNCTION("QUERY('Volunteer Survey'!L226)"),"Dosage Sensitivity")</f>
        <v>Dosage Sensitivity</v>
      </c>
      <c r="T219" s="55" t="str">
        <f>IFERROR(__xludf.DUMMYFUNCTION("QUERY('Volunteer Survey'!M226)"),"Somatic Cancer")</f>
        <v>Somatic Cancer</v>
      </c>
      <c r="U219" s="64" t="str">
        <f>IFERROR(__xludf.DUMMYFUNCTION("QUERY('Volunteer Survey'!N226)"),"Yes, I have curated few variants for people who receive WES data.")</f>
        <v>Yes, I have curated few variants for people who receive WES data.</v>
      </c>
      <c r="V219" s="55" t="str">
        <f>IFERROR(__xludf.DUMMYFUNCTION("QUERY('Volunteer Survey'!O226)"),"Possibly")</f>
        <v>Possibly</v>
      </c>
      <c r="W219" s="66" t="str">
        <f>IFERROR(__xludf.DUMMYFUNCTION("QUERY('Volunteer Survey'!P226)"),"")</f>
        <v/>
      </c>
      <c r="X219" s="64" t="str">
        <f>IFERROR(__xludf.DUMMYFUNCTION("QUERY('Volunteer Survey'!R226)"),"Yes- I am willing to volunteer with any available ClinGen group")</f>
        <v>Yes- I am willing to volunteer with any available ClinGen group</v>
      </c>
      <c r="Y219" s="53"/>
      <c r="Z219" s="55"/>
      <c r="AA219" s="55"/>
      <c r="AB219" s="55"/>
      <c r="AC219" s="55"/>
      <c r="AD219" s="55"/>
      <c r="AE219" s="55"/>
      <c r="AF219" s="55"/>
      <c r="AG219" s="55"/>
      <c r="AH219" s="55"/>
      <c r="AI219" s="55"/>
      <c r="AJ219" s="55"/>
      <c r="AK219" s="55"/>
      <c r="AL219" s="55"/>
      <c r="AM219" s="55"/>
      <c r="AN219" s="55"/>
      <c r="AO219" s="55"/>
    </row>
    <row r="220">
      <c r="A220" s="50">
        <f>IFERROR(__xludf.DUMMYFUNCTION("QUERY('Volunteer Survey'!A227)"),43627.80087137731)</f>
        <v>43627.80087</v>
      </c>
      <c r="B220" s="48" t="s">
        <v>168</v>
      </c>
      <c r="C220" s="53"/>
      <c r="D220" s="55"/>
      <c r="E220" s="55"/>
      <c r="F220" s="48" t="s">
        <v>130</v>
      </c>
      <c r="G220" s="48" t="s">
        <v>251</v>
      </c>
      <c r="H220" s="53"/>
      <c r="I220" s="51" t="s">
        <v>139</v>
      </c>
      <c r="J220" s="55"/>
      <c r="K220" s="55"/>
      <c r="L220" s="55" t="str">
        <f>IFERROR(__xludf.DUMMYFUNCTION("QUERY('Volunteer Survey'!B227)"),"Hemantkumar Nemade ")</f>
        <v>Hemantkumar Nemade </v>
      </c>
      <c r="M220" s="55" t="str">
        <f>IFERROR(__xludf.DUMMYFUNCTION("QUERY('Volunteer Survey'!E227)"),"drhemantnemade@gmail.com")</f>
        <v>drhemantnemade@gmail.com</v>
      </c>
      <c r="N220" s="55" t="str">
        <f>IFERROR(__xludf.DUMMYFUNCTION("QUERY('Volunteer Survey'!F227)"),"Physician (Non-geneticist)")</f>
        <v>Physician (Non-geneticist)</v>
      </c>
      <c r="O220" s="48" t="str">
        <f>IFERROR(__xludf.DUMMYFUNCTION("QUERY('Volunteer Survey'!H227)"),"Comprehensive")</f>
        <v>Comprehensive</v>
      </c>
      <c r="P220" s="55" t="str">
        <f>IFERROR(__xludf.DUMMYFUNCTION("QUERY('Volunteer Survey'!I227)"),"Variant Pathogenicity")</f>
        <v>Variant Pathogenicity</v>
      </c>
      <c r="Q220" s="60" t="str">
        <f>IFERROR(__xludf.DUMMYFUNCTION("QUERY('Volunteer Survey'!J227)"),"Clinical Actionability")</f>
        <v>Clinical Actionability</v>
      </c>
      <c r="R220" s="55" t="str">
        <f>IFERROR(__xludf.DUMMYFUNCTION("QUERY('Volunteer Survey'!K227)"),"Gene-Disease Validity")</f>
        <v>Gene-Disease Validity</v>
      </c>
      <c r="S220" s="55" t="str">
        <f>IFERROR(__xludf.DUMMYFUNCTION("QUERY('Volunteer Survey'!L227)"),"Somatic Cancer")</f>
        <v>Somatic Cancer</v>
      </c>
      <c r="T220" s="55" t="str">
        <f>IFERROR(__xludf.DUMMYFUNCTION("QUERY('Volunteer Survey'!M227)"),"")</f>
        <v/>
      </c>
      <c r="U220" s="64" t="str">
        <f>IFERROR(__xludf.DUMMYFUNCTION("QUERY('Volunteer Survey'!N227)"),"Not genetic but I have collected and analyzed cancer database. Trained in statistics ")</f>
        <v>Not genetic but I have collected and analyzed cancer database. Trained in statistics </v>
      </c>
      <c r="V220" s="55" t="str">
        <f>IFERROR(__xludf.DUMMYFUNCTION("QUERY('Volunteer Survey'!O227)"),"Possibly")</f>
        <v>Possibly</v>
      </c>
      <c r="W220" s="66" t="str">
        <f>IFERROR(__xludf.DUMMYFUNCTION("QUERY('Volunteer Survey'!P227)"),"Somatic cancer")</f>
        <v>Somatic cancer</v>
      </c>
      <c r="X220" s="64" t="str">
        <f>IFERROR(__xludf.DUMMYFUNCTION("QUERY('Volunteer Survey'!R227)"),"Maybe -- please contact me with other options, and I will decide based on what is available")</f>
        <v>Maybe -- please contact me with other options, and I will decide based on what is available</v>
      </c>
      <c r="Y220" s="53"/>
      <c r="Z220" s="55"/>
      <c r="AA220" s="55"/>
      <c r="AB220" s="55"/>
      <c r="AC220" s="55"/>
      <c r="AD220" s="55"/>
      <c r="AE220" s="55"/>
      <c r="AF220" s="55"/>
      <c r="AG220" s="55"/>
      <c r="AH220" s="55"/>
      <c r="AI220" s="55"/>
      <c r="AJ220" s="55"/>
      <c r="AK220" s="55"/>
      <c r="AL220" s="55"/>
      <c r="AM220" s="55"/>
      <c r="AN220" s="55"/>
      <c r="AO220" s="55"/>
    </row>
    <row r="221">
      <c r="A221" s="50">
        <f>IFERROR(__xludf.DUMMYFUNCTION("QUERY('Volunteer Survey'!A228)"),43628.495487175926)</f>
        <v>43628.49549</v>
      </c>
      <c r="B221" s="48" t="s">
        <v>108</v>
      </c>
      <c r="C221" s="79">
        <v>43705.0</v>
      </c>
      <c r="D221" s="65">
        <v>43719.0</v>
      </c>
      <c r="E221" s="48" t="s">
        <v>130</v>
      </c>
      <c r="F221" s="48" t="s">
        <v>130</v>
      </c>
      <c r="G221" s="48" t="s">
        <v>136</v>
      </c>
      <c r="H221" s="53"/>
      <c r="I221" s="51" t="s">
        <v>139</v>
      </c>
      <c r="J221" s="55"/>
      <c r="K221" s="55"/>
      <c r="L221" s="55" t="str">
        <f>IFERROR(__xludf.DUMMYFUNCTION("QUERY('Volunteer Survey'!B228)"),"Christina Bridges")</f>
        <v>Christina Bridges</v>
      </c>
      <c r="M221" s="55" t="str">
        <f>IFERROR(__xludf.DUMMYFUNCTION("QUERY('Volunteer Survey'!E228)"),"c.bridges@med.unc.edu")</f>
        <v>c.bridges@med.unc.edu</v>
      </c>
      <c r="N221" s="55" t="str">
        <f>IFERROR(__xludf.DUMMYFUNCTION("QUERY('Volunteer Survey'!F228)"),"Variant Analyst/Scientist - Industry")</f>
        <v>Variant Analyst/Scientist - Industry</v>
      </c>
      <c r="O221" s="48" t="str">
        <f>IFERROR(__xludf.DUMMYFUNCTION("QUERY('Volunteer Survey'!H228)"),"Comprehensive")</f>
        <v>Comprehensive</v>
      </c>
      <c r="P221" s="55" t="str">
        <f>IFERROR(__xludf.DUMMYFUNCTION("QUERY('Volunteer Survey'!I228)"),"Somatic Cancer")</f>
        <v>Somatic Cancer</v>
      </c>
      <c r="Q221" s="60" t="str">
        <f>IFERROR(__xludf.DUMMYFUNCTION("QUERY('Volunteer Survey'!J228)"),"Variant Pathogenicity")</f>
        <v>Variant Pathogenicity</v>
      </c>
      <c r="R221" s="55" t="str">
        <f>IFERROR(__xludf.DUMMYFUNCTION("QUERY('Volunteer Survey'!K228)"),"Gene-Disease Validity")</f>
        <v>Gene-Disease Validity</v>
      </c>
      <c r="S221" s="55" t="str">
        <f>IFERROR(__xludf.DUMMYFUNCTION("QUERY('Volunteer Survey'!L228)"),"Dosage Sensitivity")</f>
        <v>Dosage Sensitivity</v>
      </c>
      <c r="T221" s="55" t="str">
        <f>IFERROR(__xludf.DUMMYFUNCTION("QUERY('Volunteer Survey'!M228)"),"")</f>
        <v/>
      </c>
      <c r="U221" s="64" t="str">
        <f>IFERROR(__xludf.DUMMYFUNCTION("QUERY('Volunteer Survey'!N228)"),"Some experience as part of my work in clinical genetics laboratory, as well as pursuit on my own of additional educational opportunities, such as those provided through ClinGen (thank you!) as well as other resources (professional clinical group featured "&amp;"presentations, publications from ACMG/AMP, etc.).")</f>
        <v>Some experience as part of my work in clinical genetics laboratory, as well as pursuit on my own of additional educational opportunities, such as those provided through ClinGen (thank you!) as well as other resources (professional clinical group featured presentations, publications from ACMG/AMP, etc.).</v>
      </c>
      <c r="V221" s="55" t="str">
        <f>IFERROR(__xludf.DUMMYFUNCTION("QUERY('Volunteer Survey'!O228)"),"No")</f>
        <v>No</v>
      </c>
      <c r="W221" s="66" t="str">
        <f>IFERROR(__xludf.DUMMYFUNCTION("QUERY('Volunteer Survey'!P228)"),"I do not feel that I am qualified, at this time, for any Expert Panels, but I have indicated some preferences for Working Group involvement.  However, I would be interested to learn which areas represent ClinGen's greatest needs, currently, and I would co"&amp;"nsider if it seems I could offer value in such an area. ")</f>
        <v>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v>
      </c>
      <c r="X221" s="64" t="str">
        <f>IFERROR(__xludf.DUMMYFUNCTION("QUERY('Volunteer Survey'!R228)"),"Maybe -- please contact me with other options, and I will decide based on what is available")</f>
        <v>Maybe -- please contact me with other options, and I will decide based on what is available</v>
      </c>
      <c r="Y221" s="53"/>
      <c r="Z221" s="55"/>
      <c r="AA221" s="55"/>
      <c r="AB221" s="55"/>
      <c r="AC221" s="55"/>
      <c r="AD221" s="55"/>
      <c r="AE221" s="55"/>
      <c r="AF221" s="55"/>
      <c r="AG221" s="55"/>
      <c r="AH221" s="55"/>
      <c r="AI221" s="55"/>
      <c r="AJ221" s="55"/>
      <c r="AK221" s="55"/>
      <c r="AL221" s="55"/>
      <c r="AM221" s="55"/>
      <c r="AN221" s="55"/>
      <c r="AO221" s="55"/>
    </row>
    <row r="222" ht="15.0" customHeight="1">
      <c r="A222" s="50">
        <f>IFERROR(__xludf.DUMMYFUNCTION("QUERY('Volunteer Survey'!A230)"),43632.88082258102)</f>
        <v>43632.88082</v>
      </c>
      <c r="B222" s="48" t="s">
        <v>108</v>
      </c>
      <c r="C222" s="79"/>
      <c r="D222" s="65"/>
      <c r="E222" s="48" t="s">
        <v>130</v>
      </c>
      <c r="F222" s="48" t="s">
        <v>130</v>
      </c>
      <c r="G222" s="48" t="s">
        <v>202</v>
      </c>
      <c r="H222" s="51"/>
      <c r="I222" s="51" t="s">
        <v>139</v>
      </c>
      <c r="J222" s="55"/>
      <c r="K222" s="55"/>
      <c r="L222" s="55" t="str">
        <f>IFERROR(__xludf.DUMMYFUNCTION("QUERY('Volunteer Survey'!B230)"),"Malak Ashraf")</f>
        <v>Malak Ashraf</v>
      </c>
      <c r="M222" s="55" t="str">
        <f>IFERROR(__xludf.DUMMYFUNCTION("QUERY('Volunteer Survey'!E230)"),"malak.2118144@stemkalubya.moe.edu.eg")</f>
        <v>malak.2118144@stemkalubya.moe.edu.eg</v>
      </c>
      <c r="N222" s="55" t="str">
        <f>IFERROR(__xludf.DUMMYFUNCTION("QUERY('Volunteer Survey'!F230)"),"High School Student")</f>
        <v>High School Student</v>
      </c>
      <c r="O222" s="48" t="str">
        <f>IFERROR(__xludf.DUMMYFUNCTION("QUERY('Volunteer Survey'!H230)"),"Baseline")</f>
        <v>Baseline</v>
      </c>
      <c r="P222" s="55" t="str">
        <f>IFERROR(__xludf.DUMMYFUNCTION("QUERY('Volunteer Survey'!I230)"),"Somatic Cancer")</f>
        <v>Somatic Cancer</v>
      </c>
      <c r="Q222" s="60" t="str">
        <f>IFERROR(__xludf.DUMMYFUNCTION("QUERY('Volunteer Survey'!J230)"),"Variant Pathogenicity")</f>
        <v>Variant Pathogenicity</v>
      </c>
      <c r="R222" s="55" t="str">
        <f>IFERROR(__xludf.DUMMYFUNCTION("QUERY('Volunteer Survey'!K230)"),"Gene-Disease Validity")</f>
        <v>Gene-Disease Validity</v>
      </c>
      <c r="S222" s="55" t="str">
        <f>IFERROR(__xludf.DUMMYFUNCTION("QUERY('Volunteer Survey'!L230)"),"")</f>
        <v/>
      </c>
      <c r="T222" s="55" t="str">
        <f>IFERROR(__xludf.DUMMYFUNCTION("QUERY('Volunteer Survey'!M230)"),"")</f>
        <v/>
      </c>
      <c r="U222" s="64" t="str">
        <f>IFERROR(__xludf.DUMMYFUNCTION("QUERY('Volunteer Survey'!N230)"),"I did not have the opportunity to have a sufficient experiences, but i think passion will make me do it. i am a reader in pathology and virology, so, i think am a good candidate to be a member in one of these great working groups.")</f>
        <v>I did not have the opportunity to have a sufficient experiences, but i think passion will make me do it. i am a reader in pathology and virology, so, i think am a good candidate to be a member in one of these great working groups.</v>
      </c>
      <c r="V222" s="55" t="str">
        <f>IFERROR(__xludf.DUMMYFUNCTION("QUERY('Volunteer Survey'!O230)"),"No")</f>
        <v>No</v>
      </c>
      <c r="W222" s="66" t="str">
        <f>IFERROR(__xludf.DUMMYFUNCTION("QUERY('Volunteer Survey'!P230)"),"yes, i am interested in joining Somatic Cancer working group!")</f>
        <v>yes, i am interested in joining Somatic Cancer working group!</v>
      </c>
      <c r="X222" s="64" t="str">
        <f>IFERROR(__xludf.DUMMYFUNCTION("QUERY('Volunteer Survey'!R230)"),"Maybe -- please contact me with other options, and I will decide based on what is available")</f>
        <v>Maybe -- please contact me with other options, and I will decide based on what is available</v>
      </c>
      <c r="Y222" s="51" t="s">
        <v>362</v>
      </c>
      <c r="Z222" s="55"/>
      <c r="AA222" s="55"/>
      <c r="AB222" s="55"/>
      <c r="AC222" s="55"/>
      <c r="AD222" s="55"/>
      <c r="AE222" s="55"/>
      <c r="AF222" s="55"/>
      <c r="AG222" s="55"/>
      <c r="AH222" s="55"/>
      <c r="AI222" s="55"/>
      <c r="AJ222" s="55"/>
      <c r="AK222" s="55"/>
      <c r="AL222" s="55"/>
      <c r="AM222" s="55"/>
      <c r="AN222" s="55"/>
      <c r="AO222" s="55"/>
    </row>
    <row r="224">
      <c r="A224" s="50">
        <f>IFERROR(__xludf.DUMMYFUNCTION("QUERY('Volunteer Survey'!A231)"),43633.67853769676)</f>
        <v>43633.67854</v>
      </c>
      <c r="B224" s="48" t="s">
        <v>108</v>
      </c>
      <c r="C224" s="79">
        <v>43689.0</v>
      </c>
      <c r="D224" s="65">
        <v>43769.0</v>
      </c>
      <c r="E224" s="48" t="s">
        <v>117</v>
      </c>
      <c r="F224" s="48" t="s">
        <v>117</v>
      </c>
      <c r="G224" s="48" t="s">
        <v>19</v>
      </c>
      <c r="H224" s="69" t="s">
        <v>19</v>
      </c>
      <c r="I224" s="51" t="s">
        <v>299</v>
      </c>
      <c r="J224" s="55"/>
      <c r="K224" s="55"/>
      <c r="L224" s="55" t="str">
        <f>IFERROR(__xludf.DUMMYFUNCTION("QUERY('Volunteer Survey'!B231)"),"Abul Kalam Azad")</f>
        <v>Abul Kalam Azad</v>
      </c>
      <c r="M224" s="55" t="str">
        <f>IFERROR(__xludf.DUMMYFUNCTION("QUERY('Volunteer Survey'!E231)"),"azadak@gmail.com")</f>
        <v>azadak@gmail.com</v>
      </c>
      <c r="N224" s="55" t="str">
        <f>IFERROR(__xludf.DUMMYFUNCTION("QUERY('Volunteer Survey'!F231)"),"Post Doc/Resident/Fellow (MD and/or PhD)")</f>
        <v>Post Doc/Resident/Fellow (MD and/or PhD)</v>
      </c>
      <c r="O224" s="48" t="str">
        <f>IFERROR(__xludf.DUMMYFUNCTION("QUERY('Volunteer Survey'!H231)"),"Comprehensive")</f>
        <v>Comprehensive</v>
      </c>
      <c r="P224" s="55" t="str">
        <f>IFERROR(__xludf.DUMMYFUNCTION("QUERY('Volunteer Survey'!I231)"),"Clinical Actionability")</f>
        <v>Clinical Actionability</v>
      </c>
      <c r="Q224" s="60" t="str">
        <f>IFERROR(__xludf.DUMMYFUNCTION("QUERY('Volunteer Survey'!J231)"),"Variant Pathogenicity")</f>
        <v>Variant Pathogenicity</v>
      </c>
      <c r="R224" s="55" t="str">
        <f>IFERROR(__xludf.DUMMYFUNCTION("QUERY('Volunteer Survey'!K231)"),"Gene-Disease Validity")</f>
        <v>Gene-Disease Validity</v>
      </c>
      <c r="S224" s="55" t="str">
        <f>IFERROR(__xludf.DUMMYFUNCTION("QUERY('Volunteer Survey'!L231)"),"Somatic Cancer")</f>
        <v>Somatic Cancer</v>
      </c>
      <c r="T224" s="55" t="str">
        <f>IFERROR(__xludf.DUMMYFUNCTION("QUERY('Volunteer Survey'!M231)"),"Dosage Sensitivity")</f>
        <v>Dosage Sensitivity</v>
      </c>
      <c r="U224" s="64" t="str">
        <f>IFERROR(__xludf.DUMMYFUNCTION("QUERY('Volunteer Survey'!N231)"),"")</f>
        <v/>
      </c>
      <c r="V224" s="55" t="str">
        <f>IFERROR(__xludf.DUMMYFUNCTION("QUERY('Volunteer Survey'!O231)"),"Yes")</f>
        <v>Yes</v>
      </c>
      <c r="W224" s="66" t="str">
        <f>IFERROR(__xludf.DUMMYFUNCTION("QUERY('Volunteer Survey'!P231)"),"")</f>
        <v/>
      </c>
      <c r="X224" s="64" t="str">
        <f>IFERROR(__xludf.DUMMYFUNCTION("QUERY('Volunteer Survey'!R231)"),"Yes- I am willing to volunteer with any available ClinGen group")</f>
        <v>Yes- I am willing to volunteer with any available ClinGen group</v>
      </c>
      <c r="Y224" s="53"/>
      <c r="Z224" s="55"/>
      <c r="AA224" s="55"/>
      <c r="AB224" s="55"/>
      <c r="AC224" s="55"/>
      <c r="AD224" s="55"/>
      <c r="AE224" s="55"/>
      <c r="AF224" s="55"/>
      <c r="AG224" s="55"/>
      <c r="AH224" s="55"/>
      <c r="AI224" s="55"/>
      <c r="AJ224" s="55"/>
      <c r="AK224" s="55"/>
      <c r="AL224" s="55"/>
      <c r="AM224" s="55"/>
      <c r="AN224" s="55"/>
      <c r="AO224" s="55"/>
    </row>
    <row r="225">
      <c r="A225" s="50">
        <f>IFERROR(__xludf.DUMMYFUNCTION("QUERY('Volunteer Survey'!A232)"),43634.57313834491)</f>
        <v>43634.57314</v>
      </c>
      <c r="B225" s="48" t="s">
        <v>322</v>
      </c>
      <c r="C225" s="53"/>
      <c r="D225" s="55"/>
      <c r="E225" s="55"/>
      <c r="F225" s="48" t="s">
        <v>130</v>
      </c>
      <c r="G225" s="48" t="s">
        <v>122</v>
      </c>
      <c r="H225" s="53"/>
      <c r="I225" s="51" t="s">
        <v>356</v>
      </c>
      <c r="J225" s="55"/>
      <c r="K225" s="55"/>
      <c r="L225" s="55" t="str">
        <f>IFERROR(__xludf.DUMMYFUNCTION("QUERY('Volunteer Survey'!B232)"),"Amruta Phatak")</f>
        <v>Amruta Phatak</v>
      </c>
      <c r="M225" s="55" t="str">
        <f>IFERROR(__xludf.DUMMYFUNCTION("QUERY('Volunteer Survey'!E232)"),"arphatak@iu.edu")</f>
        <v>arphatak@iu.edu</v>
      </c>
      <c r="N225" s="55" t="str">
        <f>IFERROR(__xludf.DUMMYFUNCTION("QUERY('Volunteer Survey'!F232)"),"Post Doc/Resident/Fellow (MD and/or PhD)")</f>
        <v>Post Doc/Resident/Fellow (MD and/or PhD)</v>
      </c>
      <c r="O225" s="48" t="str">
        <f>IFERROR(__xludf.DUMMYFUNCTION("QUERY('Volunteer Survey'!H232)"),"Comprehensive")</f>
        <v>Comprehensive</v>
      </c>
      <c r="P225" s="55" t="str">
        <f>IFERROR(__xludf.DUMMYFUNCTION("QUERY('Volunteer Survey'!I232)"),"Gene-Disease Validity")</f>
        <v>Gene-Disease Validity</v>
      </c>
      <c r="Q225" s="60" t="str">
        <f>IFERROR(__xludf.DUMMYFUNCTION("QUERY('Volunteer Survey'!J232)"),"Variant Pathogenicity")</f>
        <v>Variant Pathogenicity</v>
      </c>
      <c r="R225" s="55" t="str">
        <f>IFERROR(__xludf.DUMMYFUNCTION("QUERY('Volunteer Survey'!K232)"),"Clinical Actionability")</f>
        <v>Clinical Actionability</v>
      </c>
      <c r="S225" s="55" t="str">
        <f>IFERROR(__xludf.DUMMYFUNCTION("QUERY('Volunteer Survey'!L232)"),"Dosage Sensitivity")</f>
        <v>Dosage Sensitivity</v>
      </c>
      <c r="T225" s="55" t="str">
        <f>IFERROR(__xludf.DUMMYFUNCTION("QUERY('Volunteer Survey'!M232)"),"Somatic Cancer")</f>
        <v>Somatic Cancer</v>
      </c>
      <c r="U225" s="64" t="str">
        <f>IFERROR(__xludf.DUMMYFUNCTION("QUERY('Volunteer Survey'!N232)"),"")</f>
        <v/>
      </c>
      <c r="V225" s="55" t="str">
        <f>IFERROR(__xludf.DUMMYFUNCTION("QUERY('Volunteer Survey'!O232)"),"Yes")</f>
        <v>Yes</v>
      </c>
      <c r="W225" s="66" t="str">
        <f>IFERROR(__xludf.DUMMYFUNCTION("QUERY('Volunteer Survey'!P232)"),"")</f>
        <v/>
      </c>
      <c r="X225" s="64" t="str">
        <f>IFERROR(__xludf.DUMMYFUNCTION("QUERY('Volunteer Survey'!R232)"),"Yes- I am willing to volunteer with any available ClinGen group")</f>
        <v>Yes- I am willing to volunteer with any available ClinGen group</v>
      </c>
      <c r="Y225" s="53"/>
      <c r="Z225" s="55"/>
      <c r="AA225" s="55"/>
      <c r="AB225" s="55"/>
      <c r="AC225" s="55"/>
      <c r="AD225" s="55"/>
      <c r="AE225" s="55"/>
      <c r="AF225" s="55"/>
      <c r="AG225" s="55"/>
      <c r="AH225" s="55"/>
      <c r="AI225" s="55"/>
      <c r="AJ225" s="55"/>
      <c r="AK225" s="55"/>
      <c r="AL225" s="55"/>
      <c r="AM225" s="55"/>
      <c r="AN225" s="55"/>
      <c r="AO225" s="55"/>
    </row>
    <row r="226">
      <c r="A226" s="50">
        <f>IFERROR(__xludf.DUMMYFUNCTION("QUERY('Volunteer Survey'!A233)"),43635.01375898148)</f>
        <v>43635.01376</v>
      </c>
      <c r="B226" s="48" t="s">
        <v>108</v>
      </c>
      <c r="C226" s="79">
        <v>43705.0</v>
      </c>
      <c r="D226" s="65">
        <v>43719.0</v>
      </c>
      <c r="E226" s="48" t="s">
        <v>130</v>
      </c>
      <c r="F226" s="48" t="s">
        <v>130</v>
      </c>
      <c r="G226" s="48" t="s">
        <v>136</v>
      </c>
      <c r="H226" s="53"/>
      <c r="I226" s="51" t="s">
        <v>139</v>
      </c>
      <c r="J226" s="55"/>
      <c r="K226" s="55"/>
      <c r="L226" s="55" t="str">
        <f>IFERROR(__xludf.DUMMYFUNCTION("QUERY('Volunteer Survey'!B233)"),"Priyabrata Panigrahi")</f>
        <v>Priyabrata Panigrahi</v>
      </c>
      <c r="M226" s="55" t="str">
        <f>IFERROR(__xludf.DUMMYFUNCTION("QUERY('Volunteer Survey'!E233)"),"pb.panigrahi86@gmail.com")</f>
        <v>pb.panigrahi86@gmail.com</v>
      </c>
      <c r="N226" s="55" t="str">
        <f>IFERROR(__xludf.DUMMYFUNCTION("QUERY('Volunteer Survey'!F233)"),"Scientific Researcher")</f>
        <v>Scientific Researcher</v>
      </c>
      <c r="O226" s="48" t="str">
        <f>IFERROR(__xludf.DUMMYFUNCTION("QUERY('Volunteer Survey'!H233)"),"Comprehensive")</f>
        <v>Comprehensive</v>
      </c>
      <c r="P226" s="55" t="str">
        <f>IFERROR(__xludf.DUMMYFUNCTION("QUERY('Volunteer Survey'!I233)"),"Somatic Cancer")</f>
        <v>Somatic Cancer</v>
      </c>
      <c r="Q226" s="60" t="str">
        <f>IFERROR(__xludf.DUMMYFUNCTION("QUERY('Volunteer Survey'!J233)"),"Variant Pathogenicity")</f>
        <v>Variant Pathogenicity</v>
      </c>
      <c r="R226" s="55" t="str">
        <f>IFERROR(__xludf.DUMMYFUNCTION("QUERY('Volunteer Survey'!K233)"),"Clinical Actionability")</f>
        <v>Clinical Actionability</v>
      </c>
      <c r="S226" s="55" t="str">
        <f>IFERROR(__xludf.DUMMYFUNCTION("QUERY('Volunteer Survey'!L233)"),"Gene-Disease Validity")</f>
        <v>Gene-Disease Validity</v>
      </c>
      <c r="T226" s="55" t="str">
        <f>IFERROR(__xludf.DUMMYFUNCTION("QUERY('Volunteer Survey'!M233)"),"Dosage Sensitivity")</f>
        <v>Dosage Sensitivity</v>
      </c>
      <c r="U226" s="64" t="str">
        <f>IFERROR(__xludf.DUMMYFUNCTION("QUERY('Volunteer Survey'!N233)"),"I have experience of performing somatic cancer variant detection NGS based pipelines, downstream variant annotation methods and have good exposure to databases like dbsnp etc.")</f>
        <v>I have experience of performing somatic cancer variant detection NGS based pipelines, downstream variant annotation methods and have good exposure to databases like dbsnp etc.</v>
      </c>
      <c r="V226" s="55" t="str">
        <f>IFERROR(__xludf.DUMMYFUNCTION("QUERY('Volunteer Survey'!O233)"),"Yes")</f>
        <v>Yes</v>
      </c>
      <c r="W226" s="66" t="str">
        <f>IFERROR(__xludf.DUMMYFUNCTION("QUERY('Volunteer Survey'!P233)"),"Dont know")</f>
        <v>Dont know</v>
      </c>
      <c r="X226" s="64" t="str">
        <f>IFERROR(__xludf.DUMMYFUNCTION("QUERY('Volunteer Survey'!R233)"),"Yes- I am willing to volunteer with any available ClinGen group")</f>
        <v>Yes- I am willing to volunteer with any available ClinGen group</v>
      </c>
      <c r="Y226" s="53"/>
      <c r="Z226" s="55"/>
      <c r="AA226" s="55"/>
      <c r="AB226" s="55"/>
      <c r="AC226" s="55"/>
      <c r="AD226" s="55"/>
      <c r="AE226" s="55"/>
      <c r="AF226" s="55"/>
      <c r="AG226" s="55"/>
      <c r="AH226" s="55"/>
      <c r="AI226" s="55"/>
      <c r="AJ226" s="55"/>
      <c r="AK226" s="55"/>
      <c r="AL226" s="55"/>
      <c r="AM226" s="55"/>
      <c r="AN226" s="55"/>
      <c r="AO226" s="55"/>
    </row>
    <row r="227">
      <c r="A227" s="50">
        <f>IFERROR(__xludf.DUMMYFUNCTION("QUERY('Volunteer Survey'!A234)"),43635.56924690973)</f>
        <v>43635.56925</v>
      </c>
      <c r="B227" s="48" t="s">
        <v>108</v>
      </c>
      <c r="C227" s="79">
        <v>43819.0</v>
      </c>
      <c r="D227" s="55"/>
      <c r="E227" s="55"/>
      <c r="F227" s="48" t="s">
        <v>130</v>
      </c>
      <c r="G227" s="48" t="s">
        <v>251</v>
      </c>
      <c r="H227" s="53"/>
      <c r="I227" s="51" t="s">
        <v>139</v>
      </c>
      <c r="J227" s="55"/>
      <c r="K227" s="55"/>
      <c r="L227" s="55" t="str">
        <f>IFERROR(__xludf.DUMMYFUNCTION("QUERY('Volunteer Survey'!B234)"),"José Patricio Miranda Marín")</f>
        <v>José Patricio Miranda Marín</v>
      </c>
      <c r="M227" s="55" t="str">
        <f>IFERROR(__xludf.DUMMYFUNCTION("QUERY('Volunteer Survey'!E234)"),"jose.miranda@uc.cl")</f>
        <v>jose.miranda@uc.cl</v>
      </c>
      <c r="N227" s="55" t="str">
        <f>IFERROR(__xludf.DUMMYFUNCTION("QUERY('Volunteer Survey'!F234)"),"Post Doc/Resident/Fellow (MD and/or PhD)")</f>
        <v>Post Doc/Resident/Fellow (MD and/or PhD)</v>
      </c>
      <c r="O227" s="48" t="str">
        <f>IFERROR(__xludf.DUMMYFUNCTION("QUERY('Volunteer Survey'!H234)"),"Comprehensive")</f>
        <v>Comprehensive</v>
      </c>
      <c r="P227" s="55" t="str">
        <f>IFERROR(__xludf.DUMMYFUNCTION("QUERY('Volunteer Survey'!I234)"),"Variant Pathogenicity")</f>
        <v>Variant Pathogenicity</v>
      </c>
      <c r="Q227" s="60" t="str">
        <f>IFERROR(__xludf.DUMMYFUNCTION("QUERY('Volunteer Survey'!J234)"),"Gene-Disease Validity")</f>
        <v>Gene-Disease Validity</v>
      </c>
      <c r="R227" s="55" t="str">
        <f>IFERROR(__xludf.DUMMYFUNCTION("QUERY('Volunteer Survey'!K234)"),"")</f>
        <v/>
      </c>
      <c r="S227" s="55" t="str">
        <f>IFERROR(__xludf.DUMMYFUNCTION("QUERY('Volunteer Survey'!L234)"),"")</f>
        <v/>
      </c>
      <c r="T227" s="55" t="str">
        <f>IFERROR(__xludf.DUMMYFUNCTION("QUERY('Volunteer Survey'!M234)"),"")</f>
        <v/>
      </c>
      <c r="U227" s="64" t="str">
        <f>IFERROR(__xludf.DUMMYFUNCTION("QUERY('Volunteer Survey'!N234)"),"yes, I am the Lab Director of the Medical Genomic Unit at the Pontificia Universidad Católica de Chile, and we regularly send submissions to ClinVar (https://www.ncbi.nlm.nih.gov/clinvar/submitters/506969/)")</f>
        <v>yes, I am the Lab Director of the Medical Genomic Unit at the Pontificia Universidad Católica de Chile, and we regularly send submissions to ClinVar (https://www.ncbi.nlm.nih.gov/clinvar/submitters/506969/)</v>
      </c>
      <c r="V227" s="55" t="str">
        <f>IFERROR(__xludf.DUMMYFUNCTION("QUERY('Volunteer Survey'!O234)"),"Yes")</f>
        <v>Yes</v>
      </c>
      <c r="W227" s="66" t="str">
        <f>IFERROR(__xludf.DUMMYFUNCTION("QUERY('Volunteer Survey'!P234)"),"Monogenic Diabetes Variant Curation Expert Panel or Mitochondrial Disease Variant Curation Expert Panel")</f>
        <v>Monogenic Diabetes Variant Curation Expert Panel or Mitochondrial Disease Variant Curation Expert Panel</v>
      </c>
      <c r="X227" s="64" t="str">
        <f>IFERROR(__xludf.DUMMYFUNCTION("QUERY('Volunteer Survey'!R234)"),"Yes- I am willing to volunteer with any available ClinGen group")</f>
        <v>Yes- I am willing to volunteer with any available ClinGen group</v>
      </c>
      <c r="Y227" s="53"/>
      <c r="Z227" s="55"/>
      <c r="AA227" s="55"/>
      <c r="AB227" s="55"/>
      <c r="AC227" s="55"/>
      <c r="AD227" s="55"/>
      <c r="AE227" s="55"/>
      <c r="AF227" s="55"/>
      <c r="AG227" s="55"/>
      <c r="AH227" s="55"/>
      <c r="AI227" s="55"/>
      <c r="AJ227" s="55"/>
      <c r="AK227" s="55"/>
      <c r="AL227" s="55"/>
      <c r="AM227" s="55"/>
      <c r="AN227" s="55"/>
      <c r="AO227" s="55"/>
    </row>
    <row r="228">
      <c r="A228" s="50">
        <f>IFERROR(__xludf.DUMMYFUNCTION("QUERY('Volunteer Survey'!A235)"),43638.36269362269)</f>
        <v>43638.36269</v>
      </c>
      <c r="B228" s="48" t="s">
        <v>108</v>
      </c>
      <c r="C228" s="53"/>
      <c r="D228" s="55"/>
      <c r="E228" s="55"/>
      <c r="F228" s="48" t="s">
        <v>130</v>
      </c>
      <c r="G228" s="48" t="s">
        <v>202</v>
      </c>
      <c r="H228" s="53"/>
      <c r="I228" s="51" t="s">
        <v>139</v>
      </c>
      <c r="J228" s="55"/>
      <c r="K228" s="55"/>
      <c r="L228" s="55" t="str">
        <f>IFERROR(__xludf.DUMMYFUNCTION("QUERY('Volunteer Survey'!B235)"),"Helen O'Shea")</f>
        <v>Helen O'Shea</v>
      </c>
      <c r="M228" s="55" t="str">
        <f>IFERROR(__xludf.DUMMYFUNCTION("QUERY('Volunteer Survey'!E235)"),"helen.oshea@olchc.ie")</f>
        <v>helen.oshea@olchc.ie</v>
      </c>
      <c r="N228" s="55" t="str">
        <f>IFERROR(__xludf.DUMMYFUNCTION("QUERY('Volunteer Survey'!F235)"),"Clinical laboratory geneticist")</f>
        <v>Clinical laboratory geneticist</v>
      </c>
      <c r="O228" s="48" t="str">
        <f>IFERROR(__xludf.DUMMYFUNCTION("QUERY('Volunteer Survey'!H235)"),"Baseline")</f>
        <v>Baseline</v>
      </c>
      <c r="P228" s="55" t="str">
        <f>IFERROR(__xludf.DUMMYFUNCTION("QUERY('Volunteer Survey'!I235)"),"")</f>
        <v/>
      </c>
      <c r="Q228" s="60" t="str">
        <f>IFERROR(__xludf.DUMMYFUNCTION("QUERY('Volunteer Survey'!J235)"),"")</f>
        <v/>
      </c>
      <c r="R228" s="55" t="str">
        <f>IFERROR(__xludf.DUMMYFUNCTION("QUERY('Volunteer Survey'!K235)"),"")</f>
        <v/>
      </c>
      <c r="S228" s="55" t="str">
        <f>IFERROR(__xludf.DUMMYFUNCTION("QUERY('Volunteer Survey'!L235)"),"")</f>
        <v/>
      </c>
      <c r="T228" s="55" t="str">
        <f>IFERROR(__xludf.DUMMYFUNCTION("QUERY('Volunteer Survey'!M235)"),"")</f>
        <v/>
      </c>
      <c r="U228" s="64" t="str">
        <f>IFERROR(__xludf.DUMMYFUNCTION("QUERY('Volunteer Survey'!N235)"),"I am involved in neurodevelopmental disorders research using exome sequencing and variant assessment.")</f>
        <v>I am involved in neurodevelopmental disorders research using exome sequencing and variant assessment.</v>
      </c>
      <c r="V228" s="55" t="str">
        <f>IFERROR(__xludf.DUMMYFUNCTION("QUERY('Volunteer Survey'!O235)"),"No")</f>
        <v>No</v>
      </c>
      <c r="W228" s="66" t="str">
        <f>IFERROR(__xludf.DUMMYFUNCTION("QUERY('Volunteer Survey'!P235)"),"Neurodevelopmental disorders, cardiovascular diseases and cancer")</f>
        <v>Neurodevelopmental disorders, cardiovascular diseases and cancer</v>
      </c>
      <c r="X228" s="64" t="str">
        <f>IFERROR(__xludf.DUMMYFUNCTION("QUERY('Volunteer Survey'!R235)"),"Yes- I am willing to volunteer with any available ClinGen group")</f>
        <v>Yes- I am willing to volunteer with any available ClinGen group</v>
      </c>
      <c r="Y228" s="53"/>
      <c r="Z228" s="55"/>
      <c r="AA228" s="55"/>
      <c r="AB228" s="55"/>
      <c r="AC228" s="55"/>
      <c r="AD228" s="55"/>
      <c r="AE228" s="55"/>
      <c r="AF228" s="55"/>
      <c r="AG228" s="55"/>
      <c r="AH228" s="55"/>
      <c r="AI228" s="55"/>
      <c r="AJ228" s="55"/>
      <c r="AK228" s="55"/>
      <c r="AL228" s="55"/>
      <c r="AM228" s="55"/>
      <c r="AN228" s="55"/>
      <c r="AO228" s="55"/>
    </row>
    <row r="229">
      <c r="A229" s="50">
        <f>IFERROR(__xludf.DUMMYFUNCTION("QUERY('Volunteer Survey'!A236)"),43640.12661005787)</f>
        <v>43640.12661</v>
      </c>
      <c r="B229" s="48" t="s">
        <v>108</v>
      </c>
      <c r="C229" s="53"/>
      <c r="D229" s="55"/>
      <c r="E229" s="55"/>
      <c r="F229" s="48" t="s">
        <v>130</v>
      </c>
      <c r="G229" s="48" t="s">
        <v>202</v>
      </c>
      <c r="H229" s="53"/>
      <c r="I229" s="51" t="s">
        <v>139</v>
      </c>
      <c r="J229" s="55"/>
      <c r="K229" s="55"/>
      <c r="L229" s="55" t="str">
        <f>IFERROR(__xludf.DUMMYFUNCTION("QUERY('Volunteer Survey'!B236)"),"Panos Sergouniotis")</f>
        <v>Panos Sergouniotis</v>
      </c>
      <c r="M229" s="55" t="str">
        <f>IFERROR(__xludf.DUMMYFUNCTION("QUERY('Volunteer Survey'!E236)"),"panagiotis.sergouniotis@manchester.ac.uk")</f>
        <v>panagiotis.sergouniotis@manchester.ac.uk</v>
      </c>
      <c r="N229" s="55" t="str">
        <f>IFERROR(__xludf.DUMMYFUNCTION("QUERY('Volunteer Survey'!F236)"),"I am a qualified Ophthalmologist (FEBO, FRCOphth) with an interest in Ophtalmic Genetics")</f>
        <v>I am a qualified Ophthalmologist (FEBO, FRCOphth) with an interest in Ophtalmic Genetics</v>
      </c>
      <c r="O229" s="48" t="str">
        <f>IFERROR(__xludf.DUMMYFUNCTION("QUERY('Volunteer Survey'!H236)"),"Baseline")</f>
        <v>Baseline</v>
      </c>
      <c r="P229" s="55" t="str">
        <f>IFERROR(__xludf.DUMMYFUNCTION("QUERY('Volunteer Survey'!I236)"),"Gene-Disease Validity")</f>
        <v>Gene-Disease Validity</v>
      </c>
      <c r="Q229" s="60" t="str">
        <f>IFERROR(__xludf.DUMMYFUNCTION("QUERY('Volunteer Survey'!J236)"),"Dosage Sensitivity")</f>
        <v>Dosage Sensitivity</v>
      </c>
      <c r="R229" s="55" t="str">
        <f>IFERROR(__xludf.DUMMYFUNCTION("QUERY('Volunteer Survey'!K236)"),"Variant Pathogenicity")</f>
        <v>Variant Pathogenicity</v>
      </c>
      <c r="S229" s="55" t="str">
        <f>IFERROR(__xludf.DUMMYFUNCTION("QUERY('Volunteer Survey'!L236)"),"Clinical Actionability")</f>
        <v>Clinical Actionability</v>
      </c>
      <c r="T229" s="55" t="str">
        <f>IFERROR(__xludf.DUMMYFUNCTION("QUERY('Volunteer Survey'!M236)"),"Somatic Cancer")</f>
        <v>Somatic Cancer</v>
      </c>
      <c r="U229" s="64" t="str">
        <f>IFERROR(__xludf.DUMMYFUNCTION("QUERY('Volunteer Survey'!N236)"),"Yes. I have worked as a curator for PanelApp (https://panelapp.genomicsengland.co.uk/) and I have significantly contributed to HPO and Orphanet (e.g. https://www.ncbi.nlm.nih.gov/pubmed/30626441)")</f>
        <v>Yes. I have worked as a curator for PanelApp (https://panelapp.genomicsengland.co.uk/) and I have significantly contributed to HPO and Orphanet (e.g. https://www.ncbi.nlm.nih.gov/pubmed/30626441)</v>
      </c>
      <c r="V229" s="55" t="str">
        <f>IFERROR(__xludf.DUMMYFUNCTION("QUERY('Volunteer Survey'!O236)"),"Possibly")</f>
        <v>Possibly</v>
      </c>
      <c r="W229" s="66" t="str">
        <f>IFERROR(__xludf.DUMMYFUNCTION("QUERY('Volunteer Survey'!P236)"),"Dosage Sensitivity Curation")</f>
        <v>Dosage Sensitivity Curation</v>
      </c>
      <c r="X229" s="64" t="str">
        <f>IFERROR(__xludf.DUMMYFUNCTION("QUERY('Volunteer Survey'!R236)"),"Maybe -- please contact me with other options, and I will decide based on what is available")</f>
        <v>Maybe -- please contact me with other options, and I will decide based on what is available</v>
      </c>
      <c r="Y229" s="53"/>
      <c r="Z229" s="55"/>
      <c r="AA229" s="55"/>
      <c r="AB229" s="55"/>
      <c r="AC229" s="55"/>
      <c r="AD229" s="55"/>
      <c r="AE229" s="55"/>
      <c r="AF229" s="55"/>
      <c r="AG229" s="55"/>
      <c r="AH229" s="55"/>
      <c r="AI229" s="55"/>
      <c r="AJ229" s="55"/>
      <c r="AK229" s="55"/>
      <c r="AL229" s="55"/>
      <c r="AM229" s="55"/>
      <c r="AN229" s="55"/>
      <c r="AO229" s="55"/>
    </row>
    <row r="230">
      <c r="A230" s="50">
        <f>IFERROR(__xludf.DUMMYFUNCTION("QUERY('Volunteer Survey'!A237)"),43643.49489582176)</f>
        <v>43643.4949</v>
      </c>
      <c r="B230" s="48" t="s">
        <v>108</v>
      </c>
      <c r="C230" s="53"/>
      <c r="D230" s="65">
        <v>43692.0</v>
      </c>
      <c r="E230" s="48" t="s">
        <v>117</v>
      </c>
      <c r="F230" s="48" t="s">
        <v>117</v>
      </c>
      <c r="G230" s="48" t="s">
        <v>122</v>
      </c>
      <c r="H230" s="53"/>
      <c r="I230" s="51" t="s">
        <v>139</v>
      </c>
      <c r="J230" s="55"/>
      <c r="K230" s="55"/>
      <c r="L230" s="55" t="str">
        <f>IFERROR(__xludf.DUMMYFUNCTION("QUERY('Volunteer Survey'!B237)"),"Marc Lataillade")</f>
        <v>Marc Lataillade</v>
      </c>
      <c r="M230" s="55" t="str">
        <f>IFERROR(__xludf.DUMMYFUNCTION("QUERY('Volunteer Survey'!E237)"),"marclataillade258@gmail.com")</f>
        <v>marclataillade258@gmail.com</v>
      </c>
      <c r="N230" s="55" t="str">
        <f>IFERROR(__xludf.DUMMYFUNCTION("QUERY('Volunteer Survey'!F237)"),"Undergraduate Student")</f>
        <v>Undergraduate Student</v>
      </c>
      <c r="O230" s="48" t="str">
        <f>IFERROR(__xludf.DUMMYFUNCTION("QUERY('Volunteer Survey'!H237)"),"Comprehensive")</f>
        <v>Comprehensive</v>
      </c>
      <c r="P230" s="55" t="str">
        <f>IFERROR(__xludf.DUMMYFUNCTION("QUERY('Volunteer Survey'!I237)"),"Gene-Disease Validity")</f>
        <v>Gene-Disease Validity</v>
      </c>
      <c r="Q230" s="60" t="str">
        <f>IFERROR(__xludf.DUMMYFUNCTION("QUERY('Volunteer Survey'!J237)"),"Variant Pathogenicity")</f>
        <v>Variant Pathogenicity</v>
      </c>
      <c r="R230" s="55" t="str">
        <f>IFERROR(__xludf.DUMMYFUNCTION("QUERY('Volunteer Survey'!K237)"),"Clinical Actionability")</f>
        <v>Clinical Actionability</v>
      </c>
      <c r="S230" s="55" t="str">
        <f>IFERROR(__xludf.DUMMYFUNCTION("QUERY('Volunteer Survey'!L237)"),"Dosage Sensitivity")</f>
        <v>Dosage Sensitivity</v>
      </c>
      <c r="T230" s="55" t="str">
        <f>IFERROR(__xludf.DUMMYFUNCTION("QUERY('Volunteer Survey'!M237)"),"Somatic Cancer")</f>
        <v>Somatic Cancer</v>
      </c>
      <c r="U230" s="64" t="str">
        <f>IFERROR(__xludf.DUMMYFUNCTION("QUERY('Volunteer Survey'!N237)"),"I isolated genes with PCR and screened exons for a local variant of ebidermolysis bullosa.")</f>
        <v>I isolated genes with PCR and screened exons for a local variant of ebidermolysis bullosa.</v>
      </c>
      <c r="V230" s="55" t="str">
        <f>IFERROR(__xludf.DUMMYFUNCTION("QUERY('Volunteer Survey'!O237)"),"Possibly")</f>
        <v>Possibly</v>
      </c>
      <c r="W230" s="66" t="str">
        <f>IFERROR(__xludf.DUMMYFUNCTION("QUERY('Volunteer Survey'!P237)"),"Of the panels listed I am interested in the aminoacidopathy and VHL group.")</f>
        <v>Of the panels listed I am interested in the aminoacidopathy and VHL group.</v>
      </c>
      <c r="X230" s="64" t="str">
        <f>IFERROR(__xludf.DUMMYFUNCTION("QUERY('Volunteer Survey'!R237)"),"Maybe -- please contact me with other options, and I will decide based on what is available")</f>
        <v>Maybe -- please contact me with other options, and I will decide based on what is available</v>
      </c>
      <c r="Y230" s="53"/>
      <c r="Z230" s="55"/>
      <c r="AA230" s="55"/>
      <c r="AB230" s="55"/>
      <c r="AC230" s="55"/>
      <c r="AD230" s="55"/>
      <c r="AE230" s="55"/>
      <c r="AF230" s="55"/>
      <c r="AG230" s="55"/>
      <c r="AH230" s="55"/>
      <c r="AI230" s="55"/>
      <c r="AJ230" s="55"/>
      <c r="AK230" s="55"/>
      <c r="AL230" s="55"/>
      <c r="AM230" s="55"/>
      <c r="AN230" s="55"/>
      <c r="AO230" s="55"/>
    </row>
    <row r="231">
      <c r="A231" s="50">
        <f>IFERROR(__xludf.DUMMYFUNCTION("QUERY('Volunteer Survey'!A238)"),43648.49980006944)</f>
        <v>43648.4998</v>
      </c>
      <c r="B231" s="48" t="s">
        <v>108</v>
      </c>
      <c r="C231" s="53"/>
      <c r="D231" s="55"/>
      <c r="E231" s="55"/>
      <c r="F231" s="48" t="s">
        <v>130</v>
      </c>
      <c r="G231" s="48" t="s">
        <v>202</v>
      </c>
      <c r="H231" s="53"/>
      <c r="I231" s="51" t="s">
        <v>139</v>
      </c>
      <c r="J231" s="55"/>
      <c r="K231" s="55"/>
      <c r="L231" s="55" t="str">
        <f>IFERROR(__xludf.DUMMYFUNCTION("QUERY('Volunteer Survey'!B238)"),"Sarah Payne ")</f>
        <v>Sarah Payne </v>
      </c>
      <c r="M231" s="55" t="str">
        <f>IFERROR(__xludf.DUMMYFUNCTION("QUERY('Volunteer Survey'!E238)"),"sarahhale79@gmail.com")</f>
        <v>sarahhale79@gmail.com</v>
      </c>
      <c r="N231" s="55" t="str">
        <f>IFERROR(__xludf.DUMMYFUNCTION("QUERY('Volunteer Survey'!F238)"),"Female family with unknown genetic disorder ")</f>
        <v>Female family with unknown genetic disorder </v>
      </c>
      <c r="O231" s="48" t="str">
        <f>IFERROR(__xludf.DUMMYFUNCTION("QUERY('Volunteer Survey'!H238)"),"Baseline")</f>
        <v>Baseline</v>
      </c>
      <c r="P231" s="55" t="str">
        <f>IFERROR(__xludf.DUMMYFUNCTION("QUERY('Volunteer Survey'!I238)"),"Gene-Disease Validity")</f>
        <v>Gene-Disease Validity</v>
      </c>
      <c r="Q231" s="60" t="str">
        <f>IFERROR(__xludf.DUMMYFUNCTION("QUERY('Volunteer Survey'!J238)"),"Variant Pathogenicity")</f>
        <v>Variant Pathogenicity</v>
      </c>
      <c r="R231" s="55" t="str">
        <f>IFERROR(__xludf.DUMMYFUNCTION("QUERY('Volunteer Survey'!K238)"),"Clinical Actionability")</f>
        <v>Clinical Actionability</v>
      </c>
      <c r="S231" s="55" t="str">
        <f>IFERROR(__xludf.DUMMYFUNCTION("QUERY('Volunteer Survey'!L238)"),"Dosage Sensitivity")</f>
        <v>Dosage Sensitivity</v>
      </c>
      <c r="T231" s="55" t="str">
        <f>IFERROR(__xludf.DUMMYFUNCTION("QUERY('Volunteer Survey'!M238)"),"Somatic Cancer")</f>
        <v>Somatic Cancer</v>
      </c>
      <c r="U231" s="64" t="str">
        <f>IFERROR(__xludf.DUMMYFUNCTION("QUERY('Volunteer Survey'!N238)"),"I've been in medical trials ")</f>
        <v>I've been in medical trials </v>
      </c>
      <c r="V231" s="55" t="str">
        <f>IFERROR(__xludf.DUMMYFUNCTION("QUERY('Volunteer Survey'!O238)"),"Yes")</f>
        <v>Yes</v>
      </c>
      <c r="W231" s="66" t="str">
        <f>IFERROR(__xludf.DUMMYFUNCTION("QUERY('Volunteer Survey'!P238)"),"Yes")</f>
        <v>Yes</v>
      </c>
      <c r="X231" s="64" t="str">
        <f>IFERROR(__xludf.DUMMYFUNCTION("QUERY('Volunteer Survey'!R238)"),"Yes- I am willing to volunteer with any available ClinGen group")</f>
        <v>Yes- I am willing to volunteer with any available ClinGen group</v>
      </c>
      <c r="Y231" s="51" t="s">
        <v>371</v>
      </c>
      <c r="Z231" s="55"/>
      <c r="AA231" s="55"/>
      <c r="AB231" s="55"/>
      <c r="AC231" s="55"/>
      <c r="AD231" s="55"/>
      <c r="AE231" s="55"/>
      <c r="AF231" s="55"/>
      <c r="AG231" s="55"/>
      <c r="AH231" s="55"/>
      <c r="AI231" s="55"/>
      <c r="AJ231" s="55"/>
      <c r="AK231" s="55"/>
      <c r="AL231" s="55"/>
      <c r="AM231" s="55"/>
      <c r="AN231" s="55"/>
      <c r="AO231" s="55"/>
    </row>
    <row r="232">
      <c r="A232" s="50">
        <f>IFERROR(__xludf.DUMMYFUNCTION("QUERY('Volunteer Survey'!A239)"),43648.64460309028)</f>
        <v>43648.6446</v>
      </c>
      <c r="B232" s="48" t="s">
        <v>160</v>
      </c>
      <c r="C232" s="79">
        <v>43705.0</v>
      </c>
      <c r="D232" s="65">
        <v>43719.0</v>
      </c>
      <c r="E232" s="48" t="s">
        <v>117</v>
      </c>
      <c r="F232" s="48" t="s">
        <v>130</v>
      </c>
      <c r="G232" s="48" t="s">
        <v>136</v>
      </c>
      <c r="H232" s="51" t="s">
        <v>317</v>
      </c>
      <c r="I232" s="51" t="s">
        <v>139</v>
      </c>
      <c r="J232" s="55"/>
      <c r="K232" s="55"/>
      <c r="L232" s="55" t="str">
        <f>IFERROR(__xludf.DUMMYFUNCTION("QUERY('Volunteer Survey'!B239)"),"Lori Millner")</f>
        <v>Lori Millner</v>
      </c>
      <c r="M232" s="55" t="str">
        <f>IFERROR(__xludf.DUMMYFUNCTION("QUERY('Volunteer Survey'!E239)"),"lorimillner77@gmail.com")</f>
        <v>lorimillner77@gmail.com</v>
      </c>
      <c r="N232" s="55" t="str">
        <f>IFERROR(__xludf.DUMMYFUNCTION("QUERY('Volunteer Survey'!F239)"),"Clinical Lab Director")</f>
        <v>Clinical Lab Director</v>
      </c>
      <c r="O232" s="48" t="str">
        <f>IFERROR(__xludf.DUMMYFUNCTION("QUERY('Volunteer Survey'!H239)"),"Comprehensive")</f>
        <v>Comprehensive</v>
      </c>
      <c r="P232" s="55" t="str">
        <f>IFERROR(__xludf.DUMMYFUNCTION("QUERY('Volunteer Survey'!I239)"),"Somatic Cancer")</f>
        <v>Somatic Cancer</v>
      </c>
      <c r="Q232" s="60" t="str">
        <f>IFERROR(__xludf.DUMMYFUNCTION("QUERY('Volunteer Survey'!J239)"),"Clinical Actionability")</f>
        <v>Clinical Actionability</v>
      </c>
      <c r="R232" s="55" t="str">
        <f>IFERROR(__xludf.DUMMYFUNCTION("QUERY('Volunteer Survey'!K239)"),"")</f>
        <v/>
      </c>
      <c r="S232" s="55" t="str">
        <f>IFERROR(__xludf.DUMMYFUNCTION("QUERY('Volunteer Survey'!L239)"),"")</f>
        <v/>
      </c>
      <c r="T232" s="55" t="str">
        <f>IFERROR(__xludf.DUMMYFUNCTION("QUERY('Volunteer Survey'!M239)"),"")</f>
        <v/>
      </c>
      <c r="U232" s="64" t="str">
        <f>IFERROR(__xludf.DUMMYFUNCTION("QUERY('Volunteer Survey'!N239)"),"Yes, I performed NGS somatic mutation panels on single cells.")</f>
        <v>Yes, I performed NGS somatic mutation panels on single cells.</v>
      </c>
      <c r="V232" s="55" t="str">
        <f>IFERROR(__xludf.DUMMYFUNCTION("QUERY('Volunteer Survey'!O239)"),"Possibly")</f>
        <v>Possibly</v>
      </c>
      <c r="W232" s="66" t="str">
        <f>IFERROR(__xludf.DUMMYFUNCTION("QUERY('Volunteer Survey'!P239)"),"")</f>
        <v/>
      </c>
      <c r="X232" s="64" t="str">
        <f>IFERROR(__xludf.DUMMYFUNCTION("QUERY('Volunteer Survey'!R239)"),"Maybe -- please contact me with other options, and I will decide based on what is available")</f>
        <v>Maybe -- please contact me with other options, and I will decide based on what is available</v>
      </c>
      <c r="Y232" s="53"/>
      <c r="Z232" s="55"/>
      <c r="AA232" s="55"/>
      <c r="AB232" s="55"/>
      <c r="AC232" s="55"/>
      <c r="AD232" s="55"/>
      <c r="AE232" s="55"/>
      <c r="AF232" s="55"/>
      <c r="AG232" s="55"/>
      <c r="AH232" s="55"/>
      <c r="AI232" s="55"/>
      <c r="AJ232" s="55"/>
      <c r="AK232" s="55"/>
      <c r="AL232" s="55"/>
      <c r="AM232" s="55"/>
      <c r="AN232" s="55"/>
      <c r="AO232" s="55"/>
    </row>
    <row r="233">
      <c r="A233" s="50">
        <f>IFERROR(__xludf.DUMMYFUNCTION("QUERY('Volunteer Survey'!A240)"),43651.29248090278)</f>
        <v>43651.29248</v>
      </c>
      <c r="B233" s="48" t="s">
        <v>108</v>
      </c>
      <c r="C233" s="79">
        <v>43689.0</v>
      </c>
      <c r="D233" s="55"/>
      <c r="E233" s="55"/>
      <c r="F233" s="48" t="s">
        <v>130</v>
      </c>
      <c r="G233" s="48" t="s">
        <v>19</v>
      </c>
      <c r="H233" s="69"/>
      <c r="I233" s="51" t="s">
        <v>139</v>
      </c>
      <c r="J233" s="55"/>
      <c r="K233" s="55"/>
      <c r="L233" s="55" t="str">
        <f>IFERROR(__xludf.DUMMYFUNCTION("QUERY('Volunteer Survey'!B240)"),"Agnes Sebastian")</f>
        <v>Agnes Sebastian</v>
      </c>
      <c r="M233" s="55" t="str">
        <f>IFERROR(__xludf.DUMMYFUNCTION("QUERY('Volunteer Survey'!E240)"),"agnes.sebastian@mail.utoronto.ca")</f>
        <v>agnes.sebastian@mail.utoronto.ca</v>
      </c>
      <c r="N233" s="55" t="str">
        <f>IFERROR(__xludf.DUMMYFUNCTION("QUERY('Volunteer Survey'!F240)"),"Graduate Student")</f>
        <v>Graduate Student</v>
      </c>
      <c r="O233" s="48" t="str">
        <f>IFERROR(__xludf.DUMMYFUNCTION("QUERY('Volunteer Survey'!H240)"),"Comprehensive")</f>
        <v>Comprehensive</v>
      </c>
      <c r="P233" s="55" t="str">
        <f>IFERROR(__xludf.DUMMYFUNCTION("QUERY('Volunteer Survey'!I240)"),"Clinical Actionability")</f>
        <v>Clinical Actionability</v>
      </c>
      <c r="Q233" s="60" t="str">
        <f>IFERROR(__xludf.DUMMYFUNCTION("QUERY('Volunteer Survey'!J240)"),"Variant Pathogenicity")</f>
        <v>Variant Pathogenicity</v>
      </c>
      <c r="R233" s="55" t="str">
        <f>IFERROR(__xludf.DUMMYFUNCTION("QUERY('Volunteer Survey'!K240)"),"Gene-Disease Validity")</f>
        <v>Gene-Disease Validity</v>
      </c>
      <c r="S233" s="55" t="str">
        <f>IFERROR(__xludf.DUMMYFUNCTION("QUERY('Volunteer Survey'!L240)"),"Dosage Sensitivity")</f>
        <v>Dosage Sensitivity</v>
      </c>
      <c r="T233" s="55" t="str">
        <f>IFERROR(__xludf.DUMMYFUNCTION("QUERY('Volunteer Survey'!M240)"),"Somatic Cancer")</f>
        <v>Somatic Cancer</v>
      </c>
      <c r="U233" s="64" t="str">
        <f>IFERROR(__xludf.DUMMYFUNCTION("QUERY('Volunteer Survey'!N240)"),"")</f>
        <v/>
      </c>
      <c r="V233" s="55" t="str">
        <f>IFERROR(__xludf.DUMMYFUNCTION("QUERY('Volunteer Survey'!O240)"),"Possibly")</f>
        <v>Possibly</v>
      </c>
      <c r="W233" s="66" t="str">
        <f>IFERROR(__xludf.DUMMYFUNCTION("QUERY('Volunteer Survey'!P240)"),"No - any group related to cancer or hearing loss is preferable")</f>
        <v>No - any group related to cancer or hearing loss is preferable</v>
      </c>
      <c r="X233" s="64" t="str">
        <f>IFERROR(__xludf.DUMMYFUNCTION("QUERY('Volunteer Survey'!R240)"),"Maybe -- please contact me with other options, and I will decide based on what is available")</f>
        <v>Maybe -- please contact me with other options, and I will decide based on what is available</v>
      </c>
      <c r="Y233" s="53"/>
      <c r="Z233" s="55"/>
      <c r="AA233" s="55"/>
      <c r="AB233" s="55"/>
      <c r="AC233" s="55"/>
      <c r="AD233" s="55"/>
      <c r="AE233" s="55"/>
      <c r="AF233" s="55"/>
      <c r="AG233" s="55"/>
      <c r="AH233" s="55"/>
      <c r="AI233" s="55"/>
      <c r="AJ233" s="55"/>
      <c r="AK233" s="55"/>
      <c r="AL233" s="55"/>
      <c r="AM233" s="55"/>
      <c r="AN233" s="55"/>
      <c r="AO233" s="55"/>
    </row>
    <row r="234">
      <c r="A234" s="50">
        <f>IFERROR(__xludf.DUMMYFUNCTION("QUERY('Volunteer Survey'!A241)"),43651.61837447916)</f>
        <v>43651.61837</v>
      </c>
      <c r="B234" s="48" t="s">
        <v>168</v>
      </c>
      <c r="C234" s="53"/>
      <c r="D234" s="55"/>
      <c r="E234" s="55"/>
      <c r="F234" s="48" t="s">
        <v>130</v>
      </c>
      <c r="G234" s="48" t="s">
        <v>251</v>
      </c>
      <c r="H234" s="53"/>
      <c r="I234" s="51" t="s">
        <v>139</v>
      </c>
      <c r="J234" s="55"/>
      <c r="K234" s="55"/>
      <c r="L234" s="55" t="str">
        <f>IFERROR(__xludf.DUMMYFUNCTION("QUERY('Volunteer Survey'!B241)"),"Xiangqiang Shao")</f>
        <v>Xiangqiang Shao</v>
      </c>
      <c r="M234" s="55" t="str">
        <f>IFERROR(__xludf.DUMMYFUNCTION("QUERY('Volunteer Survey'!E241)"),"xshao5@wisc.edu")</f>
        <v>xshao5@wisc.edu</v>
      </c>
      <c r="N234" s="55" t="str">
        <f>IFERROR(__xludf.DUMMYFUNCTION("QUERY('Volunteer Survey'!F241)"),"Scientific Researcher")</f>
        <v>Scientific Researcher</v>
      </c>
      <c r="O234" s="48" t="str">
        <f>IFERROR(__xludf.DUMMYFUNCTION("QUERY('Volunteer Survey'!H241)"),"Comprehensive")</f>
        <v>Comprehensive</v>
      </c>
      <c r="P234" s="55" t="str">
        <f>IFERROR(__xludf.DUMMYFUNCTION("QUERY('Volunteer Survey'!I241)"),"Variant Pathogenicity")</f>
        <v>Variant Pathogenicity</v>
      </c>
      <c r="Q234" s="60" t="str">
        <f>IFERROR(__xludf.DUMMYFUNCTION("QUERY('Volunteer Survey'!J241)"),"Dosage Sensitivity")</f>
        <v>Dosage Sensitivity</v>
      </c>
      <c r="R234" s="55" t="str">
        <f>IFERROR(__xludf.DUMMYFUNCTION("QUERY('Volunteer Survey'!K241)"),"Clinical Actionability")</f>
        <v>Clinical Actionability</v>
      </c>
      <c r="S234" s="55" t="str">
        <f>IFERROR(__xludf.DUMMYFUNCTION("QUERY('Volunteer Survey'!L241)"),"Gene-Disease Validity")</f>
        <v>Gene-Disease Validity</v>
      </c>
      <c r="T234" s="55" t="str">
        <f>IFERROR(__xludf.DUMMYFUNCTION("QUERY('Volunteer Survey'!M241)"),"Somatic Cancer")</f>
        <v>Somatic Cancer</v>
      </c>
      <c r="U234" s="64" t="str">
        <f>IFERROR(__xludf.DUMMYFUNCTION("QUERY('Volunteer Survey'!N241)"),"I currently do microarray analysis for clinical samples at Wisconsin State Lab of Hygiene to determine the pathogenicity of the CNVs we detected, and I am working on a project to develop a NGS panel for Familial Hypercholesterolemia.")</f>
        <v>I currently do microarray analysis for clinical samples at Wisconsin State Lab of Hygiene to determine the pathogenicity of the CNVs we detected, and I am working on a project to develop a NGS panel for Familial Hypercholesterolemia.</v>
      </c>
      <c r="V234" s="55" t="str">
        <f>IFERROR(__xludf.DUMMYFUNCTION("QUERY('Volunteer Survey'!O241)"),"Possibly")</f>
        <v>Possibly</v>
      </c>
      <c r="W234" s="66" t="str">
        <f>IFERROR(__xludf.DUMMYFUNCTION("QUERY('Volunteer Survey'!P241)"),"Epilepsy, and Intellectual Disability and Autism")</f>
        <v>Epilepsy, and Intellectual Disability and Autism</v>
      </c>
      <c r="X234" s="64" t="str">
        <f>IFERROR(__xludf.DUMMYFUNCTION("QUERY('Volunteer Survey'!R241)"),"Yes- I am willing to volunteer with any available ClinGen group")</f>
        <v>Yes- I am willing to volunteer with any available ClinGen group</v>
      </c>
      <c r="Y234" s="53"/>
      <c r="Z234" s="55"/>
      <c r="AA234" s="55"/>
      <c r="AB234" s="55"/>
      <c r="AC234" s="55"/>
      <c r="AD234" s="55"/>
      <c r="AE234" s="55"/>
      <c r="AF234" s="55"/>
      <c r="AG234" s="55"/>
      <c r="AH234" s="55"/>
      <c r="AI234" s="55"/>
      <c r="AJ234" s="55"/>
      <c r="AK234" s="55"/>
      <c r="AL234" s="55"/>
      <c r="AM234" s="55"/>
      <c r="AN234" s="55"/>
      <c r="AO234" s="55"/>
    </row>
    <row r="235">
      <c r="A235" s="50">
        <f>IFERROR(__xludf.DUMMYFUNCTION("QUERY('Volunteer Survey'!A242)"),43653.19000947917)</f>
        <v>43653.19001</v>
      </c>
      <c r="B235" s="48" t="s">
        <v>108</v>
      </c>
      <c r="C235" s="53"/>
      <c r="D235" s="55"/>
      <c r="E235" s="55"/>
      <c r="F235" s="48" t="s">
        <v>130</v>
      </c>
      <c r="G235" s="48" t="s">
        <v>202</v>
      </c>
      <c r="H235" s="53"/>
      <c r="I235" s="51" t="s">
        <v>139</v>
      </c>
      <c r="J235" s="55"/>
      <c r="K235" s="55"/>
      <c r="L235" s="55" t="str">
        <f>IFERROR(__xludf.DUMMYFUNCTION("QUERY('Volunteer Survey'!B242)"),"Pradeep Varathan")</f>
        <v>Pradeep Varathan</v>
      </c>
      <c r="M235" s="55" t="str">
        <f>IFERROR(__xludf.DUMMYFUNCTION("QUERY('Volunteer Survey'!E242)"),"pradluzog@gmail.com")</f>
        <v>pradluzog@gmail.com</v>
      </c>
      <c r="N235" s="55" t="str">
        <f>IFERROR(__xludf.DUMMYFUNCTION("QUERY('Volunteer Survey'!F242)"),"Graduate Student")</f>
        <v>Graduate Student</v>
      </c>
      <c r="O235" s="48" t="str">
        <f>IFERROR(__xludf.DUMMYFUNCTION("QUERY('Volunteer Survey'!H242)"),"Baseline")</f>
        <v>Baseline</v>
      </c>
      <c r="P235" s="55" t="str">
        <f>IFERROR(__xludf.DUMMYFUNCTION("QUERY('Volunteer Survey'!I242)"),"")</f>
        <v/>
      </c>
      <c r="Q235" s="60" t="str">
        <f>IFERROR(__xludf.DUMMYFUNCTION("QUERY('Volunteer Survey'!J242)"),"")</f>
        <v/>
      </c>
      <c r="R235" s="55" t="str">
        <f>IFERROR(__xludf.DUMMYFUNCTION("QUERY('Volunteer Survey'!K242)"),"")</f>
        <v/>
      </c>
      <c r="S235" s="55" t="str">
        <f>IFERROR(__xludf.DUMMYFUNCTION("QUERY('Volunteer Survey'!L242)"),"")</f>
        <v/>
      </c>
      <c r="T235" s="55" t="str">
        <f>IFERROR(__xludf.DUMMYFUNCTION("QUERY('Volunteer Survey'!M242)"),"")</f>
        <v/>
      </c>
      <c r="U235" s="64" t="str">
        <f>IFERROR(__xludf.DUMMYFUNCTION("QUERY('Volunteer Survey'!N242)"),"")</f>
        <v/>
      </c>
      <c r="V235" s="55" t="str">
        <f>IFERROR(__xludf.DUMMYFUNCTION("QUERY('Volunteer Survey'!O242)"),"Yes")</f>
        <v>Yes</v>
      </c>
      <c r="W235" s="66" t="str">
        <f>IFERROR(__xludf.DUMMYFUNCTION("QUERY('Volunteer Survey'!P242)"),"")</f>
        <v/>
      </c>
      <c r="X235" s="64" t="str">
        <f>IFERROR(__xludf.DUMMYFUNCTION("QUERY('Volunteer Survey'!R242)"),"Yes- I am willing to volunteer with any available ClinGen group")</f>
        <v>Yes- I am willing to volunteer with any available ClinGen group</v>
      </c>
      <c r="Y235" s="53"/>
      <c r="Z235" s="55"/>
      <c r="AA235" s="55"/>
      <c r="AB235" s="55"/>
      <c r="AC235" s="55"/>
      <c r="AD235" s="55"/>
      <c r="AE235" s="55"/>
      <c r="AF235" s="55"/>
      <c r="AG235" s="55"/>
      <c r="AH235" s="55"/>
      <c r="AI235" s="55"/>
      <c r="AJ235" s="55"/>
      <c r="AK235" s="55"/>
      <c r="AL235" s="55"/>
      <c r="AM235" s="55"/>
      <c r="AN235" s="55"/>
      <c r="AO235" s="55"/>
    </row>
    <row r="236">
      <c r="A236" s="50">
        <f>IFERROR(__xludf.DUMMYFUNCTION("QUERY('Volunteer Survey'!A243)"),43654.534963287035)</f>
        <v>43654.53496</v>
      </c>
      <c r="B236" s="48" t="s">
        <v>108</v>
      </c>
      <c r="C236" s="79">
        <v>43689.0</v>
      </c>
      <c r="D236" s="55"/>
      <c r="E236" s="55"/>
      <c r="F236" s="48" t="s">
        <v>130</v>
      </c>
      <c r="G236" s="48" t="s">
        <v>19</v>
      </c>
      <c r="H236" s="69"/>
      <c r="I236" s="51" t="s">
        <v>139</v>
      </c>
      <c r="J236" s="55"/>
      <c r="K236" s="55"/>
      <c r="L236" s="55" t="str">
        <f>IFERROR(__xludf.DUMMYFUNCTION("QUERY('Volunteer Survey'!B243)"),"Terri McVeigh")</f>
        <v>Terri McVeigh</v>
      </c>
      <c r="M236" s="55" t="str">
        <f>IFERROR(__xludf.DUMMYFUNCTION("QUERY('Volunteer Survey'!E243)"),"terri.mcveigh@rmh.nhs.uk")</f>
        <v>terri.mcveigh@rmh.nhs.uk</v>
      </c>
      <c r="N236" s="55" t="str">
        <f>IFERROR(__xludf.DUMMYFUNCTION("QUERY('Volunteer Survey'!F243)"),"Clinical Medical Geneticist")</f>
        <v>Clinical Medical Geneticist</v>
      </c>
      <c r="O236" s="48" t="str">
        <f>IFERROR(__xludf.DUMMYFUNCTION("QUERY('Volunteer Survey'!H243)"),"Comprehensive")</f>
        <v>Comprehensive</v>
      </c>
      <c r="P236" s="55" t="str">
        <f>IFERROR(__xludf.DUMMYFUNCTION("QUERY('Volunteer Survey'!I243)"),"Clinical Actionability")</f>
        <v>Clinical Actionability</v>
      </c>
      <c r="Q236" s="60" t="str">
        <f>IFERROR(__xludf.DUMMYFUNCTION("QUERY('Volunteer Survey'!J243)"),"Variant Pathogenicity")</f>
        <v>Variant Pathogenicity</v>
      </c>
      <c r="R236" s="55" t="str">
        <f>IFERROR(__xludf.DUMMYFUNCTION("QUERY('Volunteer Survey'!K243)"),"Gene-Disease Validity")</f>
        <v>Gene-Disease Validity</v>
      </c>
      <c r="S236" s="55" t="str">
        <f>IFERROR(__xludf.DUMMYFUNCTION("QUERY('Volunteer Survey'!L243)"),"Somatic Cancer")</f>
        <v>Somatic Cancer</v>
      </c>
      <c r="T236" s="55" t="str">
        <f>IFERROR(__xludf.DUMMYFUNCTION("QUERY('Volunteer Survey'!M243)"),"Dosage Sensitivity")</f>
        <v>Dosage Sensitivity</v>
      </c>
      <c r="U236" s="64" t="str">
        <f>IFERROR(__xludf.DUMMYFUNCTION("QUERY('Volunteer Survey'!N243)"),"I work as a Medical Geneticist so routinely interrogate variants from the point of view of pathogenicity, actionability and relationship to the patient phenotype. Furthermore, I actively participate in the molecular tumour board,  where we interrogate sim"&amp;"ilar features of somatic variants. ")</f>
        <v>I work as a Medical Geneticist so routinely interrogate variants from the point of view of pathogenicity, actionability and relationship to the patient phenotype. Furthermore, I actively participate in the molecular tumour board,  where we interrogate similar features of somatic variants. </v>
      </c>
      <c r="V236" s="55" t="str">
        <f>IFERROR(__xludf.DUMMYFUNCTION("QUERY('Volunteer Survey'!O243)"),"Possibly")</f>
        <v>Possibly</v>
      </c>
      <c r="W236" s="66" t="str">
        <f>IFERROR(__xludf.DUMMYFUNCTION("QUERY('Volunteer Survey'!P243)"),"")</f>
        <v/>
      </c>
      <c r="X236" s="64" t="str">
        <f>IFERROR(__xludf.DUMMYFUNCTION("QUERY('Volunteer Survey'!R243)"),"Maybe -- please contact me with other options, and I will decide based on what is available")</f>
        <v>Maybe -- please contact me with other options, and I will decide based on what is available</v>
      </c>
      <c r="Y236" s="53"/>
      <c r="Z236" s="55"/>
      <c r="AA236" s="55"/>
      <c r="AB236" s="55"/>
      <c r="AC236" s="55"/>
      <c r="AD236" s="55"/>
      <c r="AE236" s="55"/>
      <c r="AF236" s="55"/>
      <c r="AG236" s="55"/>
      <c r="AH236" s="55"/>
      <c r="AI236" s="55"/>
      <c r="AJ236" s="55"/>
      <c r="AK236" s="55"/>
      <c r="AL236" s="55"/>
      <c r="AM236" s="55"/>
      <c r="AN236" s="55"/>
      <c r="AO236" s="55"/>
    </row>
    <row r="237">
      <c r="A237" s="50">
        <f>IFERROR(__xludf.DUMMYFUNCTION("QUERY('Volunteer Survey'!A244)"),43655.43017872685)</f>
        <v>43655.43018</v>
      </c>
      <c r="B237" s="48" t="s">
        <v>168</v>
      </c>
      <c r="C237" s="53"/>
      <c r="D237" s="55"/>
      <c r="E237" s="55"/>
      <c r="F237" s="48" t="s">
        <v>130</v>
      </c>
      <c r="G237" s="48" t="s">
        <v>251</v>
      </c>
      <c r="H237" s="53"/>
      <c r="I237" s="51" t="s">
        <v>139</v>
      </c>
      <c r="J237" s="55"/>
      <c r="K237" s="55"/>
      <c r="L237" s="55" t="str">
        <f>IFERROR(__xludf.DUMMYFUNCTION("QUERY('Volunteer Survey'!B244)"),"Gretchen Cote")</f>
        <v>Gretchen Cote</v>
      </c>
      <c r="M237" s="55" t="str">
        <f>IFERROR(__xludf.DUMMYFUNCTION("QUERY('Volunteer Survey'!E244)"),"gretchen.cote@dgs.virginia.gov")</f>
        <v>gretchen.cote@dgs.virginia.gov</v>
      </c>
      <c r="N237" s="55" t="str">
        <f>IFERROR(__xludf.DUMMYFUNCTION("QUERY('Volunteer Survey'!F244)"),"Bioinformatician focusing on Variant Interpretation")</f>
        <v>Bioinformatician focusing on Variant Interpretation</v>
      </c>
      <c r="O237" s="48" t="str">
        <f>IFERROR(__xludf.DUMMYFUNCTION("QUERY('Volunteer Survey'!H244)"),"Comprehensive")</f>
        <v>Comprehensive</v>
      </c>
      <c r="P237" s="55" t="str">
        <f>IFERROR(__xludf.DUMMYFUNCTION("QUERY('Volunteer Survey'!I244)"),"Variant Pathogenicity")</f>
        <v>Variant Pathogenicity</v>
      </c>
      <c r="Q237" s="60" t="str">
        <f>IFERROR(__xludf.DUMMYFUNCTION("QUERY('Volunteer Survey'!J244)"),"Clinical Actionability")</f>
        <v>Clinical Actionability</v>
      </c>
      <c r="R237" s="55" t="str">
        <f>IFERROR(__xludf.DUMMYFUNCTION("QUERY('Volunteer Survey'!K244)"),"Gene-Disease Validity")</f>
        <v>Gene-Disease Validity</v>
      </c>
      <c r="S237" s="55" t="str">
        <f>IFERROR(__xludf.DUMMYFUNCTION("QUERY('Volunteer Survey'!L244)"),"Somatic Cancer")</f>
        <v>Somatic Cancer</v>
      </c>
      <c r="T237" s="55" t="str">
        <f>IFERROR(__xludf.DUMMYFUNCTION("QUERY('Volunteer Survey'!M244)"),"Dosage Sensitivity")</f>
        <v>Dosage Sensitivity</v>
      </c>
      <c r="U237" s="64" t="str">
        <f>IFERROR(__xludf.DUMMYFUNCTION("QUERY('Volunteer Survey'!N244)"),"I participate and weekly variant interpretation meetings for variant based newborn screening for Pompe and MPS1")</f>
        <v>I participate and weekly variant interpretation meetings for variant based newborn screening for Pompe and MPS1</v>
      </c>
      <c r="V237" s="55" t="str">
        <f>IFERROR(__xludf.DUMMYFUNCTION("QUERY('Volunteer Survey'!O244)"),"Possibly")</f>
        <v>Possibly</v>
      </c>
      <c r="W237" s="66" t="str">
        <f>IFERROR(__xludf.DUMMYFUNCTION("QUERY('Volunteer Survey'!P244)"),"Lysosomal Storage Disorders")</f>
        <v>Lysosomal Storage Disorders</v>
      </c>
      <c r="X237" s="64" t="str">
        <f>IFERROR(__xludf.DUMMYFUNCTION("QUERY('Volunteer Survey'!R244)"),"Yes- I am willing to volunteer with any available ClinGen group")</f>
        <v>Yes- I am willing to volunteer with any available ClinGen group</v>
      </c>
      <c r="Y237" s="53"/>
      <c r="Z237" s="55"/>
      <c r="AA237" s="55"/>
      <c r="AB237" s="55"/>
      <c r="AC237" s="55"/>
      <c r="AD237" s="55"/>
      <c r="AE237" s="55"/>
      <c r="AF237" s="55"/>
      <c r="AG237" s="55"/>
      <c r="AH237" s="55"/>
      <c r="AI237" s="55"/>
      <c r="AJ237" s="55"/>
      <c r="AK237" s="55"/>
      <c r="AL237" s="55"/>
      <c r="AM237" s="55"/>
      <c r="AN237" s="55"/>
      <c r="AO237" s="55"/>
    </row>
    <row r="238">
      <c r="A238" s="50">
        <f>IFERROR(__xludf.DUMMYFUNCTION("QUERY('Volunteer Survey'!A245)"),43661.550887303245)</f>
        <v>43661.55089</v>
      </c>
      <c r="B238" s="48" t="s">
        <v>108</v>
      </c>
      <c r="C238" s="53"/>
      <c r="D238" s="65">
        <v>43692.0</v>
      </c>
      <c r="E238" s="48" t="s">
        <v>117</v>
      </c>
      <c r="F238" s="48" t="s">
        <v>117</v>
      </c>
      <c r="G238" s="48" t="s">
        <v>122</v>
      </c>
      <c r="H238" s="53"/>
      <c r="I238" s="51" t="s">
        <v>139</v>
      </c>
      <c r="J238" s="55"/>
      <c r="K238" s="55"/>
      <c r="L238" s="55" t="str">
        <f>IFERROR(__xludf.DUMMYFUNCTION("QUERY('Volunteer Survey'!B245)"),"Mayher Patel")</f>
        <v>Mayher Patel</v>
      </c>
      <c r="M238" s="55" t="str">
        <f>IFERROR(__xludf.DUMMYFUNCTION("QUERY('Volunteer Survey'!E245)"),"mayher@broadinstitute.org")</f>
        <v>mayher@broadinstitute.org</v>
      </c>
      <c r="N238" s="55" t="str">
        <f>IFERROR(__xludf.DUMMYFUNCTION("QUERY('Volunteer Survey'!F245)"),"Biocurator")</f>
        <v>Biocurator</v>
      </c>
      <c r="O238" s="48" t="str">
        <f>IFERROR(__xludf.DUMMYFUNCTION("QUERY('Volunteer Survey'!H245)"),"Comprehensive")</f>
        <v>Comprehensive</v>
      </c>
      <c r="P238" s="55" t="str">
        <f>IFERROR(__xludf.DUMMYFUNCTION("QUERY('Volunteer Survey'!I245)"),"Gene-Disease Validity")</f>
        <v>Gene-Disease Validity</v>
      </c>
      <c r="Q238" s="60" t="str">
        <f>IFERROR(__xludf.DUMMYFUNCTION("QUERY('Volunteer Survey'!J245)"),"")</f>
        <v/>
      </c>
      <c r="R238" s="55" t="str">
        <f>IFERROR(__xludf.DUMMYFUNCTION("QUERY('Volunteer Survey'!K245)"),"")</f>
        <v/>
      </c>
      <c r="S238" s="55" t="str">
        <f>IFERROR(__xludf.DUMMYFUNCTION("QUERY('Volunteer Survey'!L245)"),"")</f>
        <v/>
      </c>
      <c r="T238" s="55" t="str">
        <f>IFERROR(__xludf.DUMMYFUNCTION("QUERY('Volunteer Survey'!M245)"),"")</f>
        <v/>
      </c>
      <c r="U238" s="64" t="str">
        <f>IFERROR(__xludf.DUMMYFUNCTION("QUERY('Volunteer Survey'!N245)"),"")</f>
        <v/>
      </c>
      <c r="V238" s="55" t="str">
        <f>IFERROR(__xludf.DUMMYFUNCTION("QUERY('Volunteer Survey'!O245)"),"")</f>
        <v/>
      </c>
      <c r="W238" s="66" t="str">
        <f>IFERROR(__xludf.DUMMYFUNCTION("QUERY('Volunteer Survey'!P245)"),"")</f>
        <v/>
      </c>
      <c r="X238" s="64" t="str">
        <f>IFERROR(__xludf.DUMMYFUNCTION("QUERY('Volunteer Survey'!R245)"),"")</f>
        <v/>
      </c>
      <c r="Y238" s="53"/>
      <c r="Z238" s="55"/>
      <c r="AA238" s="55"/>
      <c r="AB238" s="55"/>
      <c r="AC238" s="55"/>
      <c r="AD238" s="55"/>
      <c r="AE238" s="55"/>
      <c r="AF238" s="55"/>
      <c r="AG238" s="55"/>
      <c r="AH238" s="55"/>
      <c r="AI238" s="55"/>
      <c r="AJ238" s="55"/>
      <c r="AK238" s="55"/>
      <c r="AL238" s="55"/>
      <c r="AM238" s="55"/>
      <c r="AN238" s="55"/>
      <c r="AO238" s="55"/>
    </row>
    <row r="239">
      <c r="A239" s="50">
        <f>IFERROR(__xludf.DUMMYFUNCTION("QUERY('Volunteer Survey'!A246)"),43662.48937493055)</f>
        <v>43662.48937</v>
      </c>
      <c r="B239" s="48" t="s">
        <v>168</v>
      </c>
      <c r="C239" s="53"/>
      <c r="D239" s="55"/>
      <c r="E239" s="55"/>
      <c r="F239" s="48" t="s">
        <v>130</v>
      </c>
      <c r="G239" s="48" t="s">
        <v>251</v>
      </c>
      <c r="H239" s="53"/>
      <c r="I239" s="51" t="s">
        <v>139</v>
      </c>
      <c r="J239" s="55"/>
      <c r="K239" s="55"/>
      <c r="L239" s="55" t="str">
        <f>IFERROR(__xludf.DUMMYFUNCTION("QUERY('Volunteer Survey'!B246)"),"Bryan Gall")</f>
        <v>Bryan Gall</v>
      </c>
      <c r="M239" s="55" t="str">
        <f>IFERROR(__xludf.DUMMYFUNCTION("QUERY('Volunteer Survey'!E246)"),"bgall005@gmail.com")</f>
        <v>bgall005@gmail.com</v>
      </c>
      <c r="N239" s="55" t="str">
        <f>IFERROR(__xludf.DUMMYFUNCTION("QUERY('Volunteer Survey'!F246)"),"Variant Analyst/Scientist - Industry")</f>
        <v>Variant Analyst/Scientist - Industry</v>
      </c>
      <c r="O239" s="48" t="str">
        <f>IFERROR(__xludf.DUMMYFUNCTION("QUERY('Volunteer Survey'!H246)"),"Comprehensive")</f>
        <v>Comprehensive</v>
      </c>
      <c r="P239" s="55" t="str">
        <f>IFERROR(__xludf.DUMMYFUNCTION("QUERY('Volunteer Survey'!I246)"),"Variant Pathogenicity")</f>
        <v>Variant Pathogenicity</v>
      </c>
      <c r="Q239" s="60" t="str">
        <f>IFERROR(__xludf.DUMMYFUNCTION("QUERY('Volunteer Survey'!J246)"),"Clinical Actionability")</f>
        <v>Clinical Actionability</v>
      </c>
      <c r="R239" s="55" t="str">
        <f>IFERROR(__xludf.DUMMYFUNCTION("QUERY('Volunteer Survey'!K246)"),"Gene-Disease Validity")</f>
        <v>Gene-Disease Validity</v>
      </c>
      <c r="S239" s="55" t="str">
        <f>IFERROR(__xludf.DUMMYFUNCTION("QUERY('Volunteer Survey'!L246)"),"Somatic Cancer")</f>
        <v>Somatic Cancer</v>
      </c>
      <c r="T239" s="55" t="str">
        <f>IFERROR(__xludf.DUMMYFUNCTION("QUERY('Volunteer Survey'!M246)"),"Dosage Sensitivity")</f>
        <v>Dosage Sensitivity</v>
      </c>
      <c r="U239" s="64" t="str">
        <f>IFERROR(__xludf.DUMMYFUNCTION("QUERY('Volunteer Survey'!N246)"),"Manual variant interpretation using ClinGen resources")</f>
        <v>Manual variant interpretation using ClinGen resources</v>
      </c>
      <c r="V239" s="55" t="str">
        <f>IFERROR(__xludf.DUMMYFUNCTION("QUERY('Volunteer Survey'!O246)"),"No")</f>
        <v>No</v>
      </c>
      <c r="W239" s="66" t="str">
        <f>IFERROR(__xludf.DUMMYFUNCTION("QUERY('Volunteer Survey'!P246)"),"Colorectal Cancer, Familial Hypercholesterolemia, and Myeloid Malignancy")</f>
        <v>Colorectal Cancer, Familial Hypercholesterolemia, and Myeloid Malignancy</v>
      </c>
      <c r="X239" s="64" t="str">
        <f>IFERROR(__xludf.DUMMYFUNCTION("QUERY('Volunteer Survey'!R246)"),"Yes- I am willing to volunteer with any available ClinGen group")</f>
        <v>Yes- I am willing to volunteer with any available ClinGen group</v>
      </c>
      <c r="Y239" s="53"/>
      <c r="Z239" s="55"/>
      <c r="AA239" s="55"/>
      <c r="AB239" s="55"/>
      <c r="AC239" s="55"/>
      <c r="AD239" s="55"/>
      <c r="AE239" s="55"/>
      <c r="AF239" s="55"/>
      <c r="AG239" s="55"/>
      <c r="AH239" s="55"/>
      <c r="AI239" s="55"/>
      <c r="AJ239" s="55"/>
      <c r="AK239" s="55"/>
      <c r="AL239" s="55"/>
      <c r="AM239" s="55"/>
      <c r="AN239" s="55"/>
      <c r="AO239" s="55"/>
    </row>
    <row r="240">
      <c r="A240" s="50">
        <f>IFERROR(__xludf.DUMMYFUNCTION("QUERY('Volunteer Survey'!A247)"),43663.56819197916)</f>
        <v>43663.56819</v>
      </c>
      <c r="B240" s="48" t="s">
        <v>108</v>
      </c>
      <c r="C240" s="53"/>
      <c r="D240" s="65">
        <v>43692.0</v>
      </c>
      <c r="E240" s="48" t="s">
        <v>117</v>
      </c>
      <c r="F240" s="48" t="s">
        <v>117</v>
      </c>
      <c r="G240" s="48" t="s">
        <v>122</v>
      </c>
      <c r="H240" s="53"/>
      <c r="I240" s="51" t="s">
        <v>139</v>
      </c>
      <c r="J240" s="55"/>
      <c r="K240" s="55"/>
      <c r="L240" s="55" t="str">
        <f>IFERROR(__xludf.DUMMYFUNCTION("QUERY('Volunteer Survey'!B247)"),"Hwaida Hannoush")</f>
        <v>Hwaida Hannoush</v>
      </c>
      <c r="M240" s="55" t="str">
        <f>IFERROR(__xludf.DUMMYFUNCTION("QUERY('Volunteer Survey'!E247)"),"hhannoush@acmg.net")</f>
        <v>hhannoush@acmg.net</v>
      </c>
      <c r="N240" s="55" t="str">
        <f>IFERROR(__xludf.DUMMYFUNCTION("QUERY('Volunteer Survey'!F247)"),"Post Doc/Resident/Fellow (MD and/or PhD)")</f>
        <v>Post Doc/Resident/Fellow (MD and/or PhD)</v>
      </c>
      <c r="O240" s="48" t="str">
        <f>IFERROR(__xludf.DUMMYFUNCTION("QUERY('Volunteer Survey'!H247)"),"Comprehensive")</f>
        <v>Comprehensive</v>
      </c>
      <c r="P240" s="55" t="str">
        <f>IFERROR(__xludf.DUMMYFUNCTION("QUERY('Volunteer Survey'!I247)"),"Gene-Disease Validity")</f>
        <v>Gene-Disease Validity</v>
      </c>
      <c r="Q240" s="60" t="str">
        <f>IFERROR(__xludf.DUMMYFUNCTION("QUERY('Volunteer Survey'!J247)"),"Variant Pathogenicity")</f>
        <v>Variant Pathogenicity</v>
      </c>
      <c r="R240" s="55" t="str">
        <f>IFERROR(__xludf.DUMMYFUNCTION("QUERY('Volunteer Survey'!K247)"),"")</f>
        <v/>
      </c>
      <c r="S240" s="55" t="str">
        <f>IFERROR(__xludf.DUMMYFUNCTION("QUERY('Volunteer Survey'!L247)"),"")</f>
        <v/>
      </c>
      <c r="T240" s="55" t="str">
        <f>IFERROR(__xludf.DUMMYFUNCTION("QUERY('Volunteer Survey'!M247)"),"")</f>
        <v/>
      </c>
      <c r="U240" s="64" t="str">
        <f>IFERROR(__xludf.DUMMYFUNCTION("QUERY('Volunteer Survey'!N247)"),"None")</f>
        <v>None</v>
      </c>
      <c r="V240" s="55" t="str">
        <f>IFERROR(__xludf.DUMMYFUNCTION("QUERY('Volunteer Survey'!O247)"),"No")</f>
        <v>No</v>
      </c>
      <c r="W240" s="66" t="str">
        <f>IFERROR(__xludf.DUMMYFUNCTION("QUERY('Volunteer Survey'!P247)"),"Cardiomyopathy, Familial Hypercholesterolemia")</f>
        <v>Cardiomyopathy, Familial Hypercholesterolemia</v>
      </c>
      <c r="X240" s="64" t="str">
        <f>IFERROR(__xludf.DUMMYFUNCTION("QUERY('Volunteer Survey'!R247)"),"Maybe -- please contact me with other options, and I will decide based on what is available")</f>
        <v>Maybe -- please contact me with other options, and I will decide based on what is available</v>
      </c>
      <c r="Y240" s="53"/>
      <c r="Z240" s="55"/>
      <c r="AA240" s="55"/>
      <c r="AB240" s="55"/>
      <c r="AC240" s="55"/>
      <c r="AD240" s="55"/>
      <c r="AE240" s="55"/>
      <c r="AF240" s="55"/>
      <c r="AG240" s="55"/>
      <c r="AH240" s="55"/>
      <c r="AI240" s="55"/>
      <c r="AJ240" s="55"/>
      <c r="AK240" s="55"/>
      <c r="AL240" s="55"/>
      <c r="AM240" s="55"/>
      <c r="AN240" s="55"/>
      <c r="AO240" s="55"/>
    </row>
    <row r="241">
      <c r="A241" s="50">
        <f>IFERROR(__xludf.DUMMYFUNCTION("QUERY('Volunteer Survey'!A248)"),43663.98611565972)</f>
        <v>43663.98612</v>
      </c>
      <c r="B241" s="48" t="s">
        <v>108</v>
      </c>
      <c r="C241" s="79">
        <v>43689.0</v>
      </c>
      <c r="D241" s="55"/>
      <c r="E241" s="55"/>
      <c r="F241" s="48" t="s">
        <v>130</v>
      </c>
      <c r="G241" s="48" t="s">
        <v>19</v>
      </c>
      <c r="H241" s="69"/>
      <c r="I241" s="51" t="s">
        <v>139</v>
      </c>
      <c r="J241" s="55"/>
      <c r="K241" s="55"/>
      <c r="L241" s="55" t="str">
        <f>IFERROR(__xludf.DUMMYFUNCTION("QUERY('Volunteer Survey'!B248)"),"Rawan Awwad")</f>
        <v>Rawan Awwad</v>
      </c>
      <c r="M241" s="55" t="str">
        <f>IFERROR(__xludf.DUMMYFUNCTION("QUERY('Volunteer Survey'!E248)"),"rawan.awwad@gmail.com")</f>
        <v>rawan.awwad@gmail.com</v>
      </c>
      <c r="N241" s="55" t="str">
        <f>IFERROR(__xludf.DUMMYFUNCTION("QUERY('Volunteer Survey'!F248)"),"Genetic counselor")</f>
        <v>Genetic counselor</v>
      </c>
      <c r="O241" s="48" t="str">
        <f>IFERROR(__xludf.DUMMYFUNCTION("QUERY('Volunteer Survey'!H248)"),"Comprehensive")</f>
        <v>Comprehensive</v>
      </c>
      <c r="P241" s="55" t="str">
        <f>IFERROR(__xludf.DUMMYFUNCTION("QUERY('Volunteer Survey'!I248)"),"Clinical Actionability")</f>
        <v>Clinical Actionability</v>
      </c>
      <c r="Q241" s="60" t="str">
        <f>IFERROR(__xludf.DUMMYFUNCTION("QUERY('Volunteer Survey'!J248)"),"Gene-Disease Validity")</f>
        <v>Gene-Disease Validity</v>
      </c>
      <c r="R241" s="55" t="str">
        <f>IFERROR(__xludf.DUMMYFUNCTION("QUERY('Volunteer Survey'!K248)"),"Variant Pathogenicity")</f>
        <v>Variant Pathogenicity</v>
      </c>
      <c r="S241" s="55" t="str">
        <f>IFERROR(__xludf.DUMMYFUNCTION("QUERY('Volunteer Survey'!L248)"),"")</f>
        <v/>
      </c>
      <c r="T241" s="55" t="str">
        <f>IFERROR(__xludf.DUMMYFUNCTION("QUERY('Volunteer Survey'!M248)"),"")</f>
        <v/>
      </c>
      <c r="U241" s="64" t="str">
        <f>IFERROR(__xludf.DUMMYFUNCTION("QUERY('Volunteer Survey'!N248)"),"No but I know I can pick it up ")</f>
        <v>No but I know I can pick it up </v>
      </c>
      <c r="V241" s="55" t="str">
        <f>IFERROR(__xludf.DUMMYFUNCTION("QUERY('Volunteer Survey'!O248)"),"No")</f>
        <v>No</v>
      </c>
      <c r="W241" s="66" t="str">
        <f>IFERROR(__xludf.DUMMYFUNCTION("QUERY('Volunteer Survey'!P248)"),"Clinical actionability for Peds ")</f>
        <v>Clinical actionability for Peds </v>
      </c>
      <c r="X241" s="64" t="str">
        <f>IFERROR(__xludf.DUMMYFUNCTION("QUERY('Volunteer Survey'!R248)"),"Maybe -- please contact me with other options, and I will decide based on what is available")</f>
        <v>Maybe -- please contact me with other options, and I will decide based on what is available</v>
      </c>
      <c r="Y241" s="53"/>
      <c r="Z241" s="55"/>
      <c r="AA241" s="55"/>
      <c r="AB241" s="55"/>
      <c r="AC241" s="55"/>
      <c r="AD241" s="55"/>
      <c r="AE241" s="55"/>
      <c r="AF241" s="55"/>
      <c r="AG241" s="55"/>
      <c r="AH241" s="55"/>
      <c r="AI241" s="55"/>
      <c r="AJ241" s="55"/>
      <c r="AK241" s="55"/>
      <c r="AL241" s="55"/>
      <c r="AM241" s="55"/>
      <c r="AN241" s="55"/>
      <c r="AO241" s="55"/>
    </row>
    <row r="242">
      <c r="A242" s="50">
        <f>IFERROR(__xludf.DUMMYFUNCTION("QUERY('Volunteer Survey'!A249)"),43665.50623513889)</f>
        <v>43665.50624</v>
      </c>
      <c r="B242" s="48" t="s">
        <v>168</v>
      </c>
      <c r="C242" s="79"/>
      <c r="D242" s="55"/>
      <c r="E242" s="55"/>
      <c r="F242" s="48" t="s">
        <v>130</v>
      </c>
      <c r="G242" s="48" t="s">
        <v>251</v>
      </c>
      <c r="H242" s="53"/>
      <c r="I242" s="51" t="s">
        <v>139</v>
      </c>
      <c r="J242" s="55"/>
      <c r="K242" s="55"/>
      <c r="L242" s="55" t="str">
        <f>IFERROR(__xludf.DUMMYFUNCTION("QUERY('Volunteer Survey'!B249)"),"Yanhui Li")</f>
        <v>Yanhui Li</v>
      </c>
      <c r="M242" s="55" t="str">
        <f>IFERROR(__xludf.DUMMYFUNCTION("QUERY('Volunteer Survey'!E249)"),"yxl280@gmail.com")</f>
        <v>yxl280@gmail.com</v>
      </c>
      <c r="N242" s="55" t="str">
        <f>IFERROR(__xludf.DUMMYFUNCTION("QUERY('Volunteer Survey'!F249)"),"Post Doc/Resident/Fellow (MD and/or PhD)")</f>
        <v>Post Doc/Resident/Fellow (MD and/or PhD)</v>
      </c>
      <c r="O242" s="48" t="str">
        <f>IFERROR(__xludf.DUMMYFUNCTION("QUERY('Volunteer Survey'!H249)"),"Comprehensive")</f>
        <v>Comprehensive</v>
      </c>
      <c r="P242" s="55" t="str">
        <f>IFERROR(__xludf.DUMMYFUNCTION("QUERY('Volunteer Survey'!I249)"),"Variant Pathogenicity")</f>
        <v>Variant Pathogenicity</v>
      </c>
      <c r="Q242" s="60" t="str">
        <f>IFERROR(__xludf.DUMMYFUNCTION("QUERY('Volunteer Survey'!J249)"),"Gene-Disease Validity")</f>
        <v>Gene-Disease Validity</v>
      </c>
      <c r="R242" s="55" t="str">
        <f>IFERROR(__xludf.DUMMYFUNCTION("QUERY('Volunteer Survey'!K249)"),"Somatic Cancer")</f>
        <v>Somatic Cancer</v>
      </c>
      <c r="S242" s="55" t="str">
        <f>IFERROR(__xludf.DUMMYFUNCTION("QUERY('Volunteer Survey'!L249)"),"Clinical Actionability")</f>
        <v>Clinical Actionability</v>
      </c>
      <c r="T242" s="55" t="str">
        <f>IFERROR(__xludf.DUMMYFUNCTION("QUERY('Volunteer Survey'!M249)"),"Dosage Sensitivity")</f>
        <v>Dosage Sensitivity</v>
      </c>
      <c r="U242" s="64" t="str">
        <f>IFERROR(__xludf.DUMMYFUNCTION("QUERY('Volunteer Survey'!N249)"),"")</f>
        <v/>
      </c>
      <c r="V242" s="55" t="str">
        <f>IFERROR(__xludf.DUMMYFUNCTION("QUERY('Volunteer Survey'!O249)"),"Possibly")</f>
        <v>Possibly</v>
      </c>
      <c r="W242" s="66" t="str">
        <f>IFERROR(__xludf.DUMMYFUNCTION("QUERY('Volunteer Survey'!P249)"),"Yes")</f>
        <v>Yes</v>
      </c>
      <c r="X242" s="64" t="str">
        <f>IFERROR(__xludf.DUMMYFUNCTION("QUERY('Volunteer Survey'!R249)"),"Yes- I am willing to volunteer with any available ClinGen group")</f>
        <v>Yes- I am willing to volunteer with any available ClinGen group</v>
      </c>
      <c r="Y242" s="53"/>
      <c r="Z242" s="55"/>
      <c r="AA242" s="55"/>
      <c r="AB242" s="55"/>
      <c r="AC242" s="55"/>
      <c r="AD242" s="55"/>
      <c r="AE242" s="55"/>
      <c r="AF242" s="55"/>
      <c r="AG242" s="55"/>
      <c r="AH242" s="55"/>
      <c r="AI242" s="55"/>
      <c r="AJ242" s="55"/>
      <c r="AK242" s="55"/>
      <c r="AL242" s="55"/>
      <c r="AM242" s="55"/>
      <c r="AN242" s="55"/>
      <c r="AO242" s="55"/>
    </row>
    <row r="243">
      <c r="A243" s="50">
        <f>IFERROR(__xludf.DUMMYFUNCTION("QUERY('Volunteer Survey'!A250)"),43668.94500358796)</f>
        <v>43668.945</v>
      </c>
      <c r="B243" s="48" t="s">
        <v>108</v>
      </c>
      <c r="C243" s="79">
        <v>43689.0</v>
      </c>
      <c r="D243" s="55"/>
      <c r="E243" s="55"/>
      <c r="F243" s="48" t="s">
        <v>130</v>
      </c>
      <c r="G243" s="48" t="s">
        <v>19</v>
      </c>
      <c r="H243" s="69"/>
      <c r="I243" s="51" t="s">
        <v>139</v>
      </c>
      <c r="J243" s="55"/>
      <c r="K243" s="55"/>
      <c r="L243" s="55" t="str">
        <f>IFERROR(__xludf.DUMMYFUNCTION("QUERY('Volunteer Survey'!B250)"),"Leila Jamal")</f>
        <v>Leila Jamal</v>
      </c>
      <c r="M243" s="55" t="str">
        <f>IFERROR(__xludf.DUMMYFUNCTION("QUERY('Volunteer Survey'!E250)"),"leila.jamal@nih.gov")</f>
        <v>leila.jamal@nih.gov</v>
      </c>
      <c r="N243" s="55" t="str">
        <f>IFERROR(__xludf.DUMMYFUNCTION("QUERY('Volunteer Survey'!F250)"),"Genetic counselor")</f>
        <v>Genetic counselor</v>
      </c>
      <c r="O243" s="48" t="str">
        <f>IFERROR(__xludf.DUMMYFUNCTION("QUERY('Volunteer Survey'!H250)"),"Comprehensive")</f>
        <v>Comprehensive</v>
      </c>
      <c r="P243" s="55" t="str">
        <f>IFERROR(__xludf.DUMMYFUNCTION("QUERY('Volunteer Survey'!I250)"),"Clinical Actionability")</f>
        <v>Clinical Actionability</v>
      </c>
      <c r="Q243" s="60" t="str">
        <f>IFERROR(__xludf.DUMMYFUNCTION("QUERY('Volunteer Survey'!J250)"),"Gene-Disease Validity")</f>
        <v>Gene-Disease Validity</v>
      </c>
      <c r="R243" s="55" t="str">
        <f>IFERROR(__xludf.DUMMYFUNCTION("QUERY('Volunteer Survey'!K250)"),"Variant Pathogenicity")</f>
        <v>Variant Pathogenicity</v>
      </c>
      <c r="S243" s="55" t="str">
        <f>IFERROR(__xludf.DUMMYFUNCTION("QUERY('Volunteer Survey'!L250)"),"")</f>
        <v/>
      </c>
      <c r="T243" s="55" t="str">
        <f>IFERROR(__xludf.DUMMYFUNCTION("QUERY('Volunteer Survey'!M250)"),"")</f>
        <v/>
      </c>
      <c r="U243" s="64" t="str">
        <f>IFERROR(__xludf.DUMMYFUNCTION("QUERY('Volunteer Survey'!N250)"),"I have PhD training in public health and have also written clinical test reports for study participants enrolled in a large sequencing research protocol at NIAID (on which I am a co-investigator).   ")</f>
        <v>I have PhD training in public health and have also written clinical test reports for study participants enrolled in a large sequencing research protocol at NIAID (on which I am a co-investigator).   </v>
      </c>
      <c r="V243" s="55" t="str">
        <f>IFERROR(__xludf.DUMMYFUNCTION("QUERY('Volunteer Survey'!O250)"),"No")</f>
        <v>No</v>
      </c>
      <c r="W243" s="66" t="str">
        <f>IFERROR(__xludf.DUMMYFUNCTION("QUERY('Volunteer Survey'!P250)"),"I am most interested in the Pediatric Actionability Working Group and/or the Charcot-Marie-Tooth Gene Curation Group.  I would consider joining other gene or variant curation working groups as well.   ")</f>
        <v>I am most interested in the Pediatric Actionability Working Group and/or the Charcot-Marie-Tooth Gene Curation Group.  I would consider joining other gene or variant curation working groups as well.   </v>
      </c>
      <c r="X243" s="64" t="str">
        <f>IFERROR(__xludf.DUMMYFUNCTION("QUERY('Volunteer Survey'!R250)"),"Maybe -- please contact me with other options, and I will decide based on what is available")</f>
        <v>Maybe -- please contact me with other options, and I will decide based on what is available</v>
      </c>
      <c r="Y243" s="53"/>
      <c r="Z243" s="55"/>
      <c r="AA243" s="55"/>
      <c r="AB243" s="55"/>
      <c r="AC243" s="55"/>
      <c r="AD243" s="55"/>
      <c r="AE243" s="55"/>
      <c r="AF243" s="55"/>
      <c r="AG243" s="55"/>
      <c r="AH243" s="55"/>
      <c r="AI243" s="55"/>
      <c r="AJ243" s="55"/>
      <c r="AK243" s="55"/>
      <c r="AL243" s="55"/>
      <c r="AM243" s="55"/>
      <c r="AN243" s="55"/>
      <c r="AO243" s="55"/>
    </row>
    <row r="244">
      <c r="A244" s="50">
        <f>IFERROR(__xludf.DUMMYFUNCTION("QUERY('Volunteer Survey'!A251)"),43671.887762453705)</f>
        <v>43671.88776</v>
      </c>
      <c r="B244" s="48" t="s">
        <v>108</v>
      </c>
      <c r="C244" s="79">
        <v>43819.0</v>
      </c>
      <c r="D244" s="55"/>
      <c r="E244" s="55"/>
      <c r="F244" s="48" t="s">
        <v>130</v>
      </c>
      <c r="G244" s="48" t="s">
        <v>251</v>
      </c>
      <c r="H244" s="53"/>
      <c r="I244" s="51" t="s">
        <v>139</v>
      </c>
      <c r="J244" s="55"/>
      <c r="K244" s="55"/>
      <c r="L244" s="55" t="str">
        <f>IFERROR(__xludf.DUMMYFUNCTION("QUERY('Volunteer Survey'!B251)"),"Shahad Rahawi")</f>
        <v>Shahad Rahawi</v>
      </c>
      <c r="M244" s="55" t="str">
        <f>IFERROR(__xludf.DUMMYFUNCTION("QUERY('Volunteer Survey'!E251)"),"shahadrahawi@gmail.com")</f>
        <v>shahadrahawi@gmail.com</v>
      </c>
      <c r="N244" s="55" t="str">
        <f>IFERROR(__xludf.DUMMYFUNCTION("QUERY('Volunteer Survey'!F251)"),"Genetic counselor")</f>
        <v>Genetic counselor</v>
      </c>
      <c r="O244" s="48" t="str">
        <f>IFERROR(__xludf.DUMMYFUNCTION("QUERY('Volunteer Survey'!H251)"),"Comprehensive")</f>
        <v>Comprehensive</v>
      </c>
      <c r="P244" s="55" t="str">
        <f>IFERROR(__xludf.DUMMYFUNCTION("QUERY('Volunteer Survey'!I251)"),"Variant Pathogenicity")</f>
        <v>Variant Pathogenicity</v>
      </c>
      <c r="Q244" s="60" t="str">
        <f>IFERROR(__xludf.DUMMYFUNCTION("QUERY('Volunteer Survey'!J251)"),"Gene-Disease Validity")</f>
        <v>Gene-Disease Validity</v>
      </c>
      <c r="R244" s="55" t="str">
        <f>IFERROR(__xludf.DUMMYFUNCTION("QUERY('Volunteer Survey'!K251)"),"Clinical Actionability")</f>
        <v>Clinical Actionability</v>
      </c>
      <c r="S244" s="55" t="str">
        <f>IFERROR(__xludf.DUMMYFUNCTION("QUERY('Volunteer Survey'!L251)"),"Dosage Sensitivity")</f>
        <v>Dosage Sensitivity</v>
      </c>
      <c r="T244" s="55" t="str">
        <f>IFERROR(__xludf.DUMMYFUNCTION("QUERY('Volunteer Survey'!M251)"),"Somatic Cancer")</f>
        <v>Somatic Cancer</v>
      </c>
      <c r="U244" s="64" t="str">
        <f>IFERROR(__xludf.DUMMYFUNCTION("QUERY('Volunteer Survey'!N251)"),"brief variant interpretation activities in ""analyze your genome"" class in grad school")</f>
        <v>brief variant interpretation activities in "analyze your genome" class in grad school</v>
      </c>
      <c r="V244" s="55" t="str">
        <f>IFERROR(__xludf.DUMMYFUNCTION("QUERY('Volunteer Survey'!O251)"),"Possibly")</f>
        <v>Possibly</v>
      </c>
      <c r="W244" s="66" t="str">
        <f>IFERROR(__xludf.DUMMYFUNCTION("QUERY('Volunteer Survey'!P251)"),"")</f>
        <v/>
      </c>
      <c r="X244" s="64" t="str">
        <f>IFERROR(__xludf.DUMMYFUNCTION("QUERY('Volunteer Survey'!R251)"),"Yes- I am willing to volunteer with any available ClinGen group")</f>
        <v>Yes- I am willing to volunteer with any available ClinGen group</v>
      </c>
      <c r="Y244" s="53"/>
      <c r="Z244" s="55"/>
      <c r="AA244" s="55"/>
      <c r="AB244" s="55"/>
      <c r="AC244" s="55"/>
      <c r="AD244" s="55"/>
      <c r="AE244" s="55"/>
      <c r="AF244" s="55"/>
      <c r="AG244" s="55"/>
      <c r="AH244" s="55"/>
      <c r="AI244" s="55"/>
      <c r="AJ244" s="55"/>
      <c r="AK244" s="55"/>
      <c r="AL244" s="55"/>
      <c r="AM244" s="55"/>
      <c r="AN244" s="55"/>
      <c r="AO244" s="55"/>
    </row>
    <row r="245">
      <c r="A245" s="50">
        <f>IFERROR(__xludf.DUMMYFUNCTION("QUERY('Volunteer Survey'!A252)"),43672.24757622685)</f>
        <v>43672.24758</v>
      </c>
      <c r="B245" s="48" t="s">
        <v>108</v>
      </c>
      <c r="C245" s="53"/>
      <c r="D245" s="55"/>
      <c r="E245" s="55"/>
      <c r="F245" s="48" t="s">
        <v>130</v>
      </c>
      <c r="G245" s="48" t="s">
        <v>202</v>
      </c>
      <c r="H245" s="53"/>
      <c r="I245" s="51" t="s">
        <v>139</v>
      </c>
      <c r="J245" s="55"/>
      <c r="K245" s="55"/>
      <c r="L245" s="55" t="str">
        <f>IFERROR(__xludf.DUMMYFUNCTION("QUERY('Volunteer Survey'!B252)"),"John Beilby")</f>
        <v>John Beilby</v>
      </c>
      <c r="M245" s="55" t="str">
        <f>IFERROR(__xludf.DUMMYFUNCTION("QUERY('Volunteer Survey'!E252)"),"John.Beilby@health.wa.gov.au")</f>
        <v>John.Beilby@health.wa.gov.au</v>
      </c>
      <c r="N245" s="55" t="str">
        <f>IFERROR(__xludf.DUMMYFUNCTION("QUERY('Volunteer Survey'!F252)"),"Clinical laboratory geneticist")</f>
        <v>Clinical laboratory geneticist</v>
      </c>
      <c r="O245" s="48" t="str">
        <f>IFERROR(__xludf.DUMMYFUNCTION("QUERY('Volunteer Survey'!H252)"),"Baseline")</f>
        <v>Baseline</v>
      </c>
      <c r="P245" s="55" t="str">
        <f>IFERROR(__xludf.DUMMYFUNCTION("QUERY('Volunteer Survey'!I252)"),"Variant Pathogenicity")</f>
        <v>Variant Pathogenicity</v>
      </c>
      <c r="Q245" s="60" t="str">
        <f>IFERROR(__xludf.DUMMYFUNCTION("QUERY('Volunteer Survey'!J252)"),"Clinical Actionability")</f>
        <v>Clinical Actionability</v>
      </c>
      <c r="R245" s="55" t="str">
        <f>IFERROR(__xludf.DUMMYFUNCTION("QUERY('Volunteer Survey'!K252)"),"Dosage Sensitivity")</f>
        <v>Dosage Sensitivity</v>
      </c>
      <c r="S245" s="55" t="str">
        <f>IFERROR(__xludf.DUMMYFUNCTION("QUERY('Volunteer Survey'!L252)"),"")</f>
        <v/>
      </c>
      <c r="T245" s="55" t="str">
        <f>IFERROR(__xludf.DUMMYFUNCTION("QUERY('Volunteer Survey'!M252)"),"")</f>
        <v/>
      </c>
      <c r="U245" s="64" t="str">
        <f>IFERROR(__xludf.DUMMYFUNCTION("QUERY('Volunteer Survey'!N252)"),"Regular classification of variants to incorporate into patient reports.")</f>
        <v>Regular classification of variants to incorporate into patient reports.</v>
      </c>
      <c r="V245" s="55" t="str">
        <f>IFERROR(__xludf.DUMMYFUNCTION("QUERY('Volunteer Survey'!O252)"),"Possibly")</f>
        <v>Possibly</v>
      </c>
      <c r="W245" s="66" t="str">
        <f>IFERROR(__xludf.DUMMYFUNCTION("QUERY('Volunteer Survey'!P252)"),"Cancer and cardiovascular diseases.")</f>
        <v>Cancer and cardiovascular diseases.</v>
      </c>
      <c r="X245" s="64" t="str">
        <f>IFERROR(__xludf.DUMMYFUNCTION("QUERY('Volunteer Survey'!R252)"),"Yes- I am willing to volunteer with any available ClinGen group")</f>
        <v>Yes- I am willing to volunteer with any available ClinGen group</v>
      </c>
      <c r="Y245" s="53"/>
      <c r="Z245" s="55"/>
      <c r="AA245" s="55"/>
      <c r="AB245" s="55"/>
      <c r="AC245" s="55"/>
      <c r="AD245" s="55"/>
      <c r="AE245" s="55"/>
      <c r="AF245" s="55"/>
      <c r="AG245" s="55"/>
      <c r="AH245" s="55"/>
      <c r="AI245" s="55"/>
      <c r="AJ245" s="55"/>
      <c r="AK245" s="55"/>
      <c r="AL245" s="55"/>
      <c r="AM245" s="55"/>
      <c r="AN245" s="55"/>
      <c r="AO245" s="55"/>
    </row>
    <row r="246">
      <c r="A246" s="50">
        <f>IFERROR(__xludf.DUMMYFUNCTION("QUERY('Volunteer Survey'!A253)"),43673.078783564815)</f>
        <v>43673.07878</v>
      </c>
      <c r="B246" s="48" t="s">
        <v>125</v>
      </c>
      <c r="C246" s="79">
        <v>43689.0</v>
      </c>
      <c r="D246" s="55"/>
      <c r="E246" s="55"/>
      <c r="F246" s="48" t="s">
        <v>130</v>
      </c>
      <c r="G246" s="48" t="s">
        <v>19</v>
      </c>
      <c r="H246" s="51"/>
      <c r="I246" s="51" t="s">
        <v>139</v>
      </c>
      <c r="J246" s="55"/>
      <c r="K246" s="55"/>
      <c r="L246" s="55" t="str">
        <f>IFERROR(__xludf.DUMMYFUNCTION("QUERY('Volunteer Survey'!B253)"),"Parham Habibzadeh")</f>
        <v>Parham Habibzadeh</v>
      </c>
      <c r="M246" s="55" t="str">
        <f>IFERROR(__xludf.DUMMYFUNCTION("QUERY('Volunteer Survey'!E253)"),"parham.habibzadeh@yahoo.com")</f>
        <v>parham.habibzadeh@yahoo.com</v>
      </c>
      <c r="N246" s="55" t="str">
        <f>IFERROR(__xludf.DUMMYFUNCTION("QUERY('Volunteer Survey'!F253)"),"Scientific Researcher")</f>
        <v>Scientific Researcher</v>
      </c>
      <c r="O246" s="48" t="str">
        <f>IFERROR(__xludf.DUMMYFUNCTION("QUERY('Volunteer Survey'!H253)"),"Comprehensive")</f>
        <v>Comprehensive</v>
      </c>
      <c r="P246" s="55" t="str">
        <f>IFERROR(__xludf.DUMMYFUNCTION("QUERY('Volunteer Survey'!I253)"),"Clinical Actionability")</f>
        <v>Clinical Actionability</v>
      </c>
      <c r="Q246" s="60" t="str">
        <f>IFERROR(__xludf.DUMMYFUNCTION("QUERY('Volunteer Survey'!J253)"),"Variant Pathogenicity")</f>
        <v>Variant Pathogenicity</v>
      </c>
      <c r="R246" s="55" t="str">
        <f>IFERROR(__xludf.DUMMYFUNCTION("QUERY('Volunteer Survey'!K253)"),"Gene-Disease Validity")</f>
        <v>Gene-Disease Validity</v>
      </c>
      <c r="S246" s="55" t="str">
        <f>IFERROR(__xludf.DUMMYFUNCTION("QUERY('Volunteer Survey'!L253)"),"")</f>
        <v/>
      </c>
      <c r="T246" s="55" t="str">
        <f>IFERROR(__xludf.DUMMYFUNCTION("QUERY('Volunteer Survey'!M253)"),"")</f>
        <v/>
      </c>
      <c r="U246" s="64" t="str">
        <f>IFERROR(__xludf.DUMMYFUNCTION("QUERY('Volunteer Survey'!N253)"),"")</f>
        <v/>
      </c>
      <c r="V246" s="55" t="str">
        <f>IFERROR(__xludf.DUMMYFUNCTION("QUERY('Volunteer Survey'!O253)"),"Possibly")</f>
        <v>Possibly</v>
      </c>
      <c r="W246" s="66" t="str">
        <f>IFERROR(__xludf.DUMMYFUNCTION("QUERY('Volunteer Survey'!P253)"),"Cardiomyopathy, Brain Malformations")</f>
        <v>Cardiomyopathy, Brain Malformations</v>
      </c>
      <c r="X246" s="64" t="str">
        <f>IFERROR(__xludf.DUMMYFUNCTION("QUERY('Volunteer Survey'!R253)"),"Maybe -- please contact me with other options, and I will decide based on what is available")</f>
        <v>Maybe -- please contact me with other options, and I will decide based on what is available</v>
      </c>
      <c r="Y246" s="53"/>
      <c r="Z246" s="55"/>
      <c r="AA246" s="55"/>
      <c r="AB246" s="55"/>
      <c r="AC246" s="55"/>
      <c r="AD246" s="55"/>
      <c r="AE246" s="55"/>
      <c r="AF246" s="55"/>
      <c r="AG246" s="55"/>
      <c r="AH246" s="55"/>
      <c r="AI246" s="55"/>
      <c r="AJ246" s="55"/>
      <c r="AK246" s="55"/>
      <c r="AL246" s="55"/>
      <c r="AM246" s="55"/>
      <c r="AN246" s="55"/>
      <c r="AO246" s="55"/>
    </row>
    <row r="247">
      <c r="A247" s="50">
        <f>IFERROR(__xludf.DUMMYFUNCTION("QUERY('Volunteer Survey'!A254)"),43674.42165924769)</f>
        <v>43674.42166</v>
      </c>
      <c r="B247" s="48" t="s">
        <v>108</v>
      </c>
      <c r="C247" s="79">
        <v>43717.0</v>
      </c>
      <c r="D247" s="65">
        <v>43769.0</v>
      </c>
      <c r="E247" s="48" t="s">
        <v>117</v>
      </c>
      <c r="F247" s="48" t="s">
        <v>117</v>
      </c>
      <c r="G247" s="48" t="s">
        <v>19</v>
      </c>
      <c r="H247" s="51" t="s">
        <v>19</v>
      </c>
      <c r="I247" s="51" t="s">
        <v>139</v>
      </c>
      <c r="J247" s="55"/>
      <c r="K247" s="55"/>
      <c r="L247" s="55" t="str">
        <f>IFERROR(__xludf.DUMMYFUNCTION("QUERY('Volunteer Survey'!B254)"),"Xiaolin Hu")</f>
        <v>Xiaolin Hu</v>
      </c>
      <c r="M247" s="55" t="str">
        <f>IFERROR(__xludf.DUMMYFUNCTION("QUERY('Volunteer Survey'!E254)"),"xiaolin.hu@cchmc.org")</f>
        <v>xiaolin.hu@cchmc.org</v>
      </c>
      <c r="N247" s="55" t="str">
        <f>IFERROR(__xludf.DUMMYFUNCTION("QUERY('Volunteer Survey'!F254)"),"Post Doc/Resident/Fellow (MD and/or PhD)")</f>
        <v>Post Doc/Resident/Fellow (MD and/or PhD)</v>
      </c>
      <c r="O247" s="48" t="str">
        <f>IFERROR(__xludf.DUMMYFUNCTION("QUERY('Volunteer Survey'!H254)"),"Comprehensive")</f>
        <v>Comprehensive</v>
      </c>
      <c r="P247" s="55" t="str">
        <f>IFERROR(__xludf.DUMMYFUNCTION("QUERY('Volunteer Survey'!I254)"),"Clinical Actionability")</f>
        <v>Clinical Actionability</v>
      </c>
      <c r="Q247" s="60" t="str">
        <f>IFERROR(__xludf.DUMMYFUNCTION("QUERY('Volunteer Survey'!J254)"),"Somatic Cancer")</f>
        <v>Somatic Cancer</v>
      </c>
      <c r="R247" s="55" t="str">
        <f>IFERROR(__xludf.DUMMYFUNCTION("QUERY('Volunteer Survey'!K254)"),"Gene-Disease Validity")</f>
        <v>Gene-Disease Validity</v>
      </c>
      <c r="S247" s="55" t="str">
        <f>IFERROR(__xludf.DUMMYFUNCTION("QUERY('Volunteer Survey'!L254)"),"Variant Pathogenicity")</f>
        <v>Variant Pathogenicity</v>
      </c>
      <c r="T247" s="55" t="str">
        <f>IFERROR(__xludf.DUMMYFUNCTION("QUERY('Volunteer Survey'!M254)"),"Dosage Sensitivity")</f>
        <v>Dosage Sensitivity</v>
      </c>
      <c r="U247" s="64" t="str">
        <f>IFERROR(__xludf.DUMMYFUNCTION("QUERY('Volunteer Survey'!N254)"),"Yes, as part of our fellow's training")</f>
        <v>Yes, as part of our fellow's training</v>
      </c>
      <c r="V247" s="55" t="str">
        <f>IFERROR(__xludf.DUMMYFUNCTION("QUERY('Volunteer Survey'!O254)"),"Yes")</f>
        <v>Yes</v>
      </c>
      <c r="W247" s="66" t="str">
        <f>IFERROR(__xludf.DUMMYFUNCTION("QUERY('Volunteer Survey'!P254)"),"hereditary cancer, somatic cancer, Mitochondrial Diseases")</f>
        <v>hereditary cancer, somatic cancer, Mitochondrial Diseases</v>
      </c>
      <c r="X247" s="64" t="str">
        <f>IFERROR(__xludf.DUMMYFUNCTION("QUERY('Volunteer Survey'!R254)"),"Maybe -- please contact me with other options, and I will decide based on what is available")</f>
        <v>Maybe -- please contact me with other options, and I will decide based on what is available</v>
      </c>
      <c r="Y247" s="53"/>
      <c r="Z247" s="55"/>
      <c r="AA247" s="55"/>
      <c r="AB247" s="55"/>
      <c r="AC247" s="55"/>
      <c r="AD247" s="55"/>
      <c r="AE247" s="55"/>
      <c r="AF247" s="55"/>
      <c r="AG247" s="55"/>
      <c r="AH247" s="55"/>
      <c r="AI247" s="55"/>
      <c r="AJ247" s="55"/>
      <c r="AK247" s="55"/>
      <c r="AL247" s="55"/>
      <c r="AM247" s="55"/>
      <c r="AN247" s="55"/>
      <c r="AO247" s="55"/>
    </row>
    <row r="248">
      <c r="A248" s="50">
        <f>IFERROR(__xludf.DUMMYFUNCTION("QUERY('Volunteer Survey'!A255)"),43674.68125140046)</f>
        <v>43674.68125</v>
      </c>
      <c r="B248" s="48" t="s">
        <v>108</v>
      </c>
      <c r="C248" s="79">
        <v>43819.0</v>
      </c>
      <c r="D248" s="55"/>
      <c r="E248" s="55"/>
      <c r="F248" s="48" t="s">
        <v>130</v>
      </c>
      <c r="G248" s="48" t="s">
        <v>251</v>
      </c>
      <c r="H248" s="53"/>
      <c r="I248" s="51" t="s">
        <v>139</v>
      </c>
      <c r="J248" s="55"/>
      <c r="K248" s="55"/>
      <c r="L248" s="55" t="str">
        <f>IFERROR(__xludf.DUMMYFUNCTION("QUERY('Volunteer Survey'!B255)"),"Leighton Telling")</f>
        <v>Leighton Telling</v>
      </c>
      <c r="M248" s="55" t="str">
        <f>IFERROR(__xludf.DUMMYFUNCTION("QUERY('Volunteer Survey'!E255)"),"lptellin@ncsu.edu")</f>
        <v>lptellin@ncsu.edu</v>
      </c>
      <c r="N248" s="55" t="str">
        <f>IFERROR(__xludf.DUMMYFUNCTION("QUERY('Volunteer Survey'!F255)"),"Former UNC ClinGen Research Assistant")</f>
        <v>Former UNC ClinGen Research Assistant</v>
      </c>
      <c r="O248" s="48" t="str">
        <f>IFERROR(__xludf.DUMMYFUNCTION("QUERY('Volunteer Survey'!H255)"),"Comprehensive")</f>
        <v>Comprehensive</v>
      </c>
      <c r="P248" s="55" t="str">
        <f>IFERROR(__xludf.DUMMYFUNCTION("QUERY('Volunteer Survey'!I255)"),"Variant Pathogenicity")</f>
        <v>Variant Pathogenicity</v>
      </c>
      <c r="Q248" s="60" t="str">
        <f>IFERROR(__xludf.DUMMYFUNCTION("QUERY('Volunteer Survey'!J255)"),"")</f>
        <v/>
      </c>
      <c r="R248" s="55" t="str">
        <f>IFERROR(__xludf.DUMMYFUNCTION("QUERY('Volunteer Survey'!K255)"),"")</f>
        <v/>
      </c>
      <c r="S248" s="55" t="str">
        <f>IFERROR(__xludf.DUMMYFUNCTION("QUERY('Volunteer Survey'!L255)"),"")</f>
        <v/>
      </c>
      <c r="T248" s="55" t="str">
        <f>IFERROR(__xludf.DUMMYFUNCTION("QUERY('Volunteer Survey'!M255)"),"")</f>
        <v/>
      </c>
      <c r="U248" s="64" t="str">
        <f>IFERROR(__xludf.DUMMYFUNCTION("QUERY('Volunteer Survey'!N255)"),"")</f>
        <v/>
      </c>
      <c r="V248" s="55" t="str">
        <f>IFERROR(__xludf.DUMMYFUNCTION("QUERY('Volunteer Survey'!O255)"),"Yes")</f>
        <v>Yes</v>
      </c>
      <c r="W248" s="66" t="str">
        <f>IFERROR(__xludf.DUMMYFUNCTION("QUERY('Volunteer Survey'!P255)"),"N/A")</f>
        <v>N/A</v>
      </c>
      <c r="X248" s="64" t="str">
        <f>IFERROR(__xludf.DUMMYFUNCTION("QUERY('Volunteer Survey'!R255)"),"Yes- I am willing to volunteer with any available ClinGen group")</f>
        <v>Yes- I am willing to volunteer with any available ClinGen group</v>
      </c>
      <c r="Y248" s="53"/>
      <c r="Z248" s="55"/>
      <c r="AA248" s="55"/>
      <c r="AB248" s="55"/>
      <c r="AC248" s="55"/>
      <c r="AD248" s="55"/>
      <c r="AE248" s="55"/>
      <c r="AF248" s="55"/>
      <c r="AG248" s="55"/>
      <c r="AH248" s="55"/>
      <c r="AI248" s="55"/>
      <c r="AJ248" s="55"/>
      <c r="AK248" s="55"/>
      <c r="AL248" s="55"/>
      <c r="AM248" s="55"/>
      <c r="AN248" s="55"/>
      <c r="AO248" s="55"/>
    </row>
    <row r="249">
      <c r="A249" s="50">
        <f>IFERROR(__xludf.DUMMYFUNCTION("QUERY('Volunteer Survey'!A256)"),43675.64387090278)</f>
        <v>43675.64387</v>
      </c>
      <c r="B249" s="48" t="s">
        <v>160</v>
      </c>
      <c r="C249" s="79">
        <v>43705.0</v>
      </c>
      <c r="D249" s="65">
        <v>43719.0</v>
      </c>
      <c r="E249" s="48" t="s">
        <v>117</v>
      </c>
      <c r="F249" s="48" t="s">
        <v>130</v>
      </c>
      <c r="G249" s="48" t="s">
        <v>136</v>
      </c>
      <c r="H249" s="51" t="s">
        <v>319</v>
      </c>
      <c r="I249" s="51" t="s">
        <v>139</v>
      </c>
      <c r="J249" s="55"/>
      <c r="K249" s="55"/>
      <c r="L249" s="55" t="str">
        <f>IFERROR(__xludf.DUMMYFUNCTION("QUERY('Volunteer Survey'!B256)"),"Panieh Terraf")</f>
        <v>Panieh Terraf</v>
      </c>
      <c r="M249" s="55" t="str">
        <f>IFERROR(__xludf.DUMMYFUNCTION("QUERY('Volunteer Survey'!E256)"),"pterraf@bwh.harvard.edu")</f>
        <v>pterraf@bwh.harvard.edu</v>
      </c>
      <c r="N249" s="55" t="str">
        <f>IFERROR(__xludf.DUMMYFUNCTION("QUERY('Volunteer Survey'!F256)"),"Clinical laboratory geneticist")</f>
        <v>Clinical laboratory geneticist</v>
      </c>
      <c r="O249" s="48" t="str">
        <f>IFERROR(__xludf.DUMMYFUNCTION("QUERY('Volunteer Survey'!H256)"),"Comprehensive")</f>
        <v>Comprehensive</v>
      </c>
      <c r="P249" s="55" t="str">
        <f>IFERROR(__xludf.DUMMYFUNCTION("QUERY('Volunteer Survey'!I256)"),"Somatic Cancer")</f>
        <v>Somatic Cancer</v>
      </c>
      <c r="Q249" s="60" t="str">
        <f>IFERROR(__xludf.DUMMYFUNCTION("QUERY('Volunteer Survey'!J256)"),"Variant Pathogenicity, Dosage Sensitivity")</f>
        <v>Variant Pathogenicity, Dosage Sensitivity</v>
      </c>
      <c r="R249" s="55" t="str">
        <f>IFERROR(__xludf.DUMMYFUNCTION("QUERY('Volunteer Survey'!K256)"),"Gene-Disease Validity")</f>
        <v>Gene-Disease Validity</v>
      </c>
      <c r="S249" s="55" t="str">
        <f>IFERROR(__xludf.DUMMYFUNCTION("QUERY('Volunteer Survey'!L256)"),"Clinical Actionability")</f>
        <v>Clinical Actionability</v>
      </c>
      <c r="T249" s="55" t="str">
        <f>IFERROR(__xludf.DUMMYFUNCTION("QUERY('Volunteer Survey'!M256)"),"")</f>
        <v/>
      </c>
      <c r="U249" s="64" t="str">
        <f>IFERROR(__xludf.DUMMYFUNCTION("QUERY('Volunteer Survey'!N256)"),"Yes, in somatic cancer variant curation through my clinical training at the Brigham and Women's Hospital. ")</f>
        <v>Yes, in somatic cancer variant curation through my clinical training at the Brigham and Women's Hospital. </v>
      </c>
      <c r="V249" s="55" t="str">
        <f>IFERROR(__xludf.DUMMYFUNCTION("QUERY('Volunteer Survey'!O256)"),"No")</f>
        <v>No</v>
      </c>
      <c r="W249" s="66" t="str">
        <f>IFERROR(__xludf.DUMMYFUNCTION("QUERY('Volunteer Survey'!P256)"),"Variant curation: myeloid malignancy, colorectal cancer, cardiomyopathy 
Somatic cancer working group: All, particularly pediatrics.
Dosage sensitivity: hereditary cancers, neurodevelopmental ")</f>
        <v>Variant curation: myeloid malignancy, colorectal cancer, cardiomyopathy 
Somatic cancer working group: All, particularly pediatrics.
Dosage sensitivity: hereditary cancers, neurodevelopmental </v>
      </c>
      <c r="X249" s="64" t="str">
        <f>IFERROR(__xludf.DUMMYFUNCTION("QUERY('Volunteer Survey'!R256)"),"Maybe -- please contact me with other options, and I will decide based on what is available")</f>
        <v>Maybe -- please contact me with other options, and I will decide based on what is available</v>
      </c>
      <c r="Y249" s="53"/>
      <c r="Z249" s="55"/>
      <c r="AA249" s="55"/>
      <c r="AB249" s="55"/>
      <c r="AC249" s="55"/>
      <c r="AD249" s="55"/>
      <c r="AE249" s="55"/>
      <c r="AF249" s="55"/>
      <c r="AG249" s="55"/>
      <c r="AH249" s="55"/>
      <c r="AI249" s="55"/>
      <c r="AJ249" s="55"/>
      <c r="AK249" s="55"/>
      <c r="AL249" s="55"/>
      <c r="AM249" s="55"/>
      <c r="AN249" s="55"/>
      <c r="AO249" s="55"/>
    </row>
    <row r="250">
      <c r="A250" s="50">
        <f>IFERROR(__xludf.DUMMYFUNCTION("QUERY('Volunteer Survey'!A257)"),43677.461992488425)</f>
        <v>43677.46199</v>
      </c>
      <c r="B250" s="48" t="s">
        <v>108</v>
      </c>
      <c r="C250" s="79">
        <v>43819.0</v>
      </c>
      <c r="D250" s="55"/>
      <c r="E250" s="55"/>
      <c r="F250" s="48" t="s">
        <v>130</v>
      </c>
      <c r="G250" s="48" t="s">
        <v>122</v>
      </c>
      <c r="H250" s="53"/>
      <c r="I250" s="51" t="s">
        <v>139</v>
      </c>
      <c r="J250" s="55"/>
      <c r="K250" s="55"/>
      <c r="L250" s="55" t="str">
        <f>IFERROR(__xludf.DUMMYFUNCTION("QUERY('Volunteer Survey'!B257)"),"Jennifer Hull")</f>
        <v>Jennifer Hull</v>
      </c>
      <c r="M250" s="55" t="str">
        <f>IFERROR(__xludf.DUMMYFUNCTION("QUERY('Volunteer Survey'!E257)"),"jhull86@gmail.com")</f>
        <v>jhull86@gmail.com</v>
      </c>
      <c r="N250" s="55" t="str">
        <f>IFERROR(__xludf.DUMMYFUNCTION("QUERY('Volunteer Survey'!F257)"),"Graduate Student")</f>
        <v>Graduate Student</v>
      </c>
      <c r="O250" s="48" t="str">
        <f>IFERROR(__xludf.DUMMYFUNCTION("QUERY('Volunteer Survey'!H257)"),"comprehensive")</f>
        <v>comprehensive</v>
      </c>
      <c r="P250" s="55" t="str">
        <f>IFERROR(__xludf.DUMMYFUNCTION("QUERY('Volunteer Survey'!I257)"),"Gene-Disease Validity")</f>
        <v>Gene-Disease Validity</v>
      </c>
      <c r="Q250" s="60" t="str">
        <f>IFERROR(__xludf.DUMMYFUNCTION("QUERY('Volunteer Survey'!J257)"),"Variant Pathogenicity")</f>
        <v>Variant Pathogenicity</v>
      </c>
      <c r="R250" s="55" t="str">
        <f>IFERROR(__xludf.DUMMYFUNCTION("QUERY('Volunteer Survey'!K257)"),"Clinical Actionability")</f>
        <v>Clinical Actionability</v>
      </c>
      <c r="S250" s="55" t="str">
        <f>IFERROR(__xludf.DUMMYFUNCTION("QUERY('Volunteer Survey'!L257)"),"Dosage Sensitivity")</f>
        <v>Dosage Sensitivity</v>
      </c>
      <c r="T250" s="55" t="str">
        <f>IFERROR(__xludf.DUMMYFUNCTION("QUERY('Volunteer Survey'!M257)"),"Somatic Cancer")</f>
        <v>Somatic Cancer</v>
      </c>
      <c r="U250" s="64" t="str">
        <f>IFERROR(__xludf.DUMMYFUNCTION("QUERY('Volunteer Survey'!N257)"),"N/A")</f>
        <v>N/A</v>
      </c>
      <c r="V250" s="55" t="str">
        <f>IFERROR(__xludf.DUMMYFUNCTION("QUERY('Volunteer Survey'!O257)"),"Yes")</f>
        <v>Yes</v>
      </c>
      <c r="W250" s="66" t="str">
        <f>IFERROR(__xludf.DUMMYFUNCTION("QUERY('Volunteer Survey'!P257)"),"Phenylketonuria Variant Curation Expert Panel, epilepsy, CMT, hypercholesterolemia, colorectal cancer")</f>
        <v>Phenylketonuria Variant Curation Expert Panel, epilepsy, CMT, hypercholesterolemia, colorectal cancer</v>
      </c>
      <c r="X250" s="64" t="str">
        <f>IFERROR(__xludf.DUMMYFUNCTION("QUERY('Volunteer Survey'!R257)"),"Yes- I am willing to volunteer with any available ClinGen group")</f>
        <v>Yes- I am willing to volunteer with any available ClinGen group</v>
      </c>
      <c r="Y250" s="53"/>
      <c r="Z250" s="55"/>
      <c r="AA250" s="55"/>
      <c r="AB250" s="55"/>
      <c r="AC250" s="55"/>
      <c r="AD250" s="55"/>
      <c r="AE250" s="55"/>
      <c r="AF250" s="55"/>
      <c r="AG250" s="55"/>
      <c r="AH250" s="55"/>
      <c r="AI250" s="55"/>
      <c r="AJ250" s="55"/>
      <c r="AK250" s="55"/>
      <c r="AL250" s="55"/>
      <c r="AM250" s="55"/>
      <c r="AN250" s="55"/>
      <c r="AO250" s="55"/>
    </row>
    <row r="251">
      <c r="A251" s="50">
        <f>IFERROR(__xludf.DUMMYFUNCTION("QUERY('Volunteer Survey'!A258)"),43678.412040613424)</f>
        <v>43678.41204</v>
      </c>
      <c r="B251" s="48" t="s">
        <v>108</v>
      </c>
      <c r="C251" s="79">
        <v>43705.0</v>
      </c>
      <c r="D251" s="65">
        <v>43719.0</v>
      </c>
      <c r="E251" s="48" t="s">
        <v>117</v>
      </c>
      <c r="F251" s="48" t="s">
        <v>130</v>
      </c>
      <c r="G251" s="48" t="s">
        <v>136</v>
      </c>
      <c r="H251" s="51"/>
      <c r="I251" s="51" t="s">
        <v>139</v>
      </c>
      <c r="J251" s="55"/>
      <c r="K251" s="55"/>
      <c r="L251" s="55" t="str">
        <f>IFERROR(__xludf.DUMMYFUNCTION("QUERY('Volunteer Survey'!B258)"),"Eric Kil")</f>
        <v>Eric Kil</v>
      </c>
      <c r="M251" s="55" t="str">
        <f>IFERROR(__xludf.DUMMYFUNCTION("QUERY('Volunteer Survey'!E258)"),"ekil18@students.kgi.edu")</f>
        <v>ekil18@students.kgi.edu</v>
      </c>
      <c r="N251" s="55" t="str">
        <f>IFERROR(__xludf.DUMMYFUNCTION("QUERY('Volunteer Survey'!F258)"),"Graduate Student")</f>
        <v>Graduate Student</v>
      </c>
      <c r="O251" s="48" t="str">
        <f>IFERROR(__xludf.DUMMYFUNCTION("QUERY('Volunteer Survey'!H258)"),"comprehensive")</f>
        <v>comprehensive</v>
      </c>
      <c r="P251" s="55" t="str">
        <f>IFERROR(__xludf.DUMMYFUNCTION("QUERY('Volunteer Survey'!I258)"),"Somatic Cancer")</f>
        <v>Somatic Cancer</v>
      </c>
      <c r="Q251" s="60" t="str">
        <f>IFERROR(__xludf.DUMMYFUNCTION("QUERY('Volunteer Survey'!J258)"),"Dosage Sensitivity")</f>
        <v>Dosage Sensitivity</v>
      </c>
      <c r="R251" s="55" t="str">
        <f>IFERROR(__xludf.DUMMYFUNCTION("QUERY('Volunteer Survey'!K258)"),"Variant Pathogenicity")</f>
        <v>Variant Pathogenicity</v>
      </c>
      <c r="S251" s="55" t="str">
        <f>IFERROR(__xludf.DUMMYFUNCTION("QUERY('Volunteer Survey'!L258)"),"Gene-Disease Validity")</f>
        <v>Gene-Disease Validity</v>
      </c>
      <c r="T251" s="55" t="str">
        <f>IFERROR(__xludf.DUMMYFUNCTION("QUERY('Volunteer Survey'!M258)"),"Clinical Actionability")</f>
        <v>Clinical Actionability</v>
      </c>
      <c r="U251" s="64" t="str">
        <f>IFERROR(__xludf.DUMMYFUNCTION("QUERY('Volunteer Survey'!N258)"),"No")</f>
        <v>No</v>
      </c>
      <c r="V251" s="55" t="str">
        <f>IFERROR(__xludf.DUMMYFUNCTION("QUERY('Volunteer Survey'!O258)"),"Possibly")</f>
        <v>Possibly</v>
      </c>
      <c r="W251" s="66" t="str">
        <f>IFERROR(__xludf.DUMMYFUNCTION("QUERY('Volunteer Survey'!P258)"),"I am interested in neuro-related conditions and cancer.")</f>
        <v>I am interested in neuro-related conditions and cancer.</v>
      </c>
      <c r="X251" s="64" t="str">
        <f>IFERROR(__xludf.DUMMYFUNCTION("QUERY('Volunteer Survey'!R258)"),"Yes- I am willing to volunteer with any available ClinGen group")</f>
        <v>Yes- I am willing to volunteer with any available ClinGen group</v>
      </c>
      <c r="Y251" s="53"/>
      <c r="Z251" s="55"/>
      <c r="AA251" s="55"/>
      <c r="AB251" s="55"/>
      <c r="AC251" s="55"/>
      <c r="AD251" s="55"/>
      <c r="AE251" s="55"/>
      <c r="AF251" s="55"/>
      <c r="AG251" s="55"/>
      <c r="AH251" s="55"/>
      <c r="AI251" s="55"/>
      <c r="AJ251" s="55"/>
      <c r="AK251" s="55"/>
      <c r="AL251" s="55"/>
      <c r="AM251" s="55"/>
      <c r="AN251" s="55"/>
      <c r="AO251" s="55"/>
    </row>
    <row r="252">
      <c r="A252" s="50">
        <f>IFERROR(__xludf.DUMMYFUNCTION("QUERY('Volunteer Survey'!A259)"),43679.08931378472)</f>
        <v>43679.08931</v>
      </c>
      <c r="B252" s="48" t="s">
        <v>160</v>
      </c>
      <c r="C252" s="79">
        <v>43705.0</v>
      </c>
      <c r="D252" s="65">
        <v>43719.0</v>
      </c>
      <c r="E252" s="48" t="s">
        <v>117</v>
      </c>
      <c r="F252" s="48" t="s">
        <v>130</v>
      </c>
      <c r="G252" s="48" t="s">
        <v>136</v>
      </c>
      <c r="H252" s="51" t="s">
        <v>320</v>
      </c>
      <c r="I252" s="51" t="s">
        <v>139</v>
      </c>
      <c r="J252" s="55"/>
      <c r="K252" s="55"/>
      <c r="L252" s="55" t="str">
        <f>IFERROR(__xludf.DUMMYFUNCTION("QUERY('Volunteer Survey'!B259)"),"Joseph Steward")</f>
        <v>Joseph Steward</v>
      </c>
      <c r="M252" s="55" t="str">
        <f>IFERROR(__xludf.DUMMYFUNCTION("QUERY('Volunteer Survey'!E259)"),"jsteward2930@gmail.com")</f>
        <v>jsteward2930@gmail.com</v>
      </c>
      <c r="N252" s="55" t="str">
        <f>IFERROR(__xludf.DUMMYFUNCTION("QUERY('Volunteer Survey'!F259)"),"Scientific Researcher")</f>
        <v>Scientific Researcher</v>
      </c>
      <c r="O252" s="48" t="str">
        <f>IFERROR(__xludf.DUMMYFUNCTION("QUERY('Volunteer Survey'!H259)"),"comprehensive")</f>
        <v>comprehensive</v>
      </c>
      <c r="P252" s="55" t="str">
        <f>IFERROR(__xludf.DUMMYFUNCTION("QUERY('Volunteer Survey'!I259)"),"Somatic Cancer")</f>
        <v>Somatic Cancer</v>
      </c>
      <c r="Q252" s="60" t="str">
        <f>IFERROR(__xludf.DUMMYFUNCTION("QUERY('Volunteer Survey'!J259)"),"Variant Pathogenicity")</f>
        <v>Variant Pathogenicity</v>
      </c>
      <c r="R252" s="55" t="str">
        <f>IFERROR(__xludf.DUMMYFUNCTION("QUERY('Volunteer Survey'!K259)"),"Gene-Disease Validity")</f>
        <v>Gene-Disease Validity</v>
      </c>
      <c r="S252" s="55" t="str">
        <f>IFERROR(__xludf.DUMMYFUNCTION("QUERY('Volunteer Survey'!L259)"),"Clinical Actionability")</f>
        <v>Clinical Actionability</v>
      </c>
      <c r="T252" s="55" t="str">
        <f>IFERROR(__xludf.DUMMYFUNCTION("QUERY('Volunteer Survey'!M259)"),"Dosage Sensitivity")</f>
        <v>Dosage Sensitivity</v>
      </c>
      <c r="U252" s="64" t="str">
        <f>IFERROR(__xludf.DUMMYFUNCTION("QUERY('Volunteer Survey'!N259)"),"")</f>
        <v/>
      </c>
      <c r="V252" s="55" t="str">
        <f>IFERROR(__xludf.DUMMYFUNCTION("QUERY('Volunteer Survey'!O259)"),"Possibly")</f>
        <v>Possibly</v>
      </c>
      <c r="W252" s="66" t="str">
        <f>IFERROR(__xludf.DUMMYFUNCTION("QUERY('Volunteer Survey'!P259)"),"Pancreatic ")</f>
        <v>Pancreatic </v>
      </c>
      <c r="X252" s="64" t="str">
        <f>IFERROR(__xludf.DUMMYFUNCTION("QUERY('Volunteer Survey'!R259)"),"Yes- I am willing to volunteer with any available ClinGen group")</f>
        <v>Yes- I am willing to volunteer with any available ClinGen group</v>
      </c>
      <c r="Y252" s="53"/>
      <c r="Z252" s="55"/>
      <c r="AA252" s="55"/>
      <c r="AB252" s="55"/>
      <c r="AC252" s="55"/>
      <c r="AD252" s="55"/>
      <c r="AE252" s="55"/>
      <c r="AF252" s="55"/>
      <c r="AG252" s="55"/>
      <c r="AH252" s="55"/>
      <c r="AI252" s="55"/>
      <c r="AJ252" s="55"/>
      <c r="AK252" s="55"/>
      <c r="AL252" s="55"/>
      <c r="AM252" s="55"/>
      <c r="AN252" s="55"/>
      <c r="AO252" s="55"/>
    </row>
    <row r="253">
      <c r="A253" s="50">
        <f>IFERROR(__xludf.DUMMYFUNCTION("QUERY('Volunteer Survey'!A260)"),43679.89744516204)</f>
        <v>43679.89745</v>
      </c>
      <c r="B253" s="48" t="s">
        <v>322</v>
      </c>
      <c r="C253" s="53"/>
      <c r="D253" s="55"/>
      <c r="E253" s="55"/>
      <c r="F253" s="48" t="s">
        <v>130</v>
      </c>
      <c r="G253" s="48" t="s">
        <v>202</v>
      </c>
      <c r="H253" s="53"/>
      <c r="I253" s="51" t="s">
        <v>139</v>
      </c>
      <c r="J253" s="55"/>
      <c r="K253" s="55"/>
      <c r="L253" s="55" t="str">
        <f>IFERROR(__xludf.DUMMYFUNCTION("QUERY('Volunteer Survey'!B260)"),"NANDITA MULLAPUDI")</f>
        <v>NANDITA MULLAPUDI</v>
      </c>
      <c r="M253" s="55" t="str">
        <f>IFERROR(__xludf.DUMMYFUNCTION("QUERY('Volunteer Survey'!E260)"),"mnandita@gmail.com")</f>
        <v>mnandita@gmail.com</v>
      </c>
      <c r="N253" s="55" t="str">
        <f>IFERROR(__xludf.DUMMYFUNCTION("QUERY('Volunteer Survey'!F260)"),"Scientific Researcher")</f>
        <v>Scientific Researcher</v>
      </c>
      <c r="O253" s="48" t="str">
        <f>IFERROR(__xludf.DUMMYFUNCTION("QUERY('Volunteer Survey'!H260)"),"comprehensive")</f>
        <v>comprehensive</v>
      </c>
      <c r="P253" s="55" t="str">
        <f>IFERROR(__xludf.DUMMYFUNCTION("QUERY('Volunteer Survey'!I260)"),"")</f>
        <v/>
      </c>
      <c r="Q253" s="60" t="str">
        <f>IFERROR(__xludf.DUMMYFUNCTION("QUERY('Volunteer Survey'!J260)"),"")</f>
        <v/>
      </c>
      <c r="R253" s="55" t="str">
        <f>IFERROR(__xludf.DUMMYFUNCTION("QUERY('Volunteer Survey'!K260)"),"")</f>
        <v/>
      </c>
      <c r="S253" s="55" t="str">
        <f>IFERROR(__xludf.DUMMYFUNCTION("QUERY('Volunteer Survey'!L260)"),"")</f>
        <v/>
      </c>
      <c r="T253" s="55" t="str">
        <f>IFERROR(__xludf.DUMMYFUNCTION("QUERY('Volunteer Survey'!M260)"),"")</f>
        <v/>
      </c>
      <c r="U253" s="64" t="str">
        <f>IFERROR(__xludf.DUMMYFUNCTION("QUERY('Volunteer Survey'!N260)"),"I am not currently signing up for being an active member, but I would like to eventually. I would like to state that I have almost two years of experience working with a molecular diagnostics company, wherein I was responsible for setting up the variant a"&amp;"nalyses and interpretation processes for a variety of inherited disorders.")</f>
        <v>I am not currently signing up for being an active member, but I would like to eventually. I would like to state that I have almost two years of experience working with a molecular diagnostics company, wherein I was responsible for setting up the variant analyses and interpretation processes for a variety of inherited disorders.</v>
      </c>
      <c r="V253" s="55" t="str">
        <f>IFERROR(__xludf.DUMMYFUNCTION("QUERY('Volunteer Survey'!O260)"),"")</f>
        <v/>
      </c>
      <c r="W253" s="66" t="str">
        <f>IFERROR(__xludf.DUMMYFUNCTION("QUERY('Volunteer Survey'!P260)"),"Intellectual disability and autism, Mitochondrial diseases, Hearing loss, Familial hypercholesterolemia")</f>
        <v>Intellectual disability and autism, Mitochondrial diseases, Hearing loss, Familial hypercholesterolemia</v>
      </c>
      <c r="X253" s="64" t="str">
        <f>IFERROR(__xludf.DUMMYFUNCTION("QUERY('Volunteer Survey'!R260)"),"Yes- I am willing to volunteer with any available ClinGen group")</f>
        <v>Yes- I am willing to volunteer with any available ClinGen group</v>
      </c>
      <c r="Y253" s="51" t="s">
        <v>608</v>
      </c>
      <c r="Z253" s="55"/>
      <c r="AA253" s="55"/>
      <c r="AB253" s="55"/>
      <c r="AC253" s="55"/>
      <c r="AD253" s="55"/>
      <c r="AE253" s="55"/>
      <c r="AF253" s="55"/>
      <c r="AG253" s="55"/>
      <c r="AH253" s="55"/>
      <c r="AI253" s="55"/>
      <c r="AJ253" s="55"/>
      <c r="AK253" s="55"/>
      <c r="AL253" s="55"/>
      <c r="AM253" s="55"/>
      <c r="AN253" s="55"/>
      <c r="AO253" s="55"/>
    </row>
    <row r="254">
      <c r="A254" s="50">
        <f>IFERROR(__xludf.DUMMYFUNCTION("QUERY('Volunteer Survey'!A261)"),43680.050454421296)</f>
        <v>43680.05045</v>
      </c>
      <c r="B254" s="48" t="s">
        <v>108</v>
      </c>
      <c r="C254" s="53"/>
      <c r="D254" s="55"/>
      <c r="E254" s="55"/>
      <c r="F254" s="48" t="s">
        <v>130</v>
      </c>
      <c r="G254" s="48" t="s">
        <v>202</v>
      </c>
      <c r="H254" s="53"/>
      <c r="I254" s="51" t="s">
        <v>139</v>
      </c>
      <c r="J254" s="55"/>
      <c r="K254" s="55"/>
      <c r="L254" s="55" t="str">
        <f>IFERROR(__xludf.DUMMYFUNCTION("QUERY('Volunteer Survey'!B261)"),"Hari Subramanian")</f>
        <v>Hari Subramanian</v>
      </c>
      <c r="M254" s="55" t="str">
        <f>IFERROR(__xludf.DUMMYFUNCTION("QUERY('Volunteer Survey'!E261)"),"hsubramanian@bsd.uchicago.edu")</f>
        <v>hsubramanian@bsd.uchicago.edu</v>
      </c>
      <c r="N254" s="55" t="str">
        <f>IFERROR(__xludf.DUMMYFUNCTION("QUERY('Volunteer Survey'!F261)"),"Bioinformatician, Clinical Diagnostics Lab")</f>
        <v>Bioinformatician, Clinical Diagnostics Lab</v>
      </c>
      <c r="O254" s="48" t="str">
        <f>IFERROR(__xludf.DUMMYFUNCTION("QUERY('Volunteer Survey'!H261)"),"Baseline")</f>
        <v>Baseline</v>
      </c>
      <c r="P254" s="55" t="str">
        <f>IFERROR(__xludf.DUMMYFUNCTION("QUERY('Volunteer Survey'!I261)"),"Dosage Sensitivity")</f>
        <v>Dosage Sensitivity</v>
      </c>
      <c r="Q254" s="60" t="str">
        <f>IFERROR(__xludf.DUMMYFUNCTION("QUERY('Volunteer Survey'!J261)"),"Variant Pathogenicity")</f>
        <v>Variant Pathogenicity</v>
      </c>
      <c r="R254" s="55" t="str">
        <f>IFERROR(__xludf.DUMMYFUNCTION("QUERY('Volunteer Survey'!K261)"),"Gene-Disease Validity")</f>
        <v>Gene-Disease Validity</v>
      </c>
      <c r="S254" s="55" t="str">
        <f>IFERROR(__xludf.DUMMYFUNCTION("QUERY('Volunteer Survey'!L261)"),"Somatic Cancer")</f>
        <v>Somatic Cancer</v>
      </c>
      <c r="T254" s="55" t="str">
        <f>IFERROR(__xludf.DUMMYFUNCTION("QUERY('Volunteer Survey'!M261)"),"")</f>
        <v/>
      </c>
      <c r="U254" s="64" t="str">
        <f>IFERROR(__xludf.DUMMYFUNCTION("QUERY('Volunteer Survey'!N261)"),"")</f>
        <v/>
      </c>
      <c r="V254" s="55" t="str">
        <f>IFERROR(__xludf.DUMMYFUNCTION("QUERY('Volunteer Survey'!O261)"),"Possibly")</f>
        <v>Possibly</v>
      </c>
      <c r="W254" s="66" t="str">
        <f>IFERROR(__xludf.DUMMYFUNCTION("QUERY('Volunteer Survey'!P261)"),"")</f>
        <v/>
      </c>
      <c r="X254" s="64" t="str">
        <f>IFERROR(__xludf.DUMMYFUNCTION("QUERY('Volunteer Survey'!R261)"),"Maybe -- please contact me with other options, and I will decide based on what is available")</f>
        <v>Maybe -- please contact me with other options, and I will decide based on what is available</v>
      </c>
      <c r="Y254" s="53"/>
      <c r="Z254" s="55"/>
      <c r="AA254" s="55"/>
      <c r="AB254" s="55"/>
      <c r="AC254" s="55"/>
      <c r="AD254" s="55"/>
      <c r="AE254" s="55"/>
      <c r="AF254" s="55"/>
      <c r="AG254" s="55"/>
      <c r="AH254" s="55"/>
      <c r="AI254" s="55"/>
      <c r="AJ254" s="55"/>
      <c r="AK254" s="55"/>
      <c r="AL254" s="55"/>
      <c r="AM254" s="55"/>
      <c r="AN254" s="55"/>
      <c r="AO254" s="55"/>
    </row>
    <row r="255">
      <c r="A255" s="50">
        <f>IFERROR(__xludf.DUMMYFUNCTION("QUERY('Volunteer Survey'!A262)"),43684.398782951386)</f>
        <v>43684.39878</v>
      </c>
      <c r="B255" s="48" t="s">
        <v>108</v>
      </c>
      <c r="C255" s="79">
        <v>43819.0</v>
      </c>
      <c r="D255" s="55"/>
      <c r="E255" s="55"/>
      <c r="F255" s="48" t="s">
        <v>130</v>
      </c>
      <c r="G255" s="48" t="s">
        <v>251</v>
      </c>
      <c r="H255" s="53"/>
      <c r="I255" s="51" t="s">
        <v>139</v>
      </c>
      <c r="J255" s="55"/>
      <c r="K255" s="55"/>
      <c r="L255" s="55" t="str">
        <f>IFERROR(__xludf.DUMMYFUNCTION("QUERY('Volunteer Survey'!B262)"),"Georgios Tsaousis")</f>
        <v>Georgios Tsaousis</v>
      </c>
      <c r="M255" s="55" t="str">
        <f>IFERROR(__xludf.DUMMYFUNCTION("QUERY('Volunteer Survey'!E262)"),"gtsaousis@genekor.com")</f>
        <v>gtsaousis@genekor.com</v>
      </c>
      <c r="N255" s="55" t="str">
        <f>IFERROR(__xludf.DUMMYFUNCTION("QUERY('Volunteer Survey'!F262)"),"Variant Analyst/Scientist - Industry")</f>
        <v>Variant Analyst/Scientist - Industry</v>
      </c>
      <c r="O255" s="48" t="str">
        <f>IFERROR(__xludf.DUMMYFUNCTION("QUERY('Volunteer Survey'!H262)"),"Comprehensive")</f>
        <v>Comprehensive</v>
      </c>
      <c r="P255" s="55" t="str">
        <f>IFERROR(__xludf.DUMMYFUNCTION("QUERY('Volunteer Survey'!I262)"),"Variant Pathogenicity")</f>
        <v>Variant Pathogenicity</v>
      </c>
      <c r="Q255" s="60" t="str">
        <f>IFERROR(__xludf.DUMMYFUNCTION("QUERY('Volunteer Survey'!J262)"),"Gene-Disease Validity")</f>
        <v>Gene-Disease Validity</v>
      </c>
      <c r="R255" s="55" t="str">
        <f>IFERROR(__xludf.DUMMYFUNCTION("QUERY('Volunteer Survey'!K262)"),"Clinical Actionability")</f>
        <v>Clinical Actionability</v>
      </c>
      <c r="S255" s="55" t="str">
        <f>IFERROR(__xludf.DUMMYFUNCTION("QUERY('Volunteer Survey'!L262)"),"Somatic Cancer")</f>
        <v>Somatic Cancer</v>
      </c>
      <c r="T255" s="55" t="str">
        <f>IFERROR(__xludf.DUMMYFUNCTION("QUERY('Volunteer Survey'!M262)"),"Dosage Sensitivity")</f>
        <v>Dosage Sensitivity</v>
      </c>
      <c r="U255" s="64" t="str">
        <f>IFERROR(__xludf.DUMMYFUNCTION("QUERY('Volunteer Survey'!N262)"),"I am the Group Leader of the Bioinformatics department in Genekor Medical SA involved in data collection and curation activities for the determination of variant pathogenicity for all variants identified in our laboratory for Hereditary cancer genes. I am"&amp;" also a Post-doc Research Associate at the Biophysics and Bioinformatics Laboratory at the Department of Biology, School of Sciences, National and Kapodistrian University of Athens, where i am involved with sequence and structure analysis of biological se"&amp;"quences through the development of computational algorithms and biological databases.")</f>
        <v>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v>
      </c>
      <c r="V255" s="55" t="str">
        <f>IFERROR(__xludf.DUMMYFUNCTION("QUERY('Volunteer Survey'!O262)"),"Possibly")</f>
        <v>Possibly</v>
      </c>
      <c r="W255" s="66" t="str">
        <f>IFERROR(__xludf.DUMMYFUNCTION("QUERY('Volunteer Survey'!P262)"),"Hereditary Cancer, Somatic/Germline Variant Curation, Colorectal Cancer, PTEN, TP53, CDH1")</f>
        <v>Hereditary Cancer, Somatic/Germline Variant Curation, Colorectal Cancer, PTEN, TP53, CDH1</v>
      </c>
      <c r="X255" s="64" t="str">
        <f>IFERROR(__xludf.DUMMYFUNCTION("QUERY('Volunteer Survey'!R262)"),"Maybe -- please contact me with other options, and I will decide based on what is available")</f>
        <v>Maybe -- please contact me with other options, and I will decide based on what is available</v>
      </c>
      <c r="Y255" s="53"/>
      <c r="Z255" s="55"/>
      <c r="AA255" s="55"/>
      <c r="AB255" s="55"/>
      <c r="AC255" s="55"/>
      <c r="AD255" s="55"/>
      <c r="AE255" s="55"/>
      <c r="AF255" s="55"/>
      <c r="AG255" s="55"/>
      <c r="AH255" s="55"/>
      <c r="AI255" s="55"/>
      <c r="AJ255" s="55"/>
      <c r="AK255" s="55"/>
      <c r="AL255" s="55"/>
      <c r="AM255" s="55"/>
      <c r="AN255" s="55"/>
      <c r="AO255" s="55"/>
    </row>
    <row r="256">
      <c r="A256" s="50">
        <f>IFERROR(__xludf.DUMMYFUNCTION("QUERY('Volunteer Survey'!A263)"),43684.40288785879)</f>
        <v>43684.40289</v>
      </c>
      <c r="B256" s="48" t="s">
        <v>108</v>
      </c>
      <c r="C256" s="79">
        <v>43819.0</v>
      </c>
      <c r="D256" s="55"/>
      <c r="E256" s="55"/>
      <c r="F256" s="48" t="s">
        <v>130</v>
      </c>
      <c r="G256" s="48" t="s">
        <v>251</v>
      </c>
      <c r="H256" s="53"/>
      <c r="I256" s="51" t="s">
        <v>139</v>
      </c>
      <c r="J256" s="55"/>
      <c r="K256" s="55"/>
      <c r="L256" s="55" t="str">
        <f>IFERROR(__xludf.DUMMYFUNCTION("QUERY('Volunteer Survey'!B263)"),"Jessica Hatton")</f>
        <v>Jessica Hatton</v>
      </c>
      <c r="M256" s="55" t="str">
        <f>IFERROR(__xludf.DUMMYFUNCTION("QUERY('Volunteer Survey'!E263)"),"jessica.hatton@nih.gov")</f>
        <v>jessica.hatton@nih.gov</v>
      </c>
      <c r="N256" s="55" t="str">
        <f>IFERROR(__xludf.DUMMYFUNCTION("QUERY('Volunteer Survey'!F263)"),"Genetic counselor")</f>
        <v>Genetic counselor</v>
      </c>
      <c r="O256" s="48" t="str">
        <f>IFERROR(__xludf.DUMMYFUNCTION("QUERY('Volunteer Survey'!H263)"),"Comprehensive")</f>
        <v>Comprehensive</v>
      </c>
      <c r="P256" s="55" t="str">
        <f>IFERROR(__xludf.DUMMYFUNCTION("QUERY('Volunteer Survey'!I263)"),"Variant Pathogenicity")</f>
        <v>Variant Pathogenicity</v>
      </c>
      <c r="Q256" s="60" t="str">
        <f>IFERROR(__xludf.DUMMYFUNCTION("QUERY('Volunteer Survey'!J263)"),"")</f>
        <v/>
      </c>
      <c r="R256" s="55" t="str">
        <f>IFERROR(__xludf.DUMMYFUNCTION("QUERY('Volunteer Survey'!K263)"),"")</f>
        <v/>
      </c>
      <c r="S256" s="55" t="str">
        <f>IFERROR(__xludf.DUMMYFUNCTION("QUERY('Volunteer Survey'!L263)"),"")</f>
        <v/>
      </c>
      <c r="T256" s="55" t="str">
        <f>IFERROR(__xludf.DUMMYFUNCTION("QUERY('Volunteer Survey'!M263)"),"")</f>
        <v/>
      </c>
      <c r="U256" s="64" t="str">
        <f>IFERROR(__xludf.DUMMYFUNCTION("QUERY('Volunteer Survey'!N263)"),"No")</f>
        <v>No</v>
      </c>
      <c r="V256" s="55" t="str">
        <f>IFERROR(__xludf.DUMMYFUNCTION("QUERY('Volunteer Survey'!O263)"),"Possibly")</f>
        <v>Possibly</v>
      </c>
      <c r="W256" s="66" t="str">
        <f>IFERROR(__xludf.DUMMYFUNCTION("QUERY('Volunteer Survey'!P263)"),"TP53")</f>
        <v>TP53</v>
      </c>
      <c r="X256" s="64" t="str">
        <f>IFERROR(__xludf.DUMMYFUNCTION("QUERY('Volunteer Survey'!R263)"),"No - I am only interested in the group(s) I previously indicated")</f>
        <v>No - I am only interested in the group(s) I previously indicated</v>
      </c>
      <c r="Y256" s="53"/>
      <c r="Z256" s="55"/>
      <c r="AA256" s="55"/>
      <c r="AB256" s="55"/>
      <c r="AC256" s="55"/>
      <c r="AD256" s="55"/>
      <c r="AE256" s="55"/>
      <c r="AF256" s="55"/>
      <c r="AG256" s="55"/>
      <c r="AH256" s="55"/>
      <c r="AI256" s="55"/>
      <c r="AJ256" s="55"/>
      <c r="AK256" s="55"/>
      <c r="AL256" s="55"/>
      <c r="AM256" s="55"/>
      <c r="AN256" s="55"/>
      <c r="AO256" s="55"/>
    </row>
    <row r="257">
      <c r="A257" s="50">
        <f>IFERROR(__xludf.DUMMYFUNCTION("QUERY('Volunteer Survey'!A264)"),43684.68687708333)</f>
        <v>43684.68688</v>
      </c>
      <c r="B257" s="48" t="s">
        <v>108</v>
      </c>
      <c r="C257" s="79">
        <v>43819.0</v>
      </c>
      <c r="D257" s="55"/>
      <c r="E257" s="55"/>
      <c r="F257" s="48" t="s">
        <v>130</v>
      </c>
      <c r="G257" s="48" t="s">
        <v>251</v>
      </c>
      <c r="H257" s="53"/>
      <c r="I257" s="51" t="s">
        <v>139</v>
      </c>
      <c r="J257" s="55"/>
      <c r="K257" s="55"/>
      <c r="L257" s="55" t="str">
        <f>IFERROR(__xludf.DUMMYFUNCTION("QUERY('Volunteer Survey'!B264)"),"Xia Tian")</f>
        <v>Xia Tian</v>
      </c>
      <c r="M257" s="55" t="str">
        <f>IFERROR(__xludf.DUMMYFUNCTION("QUERY('Volunteer Survey'!E264)"),"xtian@wuxinextcode.com")</f>
        <v>xtian@wuxinextcode.com</v>
      </c>
      <c r="N257" s="55" t="str">
        <f>IFERROR(__xludf.DUMMYFUNCTION("QUERY('Volunteer Survey'!F264)"),"Variant Analyst/Scientist - Industry")</f>
        <v>Variant Analyst/Scientist - Industry</v>
      </c>
      <c r="O257" s="48" t="str">
        <f>IFERROR(__xludf.DUMMYFUNCTION("QUERY('Volunteer Survey'!H264)"),"Comprehensive")</f>
        <v>Comprehensive</v>
      </c>
      <c r="P257" s="55" t="str">
        <f>IFERROR(__xludf.DUMMYFUNCTION("QUERY('Volunteer Survey'!I264)"),"Variant Pathogenicity")</f>
        <v>Variant Pathogenicity</v>
      </c>
      <c r="Q257" s="60" t="str">
        <f>IFERROR(__xludf.DUMMYFUNCTION("QUERY('Volunteer Survey'!J264)"),"Somatic Cancer")</f>
        <v>Somatic Cancer</v>
      </c>
      <c r="R257" s="55" t="str">
        <f>IFERROR(__xludf.DUMMYFUNCTION("QUERY('Volunteer Survey'!K264)"),"Gene-Disease Validity")</f>
        <v>Gene-Disease Validity</v>
      </c>
      <c r="S257" s="55" t="str">
        <f>IFERROR(__xludf.DUMMYFUNCTION("QUERY('Volunteer Survey'!L264)"),"Dosage Sensitivity")</f>
        <v>Dosage Sensitivity</v>
      </c>
      <c r="T257" s="55" t="str">
        <f>IFERROR(__xludf.DUMMYFUNCTION("QUERY('Volunteer Survey'!M264)"),"Clinical Actionability")</f>
        <v>Clinical Actionability</v>
      </c>
      <c r="U257" s="64" t="str">
        <f>IFERROR(__xludf.DUMMYFUNCTION("QUERY('Volunteer Survey'!N264)"),"eight years' experience of gene/variant curation and clinical case review")</f>
        <v>eight years' experience of gene/variant curation and clinical case review</v>
      </c>
      <c r="V257" s="55" t="str">
        <f>IFERROR(__xludf.DUMMYFUNCTION("QUERY('Volunteer Survey'!O264)"),"Yes")</f>
        <v>Yes</v>
      </c>
      <c r="W257" s="66" t="str">
        <f>IFERROR(__xludf.DUMMYFUNCTION("QUERY('Volunteer Survey'!P264)"),"Mitochondrial Diseases(gene/variant) and Somatic Cancer")</f>
        <v>Mitochondrial Diseases(gene/variant) and Somatic Cancer</v>
      </c>
      <c r="X257" s="64" t="str">
        <f>IFERROR(__xludf.DUMMYFUNCTION("QUERY('Volunteer Survey'!R264)"),"Yes- I am willing to volunteer with any available ClinGen group")</f>
        <v>Yes- I am willing to volunteer with any available ClinGen group</v>
      </c>
      <c r="Y257" s="53"/>
      <c r="Z257" s="55"/>
      <c r="AA257" s="55"/>
      <c r="AB257" s="55"/>
      <c r="AC257" s="55"/>
      <c r="AD257" s="55"/>
      <c r="AE257" s="55"/>
      <c r="AF257" s="55"/>
      <c r="AG257" s="55"/>
      <c r="AH257" s="55"/>
      <c r="AI257" s="55"/>
      <c r="AJ257" s="55"/>
      <c r="AK257" s="55"/>
      <c r="AL257" s="55"/>
      <c r="AM257" s="55"/>
      <c r="AN257" s="55"/>
      <c r="AO257" s="55"/>
    </row>
    <row r="258">
      <c r="A258" s="50">
        <f>IFERROR(__xludf.DUMMYFUNCTION("QUERY('Volunteer Survey'!A265)"),43685.46748900463)</f>
        <v>43685.46749</v>
      </c>
      <c r="B258" s="48" t="s">
        <v>108</v>
      </c>
      <c r="C258" s="79">
        <v>43819.0</v>
      </c>
      <c r="D258" s="55"/>
      <c r="E258" s="55"/>
      <c r="F258" s="48" t="s">
        <v>130</v>
      </c>
      <c r="G258" s="48" t="s">
        <v>122</v>
      </c>
      <c r="H258" s="53"/>
      <c r="I258" s="51" t="s">
        <v>139</v>
      </c>
      <c r="J258" s="55"/>
      <c r="K258" s="55"/>
      <c r="L258" s="55" t="str">
        <f>IFERROR(__xludf.DUMMYFUNCTION("QUERY('Volunteer Survey'!B265)"),"MEGHA DANI")</f>
        <v>MEGHA DANI</v>
      </c>
      <c r="M258" s="55" t="str">
        <f>IFERROR(__xludf.DUMMYFUNCTION("QUERY('Volunteer Survey'!E265)"),"meghamdani@gmail.com")</f>
        <v>meghamdani@gmail.com</v>
      </c>
      <c r="N258" s="55" t="str">
        <f>IFERROR(__xludf.DUMMYFUNCTION("QUERY('Volunteer Survey'!F265)"),"I owned and worked for my clinical biochemistry/diagnostics laboratory but I have not done Genetics for lack for facilities.  I want to learn Genetics, its use in identification of various genetic disorders, learning new genetic techniques")</f>
        <v>I owned and worked for my clinical biochemistry/diagnostics laboratory but I have not done Genetics for lack for facilities.  I want to learn Genetics, its use in identification of various genetic disorders, learning new genetic techniques</v>
      </c>
      <c r="O258" s="48" t="str">
        <f>IFERROR(__xludf.DUMMYFUNCTION("QUERY('Volunteer Survey'!H265)"),"Comprehensive")</f>
        <v>Comprehensive</v>
      </c>
      <c r="P258" s="55" t="str">
        <f>IFERROR(__xludf.DUMMYFUNCTION("QUERY('Volunteer Survey'!I265)"),"Gene-Disease Validity")</f>
        <v>Gene-Disease Validity</v>
      </c>
      <c r="Q258" s="60" t="str">
        <f>IFERROR(__xludf.DUMMYFUNCTION("QUERY('Volunteer Survey'!J265)"),"Clinical Actionability")</f>
        <v>Clinical Actionability</v>
      </c>
      <c r="R258" s="55" t="str">
        <f>IFERROR(__xludf.DUMMYFUNCTION("QUERY('Volunteer Survey'!K265)"),"Variant Pathogenicity")</f>
        <v>Variant Pathogenicity</v>
      </c>
      <c r="S258" s="55" t="str">
        <f>IFERROR(__xludf.DUMMYFUNCTION("QUERY('Volunteer Survey'!L265)"),"Dosage Sensitivity")</f>
        <v>Dosage Sensitivity</v>
      </c>
      <c r="T258" s="55" t="str">
        <f>IFERROR(__xludf.DUMMYFUNCTION("QUERY('Volunteer Survey'!M265)"),"Somatic Cancer")</f>
        <v>Somatic Cancer</v>
      </c>
      <c r="U258" s="64" t="str">
        <f>IFERROR(__xludf.DUMMYFUNCTION("QUERY('Volunteer Survey'!N265)"),"No")</f>
        <v>No</v>
      </c>
      <c r="V258" s="55" t="str">
        <f>IFERROR(__xludf.DUMMYFUNCTION("QUERY('Volunteer Survey'!O265)"),"Yes")</f>
        <v>Yes</v>
      </c>
      <c r="W258" s="66" t="str">
        <f>IFERROR(__xludf.DUMMYFUNCTION("QUERY('Volunteer Survey'!P265)"),"Yes")</f>
        <v>Yes</v>
      </c>
      <c r="X258" s="64" t="str">
        <f>IFERROR(__xludf.DUMMYFUNCTION("QUERY('Volunteer Survey'!R265)"),"Yes- I am willing to volunteer with any available ClinGen group")</f>
        <v>Yes- I am willing to volunteer with any available ClinGen group</v>
      </c>
      <c r="Y258" s="53"/>
      <c r="Z258" s="55"/>
      <c r="AA258" s="55"/>
      <c r="AB258" s="55"/>
      <c r="AC258" s="55"/>
      <c r="AD258" s="55"/>
      <c r="AE258" s="55"/>
      <c r="AF258" s="55"/>
      <c r="AG258" s="55"/>
      <c r="AH258" s="55"/>
      <c r="AI258" s="55"/>
      <c r="AJ258" s="55"/>
      <c r="AK258" s="55"/>
      <c r="AL258" s="55"/>
      <c r="AM258" s="55"/>
      <c r="AN258" s="55"/>
      <c r="AO258" s="55"/>
    </row>
    <row r="259">
      <c r="A259" s="50">
        <f>IFERROR(__xludf.DUMMYFUNCTION("QUERY('Volunteer Survey'!A266)"),43689.40685208333)</f>
        <v>43689.40685</v>
      </c>
      <c r="B259" s="48" t="s">
        <v>108</v>
      </c>
      <c r="C259" s="53"/>
      <c r="D259" s="65">
        <v>43692.0</v>
      </c>
      <c r="E259" s="48" t="s">
        <v>117</v>
      </c>
      <c r="F259" s="48" t="s">
        <v>130</v>
      </c>
      <c r="G259" s="48" t="s">
        <v>122</v>
      </c>
      <c r="H259" s="53"/>
      <c r="I259" s="51" t="s">
        <v>139</v>
      </c>
      <c r="J259" s="55"/>
      <c r="K259" s="55"/>
      <c r="L259" s="55" t="str">
        <f>IFERROR(__xludf.DUMMYFUNCTION("QUERY('Volunteer Survey'!B266)"),"SAILATHA RAVI")</f>
        <v>SAILATHA RAVI</v>
      </c>
      <c r="M259" s="55" t="str">
        <f>IFERROR(__xludf.DUMMYFUNCTION("QUERY('Volunteer Survey'!E266)"),"sailatha.ravi@gmail.com")</f>
        <v>sailatha.ravi@gmail.com</v>
      </c>
      <c r="N259" s="55" t="str">
        <f>IFERROR(__xludf.DUMMYFUNCTION("QUERY('Volunteer Survey'!F266)"),"Post Doc/Resident/Fellow (MD and/or PhD)")</f>
        <v>Post Doc/Resident/Fellow (MD and/or PhD)</v>
      </c>
      <c r="O259" s="48" t="str">
        <f>IFERROR(__xludf.DUMMYFUNCTION("QUERY('Volunteer Survey'!H266)"),"Comprehensive")</f>
        <v>Comprehensive</v>
      </c>
      <c r="P259" s="55" t="str">
        <f>IFERROR(__xludf.DUMMYFUNCTION("QUERY('Volunteer Survey'!I266)"),"Gene-Disease Validity")</f>
        <v>Gene-Disease Validity</v>
      </c>
      <c r="Q259" s="60" t="str">
        <f>IFERROR(__xludf.DUMMYFUNCTION("QUERY('Volunteer Survey'!J266)"),"Dosage Sensitivity")</f>
        <v>Dosage Sensitivity</v>
      </c>
      <c r="R259" s="55" t="str">
        <f>IFERROR(__xludf.DUMMYFUNCTION("QUERY('Volunteer Survey'!K266)"),"Clinical Actionability")</f>
        <v>Clinical Actionability</v>
      </c>
      <c r="S259" s="55" t="str">
        <f>IFERROR(__xludf.DUMMYFUNCTION("QUERY('Volunteer Survey'!L266)"),"Somatic Cancer")</f>
        <v>Somatic Cancer</v>
      </c>
      <c r="T259" s="55" t="str">
        <f>IFERROR(__xludf.DUMMYFUNCTION("QUERY('Volunteer Survey'!M266)"),"Variant Pathogenicity")</f>
        <v>Variant Pathogenicity</v>
      </c>
      <c r="U259" s="64" t="str">
        <f>IFERROR(__xludf.DUMMYFUNCTION("QUERY('Volunteer Survey'!N266)"),"")</f>
        <v/>
      </c>
      <c r="V259" s="55" t="str">
        <f>IFERROR(__xludf.DUMMYFUNCTION("QUERY('Volunteer Survey'!O266)"),"Yes")</f>
        <v>Yes</v>
      </c>
      <c r="W259" s="66" t="str">
        <f>IFERROR(__xludf.DUMMYFUNCTION("QUERY('Volunteer Survey'!P266)"),"")</f>
        <v/>
      </c>
      <c r="X259" s="64" t="str">
        <f>IFERROR(__xludf.DUMMYFUNCTION("QUERY('Volunteer Survey'!R266)"),"Yes- I am willing to volunteer with any available ClinGen group")</f>
        <v>Yes- I am willing to volunteer with any available ClinGen group</v>
      </c>
      <c r="Y259" s="53"/>
      <c r="Z259" s="55"/>
      <c r="AA259" s="55"/>
      <c r="AB259" s="55"/>
      <c r="AC259" s="55"/>
      <c r="AD259" s="55"/>
      <c r="AE259" s="55"/>
      <c r="AF259" s="55"/>
      <c r="AG259" s="55"/>
      <c r="AH259" s="55"/>
      <c r="AI259" s="55"/>
      <c r="AJ259" s="55"/>
      <c r="AK259" s="55"/>
      <c r="AL259" s="55"/>
      <c r="AM259" s="55"/>
      <c r="AN259" s="55"/>
      <c r="AO259" s="55"/>
    </row>
    <row r="260">
      <c r="A260" s="50">
        <f>IFERROR(__xludf.DUMMYFUNCTION("QUERY('Volunteer Survey'!A267)"),43690.258437881945)</f>
        <v>43690.25844</v>
      </c>
      <c r="B260" s="48" t="s">
        <v>108</v>
      </c>
      <c r="C260" s="79">
        <v>43819.0</v>
      </c>
      <c r="D260" s="55"/>
      <c r="E260" s="55"/>
      <c r="F260" s="48" t="s">
        <v>130</v>
      </c>
      <c r="G260" s="48" t="s">
        <v>251</v>
      </c>
      <c r="H260" s="53"/>
      <c r="I260" s="51" t="s">
        <v>139</v>
      </c>
      <c r="J260" s="55"/>
      <c r="K260" s="55"/>
      <c r="L260" s="55" t="str">
        <f>IFERROR(__xludf.DUMMYFUNCTION("QUERY('Volunteer Survey'!B267)"),"Pamela Ajuyah")</f>
        <v>Pamela Ajuyah</v>
      </c>
      <c r="M260" s="55" t="str">
        <f>IFERROR(__xludf.DUMMYFUNCTION("QUERY('Volunteer Survey'!E267)"),"pamela.a.ajuyah@gmail.com")</f>
        <v>pamela.a.ajuyah@gmail.com</v>
      </c>
      <c r="N260" s="55" t="str">
        <f>IFERROR(__xludf.DUMMYFUNCTION("QUERY('Volunteer Survey'!F267)"),"Variant Analyst/Scientist - Industry")</f>
        <v>Variant Analyst/Scientist - Industry</v>
      </c>
      <c r="O260" s="48" t="str">
        <f>IFERROR(__xludf.DUMMYFUNCTION("QUERY('Volunteer Survey'!H267)"),"Comprehensive")</f>
        <v>Comprehensive</v>
      </c>
      <c r="P260" s="55" t="str">
        <f>IFERROR(__xludf.DUMMYFUNCTION("QUERY('Volunteer Survey'!I267)"),"Variant Pathogenicity")</f>
        <v>Variant Pathogenicity</v>
      </c>
      <c r="Q260" s="60" t="str">
        <f>IFERROR(__xludf.DUMMYFUNCTION("QUERY('Volunteer Survey'!J267)"),"Gene-Disease Validity")</f>
        <v>Gene-Disease Validity</v>
      </c>
      <c r="R260" s="55" t="str">
        <f>IFERROR(__xludf.DUMMYFUNCTION("QUERY('Volunteer Survey'!K267)"),"Clinical Actionability")</f>
        <v>Clinical Actionability</v>
      </c>
      <c r="S260" s="55" t="str">
        <f>IFERROR(__xludf.DUMMYFUNCTION("QUERY('Volunteer Survey'!L267)"),"Somatic Cancer")</f>
        <v>Somatic Cancer</v>
      </c>
      <c r="T260" s="55" t="str">
        <f>IFERROR(__xludf.DUMMYFUNCTION("QUERY('Volunteer Survey'!M267)"),"Dosage Sensitivity")</f>
        <v>Dosage Sensitivity</v>
      </c>
      <c r="U260" s="64" t="str">
        <f>IFERROR(__xludf.DUMMYFUNCTION("QUERY('Volunteer Survey'!N267)"),"")</f>
        <v/>
      </c>
      <c r="V260" s="55" t="str">
        <f>IFERROR(__xludf.DUMMYFUNCTION("QUERY('Volunteer Survey'!O267)"),"No")</f>
        <v>No</v>
      </c>
      <c r="W260" s="66" t="str">
        <f>IFERROR(__xludf.DUMMYFUNCTION("QUERY('Volunteer Survey'!P267)"),"")</f>
        <v/>
      </c>
      <c r="X260" s="64" t="str">
        <f>IFERROR(__xludf.DUMMYFUNCTION("QUERY('Volunteer Survey'!R267)"),"Yes- I am willing to volunteer with any available ClinGen group")</f>
        <v>Yes- I am willing to volunteer with any available ClinGen group</v>
      </c>
      <c r="Y260" s="53"/>
      <c r="Z260" s="55"/>
      <c r="AA260" s="55"/>
      <c r="AB260" s="55"/>
      <c r="AC260" s="55"/>
      <c r="AD260" s="55"/>
      <c r="AE260" s="55"/>
      <c r="AF260" s="55"/>
      <c r="AG260" s="55"/>
      <c r="AH260" s="55"/>
      <c r="AI260" s="55"/>
      <c r="AJ260" s="55"/>
      <c r="AK260" s="55"/>
      <c r="AL260" s="55"/>
      <c r="AM260" s="55"/>
      <c r="AN260" s="55"/>
      <c r="AO260" s="55"/>
    </row>
    <row r="261">
      <c r="A261" s="50">
        <f>IFERROR(__xludf.DUMMYFUNCTION("QUERY('Volunteer Survey'!A268)"),43691.59204373843)</f>
        <v>43691.59204</v>
      </c>
      <c r="B261" s="48" t="s">
        <v>108</v>
      </c>
      <c r="C261" s="79">
        <v>43819.0</v>
      </c>
      <c r="D261" s="55"/>
      <c r="E261" s="55"/>
      <c r="F261" s="48" t="s">
        <v>130</v>
      </c>
      <c r="G261" s="48" t="s">
        <v>122</v>
      </c>
      <c r="H261" s="53"/>
      <c r="I261" s="53"/>
      <c r="J261" s="55"/>
      <c r="K261" s="55"/>
      <c r="L261" s="55" t="str">
        <f>IFERROR(__xludf.DUMMYFUNCTION("QUERY('Volunteer Survey'!B268)"),"Yasser Sullcahuaman Allende")</f>
        <v>Yasser Sullcahuaman Allende</v>
      </c>
      <c r="M261" s="55" t="str">
        <f>IFERROR(__xludf.DUMMYFUNCTION("QUERY('Volunteer Survey'!E268)"),"ysullcahuaman@hotmail.com")</f>
        <v>ysullcahuaman@hotmail.com</v>
      </c>
      <c r="N261" s="55" t="str">
        <f>IFERROR(__xludf.DUMMYFUNCTION("QUERY('Volunteer Survey'!F268)"),"Clinical Medical Geneticist")</f>
        <v>Clinical Medical Geneticist</v>
      </c>
      <c r="O261" s="48" t="str">
        <f>IFERROR(__xludf.DUMMYFUNCTION("QUERY('Volunteer Survey'!H268)"),"Comprehensive")</f>
        <v>Comprehensive</v>
      </c>
      <c r="P261" s="55" t="str">
        <f>IFERROR(__xludf.DUMMYFUNCTION("QUERY('Volunteer Survey'!I268)"),"Gene-Disease Validity")</f>
        <v>Gene-Disease Validity</v>
      </c>
      <c r="Q261" s="60" t="str">
        <f>IFERROR(__xludf.DUMMYFUNCTION("QUERY('Volunteer Survey'!J268)"),"Variant Pathogenicity")</f>
        <v>Variant Pathogenicity</v>
      </c>
      <c r="R261" s="55" t="str">
        <f>IFERROR(__xludf.DUMMYFUNCTION("QUERY('Volunteer Survey'!K268)"),"Clinical Actionability")</f>
        <v>Clinical Actionability</v>
      </c>
      <c r="S261" s="55" t="str">
        <f>IFERROR(__xludf.DUMMYFUNCTION("QUERY('Volunteer Survey'!L268)"),"Somatic Cancer")</f>
        <v>Somatic Cancer</v>
      </c>
      <c r="T261" s="55" t="str">
        <f>IFERROR(__xludf.DUMMYFUNCTION("QUERY('Volunteer Survey'!M268)"),"Dosage Sensitivity")</f>
        <v>Dosage Sensitivity</v>
      </c>
      <c r="U261" s="64" t="str">
        <f>IFERROR(__xludf.DUMMYFUNCTION("QUERY('Volunteer Survey'!N268)"),"Yasser")</f>
        <v>Yasser</v>
      </c>
      <c r="V261" s="55" t="str">
        <f>IFERROR(__xludf.DUMMYFUNCTION("QUERY('Volunteer Survey'!O268)"),"Yes")</f>
        <v>Yes</v>
      </c>
      <c r="W261" s="66" t="str">
        <f>IFERROR(__xludf.DUMMYFUNCTION("QUERY('Volunteer Survey'!P268)"),"Hereditary cancer")</f>
        <v>Hereditary cancer</v>
      </c>
      <c r="X261" s="64" t="str">
        <f>IFERROR(__xludf.DUMMYFUNCTION("QUERY('Volunteer Survey'!R268)"),"Yes- I am willing to volunteer with any available ClinGen group")</f>
        <v>Yes- I am willing to volunteer with any available ClinGen group</v>
      </c>
      <c r="Y261" s="53"/>
      <c r="Z261" s="55"/>
      <c r="AA261" s="55"/>
      <c r="AB261" s="55"/>
      <c r="AC261" s="55"/>
      <c r="AD261" s="55"/>
      <c r="AE261" s="55"/>
      <c r="AF261" s="55"/>
      <c r="AG261" s="55"/>
      <c r="AH261" s="55"/>
      <c r="AI261" s="55"/>
      <c r="AJ261" s="55"/>
      <c r="AK261" s="55"/>
      <c r="AL261" s="55"/>
      <c r="AM261" s="55"/>
      <c r="AN261" s="55"/>
      <c r="AO261" s="55"/>
    </row>
    <row r="262">
      <c r="A262" s="50">
        <f>IFERROR(__xludf.DUMMYFUNCTION("QUERY('Volunteer Survey'!A269)"),43691.699543414354)</f>
        <v>43691.69954</v>
      </c>
      <c r="B262" s="48" t="s">
        <v>125</v>
      </c>
      <c r="C262" s="79">
        <v>43717.0</v>
      </c>
      <c r="D262" s="55"/>
      <c r="E262" s="55"/>
      <c r="F262" s="48" t="s">
        <v>130</v>
      </c>
      <c r="G262" s="48" t="s">
        <v>19</v>
      </c>
      <c r="H262" s="53"/>
      <c r="I262" s="51" t="s">
        <v>139</v>
      </c>
      <c r="J262" s="55"/>
      <c r="K262" s="55"/>
      <c r="L262" s="55" t="str">
        <f>IFERROR(__xludf.DUMMYFUNCTION("QUERY('Volunteer Survey'!B269)"),"Ellie Jhun")</f>
        <v>Ellie Jhun</v>
      </c>
      <c r="M262" s="55" t="str">
        <f>IFERROR(__xludf.DUMMYFUNCTION("QUERY('Volunteer Survey'!E269)"),"ejhun@base10genetics.com")</f>
        <v>ejhun@base10genetics.com</v>
      </c>
      <c r="N262" s="55" t="str">
        <f>IFERROR(__xludf.DUMMYFUNCTION("QUERY('Volunteer Survey'!F269)"),"Variant Analyst/Scientist - Industry")</f>
        <v>Variant Analyst/Scientist - Industry</v>
      </c>
      <c r="O262" s="48" t="str">
        <f>IFERROR(__xludf.DUMMYFUNCTION("QUERY('Volunteer Survey'!H269)"),"Comprehensive")</f>
        <v>Comprehensive</v>
      </c>
      <c r="P262" s="55" t="str">
        <f>IFERROR(__xludf.DUMMYFUNCTION("QUERY('Volunteer Survey'!I269)"),"Clinical Actionability")</f>
        <v>Clinical Actionability</v>
      </c>
      <c r="Q262" s="60" t="str">
        <f>IFERROR(__xludf.DUMMYFUNCTION("QUERY('Volunteer Survey'!J269)"),"")</f>
        <v/>
      </c>
      <c r="R262" s="55" t="str">
        <f>IFERROR(__xludf.DUMMYFUNCTION("QUERY('Volunteer Survey'!K269)"),"")</f>
        <v/>
      </c>
      <c r="S262" s="55" t="str">
        <f>IFERROR(__xludf.DUMMYFUNCTION("QUERY('Volunteer Survey'!L269)"),"")</f>
        <v/>
      </c>
      <c r="T262" s="55" t="str">
        <f>IFERROR(__xludf.DUMMYFUNCTION("QUERY('Volunteer Survey'!M269)"),"")</f>
        <v/>
      </c>
      <c r="U262" s="64" t="str">
        <f>IFERROR(__xludf.DUMMYFUNCTION("QUERY('Volunteer Survey'!N269)"),"Pharmacogenomics fellowship program at the University of Chicago")</f>
        <v>Pharmacogenomics fellowship program at the University of Chicago</v>
      </c>
      <c r="V262" s="55" t="str">
        <f>IFERROR(__xludf.DUMMYFUNCTION("QUERY('Volunteer Survey'!O269)"),"No")</f>
        <v>No</v>
      </c>
      <c r="W262" s="66" t="str">
        <f>IFERROR(__xludf.DUMMYFUNCTION("QUERY('Volunteer Survey'!P269)"),"")</f>
        <v/>
      </c>
      <c r="X262" s="64" t="str">
        <f>IFERROR(__xludf.DUMMYFUNCTION("QUERY('Volunteer Survey'!R269)"),"No - I am only interested in the group(s) I previously indicated")</f>
        <v>No - I am only interested in the group(s) I previously indicated</v>
      </c>
      <c r="Y262" s="53"/>
      <c r="Z262" s="55"/>
      <c r="AA262" s="55"/>
      <c r="AB262" s="55"/>
      <c r="AC262" s="55"/>
      <c r="AD262" s="55"/>
      <c r="AE262" s="55"/>
      <c r="AF262" s="55"/>
      <c r="AG262" s="55"/>
      <c r="AH262" s="55"/>
      <c r="AI262" s="55"/>
      <c r="AJ262" s="55"/>
      <c r="AK262" s="55"/>
      <c r="AL262" s="55"/>
      <c r="AM262" s="55"/>
      <c r="AN262" s="55"/>
      <c r="AO262" s="55"/>
    </row>
    <row r="263">
      <c r="A263" s="50">
        <f>IFERROR(__xludf.DUMMYFUNCTION("QUERY('Volunteer Survey'!A270)"),43691.85581674768)</f>
        <v>43691.85582</v>
      </c>
      <c r="B263" s="48" t="s">
        <v>108</v>
      </c>
      <c r="C263" s="79">
        <v>43819.0</v>
      </c>
      <c r="D263" s="55"/>
      <c r="E263" s="55"/>
      <c r="F263" s="48" t="s">
        <v>130</v>
      </c>
      <c r="G263" s="48" t="s">
        <v>251</v>
      </c>
      <c r="H263" s="53"/>
      <c r="I263" s="51" t="s">
        <v>139</v>
      </c>
      <c r="J263" s="55"/>
      <c r="K263" s="55"/>
      <c r="L263" s="55" t="str">
        <f>IFERROR(__xludf.DUMMYFUNCTION("QUERY('Volunteer Survey'!B270)"),"Venkatesan Sengoda Gounder")</f>
        <v>Venkatesan Sengoda Gounder</v>
      </c>
      <c r="M263" s="55" t="str">
        <f>IFERROR(__xludf.DUMMYFUNCTION("QUERY('Volunteer Survey'!E270)"),"agrivenkat@gmail.com")</f>
        <v>agrivenkat@gmail.com</v>
      </c>
      <c r="N263" s="55" t="str">
        <f>IFERROR(__xludf.DUMMYFUNCTION("QUERY('Volunteer Survey'!F270)"),"Scientific Researcher")</f>
        <v>Scientific Researcher</v>
      </c>
      <c r="O263" s="48" t="str">
        <f>IFERROR(__xludf.DUMMYFUNCTION("QUERY('Volunteer Survey'!H270)"),"Comprehensive")</f>
        <v>Comprehensive</v>
      </c>
      <c r="P263" s="55" t="str">
        <f>IFERROR(__xludf.DUMMYFUNCTION("QUERY('Volunteer Survey'!I270)"),"Variant Pathogenicity")</f>
        <v>Variant Pathogenicity</v>
      </c>
      <c r="Q263" s="60" t="str">
        <f>IFERROR(__xludf.DUMMYFUNCTION("QUERY('Volunteer Survey'!J270)"),"Dosage Sensitivity")</f>
        <v>Dosage Sensitivity</v>
      </c>
      <c r="R263" s="55" t="str">
        <f>IFERROR(__xludf.DUMMYFUNCTION("QUERY('Volunteer Survey'!K270)"),"Gene-Disease Validity")</f>
        <v>Gene-Disease Validity</v>
      </c>
      <c r="S263" s="55" t="str">
        <f>IFERROR(__xludf.DUMMYFUNCTION("QUERY('Volunteer Survey'!L270)"),"Clinical Actionability")</f>
        <v>Clinical Actionability</v>
      </c>
      <c r="T263" s="55" t="str">
        <f>IFERROR(__xludf.DUMMYFUNCTION("QUERY('Volunteer Survey'!M270)"),"Somatic Cancer")</f>
        <v>Somatic Cancer</v>
      </c>
      <c r="U263" s="64" t="str">
        <f>IFERROR(__xludf.DUMMYFUNCTION("QUERY('Volunteer Survey'!N270)"),"No")</f>
        <v>No</v>
      </c>
      <c r="V263" s="55" t="str">
        <f>IFERROR(__xludf.DUMMYFUNCTION("QUERY('Volunteer Survey'!O270)"),"Yes")</f>
        <v>Yes</v>
      </c>
      <c r="W263" s="66" t="str">
        <f>IFERROR(__xludf.DUMMYFUNCTION("QUERY('Volunteer Survey'!P270)"),"Yes")</f>
        <v>Yes</v>
      </c>
      <c r="X263" s="64" t="str">
        <f>IFERROR(__xludf.DUMMYFUNCTION("QUERY('Volunteer Survey'!R270)"),"Yes- I am willing to volunteer with any available ClinGen group")</f>
        <v>Yes- I am willing to volunteer with any available ClinGen group</v>
      </c>
      <c r="Y263" s="53"/>
      <c r="Z263" s="55"/>
      <c r="AA263" s="55"/>
      <c r="AB263" s="55"/>
      <c r="AC263" s="55"/>
      <c r="AD263" s="55"/>
      <c r="AE263" s="55"/>
      <c r="AF263" s="55"/>
      <c r="AG263" s="55"/>
      <c r="AH263" s="55"/>
      <c r="AI263" s="55"/>
      <c r="AJ263" s="55"/>
      <c r="AK263" s="55"/>
      <c r="AL263" s="55"/>
      <c r="AM263" s="55"/>
      <c r="AN263" s="55"/>
      <c r="AO263" s="55"/>
    </row>
    <row r="264">
      <c r="A264" s="50">
        <f>IFERROR(__xludf.DUMMYFUNCTION("QUERY('Volunteer Survey'!A271)"),43692.43983260416)</f>
        <v>43692.43983</v>
      </c>
      <c r="B264" s="48" t="s">
        <v>108</v>
      </c>
      <c r="C264" s="79">
        <v>43819.0</v>
      </c>
      <c r="D264" s="55"/>
      <c r="E264" s="55"/>
      <c r="F264" s="48" t="s">
        <v>130</v>
      </c>
      <c r="G264" s="48" t="s">
        <v>251</v>
      </c>
      <c r="H264" s="53"/>
      <c r="I264" s="51" t="s">
        <v>139</v>
      </c>
      <c r="J264" s="55"/>
      <c r="K264" s="55"/>
      <c r="L264" s="55" t="str">
        <f>IFERROR(__xludf.DUMMYFUNCTION("QUERY('Volunteer Survey'!B271)"),"Ronaldo da Silva Francisco Junior")</f>
        <v>Ronaldo da Silva Francisco Junior</v>
      </c>
      <c r="M264" s="55" t="str">
        <f>IFERROR(__xludf.DUMMYFUNCTION("QUERY('Volunteer Survey'!E271)"),"ronaldoj@lncc.br")</f>
        <v>ronaldoj@lncc.br</v>
      </c>
      <c r="N264" s="55" t="str">
        <f>IFERROR(__xludf.DUMMYFUNCTION("QUERY('Volunteer Survey'!F271)"),"Variant Analyst/Scientist - Academic")</f>
        <v>Variant Analyst/Scientist - Academic</v>
      </c>
      <c r="O264" s="48" t="str">
        <f>IFERROR(__xludf.DUMMYFUNCTION("QUERY('Volunteer Survey'!H271)"),"Comprehensive")</f>
        <v>Comprehensive</v>
      </c>
      <c r="P264" s="55" t="str">
        <f>IFERROR(__xludf.DUMMYFUNCTION("QUERY('Volunteer Survey'!I271)"),"Variant Pathogenicity")</f>
        <v>Variant Pathogenicity</v>
      </c>
      <c r="Q264" s="60" t="str">
        <f>IFERROR(__xludf.DUMMYFUNCTION("QUERY('Volunteer Survey'!J271)"),"Dosage Sensitivity")</f>
        <v>Dosage Sensitivity</v>
      </c>
      <c r="R264" s="55" t="str">
        <f>IFERROR(__xludf.DUMMYFUNCTION("QUERY('Volunteer Survey'!K271)"),"Clinical Actionability")</f>
        <v>Clinical Actionability</v>
      </c>
      <c r="S264" s="55" t="str">
        <f>IFERROR(__xludf.DUMMYFUNCTION("QUERY('Volunteer Survey'!L271)"),"Gene-Disease Validity")</f>
        <v>Gene-Disease Validity</v>
      </c>
      <c r="T264" s="55" t="str">
        <f>IFERROR(__xludf.DUMMYFUNCTION("QUERY('Volunteer Survey'!M271)"),"Somatic Cancer")</f>
        <v>Somatic Cancer</v>
      </c>
      <c r="U264" s="64" t="str">
        <f>IFERROR(__xludf.DUMMYFUNCTION("QUERY('Volunteer Survey'!N271)"),"Yes. I am currently working as a bioinformatician using WES data to perform the diagnosis and filtering of genetic variants in patients with Primary Immudeficiency Disorders")</f>
        <v>Yes. I am currently working as a bioinformatician using WES data to perform the diagnosis and filtering of genetic variants in patients with Primary Immudeficiency Disorders</v>
      </c>
      <c r="V264" s="55" t="str">
        <f>IFERROR(__xludf.DUMMYFUNCTION("QUERY('Volunteer Survey'!O271)"),"Yes")</f>
        <v>Yes</v>
      </c>
      <c r="W264" s="66" t="str">
        <f>IFERROR(__xludf.DUMMYFUNCTION("QUERY('Volunteer Survey'!P271)"),"Yes. RASopathy, Cardiomyopathy, Congenital Myopathies (newly forming), Mitochondrial diseases, Dosage-Recurrent Regions")</f>
        <v>Yes. RASopathy, Cardiomyopathy, Congenital Myopathies (newly forming), Mitochondrial diseases, Dosage-Recurrent Regions</v>
      </c>
      <c r="X264" s="64" t="str">
        <f>IFERROR(__xludf.DUMMYFUNCTION("QUERY('Volunteer Survey'!R271)"),"Yes- I am willing to volunteer with any available ClinGen group")</f>
        <v>Yes- I am willing to volunteer with any available ClinGen group</v>
      </c>
      <c r="Y264" s="53"/>
      <c r="Z264" s="55"/>
      <c r="AA264" s="55"/>
      <c r="AB264" s="55"/>
      <c r="AC264" s="55"/>
      <c r="AD264" s="55"/>
      <c r="AE264" s="55"/>
      <c r="AF264" s="55"/>
      <c r="AG264" s="55"/>
      <c r="AH264" s="55"/>
      <c r="AI264" s="55"/>
      <c r="AJ264" s="55"/>
      <c r="AK264" s="55"/>
      <c r="AL264" s="55"/>
      <c r="AM264" s="55"/>
      <c r="AN264" s="55"/>
      <c r="AO264" s="55"/>
    </row>
    <row r="265">
      <c r="A265" s="50">
        <f>IFERROR(__xludf.DUMMYFUNCTION("QUERY('Volunteer Survey'!A272)"),43692.75764353009)</f>
        <v>43692.75764</v>
      </c>
      <c r="B265" s="48" t="s">
        <v>108</v>
      </c>
      <c r="C265" s="79">
        <v>43819.0</v>
      </c>
      <c r="D265" s="55"/>
      <c r="E265" s="55"/>
      <c r="F265" s="48" t="s">
        <v>130</v>
      </c>
      <c r="G265" s="48" t="s">
        <v>122</v>
      </c>
      <c r="H265" s="53"/>
      <c r="I265" s="51" t="s">
        <v>139</v>
      </c>
      <c r="J265" s="55"/>
      <c r="K265" s="55"/>
      <c r="L265" s="55" t="str">
        <f>IFERROR(__xludf.DUMMYFUNCTION("QUERY('Volunteer Survey'!B272)"),"Krista Bluske")</f>
        <v>Krista Bluske</v>
      </c>
      <c r="M265" s="55" t="str">
        <f>IFERROR(__xludf.DUMMYFUNCTION("QUERY('Volunteer Survey'!E272)"),"kbluske@illumina.com")</f>
        <v>kbluske@illumina.com</v>
      </c>
      <c r="N265" s="55" t="str">
        <f>IFERROR(__xludf.DUMMYFUNCTION("QUERY('Volunteer Survey'!F272)"),"Variant Analyst/Scientist - Industry")</f>
        <v>Variant Analyst/Scientist - Industry</v>
      </c>
      <c r="O265" s="48" t="str">
        <f>IFERROR(__xludf.DUMMYFUNCTION("QUERY('Volunteer Survey'!H272)"),"Comprehensive")</f>
        <v>Comprehensive</v>
      </c>
      <c r="P265" s="55" t="str">
        <f>IFERROR(__xludf.DUMMYFUNCTION("QUERY('Volunteer Survey'!I272)"),"Gene-Disease Validity")</f>
        <v>Gene-Disease Validity</v>
      </c>
      <c r="Q265" s="60" t="str">
        <f>IFERROR(__xludf.DUMMYFUNCTION("QUERY('Volunteer Survey'!J272)"),"")</f>
        <v/>
      </c>
      <c r="R265" s="55" t="str">
        <f>IFERROR(__xludf.DUMMYFUNCTION("QUERY('Volunteer Survey'!K272)"),"")</f>
        <v/>
      </c>
      <c r="S265" s="55" t="str">
        <f>IFERROR(__xludf.DUMMYFUNCTION("QUERY('Volunteer Survey'!L272)"),"")</f>
        <v/>
      </c>
      <c r="T265" s="55" t="str">
        <f>IFERROR(__xludf.DUMMYFUNCTION("QUERY('Volunteer Survey'!M272)"),"")</f>
        <v/>
      </c>
      <c r="U265" s="64" t="str">
        <f>IFERROR(__xludf.DUMMYFUNCTION("QUERY('Volunteer Survey'!N272)"),"Yes, our group at Illumina is already contributing RUGD gene curations to ClinGen and we are active collaborators. I am trained in the ClinGen gene curation protocol. ")</f>
        <v>Yes, our group at Illumina is already contributing RUGD gene curations to ClinGen and we are active collaborators. I am trained in the ClinGen gene curation protocol. </v>
      </c>
      <c r="V265" s="55" t="str">
        <f>IFERROR(__xludf.DUMMYFUNCTION("QUERY('Volunteer Survey'!O272)"),"Possibly")</f>
        <v>Possibly</v>
      </c>
      <c r="W265" s="66" t="str">
        <f>IFERROR(__xludf.DUMMYFUNCTION("QUERY('Volunteer Survey'!P272)"),"Mitochondrial Diseases expert panel (already participating), the soon-to-be-formed RUGD expert panel")</f>
        <v>Mitochondrial Diseases expert panel (already participating), the soon-to-be-formed RUGD expert panel</v>
      </c>
      <c r="X265" s="64" t="str">
        <f>IFERROR(__xludf.DUMMYFUNCTION("QUERY('Volunteer Survey'!R272)"),"No - I am only interested in the group(s) I previously indicated")</f>
        <v>No - I am only interested in the group(s) I previously indicated</v>
      </c>
      <c r="Y265" s="53"/>
      <c r="Z265" s="55"/>
      <c r="AA265" s="55"/>
      <c r="AB265" s="55"/>
      <c r="AC265" s="55"/>
      <c r="AD265" s="55"/>
      <c r="AE265" s="55"/>
      <c r="AF265" s="55"/>
      <c r="AG265" s="55"/>
      <c r="AH265" s="55"/>
      <c r="AI265" s="55"/>
      <c r="AJ265" s="55"/>
      <c r="AK265" s="55"/>
      <c r="AL265" s="55"/>
      <c r="AM265" s="55"/>
      <c r="AN265" s="55"/>
      <c r="AO265" s="55"/>
    </row>
    <row r="266">
      <c r="A266" s="50">
        <f>IFERROR(__xludf.DUMMYFUNCTION("QUERY('Volunteer Survey'!A273)"),43692.80813991898)</f>
        <v>43692.80814</v>
      </c>
      <c r="B266" s="48" t="s">
        <v>108</v>
      </c>
      <c r="C266" s="79">
        <v>43819.0</v>
      </c>
      <c r="D266" s="55"/>
      <c r="E266" s="55"/>
      <c r="F266" s="48" t="s">
        <v>130</v>
      </c>
      <c r="G266" s="48" t="s">
        <v>251</v>
      </c>
      <c r="H266" s="53"/>
      <c r="I266" s="51" t="s">
        <v>139</v>
      </c>
      <c r="J266" s="55"/>
      <c r="K266" s="55"/>
      <c r="L266" s="55" t="str">
        <f>IFERROR(__xludf.DUMMYFUNCTION("QUERY('Volunteer Survey'!B273)"),"Raman Bansal")</f>
        <v>Raman Bansal</v>
      </c>
      <c r="M266" s="55" t="str">
        <f>IFERROR(__xludf.DUMMYFUNCTION("QUERY('Volunteer Survey'!E273)"),"rbansal.osu@gmail.com")</f>
        <v>rbansal.osu@gmail.com</v>
      </c>
      <c r="N266" s="55" t="str">
        <f>IFERROR(__xludf.DUMMYFUNCTION("QUERY('Volunteer Survey'!F273)"),"Scientific Researcher")</f>
        <v>Scientific Researcher</v>
      </c>
      <c r="O266" s="48" t="str">
        <f>IFERROR(__xludf.DUMMYFUNCTION("QUERY('Volunteer Survey'!H273)"),"Comprehensive")</f>
        <v>Comprehensive</v>
      </c>
      <c r="P266" s="55" t="str">
        <f>IFERROR(__xludf.DUMMYFUNCTION("QUERY('Volunteer Survey'!I273)"),"Variant Pathogenicity")</f>
        <v>Variant Pathogenicity</v>
      </c>
      <c r="Q266" s="60" t="str">
        <f>IFERROR(__xludf.DUMMYFUNCTION("QUERY('Volunteer Survey'!J273)"),"Dosage Sensitivity")</f>
        <v>Dosage Sensitivity</v>
      </c>
      <c r="R266" s="55" t="str">
        <f>IFERROR(__xludf.DUMMYFUNCTION("QUERY('Volunteer Survey'!K273)"),"Gene-Disease Validity")</f>
        <v>Gene-Disease Validity</v>
      </c>
      <c r="S266" s="55" t="str">
        <f>IFERROR(__xludf.DUMMYFUNCTION("QUERY('Volunteer Survey'!L273)"),"Clinical Actionability")</f>
        <v>Clinical Actionability</v>
      </c>
      <c r="T266" s="55" t="str">
        <f>IFERROR(__xludf.DUMMYFUNCTION("QUERY('Volunteer Survey'!M273)"),"Somatic Cancer")</f>
        <v>Somatic Cancer</v>
      </c>
      <c r="U266" s="64" t="str">
        <f>IFERROR(__xludf.DUMMYFUNCTION("QUERY('Volunteer Survey'!N273)"),"")</f>
        <v/>
      </c>
      <c r="V266" s="55" t="str">
        <f>IFERROR(__xludf.DUMMYFUNCTION("QUERY('Volunteer Survey'!O273)"),"Yes")</f>
        <v>Yes</v>
      </c>
      <c r="W266" s="66" t="str">
        <f>IFERROR(__xludf.DUMMYFUNCTION("QUERY('Volunteer Survey'!P273)"),"")</f>
        <v/>
      </c>
      <c r="X266" s="64" t="str">
        <f>IFERROR(__xludf.DUMMYFUNCTION("QUERY('Volunteer Survey'!R273)"),"Yes- I am willing to volunteer with any available ClinGen group")</f>
        <v>Yes- I am willing to volunteer with any available ClinGen group</v>
      </c>
      <c r="Y266" s="53"/>
      <c r="Z266" s="55"/>
      <c r="AA266" s="55"/>
      <c r="AB266" s="55"/>
      <c r="AC266" s="55"/>
      <c r="AD266" s="55"/>
      <c r="AE266" s="55"/>
      <c r="AF266" s="55"/>
      <c r="AG266" s="55"/>
      <c r="AH266" s="55"/>
      <c r="AI266" s="55"/>
      <c r="AJ266" s="55"/>
      <c r="AK266" s="55"/>
      <c r="AL266" s="55"/>
      <c r="AM266" s="55"/>
      <c r="AN266" s="55"/>
      <c r="AO266" s="55"/>
    </row>
    <row r="267">
      <c r="A267" s="50">
        <f>IFERROR(__xludf.DUMMYFUNCTION("QUERY('Volunteer Survey'!A275)"),43693.34301476852)</f>
        <v>43693.34301</v>
      </c>
      <c r="B267" s="48" t="s">
        <v>160</v>
      </c>
      <c r="C267" s="79">
        <v>43705.0</v>
      </c>
      <c r="D267" s="56">
        <v>43719.0</v>
      </c>
      <c r="E267" s="48" t="s">
        <v>117</v>
      </c>
      <c r="F267" s="48" t="s">
        <v>130</v>
      </c>
      <c r="G267" s="48" t="s">
        <v>136</v>
      </c>
      <c r="H267" s="51" t="s">
        <v>321</v>
      </c>
      <c r="I267" s="51" t="s">
        <v>139</v>
      </c>
      <c r="J267" s="55"/>
      <c r="K267" s="55"/>
      <c r="L267" s="55" t="str">
        <f>IFERROR(__xludf.DUMMYFUNCTION("QUERY('Volunteer Survey'!B275)"),"FENGLI ZHANG")</f>
        <v>FENGLI ZHANG</v>
      </c>
      <c r="M267" s="55" t="str">
        <f>IFERROR(__xludf.DUMMYFUNCTION("QUERY('Volunteer Survey'!E275)"),"fengli.zhang@slh.wisc.edu")</f>
        <v>fengli.zhang@slh.wisc.edu</v>
      </c>
      <c r="N267" s="55" t="str">
        <f>IFERROR(__xludf.DUMMYFUNCTION("QUERY('Volunteer Survey'!F275)"),"Clinical laboratory geneticist")</f>
        <v>Clinical laboratory geneticist</v>
      </c>
      <c r="O267" s="48" t="str">
        <f>IFERROR(__xludf.DUMMYFUNCTION("QUERY('Volunteer Survey'!H275)"),"Comprehensive")</f>
        <v>Comprehensive</v>
      </c>
      <c r="P267" s="55" t="str">
        <f>IFERROR(__xludf.DUMMYFUNCTION("QUERY('Volunteer Survey'!I275)"),"Somatic Cancer")</f>
        <v>Somatic Cancer</v>
      </c>
      <c r="Q267" s="60" t="str">
        <f>IFERROR(__xludf.DUMMYFUNCTION("QUERY('Volunteer Survey'!J275)"),"Variant Pathogenicity")</f>
        <v>Variant Pathogenicity</v>
      </c>
      <c r="R267" s="55" t="str">
        <f>IFERROR(__xludf.DUMMYFUNCTION("QUERY('Volunteer Survey'!K275)"),"Gene-Disease Validity")</f>
        <v>Gene-Disease Validity</v>
      </c>
      <c r="S267" s="55" t="str">
        <f>IFERROR(__xludf.DUMMYFUNCTION("QUERY('Volunteer Survey'!L275)"),"Dosage Sensitivity")</f>
        <v>Dosage Sensitivity</v>
      </c>
      <c r="T267" s="55" t="str">
        <f>IFERROR(__xludf.DUMMYFUNCTION("QUERY('Volunteer Survey'!M275)"),"Clinical Actionability")</f>
        <v>Clinical Actionability</v>
      </c>
      <c r="U267" s="64" t="str">
        <f>IFERROR(__xludf.DUMMYFUNCTION("QUERY('Volunteer Survey'!N275)"),"No")</f>
        <v>No</v>
      </c>
      <c r="V267" s="55" t="str">
        <f>IFERROR(__xludf.DUMMYFUNCTION("QUERY('Volunteer Survey'!O275)"),"Possibly")</f>
        <v>Possibly</v>
      </c>
      <c r="W267" s="66" t="str">
        <f>IFERROR(__xludf.DUMMYFUNCTION("QUERY('Volunteer Survey'!P275)"),"Cancer")</f>
        <v>Cancer</v>
      </c>
      <c r="X267" s="64" t="str">
        <f>IFERROR(__xludf.DUMMYFUNCTION("QUERY('Volunteer Survey'!R275)"),"Yes- I am willing to volunteer with any available ClinGen group")</f>
        <v>Yes- I am willing to volunteer with any available ClinGen group</v>
      </c>
      <c r="Y267" s="53"/>
      <c r="Z267" s="55"/>
      <c r="AA267" s="55"/>
      <c r="AB267" s="55"/>
      <c r="AC267" s="55"/>
      <c r="AD267" s="55"/>
      <c r="AE267" s="55"/>
      <c r="AF267" s="55"/>
      <c r="AG267" s="55"/>
      <c r="AH267" s="55"/>
      <c r="AI267" s="55"/>
      <c r="AJ267" s="55"/>
      <c r="AK267" s="55"/>
      <c r="AL267" s="55"/>
      <c r="AM267" s="55"/>
      <c r="AN267" s="55"/>
      <c r="AO267" s="55"/>
    </row>
    <row r="268">
      <c r="A268" s="50">
        <f>IFERROR(__xludf.DUMMYFUNCTION("QUERY('Volunteer Survey'!A276)"),43693.391088738426)</f>
        <v>43693.39109</v>
      </c>
      <c r="B268" s="48" t="s">
        <v>108</v>
      </c>
      <c r="C268" s="79">
        <v>43819.0</v>
      </c>
      <c r="D268" s="55"/>
      <c r="E268" s="55"/>
      <c r="F268" s="48" t="s">
        <v>130</v>
      </c>
      <c r="G268" s="48" t="s">
        <v>122</v>
      </c>
      <c r="H268" s="53"/>
      <c r="I268" s="51" t="s">
        <v>139</v>
      </c>
      <c r="J268" s="55"/>
      <c r="K268" s="55"/>
      <c r="L268" s="55" t="str">
        <f>IFERROR(__xludf.DUMMYFUNCTION("QUERY('Volunteer Survey'!B276)"),"Amanda Clause")</f>
        <v>Amanda Clause</v>
      </c>
      <c r="M268" s="55" t="str">
        <f>IFERROR(__xludf.DUMMYFUNCTION("QUERY('Volunteer Survey'!E276)"),"aclause@illumina.com")</f>
        <v>aclause@illumina.com</v>
      </c>
      <c r="N268" s="55" t="str">
        <f>IFERROR(__xludf.DUMMYFUNCTION("QUERY('Volunteer Survey'!F276)"),"Variant Analyst/Scientist - Industry")</f>
        <v>Variant Analyst/Scientist - Industry</v>
      </c>
      <c r="O268" s="48" t="str">
        <f>IFERROR(__xludf.DUMMYFUNCTION("QUERY('Volunteer Survey'!H276)"),"Comprehensive")</f>
        <v>Comprehensive</v>
      </c>
      <c r="P268" s="55" t="str">
        <f>IFERROR(__xludf.DUMMYFUNCTION("QUERY('Volunteer Survey'!I276)"),"Gene-Disease Validity")</f>
        <v>Gene-Disease Validity</v>
      </c>
      <c r="Q268" s="60" t="str">
        <f>IFERROR(__xludf.DUMMYFUNCTION("QUERY('Volunteer Survey'!J276)"),"")</f>
        <v/>
      </c>
      <c r="R268" s="55" t="str">
        <f>IFERROR(__xludf.DUMMYFUNCTION("QUERY('Volunteer Survey'!K276)"),"")</f>
        <v/>
      </c>
      <c r="S268" s="55" t="str">
        <f>IFERROR(__xludf.DUMMYFUNCTION("QUERY('Volunteer Survey'!L276)"),"")</f>
        <v/>
      </c>
      <c r="T268" s="55" t="str">
        <f>IFERROR(__xludf.DUMMYFUNCTION("QUERY('Volunteer Survey'!M276)"),"")</f>
        <v/>
      </c>
      <c r="U268" s="64" t="str">
        <f>IFERROR(__xludf.DUMMYFUNCTION("QUERY('Volunteer Survey'!N276)"),"Yes; currently curate variants and GDAs for a clinical whole genome sequencing test")</f>
        <v>Yes; currently curate variants and GDAs for a clinical whole genome sequencing test</v>
      </c>
      <c r="V268" s="55" t="str">
        <f>IFERROR(__xludf.DUMMYFUNCTION("QUERY('Volunteer Survey'!O276)"),"No")</f>
        <v>No</v>
      </c>
      <c r="W268" s="66" t="str">
        <f>IFERROR(__xludf.DUMMYFUNCTION("QUERY('Volunteer Survey'!P276)"),"mitochondrial diseases, rare disease")</f>
        <v>mitochondrial diseases, rare disease</v>
      </c>
      <c r="X268" s="64" t="str">
        <f>IFERROR(__xludf.DUMMYFUNCTION("QUERY('Volunteer Survey'!R276)"),"Maybe -- please contact me with other options, and I will decide based on what is available")</f>
        <v>Maybe -- please contact me with other options, and I will decide based on what is available</v>
      </c>
      <c r="Y268" s="53"/>
      <c r="Z268" s="55"/>
      <c r="AA268" s="55"/>
      <c r="AB268" s="55"/>
      <c r="AC268" s="55"/>
      <c r="AD268" s="55"/>
      <c r="AE268" s="55"/>
      <c r="AF268" s="55"/>
      <c r="AG268" s="55"/>
      <c r="AH268" s="55"/>
      <c r="AI268" s="55"/>
      <c r="AJ268" s="55"/>
      <c r="AK268" s="55"/>
      <c r="AL268" s="55"/>
      <c r="AM268" s="55"/>
      <c r="AN268" s="55"/>
      <c r="AO268" s="55"/>
    </row>
    <row r="269" ht="18.0" customHeight="1">
      <c r="A269" s="50">
        <f>IFERROR(__xludf.DUMMYFUNCTION("QUERY('Volunteer Survey'!A277)"),43693.457710972216)</f>
        <v>43693.45771</v>
      </c>
      <c r="B269" s="48" t="s">
        <v>108</v>
      </c>
      <c r="C269" s="79">
        <v>43819.0</v>
      </c>
      <c r="D269" s="55"/>
      <c r="E269" s="55"/>
      <c r="F269" s="48" t="s">
        <v>130</v>
      </c>
      <c r="G269" s="48" t="s">
        <v>251</v>
      </c>
      <c r="H269" s="53"/>
      <c r="I269" s="51" t="s">
        <v>139</v>
      </c>
      <c r="J269" s="55"/>
      <c r="K269" s="55"/>
      <c r="L269" s="55" t="str">
        <f>IFERROR(__xludf.DUMMYFUNCTION("QUERY('Volunteer Survey'!B277)"),"Sara Spencer")</f>
        <v>Sara Spencer</v>
      </c>
      <c r="M269" s="55" t="str">
        <f>IFERROR(__xludf.DUMMYFUNCTION("QUERY('Volunteer Survey'!E277)"),"saspence@nm.org")</f>
        <v>saspence@nm.org</v>
      </c>
      <c r="N269" s="55" t="str">
        <f>IFERROR(__xludf.DUMMYFUNCTION("QUERY('Volunteer Survey'!F277)"),"Genetic counselor")</f>
        <v>Genetic counselor</v>
      </c>
      <c r="O269" s="48" t="str">
        <f>IFERROR(__xludf.DUMMYFUNCTION("QUERY('Volunteer Survey'!H277)"),"Comprehensive")</f>
        <v>Comprehensive</v>
      </c>
      <c r="P269" s="55" t="str">
        <f>IFERROR(__xludf.DUMMYFUNCTION("QUERY('Volunteer Survey'!I277)"),"Variant Pathogenicity")</f>
        <v>Variant Pathogenicity</v>
      </c>
      <c r="Q269" s="60" t="str">
        <f>IFERROR(__xludf.DUMMYFUNCTION("QUERY('Volunteer Survey'!J277)"),"Gene-Disease Validity")</f>
        <v>Gene-Disease Validity</v>
      </c>
      <c r="R269" s="55" t="str">
        <f>IFERROR(__xludf.DUMMYFUNCTION("QUERY('Volunteer Survey'!K277)"),"Dosage Sensitivity")</f>
        <v>Dosage Sensitivity</v>
      </c>
      <c r="S269" s="55" t="str">
        <f>IFERROR(__xludf.DUMMYFUNCTION("QUERY('Volunteer Survey'!L277)"),"")</f>
        <v/>
      </c>
      <c r="T269" s="55" t="str">
        <f>IFERROR(__xludf.DUMMYFUNCTION("QUERY('Volunteer Survey'!M277)"),"")</f>
        <v/>
      </c>
      <c r="U269" s="164" t="str">
        <f>IFERROR(__xludf.DUMMYFUNCTION("QUERY('Volunteer Survey'!N277)"),"As a clinician, I have been reviewing variant classifications provided by labs for 13 years. In addition, I have personal experience receiving a VOUS. This result motivated me to learn more about the variant classification process through shadowing my col"&amp;"leagues in the lab as well as taking the NSGC Variant Interpretation in the Era of WES/WGS Online Course. I am also currently watching the 2019 BROAD Institute - Interpreting Genomes for Rare Disease: Variant and Gene Interpretation lectures.
")</f>
        <v>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v>
      </c>
      <c r="V269" s="55" t="str">
        <f>IFERROR(__xludf.DUMMYFUNCTION("QUERY('Volunteer Survey'!O277)"),"Possibly")</f>
        <v>Possibly</v>
      </c>
      <c r="W269" s="66" t="str">
        <f>IFERROR(__xludf.DUMMYFUNCTION("QUERY('Volunteer Survey'!P277)"),"Gene Curation Expert Panels - Epilepsy 
Variant Curation Expert Panels - Brain Malformations")</f>
        <v>Gene Curation Expert Panels - Epilepsy 
Variant Curation Expert Panels - Brain Malformations</v>
      </c>
      <c r="X269" s="64" t="str">
        <f>IFERROR(__xludf.DUMMYFUNCTION("QUERY('Volunteer Survey'!R277)"),"Yes- I am willing to volunteer with any available ClinGen group")</f>
        <v>Yes- I am willing to volunteer with any available ClinGen group</v>
      </c>
      <c r="Y269" s="53"/>
      <c r="Z269" s="55"/>
      <c r="AA269" s="55"/>
      <c r="AB269" s="55"/>
      <c r="AC269" s="55"/>
      <c r="AD269" s="55"/>
      <c r="AE269" s="55"/>
      <c r="AF269" s="55"/>
      <c r="AG269" s="55"/>
      <c r="AH269" s="55"/>
      <c r="AI269" s="55"/>
      <c r="AJ269" s="55"/>
      <c r="AK269" s="55"/>
      <c r="AL269" s="55"/>
      <c r="AM269" s="55"/>
      <c r="AN269" s="55"/>
      <c r="AO269" s="55"/>
    </row>
    <row r="270">
      <c r="A270" s="50">
        <f>IFERROR(__xludf.DUMMYFUNCTION("QUERY('Volunteer Survey'!A278)"),43693.47499200231)</f>
        <v>43693.47499</v>
      </c>
      <c r="B270" s="48" t="s">
        <v>322</v>
      </c>
      <c r="C270" s="53"/>
      <c r="D270" s="55"/>
      <c r="E270" s="55"/>
      <c r="F270" s="48" t="s">
        <v>130</v>
      </c>
      <c r="G270" s="48" t="s">
        <v>163</v>
      </c>
      <c r="H270" s="53"/>
      <c r="I270" s="51" t="s">
        <v>139</v>
      </c>
      <c r="J270" s="55"/>
      <c r="K270" s="55"/>
      <c r="L270" s="55" t="str">
        <f>IFERROR(__xludf.DUMMYFUNCTION("QUERY('Volunteer Survey'!B278)"),"Niroshi Senaratne")</f>
        <v>Niroshi Senaratne</v>
      </c>
      <c r="M270" s="55" t="str">
        <f>IFERROR(__xludf.DUMMYFUNCTION("QUERY('Volunteer Survey'!E278)"),"niroshi.senaratne@gmail.com")</f>
        <v>niroshi.senaratne@gmail.com</v>
      </c>
      <c r="N270" s="55" t="str">
        <f>IFERROR(__xludf.DUMMYFUNCTION("QUERY('Volunteer Survey'!F278)"),"Clinical laboratory geneticist")</f>
        <v>Clinical laboratory geneticist</v>
      </c>
      <c r="O270" s="48" t="str">
        <f>IFERROR(__xludf.DUMMYFUNCTION("QUERY('Volunteer Survey'!H278)"),"Comprehensive")</f>
        <v>Comprehensive</v>
      </c>
      <c r="P270" s="55" t="str">
        <f>IFERROR(__xludf.DUMMYFUNCTION("QUERY('Volunteer Survey'!I278)"),"Dosage Sensitivity")</f>
        <v>Dosage Sensitivity</v>
      </c>
      <c r="Q270" s="60" t="str">
        <f>IFERROR(__xludf.DUMMYFUNCTION("QUERY('Volunteer Survey'!J278)"),"")</f>
        <v/>
      </c>
      <c r="R270" s="55" t="str">
        <f>IFERROR(__xludf.DUMMYFUNCTION("QUERY('Volunteer Survey'!K278)"),"")</f>
        <v/>
      </c>
      <c r="S270" s="55" t="str">
        <f>IFERROR(__xludf.DUMMYFUNCTION("QUERY('Volunteer Survey'!L278)"),"")</f>
        <v/>
      </c>
      <c r="T270" s="55" t="str">
        <f>IFERROR(__xludf.DUMMYFUNCTION("QUERY('Volunteer Survey'!M278)"),"")</f>
        <v/>
      </c>
      <c r="U270" s="64" t="str">
        <f>IFERROR(__xludf.DUMMYFUNCTION("QUERY('Volunteer Survey'!N278)"),"Yes, having worked on constitutional chromosomal microarrays during my fellowship (referred for a variety of indications including autism and other neurodevelopmental disorders) I have often had to research novel CNVs for evidence of dosage pathogenicity.")</f>
        <v>Yes, having worked on constitutional chromosomal microarrays during my fellowship (referred for a variety of indications including autism and other neurodevelopmental disorders) I have often had to research novel CNVs for evidence of dosage pathogenicity.</v>
      </c>
      <c r="V270" s="55" t="str">
        <f>IFERROR(__xludf.DUMMYFUNCTION("QUERY('Volunteer Survey'!O278)"),"Possibly")</f>
        <v>Possibly</v>
      </c>
      <c r="W270" s="66" t="str">
        <f>IFERROR(__xludf.DUMMYFUNCTION("QUERY('Volunteer Survey'!P278)"),"Dosage sensitivity (neurodevelopmental genes subgroup)")</f>
        <v>Dosage sensitivity (neurodevelopmental genes subgroup)</v>
      </c>
      <c r="X270" s="64" t="str">
        <f>IFERROR(__xludf.DUMMYFUNCTION("QUERY('Volunteer Survey'!R278)"),"Yes- I am willing to volunteer with any available ClinGen group")</f>
        <v>Yes- I am willing to volunteer with any available ClinGen group</v>
      </c>
      <c r="Y270" s="53"/>
      <c r="Z270" s="55"/>
      <c r="AA270" s="55"/>
      <c r="AB270" s="55"/>
      <c r="AC270" s="55"/>
      <c r="AD270" s="55"/>
      <c r="AE270" s="55"/>
      <c r="AF270" s="55"/>
      <c r="AG270" s="55"/>
      <c r="AH270" s="55"/>
      <c r="AI270" s="55"/>
      <c r="AJ270" s="55"/>
      <c r="AK270" s="55"/>
      <c r="AL270" s="55"/>
      <c r="AM270" s="55"/>
      <c r="AN270" s="55"/>
      <c r="AO270" s="55"/>
    </row>
    <row r="271">
      <c r="A271" s="50">
        <f>IFERROR(__xludf.DUMMYFUNCTION("QUERY('Volunteer Survey'!A280)"),43693.871890752314)</f>
        <v>43693.87189</v>
      </c>
      <c r="B271" s="48" t="s">
        <v>108</v>
      </c>
      <c r="C271" s="79">
        <v>43819.0</v>
      </c>
      <c r="D271" s="55"/>
      <c r="E271" s="55"/>
      <c r="F271" s="48" t="s">
        <v>130</v>
      </c>
      <c r="G271" s="48" t="s">
        <v>251</v>
      </c>
      <c r="H271" s="53"/>
      <c r="I271" s="51" t="s">
        <v>139</v>
      </c>
      <c r="J271" s="55"/>
      <c r="K271" s="55"/>
      <c r="L271" s="55" t="str">
        <f>IFERROR(__xludf.DUMMYFUNCTION("QUERY('Volunteer Survey'!B280)"),"Madhu Ouseph")</f>
        <v>Madhu Ouseph</v>
      </c>
      <c r="M271" s="55" t="str">
        <f>IFERROR(__xludf.DUMMYFUNCTION("QUERY('Volunteer Survey'!E280)"),"mouseph@stanford.edu")</f>
        <v>mouseph@stanford.edu</v>
      </c>
      <c r="N271" s="55" t="str">
        <f>IFERROR(__xludf.DUMMYFUNCTION("QUERY('Volunteer Survey'!F280)"),"Post Doc/Resident/Fellow (MD and/or PhD)")</f>
        <v>Post Doc/Resident/Fellow (MD and/or PhD)</v>
      </c>
      <c r="O271" s="48" t="str">
        <f>IFERROR(__xludf.DUMMYFUNCTION("QUERY('Volunteer Survey'!H280)"),"Comprehensive")</f>
        <v>Comprehensive</v>
      </c>
      <c r="P271" s="55" t="str">
        <f>IFERROR(__xludf.DUMMYFUNCTION("QUERY('Volunteer Survey'!I280)"),"Variant Pathogenicity")</f>
        <v>Variant Pathogenicity</v>
      </c>
      <c r="Q271" s="60" t="str">
        <f>IFERROR(__xludf.DUMMYFUNCTION("QUERY('Volunteer Survey'!J280)"),"Somatic Cancer")</f>
        <v>Somatic Cancer</v>
      </c>
      <c r="R271" s="55" t="str">
        <f>IFERROR(__xludf.DUMMYFUNCTION("QUERY('Volunteer Survey'!K280)"),"Clinical Actionability")</f>
        <v>Clinical Actionability</v>
      </c>
      <c r="S271" s="55" t="str">
        <f>IFERROR(__xludf.DUMMYFUNCTION("QUERY('Volunteer Survey'!L280)"),"Dosage Sensitivity")</f>
        <v>Dosage Sensitivity</v>
      </c>
      <c r="T271" s="55" t="str">
        <f>IFERROR(__xludf.DUMMYFUNCTION("QUERY('Volunteer Survey'!M280)"),"Gene-Disease Validity")</f>
        <v>Gene-Disease Validity</v>
      </c>
      <c r="U271" s="64" t="str">
        <f>IFERROR(__xludf.DUMMYFUNCTION("QUERY('Volunteer Survey'!N280)"),"Currently involved in annotation of variants identified in NGS assays")</f>
        <v>Currently involved in annotation of variants identified in NGS assays</v>
      </c>
      <c r="V271" s="55" t="str">
        <f>IFERROR(__xludf.DUMMYFUNCTION("QUERY('Volunteer Survey'!O280)"),"Possibly")</f>
        <v>Possibly</v>
      </c>
      <c r="W271" s="66" t="str">
        <f>IFERROR(__xludf.DUMMYFUNCTION("QUERY('Volunteer Survey'!P280)"),"Myeloid Malignancy")</f>
        <v>Myeloid Malignancy</v>
      </c>
      <c r="X271" s="64" t="str">
        <f>IFERROR(__xludf.DUMMYFUNCTION("QUERY('Volunteer Survey'!R280)"),"Maybe -- please contact me with other options, and I will decide based on what is available")</f>
        <v>Maybe -- please contact me with other options, and I will decide based on what is available</v>
      </c>
      <c r="Y271" s="53"/>
      <c r="Z271" s="55"/>
      <c r="AA271" s="55"/>
      <c r="AB271" s="55"/>
      <c r="AC271" s="55"/>
      <c r="AD271" s="55"/>
      <c r="AE271" s="55"/>
      <c r="AF271" s="55"/>
      <c r="AG271" s="55"/>
      <c r="AH271" s="55"/>
      <c r="AI271" s="55"/>
      <c r="AJ271" s="55"/>
      <c r="AK271" s="55"/>
      <c r="AL271" s="55"/>
      <c r="AM271" s="55"/>
      <c r="AN271" s="55"/>
      <c r="AO271" s="55"/>
    </row>
    <row r="272">
      <c r="A272" s="50">
        <f>IFERROR(__xludf.DUMMYFUNCTION("QUERY('Volunteer Survey'!A281)"),43695.721074687506)</f>
        <v>43695.72107</v>
      </c>
      <c r="B272" s="48" t="s">
        <v>108</v>
      </c>
      <c r="C272" s="79">
        <v>43819.0</v>
      </c>
      <c r="D272" s="55"/>
      <c r="E272" s="55"/>
      <c r="F272" s="48" t="s">
        <v>130</v>
      </c>
      <c r="G272" s="48" t="s">
        <v>251</v>
      </c>
      <c r="H272" s="53"/>
      <c r="I272" s="51" t="s">
        <v>139</v>
      </c>
      <c r="J272" s="55"/>
      <c r="K272" s="55"/>
      <c r="L272" s="55" t="str">
        <f>IFERROR(__xludf.DUMMYFUNCTION("QUERY('Volunteer Survey'!B281)"),"Janey Youngblom")</f>
        <v>Janey Youngblom</v>
      </c>
      <c r="M272" s="55" t="str">
        <f>IFERROR(__xludf.DUMMYFUNCTION("QUERY('Volunteer Survey'!E281)"),"jyoungblom1@csustan.edu")</f>
        <v>jyoungblom1@csustan.edu</v>
      </c>
      <c r="N272" s="55" t="str">
        <f>IFERROR(__xludf.DUMMYFUNCTION("QUERY('Volunteer Survey'!F281)"),"Scientific Researcher")</f>
        <v>Scientific Researcher</v>
      </c>
      <c r="O272" s="48" t="str">
        <f>IFERROR(__xludf.DUMMYFUNCTION("QUERY('Volunteer Survey'!H281)"),"Comprehensive")</f>
        <v>Comprehensive</v>
      </c>
      <c r="P272" s="55" t="str">
        <f>IFERROR(__xludf.DUMMYFUNCTION("QUERY('Volunteer Survey'!I281)"),"Variant Pathogenicity")</f>
        <v>Variant Pathogenicity</v>
      </c>
      <c r="Q272" s="60" t="str">
        <f>IFERROR(__xludf.DUMMYFUNCTION("QUERY('Volunteer Survey'!J281)"),"Gene-Disease Validity")</f>
        <v>Gene-Disease Validity</v>
      </c>
      <c r="R272" s="55" t="str">
        <f>IFERROR(__xludf.DUMMYFUNCTION("QUERY('Volunteer Survey'!K281)"),"Clinical Actionability")</f>
        <v>Clinical Actionability</v>
      </c>
      <c r="S272" s="55" t="str">
        <f>IFERROR(__xludf.DUMMYFUNCTION("QUERY('Volunteer Survey'!L281)"),"Dosage Sensitivity")</f>
        <v>Dosage Sensitivity</v>
      </c>
      <c r="T272" s="55" t="str">
        <f>IFERROR(__xludf.DUMMYFUNCTION("QUERY('Volunteer Survey'!M281)"),"Somatic Cancer")</f>
        <v>Somatic Cancer</v>
      </c>
      <c r="U272" s="64" t="str">
        <f>IFERROR(__xludf.DUMMYFUNCTION("QUERY('Volunteer Survey'!N281)"),"As the Associate Director of a Genetic Counseling Program, I have helped organize and participate in Variant Curation Workshops for training genetic counselors in the variant curation process.  I have also organized a workshop for training university scie"&amp;"nce faculty in the variant curation process so they can start integrating this training module into their undergraduate coursework as a CURES (course-based undergraduate research experience) component. ")</f>
        <v>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v>
      </c>
      <c r="V272" s="55" t="str">
        <f>IFERROR(__xludf.DUMMYFUNCTION("QUERY('Volunteer Survey'!O281)"),"Possibly")</f>
        <v>Possibly</v>
      </c>
      <c r="W272" s="66" t="str">
        <f>IFERROR(__xludf.DUMMYFUNCTION("QUERY('Volunteer Survey'!P281)"),"Familial Hypercholesterolemia")</f>
        <v>Familial Hypercholesterolemia</v>
      </c>
      <c r="X272" s="64" t="str">
        <f>IFERROR(__xludf.DUMMYFUNCTION("QUERY('Volunteer Survey'!R281)"),"Yes- I am willing to volunteer with any available ClinGen group")</f>
        <v>Yes- I am willing to volunteer with any available ClinGen group</v>
      </c>
      <c r="Y272" s="53"/>
      <c r="Z272" s="55"/>
      <c r="AA272" s="55"/>
      <c r="AB272" s="55"/>
      <c r="AC272" s="55"/>
      <c r="AD272" s="55"/>
      <c r="AE272" s="55"/>
      <c r="AF272" s="55"/>
      <c r="AG272" s="55"/>
      <c r="AH272" s="55"/>
      <c r="AI272" s="55"/>
      <c r="AJ272" s="55"/>
      <c r="AK272" s="55"/>
      <c r="AL272" s="55"/>
      <c r="AM272" s="55"/>
      <c r="AN272" s="55"/>
      <c r="AO272" s="55"/>
    </row>
    <row r="273">
      <c r="A273" s="50">
        <f>IFERROR(__xludf.DUMMYFUNCTION("QUERY('Volunteer Survey'!A282)"),43696.33861744213)</f>
        <v>43696.33862</v>
      </c>
      <c r="B273" s="48" t="s">
        <v>160</v>
      </c>
      <c r="C273" s="79">
        <v>43717.0</v>
      </c>
      <c r="D273" s="65">
        <v>43678.0</v>
      </c>
      <c r="E273" s="48" t="s">
        <v>117</v>
      </c>
      <c r="F273" s="48" t="s">
        <v>117</v>
      </c>
      <c r="G273" s="48" t="s">
        <v>19</v>
      </c>
      <c r="H273" s="53"/>
      <c r="I273" s="51" t="s">
        <v>139</v>
      </c>
      <c r="J273" s="55"/>
      <c r="K273" s="55"/>
      <c r="L273" s="55" t="str">
        <f>IFERROR(__xludf.DUMMYFUNCTION("QUERY('Volunteer Survey'!B282)"),"Andrew Stergachis")</f>
        <v>Andrew Stergachis</v>
      </c>
      <c r="M273" s="55" t="str">
        <f>IFERROR(__xludf.DUMMYFUNCTION("QUERY('Volunteer Survey'!E282)"),"astergachis@bwh.harvard.edu")</f>
        <v>astergachis@bwh.harvard.edu</v>
      </c>
      <c r="N273" s="55" t="str">
        <f>IFERROR(__xludf.DUMMYFUNCTION("QUERY('Volunteer Survey'!F282)"),"Post Doc/Resident/Fellow (MD and/or PhD)")</f>
        <v>Post Doc/Resident/Fellow (MD and/or PhD)</v>
      </c>
      <c r="O273" s="48" t="str">
        <f>IFERROR(__xludf.DUMMYFUNCTION("QUERY('Volunteer Survey'!H282)"),"Comprehensive")</f>
        <v>Comprehensive</v>
      </c>
      <c r="P273" s="55" t="str">
        <f>IFERROR(__xludf.DUMMYFUNCTION("QUERY('Volunteer Survey'!I282)"),"Clinical Actionability")</f>
        <v>Clinical Actionability</v>
      </c>
      <c r="Q273" s="60" t="str">
        <f>IFERROR(__xludf.DUMMYFUNCTION("QUERY('Volunteer Survey'!J282)"),"")</f>
        <v/>
      </c>
      <c r="R273" s="55" t="str">
        <f>IFERROR(__xludf.DUMMYFUNCTION("QUERY('Volunteer Survey'!K282)"),"")</f>
        <v/>
      </c>
      <c r="S273" s="55" t="str">
        <f>IFERROR(__xludf.DUMMYFUNCTION("QUERY('Volunteer Survey'!L282)"),"")</f>
        <v/>
      </c>
      <c r="T273" s="55" t="str">
        <f>IFERROR(__xludf.DUMMYFUNCTION("QUERY('Volunteer Survey'!M282)"),"")</f>
        <v/>
      </c>
      <c r="U273" s="64" t="str">
        <f>IFERROR(__xludf.DUMMYFUNCTION("QUERY('Volunteer Survey'!N282)"),"Involved in the Partners BioBank return of results committee where we discuss the actionability of different genes.")</f>
        <v>Involved in the Partners BioBank return of results committee where we discuss the actionability of different genes.</v>
      </c>
      <c r="V273" s="55" t="str">
        <f>IFERROR(__xludf.DUMMYFUNCTION("QUERY('Volunteer Survey'!O282)"),"Possibly")</f>
        <v>Possibly</v>
      </c>
      <c r="W273" s="66" t="str">
        <f>IFERROR(__xludf.DUMMYFUNCTION("QUERY('Volunteer Survey'!P282)"),"Possibly ")</f>
        <v>Possibly </v>
      </c>
      <c r="X273" s="64" t="str">
        <f>IFERROR(__xludf.DUMMYFUNCTION("QUERY('Volunteer Survey'!R282)"),"Maybe -- please contact me with other options, and I will decide based on what is available")</f>
        <v>Maybe -- please contact me with other options, and I will decide based on what is available</v>
      </c>
      <c r="Y273" s="53"/>
      <c r="Z273" s="55"/>
      <c r="AA273" s="55"/>
      <c r="AB273" s="55"/>
      <c r="AC273" s="55"/>
      <c r="AD273" s="55"/>
      <c r="AE273" s="55"/>
      <c r="AF273" s="55"/>
      <c r="AG273" s="55"/>
      <c r="AH273" s="55"/>
      <c r="AI273" s="55"/>
      <c r="AJ273" s="55"/>
      <c r="AK273" s="55"/>
      <c r="AL273" s="55"/>
      <c r="AM273" s="55"/>
      <c r="AN273" s="55"/>
      <c r="AO273" s="55"/>
    </row>
    <row r="274">
      <c r="A274" s="50">
        <f>IFERROR(__xludf.DUMMYFUNCTION("QUERY('Volunteer Survey'!A283)"),43699.15815502315)</f>
        <v>43699.15816</v>
      </c>
      <c r="B274" s="48" t="s">
        <v>108</v>
      </c>
      <c r="C274" s="79">
        <v>43717.0</v>
      </c>
      <c r="D274" s="55"/>
      <c r="E274" s="55"/>
      <c r="F274" s="48" t="s">
        <v>130</v>
      </c>
      <c r="G274" s="48" t="s">
        <v>19</v>
      </c>
      <c r="H274" s="53"/>
      <c r="I274" s="51" t="s">
        <v>139</v>
      </c>
      <c r="J274" s="55"/>
      <c r="K274" s="55"/>
      <c r="L274" s="55" t="str">
        <f>IFERROR(__xludf.DUMMYFUNCTION("QUERY('Volunteer Survey'!B283)"),"Lalitha Venkateswaran")</f>
        <v>Lalitha Venkateswaran</v>
      </c>
      <c r="M274" s="55" t="str">
        <f>IFERROR(__xludf.DUMMYFUNCTION("QUERY('Volunteer Survey'!E283)"),"lalithapv19@gmail.com")</f>
        <v>lalithapv19@gmail.com</v>
      </c>
      <c r="N274" s="55" t="str">
        <f>IFERROR(__xludf.DUMMYFUNCTION("QUERY('Volunteer Survey'!F283)"),"Variant Analyst/Scientist - Industry")</f>
        <v>Variant Analyst/Scientist - Industry</v>
      </c>
      <c r="O274" s="48" t="str">
        <f>IFERROR(__xludf.DUMMYFUNCTION("QUERY('Volunteer Survey'!H283)"),"Comprehensive")</f>
        <v>Comprehensive</v>
      </c>
      <c r="P274" s="55" t="str">
        <f>IFERROR(__xludf.DUMMYFUNCTION("QUERY('Volunteer Survey'!I283)"),"Clinical Actionability")</f>
        <v>Clinical Actionability</v>
      </c>
      <c r="Q274" s="60" t="str">
        <f>IFERROR(__xludf.DUMMYFUNCTION("QUERY('Volunteer Survey'!J283)"),"Variant Pathogenicity")</f>
        <v>Variant Pathogenicity</v>
      </c>
      <c r="R274" s="55" t="str">
        <f>IFERROR(__xludf.DUMMYFUNCTION("QUERY('Volunteer Survey'!K283)"),"Gene-Disease Validity")</f>
        <v>Gene-Disease Validity</v>
      </c>
      <c r="S274" s="55" t="str">
        <f>IFERROR(__xludf.DUMMYFUNCTION("QUERY('Volunteer Survey'!L283)"),"Dosage Sensitivity")</f>
        <v>Dosage Sensitivity</v>
      </c>
      <c r="T274" s="55" t="str">
        <f>IFERROR(__xludf.DUMMYFUNCTION("QUERY('Volunteer Survey'!M283)"),"Somatic Cancer")</f>
        <v>Somatic Cancer</v>
      </c>
      <c r="U274" s="64" t="str">
        <f>IFERROR(__xludf.DUMMYFUNCTION("QUERY('Volunteer Survey'!N283)"),"Yes! I have led a team of curators in several Genomic projects. I have worked with Blueprint Genetics and Sema4. I have conducted training and workshops on the basics of curation and scientific writing.")</f>
        <v>Yes! I have led a team of curators in several Genomic projects. I have worked with Blueprint Genetics and Sema4. I have conducted training and workshops on the basics of curation and scientific writing.</v>
      </c>
      <c r="V274" s="55" t="str">
        <f>IFERROR(__xludf.DUMMYFUNCTION("QUERY('Volunteer Survey'!O283)"),"Yes")</f>
        <v>Yes</v>
      </c>
      <c r="W274" s="66" t="str">
        <f>IFERROR(__xludf.DUMMYFUNCTION("QUERY('Volunteer Survey'!P283)"),"")</f>
        <v/>
      </c>
      <c r="X274" s="64" t="str">
        <f>IFERROR(__xludf.DUMMYFUNCTION("QUERY('Volunteer Survey'!R283)"),"Yes- I am willing to volunteer with any available ClinGen group")</f>
        <v>Yes- I am willing to volunteer with any available ClinGen group</v>
      </c>
      <c r="Y274" s="53"/>
      <c r="Z274" s="55"/>
      <c r="AA274" s="55"/>
      <c r="AB274" s="55"/>
      <c r="AC274" s="55"/>
      <c r="AD274" s="55"/>
      <c r="AE274" s="55"/>
      <c r="AF274" s="55"/>
      <c r="AG274" s="55"/>
      <c r="AH274" s="55"/>
      <c r="AI274" s="55"/>
      <c r="AJ274" s="55"/>
      <c r="AK274" s="55"/>
      <c r="AL274" s="55"/>
      <c r="AM274" s="55"/>
      <c r="AN274" s="55"/>
      <c r="AO274" s="55"/>
    </row>
    <row r="275">
      <c r="A275" s="50">
        <f>IFERROR(__xludf.DUMMYFUNCTION("QUERY('Volunteer Survey'!A284)"),43699.4692784838)</f>
        <v>43699.46928</v>
      </c>
      <c r="B275" s="48" t="s">
        <v>108</v>
      </c>
      <c r="C275" s="79">
        <v>43819.0</v>
      </c>
      <c r="D275" s="55"/>
      <c r="E275" s="55"/>
      <c r="F275" s="48" t="s">
        <v>130</v>
      </c>
      <c r="G275" s="48" t="s">
        <v>251</v>
      </c>
      <c r="H275" s="53"/>
      <c r="I275" s="51" t="s">
        <v>139</v>
      </c>
      <c r="J275" s="55"/>
      <c r="K275" s="55"/>
      <c r="L275" s="55" t="str">
        <f>IFERROR(__xludf.DUMMYFUNCTION("QUERY('Volunteer Survey'!B284)"),"Caterina Clementi")</f>
        <v>Caterina Clementi</v>
      </c>
      <c r="M275" s="55" t="str">
        <f>IFERROR(__xludf.DUMMYFUNCTION("QUERY('Volunteer Survey'!E284)"),"caterina.clementi@gmail.com")</f>
        <v>caterina.clementi@gmail.com</v>
      </c>
      <c r="N275" s="55" t="str">
        <f>IFERROR(__xludf.DUMMYFUNCTION("QUERY('Volunteer Survey'!F284)"),"Variant Analyst/Scientist - Industry")</f>
        <v>Variant Analyst/Scientist - Industry</v>
      </c>
      <c r="O275" s="48" t="str">
        <f>IFERROR(__xludf.DUMMYFUNCTION("QUERY('Volunteer Survey'!H284)"),"Comprehensive")</f>
        <v>Comprehensive</v>
      </c>
      <c r="P275" s="55" t="str">
        <f>IFERROR(__xludf.DUMMYFUNCTION("QUERY('Volunteer Survey'!I284)"),"Variant Pathogenicity")</f>
        <v>Variant Pathogenicity</v>
      </c>
      <c r="Q275" s="60" t="str">
        <f>IFERROR(__xludf.DUMMYFUNCTION("QUERY('Volunteer Survey'!J284)"),"Gene-Disease Validity")</f>
        <v>Gene-Disease Validity</v>
      </c>
      <c r="R275" s="55" t="str">
        <f>IFERROR(__xludf.DUMMYFUNCTION("QUERY('Volunteer Survey'!K284)"),"Clinical Actionability")</f>
        <v>Clinical Actionability</v>
      </c>
      <c r="S275" s="55" t="str">
        <f>IFERROR(__xludf.DUMMYFUNCTION("QUERY('Volunteer Survey'!L284)"),"")</f>
        <v/>
      </c>
      <c r="T275" s="55" t="str">
        <f>IFERROR(__xludf.DUMMYFUNCTION("QUERY('Volunteer Survey'!M284)"),"")</f>
        <v/>
      </c>
      <c r="U275" s="64" t="str">
        <f>IFERROR(__xludf.DUMMYFUNCTION("QUERY('Volunteer Survey'!N284)"),"Yes, I applied the ClinGen framework to score the clinical validity of gene-condition associations in the context of reproductive conditions")</f>
        <v>Yes, I applied the ClinGen framework to score the clinical validity of gene-condition associations in the context of reproductive conditions</v>
      </c>
      <c r="V275" s="55" t="str">
        <f>IFERROR(__xludf.DUMMYFUNCTION("QUERY('Volunteer Survey'!O284)"),"Possibly")</f>
        <v>Possibly</v>
      </c>
      <c r="W275" s="66" t="str">
        <f>IFERROR(__xludf.DUMMYFUNCTION("QUERY('Volunteer Survey'!P284)"),"Metabolic conditions")</f>
        <v>Metabolic conditions</v>
      </c>
      <c r="X275" s="64" t="str">
        <f>IFERROR(__xludf.DUMMYFUNCTION("QUERY('Volunteer Survey'!R284)"),"Yes- I am willing to volunteer with any available ClinGen group")</f>
        <v>Yes- I am willing to volunteer with any available ClinGen group</v>
      </c>
      <c r="Y275" s="53"/>
      <c r="Z275" s="55"/>
      <c r="AA275" s="55"/>
      <c r="AB275" s="55"/>
      <c r="AC275" s="55"/>
      <c r="AD275" s="55"/>
      <c r="AE275" s="55"/>
      <c r="AF275" s="55"/>
      <c r="AG275" s="55"/>
      <c r="AH275" s="55"/>
      <c r="AI275" s="55"/>
      <c r="AJ275" s="55"/>
      <c r="AK275" s="55"/>
      <c r="AL275" s="55"/>
      <c r="AM275" s="55"/>
      <c r="AN275" s="55"/>
      <c r="AO275" s="55"/>
    </row>
    <row r="276">
      <c r="A276" s="50">
        <f>IFERROR(__xludf.DUMMYFUNCTION("QUERY('Volunteer Survey'!A285)"),43701.87979853009)</f>
        <v>43701.8798</v>
      </c>
      <c r="B276" s="48" t="s">
        <v>108</v>
      </c>
      <c r="C276" s="79">
        <v>43819.0</v>
      </c>
      <c r="D276" s="55"/>
      <c r="E276" s="55"/>
      <c r="F276" s="48" t="s">
        <v>130</v>
      </c>
      <c r="G276" s="48" t="s">
        <v>251</v>
      </c>
      <c r="H276" s="53"/>
      <c r="I276" s="51" t="s">
        <v>139</v>
      </c>
      <c r="J276" s="55"/>
      <c r="K276" s="55"/>
      <c r="L276" s="55" t="str">
        <f>IFERROR(__xludf.DUMMYFUNCTION("QUERY('Volunteer Survey'!B285)"),"Catherine Spellicy")</f>
        <v>Catherine Spellicy</v>
      </c>
      <c r="M276" s="55" t="str">
        <f>IFERROR(__xludf.DUMMYFUNCTION("QUERY('Volunteer Survey'!E285)"),"cspellic@counsyl.com")</f>
        <v>cspellic@counsyl.com</v>
      </c>
      <c r="N276" s="55" t="str">
        <f>IFERROR(__xludf.DUMMYFUNCTION("QUERY('Volunteer Survey'!F285)"),"Clinical laboratory geneticist")</f>
        <v>Clinical laboratory geneticist</v>
      </c>
      <c r="O276" s="48" t="str">
        <f>IFERROR(__xludf.DUMMYFUNCTION("QUERY('Volunteer Survey'!H285)"),"Comprehensive")</f>
        <v>Comprehensive</v>
      </c>
      <c r="P276" s="55" t="str">
        <f>IFERROR(__xludf.DUMMYFUNCTION("QUERY('Volunteer Survey'!I285)"),"Variant Pathogenicity")</f>
        <v>Variant Pathogenicity</v>
      </c>
      <c r="Q276" s="60" t="str">
        <f>IFERROR(__xludf.DUMMYFUNCTION("QUERY('Volunteer Survey'!J285)"),"Gene-Disease Validity")</f>
        <v>Gene-Disease Validity</v>
      </c>
      <c r="R276" s="55" t="str">
        <f>IFERROR(__xludf.DUMMYFUNCTION("QUERY('Volunteer Survey'!K285)"),"")</f>
        <v/>
      </c>
      <c r="S276" s="55" t="str">
        <f>IFERROR(__xludf.DUMMYFUNCTION("QUERY('Volunteer Survey'!L285)"),"")</f>
        <v/>
      </c>
      <c r="T276" s="55" t="str">
        <f>IFERROR(__xludf.DUMMYFUNCTION("QUERY('Volunteer Survey'!M285)"),"")</f>
        <v/>
      </c>
      <c r="U276" s="64" t="str">
        <f>IFERROR(__xludf.DUMMYFUNCTION("QUERY('Volunteer Survey'!N285)"),"Many hours experience with variant analysis and classification.")</f>
        <v>Many hours experience with variant analysis and classification.</v>
      </c>
      <c r="V276" s="55" t="str">
        <f>IFERROR(__xludf.DUMMYFUNCTION("QUERY('Volunteer Survey'!O285)"),"Possibly")</f>
        <v>Possibly</v>
      </c>
      <c r="W276" s="66" t="str">
        <f>IFERROR(__xludf.DUMMYFUNCTION("QUERY('Volunteer Survey'!P285)"),"Sequence Variant Interpretation")</f>
        <v>Sequence Variant Interpretation</v>
      </c>
      <c r="X276" s="64" t="str">
        <f>IFERROR(__xludf.DUMMYFUNCTION("QUERY('Volunteer Survey'!R285)"),"Maybe -- please contact me with other options, and I will decide based on what is available")</f>
        <v>Maybe -- please contact me with other options, and I will decide based on what is available</v>
      </c>
      <c r="Y276" s="53"/>
      <c r="Z276" s="55"/>
      <c r="AA276" s="55"/>
      <c r="AB276" s="55"/>
      <c r="AC276" s="55"/>
      <c r="AD276" s="55"/>
      <c r="AE276" s="55"/>
      <c r="AF276" s="55"/>
      <c r="AG276" s="55"/>
      <c r="AH276" s="55"/>
      <c r="AI276" s="55"/>
      <c r="AJ276" s="55"/>
      <c r="AK276" s="55"/>
      <c r="AL276" s="55"/>
      <c r="AM276" s="55"/>
      <c r="AN276" s="55"/>
      <c r="AO276" s="55"/>
    </row>
    <row r="277">
      <c r="A277" s="50">
        <f>IFERROR(__xludf.DUMMYFUNCTION("QUERY('Volunteer Survey'!A286)"),43703.24914248843)</f>
        <v>43703.24914</v>
      </c>
      <c r="B277" s="48" t="s">
        <v>108</v>
      </c>
      <c r="C277" s="79">
        <v>43819.0</v>
      </c>
      <c r="D277" s="55"/>
      <c r="E277" s="55"/>
      <c r="F277" s="48" t="s">
        <v>130</v>
      </c>
      <c r="G277" s="48" t="s">
        <v>122</v>
      </c>
      <c r="H277" s="53"/>
      <c r="I277" s="51" t="s">
        <v>139</v>
      </c>
      <c r="J277" s="55"/>
      <c r="K277" s="55"/>
      <c r="L277" s="55" t="str">
        <f>IFERROR(__xludf.DUMMYFUNCTION("QUERY('Volunteer Survey'!B286)"),"Julie P Taylor")</f>
        <v>Julie P Taylor</v>
      </c>
      <c r="M277" s="55" t="str">
        <f>IFERROR(__xludf.DUMMYFUNCTION("QUERY('Volunteer Survey'!E286)"),"jtaylor1@illumina.com")</f>
        <v>jtaylor1@illumina.com</v>
      </c>
      <c r="N277" s="55" t="str">
        <f>IFERROR(__xludf.DUMMYFUNCTION("QUERY('Volunteer Survey'!F286)"),"Biocurator")</f>
        <v>Biocurator</v>
      </c>
      <c r="O277" s="48" t="str">
        <f>IFERROR(__xludf.DUMMYFUNCTION("QUERY('Volunteer Survey'!H286)"),"Comprehensive")</f>
        <v>Comprehensive</v>
      </c>
      <c r="P277" s="55" t="str">
        <f>IFERROR(__xludf.DUMMYFUNCTION("QUERY('Volunteer Survey'!I286)"),"Gene-Disease Validity")</f>
        <v>Gene-Disease Validity</v>
      </c>
      <c r="Q277" s="60" t="str">
        <f>IFERROR(__xludf.DUMMYFUNCTION("QUERY('Volunteer Survey'!J286)"),"")</f>
        <v/>
      </c>
      <c r="R277" s="55" t="str">
        <f>IFERROR(__xludf.DUMMYFUNCTION("QUERY('Volunteer Survey'!K286)"),"")</f>
        <v/>
      </c>
      <c r="S277" s="55" t="str">
        <f>IFERROR(__xludf.DUMMYFUNCTION("QUERY('Volunteer Survey'!L286)"),"")</f>
        <v/>
      </c>
      <c r="T277" s="55" t="str">
        <f>IFERROR(__xludf.DUMMYFUNCTION("QUERY('Volunteer Survey'!M286)"),"")</f>
        <v/>
      </c>
      <c r="U277" s="64" t="str">
        <f>IFERROR(__xludf.DUMMYFUNCTION("QUERY('Volunteer Survey'!N286)"),"ClinGen Gene Curation is part of my role as a curation scientist at Illumina.")</f>
        <v>ClinGen Gene Curation is part of my role as a curation scientist at Illumina.</v>
      </c>
      <c r="V277" s="55" t="str">
        <f>IFERROR(__xludf.DUMMYFUNCTION("QUERY('Volunteer Survey'!O286)"),"Yes")</f>
        <v>Yes</v>
      </c>
      <c r="W277" s="66" t="str">
        <f>IFERROR(__xludf.DUMMYFUNCTION("QUERY('Volunteer Survey'!P286)"),"")</f>
        <v/>
      </c>
      <c r="X277" s="64" t="str">
        <f>IFERROR(__xludf.DUMMYFUNCTION("QUERY('Volunteer Survey'!R286)"),"Maybe -- please contact me with other options, and I will decide based on what is available")</f>
        <v>Maybe -- please contact me with other options, and I will decide based on what is available</v>
      </c>
      <c r="Y277" s="53"/>
      <c r="Z277" s="55"/>
      <c r="AA277" s="55"/>
      <c r="AB277" s="55"/>
      <c r="AC277" s="55"/>
      <c r="AD277" s="55"/>
      <c r="AE277" s="55"/>
      <c r="AF277" s="55"/>
      <c r="AG277" s="55"/>
      <c r="AH277" s="55"/>
      <c r="AI277" s="55"/>
      <c r="AJ277" s="55"/>
      <c r="AK277" s="55"/>
      <c r="AL277" s="55"/>
      <c r="AM277" s="55"/>
      <c r="AN277" s="55"/>
      <c r="AO277" s="55"/>
    </row>
    <row r="278">
      <c r="A278" s="50">
        <f>IFERROR(__xludf.DUMMYFUNCTION("QUERY('Volunteer Survey'!A287)"),43703.62807980324)</f>
        <v>43703.62808</v>
      </c>
      <c r="B278" s="48" t="s">
        <v>108</v>
      </c>
      <c r="C278" s="79">
        <v>43840.0</v>
      </c>
      <c r="D278" s="55"/>
      <c r="E278" s="55"/>
      <c r="F278" s="48" t="s">
        <v>130</v>
      </c>
      <c r="G278" s="48" t="s">
        <v>122</v>
      </c>
      <c r="H278" s="53"/>
      <c r="I278" s="51" t="s">
        <v>139</v>
      </c>
      <c r="J278" s="55"/>
      <c r="K278" s="55"/>
      <c r="L278" s="55" t="str">
        <f>IFERROR(__xludf.DUMMYFUNCTION("QUERY('Volunteer Survey'!B287)"),"Charlene Preys")</f>
        <v>Charlene Preys</v>
      </c>
      <c r="M278" s="55" t="str">
        <f>IFERROR(__xludf.DUMMYFUNCTION("QUERY('Volunteer Survey'!E287)"),"clpreys@bwh.harvard.edu")</f>
        <v>clpreys@bwh.harvard.edu</v>
      </c>
      <c r="N278" s="55" t="str">
        <f>IFERROR(__xludf.DUMMYFUNCTION("QUERY('Volunteer Survey'!F287)"),"Undergraduate Student")</f>
        <v>Undergraduate Student</v>
      </c>
      <c r="O278" s="48" t="str">
        <f>IFERROR(__xludf.DUMMYFUNCTION("QUERY('Volunteer Survey'!H287)"),"Comprehensive")</f>
        <v>Comprehensive</v>
      </c>
      <c r="P278" s="55" t="str">
        <f>IFERROR(__xludf.DUMMYFUNCTION("QUERY('Volunteer Survey'!I287)"),"Gene-Disease Validity")</f>
        <v>Gene-Disease Validity</v>
      </c>
      <c r="Q278" s="60" t="str">
        <f>IFERROR(__xludf.DUMMYFUNCTION("QUERY('Volunteer Survey'!J287)"),"")</f>
        <v/>
      </c>
      <c r="R278" s="55" t="str">
        <f>IFERROR(__xludf.DUMMYFUNCTION("QUERY('Volunteer Survey'!K287)"),"")</f>
        <v/>
      </c>
      <c r="S278" s="55" t="str">
        <f>IFERROR(__xludf.DUMMYFUNCTION("QUERY('Volunteer Survey'!L287)"),"")</f>
        <v/>
      </c>
      <c r="T278" s="55" t="str">
        <f>IFERROR(__xludf.DUMMYFUNCTION("QUERY('Volunteer Survey'!M287)"),"")</f>
        <v/>
      </c>
      <c r="U278" s="64" t="str">
        <f>IFERROR(__xludf.DUMMYFUNCTION("QUERY('Volunteer Survey'!N287)"),"")</f>
        <v/>
      </c>
      <c r="V278" s="55" t="str">
        <f>IFERROR(__xludf.DUMMYFUNCTION("QUERY('Volunteer Survey'!O287)"),"")</f>
        <v/>
      </c>
      <c r="W278" s="66" t="str">
        <f>IFERROR(__xludf.DUMMYFUNCTION("QUERY('Volunteer Survey'!P287)"),"TP53 or Mitochondrial (will gladly help any panel/working group) - Hereditary cancer, Hemostasis or Congenital Myopathy")</f>
        <v>TP53 or Mitochondrial (will gladly help any panel/working group) - Hereditary cancer, Hemostasis or Congenital Myopathy</v>
      </c>
      <c r="X278" s="64" t="str">
        <f>IFERROR(__xludf.DUMMYFUNCTION("QUERY('Volunteer Survey'!R287)"),"Yes- I am willing to volunteer with any available ClinGen group")</f>
        <v>Yes- I am willing to volunteer with any available ClinGen group</v>
      </c>
      <c r="Y278" s="51" t="s">
        <v>1043</v>
      </c>
      <c r="Z278" s="55"/>
      <c r="AA278" s="55"/>
      <c r="AB278" s="55"/>
      <c r="AC278" s="55"/>
      <c r="AD278" s="55"/>
      <c r="AE278" s="55"/>
      <c r="AF278" s="55"/>
      <c r="AG278" s="55"/>
      <c r="AH278" s="55"/>
      <c r="AI278" s="55"/>
      <c r="AJ278" s="55"/>
      <c r="AK278" s="55"/>
      <c r="AL278" s="55"/>
      <c r="AM278" s="55"/>
      <c r="AN278" s="55"/>
      <c r="AO278" s="55"/>
    </row>
    <row r="279">
      <c r="A279" s="50">
        <f>IFERROR(__xludf.DUMMYFUNCTION("QUERY('Volunteer Survey'!A288)"),43705.80924916667)</f>
        <v>43705.80925</v>
      </c>
      <c r="B279" s="48" t="s">
        <v>108</v>
      </c>
      <c r="C279" s="79">
        <v>43819.0</v>
      </c>
      <c r="D279" s="55"/>
      <c r="E279" s="55"/>
      <c r="F279" s="48" t="s">
        <v>130</v>
      </c>
      <c r="G279" s="48" t="s">
        <v>251</v>
      </c>
      <c r="H279" s="53"/>
      <c r="I279" s="51" t="s">
        <v>139</v>
      </c>
      <c r="J279" s="55"/>
      <c r="K279" s="55"/>
      <c r="L279" s="55" t="str">
        <f>IFERROR(__xludf.DUMMYFUNCTION("QUERY('Volunteer Survey'!B288)"),"Edgar Ramirez")</f>
        <v>Edgar Ramirez</v>
      </c>
      <c r="M279" s="55" t="str">
        <f>IFERROR(__xludf.DUMMYFUNCTION("QUERY('Volunteer Survey'!E288)"),"e.ramirezr@hotmail.com")</f>
        <v>e.ramirezr@hotmail.com</v>
      </c>
      <c r="N279" s="55" t="str">
        <f>IFERROR(__xludf.DUMMYFUNCTION("QUERY('Volunteer Survey'!F288)"),"Scientific Researcher")</f>
        <v>Scientific Researcher</v>
      </c>
      <c r="O279" s="48" t="str">
        <f>IFERROR(__xludf.DUMMYFUNCTION("QUERY('Volunteer Survey'!H288)"),"Comprehensive")</f>
        <v>Comprehensive</v>
      </c>
      <c r="P279" s="55" t="str">
        <f>IFERROR(__xludf.DUMMYFUNCTION("QUERY('Volunteer Survey'!I288)"),"Variant Pathogenicity")</f>
        <v>Variant Pathogenicity</v>
      </c>
      <c r="Q279" s="60" t="str">
        <f>IFERROR(__xludf.DUMMYFUNCTION("QUERY('Volunteer Survey'!J288)"),"Clinical Actionability")</f>
        <v>Clinical Actionability</v>
      </c>
      <c r="R279" s="55" t="str">
        <f>IFERROR(__xludf.DUMMYFUNCTION("QUERY('Volunteer Survey'!K288)"),"Gene-Disease Validity")</f>
        <v>Gene-Disease Validity</v>
      </c>
      <c r="S279" s="55" t="str">
        <f>IFERROR(__xludf.DUMMYFUNCTION("QUERY('Volunteer Survey'!L288)"),"Dosage Sensitivity")</f>
        <v>Dosage Sensitivity</v>
      </c>
      <c r="T279" s="55" t="str">
        <f>IFERROR(__xludf.DUMMYFUNCTION("QUERY('Volunteer Survey'!M288)"),"Somatic Cancer")</f>
        <v>Somatic Cancer</v>
      </c>
      <c r="U279" s="64" t="str">
        <f>IFERROR(__xludf.DUMMYFUNCTION("QUERY('Volunteer Survey'!N288)"),"I was lead scientist for variant interpretation at a clinical laboratory")</f>
        <v>I was lead scientist for variant interpretation at a clinical laboratory</v>
      </c>
      <c r="V279" s="55" t="str">
        <f>IFERROR(__xludf.DUMMYFUNCTION("QUERY('Volunteer Survey'!O288)"),"Possibly")</f>
        <v>Possibly</v>
      </c>
      <c r="W279" s="66" t="str">
        <f>IFERROR(__xludf.DUMMYFUNCTION("QUERY('Volunteer Survey'!P288)"),"")</f>
        <v/>
      </c>
      <c r="X279" s="64" t="str">
        <f>IFERROR(__xludf.DUMMYFUNCTION("QUERY('Volunteer Survey'!R288)"),"Maybe -- please contact me with other options, and I will decide based on what is available")</f>
        <v>Maybe -- please contact me with other options, and I will decide based on what is available</v>
      </c>
      <c r="Y279" s="53"/>
      <c r="Z279" s="55"/>
      <c r="AA279" s="55"/>
      <c r="AB279" s="55"/>
      <c r="AC279" s="55"/>
      <c r="AD279" s="55"/>
      <c r="AE279" s="55"/>
      <c r="AF279" s="55"/>
      <c r="AG279" s="55"/>
      <c r="AH279" s="55"/>
      <c r="AI279" s="55"/>
      <c r="AJ279" s="55"/>
      <c r="AK279" s="55"/>
      <c r="AL279" s="55"/>
      <c r="AM279" s="55"/>
      <c r="AN279" s="55"/>
      <c r="AO279" s="55"/>
    </row>
    <row r="280">
      <c r="A280" s="50">
        <f>IFERROR(__xludf.DUMMYFUNCTION("QUERY('Volunteer Survey'!A289)"),43707.296979108796)</f>
        <v>43707.29698</v>
      </c>
      <c r="B280" s="48" t="s">
        <v>108</v>
      </c>
      <c r="C280" s="79">
        <v>43819.0</v>
      </c>
      <c r="D280" s="55"/>
      <c r="E280" s="55"/>
      <c r="F280" s="48" t="s">
        <v>130</v>
      </c>
      <c r="G280" s="48" t="s">
        <v>122</v>
      </c>
      <c r="H280" s="53"/>
      <c r="I280" s="51" t="s">
        <v>139</v>
      </c>
      <c r="J280" s="55"/>
      <c r="K280" s="55"/>
      <c r="L280" s="55" t="str">
        <f>IFERROR(__xludf.DUMMYFUNCTION("QUERY('Volunteer Survey'!B289)"),"Laura Roht")</f>
        <v>Laura Roht</v>
      </c>
      <c r="M280" s="55" t="str">
        <f>IFERROR(__xludf.DUMMYFUNCTION("QUERY('Volunteer Survey'!E289)"),"laura.roht@kliinikum.ee")</f>
        <v>laura.roht@kliinikum.ee</v>
      </c>
      <c r="N280" s="55" t="str">
        <f>IFERROR(__xludf.DUMMYFUNCTION("QUERY('Volunteer Survey'!F289)"),"Clinical Medical Geneticist")</f>
        <v>Clinical Medical Geneticist</v>
      </c>
      <c r="O280" s="48" t="str">
        <f>IFERROR(__xludf.DUMMYFUNCTION("QUERY('Volunteer Survey'!H289)"),"Comprehensive")</f>
        <v>Comprehensive</v>
      </c>
      <c r="P280" s="55" t="str">
        <f>IFERROR(__xludf.DUMMYFUNCTION("QUERY('Volunteer Survey'!I289)"),"Gene-Disease Validity")</f>
        <v>Gene-Disease Validity</v>
      </c>
      <c r="Q280" s="60" t="str">
        <f>IFERROR(__xludf.DUMMYFUNCTION("QUERY('Volunteer Survey'!J289)"),"Variant Pathogenicity")</f>
        <v>Variant Pathogenicity</v>
      </c>
      <c r="R280" s="55" t="str">
        <f>IFERROR(__xludf.DUMMYFUNCTION("QUERY('Volunteer Survey'!K289)"),"")</f>
        <v/>
      </c>
      <c r="S280" s="55" t="str">
        <f>IFERROR(__xludf.DUMMYFUNCTION("QUERY('Volunteer Survey'!L289)"),"")</f>
        <v/>
      </c>
      <c r="T280" s="55" t="str">
        <f>IFERROR(__xludf.DUMMYFUNCTION("QUERY('Volunteer Survey'!M289)"),"")</f>
        <v/>
      </c>
      <c r="U280" s="64" t="str">
        <f>IFERROR(__xludf.DUMMYFUNCTION("QUERY('Volunteer Survey'!N289)"),"")</f>
        <v/>
      </c>
      <c r="V280" s="55" t="str">
        <f>IFERROR(__xludf.DUMMYFUNCTION("QUERY('Volunteer Survey'!O289)"),"Possibly")</f>
        <v>Possibly</v>
      </c>
      <c r="W280" s="66" t="str">
        <f>IFERROR(__xludf.DUMMYFUNCTION("QUERY('Volunteer Survey'!P289)"),"Hereditary Cancer")</f>
        <v>Hereditary Cancer</v>
      </c>
      <c r="X280" s="64" t="str">
        <f>IFERROR(__xludf.DUMMYFUNCTION("QUERY('Volunteer Survey'!R289)"),"Maybe -- please contact me with other options, and I will decide based on what is available")</f>
        <v>Maybe -- please contact me with other options, and I will decide based on what is available</v>
      </c>
      <c r="Y280" s="53"/>
      <c r="Z280" s="55"/>
      <c r="AA280" s="55"/>
      <c r="AB280" s="55"/>
      <c r="AC280" s="55"/>
      <c r="AD280" s="55"/>
      <c r="AE280" s="55"/>
      <c r="AF280" s="55"/>
      <c r="AG280" s="55"/>
      <c r="AH280" s="55"/>
      <c r="AI280" s="55"/>
      <c r="AJ280" s="55"/>
      <c r="AK280" s="55"/>
      <c r="AL280" s="55"/>
      <c r="AM280" s="55"/>
      <c r="AN280" s="55"/>
      <c r="AO280" s="55"/>
    </row>
    <row r="281">
      <c r="A281" s="50">
        <f>IFERROR(__xludf.DUMMYFUNCTION("QUERY('Volunteer Survey'!A290)"),43707.80857268518)</f>
        <v>43707.80857</v>
      </c>
      <c r="B281" s="48" t="s">
        <v>108</v>
      </c>
      <c r="C281" s="53"/>
      <c r="D281" s="55"/>
      <c r="E281" s="55"/>
      <c r="F281" s="48" t="s">
        <v>130</v>
      </c>
      <c r="G281" s="48" t="s">
        <v>313</v>
      </c>
      <c r="H281" s="53"/>
      <c r="I281" s="51" t="s">
        <v>139</v>
      </c>
      <c r="J281" s="55"/>
      <c r="K281" s="55"/>
      <c r="L281" s="55" t="str">
        <f>IFERROR(__xludf.DUMMYFUNCTION("QUERY('Volunteer Survey'!B290)"),"Donia Hany Mostafa ")</f>
        <v>Donia Hany Mostafa </v>
      </c>
      <c r="M281" s="55" t="str">
        <f>IFERROR(__xludf.DUMMYFUNCTION("QUERY('Volunteer Survey'!E290)"),"donia.1518105@stemkalubya.moe.edu.eg")</f>
        <v>donia.1518105@stemkalubya.moe.edu.eg</v>
      </c>
      <c r="N281" s="55" t="str">
        <f>IFERROR(__xludf.DUMMYFUNCTION("QUERY('Volunteer Survey'!F290)"),"Undergraduate Student")</f>
        <v>Undergraduate Student</v>
      </c>
      <c r="O281" s="48" t="str">
        <f>IFERROR(__xludf.DUMMYFUNCTION("QUERY('Volunteer Survey'!H290)"),"Comprehensive")</f>
        <v>Comprehensive</v>
      </c>
      <c r="P281" s="55" t="str">
        <f>IFERROR(__xludf.DUMMYFUNCTION("QUERY('Volunteer Survey'!I290)"),"Somatic Cancer")</f>
        <v>Somatic Cancer</v>
      </c>
      <c r="Q281" s="60" t="str">
        <f>IFERROR(__xludf.DUMMYFUNCTION("QUERY('Volunteer Survey'!J290)"),"Dosage Sensitivity")</f>
        <v>Dosage Sensitivity</v>
      </c>
      <c r="R281" s="55" t="str">
        <f>IFERROR(__xludf.DUMMYFUNCTION("QUERY('Volunteer Survey'!K290)"),"Gene-Disease Validity")</f>
        <v>Gene-Disease Validity</v>
      </c>
      <c r="S281" s="55" t="str">
        <f>IFERROR(__xludf.DUMMYFUNCTION("QUERY('Volunteer Survey'!L290)"),"Clinical Actionability")</f>
        <v>Clinical Actionability</v>
      </c>
      <c r="T281" s="55" t="str">
        <f>IFERROR(__xludf.DUMMYFUNCTION("QUERY('Volunteer Survey'!M290)"),"Variant Pathogenicity")</f>
        <v>Variant Pathogenicity</v>
      </c>
      <c r="U281" s="64" t="str">
        <f>IFERROR(__xludf.DUMMYFUNCTION("QUERY('Volunteer Survey'!N290)"),"")</f>
        <v/>
      </c>
      <c r="V281" s="55" t="str">
        <f>IFERROR(__xludf.DUMMYFUNCTION("QUERY('Volunteer Survey'!O290)"),"No")</f>
        <v>No</v>
      </c>
      <c r="W281" s="66" t="str">
        <f>IFERROR(__xludf.DUMMYFUNCTION("QUERY('Volunteer Survey'!P290)"),"Yes, I am very interested about being in group that will help me to do many researches and will help me to be through a new experience. ")</f>
        <v>Yes, I am very interested about being in group that will help me to do many researches and will help me to be through a new experience. </v>
      </c>
      <c r="X281" s="64" t="str">
        <f>IFERROR(__xludf.DUMMYFUNCTION("QUERY('Volunteer Survey'!R290)"),"Maybe -- please contact me with other options, and I will decide based on what is available")</f>
        <v>Maybe -- please contact me with other options, and I will decide based on what is available</v>
      </c>
      <c r="Y281" s="53"/>
      <c r="Z281" s="55"/>
      <c r="AA281" s="55"/>
      <c r="AB281" s="55"/>
      <c r="AC281" s="55"/>
      <c r="AD281" s="55"/>
      <c r="AE281" s="55"/>
      <c r="AF281" s="55"/>
      <c r="AG281" s="55"/>
      <c r="AH281" s="55"/>
      <c r="AI281" s="55"/>
      <c r="AJ281" s="55"/>
      <c r="AK281" s="55"/>
      <c r="AL281" s="55"/>
      <c r="AM281" s="55"/>
      <c r="AN281" s="55"/>
      <c r="AO281" s="55"/>
    </row>
    <row r="282">
      <c r="A282" s="50">
        <f>IFERROR(__xludf.DUMMYFUNCTION("QUERY('Volunteer Survey'!A291)"),43711.08206508102)</f>
        <v>43711.08207</v>
      </c>
      <c r="B282" s="48" t="s">
        <v>108</v>
      </c>
      <c r="C282" s="79">
        <v>43819.0</v>
      </c>
      <c r="D282" s="55"/>
      <c r="E282" s="55"/>
      <c r="F282" s="48" t="s">
        <v>130</v>
      </c>
      <c r="G282" s="48" t="s">
        <v>251</v>
      </c>
      <c r="H282" s="53"/>
      <c r="I282" s="51" t="s">
        <v>139</v>
      </c>
      <c r="J282" s="55"/>
      <c r="K282" s="55"/>
      <c r="L282" s="55" t="str">
        <f>IFERROR(__xludf.DUMMYFUNCTION("QUERY('Volunteer Survey'!B291)"),"Xin Chen")</f>
        <v>Xin Chen</v>
      </c>
      <c r="M282" s="55" t="str">
        <f>IFERROR(__xludf.DUMMYFUNCTION("QUERY('Volunteer Survey'!E291)"),"chenx30nju@gmail.com")</f>
        <v>chenx30nju@gmail.com</v>
      </c>
      <c r="N282" s="55" t="str">
        <f>IFERROR(__xludf.DUMMYFUNCTION("QUERY('Volunteer Survey'!F291)"),"Post Doc/Resident/Fellow (MD and/or PhD)")</f>
        <v>Post Doc/Resident/Fellow (MD and/or PhD)</v>
      </c>
      <c r="O282" s="48" t="str">
        <f>IFERROR(__xludf.DUMMYFUNCTION("QUERY('Volunteer Survey'!H291)"),"Comprehensive")</f>
        <v>Comprehensive</v>
      </c>
      <c r="P282" s="55" t="str">
        <f>IFERROR(__xludf.DUMMYFUNCTION("QUERY('Volunteer Survey'!I291)"),"Variant Pathogenicity")</f>
        <v>Variant Pathogenicity</v>
      </c>
      <c r="Q282" s="60" t="str">
        <f>IFERROR(__xludf.DUMMYFUNCTION("QUERY('Volunteer Survey'!J291)"),"Somatic Cancer")</f>
        <v>Somatic Cancer</v>
      </c>
      <c r="R282" s="55" t="str">
        <f>IFERROR(__xludf.DUMMYFUNCTION("QUERY('Volunteer Survey'!K291)"),"Gene-Disease Validity")</f>
        <v>Gene-Disease Validity</v>
      </c>
      <c r="S282" s="55" t="str">
        <f>IFERROR(__xludf.DUMMYFUNCTION("QUERY('Volunteer Survey'!L291)"),"Dosage Sensitivity")</f>
        <v>Dosage Sensitivity</v>
      </c>
      <c r="T282" s="55" t="str">
        <f>IFERROR(__xludf.DUMMYFUNCTION("QUERY('Volunteer Survey'!M291)"),"Clinical Actionability")</f>
        <v>Clinical Actionability</v>
      </c>
      <c r="U282" s="64" t="str">
        <f>IFERROR(__xludf.DUMMYFUNCTION("QUERY('Volunteer Survey'!N291)"),"During my PhD study, I summarized all the reported mutations of the gene SETX that were reported to cause neurodegenerative disease AOA2, generated the mutations in the budding yeast model, and experimentally verified the defects caused by the mutations. ")</f>
        <v>During my PhD study, I summarized all the reported mutations of the gene SETX that were reported to cause neurodegenerative disease AOA2, generated the mutations in the budding yeast model, and experimentally verified the defects caused by the mutations. </v>
      </c>
      <c r="V282" s="55" t="str">
        <f>IFERROR(__xludf.DUMMYFUNCTION("QUERY('Volunteer Survey'!O291)"),"Possibly")</f>
        <v>Possibly</v>
      </c>
      <c r="W282" s="66" t="str">
        <f>IFERROR(__xludf.DUMMYFUNCTION("QUERY('Volunteer Survey'!P291)"),"I am open to any opportunity.")</f>
        <v>I am open to any opportunity.</v>
      </c>
      <c r="X282" s="64" t="str">
        <f>IFERROR(__xludf.DUMMYFUNCTION("QUERY('Volunteer Survey'!R291)"),"Yes- I am willing to volunteer with any available ClinGen group")</f>
        <v>Yes- I am willing to volunteer with any available ClinGen group</v>
      </c>
      <c r="Y282" s="53"/>
      <c r="Z282" s="55"/>
      <c r="AA282" s="55"/>
      <c r="AB282" s="55"/>
      <c r="AC282" s="55"/>
      <c r="AD282" s="55"/>
      <c r="AE282" s="55"/>
      <c r="AF282" s="55"/>
      <c r="AG282" s="55"/>
      <c r="AH282" s="55"/>
      <c r="AI282" s="55"/>
      <c r="AJ282" s="55"/>
      <c r="AK282" s="55"/>
      <c r="AL282" s="55"/>
      <c r="AM282" s="55"/>
      <c r="AN282" s="55"/>
      <c r="AO282" s="55"/>
    </row>
    <row r="283">
      <c r="A283" s="50">
        <f>IFERROR(__xludf.DUMMYFUNCTION("QUERY('Volunteer Survey'!A292)"),43711.38992238426)</f>
        <v>43711.38992</v>
      </c>
      <c r="B283" s="48" t="s">
        <v>108</v>
      </c>
      <c r="C283" s="53"/>
      <c r="D283" s="56">
        <v>43626.0</v>
      </c>
      <c r="E283" s="48" t="s">
        <v>117</v>
      </c>
      <c r="F283" s="48" t="s">
        <v>117</v>
      </c>
      <c r="G283" s="48" t="s">
        <v>251</v>
      </c>
      <c r="H283" s="53"/>
      <c r="I283" s="51" t="s">
        <v>356</v>
      </c>
      <c r="J283" s="55"/>
      <c r="K283" s="55"/>
      <c r="L283" s="55" t="str">
        <f>IFERROR(__xludf.DUMMYFUNCTION("QUERY('Volunteer Survey'!B292)"),"Tomohiko Ai")</f>
        <v>Tomohiko Ai</v>
      </c>
      <c r="M283" s="55" t="str">
        <f>IFERROR(__xludf.DUMMYFUNCTION("QUERY('Volunteer Survey'!E292)"),"Tomohiko.Ai@osumc.edu")</f>
        <v>Tomohiko.Ai@osumc.edu</v>
      </c>
      <c r="N283" s="55" t="str">
        <f>IFERROR(__xludf.DUMMYFUNCTION("QUERY('Volunteer Survey'!F292)"),"Scientific Researcher")</f>
        <v>Scientific Researcher</v>
      </c>
      <c r="O283" s="48" t="str">
        <f>IFERROR(__xludf.DUMMYFUNCTION("QUERY('Volunteer Survey'!H292)"),"Comprehensive")</f>
        <v>Comprehensive</v>
      </c>
      <c r="P283" s="55" t="str">
        <f>IFERROR(__xludf.DUMMYFUNCTION("QUERY('Volunteer Survey'!I292)"),"Variant Pathogenicity")</f>
        <v>Variant Pathogenicity</v>
      </c>
      <c r="Q283" s="60" t="str">
        <f>IFERROR(__xludf.DUMMYFUNCTION("QUERY('Volunteer Survey'!J292)"),"")</f>
        <v/>
      </c>
      <c r="R283" s="55" t="str">
        <f>IFERROR(__xludf.DUMMYFUNCTION("QUERY('Volunteer Survey'!K292)"),"")</f>
        <v/>
      </c>
      <c r="S283" s="55" t="str">
        <f>IFERROR(__xludf.DUMMYFUNCTION("QUERY('Volunteer Survey'!L292)"),"")</f>
        <v/>
      </c>
      <c r="T283" s="55" t="str">
        <f>IFERROR(__xludf.DUMMYFUNCTION("QUERY('Volunteer Survey'!M292)"),"")</f>
        <v/>
      </c>
      <c r="U283" s="64" t="str">
        <f>IFERROR(__xludf.DUMMYFUNCTION("QUERY('Volunteer Survey'!N292)"),"")</f>
        <v/>
      </c>
      <c r="V283" s="55" t="str">
        <f>IFERROR(__xludf.DUMMYFUNCTION("QUERY('Volunteer Survey'!O292)"),"")</f>
        <v/>
      </c>
      <c r="W283" s="66" t="str">
        <f>IFERROR(__xludf.DUMMYFUNCTION("QUERY('Volunteer Survey'!P292)"),"")</f>
        <v/>
      </c>
      <c r="X283" s="64" t="str">
        <f>IFERROR(__xludf.DUMMYFUNCTION("QUERY('Volunteer Survey'!R292)"),"")</f>
        <v/>
      </c>
      <c r="Y283" s="53"/>
      <c r="Z283" s="55"/>
      <c r="AA283" s="55"/>
      <c r="AB283" s="55"/>
      <c r="AC283" s="55"/>
      <c r="AD283" s="55"/>
      <c r="AE283" s="55"/>
      <c r="AF283" s="55"/>
      <c r="AG283" s="55"/>
      <c r="AH283" s="55"/>
      <c r="AI283" s="55"/>
      <c r="AJ283" s="55"/>
      <c r="AK283" s="55"/>
      <c r="AL283" s="55"/>
      <c r="AM283" s="55"/>
      <c r="AN283" s="55"/>
      <c r="AO283" s="55"/>
    </row>
    <row r="284">
      <c r="A284" s="50">
        <f>IFERROR(__xludf.DUMMYFUNCTION("QUERY('Volunteer Survey'!A293)"),43711.408003530094)</f>
        <v>43711.408</v>
      </c>
      <c r="B284" s="48" t="s">
        <v>108</v>
      </c>
      <c r="C284" s="53"/>
      <c r="D284" s="56">
        <v>43585.0</v>
      </c>
      <c r="E284" s="48" t="s">
        <v>117</v>
      </c>
      <c r="F284" s="48" t="s">
        <v>130</v>
      </c>
      <c r="G284" s="48" t="s">
        <v>122</v>
      </c>
      <c r="H284" s="53"/>
      <c r="I284" s="51" t="s">
        <v>356</v>
      </c>
      <c r="J284" s="56">
        <v>43712.0</v>
      </c>
      <c r="K284" s="56"/>
      <c r="L284" s="55" t="str">
        <f>IFERROR(__xludf.DUMMYFUNCTION("QUERY('Volunteer Survey'!B293)"),"Coumarane Mani")</f>
        <v>Coumarane Mani</v>
      </c>
      <c r="M284" s="55" t="str">
        <f>IFERROR(__xludf.DUMMYFUNCTION("QUERY('Volunteer Survey'!E293)"),"coumarane.mani@aruplab.com")</f>
        <v>coumarane.mani@aruplab.com</v>
      </c>
      <c r="N284" s="55" t="str">
        <f>IFERROR(__xludf.DUMMYFUNCTION("QUERY('Volunteer Survey'!F293)"),"Variant Analyst/Scientist - Industry")</f>
        <v>Variant Analyst/Scientist - Industry</v>
      </c>
      <c r="O284" s="48" t="str">
        <f>IFERROR(__xludf.DUMMYFUNCTION("QUERY('Volunteer Survey'!H293)"),"Comprehensive")</f>
        <v>Comprehensive</v>
      </c>
      <c r="P284" s="55" t="str">
        <f>IFERROR(__xludf.DUMMYFUNCTION("QUERY('Volunteer Survey'!I293)"),"Gene-Disease Validity")</f>
        <v>Gene-Disease Validity</v>
      </c>
      <c r="Q284" s="60" t="str">
        <f>IFERROR(__xludf.DUMMYFUNCTION("QUERY('Volunteer Survey'!J293)"),"")</f>
        <v/>
      </c>
      <c r="R284" s="55" t="str">
        <f>IFERROR(__xludf.DUMMYFUNCTION("QUERY('Volunteer Survey'!K293)"),"")</f>
        <v/>
      </c>
      <c r="S284" s="55" t="str">
        <f>IFERROR(__xludf.DUMMYFUNCTION("QUERY('Volunteer Survey'!L293)"),"")</f>
        <v/>
      </c>
      <c r="T284" s="55" t="str">
        <f>IFERROR(__xludf.DUMMYFUNCTION("QUERY('Volunteer Survey'!M293)"),"")</f>
        <v/>
      </c>
      <c r="U284" s="64" t="str">
        <f>IFERROR(__xludf.DUMMYFUNCTION("QUERY('Volunteer Survey'!N293)"),"")</f>
        <v/>
      </c>
      <c r="V284" s="55" t="str">
        <f>IFERROR(__xludf.DUMMYFUNCTION("QUERY('Volunteer Survey'!O293)"),"")</f>
        <v/>
      </c>
      <c r="W284" s="66" t="str">
        <f>IFERROR(__xludf.DUMMYFUNCTION("QUERY('Volunteer Survey'!P293)"),"")</f>
        <v/>
      </c>
      <c r="X284" s="64" t="str">
        <f>IFERROR(__xludf.DUMMYFUNCTION("QUERY('Volunteer Survey'!R293)"),"")</f>
        <v/>
      </c>
      <c r="Y284" s="53"/>
      <c r="Z284" s="55"/>
      <c r="AA284" s="55"/>
      <c r="AB284" s="55"/>
      <c r="AC284" s="55"/>
      <c r="AD284" s="55"/>
      <c r="AE284" s="55"/>
      <c r="AF284" s="55"/>
      <c r="AG284" s="55"/>
      <c r="AH284" s="55"/>
      <c r="AI284" s="55"/>
      <c r="AJ284" s="55"/>
      <c r="AK284" s="55"/>
      <c r="AL284" s="55"/>
      <c r="AM284" s="55"/>
      <c r="AN284" s="55"/>
      <c r="AO284" s="55"/>
    </row>
    <row r="285">
      <c r="A285" s="50">
        <f>IFERROR(__xludf.DUMMYFUNCTION("QUERY('Volunteer Survey'!A294)"),43711.40908538195)</f>
        <v>43711.40909</v>
      </c>
      <c r="B285" s="48" t="s">
        <v>108</v>
      </c>
      <c r="C285" s="53"/>
      <c r="D285" s="56">
        <v>43605.0</v>
      </c>
      <c r="E285" s="48" t="s">
        <v>117</v>
      </c>
      <c r="F285" s="48" t="s">
        <v>117</v>
      </c>
      <c r="G285" s="48" t="s">
        <v>251</v>
      </c>
      <c r="H285" s="53"/>
      <c r="I285" s="51" t="s">
        <v>1229</v>
      </c>
      <c r="J285" s="55"/>
      <c r="K285" s="55"/>
      <c r="L285" s="55" t="str">
        <f>IFERROR(__xludf.DUMMYFUNCTION("QUERY('Volunteer Survey'!B294)"),"Coumarane Mani")</f>
        <v>Coumarane Mani</v>
      </c>
      <c r="M285" s="55" t="str">
        <f>IFERROR(__xludf.DUMMYFUNCTION("QUERY('Volunteer Survey'!E294)"),"coumarane.mani@aruplab.com")</f>
        <v>coumarane.mani@aruplab.com</v>
      </c>
      <c r="N285" s="55" t="str">
        <f>IFERROR(__xludf.DUMMYFUNCTION("QUERY('Volunteer Survey'!F294)"),"Variant Analyst/Scientist - Industry")</f>
        <v>Variant Analyst/Scientist - Industry</v>
      </c>
      <c r="O285" s="48" t="str">
        <f>IFERROR(__xludf.DUMMYFUNCTION("QUERY('Volunteer Survey'!H294)"),"Comprehensive")</f>
        <v>Comprehensive</v>
      </c>
      <c r="P285" s="55" t="str">
        <f>IFERROR(__xludf.DUMMYFUNCTION("QUERY('Volunteer Survey'!I294)"),"Variant Pathogenicity")</f>
        <v>Variant Pathogenicity</v>
      </c>
      <c r="Q285" s="60" t="str">
        <f>IFERROR(__xludf.DUMMYFUNCTION("QUERY('Volunteer Survey'!J294)"),"")</f>
        <v/>
      </c>
      <c r="R285" s="55" t="str">
        <f>IFERROR(__xludf.DUMMYFUNCTION("QUERY('Volunteer Survey'!K294)"),"")</f>
        <v/>
      </c>
      <c r="S285" s="55" t="str">
        <f>IFERROR(__xludf.DUMMYFUNCTION("QUERY('Volunteer Survey'!L294)"),"")</f>
        <v/>
      </c>
      <c r="T285" s="55" t="str">
        <f>IFERROR(__xludf.DUMMYFUNCTION("QUERY('Volunteer Survey'!M294)"),"")</f>
        <v/>
      </c>
      <c r="U285" s="64" t="str">
        <f>IFERROR(__xludf.DUMMYFUNCTION("QUERY('Volunteer Survey'!N294)"),"")</f>
        <v/>
      </c>
      <c r="V285" s="55" t="str">
        <f>IFERROR(__xludf.DUMMYFUNCTION("QUERY('Volunteer Survey'!O294)"),"")</f>
        <v/>
      </c>
      <c r="W285" s="66" t="str">
        <f>IFERROR(__xludf.DUMMYFUNCTION("QUERY('Volunteer Survey'!P294)"),"")</f>
        <v/>
      </c>
      <c r="X285" s="64" t="str">
        <f>IFERROR(__xludf.DUMMYFUNCTION("QUERY('Volunteer Survey'!R294)"),"")</f>
        <v/>
      </c>
      <c r="Y285" s="53"/>
      <c r="Z285" s="55"/>
      <c r="AA285" s="55"/>
      <c r="AB285" s="55"/>
      <c r="AC285" s="55"/>
      <c r="AD285" s="55"/>
      <c r="AE285" s="55"/>
      <c r="AF285" s="55"/>
      <c r="AG285" s="55"/>
      <c r="AH285" s="55"/>
      <c r="AI285" s="55"/>
      <c r="AJ285" s="55"/>
      <c r="AK285" s="55"/>
      <c r="AL285" s="55"/>
      <c r="AM285" s="55"/>
      <c r="AN285" s="55"/>
      <c r="AO285" s="55"/>
    </row>
    <row r="286">
      <c r="A286" s="50">
        <f>IFERROR(__xludf.DUMMYFUNCTION("QUERY('Volunteer Survey'!A295)"),43711.41408498842)</f>
        <v>43711.41408</v>
      </c>
      <c r="B286" s="48" t="s">
        <v>108</v>
      </c>
      <c r="C286" s="53"/>
      <c r="D286" s="56">
        <v>47258.0</v>
      </c>
      <c r="E286" s="48" t="s">
        <v>117</v>
      </c>
      <c r="F286" s="48" t="s">
        <v>117</v>
      </c>
      <c r="G286" s="48" t="s">
        <v>251</v>
      </c>
      <c r="H286" s="53"/>
      <c r="I286" s="51" t="s">
        <v>356</v>
      </c>
      <c r="J286" s="55"/>
      <c r="K286" s="55"/>
      <c r="L286" s="55" t="str">
        <f>IFERROR(__xludf.DUMMYFUNCTION("QUERY('Volunteer Survey'!B295)"),"Diogo Ventura Lovato")</f>
        <v>Diogo Ventura Lovato</v>
      </c>
      <c r="M286" s="55" t="str">
        <f>IFERROR(__xludf.DUMMYFUNCTION("QUERY('Volunteer Survey'!E295)"),"diogo.v.lovato@gmail.com")</f>
        <v>diogo.v.lovato@gmail.com</v>
      </c>
      <c r="N286" s="55" t="str">
        <f>IFERROR(__xludf.DUMMYFUNCTION("QUERY('Volunteer Survey'!F295)"),"Clinical laboratory geneticist")</f>
        <v>Clinical laboratory geneticist</v>
      </c>
      <c r="O286" s="48" t="str">
        <f>IFERROR(__xludf.DUMMYFUNCTION("QUERY('Volunteer Survey'!H295)"),"Comprehensive")</f>
        <v>Comprehensive</v>
      </c>
      <c r="P286" s="55" t="str">
        <f>IFERROR(__xludf.DUMMYFUNCTION("QUERY('Volunteer Survey'!I295)"),"Variant Pathogenicity")</f>
        <v>Variant Pathogenicity</v>
      </c>
      <c r="Q286" s="60" t="str">
        <f>IFERROR(__xludf.DUMMYFUNCTION("QUERY('Volunteer Survey'!J295)"),"")</f>
        <v/>
      </c>
      <c r="R286" s="55" t="str">
        <f>IFERROR(__xludf.DUMMYFUNCTION("QUERY('Volunteer Survey'!K295)"),"")</f>
        <v/>
      </c>
      <c r="S286" s="55" t="str">
        <f>IFERROR(__xludf.DUMMYFUNCTION("QUERY('Volunteer Survey'!L295)"),"")</f>
        <v/>
      </c>
      <c r="T286" s="55" t="str">
        <f>IFERROR(__xludf.DUMMYFUNCTION("QUERY('Volunteer Survey'!M295)"),"")</f>
        <v/>
      </c>
      <c r="U286" s="64" t="str">
        <f>IFERROR(__xludf.DUMMYFUNCTION("QUERY('Volunteer Survey'!N295)"),"")</f>
        <v/>
      </c>
      <c r="V286" s="55" t="str">
        <f>IFERROR(__xludf.DUMMYFUNCTION("QUERY('Volunteer Survey'!O295)"),"")</f>
        <v/>
      </c>
      <c r="W286" s="66" t="str">
        <f>IFERROR(__xludf.DUMMYFUNCTION("QUERY('Volunteer Survey'!P295)"),"")</f>
        <v/>
      </c>
      <c r="X286" s="64" t="str">
        <f>IFERROR(__xludf.DUMMYFUNCTION("QUERY('Volunteer Survey'!R295)"),"")</f>
        <v/>
      </c>
      <c r="Y286" s="53"/>
      <c r="Z286" s="55"/>
      <c r="AA286" s="55"/>
      <c r="AB286" s="55"/>
      <c r="AC286" s="55"/>
      <c r="AD286" s="55"/>
      <c r="AE286" s="55"/>
      <c r="AF286" s="55"/>
      <c r="AG286" s="55"/>
      <c r="AH286" s="55"/>
      <c r="AI286" s="55"/>
      <c r="AJ286" s="55"/>
      <c r="AK286" s="55"/>
      <c r="AL286" s="55"/>
      <c r="AM286" s="55"/>
      <c r="AN286" s="55"/>
      <c r="AO286" s="55"/>
    </row>
    <row r="287">
      <c r="A287" s="50">
        <f>IFERROR(__xludf.DUMMYFUNCTION("QUERY('Volunteer Survey'!A296)"),43711.41696469907)</f>
        <v>43711.41696</v>
      </c>
      <c r="B287" s="48" t="s">
        <v>108</v>
      </c>
      <c r="C287" s="53"/>
      <c r="D287" s="56">
        <v>43626.0</v>
      </c>
      <c r="E287" s="48" t="s">
        <v>117</v>
      </c>
      <c r="F287" s="48" t="s">
        <v>130</v>
      </c>
      <c r="G287" s="48" t="s">
        <v>251</v>
      </c>
      <c r="H287" s="53"/>
      <c r="I287" s="51" t="s">
        <v>356</v>
      </c>
      <c r="J287" s="55"/>
      <c r="K287" s="55"/>
      <c r="L287" s="55" t="str">
        <f>IFERROR(__xludf.DUMMYFUNCTION("QUERY('Volunteer Survey'!B296)"),"Elaine Spector")</f>
        <v>Elaine Spector</v>
      </c>
      <c r="M287" s="55" t="str">
        <f>IFERROR(__xludf.DUMMYFUNCTION("QUERY('Volunteer Survey'!E296)"),"elaine.spector@childrenscolorado.org")</f>
        <v>elaine.spector@childrenscolorado.org</v>
      </c>
      <c r="N287" s="55" t="str">
        <f>IFERROR(__xludf.DUMMYFUNCTION("QUERY('Volunteer Survey'!F296)"),"Clinical laboratory geneticist")</f>
        <v>Clinical laboratory geneticist</v>
      </c>
      <c r="O287" s="48" t="str">
        <f>IFERROR(__xludf.DUMMYFUNCTION("QUERY('Volunteer Survey'!H296)"),"Comprehensive")</f>
        <v>Comprehensive</v>
      </c>
      <c r="P287" s="55" t="str">
        <f>IFERROR(__xludf.DUMMYFUNCTION("QUERY('Volunteer Survey'!I296)"),"Variant Pathogenicity")</f>
        <v>Variant Pathogenicity</v>
      </c>
      <c r="Q287" s="60" t="str">
        <f>IFERROR(__xludf.DUMMYFUNCTION("QUERY('Volunteer Survey'!J296)"),"")</f>
        <v/>
      </c>
      <c r="R287" s="55" t="str">
        <f>IFERROR(__xludf.DUMMYFUNCTION("QUERY('Volunteer Survey'!K296)"),"")</f>
        <v/>
      </c>
      <c r="S287" s="55" t="str">
        <f>IFERROR(__xludf.DUMMYFUNCTION("QUERY('Volunteer Survey'!L296)"),"")</f>
        <v/>
      </c>
      <c r="T287" s="55" t="str">
        <f>IFERROR(__xludf.DUMMYFUNCTION("QUERY('Volunteer Survey'!M296)"),"")</f>
        <v/>
      </c>
      <c r="U287" s="64" t="str">
        <f>IFERROR(__xludf.DUMMYFUNCTION("QUERY('Volunteer Survey'!N296)"),"")</f>
        <v/>
      </c>
      <c r="V287" s="55" t="str">
        <f>IFERROR(__xludf.DUMMYFUNCTION("QUERY('Volunteer Survey'!O296)"),"")</f>
        <v/>
      </c>
      <c r="W287" s="66" t="str">
        <f>IFERROR(__xludf.DUMMYFUNCTION("QUERY('Volunteer Survey'!P296)"),"")</f>
        <v/>
      </c>
      <c r="X287" s="64" t="str">
        <f>IFERROR(__xludf.DUMMYFUNCTION("QUERY('Volunteer Survey'!R296)"),"")</f>
        <v/>
      </c>
      <c r="Y287" s="53"/>
      <c r="Z287" s="55"/>
      <c r="AA287" s="55"/>
      <c r="AB287" s="55"/>
      <c r="AC287" s="55"/>
      <c r="AD287" s="55"/>
      <c r="AE287" s="55"/>
      <c r="AF287" s="55"/>
      <c r="AG287" s="55"/>
      <c r="AH287" s="55"/>
      <c r="AI287" s="55"/>
      <c r="AJ287" s="55"/>
      <c r="AK287" s="55"/>
      <c r="AL287" s="55"/>
      <c r="AM287" s="55"/>
      <c r="AN287" s="55"/>
      <c r="AO287" s="55"/>
    </row>
    <row r="288">
      <c r="A288" s="50">
        <f>IFERROR(__xludf.DUMMYFUNCTION("QUERY('Volunteer Survey'!A297)"),43711.422284594904)</f>
        <v>43711.42228</v>
      </c>
      <c r="B288" s="48" t="s">
        <v>108</v>
      </c>
      <c r="C288" s="53"/>
      <c r="D288" s="56">
        <v>43608.0</v>
      </c>
      <c r="E288" s="48" t="s">
        <v>117</v>
      </c>
      <c r="F288" s="48" t="s">
        <v>117</v>
      </c>
      <c r="G288" s="48" t="s">
        <v>251</v>
      </c>
      <c r="H288" s="51" t="s">
        <v>305</v>
      </c>
      <c r="I288" s="51" t="s">
        <v>356</v>
      </c>
      <c r="J288" s="56">
        <v>43712.0</v>
      </c>
      <c r="K288" s="56"/>
      <c r="L288" s="55" t="str">
        <f>IFERROR(__xludf.DUMMYFUNCTION("QUERY('Volunteer Survey'!B297)"),"Laura Fuqua")</f>
        <v>Laura Fuqua</v>
      </c>
      <c r="M288" s="55" t="str">
        <f>IFERROR(__xludf.DUMMYFUNCTION("QUERY('Volunteer Survey'!E297)"),"laura.fuqua@gmail.com")</f>
        <v>laura.fuqua@gmail.com</v>
      </c>
      <c r="N288" s="55" t="str">
        <f>IFERROR(__xludf.DUMMYFUNCTION("QUERY('Volunteer Survey'!F297)"),"Genetic counselor")</f>
        <v>Genetic counselor</v>
      </c>
      <c r="O288" s="48" t="str">
        <f>IFERROR(__xludf.DUMMYFUNCTION("QUERY('Volunteer Survey'!H297)"),"Comprehensive")</f>
        <v>Comprehensive</v>
      </c>
      <c r="P288" s="55" t="str">
        <f>IFERROR(__xludf.DUMMYFUNCTION("QUERY('Volunteer Survey'!I297)"),"Variant Pathogenicity")</f>
        <v>Variant Pathogenicity</v>
      </c>
      <c r="Q288" s="60" t="str">
        <f>IFERROR(__xludf.DUMMYFUNCTION("QUERY('Volunteer Survey'!J297)"),"")</f>
        <v/>
      </c>
      <c r="R288" s="55" t="str">
        <f>IFERROR(__xludf.DUMMYFUNCTION("QUERY('Volunteer Survey'!K297)"),"")</f>
        <v/>
      </c>
      <c r="S288" s="55" t="str">
        <f>IFERROR(__xludf.DUMMYFUNCTION("QUERY('Volunteer Survey'!L297)"),"")</f>
        <v/>
      </c>
      <c r="T288" s="55" t="str">
        <f>IFERROR(__xludf.DUMMYFUNCTION("QUERY('Volunteer Survey'!M297)"),"")</f>
        <v/>
      </c>
      <c r="U288" s="64" t="str">
        <f>IFERROR(__xludf.DUMMYFUNCTION("QUERY('Volunteer Survey'!N297)"),"")</f>
        <v/>
      </c>
      <c r="V288" s="55" t="str">
        <f>IFERROR(__xludf.DUMMYFUNCTION("QUERY('Volunteer Survey'!O297)"),"")</f>
        <v/>
      </c>
      <c r="W288" s="66" t="str">
        <f>IFERROR(__xludf.DUMMYFUNCTION("QUERY('Volunteer Survey'!P297)"),"")</f>
        <v/>
      </c>
      <c r="X288" s="64" t="str">
        <f>IFERROR(__xludf.DUMMYFUNCTION("QUERY('Volunteer Survey'!R297)"),"")</f>
        <v/>
      </c>
      <c r="Y288" s="53"/>
      <c r="Z288" s="55"/>
      <c r="AA288" s="55"/>
      <c r="AB288" s="55"/>
      <c r="AC288" s="55"/>
      <c r="AD288" s="55"/>
      <c r="AE288" s="55"/>
      <c r="AF288" s="55"/>
      <c r="AG288" s="55"/>
      <c r="AH288" s="55"/>
      <c r="AI288" s="55"/>
      <c r="AJ288" s="55"/>
      <c r="AK288" s="55"/>
      <c r="AL288" s="55"/>
      <c r="AM288" s="55"/>
      <c r="AN288" s="55"/>
      <c r="AO288" s="55"/>
    </row>
    <row r="289">
      <c r="A289" s="50">
        <f>IFERROR(__xludf.DUMMYFUNCTION("QUERY('Volunteer Survey'!A298)"),43712.77477491898)</f>
        <v>43712.77477</v>
      </c>
      <c r="B289" s="48" t="s">
        <v>322</v>
      </c>
      <c r="C289" s="53"/>
      <c r="D289" s="55"/>
      <c r="E289" s="55"/>
      <c r="F289" s="48" t="s">
        <v>130</v>
      </c>
      <c r="G289" s="48" t="s">
        <v>313</v>
      </c>
      <c r="H289" s="53"/>
      <c r="I289" s="53"/>
      <c r="J289" s="55"/>
      <c r="K289" s="55"/>
      <c r="L289" s="55" t="str">
        <f>IFERROR(__xludf.DUMMYFUNCTION("QUERY('Volunteer Survey'!B298)"),"Kelly McGoldrick")</f>
        <v>Kelly McGoldrick</v>
      </c>
      <c r="M289" s="55" t="str">
        <f>IFERROR(__xludf.DUMMYFUNCTION("QUERY('Volunteer Survey'!E298)"),"kmcgoldrick@ambrygenetics.com")</f>
        <v>kmcgoldrick@ambrygenetics.com</v>
      </c>
      <c r="N289" s="55" t="str">
        <f>IFERROR(__xludf.DUMMYFUNCTION("QUERY('Volunteer Survey'!F298)"),"Variant Analyst/Scientist - Industry")</f>
        <v>Variant Analyst/Scientist - Industry</v>
      </c>
      <c r="O289" s="48" t="str">
        <f>IFERROR(__xludf.DUMMYFUNCTION("QUERY('Volunteer Survey'!H298)"),"Comprehensive")</f>
        <v>Comprehensive</v>
      </c>
      <c r="P289" s="55" t="str">
        <f>IFERROR(__xludf.DUMMYFUNCTION("QUERY('Volunteer Survey'!I298)"),"")</f>
        <v/>
      </c>
      <c r="Q289" s="60" t="str">
        <f>IFERROR(__xludf.DUMMYFUNCTION("QUERY('Volunteer Survey'!J298)"),"")</f>
        <v/>
      </c>
      <c r="R289" s="55" t="str">
        <f>IFERROR(__xludf.DUMMYFUNCTION("QUERY('Volunteer Survey'!K298)"),"")</f>
        <v/>
      </c>
      <c r="S289" s="55" t="str">
        <f>IFERROR(__xludf.DUMMYFUNCTION("QUERY('Volunteer Survey'!L298)"),"")</f>
        <v/>
      </c>
      <c r="T289" s="55" t="str">
        <f>IFERROR(__xludf.DUMMYFUNCTION("QUERY('Volunteer Survey'!M298)"),"")</f>
        <v/>
      </c>
      <c r="U289" s="64" t="str">
        <f>IFERROR(__xludf.DUMMYFUNCTION("QUERY('Volunteer Survey'!N298)"),"I am a variant curation scientist at Ambry Genetics")</f>
        <v>I am a variant curation scientist at Ambry Genetics</v>
      </c>
      <c r="V289" s="55" t="str">
        <f>IFERROR(__xludf.DUMMYFUNCTION("QUERY('Volunteer Survey'!O298)"),"Possibly")</f>
        <v>Possibly</v>
      </c>
      <c r="W289" s="66" t="str">
        <f>IFERROR(__xludf.DUMMYFUNCTION("QUERY('Volunteer Survey'!P298)"),"Already a member of TP53 and VHL groups")</f>
        <v>Already a member of TP53 and VHL groups</v>
      </c>
      <c r="X289" s="64" t="str">
        <f>IFERROR(__xludf.DUMMYFUNCTION("QUERY('Volunteer Survey'!R298)"),"No - I am only interested in the group(s) I previously indicated")</f>
        <v>No - I am only interested in the group(s) I previously indicated</v>
      </c>
      <c r="Y289" s="53"/>
      <c r="Z289" s="55"/>
      <c r="AA289" s="55"/>
      <c r="AB289" s="55"/>
      <c r="AC289" s="55"/>
      <c r="AD289" s="55"/>
      <c r="AE289" s="55"/>
      <c r="AF289" s="55"/>
      <c r="AG289" s="55"/>
      <c r="AH289" s="55"/>
      <c r="AI289" s="55"/>
      <c r="AJ289" s="55"/>
      <c r="AK289" s="55"/>
      <c r="AL289" s="55"/>
      <c r="AM289" s="55"/>
      <c r="AN289" s="55"/>
      <c r="AO289" s="55"/>
    </row>
    <row r="290">
      <c r="A290" s="50">
        <f>IFERROR(__xludf.DUMMYFUNCTION("QUERY('Volunteer Survey'!A299)"),43713.48872883102)</f>
        <v>43713.48873</v>
      </c>
      <c r="B290" s="48" t="s">
        <v>108</v>
      </c>
      <c r="C290" s="79">
        <v>43819.0</v>
      </c>
      <c r="D290" s="55"/>
      <c r="E290" s="55"/>
      <c r="F290" s="48" t="s">
        <v>130</v>
      </c>
      <c r="G290" s="48" t="s">
        <v>251</v>
      </c>
      <c r="H290" s="53"/>
      <c r="I290" s="53"/>
      <c r="J290" s="55"/>
      <c r="K290" s="55"/>
      <c r="L290" s="55" t="str">
        <f>IFERROR(__xludf.DUMMYFUNCTION("QUERY('Volunteer Survey'!B299)"),"Patricia Harper")</f>
        <v>Patricia Harper</v>
      </c>
      <c r="M290" s="55" t="str">
        <f>IFERROR(__xludf.DUMMYFUNCTION("QUERY('Volunteer Survey'!E299)"),"pharper@cheo.on.ca")</f>
        <v>pharper@cheo.on.ca</v>
      </c>
      <c r="N290" s="55" t="str">
        <f>IFERROR(__xludf.DUMMYFUNCTION("QUERY('Volunteer Survey'!F299)"),"Genetic counselor")</f>
        <v>Genetic counselor</v>
      </c>
      <c r="O290" s="48" t="str">
        <f>IFERROR(__xludf.DUMMYFUNCTION("QUERY('Volunteer Survey'!H299)"),"Comprehensive")</f>
        <v>Comprehensive</v>
      </c>
      <c r="P290" s="55" t="str">
        <f>IFERROR(__xludf.DUMMYFUNCTION("QUERY('Volunteer Survey'!I299)"),"Variant Pathogenicity")</f>
        <v>Variant Pathogenicity</v>
      </c>
      <c r="Q290" s="60" t="str">
        <f>IFERROR(__xludf.DUMMYFUNCTION("QUERY('Volunteer Survey'!J299)"),"Clinical Actionability")</f>
        <v>Clinical Actionability</v>
      </c>
      <c r="R290" s="55" t="str">
        <f>IFERROR(__xludf.DUMMYFUNCTION("QUERY('Volunteer Survey'!K299)"),"Gene-Disease Validity")</f>
        <v>Gene-Disease Validity</v>
      </c>
      <c r="S290" s="55" t="str">
        <f>IFERROR(__xludf.DUMMYFUNCTION("QUERY('Volunteer Survey'!L299)"),"")</f>
        <v/>
      </c>
      <c r="T290" s="55" t="str">
        <f>IFERROR(__xludf.DUMMYFUNCTION("QUERY('Volunteer Survey'!M299)"),"")</f>
        <v/>
      </c>
      <c r="U290" s="64" t="str">
        <f>IFERROR(__xludf.DUMMYFUNCTION("QUERY('Volunteer Survey'!N299)"),"Yes, currently a member of the ClinGen Cardiomyopathy VCC")</f>
        <v>Yes, currently a member of the ClinGen Cardiomyopathy VCC</v>
      </c>
      <c r="V290" s="55" t="str">
        <f>IFERROR(__xludf.DUMMYFUNCTION("QUERY('Volunteer Survey'!O299)"),"Possibly")</f>
        <v>Possibly</v>
      </c>
      <c r="W290" s="66" t="str">
        <f>IFERROR(__xludf.DUMMYFUNCTION("QUERY('Volunteer Survey'!P299)"),"Hereditary cancer (and/or associated genes such as TP53)")</f>
        <v>Hereditary cancer (and/or associated genes such as TP53)</v>
      </c>
      <c r="X290" s="64" t="str">
        <f>IFERROR(__xludf.DUMMYFUNCTION("QUERY('Volunteer Survey'!R299)"),"Maybe -- please contact me with other options, and I will decide based on what is available")</f>
        <v>Maybe -- please contact me with other options, and I will decide based on what is available</v>
      </c>
      <c r="Y290" s="53"/>
      <c r="Z290" s="55"/>
      <c r="AA290" s="55"/>
      <c r="AB290" s="55"/>
      <c r="AC290" s="55"/>
      <c r="AD290" s="55"/>
      <c r="AE290" s="55"/>
      <c r="AF290" s="55"/>
      <c r="AG290" s="55"/>
      <c r="AH290" s="55"/>
      <c r="AI290" s="55"/>
      <c r="AJ290" s="55"/>
      <c r="AK290" s="55"/>
      <c r="AL290" s="55"/>
      <c r="AM290" s="55"/>
      <c r="AN290" s="55"/>
      <c r="AO290" s="55"/>
    </row>
    <row r="291">
      <c r="A291" s="50">
        <f>IFERROR(__xludf.DUMMYFUNCTION("QUERY('Volunteer Survey'!A300)"),43714.55424548611)</f>
        <v>43714.55425</v>
      </c>
      <c r="B291" s="48" t="s">
        <v>322</v>
      </c>
      <c r="C291" s="53"/>
      <c r="D291" s="55"/>
      <c r="E291" s="55"/>
      <c r="F291" s="48" t="s">
        <v>130</v>
      </c>
      <c r="G291" s="48" t="s">
        <v>136</v>
      </c>
      <c r="H291" s="53"/>
      <c r="I291" s="53"/>
      <c r="J291" s="55"/>
      <c r="K291" s="55"/>
      <c r="L291" s="55" t="str">
        <f>IFERROR(__xludf.DUMMYFUNCTION("QUERY('Volunteer Survey'!B300)"),"Rasha hekal ")</f>
        <v>Rasha hekal </v>
      </c>
      <c r="M291" s="55" t="str">
        <f>IFERROR(__xludf.DUMMYFUNCTION("QUERY('Volunteer Survey'!E300)"),"rasha.hekal.152003@gmail.com")</f>
        <v>rasha.hekal.152003@gmail.com</v>
      </c>
      <c r="N291" s="55" t="str">
        <f>IFERROR(__xludf.DUMMYFUNCTION("QUERY('Volunteer Survey'!F300)"),"Undergraduate Student")</f>
        <v>Undergraduate Student</v>
      </c>
      <c r="O291" s="48" t="str">
        <f>IFERROR(__xludf.DUMMYFUNCTION("QUERY('Volunteer Survey'!H300)"),"Comprehensive")</f>
        <v>Comprehensive</v>
      </c>
      <c r="P291" s="55" t="str">
        <f>IFERROR(__xludf.DUMMYFUNCTION("QUERY('Volunteer Survey'!I300)"),"Somatic Cancer")</f>
        <v>Somatic Cancer</v>
      </c>
      <c r="Q291" s="60" t="str">
        <f>IFERROR(__xludf.DUMMYFUNCTION("QUERY('Volunteer Survey'!J300)"),"Gene-Disease Validity")</f>
        <v>Gene-Disease Validity</v>
      </c>
      <c r="R291" s="55" t="str">
        <f>IFERROR(__xludf.DUMMYFUNCTION("QUERY('Volunteer Survey'!K300)"),"Clinical Actionability")</f>
        <v>Clinical Actionability</v>
      </c>
      <c r="S291" s="55" t="str">
        <f>IFERROR(__xludf.DUMMYFUNCTION("QUERY('Volunteer Survey'!L300)"),"Dosage Sensitivity")</f>
        <v>Dosage Sensitivity</v>
      </c>
      <c r="T291" s="55" t="str">
        <f>IFERROR(__xludf.DUMMYFUNCTION("QUERY('Volunteer Survey'!M300)"),"Variant Pathogenicity")</f>
        <v>Variant Pathogenicity</v>
      </c>
      <c r="U291" s="64" t="str">
        <f>IFERROR(__xludf.DUMMYFUNCTION("QUERY('Volunteer Survey'!N300)"),"No I didn't have but I have a lot of information.")</f>
        <v>No I didn't have but I have a lot of information.</v>
      </c>
      <c r="V291" s="55" t="str">
        <f>IFERROR(__xludf.DUMMYFUNCTION("QUERY('Volunteer Survey'!O300)"),"Yes")</f>
        <v>Yes</v>
      </c>
      <c r="W291" s="66" t="str">
        <f>IFERROR(__xludf.DUMMYFUNCTION("QUERY('Volunteer Survey'!P300)"),"Yes I am very interested to join this group. ")</f>
        <v>Yes I am very interested to join this group. </v>
      </c>
      <c r="X291" s="64" t="str">
        <f>IFERROR(__xludf.DUMMYFUNCTION("QUERY('Volunteer Survey'!R300)"),"Yes- I am willing to volunteer with any available ClinGen group")</f>
        <v>Yes- I am willing to volunteer with any available ClinGen group</v>
      </c>
      <c r="Y291" s="53"/>
      <c r="Z291" s="55"/>
      <c r="AA291" s="55"/>
      <c r="AB291" s="55"/>
      <c r="AC291" s="55"/>
      <c r="AD291" s="55"/>
      <c r="AE291" s="55"/>
      <c r="AF291" s="55"/>
      <c r="AG291" s="55"/>
      <c r="AH291" s="55"/>
      <c r="AI291" s="55"/>
      <c r="AJ291" s="55"/>
      <c r="AK291" s="55"/>
      <c r="AL291" s="55"/>
      <c r="AM291" s="55"/>
      <c r="AN291" s="55"/>
      <c r="AO291" s="55"/>
    </row>
    <row r="292">
      <c r="A292" s="50">
        <f>IFERROR(__xludf.DUMMYFUNCTION("QUERY('Volunteer Survey'!A301)"),43714.70152723379)</f>
        <v>43714.70153</v>
      </c>
      <c r="B292" s="48" t="s">
        <v>108</v>
      </c>
      <c r="C292" s="53"/>
      <c r="D292" s="55"/>
      <c r="E292" s="55"/>
      <c r="F292" s="48" t="s">
        <v>130</v>
      </c>
      <c r="G292" s="48" t="s">
        <v>202</v>
      </c>
      <c r="H292" s="53"/>
      <c r="I292" s="51" t="s">
        <v>139</v>
      </c>
      <c r="J292" s="55"/>
      <c r="K292" s="55"/>
      <c r="L292" s="55" t="str">
        <f>IFERROR(__xludf.DUMMYFUNCTION("QUERY('Volunteer Survey'!B301)"),"Nathaniel Jue")</f>
        <v>Nathaniel Jue</v>
      </c>
      <c r="M292" s="55" t="str">
        <f>IFERROR(__xludf.DUMMYFUNCTION("QUERY('Volunteer Survey'!E301)"),"njue@csumb.edu")</f>
        <v>njue@csumb.edu</v>
      </c>
      <c r="N292" s="55" t="str">
        <f>IFERROR(__xludf.DUMMYFUNCTION("QUERY('Volunteer Survey'!F301)"),"Scientific Researcher")</f>
        <v>Scientific Researcher</v>
      </c>
      <c r="O292" s="48" t="str">
        <f>IFERROR(__xludf.DUMMYFUNCTION("QUERY('Volunteer Survey'!H301)"),"Baseline")</f>
        <v>Baseline</v>
      </c>
      <c r="P292" s="55" t="str">
        <f>IFERROR(__xludf.DUMMYFUNCTION("QUERY('Volunteer Survey'!I301)"),"")</f>
        <v/>
      </c>
      <c r="Q292" s="60" t="str">
        <f>IFERROR(__xludf.DUMMYFUNCTION("QUERY('Volunteer Survey'!J301)"),"")</f>
        <v/>
      </c>
      <c r="R292" s="55" t="str">
        <f>IFERROR(__xludf.DUMMYFUNCTION("QUERY('Volunteer Survey'!K301)"),"")</f>
        <v/>
      </c>
      <c r="S292" s="55" t="str">
        <f>IFERROR(__xludf.DUMMYFUNCTION("QUERY('Volunteer Survey'!L301)"),"")</f>
        <v/>
      </c>
      <c r="T292" s="55" t="str">
        <f>IFERROR(__xludf.DUMMYFUNCTION("QUERY('Volunteer Survey'!M301)"),"")</f>
        <v/>
      </c>
      <c r="U292" s="64" t="str">
        <f>IFERROR(__xludf.DUMMYFUNCTION("QUERY('Volunteer Survey'!N301)"),"De novo genome annotation")</f>
        <v>De novo genome annotation</v>
      </c>
      <c r="V292" s="55" t="str">
        <f>IFERROR(__xludf.DUMMYFUNCTION("QUERY('Volunteer Survey'!O301)"),"Possibly")</f>
        <v>Possibly</v>
      </c>
      <c r="W292" s="66" t="str">
        <f>IFERROR(__xludf.DUMMYFUNCTION("QUERY('Volunteer Survey'!P301)"),"No")</f>
        <v>No</v>
      </c>
      <c r="X292" s="64" t="str">
        <f>IFERROR(__xludf.DUMMYFUNCTION("QUERY('Volunteer Survey'!R301)"),"Maybe -- please contact me with other options, and I will decide based on what is available")</f>
        <v>Maybe -- please contact me with other options, and I will decide based on what is available</v>
      </c>
      <c r="Y292" s="53"/>
      <c r="Z292" s="55"/>
      <c r="AA292" s="55"/>
      <c r="AB292" s="55"/>
      <c r="AC292" s="55"/>
      <c r="AD292" s="55"/>
      <c r="AE292" s="55"/>
      <c r="AF292" s="55"/>
      <c r="AG292" s="55"/>
      <c r="AH292" s="55"/>
      <c r="AI292" s="55"/>
      <c r="AJ292" s="55"/>
      <c r="AK292" s="55"/>
      <c r="AL292" s="55"/>
      <c r="AM292" s="55"/>
      <c r="AN292" s="55"/>
      <c r="AO292" s="55"/>
    </row>
    <row r="293">
      <c r="A293" s="50">
        <f>IFERROR(__xludf.DUMMYFUNCTION("QUERY('Volunteer Survey'!A302)"),43716.695717106486)</f>
        <v>43716.69572</v>
      </c>
      <c r="B293" s="48" t="s">
        <v>322</v>
      </c>
      <c r="C293" s="53"/>
      <c r="D293" s="55"/>
      <c r="E293" s="55"/>
      <c r="F293" s="48" t="s">
        <v>130</v>
      </c>
      <c r="G293" s="48" t="s">
        <v>136</v>
      </c>
      <c r="H293" s="53"/>
      <c r="I293" s="53"/>
      <c r="J293" s="55"/>
      <c r="K293" s="55"/>
      <c r="L293" s="55" t="str">
        <f>IFERROR(__xludf.DUMMYFUNCTION("QUERY('Volunteer Survey'!B302)"),"Nihal Ahmed ")</f>
        <v>Nihal Ahmed </v>
      </c>
      <c r="M293" s="55" t="str">
        <f>IFERROR(__xludf.DUMMYFUNCTION("QUERY('Volunteer Survey'!E302)"),"nihalahmed087@gmail.com")</f>
        <v>nihalahmed087@gmail.com</v>
      </c>
      <c r="N293" s="55" t="str">
        <f>IFERROR(__xludf.DUMMYFUNCTION("QUERY('Volunteer Survey'!F302)"),"Undergraduate Student")</f>
        <v>Undergraduate Student</v>
      </c>
      <c r="O293" s="48" t="str">
        <f>IFERROR(__xludf.DUMMYFUNCTION("QUERY('Volunteer Survey'!H302)"),"Comprehensive")</f>
        <v>Comprehensive</v>
      </c>
      <c r="P293" s="55" t="str">
        <f>IFERROR(__xludf.DUMMYFUNCTION("QUERY('Volunteer Survey'!I302)"),"Somatic Cancer")</f>
        <v>Somatic Cancer</v>
      </c>
      <c r="Q293" s="60" t="str">
        <f>IFERROR(__xludf.DUMMYFUNCTION("QUERY('Volunteer Survey'!J302)"),"Gene-Disease Validity")</f>
        <v>Gene-Disease Validity</v>
      </c>
      <c r="R293" s="55" t="str">
        <f>IFERROR(__xludf.DUMMYFUNCTION("QUERY('Volunteer Survey'!K302)"),"Variant Pathogenicity")</f>
        <v>Variant Pathogenicity</v>
      </c>
      <c r="S293" s="55" t="str">
        <f>IFERROR(__xludf.DUMMYFUNCTION("QUERY('Volunteer Survey'!L302)"),"Clinical Actionability")</f>
        <v>Clinical Actionability</v>
      </c>
      <c r="T293" s="55" t="str">
        <f>IFERROR(__xludf.DUMMYFUNCTION("QUERY('Volunteer Survey'!M302)"),"Dosage Sensitivity")</f>
        <v>Dosage Sensitivity</v>
      </c>
      <c r="U293" s="64" t="str">
        <f>IFERROR(__xludf.DUMMYFUNCTION("QUERY('Volunteer Survey'!N302)"),"No, this is the first time for me to join something like this")</f>
        <v>No, this is the first time for me to join something like this</v>
      </c>
      <c r="V293" s="55" t="str">
        <f>IFERROR(__xludf.DUMMYFUNCTION("QUERY('Volunteer Survey'!O302)"),"Possibly")</f>
        <v>Possibly</v>
      </c>
      <c r="W293" s="66" t="str">
        <f>IFERROR(__xludf.DUMMYFUNCTION("QUERY('Volunteer Survey'!P302)"),"Not so interested ")</f>
        <v>Not so interested </v>
      </c>
      <c r="X293" s="64" t="str">
        <f>IFERROR(__xludf.DUMMYFUNCTION("QUERY('Volunteer Survey'!R302)"),"Maybe -- please contact me with other options, and I will decide based on what is available")</f>
        <v>Maybe -- please contact me with other options, and I will decide based on what is available</v>
      </c>
      <c r="Y293" s="53"/>
      <c r="Z293" s="55"/>
      <c r="AA293" s="55"/>
      <c r="AB293" s="55"/>
      <c r="AC293" s="55"/>
      <c r="AD293" s="55"/>
      <c r="AE293" s="55"/>
      <c r="AF293" s="55"/>
      <c r="AG293" s="55"/>
      <c r="AH293" s="55"/>
      <c r="AI293" s="55"/>
      <c r="AJ293" s="55"/>
      <c r="AK293" s="55"/>
      <c r="AL293" s="55"/>
      <c r="AM293" s="55"/>
      <c r="AN293" s="55"/>
      <c r="AO293" s="55"/>
    </row>
    <row r="294">
      <c r="A294" s="50">
        <f>IFERROR(__xludf.DUMMYFUNCTION("QUERY('Volunteer Survey'!A303)"),43717.72172622685)</f>
        <v>43717.72173</v>
      </c>
      <c r="B294" s="48" t="s">
        <v>108</v>
      </c>
      <c r="C294" s="79">
        <v>43819.0</v>
      </c>
      <c r="D294" s="73">
        <v>43846.0</v>
      </c>
      <c r="E294" s="48" t="s">
        <v>117</v>
      </c>
      <c r="F294" s="48" t="s">
        <v>130</v>
      </c>
      <c r="G294" s="48" t="s">
        <v>122</v>
      </c>
      <c r="H294" s="53"/>
      <c r="I294" s="53"/>
      <c r="J294" s="55"/>
      <c r="K294" s="55"/>
      <c r="L294" s="55" t="str">
        <f>IFERROR(__xludf.DUMMYFUNCTION("QUERY('Volunteer Survey'!B303)"),"Xiaoting Ma")</f>
        <v>Xiaoting Ma</v>
      </c>
      <c r="M294" s="55" t="str">
        <f>IFERROR(__xludf.DUMMYFUNCTION("QUERY('Volunteer Survey'!E303)"),"Xiaoting.Ma@childrens.harvard.edu")</f>
        <v>Xiaoting.Ma@childrens.harvard.edu</v>
      </c>
      <c r="N294" s="55" t="str">
        <f>IFERROR(__xludf.DUMMYFUNCTION("QUERY('Volunteer Survey'!F303)"),"Post Doc/Resident/Fellow (MD and/or PhD)")</f>
        <v>Post Doc/Resident/Fellow (MD and/or PhD)</v>
      </c>
      <c r="O294" s="48" t="str">
        <f>IFERROR(__xludf.DUMMYFUNCTION("QUERY('Volunteer Survey'!H303)"),"Comprehensive")</f>
        <v>Comprehensive</v>
      </c>
      <c r="P294" s="55" t="str">
        <f>IFERROR(__xludf.DUMMYFUNCTION("QUERY('Volunteer Survey'!I303)"),"Gene-Disease Validity")</f>
        <v>Gene-Disease Validity</v>
      </c>
      <c r="Q294" s="60" t="str">
        <f>IFERROR(__xludf.DUMMYFUNCTION("QUERY('Volunteer Survey'!J303)"),"Variant Pathogenicity")</f>
        <v>Variant Pathogenicity</v>
      </c>
      <c r="R294" s="55" t="str">
        <f>IFERROR(__xludf.DUMMYFUNCTION("QUERY('Volunteer Survey'!K303)"),"Somatic Cancer")</f>
        <v>Somatic Cancer</v>
      </c>
      <c r="S294" s="55" t="str">
        <f>IFERROR(__xludf.DUMMYFUNCTION("QUERY('Volunteer Survey'!L303)"),"Dosage Sensitivity")</f>
        <v>Dosage Sensitivity</v>
      </c>
      <c r="T294" s="55" t="str">
        <f>IFERROR(__xludf.DUMMYFUNCTION("QUERY('Volunteer Survey'!M303)"),"Clinical Actionability")</f>
        <v>Clinical Actionability</v>
      </c>
      <c r="U294" s="64" t="str">
        <f>IFERROR(__xludf.DUMMYFUNCTION("QUERY('Volunteer Survey'!N303)"),"")</f>
        <v/>
      </c>
      <c r="V294" s="55" t="str">
        <f>IFERROR(__xludf.DUMMYFUNCTION("QUERY('Volunteer Survey'!O303)"),"Yes")</f>
        <v>Yes</v>
      </c>
      <c r="W294" s="66" t="str">
        <f>IFERROR(__xludf.DUMMYFUNCTION("QUERY('Volunteer Survey'!P303)"),"I am open to any opportunities")</f>
        <v>I am open to any opportunities</v>
      </c>
      <c r="X294" s="64" t="str">
        <f>IFERROR(__xludf.DUMMYFUNCTION("QUERY('Volunteer Survey'!R303)"),"Yes- I am willing to volunteer with any available ClinGen group")</f>
        <v>Yes- I am willing to volunteer with any available ClinGen group</v>
      </c>
      <c r="Y294" s="53"/>
      <c r="Z294" s="55"/>
      <c r="AA294" s="55"/>
      <c r="AB294" s="55"/>
      <c r="AC294" s="55"/>
      <c r="AD294" s="55"/>
      <c r="AE294" s="55"/>
      <c r="AF294" s="55"/>
      <c r="AG294" s="55"/>
      <c r="AH294" s="55"/>
      <c r="AI294" s="55"/>
      <c r="AJ294" s="55"/>
      <c r="AK294" s="55"/>
      <c r="AL294" s="55"/>
      <c r="AM294" s="55"/>
      <c r="AN294" s="55"/>
      <c r="AO294" s="55"/>
    </row>
    <row r="295">
      <c r="A295" s="50">
        <f>IFERROR(__xludf.DUMMYFUNCTION("QUERY('Volunteer Survey'!A304)"),43717.77896462963)</f>
        <v>43717.77896</v>
      </c>
      <c r="B295" s="48" t="s">
        <v>108</v>
      </c>
      <c r="C295" s="79">
        <v>43819.0</v>
      </c>
      <c r="D295" s="55"/>
      <c r="E295" s="55"/>
      <c r="F295" s="48" t="s">
        <v>130</v>
      </c>
      <c r="G295" s="48" t="s">
        <v>251</v>
      </c>
      <c r="H295" s="53"/>
      <c r="I295" s="53"/>
      <c r="J295" s="55"/>
      <c r="K295" s="55"/>
      <c r="L295" s="55" t="str">
        <f>IFERROR(__xludf.DUMMYFUNCTION("QUERY('Volunteer Survey'!B304)"),"Saja El Yaacoub")</f>
        <v>Saja El Yaacoub</v>
      </c>
      <c r="M295" s="55" t="str">
        <f>IFERROR(__xludf.DUMMYFUNCTION("QUERY('Volunteer Survey'!E304)"),"saja.alyaacoub@live.com")</f>
        <v>saja.alyaacoub@live.com</v>
      </c>
      <c r="N295" s="55" t="str">
        <f>IFERROR(__xludf.DUMMYFUNCTION("QUERY('Volunteer Survey'!F304)"),"Graduate Student")</f>
        <v>Graduate Student</v>
      </c>
      <c r="O295" s="48" t="str">
        <f>IFERROR(__xludf.DUMMYFUNCTION("QUERY('Volunteer Survey'!H304)"),"Comprehensive")</f>
        <v>Comprehensive</v>
      </c>
      <c r="P295" s="55" t="str">
        <f>IFERROR(__xludf.DUMMYFUNCTION("QUERY('Volunteer Survey'!I304)"),"Variant Pathogenicity")</f>
        <v>Variant Pathogenicity</v>
      </c>
      <c r="Q295" s="60" t="str">
        <f>IFERROR(__xludf.DUMMYFUNCTION("QUERY('Volunteer Survey'!J304)"),"Gene-Disease Validity")</f>
        <v>Gene-Disease Validity</v>
      </c>
      <c r="R295" s="55" t="str">
        <f>IFERROR(__xludf.DUMMYFUNCTION("QUERY('Volunteer Survey'!K304)"),"Somatic Cancer")</f>
        <v>Somatic Cancer</v>
      </c>
      <c r="S295" s="55" t="str">
        <f>IFERROR(__xludf.DUMMYFUNCTION("QUERY('Volunteer Survey'!L304)"),"Dosage Sensitivity")</f>
        <v>Dosage Sensitivity</v>
      </c>
      <c r="T295" s="55" t="str">
        <f>IFERROR(__xludf.DUMMYFUNCTION("QUERY('Volunteer Survey'!M304)"),"Clinical Actionability")</f>
        <v>Clinical Actionability</v>
      </c>
      <c r="U295" s="64" t="str">
        <f>IFERROR(__xludf.DUMMYFUNCTION("QUERY('Volunteer Survey'!N304)"),"")</f>
        <v/>
      </c>
      <c r="V295" s="55" t="str">
        <f>IFERROR(__xludf.DUMMYFUNCTION("QUERY('Volunteer Survey'!O304)"),"No")</f>
        <v>No</v>
      </c>
      <c r="W295" s="66" t="str">
        <f>IFERROR(__xludf.DUMMYFUNCTION("QUERY('Volunteer Survey'!P304)"),"Mitochondrial Diseases")</f>
        <v>Mitochondrial Diseases</v>
      </c>
      <c r="X295" s="64" t="str">
        <f>IFERROR(__xludf.DUMMYFUNCTION("QUERY('Volunteer Survey'!R304)"),"Yes- I am willing to volunteer with any available ClinGen group")</f>
        <v>Yes- I am willing to volunteer with any available ClinGen group</v>
      </c>
      <c r="Y295" s="53"/>
      <c r="Z295" s="55"/>
      <c r="AA295" s="55"/>
      <c r="AB295" s="55"/>
      <c r="AC295" s="55"/>
      <c r="AD295" s="55"/>
      <c r="AE295" s="55"/>
      <c r="AF295" s="55"/>
      <c r="AG295" s="55"/>
      <c r="AH295" s="55"/>
      <c r="AI295" s="55"/>
      <c r="AJ295" s="55"/>
      <c r="AK295" s="55"/>
      <c r="AL295" s="55"/>
      <c r="AM295" s="55"/>
      <c r="AN295" s="55"/>
      <c r="AO295" s="55"/>
    </row>
    <row r="296">
      <c r="A296" s="50">
        <f>IFERROR(__xludf.DUMMYFUNCTION("QUERY('Volunteer Survey'!A305)"),43718.61678217593)</f>
        <v>43718.61678</v>
      </c>
      <c r="B296" s="48" t="s">
        <v>168</v>
      </c>
      <c r="C296" s="53"/>
      <c r="D296" s="55"/>
      <c r="E296" s="55"/>
      <c r="F296" s="48" t="s">
        <v>130</v>
      </c>
      <c r="G296" s="48" t="s">
        <v>19</v>
      </c>
      <c r="H296" s="53"/>
      <c r="I296" s="53"/>
      <c r="J296" s="55"/>
      <c r="K296" s="55"/>
      <c r="L296" s="55" t="str">
        <f>IFERROR(__xludf.DUMMYFUNCTION("QUERY('Volunteer Survey'!B305)"),"Andrew Langlois")</f>
        <v>Andrew Langlois</v>
      </c>
      <c r="M296" s="55" t="str">
        <f>IFERROR(__xludf.DUMMYFUNCTION("QUERY('Volunteer Survey'!E305)"),"andrewlanglois001@gmail.com")</f>
        <v>andrewlanglois001@gmail.com</v>
      </c>
      <c r="N296" s="55" t="str">
        <f>IFERROR(__xludf.DUMMYFUNCTION("QUERY('Volunteer Survey'!F305)"),"Graduate Student")</f>
        <v>Graduate Student</v>
      </c>
      <c r="O296" s="48" t="str">
        <f>IFERROR(__xludf.DUMMYFUNCTION("QUERY('Volunteer Survey'!H305)"),"Comprehensive")</f>
        <v>Comprehensive</v>
      </c>
      <c r="P296" s="55" t="str">
        <f>IFERROR(__xludf.DUMMYFUNCTION("QUERY('Volunteer Survey'!I305)"),"Clinical Actionability")</f>
        <v>Clinical Actionability</v>
      </c>
      <c r="Q296" s="60" t="str">
        <f>IFERROR(__xludf.DUMMYFUNCTION("QUERY('Volunteer Survey'!J305)"),"Dosage Sensitivity")</f>
        <v>Dosage Sensitivity</v>
      </c>
      <c r="R296" s="55" t="str">
        <f>IFERROR(__xludf.DUMMYFUNCTION("QUERY('Volunteer Survey'!K305)"),"Somatic Cancer")</f>
        <v>Somatic Cancer</v>
      </c>
      <c r="S296" s="55" t="str">
        <f>IFERROR(__xludf.DUMMYFUNCTION("QUERY('Volunteer Survey'!L305)"),"Variant Pathogenicity")</f>
        <v>Variant Pathogenicity</v>
      </c>
      <c r="T296" s="55" t="str">
        <f>IFERROR(__xludf.DUMMYFUNCTION("QUERY('Volunteer Survey'!M305)"),"Gene-Disease Validity")</f>
        <v>Gene-Disease Validity</v>
      </c>
      <c r="U296" s="64" t="str">
        <f>IFERROR(__xludf.DUMMYFUNCTION("QUERY('Volunteer Survey'!N305)"),"No")</f>
        <v>No</v>
      </c>
      <c r="V296" s="55" t="str">
        <f>IFERROR(__xludf.DUMMYFUNCTION("QUERY('Volunteer Survey'!O305)"),"Yes")</f>
        <v>Yes</v>
      </c>
      <c r="W296" s="66" t="str">
        <f>IFERROR(__xludf.DUMMYFUNCTION("QUERY('Volunteer Survey'!P305)"),"")</f>
        <v/>
      </c>
      <c r="X296" s="64" t="str">
        <f>IFERROR(__xludf.DUMMYFUNCTION("QUERY('Volunteer Survey'!R305)"),"Yes- I am willing to volunteer with any available ClinGen group")</f>
        <v>Yes- I am willing to volunteer with any available ClinGen group</v>
      </c>
      <c r="Y296" s="53"/>
      <c r="Z296" s="55"/>
      <c r="AA296" s="55"/>
      <c r="AB296" s="55"/>
      <c r="AC296" s="55"/>
      <c r="AD296" s="55"/>
      <c r="AE296" s="55"/>
      <c r="AF296" s="55"/>
      <c r="AG296" s="55"/>
      <c r="AH296" s="55"/>
      <c r="AI296" s="55"/>
      <c r="AJ296" s="55"/>
      <c r="AK296" s="55"/>
      <c r="AL296" s="55"/>
      <c r="AM296" s="55"/>
      <c r="AN296" s="55"/>
      <c r="AO296" s="55"/>
    </row>
    <row r="297">
      <c r="A297" s="50">
        <f>IFERROR(__xludf.DUMMYFUNCTION("QUERY('Volunteer Survey'!A306)"),43720.90226984954)</f>
        <v>43720.90227</v>
      </c>
      <c r="B297" s="48" t="s">
        <v>108</v>
      </c>
      <c r="C297" s="79">
        <v>43819.0</v>
      </c>
      <c r="D297" s="55"/>
      <c r="E297" s="55"/>
      <c r="F297" s="48" t="s">
        <v>130</v>
      </c>
      <c r="G297" s="48" t="s">
        <v>251</v>
      </c>
      <c r="H297" s="53"/>
      <c r="I297" s="53"/>
      <c r="J297" s="55"/>
      <c r="K297" s="55"/>
      <c r="L297" s="55" t="str">
        <f>IFERROR(__xludf.DUMMYFUNCTION("QUERY('Volunteer Survey'!B306)"),"Brandon Chalazan")</f>
        <v>Brandon Chalazan</v>
      </c>
      <c r="M297" s="55" t="str">
        <f>IFERROR(__xludf.DUMMYFUNCTION("QUERY('Volunteer Survey'!E306)"),"brandon.chalazan@cw.bc.ca")</f>
        <v>brandon.chalazan@cw.bc.ca</v>
      </c>
      <c r="N297" s="55" t="str">
        <f>IFERROR(__xludf.DUMMYFUNCTION("QUERY('Volunteer Survey'!F306)"),"Post Doc/Resident/Fellow (MD and/or PhD)")</f>
        <v>Post Doc/Resident/Fellow (MD and/or PhD)</v>
      </c>
      <c r="O297" s="48" t="str">
        <f>IFERROR(__xludf.DUMMYFUNCTION("QUERY('Volunteer Survey'!H306)"),"Comprehensive")</f>
        <v>Comprehensive</v>
      </c>
      <c r="P297" s="55" t="str">
        <f>IFERROR(__xludf.DUMMYFUNCTION("QUERY('Volunteer Survey'!I306)"),"Variant Pathogenicity")</f>
        <v>Variant Pathogenicity</v>
      </c>
      <c r="Q297" s="60" t="str">
        <f>IFERROR(__xludf.DUMMYFUNCTION("QUERY('Volunteer Survey'!J306)"),"Dosage Sensitivity")</f>
        <v>Dosage Sensitivity</v>
      </c>
      <c r="R297" s="55" t="str">
        <f>IFERROR(__xludf.DUMMYFUNCTION("QUERY('Volunteer Survey'!K306)"),"Gene-Disease Validity")</f>
        <v>Gene-Disease Validity</v>
      </c>
      <c r="S297" s="55" t="str">
        <f>IFERROR(__xludf.DUMMYFUNCTION("QUERY('Volunteer Survey'!L306)"),"Clinical Actionability")</f>
        <v>Clinical Actionability</v>
      </c>
      <c r="T297" s="55" t="str">
        <f>IFERROR(__xludf.DUMMYFUNCTION("QUERY('Volunteer Survey'!M306)"),"")</f>
        <v/>
      </c>
      <c r="U297" s="64" t="str">
        <f>IFERROR(__xludf.DUMMYFUNCTION("QUERY('Volunteer Survey'!N306)"),"Yes - I have designed candidate SNP and gene panels, designed specific variant filtering criteria and commonly use ACMG / AMP / ACGS criteria.")</f>
        <v>Yes - I have designed candidate SNP and gene panels, designed specific variant filtering criteria and commonly use ACMG / AMP / ACGS criteria.</v>
      </c>
      <c r="V297" s="55" t="str">
        <f>IFERROR(__xludf.DUMMYFUNCTION("QUERY('Volunteer Survey'!O306)"),"Possibly")</f>
        <v>Possibly</v>
      </c>
      <c r="W297" s="66" t="str">
        <f>IFERROR(__xludf.DUMMYFUNCTION("QUERY('Volunteer Survey'!P306)"),"All inherited cardiovascular genetic conditions.  However, I want to form a Atrial Fibrillation working expert panel.")</f>
        <v>All inherited cardiovascular genetic conditions.  However, I want to form a Atrial Fibrillation working expert panel.</v>
      </c>
      <c r="X297" s="64" t="str">
        <f>IFERROR(__xludf.DUMMYFUNCTION("QUERY('Volunteer Survey'!R306)"),"Maybe -- please contact me with other options, and I will decide based on what is available")</f>
        <v>Maybe -- please contact me with other options, and I will decide based on what is available</v>
      </c>
      <c r="Y297" s="53"/>
      <c r="Z297" s="55"/>
      <c r="AA297" s="55"/>
      <c r="AB297" s="55"/>
      <c r="AC297" s="55"/>
      <c r="AD297" s="55"/>
      <c r="AE297" s="55"/>
      <c r="AF297" s="55"/>
      <c r="AG297" s="55"/>
      <c r="AH297" s="55"/>
      <c r="AI297" s="55"/>
      <c r="AJ297" s="55"/>
      <c r="AK297" s="55"/>
      <c r="AL297" s="55"/>
      <c r="AM297" s="55"/>
      <c r="AN297" s="55"/>
      <c r="AO297" s="55"/>
    </row>
    <row r="298">
      <c r="A298" s="50">
        <f>IFERROR(__xludf.DUMMYFUNCTION("QUERY('Volunteer Survey'!A307)"),43721.408467650464)</f>
        <v>43721.40847</v>
      </c>
      <c r="B298" s="48" t="s">
        <v>108</v>
      </c>
      <c r="C298" s="79">
        <v>43819.0</v>
      </c>
      <c r="D298" s="55"/>
      <c r="E298" s="55"/>
      <c r="F298" s="48" t="s">
        <v>130</v>
      </c>
      <c r="G298" s="48" t="s">
        <v>251</v>
      </c>
      <c r="H298" s="53"/>
      <c r="I298" s="53"/>
      <c r="J298" s="55"/>
      <c r="K298" s="55"/>
      <c r="L298" s="55" t="str">
        <f>IFERROR(__xludf.DUMMYFUNCTION("QUERY('Volunteer Survey'!B307)"),"jean-leon chong")</f>
        <v>jean-leon chong</v>
      </c>
      <c r="M298" s="55" t="str">
        <f>IFERROR(__xludf.DUMMYFUNCTION("QUERY('Volunteer Survey'!E307)"),"leon0044@gmail.com")</f>
        <v>leon0044@gmail.com</v>
      </c>
      <c r="N298" s="55" t="str">
        <f>IFERROR(__xludf.DUMMYFUNCTION("QUERY('Volunteer Survey'!F307)"),"biochemical genetics lab director")</f>
        <v>biochemical genetics lab director</v>
      </c>
      <c r="O298" s="48" t="str">
        <f>IFERROR(__xludf.DUMMYFUNCTION("QUERY('Volunteer Survey'!H307)"),"Comprehensive")</f>
        <v>Comprehensive</v>
      </c>
      <c r="P298" s="55" t="str">
        <f>IFERROR(__xludf.DUMMYFUNCTION("QUERY('Volunteer Survey'!I307)"),"Variant Pathogenicity")</f>
        <v>Variant Pathogenicity</v>
      </c>
      <c r="Q298" s="60" t="str">
        <f>IFERROR(__xludf.DUMMYFUNCTION("QUERY('Volunteer Survey'!J307)"),"Gene-Disease Validity")</f>
        <v>Gene-Disease Validity</v>
      </c>
      <c r="R298" s="55" t="str">
        <f>IFERROR(__xludf.DUMMYFUNCTION("QUERY('Volunteer Survey'!K307)"),"")</f>
        <v/>
      </c>
      <c r="S298" s="55" t="str">
        <f>IFERROR(__xludf.DUMMYFUNCTION("QUERY('Volunteer Survey'!L307)"),"")</f>
        <v/>
      </c>
      <c r="T298" s="55" t="str">
        <f>IFERROR(__xludf.DUMMYFUNCTION("QUERY('Volunteer Survey'!M307)"),"")</f>
        <v/>
      </c>
      <c r="U298" s="64" t="str">
        <f>IFERROR(__xludf.DUMMYFUNCTION("QUERY('Volunteer Survey'!N307)"),"some experience during fellowship training ")</f>
        <v>some experience during fellowship training </v>
      </c>
      <c r="V298" s="55" t="str">
        <f>IFERROR(__xludf.DUMMYFUNCTION("QUERY('Volunteer Survey'!O307)"),"Possibly")</f>
        <v>Possibly</v>
      </c>
      <c r="W298" s="66" t="str">
        <f>IFERROR(__xludf.DUMMYFUNCTION("QUERY('Volunteer Survey'!P307)"),"")</f>
        <v/>
      </c>
      <c r="X298" s="64" t="str">
        <f>IFERROR(__xludf.DUMMYFUNCTION("QUERY('Volunteer Survey'!R307)"),"Maybe -- please contact me with other options, and I will decide based on what is available")</f>
        <v>Maybe -- please contact me with other options, and I will decide based on what is available</v>
      </c>
      <c r="Y298" s="53"/>
      <c r="Z298" s="55"/>
      <c r="AA298" s="55"/>
      <c r="AB298" s="55"/>
      <c r="AC298" s="55"/>
      <c r="AD298" s="55"/>
      <c r="AE298" s="55"/>
      <c r="AF298" s="55"/>
      <c r="AG298" s="55"/>
      <c r="AH298" s="55"/>
      <c r="AI298" s="55"/>
      <c r="AJ298" s="55"/>
      <c r="AK298" s="55"/>
      <c r="AL298" s="55"/>
      <c r="AM298" s="55"/>
      <c r="AN298" s="55"/>
      <c r="AO298" s="55"/>
    </row>
    <row r="299">
      <c r="A299" s="50">
        <f>IFERROR(__xludf.DUMMYFUNCTION("QUERY('Volunteer Survey'!A308)"),43721.66220423611)</f>
        <v>43721.6622</v>
      </c>
      <c r="B299" s="48" t="s">
        <v>108</v>
      </c>
      <c r="C299" s="79">
        <v>43819.0</v>
      </c>
      <c r="D299" s="55"/>
      <c r="E299" s="55"/>
      <c r="F299" s="48" t="s">
        <v>130</v>
      </c>
      <c r="G299" s="48" t="s">
        <v>251</v>
      </c>
      <c r="H299" s="53"/>
      <c r="I299" s="53"/>
      <c r="J299" s="55"/>
      <c r="K299" s="55"/>
      <c r="L299" s="55" t="str">
        <f>IFERROR(__xludf.DUMMYFUNCTION("QUERY('Volunteer Survey'!B308)"),"Terra Brannan")</f>
        <v>Terra Brannan</v>
      </c>
      <c r="M299" s="55" t="str">
        <f>IFERROR(__xludf.DUMMYFUNCTION("QUERY('Volunteer Survey'!E308)"),"tbrannan@ambrygen.com")</f>
        <v>tbrannan@ambrygen.com</v>
      </c>
      <c r="N299" s="55" t="str">
        <f>IFERROR(__xludf.DUMMYFUNCTION("QUERY('Volunteer Survey'!F308)"),"Variant Analyst/Scientist - Industry")</f>
        <v>Variant Analyst/Scientist - Industry</v>
      </c>
      <c r="O299" s="48" t="str">
        <f>IFERROR(__xludf.DUMMYFUNCTION("QUERY('Volunteer Survey'!H308)"),"Comprehensive")</f>
        <v>Comprehensive</v>
      </c>
      <c r="P299" s="55" t="str">
        <f>IFERROR(__xludf.DUMMYFUNCTION("QUERY('Volunteer Survey'!I308)"),"Variant Pathogenicity")</f>
        <v>Variant Pathogenicity</v>
      </c>
      <c r="Q299" s="60" t="str">
        <f>IFERROR(__xludf.DUMMYFUNCTION("QUERY('Volunteer Survey'!J308)"),"")</f>
        <v/>
      </c>
      <c r="R299" s="55" t="str">
        <f>IFERROR(__xludf.DUMMYFUNCTION("QUERY('Volunteer Survey'!K308)"),"")</f>
        <v/>
      </c>
      <c r="S299" s="55" t="str">
        <f>IFERROR(__xludf.DUMMYFUNCTION("QUERY('Volunteer Survey'!L308)"),"")</f>
        <v/>
      </c>
      <c r="T299" s="55" t="str">
        <f>IFERROR(__xludf.DUMMYFUNCTION("QUERY('Volunteer Survey'!M308)"),"")</f>
        <v/>
      </c>
      <c r="U299" s="64" t="str">
        <f>IFERROR(__xludf.DUMMYFUNCTION("QUERY('Volunteer Survey'!N308)"),"Yes, I have been performing variant assessment since December 2018")</f>
        <v>Yes, I have been performing variant assessment since December 2018</v>
      </c>
      <c r="V299" s="55" t="str">
        <f>IFERROR(__xludf.DUMMYFUNCTION("QUERY('Volunteer Survey'!O308)"),"No")</f>
        <v>No</v>
      </c>
      <c r="W299" s="66" t="str">
        <f>IFERROR(__xludf.DUMMYFUNCTION("QUERY('Volunteer Survey'!P308)"),"CDH1")</f>
        <v>CDH1</v>
      </c>
      <c r="X299" s="64" t="str">
        <f>IFERROR(__xludf.DUMMYFUNCTION("QUERY('Volunteer Survey'!R308)"),"No - I am only interested in the group(s) I previously indicated")</f>
        <v>No - I am only interested in the group(s) I previously indicated</v>
      </c>
      <c r="Y299" s="53"/>
      <c r="Z299" s="55"/>
      <c r="AA299" s="55"/>
      <c r="AB299" s="55"/>
      <c r="AC299" s="55"/>
      <c r="AD299" s="55"/>
      <c r="AE299" s="55"/>
      <c r="AF299" s="55"/>
      <c r="AG299" s="55"/>
      <c r="AH299" s="55"/>
      <c r="AI299" s="55"/>
      <c r="AJ299" s="55"/>
      <c r="AK299" s="55"/>
      <c r="AL299" s="55"/>
      <c r="AM299" s="55"/>
      <c r="AN299" s="55"/>
      <c r="AO299" s="55"/>
    </row>
    <row r="300">
      <c r="A300" s="50">
        <f>IFERROR(__xludf.DUMMYFUNCTION("QUERY('Volunteer Survey'!A309)"),43724.55539652777)</f>
        <v>43724.5554</v>
      </c>
      <c r="B300" s="48" t="s">
        <v>322</v>
      </c>
      <c r="C300" s="53"/>
      <c r="D300" s="55"/>
      <c r="E300" s="55"/>
      <c r="F300" s="48" t="s">
        <v>130</v>
      </c>
      <c r="G300" s="48" t="s">
        <v>163</v>
      </c>
      <c r="H300" s="53"/>
      <c r="I300" s="53"/>
      <c r="J300" s="55"/>
      <c r="K300" s="55"/>
      <c r="L300" s="55" t="str">
        <f>IFERROR(__xludf.DUMMYFUNCTION("QUERY('Volunteer Survey'!B309)"),"Ankita Patel")</f>
        <v>Ankita Patel</v>
      </c>
      <c r="M300" s="55" t="str">
        <f>IFERROR(__xludf.DUMMYFUNCTION("QUERY('Volunteer Survey'!E309)"),"aspatel1@yahoo.com")</f>
        <v>aspatel1@yahoo.com</v>
      </c>
      <c r="N300" s="55" t="str">
        <f>IFERROR(__xludf.DUMMYFUNCTION("QUERY('Volunteer Survey'!F309)"),"Independent cytogenetic consultant")</f>
        <v>Independent cytogenetic consultant</v>
      </c>
      <c r="O300" s="48" t="str">
        <f>IFERROR(__xludf.DUMMYFUNCTION("QUERY('Volunteer Survey'!H309)"),"Comprehensive")</f>
        <v>Comprehensive</v>
      </c>
      <c r="P300" s="55" t="str">
        <f>IFERROR(__xludf.DUMMYFUNCTION("QUERY('Volunteer Survey'!I309)"),"Dosage Sensitivity")</f>
        <v>Dosage Sensitivity</v>
      </c>
      <c r="Q300" s="60" t="str">
        <f>IFERROR(__xludf.DUMMYFUNCTION("QUERY('Volunteer Survey'!J309)"),"Variant Pathogenicity")</f>
        <v>Variant Pathogenicity</v>
      </c>
      <c r="R300" s="55" t="str">
        <f>IFERROR(__xludf.DUMMYFUNCTION("QUERY('Volunteer Survey'!K309)"),"Gene-Disease Validity")</f>
        <v>Gene-Disease Validity</v>
      </c>
      <c r="S300" s="55" t="str">
        <f>IFERROR(__xludf.DUMMYFUNCTION("QUERY('Volunteer Survey'!L309)"),"Clinical Actionability")</f>
        <v>Clinical Actionability</v>
      </c>
      <c r="T300" s="55" t="str">
        <f>IFERROR(__xludf.DUMMYFUNCTION("QUERY('Volunteer Survey'!M309)"),"Somatic Cancer")</f>
        <v>Somatic Cancer</v>
      </c>
      <c r="U300" s="64" t="str">
        <f>IFERROR(__xludf.DUMMYFUNCTION("QUERY('Volunteer Survey'!N309)"),"Part of the CLinGen CNV ")</f>
        <v>Part of the CLinGen CNV </v>
      </c>
      <c r="V300" s="55" t="str">
        <f>IFERROR(__xludf.DUMMYFUNCTION("QUERY('Volunteer Survey'!O309)"),"Yes")</f>
        <v>Yes</v>
      </c>
      <c r="W300" s="66" t="str">
        <f>IFERROR(__xludf.DUMMYFUNCTION("QUERY('Volunteer Survey'!P309)"),"no- can owrk on where there is need")</f>
        <v>no- can owrk on where there is need</v>
      </c>
      <c r="X300" s="64" t="str">
        <f>IFERROR(__xludf.DUMMYFUNCTION("QUERY('Volunteer Survey'!R309)"),"Yes- I am willing to volunteer with any available ClinGen group")</f>
        <v>Yes- I am willing to volunteer with any available ClinGen group</v>
      </c>
      <c r="Y300" s="53"/>
      <c r="Z300" s="55"/>
      <c r="AA300" s="55"/>
      <c r="AB300" s="55"/>
      <c r="AC300" s="55"/>
      <c r="AD300" s="55"/>
      <c r="AE300" s="55"/>
      <c r="AF300" s="55"/>
      <c r="AG300" s="55"/>
      <c r="AH300" s="55"/>
      <c r="AI300" s="55"/>
      <c r="AJ300" s="55"/>
      <c r="AK300" s="55"/>
      <c r="AL300" s="55"/>
      <c r="AM300" s="55"/>
      <c r="AN300" s="55"/>
      <c r="AO300" s="55"/>
    </row>
    <row r="301">
      <c r="A301" s="50">
        <f>IFERROR(__xludf.DUMMYFUNCTION("QUERY('Volunteer Survey'!A310)"),43724.684086863424)</f>
        <v>43724.68409</v>
      </c>
      <c r="B301" s="48" t="s">
        <v>108</v>
      </c>
      <c r="C301" s="79">
        <v>43819.0</v>
      </c>
      <c r="D301" s="55"/>
      <c r="E301" s="55"/>
      <c r="F301" s="48" t="s">
        <v>130</v>
      </c>
      <c r="G301" s="48" t="s">
        <v>251</v>
      </c>
      <c r="H301" s="53"/>
      <c r="I301" s="53"/>
      <c r="J301" s="55"/>
      <c r="K301" s="55"/>
      <c r="L301" s="55" t="str">
        <f>IFERROR(__xludf.DUMMYFUNCTION("QUERY('Volunteer Survey'!B310)"),"Jordan Stern")</f>
        <v>Jordan Stern</v>
      </c>
      <c r="M301" s="55" t="str">
        <f>IFERROR(__xludf.DUMMYFUNCTION("QUERY('Volunteer Survey'!E310)"),"jordanjnstern@gmail.com")</f>
        <v>jordanjnstern@gmail.com</v>
      </c>
      <c r="N301" s="55" t="str">
        <f>IFERROR(__xludf.DUMMYFUNCTION("QUERY('Volunteer Survey'!F310)"),"Undergraduate Student")</f>
        <v>Undergraduate Student</v>
      </c>
      <c r="O301" s="48" t="str">
        <f>IFERROR(__xludf.DUMMYFUNCTION("QUERY('Volunteer Survey'!H310)"),"Comprehensive")</f>
        <v>Comprehensive</v>
      </c>
      <c r="P301" s="55" t="str">
        <f>IFERROR(__xludf.DUMMYFUNCTION("QUERY('Volunteer Survey'!I310)"),"Variant Pathogenicity")</f>
        <v>Variant Pathogenicity</v>
      </c>
      <c r="Q301" s="60" t="str">
        <f>IFERROR(__xludf.DUMMYFUNCTION("QUERY('Volunteer Survey'!J310)"),"Dosage Sensitivity")</f>
        <v>Dosage Sensitivity</v>
      </c>
      <c r="R301" s="55" t="str">
        <f>IFERROR(__xludf.DUMMYFUNCTION("QUERY('Volunteer Survey'!K310)"),"Clinical Actionability")</f>
        <v>Clinical Actionability</v>
      </c>
      <c r="S301" s="55" t="str">
        <f>IFERROR(__xludf.DUMMYFUNCTION("QUERY('Volunteer Survey'!L310)"),"Gene-Disease Validity")</f>
        <v>Gene-Disease Validity</v>
      </c>
      <c r="T301" s="55" t="str">
        <f>IFERROR(__xludf.DUMMYFUNCTION("QUERY('Volunteer Survey'!M310)"),"Somatic Cancer")</f>
        <v>Somatic Cancer</v>
      </c>
      <c r="U301" s="64" t="str">
        <f>IFERROR(__xludf.DUMMYFUNCTION("QUERY('Volunteer Survey'!N310)"),"")</f>
        <v/>
      </c>
      <c r="V301" s="55" t="str">
        <f>IFERROR(__xludf.DUMMYFUNCTION("QUERY('Volunteer Survey'!O310)"),"Yes")</f>
        <v>Yes</v>
      </c>
      <c r="W301" s="66" t="str">
        <f>IFERROR(__xludf.DUMMYFUNCTION("QUERY('Volunteer Survey'!P310)"),"yes")</f>
        <v>yes</v>
      </c>
      <c r="X301" s="64" t="str">
        <f>IFERROR(__xludf.DUMMYFUNCTION("QUERY('Volunteer Survey'!R310)"),"Yes- I am willing to volunteer with any available ClinGen group")</f>
        <v>Yes- I am willing to volunteer with any available ClinGen group</v>
      </c>
      <c r="Y301" s="53"/>
      <c r="Z301" s="55"/>
      <c r="AA301" s="55"/>
      <c r="AB301" s="55"/>
      <c r="AC301" s="55"/>
      <c r="AD301" s="55"/>
      <c r="AE301" s="55"/>
      <c r="AF301" s="55"/>
      <c r="AG301" s="55"/>
      <c r="AH301" s="55"/>
      <c r="AI301" s="55"/>
      <c r="AJ301" s="55"/>
      <c r="AK301" s="55"/>
      <c r="AL301" s="55"/>
      <c r="AM301" s="55"/>
      <c r="AN301" s="55"/>
      <c r="AO301" s="55"/>
    </row>
    <row r="302">
      <c r="A302" s="50">
        <f>IFERROR(__xludf.DUMMYFUNCTION("QUERY('Volunteer Survey'!A311)"),43725.59430077547)</f>
        <v>43725.5943</v>
      </c>
      <c r="B302" s="48" t="s">
        <v>108</v>
      </c>
      <c r="C302" s="53"/>
      <c r="D302" s="55"/>
      <c r="E302" s="55"/>
      <c r="F302" s="48" t="s">
        <v>130</v>
      </c>
      <c r="G302" s="48" t="s">
        <v>202</v>
      </c>
      <c r="H302" s="53"/>
      <c r="I302" s="51" t="s">
        <v>139</v>
      </c>
      <c r="J302" s="55"/>
      <c r="K302" s="55"/>
      <c r="L302" s="55" t="str">
        <f>IFERROR(__xludf.DUMMYFUNCTION("QUERY('Volunteer Survey'!B311)"),"Chris Darnell")</f>
        <v>Chris Darnell</v>
      </c>
      <c r="M302" s="55" t="str">
        <f>IFERROR(__xludf.DUMMYFUNCTION("QUERY('Volunteer Survey'!E311)"),"chris.darnell@bluewaterdxlab.com")</f>
        <v>chris.darnell@bluewaterdxlab.com</v>
      </c>
      <c r="N302" s="55" t="str">
        <f>IFERROR(__xludf.DUMMYFUNCTION("QUERY('Volunteer Survey'!F311)"),"Laboratory Technical Supervisor")</f>
        <v>Laboratory Technical Supervisor</v>
      </c>
      <c r="O302" s="48" t="str">
        <f>IFERROR(__xludf.DUMMYFUNCTION("QUERY('Volunteer Survey'!H311)"),"Baseline")</f>
        <v>Baseline</v>
      </c>
      <c r="P302" s="55" t="str">
        <f>IFERROR(__xludf.DUMMYFUNCTION("QUERY('Volunteer Survey'!I311)"),"Gene-Disease Validity")</f>
        <v>Gene-Disease Validity</v>
      </c>
      <c r="Q302" s="60" t="str">
        <f>IFERROR(__xludf.DUMMYFUNCTION("QUERY('Volunteer Survey'!J311)"),"Variant Pathogenicity")</f>
        <v>Variant Pathogenicity</v>
      </c>
      <c r="R302" s="55" t="str">
        <f>IFERROR(__xludf.DUMMYFUNCTION("QUERY('Volunteer Survey'!K311)"),"Somatic Cancer")</f>
        <v>Somatic Cancer</v>
      </c>
      <c r="S302" s="55" t="str">
        <f>IFERROR(__xludf.DUMMYFUNCTION("QUERY('Volunteer Survey'!L311)"),"Dosage Sensitivity")</f>
        <v>Dosage Sensitivity</v>
      </c>
      <c r="T302" s="55" t="str">
        <f>IFERROR(__xludf.DUMMYFUNCTION("QUERY('Volunteer Survey'!M311)"),"Clinical Actionability")</f>
        <v>Clinical Actionability</v>
      </c>
      <c r="U302" s="64" t="str">
        <f>IFERROR(__xludf.DUMMYFUNCTION("QUERY('Volunteer Survey'!N311)"),"")</f>
        <v/>
      </c>
      <c r="V302" s="55" t="str">
        <f>IFERROR(__xludf.DUMMYFUNCTION("QUERY('Volunteer Survey'!O311)"),"Yes")</f>
        <v>Yes</v>
      </c>
      <c r="W302" s="66" t="str">
        <f>IFERROR(__xludf.DUMMYFUNCTION("QUERY('Volunteer Survey'!P311)"),"")</f>
        <v/>
      </c>
      <c r="X302" s="64" t="str">
        <f>IFERROR(__xludf.DUMMYFUNCTION("QUERY('Volunteer Survey'!R311)"),"")</f>
        <v/>
      </c>
      <c r="Y302" s="53"/>
      <c r="Z302" s="55"/>
      <c r="AA302" s="55"/>
      <c r="AB302" s="55"/>
      <c r="AC302" s="55"/>
      <c r="AD302" s="55"/>
      <c r="AE302" s="55"/>
      <c r="AF302" s="55"/>
      <c r="AG302" s="55"/>
      <c r="AH302" s="55"/>
      <c r="AI302" s="55"/>
      <c r="AJ302" s="55"/>
      <c r="AK302" s="55"/>
      <c r="AL302" s="55"/>
      <c r="AM302" s="55"/>
      <c r="AN302" s="55"/>
      <c r="AO302" s="55"/>
    </row>
    <row r="303">
      <c r="A303" s="50">
        <f>IFERROR(__xludf.DUMMYFUNCTION("QUERY('Volunteer Survey'!A312)"),43727.82528523148)</f>
        <v>43727.82529</v>
      </c>
      <c r="B303" s="48" t="s">
        <v>168</v>
      </c>
      <c r="C303" s="53"/>
      <c r="D303" s="55"/>
      <c r="E303" s="55"/>
      <c r="F303" s="48" t="s">
        <v>130</v>
      </c>
      <c r="G303" s="48" t="s">
        <v>19</v>
      </c>
      <c r="H303" s="53"/>
      <c r="I303" s="53"/>
      <c r="J303" s="55"/>
      <c r="K303" s="55"/>
      <c r="L303" s="55" t="str">
        <f>IFERROR(__xludf.DUMMYFUNCTION("QUERY('Volunteer Survey'!B312)"),"Sally Pea ")</f>
        <v>Sally Pea </v>
      </c>
      <c r="M303" s="55" t="str">
        <f>IFERROR(__xludf.DUMMYFUNCTION("QUERY('Volunteer Survey'!E312)"),"spea@live.com")</f>
        <v>spea@live.com</v>
      </c>
      <c r="N303" s="55" t="str">
        <f>IFERROR(__xludf.DUMMYFUNCTION("QUERY('Volunteer Survey'!F312)"),"Citizen Scientist/Patient Advocate")</f>
        <v>Citizen Scientist/Patient Advocate</v>
      </c>
      <c r="O303" s="48" t="str">
        <f>IFERROR(__xludf.DUMMYFUNCTION("QUERY('Volunteer Survey'!H312)"),"Comprehensive")</f>
        <v>Comprehensive</v>
      </c>
      <c r="P303" s="55" t="str">
        <f>IFERROR(__xludf.DUMMYFUNCTION("QUERY('Volunteer Survey'!I312)"),"Clinical Actionability")</f>
        <v>Clinical Actionability</v>
      </c>
      <c r="Q303" s="60" t="str">
        <f>IFERROR(__xludf.DUMMYFUNCTION("QUERY('Volunteer Survey'!J312)"),"Gene-Disease Validity")</f>
        <v>Gene-Disease Validity</v>
      </c>
      <c r="R303" s="55" t="str">
        <f>IFERROR(__xludf.DUMMYFUNCTION("QUERY('Volunteer Survey'!K312)"),"Variant Pathogenicity")</f>
        <v>Variant Pathogenicity</v>
      </c>
      <c r="S303" s="55" t="str">
        <f>IFERROR(__xludf.DUMMYFUNCTION("QUERY('Volunteer Survey'!L312)"),"Dosage Sensitivity")</f>
        <v>Dosage Sensitivity</v>
      </c>
      <c r="T303" s="55" t="str">
        <f>IFERROR(__xludf.DUMMYFUNCTION("QUERY('Volunteer Survey'!M312)"),"Somatic Cancer")</f>
        <v>Somatic Cancer</v>
      </c>
      <c r="U303" s="64" t="str">
        <f>IFERROR(__xludf.DUMMYFUNCTION("QUERY('Volunteer Survey'!N312)"),"No")</f>
        <v>No</v>
      </c>
      <c r="V303" s="55" t="str">
        <f>IFERROR(__xludf.DUMMYFUNCTION("QUERY('Volunteer Survey'!O312)"),"Yes")</f>
        <v>Yes</v>
      </c>
      <c r="W303" s="66" t="str">
        <f>IFERROR(__xludf.DUMMYFUNCTION("QUERY('Volunteer Survey'!P312)"),"Congenital Myopathies or Limb Girdle Dystrophies or anywhere needed")</f>
        <v>Congenital Myopathies or Limb Girdle Dystrophies or anywhere needed</v>
      </c>
      <c r="X303" s="64" t="str">
        <f>IFERROR(__xludf.DUMMYFUNCTION("QUERY('Volunteer Survey'!R312)"),"Yes- I am willing to volunteer with any available ClinGen group")</f>
        <v>Yes- I am willing to volunteer with any available ClinGen group</v>
      </c>
      <c r="Y303" s="53"/>
      <c r="Z303" s="55"/>
      <c r="AA303" s="55"/>
      <c r="AB303" s="55"/>
      <c r="AC303" s="55"/>
      <c r="AD303" s="55"/>
      <c r="AE303" s="55"/>
      <c r="AF303" s="55"/>
      <c r="AG303" s="55"/>
      <c r="AH303" s="55"/>
      <c r="AI303" s="55"/>
      <c r="AJ303" s="55"/>
      <c r="AK303" s="55"/>
      <c r="AL303" s="55"/>
      <c r="AM303" s="55"/>
      <c r="AN303" s="55"/>
      <c r="AO303" s="55"/>
    </row>
    <row r="304">
      <c r="A304" s="50">
        <f>IFERROR(__xludf.DUMMYFUNCTION("QUERY('Volunteer Survey'!A313)"),43727.949473321765)</f>
        <v>43727.94947</v>
      </c>
      <c r="B304" s="48" t="s">
        <v>108</v>
      </c>
      <c r="C304" s="79">
        <v>43819.0</v>
      </c>
      <c r="D304" s="55"/>
      <c r="E304" s="55"/>
      <c r="F304" s="48" t="s">
        <v>130</v>
      </c>
      <c r="G304" s="48" t="s">
        <v>122</v>
      </c>
      <c r="H304" s="53"/>
      <c r="I304" s="53"/>
      <c r="J304" s="55"/>
      <c r="K304" s="55"/>
      <c r="L304" s="55" t="str">
        <f>IFERROR(__xludf.DUMMYFUNCTION("QUERY('Volunteer Survey'!B313)"),"Sali Farhan")</f>
        <v>Sali Farhan</v>
      </c>
      <c r="M304" s="55" t="str">
        <f>IFERROR(__xludf.DUMMYFUNCTION("QUERY('Volunteer Survey'!E313)"),"sfarhan@broadinstitute.org")</f>
        <v>sfarhan@broadinstitute.org</v>
      </c>
      <c r="N304" s="55" t="str">
        <f>IFERROR(__xludf.DUMMYFUNCTION("QUERY('Volunteer Survey'!F313)"),"Post Doc/Resident/Fellow (MD and/or PhD)")</f>
        <v>Post Doc/Resident/Fellow (MD and/or PhD)</v>
      </c>
      <c r="O304" s="48" t="str">
        <f>IFERROR(__xludf.DUMMYFUNCTION("QUERY('Volunteer Survey'!H313)"),"Comprehensive")</f>
        <v>Comprehensive</v>
      </c>
      <c r="P304" s="55" t="str">
        <f>IFERROR(__xludf.DUMMYFUNCTION("QUERY('Volunteer Survey'!I313)"),"Gene-Disease Validity")</f>
        <v>Gene-Disease Validity</v>
      </c>
      <c r="Q304" s="60" t="str">
        <f>IFERROR(__xludf.DUMMYFUNCTION("QUERY('Volunteer Survey'!J313)"),"Variant Pathogenicity")</f>
        <v>Variant Pathogenicity</v>
      </c>
      <c r="R304" s="55" t="str">
        <f>IFERROR(__xludf.DUMMYFUNCTION("QUERY('Volunteer Survey'!K313)"),"Clinical Actionability")</f>
        <v>Clinical Actionability</v>
      </c>
      <c r="S304" s="55" t="str">
        <f>IFERROR(__xludf.DUMMYFUNCTION("QUERY('Volunteer Survey'!L313)"),"Dosage Sensitivity")</f>
        <v>Dosage Sensitivity</v>
      </c>
      <c r="T304" s="55" t="str">
        <f>IFERROR(__xludf.DUMMYFUNCTION("QUERY('Volunteer Survey'!M313)"),"Somatic Cancer")</f>
        <v>Somatic Cancer</v>
      </c>
      <c r="U304" s="64" t="str">
        <f>IFERROR(__xludf.DUMMYFUNCTION("QUERY('Volunteer Survey'!N313)"),"")</f>
        <v/>
      </c>
      <c r="V304" s="55" t="str">
        <f>IFERROR(__xludf.DUMMYFUNCTION("QUERY('Volunteer Survey'!O313)"),"No")</f>
        <v>No</v>
      </c>
      <c r="W304" s="66" t="str">
        <f>IFERROR(__xludf.DUMMYFUNCTION("QUERY('Volunteer Survey'!P313)"),"")</f>
        <v/>
      </c>
      <c r="X304" s="64" t="str">
        <f>IFERROR(__xludf.DUMMYFUNCTION("QUERY('Volunteer Survey'!R313)"),"No - I am only interested in the group(s) I previously indicated")</f>
        <v>No - I am only interested in the group(s) I previously indicated</v>
      </c>
      <c r="Y304" s="53"/>
      <c r="Z304" s="55"/>
      <c r="AA304" s="55"/>
      <c r="AB304" s="55"/>
      <c r="AC304" s="55"/>
      <c r="AD304" s="55"/>
      <c r="AE304" s="55"/>
      <c r="AF304" s="55"/>
      <c r="AG304" s="55"/>
      <c r="AH304" s="55"/>
      <c r="AI304" s="55"/>
      <c r="AJ304" s="55"/>
      <c r="AK304" s="55"/>
      <c r="AL304" s="55"/>
      <c r="AM304" s="55"/>
      <c r="AN304" s="55"/>
      <c r="AO304" s="55"/>
    </row>
    <row r="305">
      <c r="A305" s="50">
        <f>IFERROR(__xludf.DUMMYFUNCTION("QUERY('Volunteer Survey'!A314)"),43731.70247251157)</f>
        <v>43731.70247</v>
      </c>
      <c r="B305" s="48" t="s">
        <v>108</v>
      </c>
      <c r="C305" s="53"/>
      <c r="D305" s="73">
        <v>43846.0</v>
      </c>
      <c r="E305" s="48" t="s">
        <v>117</v>
      </c>
      <c r="F305" s="48" t="s">
        <v>117</v>
      </c>
      <c r="G305" s="48" t="s">
        <v>122</v>
      </c>
      <c r="H305" s="53"/>
      <c r="I305" s="53"/>
      <c r="J305" s="55"/>
      <c r="K305" s="55"/>
      <c r="L305" s="55" t="str">
        <f>IFERROR(__xludf.DUMMYFUNCTION("QUERY('Volunteer Survey'!B314)"),"Julie Kim ")</f>
        <v>Julie Kim </v>
      </c>
      <c r="M305" s="55" t="str">
        <f>IFERROR(__xludf.DUMMYFUNCTION("QUERY('Volunteer Survey'!E314)"),"serin.kim@nih.gov")</f>
        <v>serin.kim@nih.gov</v>
      </c>
      <c r="N305" s="55" t="str">
        <f>IFERROR(__xludf.DUMMYFUNCTION("QUERY('Volunteer Survey'!F314)"),"Scientific Program Analyst at NHGRI")</f>
        <v>Scientific Program Analyst at NHGRI</v>
      </c>
      <c r="O305" s="48" t="str">
        <f>IFERROR(__xludf.DUMMYFUNCTION("QUERY('Volunteer Survey'!H314)"),"Comprehensive")</f>
        <v>Comprehensive</v>
      </c>
      <c r="P305" s="55" t="str">
        <f>IFERROR(__xludf.DUMMYFUNCTION("QUERY('Volunteer Survey'!I314)"),"Gene-Disease Validity")</f>
        <v>Gene-Disease Validity</v>
      </c>
      <c r="Q305" s="60" t="str">
        <f>IFERROR(__xludf.DUMMYFUNCTION("QUERY('Volunteer Survey'!J314)"),"Clinical Actionability")</f>
        <v>Clinical Actionability</v>
      </c>
      <c r="R305" s="55" t="str">
        <f>IFERROR(__xludf.DUMMYFUNCTION("QUERY('Volunteer Survey'!K314)"),"")</f>
        <v/>
      </c>
      <c r="S305" s="55" t="str">
        <f>IFERROR(__xludf.DUMMYFUNCTION("QUERY('Volunteer Survey'!L314)"),"")</f>
        <v/>
      </c>
      <c r="T305" s="55" t="str">
        <f>IFERROR(__xludf.DUMMYFUNCTION("QUERY('Volunteer Survey'!M314)"),"")</f>
        <v/>
      </c>
      <c r="U305" s="64" t="str">
        <f>IFERROR(__xludf.DUMMYFUNCTION("QUERY('Volunteer Survey'!N314)"),"")</f>
        <v/>
      </c>
      <c r="V305" s="55" t="str">
        <f>IFERROR(__xludf.DUMMYFUNCTION("QUERY('Volunteer Survey'!O314)"),"No")</f>
        <v>No</v>
      </c>
      <c r="W305" s="66" t="str">
        <f>IFERROR(__xludf.DUMMYFUNCTION("QUERY('Volunteer Survey'!P314)"),"Cardiomyopathy, Brain Malformations, hearing loss")</f>
        <v>Cardiomyopathy, Brain Malformations, hearing loss</v>
      </c>
      <c r="X305" s="64" t="str">
        <f>IFERROR(__xludf.DUMMYFUNCTION("QUERY('Volunteer Survey'!R314)"),"Yes- I am willing to volunteer with any available ClinGen group")</f>
        <v>Yes- I am willing to volunteer with any available ClinGen group</v>
      </c>
      <c r="Y305" s="51" t="s">
        <v>1747</v>
      </c>
      <c r="Z305" s="55"/>
      <c r="AA305" s="55"/>
      <c r="AB305" s="55"/>
      <c r="AC305" s="55"/>
      <c r="AD305" s="55"/>
      <c r="AE305" s="55"/>
      <c r="AF305" s="55"/>
      <c r="AG305" s="55"/>
      <c r="AH305" s="55"/>
      <c r="AI305" s="55"/>
      <c r="AJ305" s="55"/>
      <c r="AK305" s="55"/>
      <c r="AL305" s="55"/>
      <c r="AM305" s="55"/>
      <c r="AN305" s="55"/>
      <c r="AO305" s="55"/>
    </row>
    <row r="306">
      <c r="A306" s="50">
        <f>IFERROR(__xludf.DUMMYFUNCTION("QUERY('Volunteer Survey'!A315)"),43733.739980405095)</f>
        <v>43733.73998</v>
      </c>
      <c r="B306" s="48" t="s">
        <v>108</v>
      </c>
      <c r="C306" s="79">
        <v>43819.0</v>
      </c>
      <c r="D306" s="55"/>
      <c r="E306" s="55"/>
      <c r="F306" s="48" t="s">
        <v>130</v>
      </c>
      <c r="G306" s="48" t="s">
        <v>251</v>
      </c>
      <c r="H306" s="53"/>
      <c r="I306" s="53"/>
      <c r="J306" s="55"/>
      <c r="K306" s="55"/>
      <c r="L306" s="55" t="str">
        <f>IFERROR(__xludf.DUMMYFUNCTION("QUERY('Volunteer Survey'!B315)"),"Jamie Maciaszek")</f>
        <v>Jamie Maciaszek</v>
      </c>
      <c r="M306" s="55" t="str">
        <f>IFERROR(__xludf.DUMMYFUNCTION("QUERY('Volunteer Survey'!E315)"),"jamie.maciaszek@stjude.org")</f>
        <v>jamie.maciaszek@stjude.org</v>
      </c>
      <c r="N306" s="55" t="str">
        <f>IFERROR(__xludf.DUMMYFUNCTION("QUERY('Volunteer Survey'!F315)"),"Scientific Researcher")</f>
        <v>Scientific Researcher</v>
      </c>
      <c r="O306" s="48" t="str">
        <f>IFERROR(__xludf.DUMMYFUNCTION("QUERY('Volunteer Survey'!H315)"),"Comprehensive")</f>
        <v>Comprehensive</v>
      </c>
      <c r="P306" s="55" t="str">
        <f>IFERROR(__xludf.DUMMYFUNCTION("QUERY('Volunteer Survey'!I315)"),"Variant Pathogenicity")</f>
        <v>Variant Pathogenicity</v>
      </c>
      <c r="Q306" s="60" t="str">
        <f>IFERROR(__xludf.DUMMYFUNCTION("QUERY('Volunteer Survey'!J315)"),"Gene-Disease Validity")</f>
        <v>Gene-Disease Validity</v>
      </c>
      <c r="R306" s="55" t="str">
        <f>IFERROR(__xludf.DUMMYFUNCTION("QUERY('Volunteer Survey'!K315)"),"Somatic Cancer")</f>
        <v>Somatic Cancer</v>
      </c>
      <c r="S306" s="55" t="str">
        <f>IFERROR(__xludf.DUMMYFUNCTION("QUERY('Volunteer Survey'!L315)"),"Clinical Actionability")</f>
        <v>Clinical Actionability</v>
      </c>
      <c r="T306" s="55" t="str">
        <f>IFERROR(__xludf.DUMMYFUNCTION("QUERY('Volunteer Survey'!M315)"),"Dosage Sensitivity")</f>
        <v>Dosage Sensitivity</v>
      </c>
      <c r="U306" s="64" t="str">
        <f>IFERROR(__xludf.DUMMYFUNCTION("QUERY('Volunteer Survey'!N315)"),"working on SJFAMILY study to curate variants in suspected cases of hereditary cancer")</f>
        <v>working on SJFAMILY study to curate variants in suspected cases of hereditary cancer</v>
      </c>
      <c r="V306" s="55" t="str">
        <f>IFERROR(__xludf.DUMMYFUNCTION("QUERY('Volunteer Survey'!O315)"),"Possibly")</f>
        <v>Possibly</v>
      </c>
      <c r="W306" s="66" t="str">
        <f>IFERROR(__xludf.DUMMYFUNCTION("QUERY('Volunteer Survey'!P315)"),"Myeloid Malignancy, Hereditary Cancer")</f>
        <v>Myeloid Malignancy, Hereditary Cancer</v>
      </c>
      <c r="X306" s="64" t="str">
        <f>IFERROR(__xludf.DUMMYFUNCTION("QUERY('Volunteer Survey'!R315)"),"Yes- I am willing to volunteer with any available ClinGen group")</f>
        <v>Yes- I am willing to volunteer with any available ClinGen group</v>
      </c>
      <c r="Y306" s="53"/>
      <c r="Z306" s="55"/>
      <c r="AA306" s="55"/>
      <c r="AB306" s="55"/>
      <c r="AC306" s="55"/>
      <c r="AD306" s="55"/>
      <c r="AE306" s="55"/>
      <c r="AF306" s="55"/>
      <c r="AG306" s="55"/>
      <c r="AH306" s="55"/>
      <c r="AI306" s="55"/>
      <c r="AJ306" s="55"/>
      <c r="AK306" s="55"/>
      <c r="AL306" s="55"/>
      <c r="AM306" s="55"/>
      <c r="AN306" s="55"/>
      <c r="AO306" s="55"/>
    </row>
    <row r="307">
      <c r="A307" s="50">
        <f>IFERROR(__xludf.DUMMYFUNCTION("QUERY('Volunteer Survey'!A316)"),43734.34401487269)</f>
        <v>43734.34401</v>
      </c>
      <c r="B307" s="48" t="s">
        <v>108</v>
      </c>
      <c r="C307" s="79">
        <v>43819.0</v>
      </c>
      <c r="D307" s="55"/>
      <c r="E307" s="55"/>
      <c r="F307" s="48" t="s">
        <v>130</v>
      </c>
      <c r="G307" s="48" t="s">
        <v>251</v>
      </c>
      <c r="H307" s="53"/>
      <c r="I307" s="53"/>
      <c r="J307" s="55"/>
      <c r="K307" s="55"/>
      <c r="L307" s="55" t="str">
        <f>IFERROR(__xludf.DUMMYFUNCTION("QUERY('Volunteer Survey'!B316)"),"Olivier Bluteau")</f>
        <v>Olivier Bluteau</v>
      </c>
      <c r="M307" s="55" t="str">
        <f>IFERROR(__xludf.DUMMYFUNCTION("QUERY('Volunteer Survey'!E316)"),"olivier.bluteau@aphp.fr")</f>
        <v>olivier.bluteau@aphp.fr</v>
      </c>
      <c r="N307" s="55" t="str">
        <f>IFERROR(__xludf.DUMMYFUNCTION("QUERY('Volunteer Survey'!F316)"),"Variant Analyst/Scientist - Academic")</f>
        <v>Variant Analyst/Scientist - Academic</v>
      </c>
      <c r="O307" s="48" t="str">
        <f>IFERROR(__xludf.DUMMYFUNCTION("QUERY('Volunteer Survey'!H316)"),"Comprehensive")</f>
        <v>Comprehensive</v>
      </c>
      <c r="P307" s="55" t="str">
        <f>IFERROR(__xludf.DUMMYFUNCTION("QUERY('Volunteer Survey'!I316)"),"Variant Pathogenicity")</f>
        <v>Variant Pathogenicity</v>
      </c>
      <c r="Q307" s="60" t="str">
        <f>IFERROR(__xludf.DUMMYFUNCTION("QUERY('Volunteer Survey'!J316)"),"Gene-Disease Validity")</f>
        <v>Gene-Disease Validity</v>
      </c>
      <c r="R307" s="55" t="str">
        <f>IFERROR(__xludf.DUMMYFUNCTION("QUERY('Volunteer Survey'!K316)"),"Clinical Actionability")</f>
        <v>Clinical Actionability</v>
      </c>
      <c r="S307" s="55" t="str">
        <f>IFERROR(__xludf.DUMMYFUNCTION("QUERY('Volunteer Survey'!L316)"),"Dosage Sensitivity")</f>
        <v>Dosage Sensitivity</v>
      </c>
      <c r="T307" s="55" t="str">
        <f>IFERROR(__xludf.DUMMYFUNCTION("QUERY('Volunteer Survey'!M316)"),"Somatic Cancer")</f>
        <v>Somatic Cancer</v>
      </c>
      <c r="U307" s="64" t="str">
        <f>IFERROR(__xludf.DUMMYFUNCTION("QUERY('Volunteer Survey'!N316)"),"")</f>
        <v/>
      </c>
      <c r="V307" s="55" t="str">
        <f>IFERROR(__xludf.DUMMYFUNCTION("QUERY('Volunteer Survey'!O316)"),"No")</f>
        <v>No</v>
      </c>
      <c r="W307" s="66" t="str">
        <f>IFERROR(__xludf.DUMMYFUNCTION("QUERY('Volunteer Survey'!P316)"),"Familial Hypercholesterolemia Variant Curation Expert Panel")</f>
        <v>Familial Hypercholesterolemia Variant Curation Expert Panel</v>
      </c>
      <c r="X307" s="64" t="str">
        <f>IFERROR(__xludf.DUMMYFUNCTION("QUERY('Volunteer Survey'!R316)"),"No - I am only interested in the group(s) I previously indicated")</f>
        <v>No - I am only interested in the group(s) I previously indicated</v>
      </c>
      <c r="Y307" s="53"/>
      <c r="Z307" s="55"/>
      <c r="AA307" s="55"/>
      <c r="AB307" s="55"/>
      <c r="AC307" s="55"/>
      <c r="AD307" s="55"/>
      <c r="AE307" s="55"/>
      <c r="AF307" s="55"/>
      <c r="AG307" s="55"/>
      <c r="AH307" s="55"/>
      <c r="AI307" s="55"/>
      <c r="AJ307" s="55"/>
      <c r="AK307" s="55"/>
      <c r="AL307" s="55"/>
      <c r="AM307" s="55"/>
      <c r="AN307" s="55"/>
      <c r="AO307" s="55"/>
    </row>
    <row r="308">
      <c r="A308" s="50">
        <f>IFERROR(__xludf.DUMMYFUNCTION("QUERY('Volunteer Survey'!A317)"),43734.38644290509)</f>
        <v>43734.38644</v>
      </c>
      <c r="B308" s="48" t="s">
        <v>108</v>
      </c>
      <c r="C308" s="53"/>
      <c r="D308" s="55"/>
      <c r="E308" s="55"/>
      <c r="F308" s="48" t="s">
        <v>130</v>
      </c>
      <c r="G308" s="48" t="s">
        <v>202</v>
      </c>
      <c r="H308" s="53"/>
      <c r="I308" s="51" t="s">
        <v>139</v>
      </c>
      <c r="J308" s="55"/>
      <c r="K308" s="55"/>
      <c r="L308" s="55" t="str">
        <f>IFERROR(__xludf.DUMMYFUNCTION("QUERY('Volunteer Survey'!B317)"),"Alexandra Miller")</f>
        <v>Alexandra Miller</v>
      </c>
      <c r="M308" s="55" t="str">
        <f>IFERROR(__xludf.DUMMYFUNCTION("QUERY('Volunteer Survey'!E317)"),"miller.alexandra@mayo.edu")</f>
        <v>miller.alexandra@mayo.edu</v>
      </c>
      <c r="N308" s="55" t="str">
        <f>IFERROR(__xludf.DUMMYFUNCTION("QUERY('Volunteer Survey'!F317)"),"Scientific Researcher")</f>
        <v>Scientific Researcher</v>
      </c>
      <c r="O308" s="48" t="str">
        <f>IFERROR(__xludf.DUMMYFUNCTION("QUERY('Volunteer Survey'!H317)"),"Baseline")</f>
        <v>Baseline</v>
      </c>
      <c r="P308" s="55" t="str">
        <f>IFERROR(__xludf.DUMMYFUNCTION("QUERY('Volunteer Survey'!I317)"),"Variant Pathogenicity")</f>
        <v>Variant Pathogenicity</v>
      </c>
      <c r="Q308" s="60" t="str">
        <f>IFERROR(__xludf.DUMMYFUNCTION("QUERY('Volunteer Survey'!J317)"),"Clinical Actionability")</f>
        <v>Clinical Actionability</v>
      </c>
      <c r="R308" s="55" t="str">
        <f>IFERROR(__xludf.DUMMYFUNCTION("QUERY('Volunteer Survey'!K317)"),"Gene-Disease Validity")</f>
        <v>Gene-Disease Validity</v>
      </c>
      <c r="S308" s="55" t="str">
        <f>IFERROR(__xludf.DUMMYFUNCTION("QUERY('Volunteer Survey'!L317)"),"Dosage Sensitivity")</f>
        <v>Dosage Sensitivity</v>
      </c>
      <c r="T308" s="55" t="str">
        <f>IFERROR(__xludf.DUMMYFUNCTION("QUERY('Volunteer Survey'!M317)"),"Somatic Cancer")</f>
        <v>Somatic Cancer</v>
      </c>
      <c r="U308" s="64" t="str">
        <f>IFERROR(__xludf.DUMMYFUNCTION("QUERY('Volunteer Survey'!N317)"),"")</f>
        <v/>
      </c>
      <c r="V308" s="55" t="str">
        <f>IFERROR(__xludf.DUMMYFUNCTION("QUERY('Volunteer Survey'!O317)"),"No")</f>
        <v>No</v>
      </c>
      <c r="W308" s="66" t="str">
        <f>IFERROR(__xludf.DUMMYFUNCTION("QUERY('Volunteer Survey'!P317)"),"FH VCEP")</f>
        <v>FH VCEP</v>
      </c>
      <c r="X308" s="64" t="str">
        <f>IFERROR(__xludf.DUMMYFUNCTION("QUERY('Volunteer Survey'!R317)"),"No - I am only interested in the group(s) I previously indicated")</f>
        <v>No - I am only interested in the group(s) I previously indicated</v>
      </c>
      <c r="Y308" s="53"/>
      <c r="Z308" s="55"/>
      <c r="AA308" s="55"/>
      <c r="AB308" s="55"/>
      <c r="AC308" s="55"/>
      <c r="AD308" s="55"/>
      <c r="AE308" s="55"/>
      <c r="AF308" s="55"/>
      <c r="AG308" s="55"/>
      <c r="AH308" s="55"/>
      <c r="AI308" s="55"/>
      <c r="AJ308" s="55"/>
      <c r="AK308" s="55"/>
      <c r="AL308" s="55"/>
      <c r="AM308" s="55"/>
      <c r="AN308" s="55"/>
      <c r="AO308" s="55"/>
    </row>
    <row r="309">
      <c r="A309" s="50">
        <f>IFERROR(__xludf.DUMMYFUNCTION("QUERY('Volunteer Survey'!A318)"),43735.73697031249)</f>
        <v>43735.73697</v>
      </c>
      <c r="B309" s="48" t="s">
        <v>322</v>
      </c>
      <c r="C309" s="53"/>
      <c r="D309" s="55"/>
      <c r="E309" s="55"/>
      <c r="F309" s="48" t="s">
        <v>130</v>
      </c>
      <c r="G309" s="48" t="s">
        <v>136</v>
      </c>
      <c r="H309" s="53"/>
      <c r="I309" s="53"/>
      <c r="J309" s="55"/>
      <c r="K309" s="55"/>
      <c r="L309" s="55" t="str">
        <f>IFERROR(__xludf.DUMMYFUNCTION("QUERY('Volunteer Survey'!B318)"),"Zonggao Shi")</f>
        <v>Zonggao Shi</v>
      </c>
      <c r="M309" s="55" t="str">
        <f>IFERROR(__xludf.DUMMYFUNCTION("QUERY('Volunteer Survey'!E318)"),"zshi1@stjude.org")</f>
        <v>zshi1@stjude.org</v>
      </c>
      <c r="N309" s="55" t="str">
        <f>IFERROR(__xludf.DUMMYFUNCTION("QUERY('Volunteer Survey'!F318)"),"Variant Analyst/Scientist - Academic")</f>
        <v>Variant Analyst/Scientist - Academic</v>
      </c>
      <c r="O309" s="48" t="str">
        <f>IFERROR(__xludf.DUMMYFUNCTION("QUERY('Volunteer Survey'!H318)"),"Comprehensive")</f>
        <v>Comprehensive</v>
      </c>
      <c r="P309" s="55" t="str">
        <f>IFERROR(__xludf.DUMMYFUNCTION("QUERY('Volunteer Survey'!I318)"),"Somatic Cancer")</f>
        <v>Somatic Cancer</v>
      </c>
      <c r="Q309" s="60" t="str">
        <f>IFERROR(__xludf.DUMMYFUNCTION("QUERY('Volunteer Survey'!J318)"),"Variant Pathogenicity")</f>
        <v>Variant Pathogenicity</v>
      </c>
      <c r="R309" s="55" t="str">
        <f>IFERROR(__xludf.DUMMYFUNCTION("QUERY('Volunteer Survey'!K318)"),"Clinical Actionability")</f>
        <v>Clinical Actionability</v>
      </c>
      <c r="S309" s="55" t="str">
        <f>IFERROR(__xludf.DUMMYFUNCTION("QUERY('Volunteer Survey'!L318)"),"Gene-Disease Validity")</f>
        <v>Gene-Disease Validity</v>
      </c>
      <c r="T309" s="55" t="str">
        <f>IFERROR(__xludf.DUMMYFUNCTION("QUERY('Volunteer Survey'!M318)"),"Dosage Sensitivity")</f>
        <v>Dosage Sensitivity</v>
      </c>
      <c r="U309" s="64" t="str">
        <f>IFERROR(__xludf.DUMMYFUNCTION("QUERY('Volunteer Survey'!N318)"),"Yes, currently working as an analyst for the manual review of variants and a member of our somatic cancer variant pathogenicity committee in St Jude Children's Clinical Genomics Team. ")</f>
        <v>Yes, currently working as an analyst for the manual review of variants and a member of our somatic cancer variant pathogenicity committee in St Jude Children's Clinical Genomics Team. </v>
      </c>
      <c r="V309" s="55" t="str">
        <f>IFERROR(__xludf.DUMMYFUNCTION("QUERY('Volunteer Survey'!O318)"),"Possibly")</f>
        <v>Possibly</v>
      </c>
      <c r="W309" s="66" t="str">
        <f>IFERROR(__xludf.DUMMYFUNCTION("QUERY('Volunteer Survey'!P318)"),"Yes, Somatic Cancer Pediatric Taskforce would be a good match")</f>
        <v>Yes, Somatic Cancer Pediatric Taskforce would be a good match</v>
      </c>
      <c r="X309" s="64" t="str">
        <f>IFERROR(__xludf.DUMMYFUNCTION("QUERY('Volunteer Survey'!R318)"),"Yes- I am willing to volunteer with any available ClinGen group")</f>
        <v>Yes- I am willing to volunteer with any available ClinGen group</v>
      </c>
      <c r="Y309" s="53"/>
      <c r="Z309" s="55"/>
      <c r="AA309" s="55"/>
      <c r="AB309" s="55"/>
      <c r="AC309" s="55"/>
      <c r="AD309" s="55"/>
      <c r="AE309" s="55"/>
      <c r="AF309" s="55"/>
      <c r="AG309" s="55"/>
      <c r="AH309" s="55"/>
      <c r="AI309" s="55"/>
      <c r="AJ309" s="55"/>
      <c r="AK309" s="55"/>
      <c r="AL309" s="55"/>
      <c r="AM309" s="55"/>
      <c r="AN309" s="55"/>
      <c r="AO309" s="55"/>
    </row>
    <row r="310">
      <c r="A310" s="50">
        <f>IFERROR(__xludf.DUMMYFUNCTION("QUERY('Volunteer Survey'!A319)"),43736.418810243056)</f>
        <v>43736.41881</v>
      </c>
      <c r="B310" s="48" t="s">
        <v>108</v>
      </c>
      <c r="C310" s="79">
        <v>43819.0</v>
      </c>
      <c r="D310" s="55"/>
      <c r="E310" s="55"/>
      <c r="F310" s="48" t="s">
        <v>130</v>
      </c>
      <c r="G310" s="48" t="s">
        <v>251</v>
      </c>
      <c r="H310" s="53"/>
      <c r="I310" s="53"/>
      <c r="J310" s="55"/>
      <c r="K310" s="55"/>
      <c r="L310" s="55" t="str">
        <f>IFERROR(__xludf.DUMMYFUNCTION("QUERY('Volunteer Survey'!B319)"),"Linlin Zhang")</f>
        <v>Linlin Zhang</v>
      </c>
      <c r="M310" s="55" t="str">
        <f>IFERROR(__xludf.DUMMYFUNCTION("QUERY('Volunteer Survey'!E319)"),"linlinzhang277@gmail.com")</f>
        <v>linlinzhang277@gmail.com</v>
      </c>
      <c r="N310" s="55" t="str">
        <f>IFERROR(__xludf.DUMMYFUNCTION("QUERY('Volunteer Survey'!F319)"),"Clinical laboratory geneticist")</f>
        <v>Clinical laboratory geneticist</v>
      </c>
      <c r="O310" s="48" t="str">
        <f>IFERROR(__xludf.DUMMYFUNCTION("QUERY('Volunteer Survey'!H319)"),"Comprehensive")</f>
        <v>Comprehensive</v>
      </c>
      <c r="P310" s="55" t="str">
        <f>IFERROR(__xludf.DUMMYFUNCTION("QUERY('Volunteer Survey'!I319)"),"Variant Pathogenicity")</f>
        <v>Variant Pathogenicity</v>
      </c>
      <c r="Q310" s="60" t="str">
        <f>IFERROR(__xludf.DUMMYFUNCTION("QUERY('Volunteer Survey'!J319)"),"Dosage Sensitivity")</f>
        <v>Dosage Sensitivity</v>
      </c>
      <c r="R310" s="55" t="str">
        <f>IFERROR(__xludf.DUMMYFUNCTION("QUERY('Volunteer Survey'!K319)"),"Gene-Disease Validity")</f>
        <v>Gene-Disease Validity</v>
      </c>
      <c r="S310" s="55" t="str">
        <f>IFERROR(__xludf.DUMMYFUNCTION("QUERY('Volunteer Survey'!L319)"),"Clinical Actionability")</f>
        <v>Clinical Actionability</v>
      </c>
      <c r="T310" s="55" t="str">
        <f>IFERROR(__xludf.DUMMYFUNCTION("QUERY('Volunteer Survey'!M319)"),"Somatic Cancer")</f>
        <v>Somatic Cancer</v>
      </c>
      <c r="U310" s="64" t="str">
        <f>IFERROR(__xludf.DUMMYFUNCTION("QUERY('Volunteer Survey'!N319)"),"I am a director of clinical molecular and genetic lab of the Third Affliated Hospital of Zhengzhou University which is the largest maternal and children's hospital of Henan Province serving over 100 million population. I finish more than 30 CMA reports an"&amp;"d  4 variant pathogenic curation everyweek. I have 7 years of work experience in molecular genetic diagnosis, especially in the field of prenatal diagnosis.  Our Lab will finish about 200 Phenylketonuria molecular tests. These patients are from the newbor"&amp;"n screening center of Henan Province.")</f>
        <v>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v>
      </c>
      <c r="V310" s="55" t="str">
        <f>IFERROR(__xludf.DUMMYFUNCTION("QUERY('Volunteer Survey'!O319)"),"Yes")</f>
        <v>Yes</v>
      </c>
      <c r="W310" s="66" t="str">
        <f>IFERROR(__xludf.DUMMYFUNCTION("QUERY('Volunteer Survey'!P319)"),"Dosage Sensitivity Working Group  or Variant Curation Expert Panels in Phenylketonuria")</f>
        <v>Dosage Sensitivity Working Group  or Variant Curation Expert Panels in Phenylketonuria</v>
      </c>
      <c r="X310" s="64" t="str">
        <f>IFERROR(__xludf.DUMMYFUNCTION("QUERY('Volunteer Survey'!R319)"),"Yes- I am willing to volunteer with any available ClinGen group")</f>
        <v>Yes- I am willing to volunteer with any available ClinGen group</v>
      </c>
      <c r="Y310" s="53"/>
      <c r="Z310" s="55"/>
      <c r="AA310" s="55"/>
      <c r="AB310" s="55"/>
      <c r="AC310" s="55"/>
      <c r="AD310" s="55"/>
      <c r="AE310" s="55"/>
      <c r="AF310" s="55"/>
      <c r="AG310" s="55"/>
      <c r="AH310" s="55"/>
      <c r="AI310" s="55"/>
      <c r="AJ310" s="55"/>
      <c r="AK310" s="55"/>
      <c r="AL310" s="55"/>
      <c r="AM310" s="55"/>
      <c r="AN310" s="55"/>
      <c r="AO310" s="55"/>
    </row>
    <row r="311">
      <c r="A311" s="50">
        <f>IFERROR(__xludf.DUMMYFUNCTION("QUERY('Volunteer Survey'!A320)"),43739.038227233796)</f>
        <v>43739.03823</v>
      </c>
      <c r="B311" s="48" t="s">
        <v>108</v>
      </c>
      <c r="C311" s="79">
        <v>43819.0</v>
      </c>
      <c r="D311" s="55"/>
      <c r="E311" s="55"/>
      <c r="F311" s="48" t="s">
        <v>130</v>
      </c>
      <c r="G311" s="48" t="s">
        <v>251</v>
      </c>
      <c r="H311" s="53"/>
      <c r="I311" s="53"/>
      <c r="J311" s="55"/>
      <c r="K311" s="55"/>
      <c r="L311" s="55" t="str">
        <f>IFERROR(__xludf.DUMMYFUNCTION("QUERY('Volunteer Survey'!B320)"),"Marco Montes de Oca")</f>
        <v>Marco Montes de Oca</v>
      </c>
      <c r="M311" s="55" t="str">
        <f>IFERROR(__xludf.DUMMYFUNCTION("QUERY('Volunteer Survey'!E320)"),"montesm@student.unimelb.edu.au")</f>
        <v>montesm@student.unimelb.edu.au</v>
      </c>
      <c r="N311" s="55" t="str">
        <f>IFERROR(__xludf.DUMMYFUNCTION("QUERY('Volunteer Survey'!F320)"),"Graduate Student")</f>
        <v>Graduate Student</v>
      </c>
      <c r="O311" s="48" t="str">
        <f>IFERROR(__xludf.DUMMYFUNCTION("QUERY('Volunteer Survey'!H320)"),"Comprehensive")</f>
        <v>Comprehensive</v>
      </c>
      <c r="P311" s="55" t="str">
        <f>IFERROR(__xludf.DUMMYFUNCTION("QUERY('Volunteer Survey'!I320)"),"Variant Pathogenicity")</f>
        <v>Variant Pathogenicity</v>
      </c>
      <c r="Q311" s="60" t="str">
        <f>IFERROR(__xludf.DUMMYFUNCTION("QUERY('Volunteer Survey'!J320)"),"Gene-Disease Validity")</f>
        <v>Gene-Disease Validity</v>
      </c>
      <c r="R311" s="55" t="str">
        <f>IFERROR(__xludf.DUMMYFUNCTION("QUERY('Volunteer Survey'!K320)"),"Dosage Sensitivity")</f>
        <v>Dosage Sensitivity</v>
      </c>
      <c r="S311" s="55" t="str">
        <f>IFERROR(__xludf.DUMMYFUNCTION("QUERY('Volunteer Survey'!L320)"),"")</f>
        <v/>
      </c>
      <c r="T311" s="55" t="str">
        <f>IFERROR(__xludf.DUMMYFUNCTION("QUERY('Volunteer Survey'!M320)"),"")</f>
        <v/>
      </c>
      <c r="U311" s="64" t="str">
        <f>IFERROR(__xludf.DUMMYFUNCTION("QUERY('Volunteer Survey'!N320)"),"")</f>
        <v/>
      </c>
      <c r="V311" s="55" t="str">
        <f>IFERROR(__xludf.DUMMYFUNCTION("QUERY('Volunteer Survey'!O320)"),"No")</f>
        <v>No</v>
      </c>
      <c r="W311" s="66" t="str">
        <f>IFERROR(__xludf.DUMMYFUNCTION("QUERY('Volunteer Survey'!P320)"),"I am interested in the following working groups:
- Brain Malformations Variant Curation Expert Panel
- Mitochondrial Diseases Gene Curation Expert Panel")</f>
        <v>I am interested in the following working groups:
- Brain Malformations Variant Curation Expert Panel
- Mitochondrial Diseases Gene Curation Expert Panel</v>
      </c>
      <c r="X311" s="64" t="str">
        <f>IFERROR(__xludf.DUMMYFUNCTION("QUERY('Volunteer Survey'!R320)"),"Yes- I am willing to volunteer with any available ClinGen group")</f>
        <v>Yes- I am willing to volunteer with any available ClinGen group</v>
      </c>
      <c r="Y311" s="51" t="s">
        <v>1910</v>
      </c>
      <c r="Z311" s="55"/>
      <c r="AA311" s="55"/>
      <c r="AB311" s="55"/>
      <c r="AC311" s="55"/>
      <c r="AD311" s="55"/>
      <c r="AE311" s="55"/>
      <c r="AF311" s="55"/>
      <c r="AG311" s="55"/>
      <c r="AH311" s="55"/>
      <c r="AI311" s="55"/>
      <c r="AJ311" s="55"/>
      <c r="AK311" s="55"/>
      <c r="AL311" s="55"/>
      <c r="AM311" s="55"/>
      <c r="AN311" s="55"/>
      <c r="AO311" s="55"/>
    </row>
    <row r="312">
      <c r="A312" s="50">
        <f>IFERROR(__xludf.DUMMYFUNCTION("QUERY('Volunteer Survey'!A321)"),43739.38035712963)</f>
        <v>43739.38036</v>
      </c>
      <c r="B312" s="48" t="s">
        <v>108</v>
      </c>
      <c r="C312" s="53"/>
      <c r="D312" s="55"/>
      <c r="E312" s="55"/>
      <c r="F312" s="48" t="s">
        <v>130</v>
      </c>
      <c r="G312" s="48" t="s">
        <v>202</v>
      </c>
      <c r="H312" s="53"/>
      <c r="I312" s="53"/>
      <c r="J312" s="55"/>
      <c r="K312" s="55"/>
      <c r="L312" s="55" t="str">
        <f>IFERROR(__xludf.DUMMYFUNCTION("QUERY('Volunteer Survey'!B321)"),"Carolina Bustamante")</f>
        <v>Carolina Bustamante</v>
      </c>
      <c r="M312" s="55" t="str">
        <f>IFERROR(__xludf.DUMMYFUNCTION("QUERY('Volunteer Survey'!E321)"),"carolina.bustamante@gmail.com")</f>
        <v>carolina.bustamante@gmail.com</v>
      </c>
      <c r="N312" s="55" t="str">
        <f>IFERROR(__xludf.DUMMYFUNCTION("QUERY('Volunteer Survey'!F321)"),"Clinical laboratory geneticist")</f>
        <v>Clinical laboratory geneticist</v>
      </c>
      <c r="O312" s="48" t="str">
        <f>IFERROR(__xludf.DUMMYFUNCTION("QUERY('Volunteer Survey'!H321)"),"Baseline")</f>
        <v>Baseline</v>
      </c>
      <c r="P312" s="55" t="str">
        <f>IFERROR(__xludf.DUMMYFUNCTION("QUERY('Volunteer Survey'!I321)"),"Somatic Cancer")</f>
        <v>Somatic Cancer</v>
      </c>
      <c r="Q312" s="60" t="str">
        <f>IFERROR(__xludf.DUMMYFUNCTION("QUERY('Volunteer Survey'!J321)"),"Variant Pathogenicity")</f>
        <v>Variant Pathogenicity</v>
      </c>
      <c r="R312" s="55" t="str">
        <f>IFERROR(__xludf.DUMMYFUNCTION("QUERY('Volunteer Survey'!K321)"),"Clinical Actionability")</f>
        <v>Clinical Actionability</v>
      </c>
      <c r="S312" s="55" t="str">
        <f>IFERROR(__xludf.DUMMYFUNCTION("QUERY('Volunteer Survey'!L321)"),"Gene-Disease Validity")</f>
        <v>Gene-Disease Validity</v>
      </c>
      <c r="T312" s="55" t="str">
        <f>IFERROR(__xludf.DUMMYFUNCTION("QUERY('Volunteer Survey'!M321)"),"Dosage Sensitivity")</f>
        <v>Dosage Sensitivity</v>
      </c>
      <c r="U312" s="64" t="str">
        <f>IFERROR(__xludf.DUMMYFUNCTION("QUERY('Volunteer Survey'!N321)"),"Yes, I work in a clinical laboratory with NGS panels ")</f>
        <v>Yes, I work in a clinical laboratory with NGS panels </v>
      </c>
      <c r="V312" s="55" t="str">
        <f>IFERROR(__xludf.DUMMYFUNCTION("QUERY('Volunteer Survey'!O321)"),"Possibly")</f>
        <v>Possibly</v>
      </c>
      <c r="W312" s="66" t="str">
        <f>IFERROR(__xludf.DUMMYFUNCTION("QUERY('Volunteer Survey'!P321)"),"Cancer, lung cancer, Hereditary cancer, cardiomyopathy, TP53, colorectal cancer, genitourinary tract cancer")</f>
        <v>Cancer, lung cancer, Hereditary cancer, cardiomyopathy, TP53, colorectal cancer, genitourinary tract cancer</v>
      </c>
      <c r="X312" s="64" t="str">
        <f>IFERROR(__xludf.DUMMYFUNCTION("QUERY('Volunteer Survey'!R321)"),"Yes- I am willing to volunteer with any available ClinGen group")</f>
        <v>Yes- I am willing to volunteer with any available ClinGen group</v>
      </c>
      <c r="Y312" s="53"/>
      <c r="Z312" s="55"/>
      <c r="AA312" s="55"/>
      <c r="AB312" s="55"/>
      <c r="AC312" s="55"/>
      <c r="AD312" s="55"/>
      <c r="AE312" s="55"/>
      <c r="AF312" s="55"/>
      <c r="AG312" s="55"/>
      <c r="AH312" s="55"/>
      <c r="AI312" s="55"/>
      <c r="AJ312" s="55"/>
      <c r="AK312" s="55"/>
      <c r="AL312" s="55"/>
      <c r="AM312" s="55"/>
      <c r="AN312" s="55"/>
      <c r="AO312" s="55"/>
    </row>
    <row r="313">
      <c r="A313" s="50">
        <f>IFERROR(__xludf.DUMMYFUNCTION("QUERY('Volunteer Survey'!A322)"),43739.46347385417)</f>
        <v>43739.46347</v>
      </c>
      <c r="B313" s="48" t="s">
        <v>108</v>
      </c>
      <c r="C313" s="53"/>
      <c r="D313" s="55"/>
      <c r="E313" s="55"/>
      <c r="F313" s="48" t="s">
        <v>130</v>
      </c>
      <c r="G313" s="48" t="s">
        <v>202</v>
      </c>
      <c r="H313" s="53"/>
      <c r="I313" s="53"/>
      <c r="J313" s="55"/>
      <c r="K313" s="55"/>
      <c r="L313" s="55" t="str">
        <f>IFERROR(__xludf.DUMMYFUNCTION("QUERY('Volunteer Survey'!B322)"),"Alex Gout")</f>
        <v>Alex Gout</v>
      </c>
      <c r="M313" s="55" t="str">
        <f>IFERROR(__xludf.DUMMYFUNCTION("QUERY('Volunteer Survey'!E322)"),"alex.gout@stjude.org")</f>
        <v>alex.gout@stjude.org</v>
      </c>
      <c r="N313" s="55" t="str">
        <f>IFERROR(__xludf.DUMMYFUNCTION("QUERY('Volunteer Survey'!F322)"),"Scientific Researcher")</f>
        <v>Scientific Researcher</v>
      </c>
      <c r="O313" s="48" t="str">
        <f>IFERROR(__xludf.DUMMYFUNCTION("QUERY('Volunteer Survey'!H322)"),"Baseline")</f>
        <v>Baseline</v>
      </c>
      <c r="P313" s="55" t="str">
        <f>IFERROR(__xludf.DUMMYFUNCTION("QUERY('Volunteer Survey'!I322)"),"")</f>
        <v/>
      </c>
      <c r="Q313" s="60" t="str">
        <f>IFERROR(__xludf.DUMMYFUNCTION("QUERY('Volunteer Survey'!J322)"),"")</f>
        <v/>
      </c>
      <c r="R313" s="55" t="str">
        <f>IFERROR(__xludf.DUMMYFUNCTION("QUERY('Volunteer Survey'!K322)"),"")</f>
        <v/>
      </c>
      <c r="S313" s="55" t="str">
        <f>IFERROR(__xludf.DUMMYFUNCTION("QUERY('Volunteer Survey'!L322)"),"")</f>
        <v/>
      </c>
      <c r="T313" s="55" t="str">
        <f>IFERROR(__xludf.DUMMYFUNCTION("QUERY('Volunteer Survey'!M322)"),"")</f>
        <v/>
      </c>
      <c r="U313" s="64" t="str">
        <f>IFERROR(__xludf.DUMMYFUNCTION("QUERY('Volunteer Survey'!N322)"),"")</f>
        <v/>
      </c>
      <c r="V313" s="55" t="str">
        <f>IFERROR(__xludf.DUMMYFUNCTION("QUERY('Volunteer Survey'!O322)"),"Possibly")</f>
        <v>Possibly</v>
      </c>
      <c r="W313" s="66" t="str">
        <f>IFERROR(__xludf.DUMMYFUNCTION("QUERY('Volunteer Survey'!P322)"),"somatic cancer working group - pediatric")</f>
        <v>somatic cancer working group - pediatric</v>
      </c>
      <c r="X313" s="64" t="str">
        <f>IFERROR(__xludf.DUMMYFUNCTION("QUERY('Volunteer Survey'!R322)"),"Maybe -- please contact me with other options, and I will decide based on what is available")</f>
        <v>Maybe -- please contact me with other options, and I will decide based on what is available</v>
      </c>
      <c r="Y313" s="53"/>
      <c r="Z313" s="55"/>
      <c r="AA313" s="55"/>
      <c r="AB313" s="55"/>
      <c r="AC313" s="55"/>
      <c r="AD313" s="55"/>
      <c r="AE313" s="55"/>
      <c r="AF313" s="55"/>
      <c r="AG313" s="55"/>
      <c r="AH313" s="55"/>
      <c r="AI313" s="55"/>
      <c r="AJ313" s="55"/>
      <c r="AK313" s="55"/>
      <c r="AL313" s="55"/>
      <c r="AM313" s="55"/>
      <c r="AN313" s="55"/>
      <c r="AO313" s="55"/>
    </row>
    <row r="314">
      <c r="A314" s="50">
        <f>IFERROR(__xludf.DUMMYFUNCTION("QUERY('Volunteer Survey'!A323)"),43742.05410947916)</f>
        <v>43742.05411</v>
      </c>
      <c r="B314" s="48" t="s">
        <v>108</v>
      </c>
      <c r="C314" s="53"/>
      <c r="D314" s="55"/>
      <c r="E314" s="55"/>
      <c r="F314" s="48" t="s">
        <v>130</v>
      </c>
      <c r="G314" s="48" t="s">
        <v>202</v>
      </c>
      <c r="H314" s="53"/>
      <c r="I314" s="53"/>
      <c r="J314" s="55"/>
      <c r="K314" s="55"/>
      <c r="L314" s="55" t="str">
        <f>IFERROR(__xludf.DUMMYFUNCTION("QUERY('Volunteer Survey'!B323)"),"Kim Phuong Tong")</f>
        <v>Kim Phuong Tong</v>
      </c>
      <c r="M314" s="55" t="str">
        <f>IFERROR(__xludf.DUMMYFUNCTION("QUERY('Volunteer Survey'!E323)"),"ktongpotter@yahoo.com")</f>
        <v>ktongpotter@yahoo.com</v>
      </c>
      <c r="N314" s="55" t="str">
        <f>IFERROR(__xludf.DUMMYFUNCTION("QUERY('Volunteer Survey'!F323)"),"Citizen Scientist/Patient Advocate")</f>
        <v>Citizen Scientist/Patient Advocate</v>
      </c>
      <c r="O314" s="48" t="str">
        <f>IFERROR(__xludf.DUMMYFUNCTION("QUERY('Volunteer Survey'!H323)"),"Baseline")</f>
        <v>Baseline</v>
      </c>
      <c r="P314" s="55" t="str">
        <f>IFERROR(__xludf.DUMMYFUNCTION("QUERY('Volunteer Survey'!I323)"),"Gene-Disease Validity")</f>
        <v>Gene-Disease Validity</v>
      </c>
      <c r="Q314" s="60" t="str">
        <f>IFERROR(__xludf.DUMMYFUNCTION("QUERY('Volunteer Survey'!J323)"),"Clinical Actionability")</f>
        <v>Clinical Actionability</v>
      </c>
      <c r="R314" s="55" t="str">
        <f>IFERROR(__xludf.DUMMYFUNCTION("QUERY('Volunteer Survey'!K323)"),"Variant Pathogenicity")</f>
        <v>Variant Pathogenicity</v>
      </c>
      <c r="S314" s="55" t="str">
        <f>IFERROR(__xludf.DUMMYFUNCTION("QUERY('Volunteer Survey'!L323)"),"")</f>
        <v/>
      </c>
      <c r="T314" s="55" t="str">
        <f>IFERROR(__xludf.DUMMYFUNCTION("QUERY('Volunteer Survey'!M323)"),"")</f>
        <v/>
      </c>
      <c r="U314" s="64" t="str">
        <f>IFERROR(__xludf.DUMMYFUNCTION("QUERY('Volunteer Survey'!N323)"),"")</f>
        <v/>
      </c>
      <c r="V314" s="55" t="str">
        <f>IFERROR(__xludf.DUMMYFUNCTION("QUERY('Volunteer Survey'!O323)"),"Possibly")</f>
        <v>Possibly</v>
      </c>
      <c r="W314" s="66" t="str">
        <f>IFERROR(__xludf.DUMMYFUNCTION("QUERY('Volunteer Survey'!P323)"),"")</f>
        <v/>
      </c>
      <c r="X314" s="64" t="str">
        <f>IFERROR(__xludf.DUMMYFUNCTION("QUERY('Volunteer Survey'!R323)"),"Maybe -- please contact me with other options, and I will decide based on what is available")</f>
        <v>Maybe -- please contact me with other options, and I will decide based on what is available</v>
      </c>
      <c r="Y314" s="53"/>
      <c r="Z314" s="55"/>
      <c r="AA314" s="55"/>
      <c r="AB314" s="55"/>
      <c r="AC314" s="55"/>
      <c r="AD314" s="55"/>
      <c r="AE314" s="55"/>
      <c r="AF314" s="55"/>
      <c r="AG314" s="55"/>
      <c r="AH314" s="55"/>
      <c r="AI314" s="55"/>
      <c r="AJ314" s="55"/>
      <c r="AK314" s="55"/>
      <c r="AL314" s="55"/>
      <c r="AM314" s="55"/>
      <c r="AN314" s="55"/>
      <c r="AO314" s="55"/>
    </row>
    <row r="315">
      <c r="A315" s="50">
        <f>IFERROR(__xludf.DUMMYFUNCTION("QUERY('Volunteer Survey'!A324)"),43742.66885350695)</f>
        <v>43742.66885</v>
      </c>
      <c r="B315" s="48" t="s">
        <v>108</v>
      </c>
      <c r="C315" s="79">
        <v>43819.0</v>
      </c>
      <c r="D315" s="55"/>
      <c r="E315" s="55"/>
      <c r="F315" s="48" t="s">
        <v>130</v>
      </c>
      <c r="G315" s="48" t="s">
        <v>251</v>
      </c>
      <c r="H315" s="53"/>
      <c r="I315" s="53"/>
      <c r="J315" s="55"/>
      <c r="K315" s="55"/>
      <c r="L315" s="55" t="str">
        <f>IFERROR(__xludf.DUMMYFUNCTION("QUERY('Volunteer Survey'!B324)"),"Heather Harris")</f>
        <v>Heather Harris</v>
      </c>
      <c r="M315" s="55" t="str">
        <f>IFERROR(__xludf.DUMMYFUNCTION("QUERY('Volunteer Survey'!E324)"),"heatherkharris1@gmail.com")</f>
        <v>heatherkharris1@gmail.com</v>
      </c>
      <c r="N315" s="55" t="str">
        <f>IFERROR(__xludf.DUMMYFUNCTION("QUERY('Volunteer Survey'!F324)"),"Genetic counselor")</f>
        <v>Genetic counselor</v>
      </c>
      <c r="O315" s="48" t="str">
        <f>IFERROR(__xludf.DUMMYFUNCTION("QUERY('Volunteer Survey'!H324)"),"Comprehensive")</f>
        <v>Comprehensive</v>
      </c>
      <c r="P315" s="55" t="str">
        <f>IFERROR(__xludf.DUMMYFUNCTION("QUERY('Volunteer Survey'!I324)"),"Variant Pathogenicity")</f>
        <v>Variant Pathogenicity</v>
      </c>
      <c r="Q315" s="60" t="str">
        <f>IFERROR(__xludf.DUMMYFUNCTION("QUERY('Volunteer Survey'!J324)"),"Clinical Actionability")</f>
        <v>Clinical Actionability</v>
      </c>
      <c r="R315" s="55" t="str">
        <f>IFERROR(__xludf.DUMMYFUNCTION("QUERY('Volunteer Survey'!K324)"),"Gene-Disease Validity")</f>
        <v>Gene-Disease Validity</v>
      </c>
      <c r="S315" s="55" t="str">
        <f>IFERROR(__xludf.DUMMYFUNCTION("QUERY('Volunteer Survey'!L324)"),"Somatic Cancer")</f>
        <v>Somatic Cancer</v>
      </c>
      <c r="T315" s="55" t="str">
        <f>IFERROR(__xludf.DUMMYFUNCTION("QUERY('Volunteer Survey'!M324)"),"Dosage Sensitivity")</f>
        <v>Dosage Sensitivity</v>
      </c>
      <c r="U315" s="64" t="str">
        <f>IFERROR(__xludf.DUMMYFUNCTION("QUERY('Volunteer Survey'!N324)"),"Limited experience with creating variant descriptions for lab report writing. ")</f>
        <v>Limited experience with creating variant descriptions for lab report writing. </v>
      </c>
      <c r="V315" s="55" t="str">
        <f>IFERROR(__xludf.DUMMYFUNCTION("QUERY('Volunteer Survey'!O324)"),"No")</f>
        <v>No</v>
      </c>
      <c r="W315" s="66" t="str">
        <f>IFERROR(__xludf.DUMMYFUNCTION("QUERY('Volunteer Survey'!P324)"),"I am open to any opportunity.")</f>
        <v>I am open to any opportunity.</v>
      </c>
      <c r="X315" s="64" t="str">
        <f>IFERROR(__xludf.DUMMYFUNCTION("QUERY('Volunteer Survey'!R324)"),"")</f>
        <v/>
      </c>
      <c r="Y315" s="53"/>
      <c r="Z315" s="55"/>
      <c r="AA315" s="55"/>
      <c r="AB315" s="55"/>
      <c r="AC315" s="55"/>
      <c r="AD315" s="55"/>
      <c r="AE315" s="55"/>
      <c r="AF315" s="55"/>
      <c r="AG315" s="55"/>
      <c r="AH315" s="55"/>
      <c r="AI315" s="55"/>
      <c r="AJ315" s="55"/>
      <c r="AK315" s="55"/>
      <c r="AL315" s="55"/>
      <c r="AM315" s="55"/>
      <c r="AN315" s="55"/>
      <c r="AO315" s="55"/>
    </row>
    <row r="316">
      <c r="A316" s="50">
        <f>IFERROR(__xludf.DUMMYFUNCTION("QUERY('Volunteer Survey'!A325)"),43744.75477740741)</f>
        <v>43744.75478</v>
      </c>
      <c r="B316" s="48" t="s">
        <v>108</v>
      </c>
      <c r="C316" s="53"/>
      <c r="D316" s="55"/>
      <c r="E316" s="55"/>
      <c r="F316" s="48" t="s">
        <v>130</v>
      </c>
      <c r="G316" s="48" t="s">
        <v>202</v>
      </c>
      <c r="H316" s="53"/>
      <c r="I316" s="53"/>
      <c r="J316" s="55"/>
      <c r="K316" s="55"/>
      <c r="L316" s="55" t="str">
        <f>IFERROR(__xludf.DUMMYFUNCTION("QUERY('Volunteer Survey'!B325)"),"C. Anwar A. Chahal")</f>
        <v>C. Anwar A. Chahal</v>
      </c>
      <c r="M316" s="55" t="str">
        <f>IFERROR(__xludf.DUMMYFUNCTION("QUERY('Volunteer Survey'!E325)"),"anwar.chahal@uphs.upenn.edu")</f>
        <v>anwar.chahal@uphs.upenn.edu</v>
      </c>
      <c r="N316" s="55" t="str">
        <f>IFERROR(__xludf.DUMMYFUNCTION("QUERY('Volunteer Survey'!F325)"),"Clinician Scientist, EP and Inherited CV Diseases, in final year clinical EP Fellowship")</f>
        <v>Clinician Scientist, EP and Inherited CV Diseases, in final year clinical EP Fellowship</v>
      </c>
      <c r="O316" s="48" t="str">
        <f>IFERROR(__xludf.DUMMYFUNCTION("QUERY('Volunteer Survey'!H325)"),"Baseline")</f>
        <v>Baseline</v>
      </c>
      <c r="P316" s="55" t="str">
        <f>IFERROR(__xludf.DUMMYFUNCTION("QUERY('Volunteer Survey'!I325)"),"Variant Pathogenicity")</f>
        <v>Variant Pathogenicity</v>
      </c>
      <c r="Q316" s="60" t="str">
        <f>IFERROR(__xludf.DUMMYFUNCTION("QUERY('Volunteer Survey'!J325)"),"Gene-Disease Validity")</f>
        <v>Gene-Disease Validity</v>
      </c>
      <c r="R316" s="55" t="str">
        <f>IFERROR(__xludf.DUMMYFUNCTION("QUERY('Volunteer Survey'!K325)"),"Clinical Actionability")</f>
        <v>Clinical Actionability</v>
      </c>
      <c r="S316" s="55" t="str">
        <f>IFERROR(__xludf.DUMMYFUNCTION("QUERY('Volunteer Survey'!L325)"),"")</f>
        <v/>
      </c>
      <c r="T316" s="55" t="str">
        <f>IFERROR(__xludf.DUMMYFUNCTION("QUERY('Volunteer Survey'!M325)"),"")</f>
        <v/>
      </c>
      <c r="U316" s="64" t="str">
        <f>IFERROR(__xludf.DUMMYFUNCTION("QUERY('Volunteer Survey'!N325)"),"Not curation, experience in geneomics (PhD, American Heart Association)")</f>
        <v>Not curation, experience in geneomics (PhD, American Heart Association)</v>
      </c>
      <c r="V316" s="55" t="str">
        <f>IFERROR(__xludf.DUMMYFUNCTION("QUERY('Volunteer Survey'!O325)"),"Possibly")</f>
        <v>Possibly</v>
      </c>
      <c r="W316" s="66" t="str">
        <f>IFERROR(__xludf.DUMMYFUNCTION("QUERY('Volunteer Survey'!P325)"),"Congenital myopathies, Cardiomyopathy* (these are my areas of expertise/interest)")</f>
        <v>Congenital myopathies, Cardiomyopathy* (these are my areas of expertise/interest)</v>
      </c>
      <c r="X316" s="64" t="str">
        <f>IFERROR(__xludf.DUMMYFUNCTION("QUERY('Volunteer Survey'!R325)"),"No - I am only interested in the group(s) I previously indicated")</f>
        <v>No - I am only interested in the group(s) I previously indicated</v>
      </c>
      <c r="Y316" s="53"/>
      <c r="Z316" s="55"/>
      <c r="AA316" s="55"/>
      <c r="AB316" s="55"/>
      <c r="AC316" s="55"/>
      <c r="AD316" s="55"/>
      <c r="AE316" s="55"/>
      <c r="AF316" s="55"/>
      <c r="AG316" s="55"/>
      <c r="AH316" s="55"/>
      <c r="AI316" s="55"/>
      <c r="AJ316" s="55"/>
      <c r="AK316" s="55"/>
      <c r="AL316" s="55"/>
      <c r="AM316" s="55"/>
      <c r="AN316" s="55"/>
      <c r="AO316" s="55"/>
    </row>
    <row r="317">
      <c r="A317" s="50">
        <f>IFERROR(__xludf.DUMMYFUNCTION("QUERY('Volunteer Survey'!A326)"),43745.65172986111)</f>
        <v>43745.65173</v>
      </c>
      <c r="B317" s="48" t="s">
        <v>108</v>
      </c>
      <c r="C317" s="79">
        <v>43819.0</v>
      </c>
      <c r="D317" s="55"/>
      <c r="E317" s="55"/>
      <c r="F317" s="48" t="s">
        <v>130</v>
      </c>
      <c r="G317" s="48" t="s">
        <v>251</v>
      </c>
      <c r="H317" s="53"/>
      <c r="I317" s="53"/>
      <c r="J317" s="55"/>
      <c r="K317" s="55"/>
      <c r="L317" s="55" t="str">
        <f>IFERROR(__xludf.DUMMYFUNCTION("QUERY('Volunteer Survey'!B326)"),"Kaitlin Lenhart")</f>
        <v>Kaitlin Lenhart</v>
      </c>
      <c r="M317" s="55" t="str">
        <f>IFERROR(__xludf.DUMMYFUNCTION("QUERY('Volunteer Survey'!E326)"),"kaitlin.lenhart@slh.wisc.edu")</f>
        <v>kaitlin.lenhart@slh.wisc.edu</v>
      </c>
      <c r="N317" s="55" t="str">
        <f>IFERROR(__xludf.DUMMYFUNCTION("QUERY('Volunteer Survey'!F326)"),"Clinical laboratory geneticist")</f>
        <v>Clinical laboratory geneticist</v>
      </c>
      <c r="O317" s="48" t="str">
        <f>IFERROR(__xludf.DUMMYFUNCTION("QUERY('Volunteer Survey'!H326)"),"Comprehensive")</f>
        <v>Comprehensive</v>
      </c>
      <c r="P317" s="55" t="str">
        <f>IFERROR(__xludf.DUMMYFUNCTION("QUERY('Volunteer Survey'!I326)"),"Variant Pathogenicity")</f>
        <v>Variant Pathogenicity</v>
      </c>
      <c r="Q317" s="60" t="str">
        <f>IFERROR(__xludf.DUMMYFUNCTION("QUERY('Volunteer Survey'!J326)"),"Gene-Disease Validity")</f>
        <v>Gene-Disease Validity</v>
      </c>
      <c r="R317" s="55" t="str">
        <f>IFERROR(__xludf.DUMMYFUNCTION("QUERY('Volunteer Survey'!K326)"),"Dosage Sensitivity")</f>
        <v>Dosage Sensitivity</v>
      </c>
      <c r="S317" s="55" t="str">
        <f>IFERROR(__xludf.DUMMYFUNCTION("QUERY('Volunteer Survey'!L326)"),"Clinical Actionability")</f>
        <v>Clinical Actionability</v>
      </c>
      <c r="T317" s="55" t="str">
        <f>IFERROR(__xludf.DUMMYFUNCTION("QUERY('Volunteer Survey'!M326)"),"")</f>
        <v/>
      </c>
      <c r="U317" s="64" t="str">
        <f>IFERROR(__xludf.DUMMYFUNCTION("QUERY('Volunteer Survey'!N326)"),"")</f>
        <v/>
      </c>
      <c r="V317" s="55" t="str">
        <f>IFERROR(__xludf.DUMMYFUNCTION("QUERY('Volunteer Survey'!O326)"),"Possibly")</f>
        <v>Possibly</v>
      </c>
      <c r="W317" s="66" t="str">
        <f>IFERROR(__xludf.DUMMYFUNCTION("QUERY('Volunteer Survey'!P326)"),"")</f>
        <v/>
      </c>
      <c r="X317" s="64" t="str">
        <f>IFERROR(__xludf.DUMMYFUNCTION("QUERY('Volunteer Survey'!R326)"),"Maybe -- please contact me with other options, and I will decide based on what is available")</f>
        <v>Maybe -- please contact me with other options, and I will decide based on what is available</v>
      </c>
      <c r="Y317" s="53"/>
      <c r="Z317" s="55"/>
      <c r="AA317" s="55"/>
      <c r="AB317" s="55"/>
      <c r="AC317" s="55"/>
      <c r="AD317" s="55"/>
      <c r="AE317" s="55"/>
      <c r="AF317" s="55"/>
      <c r="AG317" s="55"/>
      <c r="AH317" s="55"/>
      <c r="AI317" s="55"/>
      <c r="AJ317" s="55"/>
      <c r="AK317" s="55"/>
      <c r="AL317" s="55"/>
      <c r="AM317" s="55"/>
      <c r="AN317" s="55"/>
      <c r="AO317" s="55"/>
    </row>
    <row r="318">
      <c r="A318" s="50">
        <f>IFERROR(__xludf.DUMMYFUNCTION("QUERY('Volunteer Survey'!A327)"),43746.86382482639)</f>
        <v>43746.86382</v>
      </c>
      <c r="B318" s="48" t="s">
        <v>108</v>
      </c>
      <c r="C318" s="79">
        <v>43819.0</v>
      </c>
      <c r="D318" s="55"/>
      <c r="E318" s="55"/>
      <c r="F318" s="48" t="s">
        <v>130</v>
      </c>
      <c r="G318" s="48" t="s">
        <v>251</v>
      </c>
      <c r="H318" s="53"/>
      <c r="I318" s="53"/>
      <c r="J318" s="55"/>
      <c r="K318" s="55"/>
      <c r="L318" s="55" t="str">
        <f>IFERROR(__xludf.DUMMYFUNCTION("QUERY('Volunteer Survey'!B327)"),"YANYI YAO")</f>
        <v>YANYI YAO</v>
      </c>
      <c r="M318" s="55" t="str">
        <f>IFERROR(__xludf.DUMMYFUNCTION("QUERY('Volunteer Survey'!E327)"),"yaoyanyi@hotmail.com")</f>
        <v>yaoyanyi@hotmail.com</v>
      </c>
      <c r="N318" s="55" t="str">
        <f>IFERROR(__xludf.DUMMYFUNCTION("QUERY('Volunteer Survey'!F327)"),"Post Doc/Resident/Fellow (MD and/or PhD)")</f>
        <v>Post Doc/Resident/Fellow (MD and/or PhD)</v>
      </c>
      <c r="O318" s="48" t="str">
        <f>IFERROR(__xludf.DUMMYFUNCTION("QUERY('Volunteer Survey'!H327)"),"Comprehensive")</f>
        <v>Comprehensive</v>
      </c>
      <c r="P318" s="55" t="str">
        <f>IFERROR(__xludf.DUMMYFUNCTION("QUERY('Volunteer Survey'!I327)"),"Variant Pathogenicity")</f>
        <v>Variant Pathogenicity</v>
      </c>
      <c r="Q318" s="60" t="str">
        <f>IFERROR(__xludf.DUMMYFUNCTION("QUERY('Volunteer Survey'!J327)"),"Gene-Disease Validity")</f>
        <v>Gene-Disease Validity</v>
      </c>
      <c r="R318" s="55" t="str">
        <f>IFERROR(__xludf.DUMMYFUNCTION("QUERY('Volunteer Survey'!K327)"),"Dosage Sensitivity")</f>
        <v>Dosage Sensitivity</v>
      </c>
      <c r="S318" s="55" t="str">
        <f>IFERROR(__xludf.DUMMYFUNCTION("QUERY('Volunteer Survey'!L327)"),"Clinical Actionability")</f>
        <v>Clinical Actionability</v>
      </c>
      <c r="T318" s="55" t="str">
        <f>IFERROR(__xludf.DUMMYFUNCTION("QUERY('Volunteer Survey'!M327)"),"")</f>
        <v/>
      </c>
      <c r="U318" s="64" t="str">
        <f>IFERROR(__xludf.DUMMYFUNCTION("QUERY('Volunteer Survey'!N327)"),"I attended Interpreting Genomes for Rare Disease 2019.")</f>
        <v>I attended Interpreting Genomes for Rare Disease 2019.</v>
      </c>
      <c r="V318" s="55" t="str">
        <f>IFERROR(__xludf.DUMMYFUNCTION("QUERY('Volunteer Survey'!O327)"),"Possibly")</f>
        <v>Possibly</v>
      </c>
      <c r="W318" s="66" t="str">
        <f>IFERROR(__xludf.DUMMYFUNCTION("QUERY('Volunteer Survey'!P327)"),"Limb Girdle Muscular Dystrophy ")</f>
        <v>Limb Girdle Muscular Dystrophy </v>
      </c>
      <c r="X318" s="64" t="str">
        <f>IFERROR(__xludf.DUMMYFUNCTION("QUERY('Volunteer Survey'!R327)"),"Yes- I am willing to volunteer with any available ClinGen group")</f>
        <v>Yes- I am willing to volunteer with any available ClinGen group</v>
      </c>
      <c r="Y318" s="53"/>
      <c r="Z318" s="55"/>
      <c r="AA318" s="55"/>
      <c r="AB318" s="55"/>
      <c r="AC318" s="55"/>
      <c r="AD318" s="55"/>
      <c r="AE318" s="55"/>
      <c r="AF318" s="55"/>
      <c r="AG318" s="55"/>
      <c r="AH318" s="55"/>
      <c r="AI318" s="55"/>
      <c r="AJ318" s="55"/>
      <c r="AK318" s="55"/>
      <c r="AL318" s="55"/>
      <c r="AM318" s="55"/>
      <c r="AN318" s="55"/>
      <c r="AO318" s="55"/>
    </row>
    <row r="319">
      <c r="A319" s="50">
        <f>IFERROR(__xludf.DUMMYFUNCTION("QUERY('Volunteer Survey'!A328)"),43747.54224105324)</f>
        <v>43747.54224</v>
      </c>
      <c r="B319" s="48" t="s">
        <v>108</v>
      </c>
      <c r="C319" s="79">
        <v>43819.0</v>
      </c>
      <c r="D319" s="73">
        <v>43846.0</v>
      </c>
      <c r="E319" s="48" t="s">
        <v>117</v>
      </c>
      <c r="F319" s="48" t="s">
        <v>130</v>
      </c>
      <c r="G319" s="48" t="s">
        <v>122</v>
      </c>
      <c r="H319" s="53"/>
      <c r="I319" s="53"/>
      <c r="J319" s="55"/>
      <c r="K319" s="55"/>
      <c r="L319" s="55" t="str">
        <f>IFERROR(__xludf.DUMMYFUNCTION("QUERY('Volunteer Survey'!B328)"),"Ikeoluwa Osei-Owusu")</f>
        <v>Ikeoluwa Osei-Owusu</v>
      </c>
      <c r="M319" s="55" t="str">
        <f>IFERROR(__xludf.DUMMYFUNCTION("QUERY('Volunteer Survey'!E328)"),"ikeoluwa@jhmi.edu")</f>
        <v>ikeoluwa@jhmi.edu</v>
      </c>
      <c r="N319" s="55" t="str">
        <f>IFERROR(__xludf.DUMMYFUNCTION("QUERY('Volunteer Survey'!F328)"),"Graduate Student")</f>
        <v>Graduate Student</v>
      </c>
      <c r="O319" s="48" t="str">
        <f>IFERROR(__xludf.DUMMYFUNCTION("QUERY('Volunteer Survey'!H328)"),"Comprehensive")</f>
        <v>Comprehensive</v>
      </c>
      <c r="P319" s="55" t="str">
        <f>IFERROR(__xludf.DUMMYFUNCTION("QUERY('Volunteer Survey'!I328)"),"Gene-Disease Validity")</f>
        <v>Gene-Disease Validity</v>
      </c>
      <c r="Q319" s="60" t="str">
        <f>IFERROR(__xludf.DUMMYFUNCTION("QUERY('Volunteer Survey'!J328)"),"Variant Pathogenicity")</f>
        <v>Variant Pathogenicity</v>
      </c>
      <c r="R319" s="55" t="str">
        <f>IFERROR(__xludf.DUMMYFUNCTION("QUERY('Volunteer Survey'!K328)"),"Dosage Sensitivity")</f>
        <v>Dosage Sensitivity</v>
      </c>
      <c r="S319" s="55" t="str">
        <f>IFERROR(__xludf.DUMMYFUNCTION("QUERY('Volunteer Survey'!L328)"),"Clinical Actionability")</f>
        <v>Clinical Actionability</v>
      </c>
      <c r="T319" s="55" t="str">
        <f>IFERROR(__xludf.DUMMYFUNCTION("QUERY('Volunteer Survey'!M328)"),"Somatic Cancer")</f>
        <v>Somatic Cancer</v>
      </c>
      <c r="U319" s="64" t="str">
        <f>IFERROR(__xludf.DUMMYFUNCTION("QUERY('Volunteer Survey'!N328)"),"My PhD thesis has required the need to associate genes found to be deleterious in whole genome sequence analyses with known diseases. Thereby, I am familiar with databases such as ClinVar, Online Mendelian Inheritance in Man (OMIM), Development Disorder G"&amp;"enotype - Phenotype Database (DDG2P), and Simons Foundation Autism Research Initiative (SFARI). In addition, I have presented papers on the use of in silico algorithms as a ACMG variant interpretation criteria and its implications on ClinVar submissions. ")</f>
        <v>My PhD thesis has required the need to associate genes found to be deleterious in whole genome sequence analyses with known diseases. Thereby, I am familiar with databases such as ClinVar, Online Mendelian Inheritance in Man (OMIM), Development Disorder Genotype - Phenotype Database (DDG2P), and Simons Foundation Autism Research Initiative (SFARI). In addition, I have presented papers on the use of in silico algorithms as a ACMG variant interpretation criteria and its implications on ClinVar submissions. </v>
      </c>
      <c r="V319" s="55" t="str">
        <f>IFERROR(__xludf.DUMMYFUNCTION("QUERY('Volunteer Survey'!O328)"),"Possibly")</f>
        <v>Possibly</v>
      </c>
      <c r="W319" s="66" t="str">
        <f>IFERROR(__xludf.DUMMYFUNCTION("QUERY('Volunteer Survey'!P328)"),"Neurodevelopmental Dosage Sensitivity Working Group; Brain Malformations Gene Curation Expert Panel; Brain Malformations Variant Curation Expert Panel; Pediatric Actionability Working Group")</f>
        <v>Neurodevelopmental Dosage Sensitivity Working Group; Brain Malformations Gene Curation Expert Panel; Brain Malformations Variant Curation Expert Panel; Pediatric Actionability Working Group</v>
      </c>
      <c r="X319" s="64" t="str">
        <f>IFERROR(__xludf.DUMMYFUNCTION("QUERY('Volunteer Survey'!R328)"),"Maybe -- please contact me with other options, and I will decide based on what is available")</f>
        <v>Maybe -- please contact me with other options, and I will decide based on what is available</v>
      </c>
      <c r="Y319" s="53"/>
      <c r="Z319" s="55"/>
      <c r="AA319" s="55"/>
      <c r="AB319" s="55"/>
      <c r="AC319" s="55"/>
      <c r="AD319" s="55"/>
      <c r="AE319" s="55"/>
      <c r="AF319" s="55"/>
      <c r="AG319" s="55"/>
      <c r="AH319" s="55"/>
      <c r="AI319" s="55"/>
      <c r="AJ319" s="55"/>
      <c r="AK319" s="55"/>
      <c r="AL319" s="55"/>
      <c r="AM319" s="55"/>
      <c r="AN319" s="55"/>
      <c r="AO319" s="55"/>
    </row>
    <row r="320">
      <c r="A320" s="50">
        <f>IFERROR(__xludf.DUMMYFUNCTION("QUERY('Volunteer Survey'!A329)"),43749.681813414354)</f>
        <v>43749.68181</v>
      </c>
      <c r="B320" s="48" t="s">
        <v>108</v>
      </c>
      <c r="C320" s="79">
        <v>43819.0</v>
      </c>
      <c r="D320" s="55"/>
      <c r="E320" s="55"/>
      <c r="F320" s="48" t="s">
        <v>130</v>
      </c>
      <c r="G320" s="48" t="s">
        <v>251</v>
      </c>
      <c r="H320" s="53"/>
      <c r="I320" s="53"/>
      <c r="J320" s="55"/>
      <c r="K320" s="55"/>
      <c r="L320" s="55" t="str">
        <f>IFERROR(__xludf.DUMMYFUNCTION("QUERY('Volunteer Survey'!B329)"),"Daniela Martiniuc")</f>
        <v>Daniela Martiniuc</v>
      </c>
      <c r="M320" s="55" t="str">
        <f>IFERROR(__xludf.DUMMYFUNCTION("QUERY('Volunteer Survey'!E329)"),"dmartiniuc@ucdavis.edu")</f>
        <v>dmartiniuc@ucdavis.edu</v>
      </c>
      <c r="N320" s="55" t="str">
        <f>IFERROR(__xludf.DUMMYFUNCTION("QUERY('Volunteer Survey'!F329)"),"Genetic counselor")</f>
        <v>Genetic counselor</v>
      </c>
      <c r="O320" s="48" t="str">
        <f>IFERROR(__xludf.DUMMYFUNCTION("QUERY('Volunteer Survey'!H329)"),"Comprehensive")</f>
        <v>Comprehensive</v>
      </c>
      <c r="P320" s="55" t="str">
        <f>IFERROR(__xludf.DUMMYFUNCTION("QUERY('Volunteer Survey'!I329)"),"Variant Pathogenicity")</f>
        <v>Variant Pathogenicity</v>
      </c>
      <c r="Q320" s="60" t="str">
        <f>IFERROR(__xludf.DUMMYFUNCTION("QUERY('Volunteer Survey'!J329)"),"Clinical Actionability")</f>
        <v>Clinical Actionability</v>
      </c>
      <c r="R320" s="55" t="str">
        <f>IFERROR(__xludf.DUMMYFUNCTION("QUERY('Volunteer Survey'!K329)"),"Gene-Disease Validity")</f>
        <v>Gene-Disease Validity</v>
      </c>
      <c r="S320" s="55" t="str">
        <f>IFERROR(__xludf.DUMMYFUNCTION("QUERY('Volunteer Survey'!L329)"),"")</f>
        <v/>
      </c>
      <c r="T320" s="55" t="str">
        <f>IFERROR(__xludf.DUMMYFUNCTION("QUERY('Volunteer Survey'!M329)"),"")</f>
        <v/>
      </c>
      <c r="U320" s="64" t="str">
        <f>IFERROR(__xludf.DUMMYFUNCTION("QUERY('Volunteer Survey'!N329)"),"I have no experience with curation")</f>
        <v>I have no experience with curation</v>
      </c>
      <c r="V320" s="55" t="str">
        <f>IFERROR(__xludf.DUMMYFUNCTION("QUERY('Volunteer Survey'!O329)"),"No")</f>
        <v>No</v>
      </c>
      <c r="W320" s="66" t="str">
        <f>IFERROR(__xludf.DUMMYFUNCTION("QUERY('Volunteer Survey'!P329)"),"")</f>
        <v/>
      </c>
      <c r="X320" s="64" t="str">
        <f>IFERROR(__xludf.DUMMYFUNCTION("QUERY('Volunteer Survey'!R329)"),"Maybe -- please contact me with other options, and I will decide based on what is available")</f>
        <v>Maybe -- please contact me with other options, and I will decide based on what is available</v>
      </c>
      <c r="Y320" s="53"/>
      <c r="Z320" s="55"/>
      <c r="AA320" s="55"/>
      <c r="AB320" s="55"/>
      <c r="AC320" s="55"/>
      <c r="AD320" s="55"/>
      <c r="AE320" s="55"/>
      <c r="AF320" s="55"/>
      <c r="AG320" s="55"/>
      <c r="AH320" s="55"/>
      <c r="AI320" s="55"/>
      <c r="AJ320" s="55"/>
      <c r="AK320" s="55"/>
      <c r="AL320" s="55"/>
      <c r="AM320" s="55"/>
      <c r="AN320" s="55"/>
      <c r="AO320" s="55"/>
    </row>
    <row r="321">
      <c r="A321" s="50">
        <f>IFERROR(__xludf.DUMMYFUNCTION("QUERY('Volunteer Survey'!A330)"),43753.641005324076)</f>
        <v>43753.64101</v>
      </c>
      <c r="B321" s="48" t="s">
        <v>322</v>
      </c>
      <c r="C321" s="53"/>
      <c r="D321" s="55"/>
      <c r="E321" s="55"/>
      <c r="F321" s="48" t="s">
        <v>130</v>
      </c>
      <c r="G321" s="48" t="s">
        <v>136</v>
      </c>
      <c r="H321" s="53"/>
      <c r="I321" s="53"/>
      <c r="J321" s="55"/>
      <c r="K321" s="55"/>
      <c r="L321" s="55" t="str">
        <f>IFERROR(__xludf.DUMMYFUNCTION("QUERY('Volunteer Survey'!B330)"),"Emilie Lalonde")</f>
        <v>Emilie Lalonde</v>
      </c>
      <c r="M321" s="55" t="str">
        <f>IFERROR(__xludf.DUMMYFUNCTION("QUERY('Volunteer Survey'!E330)"),"lalondee@email.chop.edu")</f>
        <v>lalondee@email.chop.edu</v>
      </c>
      <c r="N321" s="55" t="str">
        <f>IFERROR(__xludf.DUMMYFUNCTION("QUERY('Volunteer Survey'!F330)"),"Clinical laboratory geneticist")</f>
        <v>Clinical laboratory geneticist</v>
      </c>
      <c r="O321" s="48" t="str">
        <f>IFERROR(__xludf.DUMMYFUNCTION("QUERY('Volunteer Survey'!H330)"),"Comprehensive")</f>
        <v>Comprehensive</v>
      </c>
      <c r="P321" s="55" t="str">
        <f>IFERROR(__xludf.DUMMYFUNCTION("QUERY('Volunteer Survey'!I330)"),"Somatic Cancer")</f>
        <v>Somatic Cancer</v>
      </c>
      <c r="Q321" s="60" t="str">
        <f>IFERROR(__xludf.DUMMYFUNCTION("QUERY('Volunteer Survey'!J330)"),"Clinical Actionability")</f>
        <v>Clinical Actionability</v>
      </c>
      <c r="R321" s="55" t="str">
        <f>IFERROR(__xludf.DUMMYFUNCTION("QUERY('Volunteer Survey'!K330)"),"Gene-Disease Validity")</f>
        <v>Gene-Disease Validity</v>
      </c>
      <c r="S321" s="55" t="str">
        <f>IFERROR(__xludf.DUMMYFUNCTION("QUERY('Volunteer Survey'!L330)"),"Dosage Sensitivity")</f>
        <v>Dosage Sensitivity</v>
      </c>
      <c r="T321" s="55" t="str">
        <f>IFERROR(__xludf.DUMMYFUNCTION("QUERY('Volunteer Survey'!M330)"),"Variant Pathogenicity")</f>
        <v>Variant Pathogenicity</v>
      </c>
      <c r="U321" s="64" t="str">
        <f>IFERROR(__xludf.DUMMYFUNCTION("QUERY('Volunteer Survey'!N330)"),"Yes within CHOP/Penn labs for new test design and/or standard variant interpretation")</f>
        <v>Yes within CHOP/Penn labs for new test design and/or standard variant interpretation</v>
      </c>
      <c r="V321" s="55" t="str">
        <f>IFERROR(__xludf.DUMMYFUNCTION("QUERY('Volunteer Survey'!O330)"),"Possibly")</f>
        <v>Possibly</v>
      </c>
      <c r="W321" s="66" t="str">
        <f>IFERROR(__xludf.DUMMYFUNCTION("QUERY('Volunteer Survey'!P330)"),"Somatic cancer WG, hereditary cancer EP, RASopathy EP, Myeloid Malignancy EP, dosage hereditary cancer WG, others as needed")</f>
        <v>Somatic cancer WG, hereditary cancer EP, RASopathy EP, Myeloid Malignancy EP, dosage hereditary cancer WG, others as needed</v>
      </c>
      <c r="X321" s="64" t="str">
        <f>IFERROR(__xludf.DUMMYFUNCTION("QUERY('Volunteer Survey'!R330)"),"Maybe -- please contact me with other options, and I will decide based on what is available")</f>
        <v>Maybe -- please contact me with other options, and I will decide based on what is available</v>
      </c>
      <c r="Y321" s="53"/>
      <c r="Z321" s="55"/>
      <c r="AA321" s="55"/>
      <c r="AB321" s="55"/>
      <c r="AC321" s="55"/>
      <c r="AD321" s="55"/>
      <c r="AE321" s="55"/>
      <c r="AF321" s="55"/>
      <c r="AG321" s="55"/>
      <c r="AH321" s="55"/>
      <c r="AI321" s="55"/>
      <c r="AJ321" s="55"/>
      <c r="AK321" s="55"/>
      <c r="AL321" s="55"/>
      <c r="AM321" s="55"/>
      <c r="AN321" s="55"/>
      <c r="AO321" s="55"/>
    </row>
    <row r="322">
      <c r="A322" s="50">
        <f>IFERROR(__xludf.DUMMYFUNCTION("QUERY('Volunteer Survey'!A331)"),43755.537383634255)</f>
        <v>43755.53738</v>
      </c>
      <c r="B322" s="48" t="s">
        <v>108</v>
      </c>
      <c r="C322" s="79">
        <v>43819.0</v>
      </c>
      <c r="D322" s="55"/>
      <c r="E322" s="55"/>
      <c r="F322" s="48" t="s">
        <v>130</v>
      </c>
      <c r="G322" s="48" t="s">
        <v>251</v>
      </c>
      <c r="H322" s="53"/>
      <c r="I322" s="53"/>
      <c r="J322" s="55"/>
      <c r="K322" s="55"/>
      <c r="L322" s="55" t="str">
        <f>IFERROR(__xludf.DUMMYFUNCTION("QUERY('Volunteer Survey'!B331)"),"Elizabeth Ewen")</f>
        <v>Elizabeth Ewen</v>
      </c>
      <c r="M322" s="55" t="str">
        <f>IFERROR(__xludf.DUMMYFUNCTION("QUERY('Volunteer Survey'!E331)"),"elizabeth.ewen@agilent.com")</f>
        <v>elizabeth.ewen@agilent.com</v>
      </c>
      <c r="N322" s="55" t="str">
        <f>IFERROR(__xludf.DUMMYFUNCTION("QUERY('Volunteer Survey'!F331)"),"Variant Analyst/Scientist - Industry")</f>
        <v>Variant Analyst/Scientist - Industry</v>
      </c>
      <c r="O322" s="48" t="str">
        <f>IFERROR(__xludf.DUMMYFUNCTION("QUERY('Volunteer Survey'!H331)"),"Comprehensive")</f>
        <v>Comprehensive</v>
      </c>
      <c r="P322" s="55" t="str">
        <f>IFERROR(__xludf.DUMMYFUNCTION("QUERY('Volunteer Survey'!I331)"),"Variant Pathogenicity")</f>
        <v>Variant Pathogenicity</v>
      </c>
      <c r="Q322" s="60" t="str">
        <f>IFERROR(__xludf.DUMMYFUNCTION("QUERY('Volunteer Survey'!J331)"),"Gene-Disease Validity")</f>
        <v>Gene-Disease Validity</v>
      </c>
      <c r="R322" s="55" t="str">
        <f>IFERROR(__xludf.DUMMYFUNCTION("QUERY('Volunteer Survey'!K331)"),"Clinical Actionability")</f>
        <v>Clinical Actionability</v>
      </c>
      <c r="S322" s="55" t="str">
        <f>IFERROR(__xludf.DUMMYFUNCTION("QUERY('Volunteer Survey'!L331)"),"Somatic Cancer")</f>
        <v>Somatic Cancer</v>
      </c>
      <c r="T322" s="55" t="str">
        <f>IFERROR(__xludf.DUMMYFUNCTION("QUERY('Volunteer Survey'!M331)"),"Dosage Sensitivity")</f>
        <v>Dosage Sensitivity</v>
      </c>
      <c r="U322" s="64" t="str">
        <f>IFERROR(__xludf.DUMMYFUNCTION("QUERY('Volunteer Survey'!N331)"),"Helping customers find clinically relevant/pathogenic variants")</f>
        <v>Helping customers find clinically relevant/pathogenic variants</v>
      </c>
      <c r="V322" s="55" t="str">
        <f>IFERROR(__xludf.DUMMYFUNCTION("QUERY('Volunteer Survey'!O331)"),"Possibly")</f>
        <v>Possibly</v>
      </c>
      <c r="W322" s="66" t="str">
        <f>IFERROR(__xludf.DUMMYFUNCTION("QUERY('Volunteer Survey'!P331)"),"")</f>
        <v/>
      </c>
      <c r="X322" s="64" t="str">
        <f>IFERROR(__xludf.DUMMYFUNCTION("QUERY('Volunteer Survey'!R331)"),"Yes- I am willing to volunteer with any available ClinGen group")</f>
        <v>Yes- I am willing to volunteer with any available ClinGen group</v>
      </c>
      <c r="Y322" s="53"/>
      <c r="Z322" s="55"/>
      <c r="AA322" s="55"/>
      <c r="AB322" s="55"/>
      <c r="AC322" s="55"/>
      <c r="AD322" s="55"/>
      <c r="AE322" s="55"/>
      <c r="AF322" s="55"/>
      <c r="AG322" s="55"/>
      <c r="AH322" s="55"/>
      <c r="AI322" s="55"/>
      <c r="AJ322" s="55"/>
      <c r="AK322" s="55"/>
      <c r="AL322" s="55"/>
      <c r="AM322" s="55"/>
      <c r="AN322" s="55"/>
      <c r="AO322" s="55"/>
    </row>
    <row r="323">
      <c r="A323" s="50">
        <f>IFERROR(__xludf.DUMMYFUNCTION("QUERY('Volunteer Survey'!A332)"),43755.58982958333)</f>
        <v>43755.58983</v>
      </c>
      <c r="B323" s="48" t="s">
        <v>322</v>
      </c>
      <c r="C323" s="53"/>
      <c r="D323" s="55"/>
      <c r="E323" s="55"/>
      <c r="F323" s="48" t="s">
        <v>130</v>
      </c>
      <c r="G323" s="48" t="s">
        <v>313</v>
      </c>
      <c r="H323" s="53"/>
      <c r="I323" s="53"/>
      <c r="J323" s="55"/>
      <c r="K323" s="55"/>
      <c r="L323" s="55" t="str">
        <f>IFERROR(__xludf.DUMMYFUNCTION("QUERY('Volunteer Survey'!B332)"),"Brigette Brown-Kipphut")</f>
        <v>Brigette Brown-Kipphut</v>
      </c>
      <c r="M323" s="55" t="str">
        <f>IFERROR(__xludf.DUMMYFUNCTION("QUERY('Volunteer Survey'!E332)"),"brigette.kipphut@agilent.com")</f>
        <v>brigette.kipphut@agilent.com</v>
      </c>
      <c r="N323" s="55" t="str">
        <f>IFERROR(__xludf.DUMMYFUNCTION("QUERY('Volunteer Survey'!F332)"),"Variant Analyst/Scientist - Industry")</f>
        <v>Variant Analyst/Scientist - Industry</v>
      </c>
      <c r="O323" s="48" t="str">
        <f>IFERROR(__xludf.DUMMYFUNCTION("QUERY('Volunteer Survey'!H332)"),"Baseline")</f>
        <v>Baseline</v>
      </c>
      <c r="P323" s="55" t="str">
        <f>IFERROR(__xludf.DUMMYFUNCTION("QUERY('Volunteer Survey'!I332)"),"Variant Pathogenicity")</f>
        <v>Variant Pathogenicity</v>
      </c>
      <c r="Q323" s="60" t="str">
        <f>IFERROR(__xludf.DUMMYFUNCTION("QUERY('Volunteer Survey'!J332)"),"Gene-Disease Validity")</f>
        <v>Gene-Disease Validity</v>
      </c>
      <c r="R323" s="55" t="str">
        <f>IFERROR(__xludf.DUMMYFUNCTION("QUERY('Volunteer Survey'!K332)"),"Clinical Actionability")</f>
        <v>Clinical Actionability</v>
      </c>
      <c r="S323" s="55" t="str">
        <f>IFERROR(__xludf.DUMMYFUNCTION("QUERY('Volunteer Survey'!L332)"),"Somatic Cancer")</f>
        <v>Somatic Cancer</v>
      </c>
      <c r="T323" s="55" t="str">
        <f>IFERROR(__xludf.DUMMYFUNCTION("QUERY('Volunteer Survey'!M332)"),"Dosage Sensitivity")</f>
        <v>Dosage Sensitivity</v>
      </c>
      <c r="U323" s="64" t="str">
        <f>IFERROR(__xludf.DUMMYFUNCTION("QUERY('Volunteer Survey'!N332)"),"Yes - performed variant analysis for NGS at CHOP and internally at Agilent")</f>
        <v>Yes - performed variant analysis for NGS at CHOP and internally at Agilent</v>
      </c>
      <c r="V323" s="55" t="str">
        <f>IFERROR(__xludf.DUMMYFUNCTION("QUERY('Volunteer Survey'!O332)"),"Yes")</f>
        <v>Yes</v>
      </c>
      <c r="W323" s="66" t="str">
        <f>IFERROR(__xludf.DUMMYFUNCTION("QUERY('Volunteer Survey'!P332)"),"")</f>
        <v/>
      </c>
      <c r="X323" s="64" t="str">
        <f>IFERROR(__xludf.DUMMYFUNCTION("QUERY('Volunteer Survey'!R332)"),"Maybe -- please contact me with other options, and I will decide based on what is available")</f>
        <v>Maybe -- please contact me with other options, and I will decide based on what is available</v>
      </c>
      <c r="Y323" s="53"/>
      <c r="Z323" s="55"/>
      <c r="AA323" s="55"/>
      <c r="AB323" s="55"/>
      <c r="AC323" s="55"/>
      <c r="AD323" s="55"/>
      <c r="AE323" s="55"/>
      <c r="AF323" s="55"/>
      <c r="AG323" s="55"/>
      <c r="AH323" s="55"/>
      <c r="AI323" s="55"/>
      <c r="AJ323" s="55"/>
      <c r="AK323" s="55"/>
      <c r="AL323" s="55"/>
      <c r="AM323" s="55"/>
      <c r="AN323" s="55"/>
      <c r="AO323" s="55"/>
    </row>
    <row r="324">
      <c r="A324" s="50">
        <f>IFERROR(__xludf.DUMMYFUNCTION("QUERY('Volunteer Survey'!A333)"),43755.77478533565)</f>
        <v>43755.77479</v>
      </c>
      <c r="B324" s="48" t="s">
        <v>322</v>
      </c>
      <c r="C324" s="53"/>
      <c r="D324" s="55"/>
      <c r="E324" s="55"/>
      <c r="F324" s="48" t="s">
        <v>130</v>
      </c>
      <c r="G324" s="48" t="s">
        <v>136</v>
      </c>
      <c r="H324" s="53"/>
      <c r="I324" s="53"/>
      <c r="J324" s="55"/>
      <c r="K324" s="55"/>
      <c r="L324" s="55" t="str">
        <f>IFERROR(__xludf.DUMMYFUNCTION("QUERY('Volunteer Survey'!B333)"),"KC Vavra")</f>
        <v>KC Vavra</v>
      </c>
      <c r="M324" s="55" t="str">
        <f>IFERROR(__xludf.DUMMYFUNCTION("QUERY('Volunteer Survey'!E333)"),"kc.vavra@agilent.com")</f>
        <v>kc.vavra@agilent.com</v>
      </c>
      <c r="N324" s="55" t="str">
        <f>IFERROR(__xludf.DUMMYFUNCTION("QUERY('Volunteer Survey'!F333)"),"Citizen Scientist/Patient Advocate")</f>
        <v>Citizen Scientist/Patient Advocate</v>
      </c>
      <c r="O324" s="48" t="str">
        <f>IFERROR(__xludf.DUMMYFUNCTION("QUERY('Volunteer Survey'!H333)"),"Comprehensive")</f>
        <v>Comprehensive</v>
      </c>
      <c r="P324" s="55" t="str">
        <f>IFERROR(__xludf.DUMMYFUNCTION("QUERY('Volunteer Survey'!I333)"),"Somatic Cancer")</f>
        <v>Somatic Cancer</v>
      </c>
      <c r="Q324" s="60" t="str">
        <f>IFERROR(__xludf.DUMMYFUNCTION("QUERY('Volunteer Survey'!J333)"),"Gene-Disease Validity")</f>
        <v>Gene-Disease Validity</v>
      </c>
      <c r="R324" s="55" t="str">
        <f>IFERROR(__xludf.DUMMYFUNCTION("QUERY('Volunteer Survey'!K333)"),"Clinical Actionability")</f>
        <v>Clinical Actionability</v>
      </c>
      <c r="S324" s="55" t="str">
        <f>IFERROR(__xludf.DUMMYFUNCTION("QUERY('Volunteer Survey'!L333)"),"Dosage Sensitivity")</f>
        <v>Dosage Sensitivity</v>
      </c>
      <c r="T324" s="55" t="str">
        <f>IFERROR(__xludf.DUMMYFUNCTION("QUERY('Volunteer Survey'!M333)"),"Variant Pathogenicity")</f>
        <v>Variant Pathogenicity</v>
      </c>
      <c r="U324" s="64" t="str">
        <f>IFERROR(__xludf.DUMMYFUNCTION("QUERY('Volunteer Survey'!N333)"),"Variant curation in tumor/normal matched samples in ovarian cancer for a private database. Currently assisting customers or Agilent with various curation databases and understanding of curated variants.")</f>
        <v>Variant curation in tumor/normal matched samples in ovarian cancer for a private database. Currently assisting customers or Agilent with various curation databases and understanding of curated variants.</v>
      </c>
      <c r="V324" s="55" t="str">
        <f>IFERROR(__xludf.DUMMYFUNCTION("QUERY('Volunteer Survey'!O333)"),"Possibly")</f>
        <v>Possibly</v>
      </c>
      <c r="W324" s="66" t="str">
        <f>IFERROR(__xludf.DUMMYFUNCTION("QUERY('Volunteer Survey'!P333)"),"")</f>
        <v/>
      </c>
      <c r="X324" s="64" t="str">
        <f>IFERROR(__xludf.DUMMYFUNCTION("QUERY('Volunteer Survey'!R333)"),"Maybe -- please contact me with other options, and I will decide based on what is available")</f>
        <v>Maybe -- please contact me with other options, and I will decide based on what is available</v>
      </c>
      <c r="Y324" s="53"/>
      <c r="Z324" s="55"/>
      <c r="AA324" s="55"/>
      <c r="AB324" s="55"/>
      <c r="AC324" s="55"/>
      <c r="AD324" s="55"/>
      <c r="AE324" s="55"/>
      <c r="AF324" s="55"/>
      <c r="AG324" s="55"/>
      <c r="AH324" s="55"/>
      <c r="AI324" s="55"/>
      <c r="AJ324" s="55"/>
      <c r="AK324" s="55"/>
      <c r="AL324" s="55"/>
      <c r="AM324" s="55"/>
      <c r="AN324" s="55"/>
      <c r="AO324" s="55"/>
    </row>
    <row r="325">
      <c r="A325" s="50">
        <f>IFERROR(__xludf.DUMMYFUNCTION("QUERY('Volunteer Survey'!A334)"),43756.68047160879)</f>
        <v>43756.68047</v>
      </c>
      <c r="B325" s="48" t="s">
        <v>322</v>
      </c>
      <c r="C325" s="53"/>
      <c r="D325" s="55"/>
      <c r="E325" s="55"/>
      <c r="F325" s="48" t="s">
        <v>130</v>
      </c>
      <c r="G325" s="48" t="s">
        <v>313</v>
      </c>
      <c r="H325" s="53"/>
      <c r="I325" s="53"/>
      <c r="J325" s="55"/>
      <c r="K325" s="55"/>
      <c r="L325" s="55" t="str">
        <f>IFERROR(__xludf.DUMMYFUNCTION("QUERY('Volunteer Survey'!B334)"),"Chisato Yamasaki")</f>
        <v>Chisato Yamasaki</v>
      </c>
      <c r="M325" s="55" t="str">
        <f>IFERROR(__xludf.DUMMYFUNCTION("QUERY('Volunteer Survey'!E334)"),"cyamasak@eth.med.osaka-u.ac.jp")</f>
        <v>cyamasak@eth.med.osaka-u.ac.jp</v>
      </c>
      <c r="N325" s="55" t="str">
        <f>IFERROR(__xludf.DUMMYFUNCTION("QUERY('Volunteer Survey'!F334)"),"Post Doc/Resident/Fellow (MD and/or PhD)")</f>
        <v>Post Doc/Resident/Fellow (MD and/or PhD)</v>
      </c>
      <c r="O325" s="48" t="str">
        <f>IFERROR(__xludf.DUMMYFUNCTION("QUERY('Volunteer Survey'!H334)"),"Baseline")</f>
        <v>Baseline</v>
      </c>
      <c r="P325" s="55" t="str">
        <f>IFERROR(__xludf.DUMMYFUNCTION("QUERY('Volunteer Survey'!I334)"),"Gene-Disease Validity")</f>
        <v>Gene-Disease Validity</v>
      </c>
      <c r="Q325" s="60" t="str">
        <f>IFERROR(__xludf.DUMMYFUNCTION("QUERY('Volunteer Survey'!J334)"),"Variant Pathogenicity")</f>
        <v>Variant Pathogenicity</v>
      </c>
      <c r="R325" s="55" t="str">
        <f>IFERROR(__xludf.DUMMYFUNCTION("QUERY('Volunteer Survey'!K334)"),"Clinical Actionability")</f>
        <v>Clinical Actionability</v>
      </c>
      <c r="S325" s="55" t="str">
        <f>IFERROR(__xludf.DUMMYFUNCTION("QUERY('Volunteer Survey'!L334)"),"")</f>
        <v/>
      </c>
      <c r="T325" s="55" t="str">
        <f>IFERROR(__xludf.DUMMYFUNCTION("QUERY('Volunteer Survey'!M334)"),"")</f>
        <v/>
      </c>
      <c r="U325" s="64" t="str">
        <f>IFERROR(__xludf.DUMMYFUNCTION("QUERY('Volunteer Survey'!N334)"),"H-inv")</f>
        <v>H-inv</v>
      </c>
      <c r="V325" s="55" t="str">
        <f>IFERROR(__xludf.DUMMYFUNCTION("QUERY('Volunteer Survey'!O334)"),"Yes")</f>
        <v>Yes</v>
      </c>
      <c r="W325" s="66" t="str">
        <f>IFERROR(__xludf.DUMMYFUNCTION("QUERY('Volunteer Survey'!P334)"),"")</f>
        <v/>
      </c>
      <c r="X325" s="64" t="str">
        <f>IFERROR(__xludf.DUMMYFUNCTION("QUERY('Volunteer Survey'!R334)"),"No - I am only interested in the group(s) I previously indicated")</f>
        <v>No - I am only interested in the group(s) I previously indicated</v>
      </c>
      <c r="Y325" s="53"/>
      <c r="Z325" s="55"/>
      <c r="AA325" s="55"/>
      <c r="AB325" s="55"/>
      <c r="AC325" s="55"/>
      <c r="AD325" s="55"/>
      <c r="AE325" s="55"/>
      <c r="AF325" s="55"/>
      <c r="AG325" s="55"/>
      <c r="AH325" s="55"/>
      <c r="AI325" s="55"/>
      <c r="AJ325" s="55"/>
      <c r="AK325" s="55"/>
      <c r="AL325" s="55"/>
      <c r="AM325" s="55"/>
      <c r="AN325" s="55"/>
      <c r="AO325" s="55"/>
    </row>
    <row r="326">
      <c r="A326" s="50">
        <f>IFERROR(__xludf.DUMMYFUNCTION("QUERY('Volunteer Survey'!A335)"),43758.702828981484)</f>
        <v>43758.70283</v>
      </c>
      <c r="B326" s="48" t="s">
        <v>108</v>
      </c>
      <c r="C326" s="79">
        <v>43819.0</v>
      </c>
      <c r="D326" s="73">
        <v>43846.0</v>
      </c>
      <c r="E326" s="48" t="s">
        <v>117</v>
      </c>
      <c r="F326" s="48" t="s">
        <v>130</v>
      </c>
      <c r="G326" s="48" t="s">
        <v>122</v>
      </c>
      <c r="H326" s="53"/>
      <c r="I326" s="53"/>
      <c r="J326" s="55"/>
      <c r="K326" s="55"/>
      <c r="L326" s="55" t="str">
        <f>IFERROR(__xludf.DUMMYFUNCTION("QUERY('Volunteer Survey'!B335)"),"Beth Stronach")</f>
        <v>Beth Stronach</v>
      </c>
      <c r="M326" s="55" t="str">
        <f>IFERROR(__xludf.DUMMYFUNCTION("QUERY('Volunteer Survey'!E335)"),"stronach@pitt.edu")</f>
        <v>stronach@pitt.edu</v>
      </c>
      <c r="N326" s="55" t="str">
        <f>IFERROR(__xludf.DUMMYFUNCTION("QUERY('Volunteer Survey'!F335)"),"Scientific Researcher")</f>
        <v>Scientific Researcher</v>
      </c>
      <c r="O326" s="48" t="str">
        <f>IFERROR(__xludf.DUMMYFUNCTION("QUERY('Volunteer Survey'!H335)"),"Comprehensive")</f>
        <v>Comprehensive</v>
      </c>
      <c r="P326" s="55" t="str">
        <f>IFERROR(__xludf.DUMMYFUNCTION("QUERY('Volunteer Survey'!I335)"),"Gene-Disease Validity")</f>
        <v>Gene-Disease Validity</v>
      </c>
      <c r="Q326" s="60" t="str">
        <f>IFERROR(__xludf.DUMMYFUNCTION("QUERY('Volunteer Survey'!J335)"),"Variant Pathogenicity")</f>
        <v>Variant Pathogenicity</v>
      </c>
      <c r="R326" s="55" t="str">
        <f>IFERROR(__xludf.DUMMYFUNCTION("QUERY('Volunteer Survey'!K335)"),"Clinical Actionability")</f>
        <v>Clinical Actionability</v>
      </c>
      <c r="S326" s="55" t="str">
        <f>IFERROR(__xludf.DUMMYFUNCTION("QUERY('Volunteer Survey'!L335)"),"Somatic Cancer")</f>
        <v>Somatic Cancer</v>
      </c>
      <c r="T326" s="55" t="str">
        <f>IFERROR(__xludf.DUMMYFUNCTION("QUERY('Volunteer Survey'!M335)"),"Dosage Sensitivity")</f>
        <v>Dosage Sensitivity</v>
      </c>
      <c r="U326" s="64" t="str">
        <f>IFERROR(__xludf.DUMMYFUNCTION("QUERY('Volunteer Survey'!N335)"),"Not formally, but as a practicing basic research scientist for over a decade, and a molecular biologist and developmental geneticist by training, I could be useful.")</f>
        <v>Not formally, but as a practicing basic research scientist for over a decade, and a molecular biologist and developmental geneticist by training, I could be useful.</v>
      </c>
      <c r="V326" s="55" t="str">
        <f>IFERROR(__xludf.DUMMYFUNCTION("QUERY('Volunteer Survey'!O335)"),"Possibly")</f>
        <v>Possibly</v>
      </c>
      <c r="W326" s="66" t="str">
        <f>IFERROR(__xludf.DUMMYFUNCTION("QUERY('Volunteer Survey'!P335)"),"RASopathy, neurodevelopmental, or myopathy groups")</f>
        <v>RASopathy, neurodevelopmental, or myopathy groups</v>
      </c>
      <c r="X326" s="64" t="str">
        <f>IFERROR(__xludf.DUMMYFUNCTION("QUERY('Volunteer Survey'!R335)"),"Yes- I am willing to volunteer with any available ClinGen group")</f>
        <v>Yes- I am willing to volunteer with any available ClinGen group</v>
      </c>
      <c r="Y326" s="53"/>
      <c r="Z326" s="55"/>
      <c r="AA326" s="55"/>
      <c r="AB326" s="55"/>
      <c r="AC326" s="55"/>
      <c r="AD326" s="55"/>
      <c r="AE326" s="55"/>
      <c r="AF326" s="55"/>
      <c r="AG326" s="55"/>
      <c r="AH326" s="55"/>
      <c r="AI326" s="55"/>
      <c r="AJ326" s="55"/>
      <c r="AK326" s="55"/>
      <c r="AL326" s="55"/>
      <c r="AM326" s="55"/>
      <c r="AN326" s="55"/>
      <c r="AO326" s="55"/>
    </row>
    <row r="327">
      <c r="A327" s="50">
        <f>IFERROR(__xludf.DUMMYFUNCTION("QUERY('Volunteer Survey'!A336)"),43759.36184341435)</f>
        <v>43759.36184</v>
      </c>
      <c r="B327" s="48" t="s">
        <v>322</v>
      </c>
      <c r="C327" s="53"/>
      <c r="D327" s="55"/>
      <c r="E327" s="55"/>
      <c r="F327" s="48" t="s">
        <v>130</v>
      </c>
      <c r="G327" s="48" t="s">
        <v>136</v>
      </c>
      <c r="H327" s="53"/>
      <c r="I327" s="53"/>
      <c r="J327" s="55"/>
      <c r="K327" s="55"/>
      <c r="L327" s="55" t="str">
        <f>IFERROR(__xludf.DUMMYFUNCTION("QUERY('Volunteer Survey'!B336)"),"Eileen Chen")</f>
        <v>Eileen Chen</v>
      </c>
      <c r="M327" s="55" t="str">
        <f>IFERROR(__xludf.DUMMYFUNCTION("QUERY('Volunteer Survey'!E336)"),"eileen.chen.x.q@sgh.com.sg")</f>
        <v>eileen.chen.x.q@sgh.com.sg</v>
      </c>
      <c r="N327" s="55" t="str">
        <f>IFERROR(__xludf.DUMMYFUNCTION("QUERY('Volunteer Survey'!F336)"),"Variant Analyst/Scientist - Academic")</f>
        <v>Variant Analyst/Scientist - Academic</v>
      </c>
      <c r="O327" s="48" t="str">
        <f>IFERROR(__xludf.DUMMYFUNCTION("QUERY('Volunteer Survey'!H336)"),"Comprehensive")</f>
        <v>Comprehensive</v>
      </c>
      <c r="P327" s="55" t="str">
        <f>IFERROR(__xludf.DUMMYFUNCTION("QUERY('Volunteer Survey'!I336)"),"Somatic Cancer")</f>
        <v>Somatic Cancer</v>
      </c>
      <c r="Q327" s="60" t="str">
        <f>IFERROR(__xludf.DUMMYFUNCTION("QUERY('Volunteer Survey'!J336)"),"Clinical Actionability")</f>
        <v>Clinical Actionability</v>
      </c>
      <c r="R327" s="55" t="str">
        <f>IFERROR(__xludf.DUMMYFUNCTION("QUERY('Volunteer Survey'!K336)"),"Dosage Sensitivity")</f>
        <v>Dosage Sensitivity</v>
      </c>
      <c r="S327" s="55" t="str">
        <f>IFERROR(__xludf.DUMMYFUNCTION("QUERY('Volunteer Survey'!L336)"),"Variant Pathogenicity")</f>
        <v>Variant Pathogenicity</v>
      </c>
      <c r="T327" s="55" t="str">
        <f>IFERROR(__xludf.DUMMYFUNCTION("QUERY('Volunteer Survey'!M336)"),"Gene-Disease Validity")</f>
        <v>Gene-Disease Validity</v>
      </c>
      <c r="U327" s="64" t="str">
        <f>IFERROR(__xludf.DUMMYFUNCTION("QUERY('Volunteer Survey'!N336)"),"No, only minimal training. ")</f>
        <v>No, only minimal training. </v>
      </c>
      <c r="V327" s="55" t="str">
        <f>IFERROR(__xludf.DUMMYFUNCTION("QUERY('Volunteer Survey'!O336)"),"Yes")</f>
        <v>Yes</v>
      </c>
      <c r="W327" s="66" t="str">
        <f>IFERROR(__xludf.DUMMYFUNCTION("QUERY('Volunteer Survey'!P336)"),"Yes. Somatic Cancer Working Group as the first choice.")</f>
        <v>Yes. Somatic Cancer Working Group as the first choice.</v>
      </c>
      <c r="X327" s="64" t="str">
        <f>IFERROR(__xludf.DUMMYFUNCTION("QUERY('Volunteer Survey'!R336)"),"Yes- I am willing to volunteer with any available ClinGen group")</f>
        <v>Yes- I am willing to volunteer with any available ClinGen group</v>
      </c>
      <c r="Y327" s="53"/>
      <c r="Z327" s="55"/>
      <c r="AA327" s="55"/>
      <c r="AB327" s="55"/>
      <c r="AC327" s="55"/>
      <c r="AD327" s="55"/>
      <c r="AE327" s="55"/>
      <c r="AF327" s="55"/>
      <c r="AG327" s="55"/>
      <c r="AH327" s="55"/>
      <c r="AI327" s="55"/>
      <c r="AJ327" s="55"/>
      <c r="AK327" s="55"/>
      <c r="AL327" s="55"/>
      <c r="AM327" s="55"/>
      <c r="AN327" s="55"/>
      <c r="AO327" s="55"/>
    </row>
    <row r="328">
      <c r="A328" s="50">
        <f>IFERROR(__xludf.DUMMYFUNCTION("QUERY('Volunteer Survey'!A337)"),43760.48148934028)</f>
        <v>43760.48149</v>
      </c>
      <c r="B328" s="48" t="s">
        <v>108</v>
      </c>
      <c r="C328" s="79">
        <v>43819.0</v>
      </c>
      <c r="D328" s="55"/>
      <c r="E328" s="55"/>
      <c r="F328" s="48" t="s">
        <v>130</v>
      </c>
      <c r="G328" s="48" t="s">
        <v>251</v>
      </c>
      <c r="H328" s="53"/>
      <c r="I328" s="53"/>
      <c r="J328" s="55"/>
      <c r="K328" s="55"/>
      <c r="L328" s="55" t="str">
        <f>IFERROR(__xludf.DUMMYFUNCTION("QUERY('Volunteer Survey'!B337)"),"Jennifer Sloan")</f>
        <v>Jennifer Sloan</v>
      </c>
      <c r="M328" s="55" t="str">
        <f>IFERROR(__xludf.DUMMYFUNCTION("QUERY('Volunteer Survey'!E337)"),"jsloan@mail.nih.gov")</f>
        <v>jsloan@mail.nih.gov</v>
      </c>
      <c r="N328" s="55" t="str">
        <f>IFERROR(__xludf.DUMMYFUNCTION("QUERY('Volunteer Survey'!F337)"),"Genetic counselor")</f>
        <v>Genetic counselor</v>
      </c>
      <c r="O328" s="48" t="str">
        <f>IFERROR(__xludf.DUMMYFUNCTION("QUERY('Volunteer Survey'!H337)"),"Comprehensive")</f>
        <v>Comprehensive</v>
      </c>
      <c r="P328" s="55" t="str">
        <f>IFERROR(__xludf.DUMMYFUNCTION("QUERY('Volunteer Survey'!I337)"),"Variant Pathogenicity")</f>
        <v>Variant Pathogenicity</v>
      </c>
      <c r="Q328" s="60" t="str">
        <f>IFERROR(__xludf.DUMMYFUNCTION("QUERY('Volunteer Survey'!J337)"),"Gene-Disease Validity")</f>
        <v>Gene-Disease Validity</v>
      </c>
      <c r="R328" s="55" t="str">
        <f>IFERROR(__xludf.DUMMYFUNCTION("QUERY('Volunteer Survey'!K337)"),"Clinical Actionability")</f>
        <v>Clinical Actionability</v>
      </c>
      <c r="S328" s="55" t="str">
        <f>IFERROR(__xludf.DUMMYFUNCTION("QUERY('Volunteer Survey'!L337)"),"Dosage Sensitivity")</f>
        <v>Dosage Sensitivity</v>
      </c>
      <c r="T328" s="55" t="str">
        <f>IFERROR(__xludf.DUMMYFUNCTION("QUERY('Volunteer Survey'!M337)"),"Somatic Cancer")</f>
        <v>Somatic Cancer</v>
      </c>
      <c r="U328" s="64" t="str">
        <f>IFERROR(__xludf.DUMMYFUNCTION("QUERY('Volunteer Survey'!N337)"),"I work on natural hx studies for MMA/cobalamin disorders and PA where we have evaluated &gt;200 affected individuals and am involved in reviewing and interpreting molecular genetic test results. Also recently completed fellowship in Clinical Molecular Geneti"&amp;"cs at NIH and took board exam in 8/2019.")</f>
        <v>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v>
      </c>
      <c r="V328" s="55" t="str">
        <f>IFERROR(__xludf.DUMMYFUNCTION("QUERY('Volunteer Survey'!O337)"),"Possibly")</f>
        <v>Possibly</v>
      </c>
      <c r="W328" s="66" t="str">
        <f>IFERROR(__xludf.DUMMYFUNCTION("QUERY('Volunteer Survey'!P337)"),"OTC")</f>
        <v>OTC</v>
      </c>
      <c r="X328" s="64" t="str">
        <f>IFERROR(__xludf.DUMMYFUNCTION("QUERY('Volunteer Survey'!R337)"),"Maybe -- please contact me with other options, and I will decide based on what is available")</f>
        <v>Maybe -- please contact me with other options, and I will decide based on what is available</v>
      </c>
      <c r="Y328" s="53"/>
      <c r="Z328" s="55"/>
      <c r="AA328" s="55"/>
      <c r="AB328" s="55"/>
      <c r="AC328" s="55"/>
      <c r="AD328" s="55"/>
      <c r="AE328" s="55"/>
      <c r="AF328" s="55"/>
      <c r="AG328" s="55"/>
      <c r="AH328" s="55"/>
      <c r="AI328" s="55"/>
      <c r="AJ328" s="55"/>
      <c r="AK328" s="55"/>
      <c r="AL328" s="55"/>
      <c r="AM328" s="55"/>
      <c r="AN328" s="55"/>
      <c r="AO328" s="55"/>
    </row>
    <row r="329">
      <c r="A329" s="50">
        <f>IFERROR(__xludf.DUMMYFUNCTION("QUERY('Volunteer Survey'!A338)"),43761.40069155092)</f>
        <v>43761.40069</v>
      </c>
      <c r="B329" s="48" t="s">
        <v>108</v>
      </c>
      <c r="C329" s="79">
        <v>43819.0</v>
      </c>
      <c r="D329" s="55"/>
      <c r="E329" s="55"/>
      <c r="F329" s="48" t="s">
        <v>130</v>
      </c>
      <c r="G329" s="48" t="s">
        <v>122</v>
      </c>
      <c r="H329" s="53"/>
      <c r="I329" s="53"/>
      <c r="J329" s="55"/>
      <c r="K329" s="55"/>
      <c r="L329" s="55" t="str">
        <f>IFERROR(__xludf.DUMMYFUNCTION("QUERY('Volunteer Survey'!B338)"),"Vasiliki Rahimzadeh")</f>
        <v>Vasiliki Rahimzadeh</v>
      </c>
      <c r="M329" s="55" t="str">
        <f>IFERROR(__xludf.DUMMYFUNCTION("QUERY('Volunteer Survey'!E338)"),"vrahim@stanford.edu")</f>
        <v>vrahim@stanford.edu</v>
      </c>
      <c r="N329" s="55" t="str">
        <f>IFERROR(__xludf.DUMMYFUNCTION("QUERY('Volunteer Survey'!F338)"),"Postdoctoral fellow ")</f>
        <v>Postdoctoral fellow </v>
      </c>
      <c r="O329" s="48" t="str">
        <f>IFERROR(__xludf.DUMMYFUNCTION("QUERY('Volunteer Survey'!H338)"),"Comprehensive")</f>
        <v>Comprehensive</v>
      </c>
      <c r="P329" s="55" t="str">
        <f>IFERROR(__xludf.DUMMYFUNCTION("QUERY('Volunteer Survey'!I338)"),"Gene-Disease Validity")</f>
        <v>Gene-Disease Validity</v>
      </c>
      <c r="Q329" s="60" t="str">
        <f>IFERROR(__xludf.DUMMYFUNCTION("QUERY('Volunteer Survey'!J338)"),"Variant Pathogenicity")</f>
        <v>Variant Pathogenicity</v>
      </c>
      <c r="R329" s="55" t="str">
        <f>IFERROR(__xludf.DUMMYFUNCTION("QUERY('Volunteer Survey'!K338)"),"Somatic Cancer")</f>
        <v>Somatic Cancer</v>
      </c>
      <c r="S329" s="55" t="str">
        <f>IFERROR(__xludf.DUMMYFUNCTION("QUERY('Volunteer Survey'!L338)"),"")</f>
        <v/>
      </c>
      <c r="T329" s="55" t="str">
        <f>IFERROR(__xludf.DUMMYFUNCTION("QUERY('Volunteer Survey'!M338)"),"")</f>
        <v/>
      </c>
      <c r="U329" s="64" t="str">
        <f>IFERROR(__xludf.DUMMYFUNCTION("QUERY('Volunteer Survey'!N338)"),"No, but have a basic theoretical background of genomic/genetic science ")</f>
        <v>No, but have a basic theoretical background of genomic/genetic science </v>
      </c>
      <c r="V329" s="55" t="str">
        <f>IFERROR(__xludf.DUMMYFUNCTION("QUERY('Volunteer Survey'!O338)"),"Possibly")</f>
        <v>Possibly</v>
      </c>
      <c r="W329" s="66" t="str">
        <f>IFERROR(__xludf.DUMMYFUNCTION("QUERY('Volunteer Survey'!P338)"),"Yes, pediatric cancer or rare genetic disease ")</f>
        <v>Yes, pediatric cancer or rare genetic disease </v>
      </c>
      <c r="X329" s="64" t="str">
        <f>IFERROR(__xludf.DUMMYFUNCTION("QUERY('Volunteer Survey'!R338)"),"Yes- I am willing to volunteer with any available ClinGen group")</f>
        <v>Yes- I am willing to volunteer with any available ClinGen group</v>
      </c>
      <c r="Y329" s="53"/>
      <c r="Z329" s="55"/>
      <c r="AA329" s="55"/>
      <c r="AB329" s="55"/>
      <c r="AC329" s="55"/>
      <c r="AD329" s="55"/>
      <c r="AE329" s="55"/>
      <c r="AF329" s="55"/>
      <c r="AG329" s="55"/>
      <c r="AH329" s="55"/>
      <c r="AI329" s="55"/>
      <c r="AJ329" s="55"/>
      <c r="AK329" s="55"/>
      <c r="AL329" s="55"/>
      <c r="AM329" s="55"/>
      <c r="AN329" s="55"/>
      <c r="AO329" s="55"/>
    </row>
    <row r="330">
      <c r="A330" s="50">
        <f>IFERROR(__xludf.DUMMYFUNCTION("QUERY('Volunteer Survey'!A339)"),43761.512264895835)</f>
        <v>43761.51226</v>
      </c>
      <c r="B330" s="48" t="s">
        <v>108</v>
      </c>
      <c r="C330" s="79">
        <v>43819.0</v>
      </c>
      <c r="D330" s="55"/>
      <c r="E330" s="55"/>
      <c r="F330" s="48" t="s">
        <v>130</v>
      </c>
      <c r="G330" s="48" t="s">
        <v>251</v>
      </c>
      <c r="H330" s="53"/>
      <c r="I330" s="53"/>
      <c r="J330" s="55"/>
      <c r="K330" s="55"/>
      <c r="L330" s="55" t="str">
        <f>IFERROR(__xludf.DUMMYFUNCTION("QUERY('Volunteer Survey'!B339)"),"Guadalupe Carvajal")</f>
        <v>Guadalupe Carvajal</v>
      </c>
      <c r="M330" s="55" t="str">
        <f>IFERROR(__xludf.DUMMYFUNCTION("QUERY('Volunteer Survey'!E339)"),"gcarvajal18@students.kgi.edu")</f>
        <v>gcarvajal18@students.kgi.edu</v>
      </c>
      <c r="N330" s="55" t="str">
        <f>IFERROR(__xludf.DUMMYFUNCTION("QUERY('Volunteer Survey'!F339)"),"Genetic counselor")</f>
        <v>Genetic counselor</v>
      </c>
      <c r="O330" s="48" t="str">
        <f>IFERROR(__xludf.DUMMYFUNCTION("QUERY('Volunteer Survey'!H339)"),"Comprehensive")</f>
        <v>Comprehensive</v>
      </c>
      <c r="P330" s="55" t="str">
        <f>IFERROR(__xludf.DUMMYFUNCTION("QUERY('Volunteer Survey'!I339)"),"Variant Pathogenicity")</f>
        <v>Variant Pathogenicity</v>
      </c>
      <c r="Q330" s="60" t="str">
        <f>IFERROR(__xludf.DUMMYFUNCTION("QUERY('Volunteer Survey'!J339)"),"Clinical Actionability")</f>
        <v>Clinical Actionability</v>
      </c>
      <c r="R330" s="55" t="str">
        <f>IFERROR(__xludf.DUMMYFUNCTION("QUERY('Volunteer Survey'!K339)"),"Somatic Cancer")</f>
        <v>Somatic Cancer</v>
      </c>
      <c r="S330" s="55" t="str">
        <f>IFERROR(__xludf.DUMMYFUNCTION("QUERY('Volunteer Survey'!L339)"),"Dosage Sensitivity")</f>
        <v>Dosage Sensitivity</v>
      </c>
      <c r="T330" s="55" t="str">
        <f>IFERROR(__xludf.DUMMYFUNCTION("QUERY('Volunteer Survey'!M339)"),"Gene-Disease Validity")</f>
        <v>Gene-Disease Validity</v>
      </c>
      <c r="U330" s="64" t="str">
        <f>IFERROR(__xludf.DUMMYFUNCTION("QUERY('Volunteer Survey'!N339)"),"Very basic work done in class")</f>
        <v>Very basic work done in class</v>
      </c>
      <c r="V330" s="55" t="str">
        <f>IFERROR(__xludf.DUMMYFUNCTION("QUERY('Volunteer Survey'!O339)"),"Yes")</f>
        <v>Yes</v>
      </c>
      <c r="W330" s="66" t="str">
        <f>IFERROR(__xludf.DUMMYFUNCTION("QUERY('Volunteer Survey'!P339)"),"")</f>
        <v/>
      </c>
      <c r="X330" s="64" t="str">
        <f>IFERROR(__xludf.DUMMYFUNCTION("QUERY('Volunteer Survey'!R339)"),"")</f>
        <v/>
      </c>
      <c r="Y330" s="53"/>
      <c r="Z330" s="55"/>
      <c r="AA330" s="55"/>
      <c r="AB330" s="55"/>
      <c r="AC330" s="55"/>
      <c r="AD330" s="55"/>
      <c r="AE330" s="55"/>
      <c r="AF330" s="55"/>
      <c r="AG330" s="55"/>
      <c r="AH330" s="55"/>
      <c r="AI330" s="55"/>
      <c r="AJ330" s="55"/>
      <c r="AK330" s="55"/>
      <c r="AL330" s="55"/>
      <c r="AM330" s="55"/>
      <c r="AN330" s="55"/>
      <c r="AO330" s="55"/>
    </row>
    <row r="331">
      <c r="A331" s="50">
        <f>IFERROR(__xludf.DUMMYFUNCTION("QUERY('Volunteer Survey'!A340)"),43762.71625583333)</f>
        <v>43762.71626</v>
      </c>
      <c r="B331" s="48" t="s">
        <v>108</v>
      </c>
      <c r="C331" s="79">
        <v>43819.0</v>
      </c>
      <c r="D331" s="55"/>
      <c r="E331" s="55"/>
      <c r="F331" s="48" t="s">
        <v>130</v>
      </c>
      <c r="G331" s="48" t="s">
        <v>251</v>
      </c>
      <c r="H331" s="53"/>
      <c r="I331" s="53"/>
      <c r="J331" s="55"/>
      <c r="K331" s="55"/>
      <c r="L331" s="55" t="str">
        <f>IFERROR(__xludf.DUMMYFUNCTION("QUERY('Volunteer Survey'!B340)"),"Liang Guo")</f>
        <v>Liang Guo</v>
      </c>
      <c r="M331" s="55" t="str">
        <f>IFERROR(__xludf.DUMMYFUNCTION("QUERY('Volunteer Survey'!E340)"),"lguo@cvpath.org")</f>
        <v>lguo@cvpath.org</v>
      </c>
      <c r="N331" s="55" t="str">
        <f>IFERROR(__xludf.DUMMYFUNCTION("QUERY('Volunteer Survey'!F340)"),"Scientific Researcher")</f>
        <v>Scientific Researcher</v>
      </c>
      <c r="O331" s="48" t="str">
        <f>IFERROR(__xludf.DUMMYFUNCTION("QUERY('Volunteer Survey'!H340)"),"Comprehensive")</f>
        <v>Comprehensive</v>
      </c>
      <c r="P331" s="55" t="str">
        <f>IFERROR(__xludf.DUMMYFUNCTION("QUERY('Volunteer Survey'!I340)"),"Variant Pathogenicity")</f>
        <v>Variant Pathogenicity</v>
      </c>
      <c r="Q331" s="60" t="str">
        <f>IFERROR(__xludf.DUMMYFUNCTION("QUERY('Volunteer Survey'!J340)"),"Gene-Disease Validity")</f>
        <v>Gene-Disease Validity</v>
      </c>
      <c r="R331" s="55" t="str">
        <f>IFERROR(__xludf.DUMMYFUNCTION("QUERY('Volunteer Survey'!K340)"),"Clinical Actionability")</f>
        <v>Clinical Actionability</v>
      </c>
      <c r="S331" s="55" t="str">
        <f>IFERROR(__xludf.DUMMYFUNCTION("QUERY('Volunteer Survey'!L340)"),"Dosage Sensitivity")</f>
        <v>Dosage Sensitivity</v>
      </c>
      <c r="T331" s="55" t="str">
        <f>IFERROR(__xludf.DUMMYFUNCTION("QUERY('Volunteer Survey'!M340)"),"Somatic Cancer")</f>
        <v>Somatic Cancer</v>
      </c>
      <c r="U331" s="64" t="str">
        <f>IFERROR(__xludf.DUMMYFUNCTION("QUERY('Volunteer Survey'!N340)"),"Yes, curation of hypertrophic cardiomyopathy")</f>
        <v>Yes, curation of hypertrophic cardiomyopathy</v>
      </c>
      <c r="V331" s="55" t="str">
        <f>IFERROR(__xludf.DUMMYFUNCTION("QUERY('Volunteer Survey'!O340)"),"Yes")</f>
        <v>Yes</v>
      </c>
      <c r="W331" s="66" t="str">
        <f>IFERROR(__xludf.DUMMYFUNCTION("QUERY('Volunteer Survey'!P340)"),"Cardiovascular working group")</f>
        <v>Cardiovascular working group</v>
      </c>
      <c r="X331" s="64" t="str">
        <f>IFERROR(__xludf.DUMMYFUNCTION("QUERY('Volunteer Survey'!R340)"),"No - I am only interested in the group(s) I previously indicated")</f>
        <v>No - I am only interested in the group(s) I previously indicated</v>
      </c>
      <c r="Y331" s="53"/>
      <c r="Z331" s="55"/>
      <c r="AA331" s="55"/>
      <c r="AB331" s="55"/>
      <c r="AC331" s="55"/>
      <c r="AD331" s="55"/>
      <c r="AE331" s="55"/>
      <c r="AF331" s="55"/>
      <c r="AG331" s="55"/>
      <c r="AH331" s="55"/>
      <c r="AI331" s="55"/>
      <c r="AJ331" s="55"/>
      <c r="AK331" s="55"/>
      <c r="AL331" s="55"/>
      <c r="AM331" s="55"/>
      <c r="AN331" s="55"/>
      <c r="AO331" s="55"/>
    </row>
    <row r="332">
      <c r="A332" s="50">
        <f>IFERROR(__xludf.DUMMYFUNCTION("QUERY('Volunteer Survey'!A341)"),43765.72616362268)</f>
        <v>43765.72616</v>
      </c>
      <c r="B332" s="48" t="s">
        <v>108</v>
      </c>
      <c r="C332" s="79">
        <v>43819.0</v>
      </c>
      <c r="D332" s="55"/>
      <c r="E332" s="55"/>
      <c r="F332" s="48" t="s">
        <v>130</v>
      </c>
      <c r="G332" s="48" t="s">
        <v>122</v>
      </c>
      <c r="H332" s="53"/>
      <c r="I332" s="53"/>
      <c r="J332" s="55"/>
      <c r="K332" s="55"/>
      <c r="L332" s="55" t="str">
        <f>IFERROR(__xludf.DUMMYFUNCTION("QUERY('Volunteer Survey'!B341)"),"Sha Tang")</f>
        <v>Sha Tang</v>
      </c>
      <c r="M332" s="55" t="str">
        <f>IFERROR(__xludf.DUMMYFUNCTION("QUERY('Volunteer Survey'!E341)"),"stang@wuxinextcode.cm")</f>
        <v>stang@wuxinextcode.cm</v>
      </c>
      <c r="N332" s="55" t="str">
        <f>IFERROR(__xludf.DUMMYFUNCTION("QUERY('Volunteer Survey'!F341)"),"Clinical laboratory geneticist")</f>
        <v>Clinical laboratory geneticist</v>
      </c>
      <c r="O332" s="48" t="str">
        <f>IFERROR(__xludf.DUMMYFUNCTION("QUERY('Volunteer Survey'!H341)"),"Comprehensive")</f>
        <v>Comprehensive</v>
      </c>
      <c r="P332" s="55" t="str">
        <f>IFERROR(__xludf.DUMMYFUNCTION("QUERY('Volunteer Survey'!I341)"),"Gene-Disease Validity")</f>
        <v>Gene-Disease Validity</v>
      </c>
      <c r="Q332" s="60" t="str">
        <f>IFERROR(__xludf.DUMMYFUNCTION("QUERY('Volunteer Survey'!J341)"),"Variant Pathogenicity")</f>
        <v>Variant Pathogenicity</v>
      </c>
      <c r="R332" s="55" t="str">
        <f>IFERROR(__xludf.DUMMYFUNCTION("QUERY('Volunteer Survey'!K341)"),"Dosage Sensitivity")</f>
        <v>Dosage Sensitivity</v>
      </c>
      <c r="S332" s="55" t="str">
        <f>IFERROR(__xludf.DUMMYFUNCTION("QUERY('Volunteer Survey'!L341)"),"Clinical Actionability")</f>
        <v>Clinical Actionability</v>
      </c>
      <c r="T332" s="55" t="str">
        <f>IFERROR(__xludf.DUMMYFUNCTION("QUERY('Volunteer Survey'!M341)"),"Somatic Cancer")</f>
        <v>Somatic Cancer</v>
      </c>
      <c r="U332" s="64" t="str">
        <f>IFERROR(__xludf.DUMMYFUNCTION("QUERY('Volunteer Survey'!N341)"),"Yes, my previous work at Ambry Genetics involved development clinical validity scheme and I am experienced in variant classifications.")</f>
        <v>Yes, my previous work at Ambry Genetics involved development clinical validity scheme and I am experienced in variant classifications.</v>
      </c>
      <c r="V332" s="55" t="str">
        <f>IFERROR(__xludf.DUMMYFUNCTION("QUERY('Volunteer Survey'!O341)"),"Yes")</f>
        <v>Yes</v>
      </c>
      <c r="W332" s="66" t="str">
        <f>IFERROR(__xludf.DUMMYFUNCTION("QUERY('Volunteer Survey'!P341)"),"Intellectual Disability and Autism, Mitochondrial Diseases")</f>
        <v>Intellectual Disability and Autism, Mitochondrial Diseases</v>
      </c>
      <c r="X332" s="64" t="str">
        <f>IFERROR(__xludf.DUMMYFUNCTION("QUERY('Volunteer Survey'!R341)"),"Maybe -- please contact me with other options, and I will decide based on what is available")</f>
        <v>Maybe -- please contact me with other options, and I will decide based on what is available</v>
      </c>
      <c r="Y332" s="53"/>
      <c r="Z332" s="55"/>
      <c r="AA332" s="55"/>
      <c r="AB332" s="55"/>
      <c r="AC332" s="55"/>
      <c r="AD332" s="55"/>
      <c r="AE332" s="55"/>
      <c r="AF332" s="55"/>
      <c r="AG332" s="55"/>
      <c r="AH332" s="55"/>
      <c r="AI332" s="55"/>
      <c r="AJ332" s="55"/>
      <c r="AK332" s="55"/>
      <c r="AL332" s="55"/>
      <c r="AM332" s="55"/>
      <c r="AN332" s="55"/>
      <c r="AO332" s="55"/>
    </row>
    <row r="333">
      <c r="A333" s="50">
        <f>IFERROR(__xludf.DUMMYFUNCTION("QUERY('Volunteer Survey'!A342)"),43766.53192383102)</f>
        <v>43766.53192</v>
      </c>
      <c r="B333" s="48" t="s">
        <v>322</v>
      </c>
      <c r="C333" s="53"/>
      <c r="D333" s="55"/>
      <c r="E333" s="55"/>
      <c r="F333" s="48" t="s">
        <v>130</v>
      </c>
      <c r="G333" s="48" t="s">
        <v>313</v>
      </c>
      <c r="H333" s="53"/>
      <c r="I333" s="53"/>
      <c r="J333" s="55"/>
      <c r="K333" s="55"/>
      <c r="L333" s="55" t="str">
        <f>IFERROR(__xludf.DUMMYFUNCTION("QUERY('Volunteer Survey'!B342)"),"Patrick Forny")</f>
        <v>Patrick Forny</v>
      </c>
      <c r="M333" s="55" t="str">
        <f>IFERROR(__xludf.DUMMYFUNCTION("QUERY('Volunteer Survey'!E342)"),"patrick.forny@kispi.uzh.ch")</f>
        <v>patrick.forny@kispi.uzh.ch</v>
      </c>
      <c r="N333" s="55" t="str">
        <f>IFERROR(__xludf.DUMMYFUNCTION("QUERY('Volunteer Survey'!F342)"),"Post Doc/Resident/Fellow (MD and/or PhD)")</f>
        <v>Post Doc/Resident/Fellow (MD and/or PhD)</v>
      </c>
      <c r="O333" s="48" t="str">
        <f>IFERROR(__xludf.DUMMYFUNCTION("QUERY('Volunteer Survey'!H342)"),"Baseline")</f>
        <v>Baseline</v>
      </c>
      <c r="P333" s="55" t="str">
        <f>IFERROR(__xludf.DUMMYFUNCTION("QUERY('Volunteer Survey'!I342)"),"Gene-Disease Validity, Variant Pathogenicity")</f>
        <v>Gene-Disease Validity, Variant Pathogenicity</v>
      </c>
      <c r="Q333" s="60" t="str">
        <f>IFERROR(__xludf.DUMMYFUNCTION("QUERY('Volunteer Survey'!J342)"),"Clinical Actionability")</f>
        <v>Clinical Actionability</v>
      </c>
      <c r="R333" s="55" t="str">
        <f>IFERROR(__xludf.DUMMYFUNCTION("QUERY('Volunteer Survey'!K342)"),"Dosage Sensitivity")</f>
        <v>Dosage Sensitivity</v>
      </c>
      <c r="S333" s="55" t="str">
        <f>IFERROR(__xludf.DUMMYFUNCTION("QUERY('Volunteer Survey'!L342)"),"Somatic Cancer")</f>
        <v>Somatic Cancer</v>
      </c>
      <c r="T333" s="55" t="str">
        <f>IFERROR(__xludf.DUMMYFUNCTION("QUERY('Volunteer Survey'!M342)"),"")</f>
        <v/>
      </c>
      <c r="U333" s="64" t="str">
        <f>IFERROR(__xludf.DUMMYFUNCTION("QUERY('Volunteer Survey'!N342)"),"")</f>
        <v/>
      </c>
      <c r="V333" s="55" t="str">
        <f>IFERROR(__xludf.DUMMYFUNCTION("QUERY('Volunteer Survey'!O342)"),"No")</f>
        <v>No</v>
      </c>
      <c r="W333" s="66" t="str">
        <f>IFERROR(__xludf.DUMMYFUNCTION("QUERY('Volunteer Survey'!P342)"),"")</f>
        <v/>
      </c>
      <c r="X333" s="64" t="str">
        <f>IFERROR(__xludf.DUMMYFUNCTION("QUERY('Volunteer Survey'!R342)"),"No - I am only interested in the group(s) I previously indicated")</f>
        <v>No - I am only interested in the group(s) I previously indicated</v>
      </c>
      <c r="Y333" s="53"/>
      <c r="Z333" s="55"/>
      <c r="AA333" s="55"/>
      <c r="AB333" s="55"/>
      <c r="AC333" s="55"/>
      <c r="AD333" s="55"/>
      <c r="AE333" s="55"/>
      <c r="AF333" s="55"/>
      <c r="AG333" s="55"/>
      <c r="AH333" s="55"/>
      <c r="AI333" s="55"/>
      <c r="AJ333" s="55"/>
      <c r="AK333" s="55"/>
      <c r="AL333" s="55"/>
      <c r="AM333" s="55"/>
      <c r="AN333" s="55"/>
      <c r="AO333" s="55"/>
    </row>
    <row r="334">
      <c r="A334" s="50">
        <f>IFERROR(__xludf.DUMMYFUNCTION("QUERY('Volunteer Survey'!A343)"),43767.202232766205)</f>
        <v>43767.20223</v>
      </c>
      <c r="B334" s="48" t="s">
        <v>322</v>
      </c>
      <c r="C334" s="53"/>
      <c r="D334" s="55"/>
      <c r="E334" s="55"/>
      <c r="F334" s="48" t="s">
        <v>130</v>
      </c>
      <c r="G334" s="48" t="s">
        <v>313</v>
      </c>
      <c r="H334" s="53"/>
      <c r="I334" s="53"/>
      <c r="J334" s="55"/>
      <c r="K334" s="55"/>
      <c r="L334" s="55" t="str">
        <f>IFERROR(__xludf.DUMMYFUNCTION("QUERY('Volunteer Survey'!B343)"),"Ximena Bonilla")</f>
        <v>Ximena Bonilla</v>
      </c>
      <c r="M334" s="55" t="str">
        <f>IFERROR(__xludf.DUMMYFUNCTION("QUERY('Volunteer Survey'!E343)"),"ximena.bonilla@inf.ethz.ch")</f>
        <v>ximena.bonilla@inf.ethz.ch</v>
      </c>
      <c r="N334" s="55" t="str">
        <f>IFERROR(__xludf.DUMMYFUNCTION("QUERY('Volunteer Survey'!F343)"),"Post Doc/Resident/Fellow (MD and/or PhD)")</f>
        <v>Post Doc/Resident/Fellow (MD and/or PhD)</v>
      </c>
      <c r="O334" s="48" t="str">
        <f>IFERROR(__xludf.DUMMYFUNCTION("QUERY('Volunteer Survey'!H343)"),"Baseline")</f>
        <v>Baseline</v>
      </c>
      <c r="P334" s="55" t="str">
        <f>IFERROR(__xludf.DUMMYFUNCTION("QUERY('Volunteer Survey'!I343)"),"Variant Pathogenicity")</f>
        <v>Variant Pathogenicity</v>
      </c>
      <c r="Q334" s="60" t="str">
        <f>IFERROR(__xludf.DUMMYFUNCTION("QUERY('Volunteer Survey'!J343)"),"Dosage Sensitivity")</f>
        <v>Dosage Sensitivity</v>
      </c>
      <c r="R334" s="55" t="str">
        <f>IFERROR(__xludf.DUMMYFUNCTION("QUERY('Volunteer Survey'!K343)"),"Gene-Disease Validity")</f>
        <v>Gene-Disease Validity</v>
      </c>
      <c r="S334" s="55" t="str">
        <f>IFERROR(__xludf.DUMMYFUNCTION("QUERY('Volunteer Survey'!L343)"),"")</f>
        <v/>
      </c>
      <c r="T334" s="55" t="str">
        <f>IFERROR(__xludf.DUMMYFUNCTION("QUERY('Volunteer Survey'!M343)"),"")</f>
        <v/>
      </c>
      <c r="U334" s="64" t="str">
        <f>IFERROR(__xludf.DUMMYFUNCTION("QUERY('Volunteer Survey'!N343)"),"Regarding ""Variant pathogenicity"", I carried out variant pathogenicity assessments for Mendelian disease routinely during my PhD, and have worked as a variant interpretation specialist at a medical genetics department (Universidad Autónoma de Nuevo León"&amp;", Mexico). Regarding ""dosage sensitivity"", I am currently working on the effect of mitochondria mutation burden in metabolic disorders (non-mitochondrial disorders). Regarding ""gene-disease validity"", I have medical training and although I am not a cl"&amp;"inical geneticist I have ample experience in genotype/phenotype associations and dissection of complex phenotypes and their link to genetics.")</f>
        <v>Regarding "Variant pathogenicity", I carried out variant pathogenicity assessments for Mendelian disease routinely during my PhD, and have worked as a variant interpretation specialist at a medical genetics department (Universidad Autónoma de Nuevo León, Mexico). Regarding "dosage sensitivity", I am currently working on the effect of mitochondria mutation burden in metabolic disorders (non-mitochondrial disorders). Regarding "gene-disease validity", I have medical training and although I am not a clinical geneticist I have ample experience in genotype/phenotype associations and dissection of complex phenotypes and their link to genetics.</v>
      </c>
      <c r="V334" s="55" t="str">
        <f>IFERROR(__xludf.DUMMYFUNCTION("QUERY('Volunteer Survey'!O343)"),"Possibly")</f>
        <v>Possibly</v>
      </c>
      <c r="W334" s="66" t="str">
        <f>IFERROR(__xludf.DUMMYFUNCTION("QUERY('Volunteer Survey'!P343)"),"")</f>
        <v/>
      </c>
      <c r="X334" s="64" t="str">
        <f>IFERROR(__xludf.DUMMYFUNCTION("QUERY('Volunteer Survey'!R343)"),"Yes- I am willing to volunteer with any available ClinGen group")</f>
        <v>Yes- I am willing to volunteer with any available ClinGen group</v>
      </c>
      <c r="Y334" s="53"/>
      <c r="Z334" s="55"/>
      <c r="AA334" s="55"/>
      <c r="AB334" s="55"/>
      <c r="AC334" s="55"/>
      <c r="AD334" s="55"/>
      <c r="AE334" s="55"/>
      <c r="AF334" s="55"/>
      <c r="AG334" s="55"/>
      <c r="AH334" s="55"/>
      <c r="AI334" s="55"/>
      <c r="AJ334" s="55"/>
      <c r="AK334" s="55"/>
      <c r="AL334" s="55"/>
      <c r="AM334" s="55"/>
      <c r="AN334" s="55"/>
      <c r="AO334" s="55"/>
    </row>
    <row r="335">
      <c r="A335" s="50">
        <f>IFERROR(__xludf.DUMMYFUNCTION("QUERY('Volunteer Survey'!A344)"),43767.624537407406)</f>
        <v>43767.62454</v>
      </c>
      <c r="B335" s="48" t="s">
        <v>108</v>
      </c>
      <c r="C335" s="79">
        <v>43819.0</v>
      </c>
      <c r="D335" s="55"/>
      <c r="E335" s="55"/>
      <c r="F335" s="48" t="s">
        <v>130</v>
      </c>
      <c r="G335" s="48" t="s">
        <v>122</v>
      </c>
      <c r="H335" s="53"/>
      <c r="I335" s="53"/>
      <c r="J335" s="55"/>
      <c r="K335" s="55"/>
      <c r="L335" s="55" t="str">
        <f>IFERROR(__xludf.DUMMYFUNCTION("QUERY('Volunteer Survey'!B344)"),"Steve Waring")</f>
        <v>Steve Waring</v>
      </c>
      <c r="M335" s="55" t="str">
        <f>IFERROR(__xludf.DUMMYFUNCTION("QUERY('Volunteer Survey'!E344)"),"stephen.waring@essentiahealth.org")</f>
        <v>stephen.waring@essentiahealth.org</v>
      </c>
      <c r="N335" s="55" t="str">
        <f>IFERROR(__xludf.DUMMYFUNCTION("QUERY('Volunteer Survey'!F344)"),"Scientific Researcher")</f>
        <v>Scientific Researcher</v>
      </c>
      <c r="O335" s="48" t="str">
        <f>IFERROR(__xludf.DUMMYFUNCTION("QUERY('Volunteer Survey'!H344)"),"Comprehensive")</f>
        <v>Comprehensive</v>
      </c>
      <c r="P335" s="55" t="str">
        <f>IFERROR(__xludf.DUMMYFUNCTION("QUERY('Volunteer Survey'!I344)"),"Gene-Disease Validity")</f>
        <v>Gene-Disease Validity</v>
      </c>
      <c r="Q335" s="60" t="str">
        <f>IFERROR(__xludf.DUMMYFUNCTION("QUERY('Volunteer Survey'!J344)"),"Clinical Actionability")</f>
        <v>Clinical Actionability</v>
      </c>
      <c r="R335" s="55" t="str">
        <f>IFERROR(__xludf.DUMMYFUNCTION("QUERY('Volunteer Survey'!K344)"),"")</f>
        <v/>
      </c>
      <c r="S335" s="55" t="str">
        <f>IFERROR(__xludf.DUMMYFUNCTION("QUERY('Volunteer Survey'!L344)"),"")</f>
        <v/>
      </c>
      <c r="T335" s="55" t="str">
        <f>IFERROR(__xludf.DUMMYFUNCTION("QUERY('Volunteer Survey'!M344)"),"")</f>
        <v/>
      </c>
      <c r="U335" s="64" t="str">
        <f>IFERROR(__xludf.DUMMYFUNCTION("QUERY('Volunteer Survey'!N344)"),"Genetic epidemiology research involving gene-gene and gene-env interactions; PGx")</f>
        <v>Genetic epidemiology research involving gene-gene and gene-env interactions; PGx</v>
      </c>
      <c r="V335" s="55" t="str">
        <f>IFERROR(__xludf.DUMMYFUNCTION("QUERY('Volunteer Survey'!O344)"),"No")</f>
        <v>No</v>
      </c>
      <c r="W335" s="66" t="str">
        <f>IFERROR(__xludf.DUMMYFUNCTION("QUERY('Volunteer Survey'!P344)"),"Open to assignment based on greatest need")</f>
        <v>Open to assignment based on greatest need</v>
      </c>
      <c r="X335" s="64" t="str">
        <f>IFERROR(__xludf.DUMMYFUNCTION("QUERY('Volunteer Survey'!R344)"),"Yes- I am willing to volunteer with any available ClinGen group")</f>
        <v>Yes- I am willing to volunteer with any available ClinGen group</v>
      </c>
      <c r="Y335" s="53"/>
      <c r="Z335" s="55"/>
      <c r="AA335" s="55"/>
      <c r="AB335" s="55"/>
      <c r="AC335" s="55"/>
      <c r="AD335" s="55"/>
      <c r="AE335" s="55"/>
      <c r="AF335" s="55"/>
      <c r="AG335" s="55"/>
      <c r="AH335" s="55"/>
      <c r="AI335" s="55"/>
      <c r="AJ335" s="55"/>
      <c r="AK335" s="55"/>
      <c r="AL335" s="55"/>
      <c r="AM335" s="55"/>
      <c r="AN335" s="55"/>
      <c r="AO335" s="55"/>
    </row>
    <row r="336">
      <c r="A336" s="50">
        <f>IFERROR(__xludf.DUMMYFUNCTION("QUERY('Volunteer Survey'!A345)"),43769.53906245371)</f>
        <v>43769.53906</v>
      </c>
      <c r="B336" s="48" t="s">
        <v>108</v>
      </c>
      <c r="C336" s="79">
        <v>43819.0</v>
      </c>
      <c r="D336" s="55"/>
      <c r="E336" s="55"/>
      <c r="F336" s="48" t="s">
        <v>130</v>
      </c>
      <c r="G336" s="48" t="s">
        <v>251</v>
      </c>
      <c r="H336" s="53"/>
      <c r="I336" s="51" t="s">
        <v>356</v>
      </c>
      <c r="J336" s="55"/>
      <c r="K336" s="55"/>
      <c r="L336" s="55" t="str">
        <f>IFERROR(__xludf.DUMMYFUNCTION("QUERY('Volunteer Survey'!B345)"),"Abul Kalam Azad")</f>
        <v>Abul Kalam Azad</v>
      </c>
      <c r="M336" s="55" t="str">
        <f>IFERROR(__xludf.DUMMYFUNCTION("QUERY('Volunteer Survey'!E345)"),"azadak@gmail.com")</f>
        <v>azadak@gmail.com</v>
      </c>
      <c r="N336" s="55" t="str">
        <f>IFERROR(__xludf.DUMMYFUNCTION("QUERY('Volunteer Survey'!F345)"),"Post Doc/Resident/Fellow (MD and/or PhD)")</f>
        <v>Post Doc/Resident/Fellow (MD and/or PhD)</v>
      </c>
      <c r="O336" s="48" t="str">
        <f>IFERROR(__xludf.DUMMYFUNCTION("QUERY('Volunteer Survey'!H345)"),"Comprehensive")</f>
        <v>Comprehensive</v>
      </c>
      <c r="P336" s="55" t="str">
        <f>IFERROR(__xludf.DUMMYFUNCTION("QUERY('Volunteer Survey'!I345)"),"Variant Pathogenicity")</f>
        <v>Variant Pathogenicity</v>
      </c>
      <c r="Q336" s="60" t="str">
        <f>IFERROR(__xludf.DUMMYFUNCTION("QUERY('Volunteer Survey'!J345)"),"")</f>
        <v/>
      </c>
      <c r="R336" s="55" t="str">
        <f>IFERROR(__xludf.DUMMYFUNCTION("QUERY('Volunteer Survey'!K345)"),"")</f>
        <v/>
      </c>
      <c r="S336" s="55" t="str">
        <f>IFERROR(__xludf.DUMMYFUNCTION("QUERY('Volunteer Survey'!L345)"),"")</f>
        <v/>
      </c>
      <c r="T336" s="55" t="str">
        <f>IFERROR(__xludf.DUMMYFUNCTION("QUERY('Volunteer Survey'!M345)"),"")</f>
        <v/>
      </c>
      <c r="U336" s="64" t="str">
        <f>IFERROR(__xludf.DUMMYFUNCTION("QUERY('Volunteer Survey'!N345)"),"")</f>
        <v/>
      </c>
      <c r="V336" s="55" t="str">
        <f>IFERROR(__xludf.DUMMYFUNCTION("QUERY('Volunteer Survey'!O345)"),"Yes")</f>
        <v>Yes</v>
      </c>
      <c r="W336" s="66" t="str">
        <f>IFERROR(__xludf.DUMMYFUNCTION("QUERY('Volunteer Survey'!P345)"),"")</f>
        <v/>
      </c>
      <c r="X336" s="64" t="str">
        <f>IFERROR(__xludf.DUMMYFUNCTION("QUERY('Volunteer Survey'!R345)"),"Yes- I am willing to volunteer with any available ClinGen group")</f>
        <v>Yes- I am willing to volunteer with any available ClinGen group</v>
      </c>
      <c r="Y336" s="53"/>
      <c r="Z336" s="55"/>
      <c r="AA336" s="55"/>
      <c r="AB336" s="55"/>
      <c r="AC336" s="55"/>
      <c r="AD336" s="55"/>
      <c r="AE336" s="55"/>
      <c r="AF336" s="55"/>
      <c r="AG336" s="55"/>
      <c r="AH336" s="55"/>
      <c r="AI336" s="55"/>
      <c r="AJ336" s="55"/>
      <c r="AK336" s="55"/>
      <c r="AL336" s="55"/>
      <c r="AM336" s="55"/>
      <c r="AN336" s="55"/>
      <c r="AO336" s="55"/>
    </row>
    <row r="337">
      <c r="A337" s="50">
        <f>IFERROR(__xludf.DUMMYFUNCTION("QUERY('Volunteer Survey'!A346)"),43769.889063877315)</f>
        <v>43769.88906</v>
      </c>
      <c r="B337" s="48" t="s">
        <v>322</v>
      </c>
      <c r="C337" s="53"/>
      <c r="D337" s="55"/>
      <c r="E337" s="55"/>
      <c r="F337" s="48" t="s">
        <v>130</v>
      </c>
      <c r="G337" s="48" t="s">
        <v>313</v>
      </c>
      <c r="H337" s="53"/>
      <c r="I337" s="53"/>
      <c r="J337" s="55"/>
      <c r="K337" s="55"/>
      <c r="L337" s="55" t="str">
        <f>IFERROR(__xludf.DUMMYFUNCTION("QUERY('Volunteer Survey'!B346)"),"Lise Graversen")</f>
        <v>Lise Graversen</v>
      </c>
      <c r="M337" s="55" t="str">
        <f>IFERROR(__xludf.DUMMYFUNCTION("QUERY('Volunteer Survey'!E346)"),"lisega@rm.dk")</f>
        <v>lisega@rm.dk</v>
      </c>
      <c r="N337" s="55" t="str">
        <f>IFERROR(__xludf.DUMMYFUNCTION("QUERY('Volunteer Survey'!F346)"),"Clinical Medical Geneticist")</f>
        <v>Clinical Medical Geneticist</v>
      </c>
      <c r="O337" s="48" t="str">
        <f>IFERROR(__xludf.DUMMYFUNCTION("QUERY('Volunteer Survey'!H346)"),"Baseline")</f>
        <v>Baseline</v>
      </c>
      <c r="P337" s="55" t="str">
        <f>IFERROR(__xludf.DUMMYFUNCTION("QUERY('Volunteer Survey'!I346)"),"")</f>
        <v/>
      </c>
      <c r="Q337" s="60" t="str">
        <f>IFERROR(__xludf.DUMMYFUNCTION("QUERY('Volunteer Survey'!J346)"),"")</f>
        <v/>
      </c>
      <c r="R337" s="55" t="str">
        <f>IFERROR(__xludf.DUMMYFUNCTION("QUERY('Volunteer Survey'!K346)"),"")</f>
        <v/>
      </c>
      <c r="S337" s="55" t="str">
        <f>IFERROR(__xludf.DUMMYFUNCTION("QUERY('Volunteer Survey'!L346)"),"")</f>
        <v/>
      </c>
      <c r="T337" s="55" t="str">
        <f>IFERROR(__xludf.DUMMYFUNCTION("QUERY('Volunteer Survey'!M346)"),"")</f>
        <v/>
      </c>
      <c r="U337" s="64" t="str">
        <f>IFERROR(__xludf.DUMMYFUNCTION("QUERY('Volunteer Survey'!N346)"),"")</f>
        <v/>
      </c>
      <c r="V337" s="55" t="str">
        <f>IFERROR(__xludf.DUMMYFUNCTION("QUERY('Volunteer Survey'!O346)"),"No")</f>
        <v>No</v>
      </c>
      <c r="W337" s="66" t="str">
        <f>IFERROR(__xludf.DUMMYFUNCTION("QUERY('Volunteer Survey'!P346)"),"Insight mismatch repair")</f>
        <v>Insight mismatch repair</v>
      </c>
      <c r="X337" s="64" t="str">
        <f>IFERROR(__xludf.DUMMYFUNCTION("QUERY('Volunteer Survey'!R346)"),"No - I am only interested in the group(s) I previously indicated")</f>
        <v>No - I am only interested in the group(s) I previously indicated</v>
      </c>
      <c r="Y337" s="53"/>
      <c r="Z337" s="55"/>
      <c r="AA337" s="55"/>
      <c r="AB337" s="55"/>
      <c r="AC337" s="55"/>
      <c r="AD337" s="55"/>
      <c r="AE337" s="55"/>
      <c r="AF337" s="55"/>
      <c r="AG337" s="55"/>
      <c r="AH337" s="55"/>
      <c r="AI337" s="55"/>
      <c r="AJ337" s="55"/>
      <c r="AK337" s="55"/>
      <c r="AL337" s="55"/>
      <c r="AM337" s="55"/>
      <c r="AN337" s="55"/>
      <c r="AO337" s="55"/>
    </row>
    <row r="338">
      <c r="A338" s="50">
        <f>IFERROR(__xludf.DUMMYFUNCTION("QUERY('Volunteer Survey'!A347)"),43772.945721909724)</f>
        <v>43772.94572</v>
      </c>
      <c r="B338" s="48" t="s">
        <v>322</v>
      </c>
      <c r="C338" s="53"/>
      <c r="D338" s="55"/>
      <c r="E338" s="55"/>
      <c r="F338" s="48" t="s">
        <v>130</v>
      </c>
      <c r="G338" s="48" t="s">
        <v>313</v>
      </c>
      <c r="H338" s="53"/>
      <c r="I338" s="53"/>
      <c r="J338" s="55"/>
      <c r="K338" s="55"/>
      <c r="L338" s="55" t="str">
        <f>IFERROR(__xludf.DUMMYFUNCTION("QUERY('Volunteer Survey'!B347)"),"Ke Yu")</f>
        <v>Ke Yu</v>
      </c>
      <c r="M338" s="55" t="str">
        <f>IFERROR(__xludf.DUMMYFUNCTION("QUERY('Volunteer Survey'!E347)"),"yukefg@163.com")</f>
        <v>yukefg@163.com</v>
      </c>
      <c r="N338" s="55" t="str">
        <f>IFERROR(__xludf.DUMMYFUNCTION("QUERY('Volunteer Survey'!F347)"),"Clinical laboratory geneticist")</f>
        <v>Clinical laboratory geneticist</v>
      </c>
      <c r="O338" s="48" t="str">
        <f>IFERROR(__xludf.DUMMYFUNCTION("QUERY('Volunteer Survey'!H347)"),"Baseline")</f>
        <v>Baseline</v>
      </c>
      <c r="P338" s="55" t="str">
        <f>IFERROR(__xludf.DUMMYFUNCTION("QUERY('Volunteer Survey'!I347)"),"Variant Pathogenicity")</f>
        <v>Variant Pathogenicity</v>
      </c>
      <c r="Q338" s="60" t="str">
        <f>IFERROR(__xludf.DUMMYFUNCTION("QUERY('Volunteer Survey'!J347)"),"Gene-Disease Validity")</f>
        <v>Gene-Disease Validity</v>
      </c>
      <c r="R338" s="55" t="str">
        <f>IFERROR(__xludf.DUMMYFUNCTION("QUERY('Volunteer Survey'!K347)"),"Somatic Cancer")</f>
        <v>Somatic Cancer</v>
      </c>
      <c r="S338" s="55" t="str">
        <f>IFERROR(__xludf.DUMMYFUNCTION("QUERY('Volunteer Survey'!L347)"),"Dosage Sensitivity")</f>
        <v>Dosage Sensitivity</v>
      </c>
      <c r="T338" s="55" t="str">
        <f>IFERROR(__xludf.DUMMYFUNCTION("QUERY('Volunteer Survey'!M347)"),"Clinical Actionability")</f>
        <v>Clinical Actionability</v>
      </c>
      <c r="U338" s="64" t="str">
        <f>IFERROR(__xludf.DUMMYFUNCTION("QUERY('Volunteer Survey'!N347)"),"")</f>
        <v/>
      </c>
      <c r="V338" s="55" t="str">
        <f>IFERROR(__xludf.DUMMYFUNCTION("QUERY('Volunteer Survey'!O347)"),"Yes")</f>
        <v>Yes</v>
      </c>
      <c r="W338" s="66" t="str">
        <f>IFERROR(__xludf.DUMMYFUNCTION("QUERY('Volunteer Survey'!P347)"),"")</f>
        <v/>
      </c>
      <c r="X338" s="64" t="str">
        <f>IFERROR(__xludf.DUMMYFUNCTION("QUERY('Volunteer Survey'!R347)"),"Yes- I am willing to volunteer with any available ClinGen group")</f>
        <v>Yes- I am willing to volunteer with any available ClinGen group</v>
      </c>
      <c r="Y338" s="53"/>
      <c r="Z338" s="55"/>
      <c r="AA338" s="55"/>
      <c r="AB338" s="55"/>
      <c r="AC338" s="55"/>
      <c r="AD338" s="55"/>
      <c r="AE338" s="55"/>
      <c r="AF338" s="55"/>
      <c r="AG338" s="55"/>
      <c r="AH338" s="55"/>
      <c r="AI338" s="55"/>
      <c r="AJ338" s="55"/>
      <c r="AK338" s="55"/>
      <c r="AL338" s="55"/>
      <c r="AM338" s="55"/>
      <c r="AN338" s="55"/>
      <c r="AO338" s="55"/>
    </row>
    <row r="339">
      <c r="A339" s="50">
        <f>IFERROR(__xludf.DUMMYFUNCTION("QUERY('Volunteer Survey'!A348)"),43773.58556355324)</f>
        <v>43773.58556</v>
      </c>
      <c r="B339" s="48" t="s">
        <v>322</v>
      </c>
      <c r="C339" s="53"/>
      <c r="D339" s="55"/>
      <c r="E339" s="55"/>
      <c r="F339" s="48" t="s">
        <v>130</v>
      </c>
      <c r="G339" s="48" t="s">
        <v>313</v>
      </c>
      <c r="H339" s="53"/>
      <c r="I339" s="53"/>
      <c r="J339" s="55"/>
      <c r="K339" s="55"/>
      <c r="L339" s="55" t="str">
        <f>IFERROR(__xludf.DUMMYFUNCTION("QUERY('Volunteer Survey'!B348)"),"JELENA BREZO")</f>
        <v>JELENA BREZO</v>
      </c>
      <c r="M339" s="55" t="str">
        <f>IFERROR(__xludf.DUMMYFUNCTION("QUERY('Volunteer Survey'!E348)"),"dnalphabet@gmail.com")</f>
        <v>dnalphabet@gmail.com</v>
      </c>
      <c r="N339" s="55" t="str">
        <f>IFERROR(__xludf.DUMMYFUNCTION("QUERY('Volunteer Survey'!F348)"),"Clinical laboratory geneticist")</f>
        <v>Clinical laboratory geneticist</v>
      </c>
      <c r="O339" s="48" t="str">
        <f>IFERROR(__xludf.DUMMYFUNCTION("QUERY('Volunteer Survey'!H348)"),"Baseline")</f>
        <v>Baseline</v>
      </c>
      <c r="P339" s="55" t="str">
        <f>IFERROR(__xludf.DUMMYFUNCTION("QUERY('Volunteer Survey'!I348)"),"Clinical Actionability")</f>
        <v>Clinical Actionability</v>
      </c>
      <c r="Q339" s="60" t="str">
        <f>IFERROR(__xludf.DUMMYFUNCTION("QUERY('Volunteer Survey'!J348)"),"Gene-Disease Validity")</f>
        <v>Gene-Disease Validity</v>
      </c>
      <c r="R339" s="55" t="str">
        <f>IFERROR(__xludf.DUMMYFUNCTION("QUERY('Volunteer Survey'!K348)"),"Variant Pathogenicity")</f>
        <v>Variant Pathogenicity</v>
      </c>
      <c r="S339" s="55" t="str">
        <f>IFERROR(__xludf.DUMMYFUNCTION("QUERY('Volunteer Survey'!L348)"),"Somatic Cancer")</f>
        <v>Somatic Cancer</v>
      </c>
      <c r="T339" s="55" t="str">
        <f>IFERROR(__xludf.DUMMYFUNCTION("QUERY('Volunteer Survey'!M348)"),"Dosage Sensitivity")</f>
        <v>Dosage Sensitivity</v>
      </c>
      <c r="U339" s="64" t="str">
        <f>IFERROR(__xludf.DUMMYFUNCTION("QUERY('Volunteer Survey'!N348)"),"As a lab director, I reviewed interpretations for  a number of phenotypes")</f>
        <v>As a lab director, I reviewed interpretations for  a number of phenotypes</v>
      </c>
      <c r="V339" s="55" t="str">
        <f>IFERROR(__xludf.DUMMYFUNCTION("QUERY('Volunteer Survey'!O348)"),"Possibly")</f>
        <v>Possibly</v>
      </c>
      <c r="W339" s="66" t="str">
        <f>IFERROR(__xludf.DUMMYFUNCTION("QUERY('Volunteer Survey'!P348)"),"No specific interest")</f>
        <v>No specific interest</v>
      </c>
      <c r="X339" s="64" t="str">
        <f>IFERROR(__xludf.DUMMYFUNCTION("QUERY('Volunteer Survey'!R348)"),"Maybe -- please contact me with other options, and I will decide based on what is available")</f>
        <v>Maybe -- please contact me with other options, and I will decide based on what is available</v>
      </c>
      <c r="Y339" s="53"/>
      <c r="Z339" s="55"/>
      <c r="AA339" s="55"/>
      <c r="AB339" s="55"/>
      <c r="AC339" s="55"/>
      <c r="AD339" s="55"/>
      <c r="AE339" s="55"/>
      <c r="AF339" s="55"/>
      <c r="AG339" s="55"/>
      <c r="AH339" s="55"/>
      <c r="AI339" s="55"/>
      <c r="AJ339" s="55"/>
      <c r="AK339" s="55"/>
      <c r="AL339" s="55"/>
      <c r="AM339" s="55"/>
      <c r="AN339" s="55"/>
      <c r="AO339" s="55"/>
    </row>
    <row r="340">
      <c r="A340" s="50">
        <f>IFERROR(__xludf.DUMMYFUNCTION("QUERY('Volunteer Survey'!A349)"),43773.596221053245)</f>
        <v>43773.59622</v>
      </c>
      <c r="B340" s="48" t="s">
        <v>322</v>
      </c>
      <c r="C340" s="53"/>
      <c r="D340" s="55"/>
      <c r="E340" s="55"/>
      <c r="F340" s="48" t="s">
        <v>130</v>
      </c>
      <c r="G340" s="48" t="s">
        <v>136</v>
      </c>
      <c r="H340" s="53"/>
      <c r="I340" s="53"/>
      <c r="J340" s="55"/>
      <c r="K340" s="55"/>
      <c r="L340" s="55" t="str">
        <f>IFERROR(__xludf.DUMMYFUNCTION("QUERY('Volunteer Survey'!B349)"),"Qing Zhang")</f>
        <v>Qing Zhang</v>
      </c>
      <c r="M340" s="55" t="str">
        <f>IFERROR(__xludf.DUMMYFUNCTION("QUERY('Volunteer Survey'!E349)"),"qz1seattle@yahoo.com")</f>
        <v>qz1seattle@yahoo.com</v>
      </c>
      <c r="N340" s="55" t="str">
        <f>IFERROR(__xludf.DUMMYFUNCTION("QUERY('Volunteer Survey'!F349)"),"Scientific Researcher")</f>
        <v>Scientific Researcher</v>
      </c>
      <c r="O340" s="48" t="str">
        <f>IFERROR(__xludf.DUMMYFUNCTION("QUERY('Volunteer Survey'!H349)"),"Comprehensive")</f>
        <v>Comprehensive</v>
      </c>
      <c r="P340" s="55" t="str">
        <f>IFERROR(__xludf.DUMMYFUNCTION("QUERY('Volunteer Survey'!I349)"),"Somatic Cancer")</f>
        <v>Somatic Cancer</v>
      </c>
      <c r="Q340" s="60" t="str">
        <f>IFERROR(__xludf.DUMMYFUNCTION("QUERY('Volunteer Survey'!J349)"),"Variant Pathogenicity")</f>
        <v>Variant Pathogenicity</v>
      </c>
      <c r="R340" s="55" t="str">
        <f>IFERROR(__xludf.DUMMYFUNCTION("QUERY('Volunteer Survey'!K349)"),"Clinical Actionability")</f>
        <v>Clinical Actionability</v>
      </c>
      <c r="S340" s="55" t="str">
        <f>IFERROR(__xludf.DUMMYFUNCTION("QUERY('Volunteer Survey'!L349)"),"")</f>
        <v/>
      </c>
      <c r="T340" s="55" t="str">
        <f>IFERROR(__xludf.DUMMYFUNCTION("QUERY('Volunteer Survey'!M349)"),"")</f>
        <v/>
      </c>
      <c r="U340" s="64" t="str">
        <f>IFERROR(__xludf.DUMMYFUNCTION("QUERY('Volunteer Survey'!N349)"),"")</f>
        <v/>
      </c>
      <c r="V340" s="55" t="str">
        <f>IFERROR(__xludf.DUMMYFUNCTION("QUERY('Volunteer Survey'!O349)"),"Possibly")</f>
        <v>Possibly</v>
      </c>
      <c r="W340" s="66" t="str">
        <f>IFERROR(__xludf.DUMMYFUNCTION("QUERY('Volunteer Survey'!P349)"),"Somatic Cancer Working Group")</f>
        <v>Somatic Cancer Working Group</v>
      </c>
      <c r="X340" s="64" t="str">
        <f>IFERROR(__xludf.DUMMYFUNCTION("QUERY('Volunteer Survey'!R349)"),"Maybe -- please contact me with other options, and I will decide based on what is available")</f>
        <v>Maybe -- please contact me with other options, and I will decide based on what is available</v>
      </c>
      <c r="Y340" s="53"/>
      <c r="Z340" s="55"/>
      <c r="AA340" s="55"/>
      <c r="AB340" s="55"/>
      <c r="AC340" s="55"/>
      <c r="AD340" s="55"/>
      <c r="AE340" s="55"/>
      <c r="AF340" s="55"/>
      <c r="AG340" s="55"/>
      <c r="AH340" s="55"/>
      <c r="AI340" s="55"/>
      <c r="AJ340" s="55"/>
      <c r="AK340" s="55"/>
      <c r="AL340" s="55"/>
      <c r="AM340" s="55"/>
      <c r="AN340" s="55"/>
      <c r="AO340" s="55"/>
    </row>
    <row r="341">
      <c r="A341" s="50">
        <f>IFERROR(__xludf.DUMMYFUNCTION("QUERY('Volunteer Survey'!A350)"),43775.928431423614)</f>
        <v>43775.92843</v>
      </c>
      <c r="B341" s="48" t="s">
        <v>322</v>
      </c>
      <c r="C341" s="53"/>
      <c r="D341" s="55"/>
      <c r="E341" s="55"/>
      <c r="F341" s="48" t="s">
        <v>130</v>
      </c>
      <c r="G341" s="48" t="s">
        <v>313</v>
      </c>
      <c r="H341" s="53"/>
      <c r="I341" s="53"/>
      <c r="J341" s="55"/>
      <c r="K341" s="55"/>
      <c r="L341" s="55" t="str">
        <f>IFERROR(__xludf.DUMMYFUNCTION("QUERY('Volunteer Survey'!B350)"),"Cassandra Barrett")</f>
        <v>Cassandra Barrett</v>
      </c>
      <c r="M341" s="55" t="str">
        <f>IFERROR(__xludf.DUMMYFUNCTION("QUERY('Volunteer Survey'!E350)"),"cas9bar@gmail.com")</f>
        <v>cas9bar@gmail.com</v>
      </c>
      <c r="N341" s="55" t="str">
        <f>IFERROR(__xludf.DUMMYFUNCTION("QUERY('Volunteer Survey'!F350)"),"PhD in genetic engineering; currently in a genetic counseling graduate program")</f>
        <v>PhD in genetic engineering; currently in a genetic counseling graduate program</v>
      </c>
      <c r="O341" s="48" t="str">
        <f>IFERROR(__xludf.DUMMYFUNCTION("QUERY('Volunteer Survey'!H350)"),"Comprehensive")</f>
        <v>Comprehensive</v>
      </c>
      <c r="P341" s="55" t="str">
        <f>IFERROR(__xludf.DUMMYFUNCTION("QUERY('Volunteer Survey'!I350)"),"Dosage Sensitivity")</f>
        <v>Dosage Sensitivity</v>
      </c>
      <c r="Q341" s="60" t="str">
        <f>IFERROR(__xludf.DUMMYFUNCTION("QUERY('Volunteer Survey'!J350)"),"Clinical Actionability")</f>
        <v>Clinical Actionability</v>
      </c>
      <c r="R341" s="55" t="str">
        <f>IFERROR(__xludf.DUMMYFUNCTION("QUERY('Volunteer Survey'!K350)"),"Gene-Disease Validity")</f>
        <v>Gene-Disease Validity</v>
      </c>
      <c r="S341" s="55" t="str">
        <f>IFERROR(__xludf.DUMMYFUNCTION("QUERY('Volunteer Survey'!L350)"),"Variant Pathogenicity")</f>
        <v>Variant Pathogenicity</v>
      </c>
      <c r="T341" s="55" t="str">
        <f>IFERROR(__xludf.DUMMYFUNCTION("QUERY('Volunteer Survey'!M350)"),"Somatic Cancer")</f>
        <v>Somatic Cancer</v>
      </c>
      <c r="U341" s="64" t="str">
        <f>IFERROR(__xludf.DUMMYFUNCTION("QUERY('Volunteer Survey'!N350)"),"I've done literature research before related to the effects of specific epigenetic modifiers on phenotype, but that's about it.")</f>
        <v>I've done literature research before related to the effects of specific epigenetic modifiers on phenotype, but that's about it.</v>
      </c>
      <c r="V341" s="55" t="str">
        <f>IFERROR(__xludf.DUMMYFUNCTION("QUERY('Volunteer Survey'!O350)"),"Possibly")</f>
        <v>Possibly</v>
      </c>
      <c r="W341" s="66" t="str">
        <f>IFERROR(__xludf.DUMMYFUNCTION("QUERY('Volunteer Survey'!P350)"),"")</f>
        <v/>
      </c>
      <c r="X341" s="64" t="str">
        <f>IFERROR(__xludf.DUMMYFUNCTION("QUERY('Volunteer Survey'!R350)"),"")</f>
        <v/>
      </c>
      <c r="Y341" s="53"/>
      <c r="Z341" s="55"/>
      <c r="AA341" s="55"/>
      <c r="AB341" s="55"/>
      <c r="AC341" s="55"/>
      <c r="AD341" s="55"/>
      <c r="AE341" s="55"/>
      <c r="AF341" s="55"/>
      <c r="AG341" s="55"/>
      <c r="AH341" s="55"/>
      <c r="AI341" s="55"/>
      <c r="AJ341" s="55"/>
      <c r="AK341" s="55"/>
      <c r="AL341" s="55"/>
      <c r="AM341" s="55"/>
      <c r="AN341" s="55"/>
      <c r="AO341" s="55"/>
    </row>
    <row r="342">
      <c r="A342" s="50">
        <f>IFERROR(__xludf.DUMMYFUNCTION("QUERY('Volunteer Survey'!A351)"),43776.037574699076)</f>
        <v>43776.03757</v>
      </c>
      <c r="B342" s="48" t="s">
        <v>322</v>
      </c>
      <c r="C342" s="53"/>
      <c r="D342" s="55"/>
      <c r="E342" s="55"/>
      <c r="F342" s="48" t="s">
        <v>130</v>
      </c>
      <c r="G342" s="48" t="s">
        <v>313</v>
      </c>
      <c r="H342" s="53"/>
      <c r="I342" s="53"/>
      <c r="J342" s="55"/>
      <c r="K342" s="55"/>
      <c r="L342" s="55" t="str">
        <f>IFERROR(__xludf.DUMMYFUNCTION("QUERY('Volunteer Survey'!B351)"),"Punithavathi Sundaramurthy")</f>
        <v>Punithavathi Sundaramurthy</v>
      </c>
      <c r="M342" s="55" t="str">
        <f>IFERROR(__xludf.DUMMYFUNCTION("QUERY('Volunteer Survey'!E351)"),"PunitSundar95@gmail.com")</f>
        <v>PunitSundar95@gmail.com</v>
      </c>
      <c r="N342" s="55" t="str">
        <f>IFERROR(__xludf.DUMMYFUNCTION("QUERY('Volunteer Survey'!F351)"),"Graduate Student")</f>
        <v>Graduate Student</v>
      </c>
      <c r="O342" s="48" t="str">
        <f>IFERROR(__xludf.DUMMYFUNCTION("QUERY('Volunteer Survey'!H351)"),"Baseline")</f>
        <v>Baseline</v>
      </c>
      <c r="P342" s="55" t="str">
        <f>IFERROR(__xludf.DUMMYFUNCTION("QUERY('Volunteer Survey'!I351)"),"")</f>
        <v/>
      </c>
      <c r="Q342" s="60" t="str">
        <f>IFERROR(__xludf.DUMMYFUNCTION("QUERY('Volunteer Survey'!J351)"),"")</f>
        <v/>
      </c>
      <c r="R342" s="55" t="str">
        <f>IFERROR(__xludf.DUMMYFUNCTION("QUERY('Volunteer Survey'!K351)"),"")</f>
        <v/>
      </c>
      <c r="S342" s="55" t="str">
        <f>IFERROR(__xludf.DUMMYFUNCTION("QUERY('Volunteer Survey'!L351)"),"")</f>
        <v/>
      </c>
      <c r="T342" s="55" t="str">
        <f>IFERROR(__xludf.DUMMYFUNCTION("QUERY('Volunteer Survey'!M351)"),"")</f>
        <v/>
      </c>
      <c r="U342" s="64" t="str">
        <f>IFERROR(__xludf.DUMMYFUNCTION("QUERY('Volunteer Survey'!N351)"),"")</f>
        <v/>
      </c>
      <c r="V342" s="55" t="str">
        <f>IFERROR(__xludf.DUMMYFUNCTION("QUERY('Volunteer Survey'!O351)"),"Yes")</f>
        <v>Yes</v>
      </c>
      <c r="W342" s="66" t="str">
        <f>IFERROR(__xludf.DUMMYFUNCTION("QUERY('Volunteer Survey'!P351)"),"")</f>
        <v/>
      </c>
      <c r="X342" s="64" t="str">
        <f>IFERROR(__xludf.DUMMYFUNCTION("QUERY('Volunteer Survey'!R351)"),"Yes- I am willing to volunteer with any available ClinGen group")</f>
        <v>Yes- I am willing to volunteer with any available ClinGen group</v>
      </c>
      <c r="Y342" s="53"/>
      <c r="Z342" s="55"/>
      <c r="AA342" s="55"/>
      <c r="AB342" s="55"/>
      <c r="AC342" s="55"/>
      <c r="AD342" s="55"/>
      <c r="AE342" s="55"/>
      <c r="AF342" s="55"/>
      <c r="AG342" s="55"/>
      <c r="AH342" s="55"/>
      <c r="AI342" s="55"/>
      <c r="AJ342" s="55"/>
      <c r="AK342" s="55"/>
      <c r="AL342" s="55"/>
      <c r="AM342" s="55"/>
      <c r="AN342" s="55"/>
      <c r="AO342" s="55"/>
    </row>
    <row r="343">
      <c r="A343" s="50">
        <f>IFERROR(__xludf.DUMMYFUNCTION("QUERY('Volunteer Survey'!A352)"),43776.555087673616)</f>
        <v>43776.55509</v>
      </c>
      <c r="B343" s="48" t="s">
        <v>322</v>
      </c>
      <c r="C343" s="53"/>
      <c r="D343" s="55"/>
      <c r="E343" s="55"/>
      <c r="F343" s="48" t="s">
        <v>130</v>
      </c>
      <c r="G343" s="48" t="s">
        <v>313</v>
      </c>
      <c r="H343" s="53"/>
      <c r="I343" s="53"/>
      <c r="J343" s="55"/>
      <c r="K343" s="55"/>
      <c r="L343" s="55" t="str">
        <f>IFERROR(__xludf.DUMMYFUNCTION("QUERY('Volunteer Survey'!B352)"),"Madhulatha Pantrangi")</f>
        <v>Madhulatha Pantrangi</v>
      </c>
      <c r="M343" s="55" t="str">
        <f>IFERROR(__xludf.DUMMYFUNCTION("QUERY('Volunteer Survey'!E352)"),"madhu.pantrangi@preventiongenetics.com")</f>
        <v>madhu.pantrangi@preventiongenetics.com</v>
      </c>
      <c r="N343" s="55" t="str">
        <f>IFERROR(__xludf.DUMMYFUNCTION("QUERY('Volunteer Survey'!F352)"),"Clinical laboratory geneticist")</f>
        <v>Clinical laboratory geneticist</v>
      </c>
      <c r="O343" s="48" t="str">
        <f>IFERROR(__xludf.DUMMYFUNCTION("QUERY('Volunteer Survey'!H352)"),"Baseline")</f>
        <v>Baseline</v>
      </c>
      <c r="P343" s="55" t="str">
        <f>IFERROR(__xludf.DUMMYFUNCTION("QUERY('Volunteer Survey'!I352)"),"")</f>
        <v/>
      </c>
      <c r="Q343" s="60" t="str">
        <f>IFERROR(__xludf.DUMMYFUNCTION("QUERY('Volunteer Survey'!J352)"),"")</f>
        <v/>
      </c>
      <c r="R343" s="55" t="str">
        <f>IFERROR(__xludf.DUMMYFUNCTION("QUERY('Volunteer Survey'!K352)"),"")</f>
        <v/>
      </c>
      <c r="S343" s="55" t="str">
        <f>IFERROR(__xludf.DUMMYFUNCTION("QUERY('Volunteer Survey'!L352)"),"")</f>
        <v/>
      </c>
      <c r="T343" s="55" t="str">
        <f>IFERROR(__xludf.DUMMYFUNCTION("QUERY('Volunteer Survey'!M352)"),"")</f>
        <v/>
      </c>
      <c r="U343" s="64" t="str">
        <f>IFERROR(__xludf.DUMMYFUNCTION("QUERY('Volunteer Survey'!N352)"),"")</f>
        <v/>
      </c>
      <c r="V343" s="55" t="str">
        <f>IFERROR(__xludf.DUMMYFUNCTION("QUERY('Volunteer Survey'!O352)"),"Possibly")</f>
        <v>Possibly</v>
      </c>
      <c r="W343" s="66" t="str">
        <f>IFERROR(__xludf.DUMMYFUNCTION("QUERY('Volunteer Survey'!P352)"),"Peroxisomal Disorders ")</f>
        <v>Peroxisomal Disorders </v>
      </c>
      <c r="X343" s="64" t="str">
        <f>IFERROR(__xludf.DUMMYFUNCTION("QUERY('Volunteer Survey'!R352)"),"Maybe -- please contact me with other options, and I will decide based on what is available")</f>
        <v>Maybe -- please contact me with other options, and I will decide based on what is available</v>
      </c>
      <c r="Y343" s="53"/>
      <c r="Z343" s="55"/>
      <c r="AA343" s="55"/>
      <c r="AB343" s="55"/>
      <c r="AC343" s="55"/>
      <c r="AD343" s="55"/>
      <c r="AE343" s="55"/>
      <c r="AF343" s="55"/>
      <c r="AG343" s="55"/>
      <c r="AH343" s="55"/>
      <c r="AI343" s="55"/>
      <c r="AJ343" s="55"/>
      <c r="AK343" s="55"/>
      <c r="AL343" s="55"/>
      <c r="AM343" s="55"/>
      <c r="AN343" s="55"/>
      <c r="AO343" s="55"/>
    </row>
    <row r="344">
      <c r="A344" s="50">
        <f>IFERROR(__xludf.DUMMYFUNCTION("QUERY('Volunteer Survey'!A353)"),43777.2171097801)</f>
        <v>43777.21711</v>
      </c>
      <c r="B344" s="48" t="s">
        <v>108</v>
      </c>
      <c r="C344" s="79">
        <v>43819.0</v>
      </c>
      <c r="D344" s="55"/>
      <c r="E344" s="55"/>
      <c r="F344" s="48" t="s">
        <v>130</v>
      </c>
      <c r="G344" s="48" t="s">
        <v>251</v>
      </c>
      <c r="H344" s="53"/>
      <c r="I344" s="53"/>
      <c r="J344" s="55"/>
      <c r="K344" s="55"/>
      <c r="L344" s="55" t="str">
        <f>IFERROR(__xludf.DUMMYFUNCTION("QUERY('Volunteer Survey'!B353)"),"Celeste Bento")</f>
        <v>Celeste Bento</v>
      </c>
      <c r="M344" s="55" t="str">
        <f>IFERROR(__xludf.DUMMYFUNCTION("QUERY('Volunteer Survey'!E353)"),"celeste.bento@chuc.min-saude.pt")</f>
        <v>celeste.bento@chuc.min-saude.pt</v>
      </c>
      <c r="N344" s="55" t="str">
        <f>IFERROR(__xludf.DUMMYFUNCTION("QUERY('Volunteer Survey'!F353)"),"Clinical laboratory geneticist")</f>
        <v>Clinical laboratory geneticist</v>
      </c>
      <c r="O344" s="48" t="str">
        <f>IFERROR(__xludf.DUMMYFUNCTION("QUERY('Volunteer Survey'!H353)"),"Comprehensive")</f>
        <v>Comprehensive</v>
      </c>
      <c r="P344" s="55" t="str">
        <f>IFERROR(__xludf.DUMMYFUNCTION("QUERY('Volunteer Survey'!I353)"),"Variant Pathogenicity")</f>
        <v>Variant Pathogenicity</v>
      </c>
      <c r="Q344" s="60" t="str">
        <f>IFERROR(__xludf.DUMMYFUNCTION("QUERY('Volunteer Survey'!J353)"),"Gene-Disease Validity")</f>
        <v>Gene-Disease Validity</v>
      </c>
      <c r="R344" s="55" t="str">
        <f>IFERROR(__xludf.DUMMYFUNCTION("QUERY('Volunteer Survey'!K353)"),"Clinical Actionability")</f>
        <v>Clinical Actionability</v>
      </c>
      <c r="S344" s="55" t="str">
        <f>IFERROR(__xludf.DUMMYFUNCTION("QUERY('Volunteer Survey'!L353)"),"Dosage Sensitivity")</f>
        <v>Dosage Sensitivity</v>
      </c>
      <c r="T344" s="55" t="str">
        <f>IFERROR(__xludf.DUMMYFUNCTION("QUERY('Volunteer Survey'!M353)"),"Somatic Cancer")</f>
        <v>Somatic Cancer</v>
      </c>
      <c r="U344" s="64" t="str">
        <f>IFERROR(__xludf.DUMMYFUNCTION("QUERY('Volunteer Survey'!N353)"),"I need to apply the ACMG rules in my everyday work ")</f>
        <v>I need to apply the ACMG rules in my everyday work </v>
      </c>
      <c r="V344" s="55" t="str">
        <f>IFERROR(__xludf.DUMMYFUNCTION("QUERY('Volunteer Survey'!O353)"),"Possibly")</f>
        <v>Possibly</v>
      </c>
      <c r="W344" s="66" t="str">
        <f>IFERROR(__xludf.DUMMYFUNCTION("QUERY('Volunteer Survey'!P353)"),"I'm in the Core Task Team of ClinGen Haemoglobinopathy EP")</f>
        <v>I'm in the Core Task Team of ClinGen Haemoglobinopathy EP</v>
      </c>
      <c r="X344" s="64" t="str">
        <f>IFERROR(__xludf.DUMMYFUNCTION("QUERY('Volunteer Survey'!R353)"),"No - I am only interested in the group(s) I previously indicated")</f>
        <v>No - I am only interested in the group(s) I previously indicated</v>
      </c>
      <c r="Y344" s="53"/>
      <c r="Z344" s="55"/>
      <c r="AA344" s="55"/>
      <c r="AB344" s="55"/>
      <c r="AC344" s="55"/>
      <c r="AD344" s="55"/>
      <c r="AE344" s="55"/>
      <c r="AF344" s="55"/>
      <c r="AG344" s="55"/>
      <c r="AH344" s="55"/>
      <c r="AI344" s="55"/>
      <c r="AJ344" s="55"/>
      <c r="AK344" s="55"/>
      <c r="AL344" s="55"/>
      <c r="AM344" s="55"/>
      <c r="AN344" s="55"/>
      <c r="AO344" s="55"/>
    </row>
    <row r="345">
      <c r="A345" s="50">
        <f>IFERROR(__xludf.DUMMYFUNCTION("QUERY('Volunteer Survey'!A354)"),43777.537821550926)</f>
        <v>43777.53782</v>
      </c>
      <c r="B345" s="48" t="s">
        <v>322</v>
      </c>
      <c r="C345" s="53"/>
      <c r="D345" s="55"/>
      <c r="E345" s="55"/>
      <c r="F345" s="48" t="s">
        <v>130</v>
      </c>
      <c r="G345" s="48" t="s">
        <v>136</v>
      </c>
      <c r="H345" s="53"/>
      <c r="I345" s="53"/>
      <c r="J345" s="55"/>
      <c r="K345" s="55"/>
      <c r="L345" s="55" t="str">
        <f>IFERROR(__xludf.DUMMYFUNCTION("QUERY('Volunteer Survey'!B354)"),"Gokce Toruner")</f>
        <v>Gokce Toruner</v>
      </c>
      <c r="M345" s="55" t="str">
        <f>IFERROR(__xludf.DUMMYFUNCTION("QUERY('Volunteer Survey'!E354)"),"gatoruner@mdanderson.org")</f>
        <v>gatoruner@mdanderson.org</v>
      </c>
      <c r="N345" s="55" t="str">
        <f>IFERROR(__xludf.DUMMYFUNCTION("QUERY('Volunteer Survey'!F354)"),"Clinical laboratory geneticist")</f>
        <v>Clinical laboratory geneticist</v>
      </c>
      <c r="O345" s="48" t="str">
        <f>IFERROR(__xludf.DUMMYFUNCTION("QUERY('Volunteer Survey'!H354)"),"Comprehensive")</f>
        <v>Comprehensive</v>
      </c>
      <c r="P345" s="55" t="str">
        <f>IFERROR(__xludf.DUMMYFUNCTION("QUERY('Volunteer Survey'!I354)"),"Somatic Cancer")</f>
        <v>Somatic Cancer</v>
      </c>
      <c r="Q345" s="60" t="str">
        <f>IFERROR(__xludf.DUMMYFUNCTION("QUERY('Volunteer Survey'!J354)"),"")</f>
        <v/>
      </c>
      <c r="R345" s="55" t="str">
        <f>IFERROR(__xludf.DUMMYFUNCTION("QUERY('Volunteer Survey'!K354)"),"")</f>
        <v/>
      </c>
      <c r="S345" s="55" t="str">
        <f>IFERROR(__xludf.DUMMYFUNCTION("QUERY('Volunteer Survey'!L354)"),"")</f>
        <v/>
      </c>
      <c r="T345" s="55" t="str">
        <f>IFERROR(__xludf.DUMMYFUNCTION("QUERY('Volunteer Survey'!M354)"),"")</f>
        <v/>
      </c>
      <c r="U345" s="64" t="str">
        <f>IFERROR(__xludf.DUMMYFUNCTION("QUERY('Volunteer Survey'!N354)"),"")</f>
        <v/>
      </c>
      <c r="V345" s="55" t="str">
        <f>IFERROR(__xludf.DUMMYFUNCTION("QUERY('Volunteer Survey'!O354)"),"No")</f>
        <v>No</v>
      </c>
      <c r="W345" s="66" t="str">
        <f>IFERROR(__xludf.DUMMYFUNCTION("QUERY('Volunteer Survey'!P354)"),"Somatic Cancer")</f>
        <v>Somatic Cancer</v>
      </c>
      <c r="X345" s="64" t="str">
        <f>IFERROR(__xludf.DUMMYFUNCTION("QUERY('Volunteer Survey'!R354)"),"Maybe -- please contact me with other options, and I will decide based on what is available")</f>
        <v>Maybe -- please contact me with other options, and I will decide based on what is available</v>
      </c>
      <c r="Y345" s="53"/>
      <c r="Z345" s="55"/>
      <c r="AA345" s="55"/>
      <c r="AB345" s="55"/>
      <c r="AC345" s="55"/>
      <c r="AD345" s="55"/>
      <c r="AE345" s="55"/>
      <c r="AF345" s="55"/>
      <c r="AG345" s="55"/>
      <c r="AH345" s="55"/>
      <c r="AI345" s="55"/>
      <c r="AJ345" s="55"/>
      <c r="AK345" s="55"/>
      <c r="AL345" s="55"/>
      <c r="AM345" s="55"/>
      <c r="AN345" s="55"/>
      <c r="AO345" s="55"/>
    </row>
    <row r="346">
      <c r="A346" s="50">
        <f>IFERROR(__xludf.DUMMYFUNCTION("QUERY('Volunteer Survey'!A355)"),43777.94741894676)</f>
        <v>43777.94742</v>
      </c>
      <c r="B346" s="48" t="s">
        <v>322</v>
      </c>
      <c r="C346" s="53"/>
      <c r="D346" s="55"/>
      <c r="E346" s="55"/>
      <c r="F346" s="48" t="s">
        <v>130</v>
      </c>
      <c r="G346" s="48" t="s">
        <v>313</v>
      </c>
      <c r="H346" s="53"/>
      <c r="I346" s="53"/>
      <c r="J346" s="55"/>
      <c r="K346" s="55"/>
      <c r="L346" s="55" t="str">
        <f>IFERROR(__xludf.DUMMYFUNCTION("QUERY('Volunteer Survey'!B355)"),"rekha aaron")</f>
        <v>rekha aaron</v>
      </c>
      <c r="M346" s="55" t="str">
        <f>IFERROR(__xludf.DUMMYFUNCTION("QUERY('Volunteer Survey'!E355)"),"rekha.a@cmcvellore.ac.in")</f>
        <v>rekha.a@cmcvellore.ac.in</v>
      </c>
      <c r="N346" s="55" t="str">
        <f>IFERROR(__xludf.DUMMYFUNCTION("QUERY('Volunteer Survey'!F355)"),"Clinical laboratory geneticist")</f>
        <v>Clinical laboratory geneticist</v>
      </c>
      <c r="O346" s="48" t="str">
        <f>IFERROR(__xludf.DUMMYFUNCTION("QUERY('Volunteer Survey'!H355)"),"Baseline")</f>
        <v>Baseline</v>
      </c>
      <c r="P346" s="55" t="str">
        <f>IFERROR(__xludf.DUMMYFUNCTION("QUERY('Volunteer Survey'!I355)"),"Variant Pathogenicity")</f>
        <v>Variant Pathogenicity</v>
      </c>
      <c r="Q346" s="60" t="str">
        <f>IFERROR(__xludf.DUMMYFUNCTION("QUERY('Volunteer Survey'!J355)"),"Gene-Disease Validity")</f>
        <v>Gene-Disease Validity</v>
      </c>
      <c r="R346" s="55" t="str">
        <f>IFERROR(__xludf.DUMMYFUNCTION("QUERY('Volunteer Survey'!K355)"),"Dosage Sensitivity")</f>
        <v>Dosage Sensitivity</v>
      </c>
      <c r="S346" s="55" t="str">
        <f>IFERROR(__xludf.DUMMYFUNCTION("QUERY('Volunteer Survey'!L355)"),"Clinical Actionability")</f>
        <v>Clinical Actionability</v>
      </c>
      <c r="T346" s="55" t="str">
        <f>IFERROR(__xludf.DUMMYFUNCTION("QUERY('Volunteer Survey'!M355)"),"Somatic Cancer")</f>
        <v>Somatic Cancer</v>
      </c>
      <c r="U346" s="64" t="str">
        <f>IFERROR(__xludf.DUMMYFUNCTION("QUERY('Volunteer Survey'!N355)"),"My work regularly involved in variant analysis, interpretation &amp; reporting ")</f>
        <v>My work regularly involved in variant analysis, interpretation &amp; reporting </v>
      </c>
      <c r="V346" s="55" t="str">
        <f>IFERROR(__xludf.DUMMYFUNCTION("QUERY('Volunteer Survey'!O355)"),"Possibly")</f>
        <v>Possibly</v>
      </c>
      <c r="W346" s="66" t="str">
        <f>IFERROR(__xludf.DUMMYFUNCTION("QUERY('Volunteer Survey'!P355)"),"mitochondrial ,neurodevelopmental disorders,myopathies")</f>
        <v>mitochondrial ,neurodevelopmental disorders,myopathies</v>
      </c>
      <c r="X346" s="64" t="str">
        <f>IFERROR(__xludf.DUMMYFUNCTION("QUERY('Volunteer Survey'!R355)"),"Maybe -- please contact me with other options, and I will decide based on what is available")</f>
        <v>Maybe -- please contact me with other options, and I will decide based on what is available</v>
      </c>
      <c r="Y346" s="53"/>
      <c r="Z346" s="55"/>
      <c r="AA346" s="55"/>
      <c r="AB346" s="55"/>
      <c r="AC346" s="55"/>
      <c r="AD346" s="55"/>
      <c r="AE346" s="55"/>
      <c r="AF346" s="55"/>
      <c r="AG346" s="55"/>
      <c r="AH346" s="55"/>
      <c r="AI346" s="55"/>
      <c r="AJ346" s="55"/>
      <c r="AK346" s="55"/>
      <c r="AL346" s="55"/>
      <c r="AM346" s="55"/>
      <c r="AN346" s="55"/>
      <c r="AO346" s="55"/>
    </row>
    <row r="347">
      <c r="A347" s="50">
        <f>IFERROR(__xludf.DUMMYFUNCTION("QUERY('Volunteer Survey'!A356)"),43778.843209189814)</f>
        <v>43778.84321</v>
      </c>
      <c r="B347" s="48" t="s">
        <v>160</v>
      </c>
      <c r="C347" s="90">
        <v>44160.0</v>
      </c>
      <c r="D347" s="65">
        <v>43859.0</v>
      </c>
      <c r="E347" s="48" t="s">
        <v>117</v>
      </c>
      <c r="F347" s="48" t="s">
        <v>130</v>
      </c>
      <c r="G347" s="48" t="s">
        <v>19</v>
      </c>
      <c r="H347" s="53"/>
      <c r="I347" s="53"/>
      <c r="J347" s="55"/>
      <c r="K347" s="55"/>
      <c r="L347" s="55" t="str">
        <f>IFERROR(__xludf.DUMMYFUNCTION("QUERY('Volunteer Survey'!B356)"),"Larissa Waldman")</f>
        <v>Larissa Waldman</v>
      </c>
      <c r="M347" s="55" t="str">
        <f>IFERROR(__xludf.DUMMYFUNCTION("QUERY('Volunteer Survey'!E356)"),"larissa.waldman@gmail.com")</f>
        <v>larissa.waldman@gmail.com</v>
      </c>
      <c r="N347" s="55" t="str">
        <f>IFERROR(__xludf.DUMMYFUNCTION("QUERY('Volunteer Survey'!F356)"),"Genetic counselor")</f>
        <v>Genetic counselor</v>
      </c>
      <c r="O347" s="48" t="str">
        <f>IFERROR(__xludf.DUMMYFUNCTION("QUERY('Volunteer Survey'!H356)"),"Comprehensive")</f>
        <v>Comprehensive</v>
      </c>
      <c r="P347" s="55" t="str">
        <f>IFERROR(__xludf.DUMMYFUNCTION("QUERY('Volunteer Survey'!I356)"),"Clinical Actionability")</f>
        <v>Clinical Actionability</v>
      </c>
      <c r="Q347" s="60" t="str">
        <f>IFERROR(__xludf.DUMMYFUNCTION("QUERY('Volunteer Survey'!J356)"),"Gene-Disease Validity")</f>
        <v>Gene-Disease Validity</v>
      </c>
      <c r="R347" s="55" t="str">
        <f>IFERROR(__xludf.DUMMYFUNCTION("QUERY('Volunteer Survey'!K356)"),"Somatic Cancer")</f>
        <v>Somatic Cancer</v>
      </c>
      <c r="S347" s="55" t="str">
        <f>IFERROR(__xludf.DUMMYFUNCTION("QUERY('Volunteer Survey'!L356)"),"Variant Pathogenicity")</f>
        <v>Variant Pathogenicity</v>
      </c>
      <c r="T347" s="55" t="str">
        <f>IFERROR(__xludf.DUMMYFUNCTION("QUERY('Volunteer Survey'!M356)"),"Dosage Sensitivity")</f>
        <v>Dosage Sensitivity</v>
      </c>
      <c r="U347" s="64" t="str">
        <f>IFERROR(__xludf.DUMMYFUNCTION("QUERY('Volunteer Survey'!N356)"),"")</f>
        <v/>
      </c>
      <c r="V347" s="55" t="str">
        <f>IFERROR(__xludf.DUMMYFUNCTION("QUERY('Volunteer Survey'!O356)"),"No")</f>
        <v>No</v>
      </c>
      <c r="W347" s="66" t="str">
        <f>IFERROR(__xludf.DUMMYFUNCTION("QUERY('Volunteer Survey'!P356)"),"Hereditary cancer, myeloid malignancy, pediatric somatic")</f>
        <v>Hereditary cancer, myeloid malignancy, pediatric somatic</v>
      </c>
      <c r="X347" s="64" t="str">
        <f>IFERROR(__xludf.DUMMYFUNCTION("QUERY('Volunteer Survey'!R356)"),"Maybe -- please contact me with other options, and I will decide based on what is available")</f>
        <v>Maybe -- please contact me with other options, and I will decide based on what is available</v>
      </c>
      <c r="Y347" s="53"/>
      <c r="Z347" s="55"/>
      <c r="AA347" s="55"/>
      <c r="AB347" s="55"/>
      <c r="AC347" s="55"/>
      <c r="AD347" s="55"/>
      <c r="AE347" s="55"/>
      <c r="AF347" s="55"/>
      <c r="AG347" s="55"/>
      <c r="AH347" s="55"/>
      <c r="AI347" s="55"/>
      <c r="AJ347" s="55"/>
      <c r="AK347" s="55"/>
      <c r="AL347" s="55"/>
      <c r="AM347" s="55"/>
      <c r="AN347" s="55"/>
      <c r="AO347" s="55"/>
    </row>
    <row r="348">
      <c r="A348" s="50">
        <f>IFERROR(__xludf.DUMMYFUNCTION("QUERY('Volunteer Survey'!A357)"),43779.01428032407)</f>
        <v>43779.01428</v>
      </c>
      <c r="B348" s="48" t="s">
        <v>108</v>
      </c>
      <c r="C348" s="79">
        <v>43819.0</v>
      </c>
      <c r="D348" s="55"/>
      <c r="E348" s="55"/>
      <c r="F348" s="48" t="s">
        <v>130</v>
      </c>
      <c r="G348" s="48" t="s">
        <v>251</v>
      </c>
      <c r="H348" s="53"/>
      <c r="I348" s="53"/>
      <c r="J348" s="55"/>
      <c r="K348" s="55"/>
      <c r="L348" s="55" t="str">
        <f>IFERROR(__xludf.DUMMYFUNCTION("QUERY('Volunteer Survey'!B357)"),"Prasad Rao Kopparapu")</f>
        <v>Prasad Rao Kopparapu</v>
      </c>
      <c r="M348" s="55" t="str">
        <f>IFERROR(__xludf.DUMMYFUNCTION("QUERY('Volunteer Survey'!E357)"),"prasaad82@gmail.com")</f>
        <v>prasaad82@gmail.com</v>
      </c>
      <c r="N348" s="55" t="str">
        <f>IFERROR(__xludf.DUMMYFUNCTION("QUERY('Volunteer Survey'!F357)"),"Post Doc/Resident/Fellow (MD and/or PhD)")</f>
        <v>Post Doc/Resident/Fellow (MD and/or PhD)</v>
      </c>
      <c r="O348" s="48" t="str">
        <f>IFERROR(__xludf.DUMMYFUNCTION("QUERY('Volunteer Survey'!H357)"),"Comprehensive")</f>
        <v>Comprehensive</v>
      </c>
      <c r="P348" s="55" t="str">
        <f>IFERROR(__xludf.DUMMYFUNCTION("QUERY('Volunteer Survey'!I357)"),"Variant Pathogenicity")</f>
        <v>Variant Pathogenicity</v>
      </c>
      <c r="Q348" s="60" t="str">
        <f>IFERROR(__xludf.DUMMYFUNCTION("QUERY('Volunteer Survey'!J357)"),"Gene-Disease Validity")</f>
        <v>Gene-Disease Validity</v>
      </c>
      <c r="R348" s="55" t="str">
        <f>IFERROR(__xludf.DUMMYFUNCTION("QUERY('Volunteer Survey'!K357)"),"Somatic Cancer")</f>
        <v>Somatic Cancer</v>
      </c>
      <c r="S348" s="55" t="str">
        <f>IFERROR(__xludf.DUMMYFUNCTION("QUERY('Volunteer Survey'!L357)"),"Dosage Sensitivity")</f>
        <v>Dosage Sensitivity</v>
      </c>
      <c r="T348" s="55" t="str">
        <f>IFERROR(__xludf.DUMMYFUNCTION("QUERY('Volunteer Survey'!M357)"),"Clinical Actionability")</f>
        <v>Clinical Actionability</v>
      </c>
      <c r="U348" s="64" t="str">
        <f>IFERROR(__xludf.DUMMYFUNCTION("QUERY('Volunteer Survey'!N357)"),"")</f>
        <v/>
      </c>
      <c r="V348" s="55" t="str">
        <f>IFERROR(__xludf.DUMMYFUNCTION("QUERY('Volunteer Survey'!O357)"),"Possibly")</f>
        <v>Possibly</v>
      </c>
      <c r="W348" s="66" t="str">
        <f>IFERROR(__xludf.DUMMYFUNCTION("QUERY('Volunteer Survey'!P357)"),"Variant Curation Expert Panels-TP53*, Somatic Cancer Working Group-Pediatric,")</f>
        <v>Variant Curation Expert Panels-TP53*, Somatic Cancer Working Group-Pediatric,</v>
      </c>
      <c r="X348" s="64" t="str">
        <f>IFERROR(__xludf.DUMMYFUNCTION("QUERY('Volunteer Survey'!R357)"),"Yes- I am willing to volunteer with any available ClinGen group")</f>
        <v>Yes- I am willing to volunteer with any available ClinGen group</v>
      </c>
      <c r="Y348" s="53"/>
      <c r="Z348" s="55"/>
      <c r="AA348" s="55"/>
      <c r="AB348" s="55"/>
      <c r="AC348" s="55"/>
      <c r="AD348" s="55"/>
      <c r="AE348" s="55"/>
      <c r="AF348" s="55"/>
      <c r="AG348" s="55"/>
      <c r="AH348" s="55"/>
      <c r="AI348" s="55"/>
      <c r="AJ348" s="55"/>
      <c r="AK348" s="55"/>
      <c r="AL348" s="55"/>
      <c r="AM348" s="55"/>
      <c r="AN348" s="55"/>
      <c r="AO348" s="55"/>
    </row>
    <row r="349">
      <c r="A349" s="50">
        <f>IFERROR(__xludf.DUMMYFUNCTION("QUERY('Volunteer Survey'!A358)"),43780.19700046296)</f>
        <v>43780.197</v>
      </c>
      <c r="B349" s="48" t="s">
        <v>108</v>
      </c>
      <c r="C349" s="79">
        <v>43819.0</v>
      </c>
      <c r="D349" s="55"/>
      <c r="E349" s="55"/>
      <c r="F349" s="48" t="s">
        <v>130</v>
      </c>
      <c r="G349" s="48" t="s">
        <v>122</v>
      </c>
      <c r="H349" s="53"/>
      <c r="I349" s="53"/>
      <c r="J349" s="55"/>
      <c r="K349" s="55"/>
      <c r="L349" s="55" t="str">
        <f>IFERROR(__xludf.DUMMYFUNCTION("QUERY('Volunteer Survey'!B358)"),"Mansour Zamanpoor")</f>
        <v>Mansour Zamanpoor</v>
      </c>
      <c r="M349" s="55" t="str">
        <f>IFERROR(__xludf.DUMMYFUNCTION("QUERY('Volunteer Survey'!E358)"),"mansour.zamanpoor@ccdhb.org.nz")</f>
        <v>mansour.zamanpoor@ccdhb.org.nz</v>
      </c>
      <c r="N349" s="55" t="str">
        <f>IFERROR(__xludf.DUMMYFUNCTION("QUERY('Volunteer Survey'!F358)"),"Clinical laboratory geneticist")</f>
        <v>Clinical laboratory geneticist</v>
      </c>
      <c r="O349" s="48" t="str">
        <f>IFERROR(__xludf.DUMMYFUNCTION("QUERY('Volunteer Survey'!H358)"),"Comprehensive")</f>
        <v>Comprehensive</v>
      </c>
      <c r="P349" s="55" t="str">
        <f>IFERROR(__xludf.DUMMYFUNCTION("QUERY('Volunteer Survey'!I358)"),"Gene-Disease Validity")</f>
        <v>Gene-Disease Validity</v>
      </c>
      <c r="Q349" s="60" t="str">
        <f>IFERROR(__xludf.DUMMYFUNCTION("QUERY('Volunteer Survey'!J358)"),"Variant Pathogenicity")</f>
        <v>Variant Pathogenicity</v>
      </c>
      <c r="R349" s="55" t="str">
        <f>IFERROR(__xludf.DUMMYFUNCTION("QUERY('Volunteer Survey'!K358)"),"Somatic Cancer")</f>
        <v>Somatic Cancer</v>
      </c>
      <c r="S349" s="55" t="str">
        <f>IFERROR(__xludf.DUMMYFUNCTION("QUERY('Volunteer Survey'!L358)"),"Clinical Actionability")</f>
        <v>Clinical Actionability</v>
      </c>
      <c r="T349" s="55" t="str">
        <f>IFERROR(__xludf.DUMMYFUNCTION("QUERY('Volunteer Survey'!M358)"),"Dosage Sensitivity")</f>
        <v>Dosage Sensitivity</v>
      </c>
      <c r="U349" s="64" t="str">
        <f>IFERROR(__xludf.DUMMYFUNCTION("QUERY('Volunteer Survey'!N358)"),"I am actively involved in variant curation in a diagnostic genomic laboratory ")</f>
        <v>I am actively involved in variant curation in a diagnostic genomic laboratory </v>
      </c>
      <c r="V349" s="55" t="str">
        <f>IFERROR(__xludf.DUMMYFUNCTION("QUERY('Volunteer Survey'!O358)"),"Yes")</f>
        <v>Yes</v>
      </c>
      <c r="W349" s="66" t="str">
        <f>IFERROR(__xludf.DUMMYFUNCTION("QUERY('Volunteer Survey'!P358)"),"")</f>
        <v/>
      </c>
      <c r="X349" s="64" t="str">
        <f>IFERROR(__xludf.DUMMYFUNCTION("QUERY('Volunteer Survey'!R358)"),"Maybe -- please contact me with other options, and I will decide based on what is available")</f>
        <v>Maybe -- please contact me with other options, and I will decide based on what is available</v>
      </c>
      <c r="Y349" s="53"/>
      <c r="Z349" s="55"/>
      <c r="AA349" s="55"/>
      <c r="AB349" s="55"/>
      <c r="AC349" s="55"/>
      <c r="AD349" s="55"/>
      <c r="AE349" s="55"/>
      <c r="AF349" s="55"/>
      <c r="AG349" s="55"/>
      <c r="AH349" s="55"/>
      <c r="AI349" s="55"/>
      <c r="AJ349" s="55"/>
      <c r="AK349" s="55"/>
      <c r="AL349" s="55"/>
      <c r="AM349" s="55"/>
      <c r="AN349" s="55"/>
      <c r="AO349" s="55"/>
    </row>
    <row r="350">
      <c r="A350" s="50">
        <f>IFERROR(__xludf.DUMMYFUNCTION("QUERY('Volunteer Survey'!A359)"),43780.37467388889)</f>
        <v>43780.37467</v>
      </c>
      <c r="B350" s="48" t="s">
        <v>160</v>
      </c>
      <c r="C350" s="90">
        <v>43808.0</v>
      </c>
      <c r="D350" s="65">
        <v>43859.0</v>
      </c>
      <c r="E350" s="48" t="s">
        <v>117</v>
      </c>
      <c r="F350" s="48" t="s">
        <v>130</v>
      </c>
      <c r="G350" s="48" t="s">
        <v>19</v>
      </c>
      <c r="H350" s="53"/>
      <c r="I350" s="53"/>
      <c r="J350" s="55"/>
      <c r="K350" s="55"/>
      <c r="L350" s="55" t="str">
        <f>IFERROR(__xludf.DUMMYFUNCTION("QUERY('Volunteer Survey'!B359)"),"Mark Shlapobersky")</f>
        <v>Mark Shlapobersky</v>
      </c>
      <c r="M350" s="55" t="str">
        <f>IFERROR(__xludf.DUMMYFUNCTION("QUERY('Volunteer Survey'!E359)"),"marks@bmc.gov.il")</f>
        <v>marks@bmc.gov.il</v>
      </c>
      <c r="N350" s="55" t="str">
        <f>IFERROR(__xludf.DUMMYFUNCTION("QUERY('Volunteer Survey'!F359)"),"Director of Pathology lab")</f>
        <v>Director of Pathology lab</v>
      </c>
      <c r="O350" s="48" t="str">
        <f>IFERROR(__xludf.DUMMYFUNCTION("QUERY('Volunteer Survey'!H359)"),"Comprehensive")</f>
        <v>Comprehensive</v>
      </c>
      <c r="P350" s="55" t="str">
        <f>IFERROR(__xludf.DUMMYFUNCTION("QUERY('Volunteer Survey'!I359)"),"Clinical Actionability")</f>
        <v>Clinical Actionability</v>
      </c>
      <c r="Q350" s="60" t="str">
        <f>IFERROR(__xludf.DUMMYFUNCTION("QUERY('Volunteer Survey'!J359)"),"Variant Pathogenicity")</f>
        <v>Variant Pathogenicity</v>
      </c>
      <c r="R350" s="55" t="str">
        <f>IFERROR(__xludf.DUMMYFUNCTION("QUERY('Volunteer Survey'!K359)"),"Somatic Cancer")</f>
        <v>Somatic Cancer</v>
      </c>
      <c r="S350" s="55" t="str">
        <f>IFERROR(__xludf.DUMMYFUNCTION("QUERY('Volunteer Survey'!L359)"),"Gene-Disease Validity")</f>
        <v>Gene-Disease Validity</v>
      </c>
      <c r="T350" s="55" t="str">
        <f>IFERROR(__xludf.DUMMYFUNCTION("QUERY('Volunteer Survey'!M359)"),"Dosage Sensitivity")</f>
        <v>Dosage Sensitivity</v>
      </c>
      <c r="U350" s="64" t="str">
        <f>IFERROR(__xludf.DUMMYFUNCTION("QUERY('Volunteer Survey'!N359)"),"I was a curator for Pathway Genomics and Human Longevity")</f>
        <v>I was a curator for Pathway Genomics and Human Longevity</v>
      </c>
      <c r="V350" s="55" t="str">
        <f>IFERROR(__xludf.DUMMYFUNCTION("QUERY('Volunteer Survey'!O359)"),"Yes")</f>
        <v>Yes</v>
      </c>
      <c r="W350" s="66" t="str">
        <f>IFERROR(__xludf.DUMMYFUNCTION("QUERY('Volunteer Survey'!P359)"),"")</f>
        <v/>
      </c>
      <c r="X350" s="64" t="str">
        <f>IFERROR(__xludf.DUMMYFUNCTION("QUERY('Volunteer Survey'!R359)"),"Yes- I am willing to volunteer with any available ClinGen group")</f>
        <v>Yes- I am willing to volunteer with any available ClinGen group</v>
      </c>
      <c r="Y350" s="53"/>
      <c r="Z350" s="55"/>
      <c r="AA350" s="55"/>
      <c r="AB350" s="55"/>
      <c r="AC350" s="55"/>
      <c r="AD350" s="55"/>
      <c r="AE350" s="55"/>
      <c r="AF350" s="55"/>
      <c r="AG350" s="55"/>
      <c r="AH350" s="55"/>
      <c r="AI350" s="55"/>
      <c r="AJ350" s="55"/>
      <c r="AK350" s="55"/>
      <c r="AL350" s="55"/>
      <c r="AM350" s="55"/>
      <c r="AN350" s="55"/>
      <c r="AO350" s="55"/>
    </row>
    <row r="351">
      <c r="A351" s="50">
        <f>IFERROR(__xludf.DUMMYFUNCTION("QUERY('Volunteer Survey'!A360)"),43782.569134212965)</f>
        <v>43782.56913</v>
      </c>
      <c r="B351" s="48" t="s">
        <v>108</v>
      </c>
      <c r="C351" s="79">
        <v>43819.0</v>
      </c>
      <c r="D351" s="73">
        <v>43846.0</v>
      </c>
      <c r="E351" s="48" t="s">
        <v>117</v>
      </c>
      <c r="F351" s="48" t="s">
        <v>117</v>
      </c>
      <c r="G351" s="48" t="s">
        <v>122</v>
      </c>
      <c r="H351" s="53"/>
      <c r="I351" s="53"/>
      <c r="J351" s="55"/>
      <c r="K351" s="55"/>
      <c r="L351" s="55" t="str">
        <f>IFERROR(__xludf.DUMMYFUNCTION("QUERY('Volunteer Survey'!B360)"),"Marie-Luise Brennan")</f>
        <v>Marie-Luise Brennan</v>
      </c>
      <c r="M351" s="55" t="str">
        <f>IFERROR(__xludf.DUMMYFUNCTION("QUERY('Volunteer Survey'!E360)"),"mbrennan@acmg.net")</f>
        <v>mbrennan@acmg.net</v>
      </c>
      <c r="N351" s="55" t="str">
        <f>IFERROR(__xludf.DUMMYFUNCTION("QUERY('Volunteer Survey'!F360)"),"Clinical Medical Geneticist")</f>
        <v>Clinical Medical Geneticist</v>
      </c>
      <c r="O351" s="48" t="str">
        <f>IFERROR(__xludf.DUMMYFUNCTION("QUERY('Volunteer Survey'!H360)"),"Comprehensive")</f>
        <v>Comprehensive</v>
      </c>
      <c r="P351" s="55" t="str">
        <f>IFERROR(__xludf.DUMMYFUNCTION("QUERY('Volunteer Survey'!I360)"),"Gene-Disease Validity")</f>
        <v>Gene-Disease Validity</v>
      </c>
      <c r="Q351" s="60" t="str">
        <f>IFERROR(__xludf.DUMMYFUNCTION("QUERY('Volunteer Survey'!J360)"),"Variant Pathogenicity")</f>
        <v>Variant Pathogenicity</v>
      </c>
      <c r="R351" s="55" t="str">
        <f>IFERROR(__xludf.DUMMYFUNCTION("QUERY('Volunteer Survey'!K360)"),"Dosage Sensitivity")</f>
        <v>Dosage Sensitivity</v>
      </c>
      <c r="S351" s="55" t="str">
        <f>IFERROR(__xludf.DUMMYFUNCTION("QUERY('Volunteer Survey'!L360)"),"Clinical Actionability")</f>
        <v>Clinical Actionability</v>
      </c>
      <c r="T351" s="55" t="str">
        <f>IFERROR(__xludf.DUMMYFUNCTION("QUERY('Volunteer Survey'!M360)"),"Somatic Cancer")</f>
        <v>Somatic Cancer</v>
      </c>
      <c r="U351" s="64" t="str">
        <f>IFERROR(__xludf.DUMMYFUNCTION("QUERY('Volunteer Survey'!N360)"),"No prior experience with curation. ")</f>
        <v>No prior experience with curation. </v>
      </c>
      <c r="V351" s="55" t="str">
        <f>IFERROR(__xludf.DUMMYFUNCTION("QUERY('Volunteer Survey'!O360)"),"Yes")</f>
        <v>Yes</v>
      </c>
      <c r="W351" s="66" t="str">
        <f>IFERROR(__xludf.DUMMYFUNCTION("QUERY('Volunteer Survey'!P360)"),"Low penetrance/risk alleles; gene curation (monogenic diabetes; any); dosage sens (neurodev or recurrent regions). Preferences listed, happy to join where needed.")</f>
        <v>Low penetrance/risk alleles; gene curation (monogenic diabetes; any); dosage sens (neurodev or recurrent regions). Preferences listed, happy to join where needed.</v>
      </c>
      <c r="X351" s="64" t="str">
        <f>IFERROR(__xludf.DUMMYFUNCTION("QUERY('Volunteer Survey'!R360)"),"Yes- I am willing to volunteer with any available ClinGen group")</f>
        <v>Yes- I am willing to volunteer with any available ClinGen group</v>
      </c>
      <c r="Y351" s="53"/>
      <c r="Z351" s="55"/>
      <c r="AA351" s="55"/>
      <c r="AB351" s="55"/>
      <c r="AC351" s="55"/>
      <c r="AD351" s="55"/>
      <c r="AE351" s="55"/>
      <c r="AF351" s="55"/>
      <c r="AG351" s="55"/>
      <c r="AH351" s="55"/>
      <c r="AI351" s="55"/>
      <c r="AJ351" s="55"/>
      <c r="AK351" s="55"/>
      <c r="AL351" s="55"/>
      <c r="AM351" s="55"/>
      <c r="AN351" s="55"/>
      <c r="AO351" s="55"/>
    </row>
    <row r="352">
      <c r="A352" s="50">
        <f>IFERROR(__xludf.DUMMYFUNCTION("QUERY('Volunteer Survey'!A361)"),43789.37928430555)</f>
        <v>43789.37928</v>
      </c>
      <c r="B352" s="48" t="s">
        <v>108</v>
      </c>
      <c r="C352" s="79">
        <v>43819.0</v>
      </c>
      <c r="D352" s="55"/>
      <c r="E352" s="55"/>
      <c r="F352" s="48" t="s">
        <v>130</v>
      </c>
      <c r="G352" s="48" t="s">
        <v>251</v>
      </c>
      <c r="H352" s="53"/>
      <c r="I352" s="53"/>
      <c r="J352" s="55"/>
      <c r="K352" s="55"/>
      <c r="L352" s="55" t="str">
        <f>IFERROR(__xludf.DUMMYFUNCTION("QUERY('Volunteer Survey'!B361)"),"Shawn Gessay")</f>
        <v>Shawn Gessay</v>
      </c>
      <c r="M352" s="55" t="str">
        <f>IFERROR(__xludf.DUMMYFUNCTION("QUERY('Volunteer Survey'!E361)"),"gessays75@gmail.com")</f>
        <v>gessays75@gmail.com</v>
      </c>
      <c r="N352" s="55" t="str">
        <f>IFERROR(__xludf.DUMMYFUNCTION("QUERY('Volunteer Survey'!F361)"),"Genetic counselor")</f>
        <v>Genetic counselor</v>
      </c>
      <c r="O352" s="48" t="str">
        <f>IFERROR(__xludf.DUMMYFUNCTION("QUERY('Volunteer Survey'!H361)"),"Comprehensive")</f>
        <v>Comprehensive</v>
      </c>
      <c r="P352" s="55" t="str">
        <f>IFERROR(__xludf.DUMMYFUNCTION("QUERY('Volunteer Survey'!I361)"),"Variant Pathogenicity")</f>
        <v>Variant Pathogenicity</v>
      </c>
      <c r="Q352" s="60" t="str">
        <f>IFERROR(__xludf.DUMMYFUNCTION("QUERY('Volunteer Survey'!J361)"),"Clinical Actionability")</f>
        <v>Clinical Actionability</v>
      </c>
      <c r="R352" s="55" t="str">
        <f>IFERROR(__xludf.DUMMYFUNCTION("QUERY('Volunteer Survey'!K361)"),"Gene-Disease Validity")</f>
        <v>Gene-Disease Validity</v>
      </c>
      <c r="S352" s="55" t="str">
        <f>IFERROR(__xludf.DUMMYFUNCTION("QUERY('Volunteer Survey'!L361)"),"Dosage Sensitivity")</f>
        <v>Dosage Sensitivity</v>
      </c>
      <c r="T352" s="55" t="str">
        <f>IFERROR(__xludf.DUMMYFUNCTION("QUERY('Volunteer Survey'!M361)"),"Somatic Cancer")</f>
        <v>Somatic Cancer</v>
      </c>
      <c r="U352" s="64" t="str">
        <f>IFERROR(__xludf.DUMMYFUNCTION("QUERY('Volunteer Survey'!N361)"),"No ")</f>
        <v>No </v>
      </c>
      <c r="V352" s="55" t="str">
        <f>IFERROR(__xludf.DUMMYFUNCTION("QUERY('Volunteer Survey'!O361)"),"Yes")</f>
        <v>Yes</v>
      </c>
      <c r="W352" s="66" t="str">
        <f>IFERROR(__xludf.DUMMYFUNCTION("QUERY('Volunteer Survey'!P361)"),"RASopathy")</f>
        <v>RASopathy</v>
      </c>
      <c r="X352" s="64" t="str">
        <f>IFERROR(__xludf.DUMMYFUNCTION("QUERY('Volunteer Survey'!R361)"),"Yes- I am willing to volunteer with any available ClinGen group")</f>
        <v>Yes- I am willing to volunteer with any available ClinGen group</v>
      </c>
      <c r="Y352" s="53"/>
      <c r="Z352" s="55"/>
      <c r="AA352" s="55"/>
      <c r="AB352" s="55"/>
      <c r="AC352" s="55"/>
      <c r="AD352" s="55"/>
      <c r="AE352" s="55"/>
      <c r="AF352" s="55"/>
      <c r="AG352" s="55"/>
      <c r="AH352" s="55"/>
      <c r="AI352" s="55"/>
      <c r="AJ352" s="55"/>
      <c r="AK352" s="55"/>
      <c r="AL352" s="55"/>
      <c r="AM352" s="55"/>
      <c r="AN352" s="55"/>
      <c r="AO352" s="55"/>
    </row>
    <row r="353">
      <c r="A353" s="50">
        <f>IFERROR(__xludf.DUMMYFUNCTION("QUERY('Volunteer Survey'!A362)"),43789.561137233795)</f>
        <v>43789.56114</v>
      </c>
      <c r="B353" s="48" t="s">
        <v>108</v>
      </c>
      <c r="C353" s="79">
        <v>43819.0</v>
      </c>
      <c r="D353" s="55"/>
      <c r="E353" s="55"/>
      <c r="F353" s="48" t="s">
        <v>130</v>
      </c>
      <c r="G353" s="48" t="s">
        <v>251</v>
      </c>
      <c r="H353" s="53"/>
      <c r="I353" s="53"/>
      <c r="J353" s="55"/>
      <c r="K353" s="55"/>
      <c r="L353" s="55" t="str">
        <f>IFERROR(__xludf.DUMMYFUNCTION("QUERY('Volunteer Survey'!B362)"),"Angela Hoang")</f>
        <v>Angela Hoang</v>
      </c>
      <c r="M353" s="55" t="str">
        <f>IFERROR(__xludf.DUMMYFUNCTION("QUERY('Volunteer Survey'!E362)"),"ahoang18@students.kgi.edu")</f>
        <v>ahoang18@students.kgi.edu</v>
      </c>
      <c r="N353" s="55" t="str">
        <f>IFERROR(__xludf.DUMMYFUNCTION("QUERY('Volunteer Survey'!F362)"),"Graduate Student")</f>
        <v>Graduate Student</v>
      </c>
      <c r="O353" s="48" t="str">
        <f>IFERROR(__xludf.DUMMYFUNCTION("QUERY('Volunteer Survey'!H362)"),"Comprehensive")</f>
        <v>Comprehensive</v>
      </c>
      <c r="P353" s="55" t="str">
        <f>IFERROR(__xludf.DUMMYFUNCTION("QUERY('Volunteer Survey'!I362)"),"Variant Pathogenicity")</f>
        <v>Variant Pathogenicity</v>
      </c>
      <c r="Q353" s="60" t="str">
        <f>IFERROR(__xludf.DUMMYFUNCTION("QUERY('Volunteer Survey'!J362)"),"Gene-Disease Validity")</f>
        <v>Gene-Disease Validity</v>
      </c>
      <c r="R353" s="55" t="str">
        <f>IFERROR(__xludf.DUMMYFUNCTION("QUERY('Volunteer Survey'!K362)"),"Clinical Actionability")</f>
        <v>Clinical Actionability</v>
      </c>
      <c r="S353" s="55" t="str">
        <f>IFERROR(__xludf.DUMMYFUNCTION("QUERY('Volunteer Survey'!L362)"),"")</f>
        <v/>
      </c>
      <c r="T353" s="55" t="str">
        <f>IFERROR(__xludf.DUMMYFUNCTION("QUERY('Volunteer Survey'!M362)"),"")</f>
        <v/>
      </c>
      <c r="U353" s="64" t="str">
        <f>IFERROR(__xludf.DUMMYFUNCTION("QUERY('Volunteer Survey'!N362)"),"Yes, I have educational experience with variant classification and gene-disease association. ")</f>
        <v>Yes, I have educational experience with variant classification and gene-disease association. </v>
      </c>
      <c r="V353" s="55" t="str">
        <f>IFERROR(__xludf.DUMMYFUNCTION("QUERY('Volunteer Survey'!O362)"),"Possibly")</f>
        <v>Possibly</v>
      </c>
      <c r="W353" s="66" t="str">
        <f>IFERROR(__xludf.DUMMYFUNCTION("QUERY('Volunteer Survey'!P362)"),"N/A")</f>
        <v>N/A</v>
      </c>
      <c r="X353" s="64" t="str">
        <f>IFERROR(__xludf.DUMMYFUNCTION("QUERY('Volunteer Survey'!R362)"),"Yes- I am willing to volunteer with any available ClinGen group")</f>
        <v>Yes- I am willing to volunteer with any available ClinGen group</v>
      </c>
      <c r="Y353" s="53"/>
      <c r="Z353" s="55"/>
      <c r="AA353" s="55"/>
      <c r="AB353" s="55"/>
      <c r="AC353" s="55"/>
      <c r="AD353" s="55"/>
      <c r="AE353" s="55"/>
      <c r="AF353" s="55"/>
      <c r="AG353" s="55"/>
      <c r="AH353" s="55"/>
      <c r="AI353" s="55"/>
      <c r="AJ353" s="55"/>
      <c r="AK353" s="55"/>
      <c r="AL353" s="55"/>
      <c r="AM353" s="55"/>
      <c r="AN353" s="55"/>
      <c r="AO353" s="55"/>
    </row>
    <row r="354">
      <c r="A354" s="50">
        <f>IFERROR(__xludf.DUMMYFUNCTION("QUERY('Volunteer Survey'!A363)"),43790.71008880787)</f>
        <v>43790.71009</v>
      </c>
      <c r="B354" s="48" t="s">
        <v>108</v>
      </c>
      <c r="C354" s="79">
        <v>43819.0</v>
      </c>
      <c r="D354" s="55"/>
      <c r="E354" s="55"/>
      <c r="F354" s="48" t="s">
        <v>130</v>
      </c>
      <c r="G354" s="48" t="s">
        <v>251</v>
      </c>
      <c r="H354" s="53"/>
      <c r="I354" s="53"/>
      <c r="J354" s="55"/>
      <c r="K354" s="55"/>
      <c r="L354" s="55" t="str">
        <f>IFERROR(__xludf.DUMMYFUNCTION("QUERY('Volunteer Survey'!B363)"),"Poornima Vijayan")</f>
        <v>Poornima Vijayan</v>
      </c>
      <c r="M354" s="55" t="str">
        <f>IFERROR(__xludf.DUMMYFUNCTION("QUERY('Volunteer Survey'!E363)"),"poornima2785@gmail.com")</f>
        <v>poornima2785@gmail.com</v>
      </c>
      <c r="N354" s="55" t="str">
        <f>IFERROR(__xludf.DUMMYFUNCTION("QUERY('Volunteer Survey'!F363)"),"Graduate Student")</f>
        <v>Graduate Student</v>
      </c>
      <c r="O354" s="48" t="str">
        <f>IFERROR(__xludf.DUMMYFUNCTION("QUERY('Volunteer Survey'!H363)"),"Comprehensive")</f>
        <v>Comprehensive</v>
      </c>
      <c r="P354" s="55" t="str">
        <f>IFERROR(__xludf.DUMMYFUNCTION("QUERY('Volunteer Survey'!I363)"),"Variant Pathogenicity")</f>
        <v>Variant Pathogenicity</v>
      </c>
      <c r="Q354" s="60" t="str">
        <f>IFERROR(__xludf.DUMMYFUNCTION("QUERY('Volunteer Survey'!J363)"),"Clinical Actionability")</f>
        <v>Clinical Actionability</v>
      </c>
      <c r="R354" s="55" t="str">
        <f>IFERROR(__xludf.DUMMYFUNCTION("QUERY('Volunteer Survey'!K363)"),"Gene-Disease Validity")</f>
        <v>Gene-Disease Validity</v>
      </c>
      <c r="S354" s="55" t="str">
        <f>IFERROR(__xludf.DUMMYFUNCTION("QUERY('Volunteer Survey'!L363)"),"Somatic Cancer")</f>
        <v>Somatic Cancer</v>
      </c>
      <c r="T354" s="55" t="str">
        <f>IFERROR(__xludf.DUMMYFUNCTION("QUERY('Volunteer Survey'!M363)"),"Dosage Sensitivity")</f>
        <v>Dosage Sensitivity</v>
      </c>
      <c r="U354" s="64" t="str">
        <f>IFERROR(__xludf.DUMMYFUNCTION("QUERY('Volunteer Survey'!N363)"),"I am a student of medical genomics")</f>
        <v>I am a student of medical genomics</v>
      </c>
      <c r="V354" s="55" t="str">
        <f>IFERROR(__xludf.DUMMYFUNCTION("QUERY('Volunteer Survey'!O363)"),"Yes")</f>
        <v>Yes</v>
      </c>
      <c r="W354" s="66" t="str">
        <f>IFERROR(__xludf.DUMMYFUNCTION("QUERY('Volunteer Survey'!P363)"),"")</f>
        <v/>
      </c>
      <c r="X354" s="64" t="str">
        <f>IFERROR(__xludf.DUMMYFUNCTION("QUERY('Volunteer Survey'!R363)"),"Yes- I am willing to volunteer with any available ClinGen group")</f>
        <v>Yes- I am willing to volunteer with any available ClinGen group</v>
      </c>
      <c r="Y354" s="53"/>
      <c r="Z354" s="55"/>
      <c r="AA354" s="55"/>
      <c r="AB354" s="55"/>
      <c r="AC354" s="55"/>
      <c r="AD354" s="55"/>
      <c r="AE354" s="55"/>
      <c r="AF354" s="55"/>
      <c r="AG354" s="55"/>
      <c r="AH354" s="55"/>
      <c r="AI354" s="55"/>
      <c r="AJ354" s="55"/>
      <c r="AK354" s="55"/>
      <c r="AL354" s="55"/>
      <c r="AM354" s="55"/>
      <c r="AN354" s="55"/>
      <c r="AO354" s="55"/>
    </row>
    <row r="355">
      <c r="A355" s="50">
        <f>IFERROR(__xludf.DUMMYFUNCTION("QUERY('Volunteer Survey'!A364)"),43794.31350851851)</f>
        <v>43794.31351</v>
      </c>
      <c r="B355" s="48" t="s">
        <v>108</v>
      </c>
      <c r="C355" s="79">
        <v>43819.0</v>
      </c>
      <c r="D355" s="73">
        <v>43846.0</v>
      </c>
      <c r="E355" s="48" t="s">
        <v>117</v>
      </c>
      <c r="F355" s="48" t="s">
        <v>130</v>
      </c>
      <c r="G355" s="48" t="s">
        <v>122</v>
      </c>
      <c r="H355" s="53"/>
      <c r="I355" s="51" t="s">
        <v>299</v>
      </c>
      <c r="J355" s="55"/>
      <c r="K355" s="55"/>
      <c r="L355" s="55" t="str">
        <f>IFERROR(__xludf.DUMMYFUNCTION("QUERY('Volunteer Survey'!B364)"),"Adriana Bastos Carvalho")</f>
        <v>Adriana Bastos Carvalho</v>
      </c>
      <c r="M355" s="55" t="str">
        <f>IFERROR(__xludf.DUMMYFUNCTION("QUERY('Volunteer Survey'!E364)"),"carvalhoab@biof.ufrj.br")</f>
        <v>carvalhoab@biof.ufrj.br</v>
      </c>
      <c r="N355" s="55" t="str">
        <f>IFERROR(__xludf.DUMMYFUNCTION("QUERY('Volunteer Survey'!F364)"),"Scientific Researcher")</f>
        <v>Scientific Researcher</v>
      </c>
      <c r="O355" s="48" t="str">
        <f>IFERROR(__xludf.DUMMYFUNCTION("QUERY('Volunteer Survey'!H364)"),"Comprehensive")</f>
        <v>Comprehensive</v>
      </c>
      <c r="P355" s="55" t="str">
        <f>IFERROR(__xludf.DUMMYFUNCTION("QUERY('Volunteer Survey'!I364)"),"Gene-Disease Validity")</f>
        <v>Gene-Disease Validity</v>
      </c>
      <c r="Q355" s="60" t="str">
        <f>IFERROR(__xludf.DUMMYFUNCTION("QUERY('Volunteer Survey'!J364)"),"Variant Pathogenicity")</f>
        <v>Variant Pathogenicity</v>
      </c>
      <c r="R355" s="55" t="str">
        <f>IFERROR(__xludf.DUMMYFUNCTION("QUERY('Volunteer Survey'!K364)"),"Clinical Actionability")</f>
        <v>Clinical Actionability</v>
      </c>
      <c r="S355" s="55" t="str">
        <f>IFERROR(__xludf.DUMMYFUNCTION("QUERY('Volunteer Survey'!L364)"),"Dosage Sensitivity")</f>
        <v>Dosage Sensitivity</v>
      </c>
      <c r="T355" s="55" t="str">
        <f>IFERROR(__xludf.DUMMYFUNCTION("QUERY('Volunteer Survey'!M364)"),"Somatic Cancer")</f>
        <v>Somatic Cancer</v>
      </c>
      <c r="U355" s="64" t="str">
        <f>IFERROR(__xludf.DUMMYFUNCTION("QUERY('Volunteer Survey'!N364)"),"No. Although I have never worked in curation activities, I work with in vitro models to investigate variant pathogenicity.")</f>
        <v>No. Although I have never worked in curation activities, I work with in vitro models to investigate variant pathogenicity.</v>
      </c>
      <c r="V355" s="55" t="str">
        <f>IFERROR(__xludf.DUMMYFUNCTION("QUERY('Volunteer Survey'!O364)"),"Yes")</f>
        <v>Yes</v>
      </c>
      <c r="W355" s="66" t="str">
        <f>IFERROR(__xludf.DUMMYFUNCTION("QUERY('Volunteer Survey'!P364)"),"Cardiomyopathy Variant Curation Expert Panel")</f>
        <v>Cardiomyopathy Variant Curation Expert Panel</v>
      </c>
      <c r="X355" s="64" t="str">
        <f>IFERROR(__xludf.DUMMYFUNCTION("QUERY('Volunteer Survey'!R364)"),"Yes- I am willing to volunteer with any available ClinGen group")</f>
        <v>Yes- I am willing to volunteer with any available ClinGen group</v>
      </c>
      <c r="Y355" s="53"/>
      <c r="Z355" s="55"/>
      <c r="AA355" s="55"/>
      <c r="AB355" s="55"/>
      <c r="AC355" s="55"/>
      <c r="AD355" s="55"/>
      <c r="AE355" s="55"/>
      <c r="AF355" s="55"/>
      <c r="AG355" s="55"/>
      <c r="AH355" s="55"/>
      <c r="AI355" s="55"/>
      <c r="AJ355" s="55"/>
      <c r="AK355" s="55"/>
      <c r="AL355" s="55"/>
      <c r="AM355" s="55"/>
      <c r="AN355" s="55"/>
      <c r="AO355" s="55"/>
    </row>
    <row r="356">
      <c r="A356" s="50">
        <f>IFERROR(__xludf.DUMMYFUNCTION("QUERY('Volunteer Survey'!A365)"),43795.466076805555)</f>
        <v>43795.46608</v>
      </c>
      <c r="B356" s="48" t="s">
        <v>108</v>
      </c>
      <c r="C356" s="79">
        <v>43819.0</v>
      </c>
      <c r="D356" s="55"/>
      <c r="E356" s="55"/>
      <c r="F356" s="48" t="s">
        <v>130</v>
      </c>
      <c r="G356" s="48" t="s">
        <v>122</v>
      </c>
      <c r="H356" s="53"/>
      <c r="I356" s="53"/>
      <c r="J356" s="55"/>
      <c r="K356" s="55"/>
      <c r="L356" s="55" t="str">
        <f>IFERROR(__xludf.DUMMYFUNCTION("QUERY('Volunteer Survey'!B365)"),"Megan Puckelwartz")</f>
        <v>Megan Puckelwartz</v>
      </c>
      <c r="M356" s="55" t="str">
        <f>IFERROR(__xludf.DUMMYFUNCTION("QUERY('Volunteer Survey'!E365)"),"m.puckelwartz@northwestern.edu")</f>
        <v>m.puckelwartz@northwestern.edu</v>
      </c>
      <c r="N356" s="55" t="str">
        <f>IFERROR(__xludf.DUMMYFUNCTION("QUERY('Volunteer Survey'!F365)"),"Scientific Researcher")</f>
        <v>Scientific Researcher</v>
      </c>
      <c r="O356" s="48" t="str">
        <f>IFERROR(__xludf.DUMMYFUNCTION("QUERY('Volunteer Survey'!H365)"),"Comprehensive")</f>
        <v>Comprehensive</v>
      </c>
      <c r="P356" s="55" t="str">
        <f>IFERROR(__xludf.DUMMYFUNCTION("QUERY('Volunteer Survey'!I365)"),"Gene-Disease Validity")</f>
        <v>Gene-Disease Validity</v>
      </c>
      <c r="Q356" s="60" t="str">
        <f>IFERROR(__xludf.DUMMYFUNCTION("QUERY('Volunteer Survey'!J365)"),"Variant Pathogenicity")</f>
        <v>Variant Pathogenicity</v>
      </c>
      <c r="R356" s="55" t="str">
        <f>IFERROR(__xludf.DUMMYFUNCTION("QUERY('Volunteer Survey'!K365)"),"Clinical Actionability")</f>
        <v>Clinical Actionability</v>
      </c>
      <c r="S356" s="55" t="str">
        <f>IFERROR(__xludf.DUMMYFUNCTION("QUERY('Volunteer Survey'!L365)"),"Dosage Sensitivity")</f>
        <v>Dosage Sensitivity</v>
      </c>
      <c r="T356" s="55" t="str">
        <f>IFERROR(__xludf.DUMMYFUNCTION("QUERY('Volunteer Survey'!M365)"),"")</f>
        <v/>
      </c>
      <c r="U356" s="64" t="str">
        <f>IFERROR(__xludf.DUMMYFUNCTION("QUERY('Volunteer Survey'!N365)"),"I perform molecular autopsy using whole genome sequencing on sudden death subjects.  I also curate variants for cardiomyopathy subjects for research purposes.")</f>
        <v>I perform molecular autopsy using whole genome sequencing on sudden death subjects.  I also curate variants for cardiomyopathy subjects for research purposes.</v>
      </c>
      <c r="V356" s="55" t="str">
        <f>IFERROR(__xludf.DUMMYFUNCTION("QUERY('Volunteer Survey'!O365)"),"Yes")</f>
        <v>Yes</v>
      </c>
      <c r="W356" s="66" t="str">
        <f>IFERROR(__xludf.DUMMYFUNCTION("QUERY('Volunteer Survey'!P365)"),"cardiomyopathy")</f>
        <v>cardiomyopathy</v>
      </c>
      <c r="X356" s="64" t="str">
        <f>IFERROR(__xludf.DUMMYFUNCTION("QUERY('Volunteer Survey'!R365)"),"Maybe -- please contact me with other options, and I will decide based on what is available")</f>
        <v>Maybe -- please contact me with other options, and I will decide based on what is available</v>
      </c>
      <c r="Y356" s="53"/>
      <c r="Z356" s="55"/>
      <c r="AA356" s="55"/>
      <c r="AB356" s="55"/>
      <c r="AC356" s="55"/>
      <c r="AD356" s="55"/>
      <c r="AE356" s="55"/>
      <c r="AF356" s="55"/>
      <c r="AG356" s="55"/>
      <c r="AH356" s="55"/>
      <c r="AI356" s="55"/>
      <c r="AJ356" s="55"/>
      <c r="AK356" s="55"/>
      <c r="AL356" s="55"/>
      <c r="AM356" s="55"/>
      <c r="AN356" s="55"/>
      <c r="AO356" s="55"/>
    </row>
    <row r="357">
      <c r="A357" s="50">
        <f>IFERROR(__xludf.DUMMYFUNCTION("QUERY('Volunteer Survey'!A366)"),43796.31597033565)</f>
        <v>43796.31597</v>
      </c>
      <c r="B357" s="48" t="s">
        <v>322</v>
      </c>
      <c r="C357" s="53"/>
      <c r="D357" s="55"/>
      <c r="E357" s="55"/>
      <c r="F357" s="48" t="s">
        <v>130</v>
      </c>
      <c r="G357" s="48" t="s">
        <v>136</v>
      </c>
      <c r="H357" s="53"/>
      <c r="I357" s="53"/>
      <c r="J357" s="55"/>
      <c r="K357" s="55"/>
      <c r="L357" s="55" t="str">
        <f>IFERROR(__xludf.DUMMYFUNCTION("QUERY('Volunteer Survey'!B366)"),"Nicole Hinceman")</f>
        <v>Nicole Hinceman</v>
      </c>
      <c r="M357" s="55" t="str">
        <f>IFERROR(__xludf.DUMMYFUNCTION("QUERY('Volunteer Survey'!E366)"),"nhinceman@genedx.com")</f>
        <v>nhinceman@genedx.com</v>
      </c>
      <c r="N357" s="55" t="str">
        <f>IFERROR(__xludf.DUMMYFUNCTION("QUERY('Volunteer Survey'!F366)"),"Prospective Genetic Counseling Student &amp; Variant Analyst (currently a Genetic Counseling Assistant)")</f>
        <v>Prospective Genetic Counseling Student &amp; Variant Analyst (currently a Genetic Counseling Assistant)</v>
      </c>
      <c r="O357" s="48" t="str">
        <f>IFERROR(__xludf.DUMMYFUNCTION("QUERY('Volunteer Survey'!H366)"),"Comprehensive")</f>
        <v>Comprehensive</v>
      </c>
      <c r="P357" s="55" t="str">
        <f>IFERROR(__xludf.DUMMYFUNCTION("QUERY('Volunteer Survey'!I366)"),"Somatic Cancer")</f>
        <v>Somatic Cancer</v>
      </c>
      <c r="Q357" s="60" t="str">
        <f>IFERROR(__xludf.DUMMYFUNCTION("QUERY('Volunteer Survey'!J366)"),"Gene-Disease Validity")</f>
        <v>Gene-Disease Validity</v>
      </c>
      <c r="R357" s="55" t="str">
        <f>IFERROR(__xludf.DUMMYFUNCTION("QUERY('Volunteer Survey'!K366)"),"Clinical Actionability")</f>
        <v>Clinical Actionability</v>
      </c>
      <c r="S357" s="55" t="str">
        <f>IFERROR(__xludf.DUMMYFUNCTION("QUERY('Volunteer Survey'!L366)"),"Variant Pathogenicity")</f>
        <v>Variant Pathogenicity</v>
      </c>
      <c r="T357" s="55" t="str">
        <f>IFERROR(__xludf.DUMMYFUNCTION("QUERY('Volunteer Survey'!M366)"),"Dosage Sensitivity")</f>
        <v>Dosage Sensitivity</v>
      </c>
      <c r="U357" s="64" t="str">
        <f>IFERROR(__xludf.DUMMYFUNCTION("QUERY('Volunteer Survey'!N366)"),"PhD in Molecular Biology, specifically developing mouse models of cancer, working in cancer clinical trials at the Institute of Cancer Research in London, UK")</f>
        <v>PhD in Molecular Biology, specifically developing mouse models of cancer, working in cancer clinical trials at the Institute of Cancer Research in London, UK</v>
      </c>
      <c r="V357" s="55" t="str">
        <f>IFERROR(__xludf.DUMMYFUNCTION("QUERY('Volunteer Survey'!O366)"),"Possibly")</f>
        <v>Possibly</v>
      </c>
      <c r="W357" s="66" t="str">
        <f>IFERROR(__xludf.DUMMYFUNCTION("QUERY('Volunteer Survey'!P366)"),"Pediatric Somatic Cancer Working Group")</f>
        <v>Pediatric Somatic Cancer Working Group</v>
      </c>
      <c r="X357" s="64" t="str">
        <f>IFERROR(__xludf.DUMMYFUNCTION("QUERY('Volunteer Survey'!R366)"),"Yes- I am willing to volunteer with any available ClinGen group")</f>
        <v>Yes- I am willing to volunteer with any available ClinGen group</v>
      </c>
      <c r="Y357" s="53"/>
      <c r="Z357" s="55"/>
      <c r="AA357" s="55"/>
      <c r="AB357" s="55"/>
      <c r="AC357" s="55"/>
      <c r="AD357" s="55"/>
      <c r="AE357" s="55"/>
      <c r="AF357" s="55"/>
      <c r="AG357" s="55"/>
      <c r="AH357" s="55"/>
      <c r="AI357" s="55"/>
      <c r="AJ357" s="55"/>
      <c r="AK357" s="55"/>
      <c r="AL357" s="55"/>
      <c r="AM357" s="55"/>
      <c r="AN357" s="55"/>
      <c r="AO357" s="55"/>
    </row>
    <row r="358">
      <c r="A358" s="50">
        <f>IFERROR(__xludf.DUMMYFUNCTION("QUERY('Volunteer Survey'!A367)"),43796.448630798615)</f>
        <v>43796.44863</v>
      </c>
      <c r="B358" s="48" t="s">
        <v>322</v>
      </c>
      <c r="C358" s="53"/>
      <c r="D358" s="55"/>
      <c r="E358" s="55"/>
      <c r="F358" s="48" t="s">
        <v>130</v>
      </c>
      <c r="G358" s="48" t="s">
        <v>313</v>
      </c>
      <c r="H358" s="53"/>
      <c r="I358" s="53"/>
      <c r="J358" s="55"/>
      <c r="K358" s="55"/>
      <c r="L358" s="55" t="str">
        <f>IFERROR(__xludf.DUMMYFUNCTION("QUERY('Volunteer Survey'!B367)"),"Ekaterini Iordanou")</f>
        <v>Ekaterini Iordanou</v>
      </c>
      <c r="M358" s="55" t="str">
        <f>IFERROR(__xludf.DUMMYFUNCTION("QUERY('Volunteer Survey'!E367)"),"iordanoue@childrensdayton.org")</f>
        <v>iordanoue@childrensdayton.org</v>
      </c>
      <c r="N358" s="55" t="str">
        <f>IFERROR(__xludf.DUMMYFUNCTION("QUERY('Volunteer Survey'!F367)"),"Clinical laboratory geneticist")</f>
        <v>Clinical laboratory geneticist</v>
      </c>
      <c r="O358" s="48" t="str">
        <f>IFERROR(__xludf.DUMMYFUNCTION("QUERY('Volunteer Survey'!H367)"),"Comprehensive")</f>
        <v>Comprehensive</v>
      </c>
      <c r="P358" s="55" t="str">
        <f>IFERROR(__xludf.DUMMYFUNCTION("QUERY('Volunteer Survey'!I367)"),"Dosage Sensitivity")</f>
        <v>Dosage Sensitivity</v>
      </c>
      <c r="Q358" s="60" t="str">
        <f>IFERROR(__xludf.DUMMYFUNCTION("QUERY('Volunteer Survey'!J367)"),"Variant Pathogenicity")</f>
        <v>Variant Pathogenicity</v>
      </c>
      <c r="R358" s="55" t="str">
        <f>IFERROR(__xludf.DUMMYFUNCTION("QUERY('Volunteer Survey'!K367)"),"")</f>
        <v/>
      </c>
      <c r="S358" s="55" t="str">
        <f>IFERROR(__xludf.DUMMYFUNCTION("QUERY('Volunteer Survey'!L367)"),"")</f>
        <v/>
      </c>
      <c r="T358" s="55" t="str">
        <f>IFERROR(__xludf.DUMMYFUNCTION("QUERY('Volunteer Survey'!M367)"),"")</f>
        <v/>
      </c>
      <c r="U358" s="64" t="str">
        <f>IFERROR(__xludf.DUMMYFUNCTION("QUERY('Volunteer Survey'!N367)"),"")</f>
        <v/>
      </c>
      <c r="V358" s="55" t="str">
        <f>IFERROR(__xludf.DUMMYFUNCTION("QUERY('Volunteer Survey'!O367)"),"Possibly")</f>
        <v>Possibly</v>
      </c>
      <c r="W358" s="66" t="str">
        <f>IFERROR(__xludf.DUMMYFUNCTION("QUERY('Volunteer Survey'!P367)"),"")</f>
        <v/>
      </c>
      <c r="X358" s="64" t="str">
        <f>IFERROR(__xludf.DUMMYFUNCTION("QUERY('Volunteer Survey'!R367)"),"Maybe -- please contact me with other options, and I will decide based on what is available")</f>
        <v>Maybe -- please contact me with other options, and I will decide based on what is available</v>
      </c>
      <c r="Y358" s="53"/>
      <c r="Z358" s="55"/>
      <c r="AA358" s="55"/>
      <c r="AB358" s="55"/>
      <c r="AC358" s="55"/>
      <c r="AD358" s="55"/>
      <c r="AE358" s="55"/>
      <c r="AF358" s="55"/>
      <c r="AG358" s="55"/>
      <c r="AH358" s="55"/>
      <c r="AI358" s="55"/>
      <c r="AJ358" s="55"/>
      <c r="AK358" s="55"/>
      <c r="AL358" s="55"/>
      <c r="AM358" s="55"/>
      <c r="AN358" s="55"/>
      <c r="AO358" s="55"/>
    </row>
    <row r="359">
      <c r="A359" s="50">
        <f>IFERROR(__xludf.DUMMYFUNCTION("QUERY('Volunteer Survey'!A368)"),43803.37856755788)</f>
        <v>43803.37857</v>
      </c>
      <c r="B359" s="48" t="s">
        <v>108</v>
      </c>
      <c r="C359" s="53"/>
      <c r="D359" s="55"/>
      <c r="E359" s="55"/>
      <c r="F359" s="48" t="s">
        <v>130</v>
      </c>
      <c r="G359" s="48" t="s">
        <v>19</v>
      </c>
      <c r="H359" s="53"/>
      <c r="I359" s="53"/>
      <c r="J359" s="55"/>
      <c r="K359" s="55"/>
      <c r="L359" s="55" t="str">
        <f>IFERROR(__xludf.DUMMYFUNCTION("QUERY('Volunteer Survey'!B368)"),"Laurie Connors")</f>
        <v>Laurie Connors</v>
      </c>
      <c r="M359" s="55" t="str">
        <f>IFERROR(__xludf.DUMMYFUNCTION("QUERY('Volunteer Survey'!E368)"),"laurie.m.connors@vanderbilt.edu")</f>
        <v>laurie.m.connors@vanderbilt.edu</v>
      </c>
      <c r="N359" s="55" t="str">
        <f>IFERROR(__xludf.DUMMYFUNCTION("QUERY('Volunteer Survey'!F368)"),"Clinical geneticist, Genetic Nurse Practitioner")</f>
        <v>Clinical geneticist, Genetic Nurse Practitioner</v>
      </c>
      <c r="O359" s="48" t="str">
        <f>IFERROR(__xludf.DUMMYFUNCTION("QUERY('Volunteer Survey'!H368)"),"Comprehensive")</f>
        <v>Comprehensive</v>
      </c>
      <c r="P359" s="55" t="str">
        <f>IFERROR(__xludf.DUMMYFUNCTION("QUERY('Volunteer Survey'!I368)"),"Clinical Actionability")</f>
        <v>Clinical Actionability</v>
      </c>
      <c r="Q359" s="60" t="str">
        <f>IFERROR(__xludf.DUMMYFUNCTION("QUERY('Volunteer Survey'!J368)"),"Variant Pathogenicity")</f>
        <v>Variant Pathogenicity</v>
      </c>
      <c r="R359" s="55" t="str">
        <f>IFERROR(__xludf.DUMMYFUNCTION("QUERY('Volunteer Survey'!K368)"),"Gene-Disease Validity")</f>
        <v>Gene-Disease Validity</v>
      </c>
      <c r="S359" s="55" t="str">
        <f>IFERROR(__xludf.DUMMYFUNCTION("QUERY('Volunteer Survey'!L368)"),"Somatic Cancer")</f>
        <v>Somatic Cancer</v>
      </c>
      <c r="T359" s="55" t="str">
        <f>IFERROR(__xludf.DUMMYFUNCTION("QUERY('Volunteer Survey'!M368)"),"Dosage Sensitivity")</f>
        <v>Dosage Sensitivity</v>
      </c>
      <c r="U359" s="64" t="str">
        <f>IFERROR(__xludf.DUMMYFUNCTION("QUERY('Volunteer Survey'!N368)"),"No")</f>
        <v>No</v>
      </c>
      <c r="V359" s="55" t="str">
        <f>IFERROR(__xludf.DUMMYFUNCTION("QUERY('Volunteer Survey'!O368)"),"Yes")</f>
        <v>Yes</v>
      </c>
      <c r="W359" s="66" t="str">
        <f>IFERROR(__xludf.DUMMYFUNCTION("QUERY('Volunteer Survey'!P368)"),"Hereditary Cancer, PTEN, VHL")</f>
        <v>Hereditary Cancer, PTEN, VHL</v>
      </c>
      <c r="X359" s="64" t="str">
        <f>IFERROR(__xludf.DUMMYFUNCTION("QUERY('Volunteer Survey'!R368)"),"Maybe -- please contact me with other options, and I will decide based on what is available")</f>
        <v>Maybe -- please contact me with other options, and I will decide based on what is available</v>
      </c>
      <c r="Y359" s="53"/>
      <c r="Z359" s="55"/>
      <c r="AA359" s="55"/>
      <c r="AB359" s="55"/>
      <c r="AC359" s="55"/>
      <c r="AD359" s="55"/>
      <c r="AE359" s="55"/>
      <c r="AF359" s="55"/>
      <c r="AG359" s="55"/>
      <c r="AH359" s="55"/>
      <c r="AI359" s="55"/>
      <c r="AJ359" s="55"/>
      <c r="AK359" s="55"/>
      <c r="AL359" s="55"/>
      <c r="AM359" s="55"/>
      <c r="AN359" s="55"/>
      <c r="AO359" s="55"/>
    </row>
    <row r="360">
      <c r="A360" s="50">
        <f>IFERROR(__xludf.DUMMYFUNCTION("QUERY('Volunteer Survey'!A369)"),43809.806702071764)</f>
        <v>43809.8067</v>
      </c>
      <c r="B360" s="48" t="s">
        <v>322</v>
      </c>
      <c r="C360" s="53"/>
      <c r="D360" s="55"/>
      <c r="E360" s="55"/>
      <c r="F360" s="48" t="s">
        <v>130</v>
      </c>
      <c r="G360" s="48" t="s">
        <v>313</v>
      </c>
      <c r="H360" s="53"/>
      <c r="I360" s="53"/>
      <c r="J360" s="55"/>
      <c r="K360" s="55"/>
      <c r="L360" s="55" t="str">
        <f>IFERROR(__xludf.DUMMYFUNCTION("QUERY('Volunteer Survey'!B369)"),"Jian Zhao")</f>
        <v>Jian Zhao</v>
      </c>
      <c r="M360" s="55" t="str">
        <f>IFERROR(__xludf.DUMMYFUNCTION("QUERY('Volunteer Survey'!E369)"),"jian.zhao@aruplab.com")</f>
        <v>jian.zhao@aruplab.com</v>
      </c>
      <c r="N360" s="55" t="str">
        <f>IFERROR(__xludf.DUMMYFUNCTION("QUERY('Volunteer Survey'!F369)"),"Post Doc/Resident/Fellow (MD and/or PhD)")</f>
        <v>Post Doc/Resident/Fellow (MD and/or PhD)</v>
      </c>
      <c r="O360" s="48" t="str">
        <f>IFERROR(__xludf.DUMMYFUNCTION("QUERY('Volunteer Survey'!H369)"),"Baseline")</f>
        <v>Baseline</v>
      </c>
      <c r="P360" s="55" t="str">
        <f>IFERROR(__xludf.DUMMYFUNCTION("QUERY('Volunteer Survey'!I369)"),"Dosage Sensitivity")</f>
        <v>Dosage Sensitivity</v>
      </c>
      <c r="Q360" s="60" t="str">
        <f>IFERROR(__xludf.DUMMYFUNCTION("QUERY('Volunteer Survey'!J369)"),"")</f>
        <v/>
      </c>
      <c r="R360" s="55" t="str">
        <f>IFERROR(__xludf.DUMMYFUNCTION("QUERY('Volunteer Survey'!K369)"),"")</f>
        <v/>
      </c>
      <c r="S360" s="55" t="str">
        <f>IFERROR(__xludf.DUMMYFUNCTION("QUERY('Volunteer Survey'!L369)"),"")</f>
        <v/>
      </c>
      <c r="T360" s="55" t="str">
        <f>IFERROR(__xludf.DUMMYFUNCTION("QUERY('Volunteer Survey'!M369)"),"")</f>
        <v/>
      </c>
      <c r="U360" s="64" t="str">
        <f>IFERROR(__xludf.DUMMYFUNCTION("QUERY('Volunteer Survey'!N369)"),"I was a variant analyst at EGL Genetics before joining ARUP for LGG fellowship")</f>
        <v>I was a variant analyst at EGL Genetics before joining ARUP for LGG fellowship</v>
      </c>
      <c r="V360" s="55" t="str">
        <f>IFERROR(__xludf.DUMMYFUNCTION("QUERY('Volunteer Survey'!O369)"),"Possibly")</f>
        <v>Possibly</v>
      </c>
      <c r="W360" s="66" t="str">
        <f>IFERROR(__xludf.DUMMYFUNCTION("QUERY('Volunteer Survey'!P369)"),"")</f>
        <v/>
      </c>
      <c r="X360" s="64" t="str">
        <f>IFERROR(__xludf.DUMMYFUNCTION("QUERY('Volunteer Survey'!R369)"),"Maybe -- please contact me with other options, and I will decide based on what is available")</f>
        <v>Maybe -- please contact me with other options, and I will decide based on what is available</v>
      </c>
      <c r="Y360" s="53"/>
      <c r="Z360" s="55"/>
      <c r="AA360" s="55"/>
      <c r="AB360" s="55"/>
      <c r="AC360" s="55"/>
      <c r="AD360" s="55"/>
      <c r="AE360" s="55"/>
      <c r="AF360" s="55"/>
      <c r="AG360" s="55"/>
      <c r="AH360" s="55"/>
      <c r="AI360" s="55"/>
      <c r="AJ360" s="55"/>
      <c r="AK360" s="55"/>
      <c r="AL360" s="55"/>
      <c r="AM360" s="55"/>
      <c r="AN360" s="55"/>
      <c r="AO360" s="55"/>
    </row>
    <row r="361">
      <c r="A361" s="50">
        <f>IFERROR(__xludf.DUMMYFUNCTION("QUERY('Volunteer Survey'!A370)"),43810.62789938657)</f>
        <v>43810.6279</v>
      </c>
      <c r="B361" s="48" t="s">
        <v>108</v>
      </c>
      <c r="C361" s="79">
        <v>43819.0</v>
      </c>
      <c r="D361" s="73">
        <v>43846.0</v>
      </c>
      <c r="E361" s="48" t="s">
        <v>117</v>
      </c>
      <c r="F361" s="48" t="s">
        <v>130</v>
      </c>
      <c r="G361" s="48" t="s">
        <v>122</v>
      </c>
      <c r="H361" s="53"/>
      <c r="I361" s="53"/>
      <c r="J361" s="55"/>
      <c r="K361" s="55"/>
      <c r="L361" s="55" t="str">
        <f>IFERROR(__xludf.DUMMYFUNCTION("QUERY('Volunteer Survey'!B370)"),"Tess Levy")</f>
        <v>Tess Levy</v>
      </c>
      <c r="M361" s="55" t="str">
        <f>IFERROR(__xludf.DUMMYFUNCTION("QUERY('Volunteer Survey'!E370)"),"tess.levy@mssm.edu")</f>
        <v>tess.levy@mssm.edu</v>
      </c>
      <c r="N361" s="55" t="str">
        <f>IFERROR(__xludf.DUMMYFUNCTION("QUERY('Volunteer Survey'!F370)"),"Genetic counselor")</f>
        <v>Genetic counselor</v>
      </c>
      <c r="O361" s="48" t="str">
        <f>IFERROR(__xludf.DUMMYFUNCTION("QUERY('Volunteer Survey'!H370)"),"Comprehensive")</f>
        <v>Comprehensive</v>
      </c>
      <c r="P361" s="55" t="str">
        <f>IFERROR(__xludf.DUMMYFUNCTION("QUERY('Volunteer Survey'!I370)"),"Gene-Disease Validity")</f>
        <v>Gene-Disease Validity</v>
      </c>
      <c r="Q361" s="60" t="str">
        <f>IFERROR(__xludf.DUMMYFUNCTION("QUERY('Volunteer Survey'!J370)"),"")</f>
        <v/>
      </c>
      <c r="R361" s="55" t="str">
        <f>IFERROR(__xludf.DUMMYFUNCTION("QUERY('Volunteer Survey'!K370)"),"")</f>
        <v/>
      </c>
      <c r="S361" s="55" t="str">
        <f>IFERROR(__xludf.DUMMYFUNCTION("QUERY('Volunteer Survey'!L370)"),"")</f>
        <v/>
      </c>
      <c r="T361" s="55" t="str">
        <f>IFERROR(__xludf.DUMMYFUNCTION("QUERY('Volunteer Survey'!M370)"),"")</f>
        <v/>
      </c>
      <c r="U361" s="64" t="str">
        <f>IFERROR(__xludf.DUMMYFUNCTION("QUERY('Volunteer Survey'!N370)"),"Interpretation of whole genome sequences for individuals with undiagnosed neurodevelopment disorders ")</f>
        <v>Interpretation of whole genome sequences for individuals with undiagnosed neurodevelopment disorders </v>
      </c>
      <c r="V361" s="55" t="str">
        <f>IFERROR(__xludf.DUMMYFUNCTION("QUERY('Volunteer Survey'!O370)"),"Possibly")</f>
        <v>Possibly</v>
      </c>
      <c r="W361" s="66" t="str">
        <f>IFERROR(__xludf.DUMMYFUNCTION("QUERY('Volunteer Survey'!P370)"),"ASD/ID")</f>
        <v>ASD/ID</v>
      </c>
      <c r="X361" s="64" t="str">
        <f>IFERROR(__xludf.DUMMYFUNCTION("QUERY('Volunteer Survey'!R370)"),"Maybe -- please contact me with other options, and I will decide based on what is available")</f>
        <v>Maybe -- please contact me with other options, and I will decide based on what is available</v>
      </c>
      <c r="Y361" s="53"/>
      <c r="Z361" s="55"/>
      <c r="AA361" s="55"/>
      <c r="AB361" s="55"/>
      <c r="AC361" s="55"/>
      <c r="AD361" s="55"/>
      <c r="AE361" s="55"/>
      <c r="AF361" s="55"/>
      <c r="AG361" s="55"/>
      <c r="AH361" s="55"/>
      <c r="AI361" s="55"/>
      <c r="AJ361" s="55"/>
      <c r="AK361" s="55"/>
      <c r="AL361" s="55"/>
      <c r="AM361" s="55"/>
      <c r="AN361" s="55"/>
      <c r="AO361" s="55"/>
    </row>
    <row r="362">
      <c r="A362" s="50">
        <f>IFERROR(__xludf.DUMMYFUNCTION("QUERY('Volunteer Survey'!A371)"),43811.14995009259)</f>
        <v>43811.14995</v>
      </c>
      <c r="B362" s="48" t="s">
        <v>108</v>
      </c>
      <c r="C362" s="79">
        <v>43819.0</v>
      </c>
      <c r="D362" s="73">
        <v>43846.0</v>
      </c>
      <c r="E362" s="48" t="s">
        <v>117</v>
      </c>
      <c r="F362" s="48" t="s">
        <v>117</v>
      </c>
      <c r="G362" s="48" t="s">
        <v>122</v>
      </c>
      <c r="H362" s="53"/>
      <c r="I362" s="53"/>
      <c r="J362" s="55"/>
      <c r="K362" s="55"/>
      <c r="L362" s="55" t="str">
        <f>IFERROR(__xludf.DUMMYFUNCTION("QUERY('Volunteer Survey'!B371)"),"Xiaoyan Guo ")</f>
        <v>Xiaoyan Guo </v>
      </c>
      <c r="M362" s="55" t="str">
        <f>IFERROR(__xludf.DUMMYFUNCTION("QUERY('Volunteer Survey'!E371)"),"540842557@qq.com")</f>
        <v>540842557@qq.com</v>
      </c>
      <c r="N362" s="55" t="str">
        <f>IFERROR(__xludf.DUMMYFUNCTION("QUERY('Volunteer Survey'!F371)"),"Post Doc/Resident/Fellow (MD and/or PhD)")</f>
        <v>Post Doc/Resident/Fellow (MD and/or PhD)</v>
      </c>
      <c r="O362" s="48" t="str">
        <f>IFERROR(__xludf.DUMMYFUNCTION("QUERY('Volunteer Survey'!H371)"),"Comprehensive")</f>
        <v>Comprehensive</v>
      </c>
      <c r="P362" s="55" t="str">
        <f>IFERROR(__xludf.DUMMYFUNCTION("QUERY('Volunteer Survey'!I371)"),"Gene-Disease Validity")</f>
        <v>Gene-Disease Validity</v>
      </c>
      <c r="Q362" s="60" t="str">
        <f>IFERROR(__xludf.DUMMYFUNCTION("QUERY('Volunteer Survey'!J371)"),"Variant Pathogenicity")</f>
        <v>Variant Pathogenicity</v>
      </c>
      <c r="R362" s="55" t="str">
        <f>IFERROR(__xludf.DUMMYFUNCTION("QUERY('Volunteer Survey'!K371)"),"Dosage Sensitivity")</f>
        <v>Dosage Sensitivity</v>
      </c>
      <c r="S362" s="55" t="str">
        <f>IFERROR(__xludf.DUMMYFUNCTION("QUERY('Volunteer Survey'!L371)"),"Somatic Cancer")</f>
        <v>Somatic Cancer</v>
      </c>
      <c r="T362" s="55" t="str">
        <f>IFERROR(__xludf.DUMMYFUNCTION("QUERY('Volunteer Survey'!M371)"),"Clinical Actionability")</f>
        <v>Clinical Actionability</v>
      </c>
      <c r="U362" s="64" t="str">
        <f>IFERROR(__xludf.DUMMYFUNCTION("QUERY('Volunteer Survey'!N371)"),"")</f>
        <v/>
      </c>
      <c r="V362" s="55" t="str">
        <f>IFERROR(__xludf.DUMMYFUNCTION("QUERY('Volunteer Survey'!O371)"),"Possibly")</f>
        <v>Possibly</v>
      </c>
      <c r="W362" s="66" t="str">
        <f>IFERROR(__xludf.DUMMYFUNCTION("QUERY('Volunteer Survey'!P371)"),"")</f>
        <v/>
      </c>
      <c r="X362" s="64" t="str">
        <f>IFERROR(__xludf.DUMMYFUNCTION("QUERY('Volunteer Survey'!R371)"),"Yes- I am willing to volunteer with any available ClinGen group")</f>
        <v>Yes- I am willing to volunteer with any available ClinGen group</v>
      </c>
      <c r="Y362" s="53"/>
      <c r="Z362" s="55"/>
      <c r="AA362" s="55"/>
      <c r="AB362" s="55"/>
      <c r="AC362" s="55"/>
      <c r="AD362" s="55"/>
      <c r="AE362" s="55"/>
      <c r="AF362" s="55"/>
      <c r="AG362" s="55"/>
      <c r="AH362" s="55"/>
      <c r="AI362" s="55"/>
      <c r="AJ362" s="55"/>
      <c r="AK362" s="55"/>
      <c r="AL362" s="55"/>
      <c r="AM362" s="55"/>
      <c r="AN362" s="55"/>
      <c r="AO362" s="55"/>
    </row>
    <row r="363">
      <c r="A363" s="50">
        <f>IFERROR(__xludf.DUMMYFUNCTION("QUERY('Volunteer Survey'!A372)"),43811.796518055555)</f>
        <v>43811.79652</v>
      </c>
      <c r="B363" s="48" t="s">
        <v>322</v>
      </c>
      <c r="C363" s="53"/>
      <c r="D363" s="55"/>
      <c r="E363" s="55"/>
      <c r="F363" s="48" t="s">
        <v>130</v>
      </c>
      <c r="G363" s="48" t="s">
        <v>313</v>
      </c>
      <c r="H363" s="53"/>
      <c r="I363" s="53"/>
      <c r="J363" s="55"/>
      <c r="K363" s="55"/>
      <c r="L363" s="55" t="str">
        <f>IFERROR(__xludf.DUMMYFUNCTION("QUERY('Volunteer Survey'!B372)"),"Benjamin Clyde")</f>
        <v>Benjamin Clyde</v>
      </c>
      <c r="M363" s="55" t="str">
        <f>IFERROR(__xludf.DUMMYFUNCTION("QUERY('Volunteer Survey'!E372)"),"benjamin.clyde@aruplab.com")</f>
        <v>benjamin.clyde@aruplab.com</v>
      </c>
      <c r="N363" s="55" t="str">
        <f>IFERROR(__xludf.DUMMYFUNCTION("QUERY('Volunteer Survey'!F372)"),"Variant Analyst/Scientist - Industry")</f>
        <v>Variant Analyst/Scientist - Industry</v>
      </c>
      <c r="O363" s="48" t="str">
        <f>IFERROR(__xludf.DUMMYFUNCTION("QUERY('Volunteer Survey'!H372)"),"Comprehensive")</f>
        <v>Comprehensive</v>
      </c>
      <c r="P363" s="55" t="str">
        <f>IFERROR(__xludf.DUMMYFUNCTION("QUERY('Volunteer Survey'!I372)"),"Dosage Sensitivity")</f>
        <v>Dosage Sensitivity</v>
      </c>
      <c r="Q363" s="60" t="str">
        <f>IFERROR(__xludf.DUMMYFUNCTION("QUERY('Volunteer Survey'!J372)"),"Somatic Cancer")</f>
        <v>Somatic Cancer</v>
      </c>
      <c r="R363" s="55" t="str">
        <f>IFERROR(__xludf.DUMMYFUNCTION("QUERY('Volunteer Survey'!K372)"),"")</f>
        <v/>
      </c>
      <c r="S363" s="55" t="str">
        <f>IFERROR(__xludf.DUMMYFUNCTION("QUERY('Volunteer Survey'!L372)"),"")</f>
        <v/>
      </c>
      <c r="T363" s="55" t="str">
        <f>IFERROR(__xludf.DUMMYFUNCTION("QUERY('Volunteer Survey'!M372)"),"")</f>
        <v/>
      </c>
      <c r="U363" s="64" t="str">
        <f>IFERROR(__xludf.DUMMYFUNCTION("QUERY('Volunteer Survey'!N372)"),"")</f>
        <v/>
      </c>
      <c r="V363" s="55" t="str">
        <f>IFERROR(__xludf.DUMMYFUNCTION("QUERY('Volunteer Survey'!O372)"),"")</f>
        <v/>
      </c>
      <c r="W363" s="66" t="str">
        <f>IFERROR(__xludf.DUMMYFUNCTION("QUERY('Volunteer Survey'!P372)"),"Hereditary Cancer Dosage Sensitivity Subgroup")</f>
        <v>Hereditary Cancer Dosage Sensitivity Subgroup</v>
      </c>
      <c r="X363" s="64" t="str">
        <f>IFERROR(__xludf.DUMMYFUNCTION("QUERY('Volunteer Survey'!R372)"),"Maybe -- please contact me with other options, and I will decide based on what is available")</f>
        <v>Maybe -- please contact me with other options, and I will decide based on what is available</v>
      </c>
      <c r="Y363" s="53"/>
      <c r="Z363" s="55"/>
      <c r="AA363" s="55"/>
      <c r="AB363" s="55"/>
      <c r="AC363" s="55"/>
      <c r="AD363" s="55"/>
      <c r="AE363" s="55"/>
      <c r="AF363" s="55"/>
      <c r="AG363" s="55"/>
      <c r="AH363" s="55"/>
      <c r="AI363" s="55"/>
      <c r="AJ363" s="55"/>
      <c r="AK363" s="55"/>
      <c r="AL363" s="55"/>
      <c r="AM363" s="55"/>
      <c r="AN363" s="55"/>
      <c r="AO363" s="55"/>
    </row>
    <row r="364">
      <c r="A364" s="50">
        <f>IFERROR(__xludf.DUMMYFUNCTION("QUERY('Volunteer Survey'!A373)"),43815.79704074074)</f>
        <v>43815.79704</v>
      </c>
      <c r="B364" s="48" t="s">
        <v>322</v>
      </c>
      <c r="C364" s="53"/>
      <c r="D364" s="55"/>
      <c r="E364" s="55"/>
      <c r="F364" s="48" t="s">
        <v>130</v>
      </c>
      <c r="G364" s="48" t="s">
        <v>136</v>
      </c>
      <c r="H364" s="53"/>
      <c r="I364" s="53"/>
      <c r="J364" s="55"/>
      <c r="K364" s="55"/>
      <c r="L364" s="55" t="str">
        <f>IFERROR(__xludf.DUMMYFUNCTION("QUERY('Volunteer Survey'!B373)"),"cynthia chow")</f>
        <v>cynthia chow</v>
      </c>
      <c r="M364" s="55" t="str">
        <f>IFERROR(__xludf.DUMMYFUNCTION("QUERY('Volunteer Survey'!E373)"),"cchow3@bccancer.bc.ca")</f>
        <v>cchow3@bccancer.bc.ca</v>
      </c>
      <c r="N364" s="55" t="str">
        <f>IFERROR(__xludf.DUMMYFUNCTION("QUERY('Volunteer Survey'!F373)"),"Variant Analyst for an In-house Oncopanel and Myeloid Panels")</f>
        <v>Variant Analyst for an In-house Oncopanel and Myeloid Panels</v>
      </c>
      <c r="O364" s="48" t="str">
        <f>IFERROR(__xludf.DUMMYFUNCTION("QUERY('Volunteer Survey'!H373)"),"Comprehensive")</f>
        <v>Comprehensive</v>
      </c>
      <c r="P364" s="55" t="str">
        <f>IFERROR(__xludf.DUMMYFUNCTION("QUERY('Volunteer Survey'!I373)"),"Somatic Cancer")</f>
        <v>Somatic Cancer</v>
      </c>
      <c r="Q364" s="60" t="str">
        <f>IFERROR(__xludf.DUMMYFUNCTION("QUERY('Volunteer Survey'!J373)"),"Clinical Actionability")</f>
        <v>Clinical Actionability</v>
      </c>
      <c r="R364" s="55" t="str">
        <f>IFERROR(__xludf.DUMMYFUNCTION("QUERY('Volunteer Survey'!K373)"),"Variant Pathogenicity")</f>
        <v>Variant Pathogenicity</v>
      </c>
      <c r="S364" s="55" t="str">
        <f>IFERROR(__xludf.DUMMYFUNCTION("QUERY('Volunteer Survey'!L373)"),"Gene-Disease Validity")</f>
        <v>Gene-Disease Validity</v>
      </c>
      <c r="T364" s="55" t="str">
        <f>IFERROR(__xludf.DUMMYFUNCTION("QUERY('Volunteer Survey'!M373)"),"Dosage Sensitivity")</f>
        <v>Dosage Sensitivity</v>
      </c>
      <c r="U364" s="64" t="str">
        <f>IFERROR(__xludf.DUMMYFUNCTION("QUERY('Volunteer Survey'!N373)"),"I have 3 years experience in variant assesment/interpretation for myeloid and oncopanels.  I currently prepare and interpret for the medical staff to use to correlate with other clinical findings.")</f>
        <v>I have 3 years experience in variant assesment/interpretation for myeloid and oncopanels.  I currently prepare and interpret for the medical staff to use to correlate with other clinical findings.</v>
      </c>
      <c r="V364" s="55" t="str">
        <f>IFERROR(__xludf.DUMMYFUNCTION("QUERY('Volunteer Survey'!O373)"),"Yes")</f>
        <v>Yes</v>
      </c>
      <c r="W364" s="66" t="str">
        <f>IFERROR(__xludf.DUMMYFUNCTION("QUERY('Volunteer Survey'!P373)"),"")</f>
        <v/>
      </c>
      <c r="X364" s="64" t="str">
        <f>IFERROR(__xludf.DUMMYFUNCTION("QUERY('Volunteer Survey'!R373)"),"Maybe -- please contact me with other options, and I will decide based on what is available")</f>
        <v>Maybe -- please contact me with other options, and I will decide based on what is available</v>
      </c>
      <c r="Y364" s="53"/>
      <c r="Z364" s="55"/>
      <c r="AA364" s="55"/>
      <c r="AB364" s="55"/>
      <c r="AC364" s="55"/>
      <c r="AD364" s="55"/>
      <c r="AE364" s="55"/>
      <c r="AF364" s="55"/>
      <c r="AG364" s="55"/>
      <c r="AH364" s="55"/>
      <c r="AI364" s="55"/>
      <c r="AJ364" s="55"/>
      <c r="AK364" s="55"/>
      <c r="AL364" s="55"/>
      <c r="AM364" s="55"/>
      <c r="AN364" s="55"/>
      <c r="AO364" s="55"/>
    </row>
    <row r="365">
      <c r="A365" s="50">
        <f>IFERROR(__xludf.DUMMYFUNCTION("QUERY('Volunteer Survey'!A374)"),43817.62045903935)</f>
        <v>43817.62046</v>
      </c>
      <c r="B365" s="48" t="s">
        <v>108</v>
      </c>
      <c r="C365" s="79">
        <v>43819.0</v>
      </c>
      <c r="D365" s="55"/>
      <c r="E365" s="55"/>
      <c r="F365" s="48" t="s">
        <v>130</v>
      </c>
      <c r="G365" s="48" t="s">
        <v>122</v>
      </c>
      <c r="H365" s="53"/>
      <c r="I365" s="53"/>
      <c r="J365" s="55"/>
      <c r="K365" s="55"/>
      <c r="L365" s="55" t="str">
        <f>IFERROR(__xludf.DUMMYFUNCTION("QUERY('Volunteer Survey'!B374)"),"Marco Leung")</f>
        <v>Marco Leung</v>
      </c>
      <c r="M365" s="55" t="str">
        <f>IFERROR(__xludf.DUMMYFUNCTION("QUERY('Volunteer Survey'!E374)"),"marcoleung@me.com")</f>
        <v>marcoleung@me.com</v>
      </c>
      <c r="N365" s="55" t="str">
        <f>IFERROR(__xludf.DUMMYFUNCTION("QUERY('Volunteer Survey'!F374)"),"Clinical laboratory geneticist")</f>
        <v>Clinical laboratory geneticist</v>
      </c>
      <c r="O365" s="48" t="str">
        <f>IFERROR(__xludf.DUMMYFUNCTION("QUERY('Volunteer Survey'!H374)"),"Comprehensive")</f>
        <v>Comprehensive</v>
      </c>
      <c r="P365" s="55" t="str">
        <f>IFERROR(__xludf.DUMMYFUNCTION("QUERY('Volunteer Survey'!I374)"),"Gene-Disease Validity")</f>
        <v>Gene-Disease Validity</v>
      </c>
      <c r="Q365" s="60" t="str">
        <f>IFERROR(__xludf.DUMMYFUNCTION("QUERY('Volunteer Survey'!J374)"),"Variant Pathogenicity")</f>
        <v>Variant Pathogenicity</v>
      </c>
      <c r="R365" s="55" t="str">
        <f>IFERROR(__xludf.DUMMYFUNCTION("QUERY('Volunteer Survey'!K374)"),"Clinical Actionability")</f>
        <v>Clinical Actionability</v>
      </c>
      <c r="S365" s="55" t="str">
        <f>IFERROR(__xludf.DUMMYFUNCTION("QUERY('Volunteer Survey'!L374)"),"Dosage Sensitivity")</f>
        <v>Dosage Sensitivity</v>
      </c>
      <c r="T365" s="55" t="str">
        <f>IFERROR(__xludf.DUMMYFUNCTION("QUERY('Volunteer Survey'!M374)"),"Somatic Cancer")</f>
        <v>Somatic Cancer</v>
      </c>
      <c r="U365" s="64" t="str">
        <f>IFERROR(__xludf.DUMMYFUNCTION("QUERY('Volunteer Survey'!N374)"),"Determining gene-disease validity and variant pathogenicity is my everyday job")</f>
        <v>Determining gene-disease validity and variant pathogenicity is my everyday job</v>
      </c>
      <c r="V365" s="55" t="str">
        <f>IFERROR(__xludf.DUMMYFUNCTION("QUERY('Volunteer Survey'!O374)"),"Yes")</f>
        <v>Yes</v>
      </c>
      <c r="W365" s="66" t="str">
        <f>IFERROR(__xludf.DUMMYFUNCTION("QUERY('Volunteer Survey'!P374)"),"")</f>
        <v/>
      </c>
      <c r="X365" s="64" t="str">
        <f>IFERROR(__xludf.DUMMYFUNCTION("QUERY('Volunteer Survey'!R374)"),"Yes- I am willing to volunteer with any available ClinGen group")</f>
        <v>Yes- I am willing to volunteer with any available ClinGen group</v>
      </c>
      <c r="Y365" s="53"/>
      <c r="Z365" s="55"/>
      <c r="AA365" s="55"/>
      <c r="AB365" s="55"/>
      <c r="AC365" s="55"/>
      <c r="AD365" s="55"/>
      <c r="AE365" s="55"/>
      <c r="AF365" s="55"/>
      <c r="AG365" s="55"/>
      <c r="AH365" s="55"/>
      <c r="AI365" s="55"/>
      <c r="AJ365" s="55"/>
      <c r="AK365" s="55"/>
      <c r="AL365" s="55"/>
      <c r="AM365" s="55"/>
      <c r="AN365" s="55"/>
      <c r="AO365" s="55"/>
    </row>
    <row r="366">
      <c r="A366" s="50">
        <f>IFERROR(__xludf.DUMMYFUNCTION("QUERY('Volunteer Survey'!A375)"),43817.633831550935)</f>
        <v>43817.63383</v>
      </c>
      <c r="B366" s="48" t="s">
        <v>322</v>
      </c>
      <c r="C366" s="53"/>
      <c r="D366" s="55"/>
      <c r="E366" s="55"/>
      <c r="F366" s="48" t="s">
        <v>130</v>
      </c>
      <c r="G366" s="48" t="s">
        <v>313</v>
      </c>
      <c r="H366" s="53"/>
      <c r="I366" s="53"/>
      <c r="J366" s="55"/>
      <c r="K366" s="55"/>
      <c r="L366" s="55" t="str">
        <f>IFERROR(__xludf.DUMMYFUNCTION("QUERY('Volunteer Survey'!B375)"),"Alaa Koleilat")</f>
        <v>Alaa Koleilat</v>
      </c>
      <c r="M366" s="55" t="str">
        <f>IFERROR(__xludf.DUMMYFUNCTION("QUERY('Volunteer Survey'!E375)"),"koleilat.alaa@mayo.edu")</f>
        <v>koleilat.alaa@mayo.edu</v>
      </c>
      <c r="N366" s="55" t="str">
        <f>IFERROR(__xludf.DUMMYFUNCTION("QUERY('Volunteer Survey'!F375)"),"Graduate Student")</f>
        <v>Graduate Student</v>
      </c>
      <c r="O366" s="48" t="str">
        <f>IFERROR(__xludf.DUMMYFUNCTION("QUERY('Volunteer Survey'!H375)"),"Baseline")</f>
        <v>Baseline</v>
      </c>
      <c r="P366" s="55" t="str">
        <f>IFERROR(__xludf.DUMMYFUNCTION("QUERY('Volunteer Survey'!I375)"),"Variant Pathogenicity")</f>
        <v>Variant Pathogenicity</v>
      </c>
      <c r="Q366" s="60" t="str">
        <f>IFERROR(__xludf.DUMMYFUNCTION("QUERY('Volunteer Survey'!J375)"),"Gene-Disease Validity")</f>
        <v>Gene-Disease Validity</v>
      </c>
      <c r="R366" s="55" t="str">
        <f>IFERROR(__xludf.DUMMYFUNCTION("QUERY('Volunteer Survey'!K375)"),"Somatic Cancer")</f>
        <v>Somatic Cancer</v>
      </c>
      <c r="S366" s="55" t="str">
        <f>IFERROR(__xludf.DUMMYFUNCTION("QUERY('Volunteer Survey'!L375)"),"Clinical Actionability")</f>
        <v>Clinical Actionability</v>
      </c>
      <c r="T366" s="55" t="str">
        <f>IFERROR(__xludf.DUMMYFUNCTION("QUERY('Volunteer Survey'!M375)"),"Dosage Sensitivity")</f>
        <v>Dosage Sensitivity</v>
      </c>
      <c r="U366" s="64" t="str">
        <f>IFERROR(__xludf.DUMMYFUNCTION("QUERY('Volunteer Survey'!N375)"),"")</f>
        <v/>
      </c>
      <c r="V366" s="55" t="str">
        <f>IFERROR(__xludf.DUMMYFUNCTION("QUERY('Volunteer Survey'!O375)"),"Yes")</f>
        <v>Yes</v>
      </c>
      <c r="W366" s="66" t="str">
        <f>IFERROR(__xludf.DUMMYFUNCTION("QUERY('Volunteer Survey'!P375)"),"mitochondrial disease, pediatric somatic cancer")</f>
        <v>mitochondrial disease, pediatric somatic cancer</v>
      </c>
      <c r="X366" s="64" t="str">
        <f>IFERROR(__xludf.DUMMYFUNCTION("QUERY('Volunteer Survey'!R375)"),"Yes- I am willing to volunteer with any available ClinGen group")</f>
        <v>Yes- I am willing to volunteer with any available ClinGen group</v>
      </c>
      <c r="Y366" s="53"/>
      <c r="Z366" s="55"/>
      <c r="AA366" s="55"/>
      <c r="AB366" s="55"/>
      <c r="AC366" s="55"/>
      <c r="AD366" s="55"/>
      <c r="AE366" s="55"/>
      <c r="AF366" s="55"/>
      <c r="AG366" s="55"/>
      <c r="AH366" s="55"/>
      <c r="AI366" s="55"/>
      <c r="AJ366" s="55"/>
      <c r="AK366" s="55"/>
      <c r="AL366" s="55"/>
      <c r="AM366" s="55"/>
      <c r="AN366" s="55"/>
      <c r="AO366" s="55"/>
    </row>
    <row r="367">
      <c r="A367" s="50">
        <f>IFERROR(__xludf.DUMMYFUNCTION("QUERY('Volunteer Survey'!A376)"),43818.519401909725)</f>
        <v>43818.5194</v>
      </c>
      <c r="B367" s="48" t="s">
        <v>108</v>
      </c>
      <c r="C367" s="79">
        <v>43819.0</v>
      </c>
      <c r="D367" s="73">
        <v>43846.0</v>
      </c>
      <c r="E367" s="48" t="s">
        <v>117</v>
      </c>
      <c r="F367" s="48" t="s">
        <v>117</v>
      </c>
      <c r="G367" s="48" t="s">
        <v>122</v>
      </c>
      <c r="H367" s="53"/>
      <c r="I367" s="53"/>
      <c r="J367" s="55"/>
      <c r="K367" s="55"/>
      <c r="L367" s="55" t="str">
        <f>IFERROR(__xludf.DUMMYFUNCTION("QUERY('Volunteer Survey'!B376)"),"Thanuja Selvanayagam")</f>
        <v>Thanuja Selvanayagam</v>
      </c>
      <c r="M367" s="55" t="str">
        <f>IFERROR(__xludf.DUMMYFUNCTION("QUERY('Volunteer Survey'!E376)"),"tselvanayagam@cheo.on.ca")</f>
        <v>tselvanayagam@cheo.on.ca</v>
      </c>
      <c r="N367" s="55" t="str">
        <f>IFERROR(__xludf.DUMMYFUNCTION("QUERY('Volunteer Survey'!F376)"),"Genetic counselor")</f>
        <v>Genetic counselor</v>
      </c>
      <c r="O367" s="48" t="str">
        <f>IFERROR(__xludf.DUMMYFUNCTION("QUERY('Volunteer Survey'!H376)"),"Comprehensive")</f>
        <v>Comprehensive</v>
      </c>
      <c r="P367" s="55" t="str">
        <f>IFERROR(__xludf.DUMMYFUNCTION("QUERY('Volunteer Survey'!I376)"),"Gene-Disease Validity")</f>
        <v>Gene-Disease Validity</v>
      </c>
      <c r="Q367" s="60" t="str">
        <f>IFERROR(__xludf.DUMMYFUNCTION("QUERY('Volunteer Survey'!J376)"),"Variant Pathogenicity")</f>
        <v>Variant Pathogenicity</v>
      </c>
      <c r="R367" s="55" t="str">
        <f>IFERROR(__xludf.DUMMYFUNCTION("QUERY('Volunteer Survey'!K376)"),"Clinical Actionability")</f>
        <v>Clinical Actionability</v>
      </c>
      <c r="S367" s="55" t="str">
        <f>IFERROR(__xludf.DUMMYFUNCTION("QUERY('Volunteer Survey'!L376)"),"Dosage Sensitivity")</f>
        <v>Dosage Sensitivity</v>
      </c>
      <c r="T367" s="55" t="str">
        <f>IFERROR(__xludf.DUMMYFUNCTION("QUERY('Volunteer Survey'!M376)"),"Somatic Cancer")</f>
        <v>Somatic Cancer</v>
      </c>
      <c r="U367" s="64" t="str">
        <f>IFERROR(__xludf.DUMMYFUNCTION("QUERY('Volunteer Survey'!N376)"),"NO")</f>
        <v>NO</v>
      </c>
      <c r="V367" s="55" t="str">
        <f>IFERROR(__xludf.DUMMYFUNCTION("QUERY('Volunteer Survey'!O376)"),"Possibly")</f>
        <v>Possibly</v>
      </c>
      <c r="W367" s="66" t="str">
        <f>IFERROR(__xludf.DUMMYFUNCTION("QUERY('Volunteer Survey'!P376)"),"Cardiomyopathy ")</f>
        <v>Cardiomyopathy </v>
      </c>
      <c r="X367" s="64" t="str">
        <f>IFERROR(__xludf.DUMMYFUNCTION("QUERY('Volunteer Survey'!R376)"),"Maybe -- please contact me with other options, and I will decide based on what is available")</f>
        <v>Maybe -- please contact me with other options, and I will decide based on what is available</v>
      </c>
      <c r="Y367" s="53"/>
      <c r="Z367" s="55"/>
      <c r="AA367" s="55"/>
      <c r="AB367" s="55"/>
      <c r="AC367" s="55"/>
      <c r="AD367" s="55"/>
      <c r="AE367" s="55"/>
      <c r="AF367" s="55"/>
      <c r="AG367" s="55"/>
      <c r="AH367" s="55"/>
      <c r="AI367" s="55"/>
      <c r="AJ367" s="55"/>
      <c r="AK367" s="55"/>
      <c r="AL367" s="55"/>
      <c r="AM367" s="55"/>
      <c r="AN367" s="55"/>
      <c r="AO367" s="55"/>
    </row>
    <row r="368">
      <c r="A368" s="50">
        <f>IFERROR(__xludf.DUMMYFUNCTION("QUERY('Volunteer Survey'!A377)"),43822.78095611111)</f>
        <v>43822.78096</v>
      </c>
      <c r="B368" s="48" t="s">
        <v>160</v>
      </c>
      <c r="C368" s="90">
        <v>43860.0</v>
      </c>
      <c r="D368" s="55"/>
      <c r="E368" s="55"/>
      <c r="F368" s="48" t="s">
        <v>130</v>
      </c>
      <c r="G368" s="48" t="s">
        <v>19</v>
      </c>
      <c r="H368" s="53"/>
      <c r="I368" s="53"/>
      <c r="J368" s="55"/>
      <c r="K368" s="55"/>
      <c r="L368" s="55" t="str">
        <f>IFERROR(__xludf.DUMMYFUNCTION("QUERY('Volunteer Survey'!B377)"),"Shrutika Jadhav")</f>
        <v>Shrutika Jadhav</v>
      </c>
      <c r="M368" s="55" t="str">
        <f>IFERROR(__xludf.DUMMYFUNCTION("QUERY('Volunteer Survey'!E377)"),"shrutikajadhav18@gmail.com")</f>
        <v>shrutikajadhav18@gmail.com</v>
      </c>
      <c r="N368" s="55" t="str">
        <f>IFERROR(__xludf.DUMMYFUNCTION("QUERY('Volunteer Survey'!F377)"),"Graduate Student")</f>
        <v>Graduate Student</v>
      </c>
      <c r="O368" s="48" t="str">
        <f>IFERROR(__xludf.DUMMYFUNCTION("QUERY('Volunteer Survey'!H377)"),"Comprehensive")</f>
        <v>Comprehensive</v>
      </c>
      <c r="P368" s="55" t="str">
        <f>IFERROR(__xludf.DUMMYFUNCTION("QUERY('Volunteer Survey'!I377)"),"Clinical Actionability")</f>
        <v>Clinical Actionability</v>
      </c>
      <c r="Q368" s="60" t="str">
        <f>IFERROR(__xludf.DUMMYFUNCTION("QUERY('Volunteer Survey'!J377)"),"Gene-Disease Validity")</f>
        <v>Gene-Disease Validity</v>
      </c>
      <c r="R368" s="55" t="str">
        <f>IFERROR(__xludf.DUMMYFUNCTION("QUERY('Volunteer Survey'!K377)"),"Variant Pathogenicity")</f>
        <v>Variant Pathogenicity</v>
      </c>
      <c r="S368" s="55" t="str">
        <f>IFERROR(__xludf.DUMMYFUNCTION("QUERY('Volunteer Survey'!L377)"),"Dosage Sensitivity")</f>
        <v>Dosage Sensitivity</v>
      </c>
      <c r="T368" s="55" t="str">
        <f>IFERROR(__xludf.DUMMYFUNCTION("QUERY('Volunteer Survey'!M377)"),"Somatic Cancer")</f>
        <v>Somatic Cancer</v>
      </c>
      <c r="U368" s="64" t="str">
        <f>IFERROR(__xludf.DUMMYFUNCTION("QUERY('Volunteer Survey'!N377)"),"No")</f>
        <v>No</v>
      </c>
      <c r="V368" s="55" t="str">
        <f>IFERROR(__xludf.DUMMYFUNCTION("QUERY('Volunteer Survey'!O377)"),"Yes")</f>
        <v>Yes</v>
      </c>
      <c r="W368" s="66" t="str">
        <f>IFERROR(__xludf.DUMMYFUNCTION("QUERY('Volunteer Survey'!P377)"),"Brain Malformations, Intellectual Disability and Autism, Pediatric ")</f>
        <v>Brain Malformations, Intellectual Disability and Autism, Pediatric </v>
      </c>
      <c r="X368" s="64" t="str">
        <f>IFERROR(__xludf.DUMMYFUNCTION("QUERY('Volunteer Survey'!R377)"),"Yes- I am willing to volunteer with any available ClinGen group")</f>
        <v>Yes- I am willing to volunteer with any available ClinGen group</v>
      </c>
      <c r="Y368" s="53"/>
      <c r="Z368" s="55"/>
      <c r="AA368" s="55"/>
      <c r="AB368" s="55"/>
      <c r="AC368" s="55"/>
      <c r="AD368" s="55"/>
      <c r="AE368" s="55"/>
      <c r="AF368" s="55"/>
      <c r="AG368" s="55"/>
      <c r="AH368" s="55"/>
      <c r="AI368" s="55"/>
      <c r="AJ368" s="55"/>
      <c r="AK368" s="55"/>
      <c r="AL368" s="55"/>
      <c r="AM368" s="55"/>
      <c r="AN368" s="55"/>
      <c r="AO368" s="55"/>
    </row>
    <row r="369">
      <c r="A369" s="50">
        <f>IFERROR(__xludf.DUMMYFUNCTION("QUERY('Volunteer Survey'!A378)"),43833.441767766206)</f>
        <v>43833.44177</v>
      </c>
      <c r="B369" s="48" t="s">
        <v>108</v>
      </c>
      <c r="C369" s="79">
        <v>43838.0</v>
      </c>
      <c r="D369" s="55"/>
      <c r="E369" s="55"/>
      <c r="F369" s="48" t="s">
        <v>130</v>
      </c>
      <c r="G369" s="48" t="s">
        <v>122</v>
      </c>
      <c r="H369" s="53"/>
      <c r="I369" s="53"/>
      <c r="J369" s="55"/>
      <c r="K369" s="55"/>
      <c r="L369" s="55" t="str">
        <f>IFERROR(__xludf.DUMMYFUNCTION("QUERY('Volunteer Survey'!B378)"),"JACQUELINE BATANIAN")</f>
        <v>JACQUELINE BATANIAN</v>
      </c>
      <c r="M369" s="55" t="str">
        <f>IFERROR(__xludf.DUMMYFUNCTION("QUERY('Volunteer Survey'!E378)"),"JACQUELINE.BATANIAN@HEALTH.SLU.EDU")</f>
        <v>JACQUELINE.BATANIAN@HEALTH.SLU.EDU</v>
      </c>
      <c r="N369" s="55" t="str">
        <f>IFERROR(__xludf.DUMMYFUNCTION("QUERY('Volunteer Survey'!F378)"),"Clinical laboratory geneticist")</f>
        <v>Clinical laboratory geneticist</v>
      </c>
      <c r="O369" s="48" t="str">
        <f>IFERROR(__xludf.DUMMYFUNCTION("QUERY('Volunteer Survey'!H378)"),"Comprehensive")</f>
        <v>Comprehensive</v>
      </c>
      <c r="P369" s="55" t="str">
        <f>IFERROR(__xludf.DUMMYFUNCTION("QUERY('Volunteer Survey'!I378)"),"Gene-Disease Validity")</f>
        <v>Gene-Disease Validity</v>
      </c>
      <c r="Q369" s="60" t="str">
        <f>IFERROR(__xludf.DUMMYFUNCTION("QUERY('Volunteer Survey'!J378)"),"Somatic Cancer")</f>
        <v>Somatic Cancer</v>
      </c>
      <c r="R369" s="55" t="str">
        <f>IFERROR(__xludf.DUMMYFUNCTION("QUERY('Volunteer Survey'!K378)"),"Variant Pathogenicity")</f>
        <v>Variant Pathogenicity</v>
      </c>
      <c r="S369" s="55" t="str">
        <f>IFERROR(__xludf.DUMMYFUNCTION("QUERY('Volunteer Survey'!L378)"),"Dosage Sensitivity")</f>
        <v>Dosage Sensitivity</v>
      </c>
      <c r="T369" s="55" t="str">
        <f>IFERROR(__xludf.DUMMYFUNCTION("QUERY('Volunteer Survey'!M378)"),"Clinical Actionability")</f>
        <v>Clinical Actionability</v>
      </c>
      <c r="U369" s="64" t="str">
        <f>IFERROR(__xludf.DUMMYFUNCTION("QUERY('Volunteer Survey'!N378)"),"I used to navigate literature to determine the nature of copy number variants identified by Oligo/SNP Agilent microarray.")</f>
        <v>I used to navigate literature to determine the nature of copy number variants identified by Oligo/SNP Agilent microarray.</v>
      </c>
      <c r="V369" s="55" t="str">
        <f>IFERROR(__xludf.DUMMYFUNCTION("QUERY('Volunteer Survey'!O378)"),"Yes")</f>
        <v>Yes</v>
      </c>
      <c r="W369" s="66" t="str">
        <f>IFERROR(__xludf.DUMMYFUNCTION("QUERY('Volunteer Survey'!P378)"),"Cardiovascular diseases and Pediatric cancer")</f>
        <v>Cardiovascular diseases and Pediatric cancer</v>
      </c>
      <c r="X369" s="64" t="str">
        <f>IFERROR(__xludf.DUMMYFUNCTION("QUERY('Volunteer Survey'!R378)"),"Yes- I am willing to volunteer with any available ClinGen group")</f>
        <v>Yes- I am willing to volunteer with any available ClinGen group</v>
      </c>
      <c r="Y369" s="53"/>
      <c r="Z369" s="55"/>
      <c r="AA369" s="55"/>
      <c r="AB369" s="55"/>
      <c r="AC369" s="55"/>
      <c r="AD369" s="55"/>
      <c r="AE369" s="55"/>
      <c r="AF369" s="55"/>
      <c r="AG369" s="55"/>
      <c r="AH369" s="55"/>
      <c r="AI369" s="55"/>
      <c r="AJ369" s="55"/>
      <c r="AK369" s="55"/>
      <c r="AL369" s="55"/>
      <c r="AM369" s="55"/>
      <c r="AN369" s="55"/>
      <c r="AO369" s="55"/>
    </row>
    <row r="370">
      <c r="A370" s="50">
        <f>IFERROR(__xludf.DUMMYFUNCTION("QUERY('Volunteer Survey'!A379)"),43833.71189856481)</f>
        <v>43833.7119</v>
      </c>
      <c r="B370" s="48" t="s">
        <v>322</v>
      </c>
      <c r="C370" s="53"/>
      <c r="D370" s="55"/>
      <c r="E370" s="55"/>
      <c r="F370" s="48" t="s">
        <v>130</v>
      </c>
      <c r="G370" s="48" t="s">
        <v>313</v>
      </c>
      <c r="H370" s="53"/>
      <c r="I370" s="53"/>
      <c r="J370" s="55"/>
      <c r="K370" s="55"/>
      <c r="L370" s="55" t="str">
        <f>IFERROR(__xludf.DUMMYFUNCTION("QUERY('Volunteer Survey'!B379)"),"Nan Jiang")</f>
        <v>Nan Jiang</v>
      </c>
      <c r="M370" s="55" t="str">
        <f>IFERROR(__xludf.DUMMYFUNCTION("QUERY('Volunteer Survey'!E379)"),"nj2421@cumc.columbia.edu")</f>
        <v>nj2421@cumc.columbia.edu</v>
      </c>
      <c r="N370" s="55" t="str">
        <f>IFERROR(__xludf.DUMMYFUNCTION("QUERY('Volunteer Survey'!F379)"),"Post Doc/Resident/Fellow (MD and/or PhD)")</f>
        <v>Post Doc/Resident/Fellow (MD and/or PhD)</v>
      </c>
      <c r="O370" s="48" t="str">
        <f>IFERROR(__xludf.DUMMYFUNCTION("QUERY('Volunteer Survey'!H379)"),"Comprehensive")</f>
        <v>Comprehensive</v>
      </c>
      <c r="P370" s="55" t="str">
        <f>IFERROR(__xludf.DUMMYFUNCTION("QUERY('Volunteer Survey'!I379)"),"Somatic Cancer")</f>
        <v>Somatic Cancer</v>
      </c>
      <c r="Q370" s="60" t="str">
        <f>IFERROR(__xludf.DUMMYFUNCTION("QUERY('Volunteer Survey'!J379)"),"Gene-Disease Validity")</f>
        <v>Gene-Disease Validity</v>
      </c>
      <c r="R370" s="55" t="str">
        <f>IFERROR(__xludf.DUMMYFUNCTION("QUERY('Volunteer Survey'!K379)"),"Clinical Actionability")</f>
        <v>Clinical Actionability</v>
      </c>
      <c r="S370" s="55" t="str">
        <f>IFERROR(__xludf.DUMMYFUNCTION("QUERY('Volunteer Survey'!L379)"),"Variant Pathogenicity")</f>
        <v>Variant Pathogenicity</v>
      </c>
      <c r="T370" s="55" t="str">
        <f>IFERROR(__xludf.DUMMYFUNCTION("QUERY('Volunteer Survey'!M379)"),"Dosage Sensitivity")</f>
        <v>Dosage Sensitivity</v>
      </c>
      <c r="U370" s="64" t="str">
        <f>IFERROR(__xludf.DUMMYFUNCTION("QUERY('Volunteer Survey'!N379)"),"Yes. I am currently a LGG fellow at Columbia. I do SOMA analysis, WES variant curation on daily bases. ")</f>
        <v>Yes. I am currently a LGG fellow at Columbia. I do SOMA analysis, WES variant curation on daily bases. </v>
      </c>
      <c r="V370" s="55" t="str">
        <f>IFERROR(__xludf.DUMMYFUNCTION("QUERY('Volunteer Survey'!O379)"),"Yes")</f>
        <v>Yes</v>
      </c>
      <c r="W370" s="66" t="str">
        <f>IFERROR(__xludf.DUMMYFUNCTION("QUERY('Volunteer Survey'!P379)"),"Hereditary Cancer, Brain Malformations , Somatic Cancer Pediatric")</f>
        <v>Hereditary Cancer, Brain Malformations , Somatic Cancer Pediatric</v>
      </c>
      <c r="X370" s="64" t="str">
        <f>IFERROR(__xludf.DUMMYFUNCTION("QUERY('Volunteer Survey'!R379)"),"Yes- I am willing to volunteer with any available ClinGen group")</f>
        <v>Yes- I am willing to volunteer with any available ClinGen group</v>
      </c>
      <c r="Y370" s="53"/>
      <c r="Z370" s="55"/>
      <c r="AA370" s="55"/>
      <c r="AB370" s="55"/>
      <c r="AC370" s="55"/>
      <c r="AD370" s="55"/>
      <c r="AE370" s="55"/>
      <c r="AF370" s="55"/>
      <c r="AG370" s="55"/>
      <c r="AH370" s="55"/>
      <c r="AI370" s="55"/>
      <c r="AJ370" s="55"/>
      <c r="AK370" s="55"/>
      <c r="AL370" s="55"/>
      <c r="AM370" s="55"/>
      <c r="AN370" s="55"/>
      <c r="AO370" s="55"/>
    </row>
    <row r="371">
      <c r="A371" s="50">
        <f>IFERROR(__xludf.DUMMYFUNCTION("QUERY('Volunteer Survey'!A380)"),43836.64994055556)</f>
        <v>43836.64994</v>
      </c>
      <c r="B371" s="48" t="s">
        <v>322</v>
      </c>
      <c r="C371" s="53"/>
      <c r="D371" s="55"/>
      <c r="E371" s="55"/>
      <c r="F371" s="48" t="s">
        <v>130</v>
      </c>
      <c r="G371" s="48" t="s">
        <v>313</v>
      </c>
      <c r="H371" s="53"/>
      <c r="I371" s="53"/>
      <c r="J371" s="55"/>
      <c r="K371" s="55"/>
      <c r="L371" s="55" t="str">
        <f>IFERROR(__xludf.DUMMYFUNCTION("QUERY('Volunteer Survey'!B380)"),"Jaime Nagy")</f>
        <v>Jaime Nagy</v>
      </c>
      <c r="M371" s="55" t="str">
        <f>IFERROR(__xludf.DUMMYFUNCTION("QUERY('Volunteer Survey'!E380)"),"jaime-nagy@uiowa.edu")</f>
        <v>jaime-nagy@uiowa.edu</v>
      </c>
      <c r="N371" s="55" t="str">
        <f>IFERROR(__xludf.DUMMYFUNCTION("QUERY('Volunteer Survey'!F380)"),"Clinical laboratory geneticist")</f>
        <v>Clinical laboratory geneticist</v>
      </c>
      <c r="O371" s="48" t="str">
        <f>IFERROR(__xludf.DUMMYFUNCTION("QUERY('Volunteer Survey'!H380)"),"Comprehensive")</f>
        <v>Comprehensive</v>
      </c>
      <c r="P371" s="55" t="str">
        <f>IFERROR(__xludf.DUMMYFUNCTION("QUERY('Volunteer Survey'!I380)"),"Dosage Sensitivity")</f>
        <v>Dosage Sensitivity</v>
      </c>
      <c r="Q371" s="60" t="str">
        <f>IFERROR(__xludf.DUMMYFUNCTION("QUERY('Volunteer Survey'!J380)"),"")</f>
        <v/>
      </c>
      <c r="R371" s="55" t="str">
        <f>IFERROR(__xludf.DUMMYFUNCTION("QUERY('Volunteer Survey'!K380)"),"")</f>
        <v/>
      </c>
      <c r="S371" s="55" t="str">
        <f>IFERROR(__xludf.DUMMYFUNCTION("QUERY('Volunteer Survey'!L380)"),"")</f>
        <v/>
      </c>
      <c r="T371" s="55" t="str">
        <f>IFERROR(__xludf.DUMMYFUNCTION("QUERY('Volunteer Survey'!M380)"),"")</f>
        <v/>
      </c>
      <c r="U371" s="64" t="str">
        <f>IFERROR(__xludf.DUMMYFUNCTION("QUERY('Volunteer Survey'!N380)"),"Review and interpretation of clinical CMA cases")</f>
        <v>Review and interpretation of clinical CMA cases</v>
      </c>
      <c r="V371" s="55" t="str">
        <f>IFERROR(__xludf.DUMMYFUNCTION("QUERY('Volunteer Survey'!O380)"),"No")</f>
        <v>No</v>
      </c>
      <c r="W371" s="66" t="str">
        <f>IFERROR(__xludf.DUMMYFUNCTION("QUERY('Volunteer Survey'!P380)"),"Dosage Sensitivity working group")</f>
        <v>Dosage Sensitivity working group</v>
      </c>
      <c r="X371" s="64" t="str">
        <f>IFERROR(__xludf.DUMMYFUNCTION("QUERY('Volunteer Survey'!R380)"),"Maybe -- please contact me with other options, and I will decide based on what is available")</f>
        <v>Maybe -- please contact me with other options, and I will decide based on what is available</v>
      </c>
      <c r="Y371" s="53"/>
      <c r="Z371" s="55"/>
      <c r="AA371" s="55"/>
      <c r="AB371" s="55"/>
      <c r="AC371" s="55"/>
      <c r="AD371" s="55"/>
      <c r="AE371" s="55"/>
      <c r="AF371" s="55"/>
      <c r="AG371" s="55"/>
      <c r="AH371" s="55"/>
      <c r="AI371" s="55"/>
      <c r="AJ371" s="55"/>
      <c r="AK371" s="55"/>
      <c r="AL371" s="55"/>
      <c r="AM371" s="55"/>
      <c r="AN371" s="55"/>
      <c r="AO371" s="55"/>
    </row>
    <row r="372">
      <c r="A372" s="50">
        <f>IFERROR(__xludf.DUMMYFUNCTION("QUERY('Volunteer Survey'!A381)"),43838.04942578704)</f>
        <v>43838.04943</v>
      </c>
      <c r="B372" s="48" t="s">
        <v>322</v>
      </c>
      <c r="C372" s="53"/>
      <c r="D372" s="55"/>
      <c r="E372" s="55"/>
      <c r="F372" s="48" t="s">
        <v>130</v>
      </c>
      <c r="G372" s="48" t="s">
        <v>313</v>
      </c>
      <c r="H372" s="53"/>
      <c r="I372" s="53"/>
      <c r="J372" s="55"/>
      <c r="K372" s="55"/>
      <c r="L372" s="55" t="str">
        <f>IFERROR(__xludf.DUMMYFUNCTION("QUERY('Volunteer Survey'!B381)"),"Indu Raja")</f>
        <v>Indu Raja</v>
      </c>
      <c r="M372" s="55" t="str">
        <f>IFERROR(__xludf.DUMMYFUNCTION("QUERY('Volunteer Survey'!E381)"),"indudraja@gmail.com")</f>
        <v>indudraja@gmail.com</v>
      </c>
      <c r="N372" s="55" t="str">
        <f>IFERROR(__xludf.DUMMYFUNCTION("QUERY('Volunteer Survey'!F381)"),"Laboratory Technologist")</f>
        <v>Laboratory Technologist</v>
      </c>
      <c r="O372" s="48" t="str">
        <f>IFERROR(__xludf.DUMMYFUNCTION("QUERY('Volunteer Survey'!H381)"),"Comprehensive")</f>
        <v>Comprehensive</v>
      </c>
      <c r="P372" s="55" t="str">
        <f>IFERROR(__xludf.DUMMYFUNCTION("QUERY('Volunteer Survey'!I381)"),"Gene-Disease Validity")</f>
        <v>Gene-Disease Validity</v>
      </c>
      <c r="Q372" s="60" t="str">
        <f>IFERROR(__xludf.DUMMYFUNCTION("QUERY('Volunteer Survey'!J381)"),"Clinical Actionability")</f>
        <v>Clinical Actionability</v>
      </c>
      <c r="R372" s="55" t="str">
        <f>IFERROR(__xludf.DUMMYFUNCTION("QUERY('Volunteer Survey'!K381)"),"Variant Pathogenicity")</f>
        <v>Variant Pathogenicity</v>
      </c>
      <c r="S372" s="55" t="str">
        <f>IFERROR(__xludf.DUMMYFUNCTION("QUERY('Volunteer Survey'!L381)"),"Dosage Sensitivity")</f>
        <v>Dosage Sensitivity</v>
      </c>
      <c r="T372" s="55" t="str">
        <f>IFERROR(__xludf.DUMMYFUNCTION("QUERY('Volunteer Survey'!M381)"),"")</f>
        <v/>
      </c>
      <c r="U372" s="64" t="str">
        <f>IFERROR(__xludf.DUMMYFUNCTION("QUERY('Volunteer Survey'!N381)"),"No")</f>
        <v>No</v>
      </c>
      <c r="V372" s="55" t="str">
        <f>IFERROR(__xludf.DUMMYFUNCTION("QUERY('Volunteer Survey'!O381)"),"Possibly")</f>
        <v>Possibly</v>
      </c>
      <c r="W372" s="66" t="str">
        <f>IFERROR(__xludf.DUMMYFUNCTION("QUERY('Volunteer Survey'!P381)"),"Gene curation (Intellectual disability &amp; Autism), Dosage Sensitivity &amp; Clinical Actionability")</f>
        <v>Gene curation (Intellectual disability &amp; Autism), Dosage Sensitivity &amp; Clinical Actionability</v>
      </c>
      <c r="X372" s="64" t="str">
        <f>IFERROR(__xludf.DUMMYFUNCTION("QUERY('Volunteer Survey'!R381)"),"Yes- I am willing to volunteer with any available ClinGen group")</f>
        <v>Yes- I am willing to volunteer with any available ClinGen group</v>
      </c>
      <c r="Y372" s="53"/>
      <c r="Z372" s="55"/>
      <c r="AA372" s="55"/>
      <c r="AB372" s="55"/>
      <c r="AC372" s="55"/>
      <c r="AD372" s="55"/>
      <c r="AE372" s="55"/>
      <c r="AF372" s="55"/>
      <c r="AG372" s="55"/>
      <c r="AH372" s="55"/>
      <c r="AI372" s="55"/>
      <c r="AJ372" s="55"/>
      <c r="AK372" s="55"/>
      <c r="AL372" s="55"/>
      <c r="AM372" s="55"/>
      <c r="AN372" s="55"/>
      <c r="AO372" s="55"/>
    </row>
    <row r="373">
      <c r="A373" s="50">
        <f>IFERROR(__xludf.DUMMYFUNCTION("QUERY('Volunteer Survey'!A382)"),43838.591925925924)</f>
        <v>43838.59193</v>
      </c>
      <c r="B373" s="48" t="s">
        <v>108</v>
      </c>
      <c r="C373" s="87">
        <v>43847.0</v>
      </c>
      <c r="D373" s="55"/>
      <c r="E373" s="55"/>
      <c r="F373" s="48" t="s">
        <v>130</v>
      </c>
      <c r="G373" s="48" t="s">
        <v>251</v>
      </c>
      <c r="H373" s="53"/>
      <c r="I373" s="53"/>
      <c r="J373" s="55"/>
      <c r="K373" s="55"/>
      <c r="L373" s="55" t="str">
        <f>IFERROR(__xludf.DUMMYFUNCTION("QUERY('Volunteer Survey'!B382)"),"Kendrah Kidd")</f>
        <v>Kendrah Kidd</v>
      </c>
      <c r="M373" s="55" t="str">
        <f>IFERROR(__xludf.DUMMYFUNCTION("QUERY('Volunteer Survey'!E382)"),"kkidd@wakehealth.edu")</f>
        <v>kkidd@wakehealth.edu</v>
      </c>
      <c r="N373" s="55" t="str">
        <f>IFERROR(__xludf.DUMMYFUNCTION("QUERY('Volunteer Survey'!F382)"),"Scientific Researcher")</f>
        <v>Scientific Researcher</v>
      </c>
      <c r="O373" s="48" t="str">
        <f>IFERROR(__xludf.DUMMYFUNCTION("QUERY('Volunteer Survey'!H382)"),"Comprehensive")</f>
        <v>Comprehensive</v>
      </c>
      <c r="P373" s="55" t="str">
        <f>IFERROR(__xludf.DUMMYFUNCTION("QUERY('Volunteer Survey'!I382)"),"Variant Pathogenicity")</f>
        <v>Variant Pathogenicity</v>
      </c>
      <c r="Q373" s="60" t="str">
        <f>IFERROR(__xludf.DUMMYFUNCTION("QUERY('Volunteer Survey'!J382)"),"Gene-Disease Validity")</f>
        <v>Gene-Disease Validity</v>
      </c>
      <c r="R373" s="55" t="str">
        <f>IFERROR(__xludf.DUMMYFUNCTION("QUERY('Volunteer Survey'!K382)"),"")</f>
        <v/>
      </c>
      <c r="S373" s="55" t="str">
        <f>IFERROR(__xludf.DUMMYFUNCTION("QUERY('Volunteer Survey'!L382)"),"")</f>
        <v/>
      </c>
      <c r="T373" s="55" t="str">
        <f>IFERROR(__xludf.DUMMYFUNCTION("QUERY('Volunteer Survey'!M382)"),"")</f>
        <v/>
      </c>
      <c r="U373" s="64" t="str">
        <f>IFERROR(__xludf.DUMMYFUNCTION("QUERY('Volunteer Survey'!N382)"),"Yes, I manage our Autosomal Dominant Tubulointerstitial Kidney Disease  pathogenic variant registry and have a database of variants found in families that have segregation and clinical data, as well as any literature associated with the variant.  ")</f>
        <v>Yes, I manage our Autosomal Dominant Tubulointerstitial Kidney Disease  pathogenic variant registry and have a database of variants found in families that have segregation and clinical data, as well as any literature associated with the variant.  </v>
      </c>
      <c r="V373" s="55" t="str">
        <f>IFERROR(__xludf.DUMMYFUNCTION("QUERY('Volunteer Survey'!O382)"),"Possibly")</f>
        <v>Possibly</v>
      </c>
      <c r="W373" s="66" t="str">
        <f>IFERROR(__xludf.DUMMYFUNCTION("QUERY('Volunteer Survey'!P382)"),"I would be interested in forming one for inherited kidney diseases ")</f>
        <v>I would be interested in forming one for inherited kidney diseases </v>
      </c>
      <c r="X373" s="64" t="str">
        <f>IFERROR(__xludf.DUMMYFUNCTION("QUERY('Volunteer Survey'!R382)"),"Maybe -- please contact me with other options, and I will decide based on what is available")</f>
        <v>Maybe -- please contact me with other options, and I will decide based on what is available</v>
      </c>
      <c r="Y373" s="53"/>
      <c r="Z373" s="55"/>
      <c r="AA373" s="55"/>
      <c r="AB373" s="55"/>
      <c r="AC373" s="55"/>
      <c r="AD373" s="55"/>
      <c r="AE373" s="55"/>
      <c r="AF373" s="55"/>
      <c r="AG373" s="55"/>
      <c r="AH373" s="55"/>
      <c r="AI373" s="55"/>
      <c r="AJ373" s="55"/>
      <c r="AK373" s="55"/>
      <c r="AL373" s="55"/>
      <c r="AM373" s="55"/>
      <c r="AN373" s="55"/>
      <c r="AO373" s="55"/>
    </row>
    <row r="374">
      <c r="A374" s="50">
        <f>IFERROR(__xludf.DUMMYFUNCTION("QUERY('Volunteer Survey'!A383)"),43840.35674295139)</f>
        <v>43840.35674</v>
      </c>
      <c r="B374" s="48" t="s">
        <v>322</v>
      </c>
      <c r="C374" s="53"/>
      <c r="D374" s="55"/>
      <c r="E374" s="55"/>
      <c r="F374" s="48" t="s">
        <v>130</v>
      </c>
      <c r="G374" s="48" t="s">
        <v>313</v>
      </c>
      <c r="H374" s="53"/>
      <c r="I374" s="53"/>
      <c r="J374" s="55"/>
      <c r="K374" s="55"/>
      <c r="L374" s="55" t="str">
        <f>IFERROR(__xludf.DUMMYFUNCTION("QUERY('Volunteer Survey'!B383)"),"Joanne Adelberg")</f>
        <v>Joanne Adelberg</v>
      </c>
      <c r="M374" s="55" t="str">
        <f>IFERROR(__xludf.DUMMYFUNCTION("QUERY('Volunteer Survey'!E383)"),"joanneadelberg@gmail.com")</f>
        <v>joanneadelberg@gmail.com</v>
      </c>
      <c r="N374" s="55" t="str">
        <f>IFERROR(__xludf.DUMMYFUNCTION("QUERY('Volunteer Survey'!F383)"),"Scientific Researcher")</f>
        <v>Scientific Researcher</v>
      </c>
      <c r="O374" s="48" t="str">
        <f>IFERROR(__xludf.DUMMYFUNCTION("QUERY('Volunteer Survey'!H383)"),"Comprehensive")</f>
        <v>Comprehensive</v>
      </c>
      <c r="P374" s="55" t="str">
        <f>IFERROR(__xludf.DUMMYFUNCTION("QUERY('Volunteer Survey'!I383)"),"Gene-Disease Validity")</f>
        <v>Gene-Disease Validity</v>
      </c>
      <c r="Q374" s="60" t="str">
        <f>IFERROR(__xludf.DUMMYFUNCTION("QUERY('Volunteer Survey'!J383)"),"Clinical Actionability")</f>
        <v>Clinical Actionability</v>
      </c>
      <c r="R374" s="55" t="str">
        <f>IFERROR(__xludf.DUMMYFUNCTION("QUERY('Volunteer Survey'!K383)"),"Variant Pathogenicity")</f>
        <v>Variant Pathogenicity</v>
      </c>
      <c r="S374" s="55" t="str">
        <f>IFERROR(__xludf.DUMMYFUNCTION("QUERY('Volunteer Survey'!L383)"),"Dosage Sensitivity")</f>
        <v>Dosage Sensitivity</v>
      </c>
      <c r="T374" s="55" t="str">
        <f>IFERROR(__xludf.DUMMYFUNCTION("QUERY('Volunteer Survey'!M383)"),"Somatic Cancer")</f>
        <v>Somatic Cancer</v>
      </c>
      <c r="U374" s="64" t="str">
        <f>IFERROR(__xludf.DUMMYFUNCTION("QUERY('Volunteer Survey'!N383)"),"")</f>
        <v/>
      </c>
      <c r="V374" s="55" t="str">
        <f>IFERROR(__xludf.DUMMYFUNCTION("QUERY('Volunteer Survey'!O383)"),"Possibly")</f>
        <v>Possibly</v>
      </c>
      <c r="W374" s="66" t="str">
        <f>IFERROR(__xludf.DUMMYFUNCTION("QUERY('Volunteer Survey'!P383)"),"Will work on groups with the most need-excited for the learning opportunity")</f>
        <v>Will work on groups with the most need-excited for the learning opportunity</v>
      </c>
      <c r="X374" s="64" t="str">
        <f>IFERROR(__xludf.DUMMYFUNCTION("QUERY('Volunteer Survey'!R383)"),"Yes- I am willing to volunteer with any available ClinGen group")</f>
        <v>Yes- I am willing to volunteer with any available ClinGen group</v>
      </c>
      <c r="Y374" s="53"/>
      <c r="Z374" s="55"/>
      <c r="AA374" s="55"/>
      <c r="AB374" s="55"/>
      <c r="AC374" s="55"/>
      <c r="AD374" s="55"/>
      <c r="AE374" s="55"/>
      <c r="AF374" s="55"/>
      <c r="AG374" s="55"/>
      <c r="AH374" s="55"/>
      <c r="AI374" s="55"/>
      <c r="AJ374" s="55"/>
      <c r="AK374" s="55"/>
      <c r="AL374" s="55"/>
      <c r="AM374" s="55"/>
      <c r="AN374" s="55"/>
      <c r="AO374" s="55"/>
    </row>
    <row r="375">
      <c r="A375" s="50">
        <f>IFERROR(__xludf.DUMMYFUNCTION("QUERY('Volunteer Survey'!A384)"),43842.70257400463)</f>
        <v>43842.70257</v>
      </c>
      <c r="B375" s="48" t="s">
        <v>322</v>
      </c>
      <c r="C375" s="53"/>
      <c r="D375" s="55"/>
      <c r="E375" s="55"/>
      <c r="F375" s="48" t="s">
        <v>130</v>
      </c>
      <c r="G375" s="48" t="s">
        <v>313</v>
      </c>
      <c r="H375" s="53"/>
      <c r="I375" s="53"/>
      <c r="J375" s="55"/>
      <c r="K375" s="55"/>
      <c r="L375" s="55" t="str">
        <f>IFERROR(__xludf.DUMMYFUNCTION("QUERY('Volunteer Survey'!B384)"),"Erika Meaddough")</f>
        <v>Erika Meaddough</v>
      </c>
      <c r="M375" s="55" t="str">
        <f>IFERROR(__xludf.DUMMYFUNCTION("QUERY('Volunteer Survey'!E384)"),"meaddough@yahoo.com")</f>
        <v>meaddough@yahoo.com</v>
      </c>
      <c r="N375" s="55" t="str">
        <f>IFERROR(__xludf.DUMMYFUNCTION("QUERY('Volunteer Survey'!F384)"),"Graduate Student")</f>
        <v>Graduate Student</v>
      </c>
      <c r="O375" s="48" t="str">
        <f>IFERROR(__xludf.DUMMYFUNCTION("QUERY('Volunteer Survey'!H384)"),"Baseline")</f>
        <v>Baseline</v>
      </c>
      <c r="P375" s="55" t="str">
        <f>IFERROR(__xludf.DUMMYFUNCTION("QUERY('Volunteer Survey'!I384)"),"")</f>
        <v/>
      </c>
      <c r="Q375" s="60" t="str">
        <f>IFERROR(__xludf.DUMMYFUNCTION("QUERY('Volunteer Survey'!J384)"),"")</f>
        <v/>
      </c>
      <c r="R375" s="55" t="str">
        <f>IFERROR(__xludf.DUMMYFUNCTION("QUERY('Volunteer Survey'!K384)"),"")</f>
        <v/>
      </c>
      <c r="S375" s="55" t="str">
        <f>IFERROR(__xludf.DUMMYFUNCTION("QUERY('Volunteer Survey'!L384)"),"")</f>
        <v/>
      </c>
      <c r="T375" s="55" t="str">
        <f>IFERROR(__xludf.DUMMYFUNCTION("QUERY('Volunteer Survey'!M384)"),"")</f>
        <v/>
      </c>
      <c r="U375" s="64" t="str">
        <f>IFERROR(__xludf.DUMMYFUNCTION("QUERY('Volunteer Survey'!N384)"),"")</f>
        <v/>
      </c>
      <c r="V375" s="55" t="str">
        <f>IFERROR(__xludf.DUMMYFUNCTION("QUERY('Volunteer Survey'!O384)"),"Possibly")</f>
        <v>Possibly</v>
      </c>
      <c r="W375" s="66" t="str">
        <f>IFERROR(__xludf.DUMMYFUNCTION("QUERY('Volunteer Survey'!P384)"),"Dosage Sensitivity Working Group")</f>
        <v>Dosage Sensitivity Working Group</v>
      </c>
      <c r="X375" s="64" t="str">
        <f>IFERROR(__xludf.DUMMYFUNCTION("QUERY('Volunteer Survey'!R384)"),"Yes- I am willing to volunteer with any available ClinGen group")</f>
        <v>Yes- I am willing to volunteer with any available ClinGen group</v>
      </c>
      <c r="Y375" s="53"/>
      <c r="Z375" s="55"/>
      <c r="AA375" s="55"/>
      <c r="AB375" s="55"/>
      <c r="AC375" s="55"/>
      <c r="AD375" s="55"/>
      <c r="AE375" s="55"/>
      <c r="AF375" s="55"/>
      <c r="AG375" s="55"/>
      <c r="AH375" s="55"/>
      <c r="AI375" s="55"/>
      <c r="AJ375" s="55"/>
      <c r="AK375" s="55"/>
      <c r="AL375" s="55"/>
      <c r="AM375" s="55"/>
      <c r="AN375" s="55"/>
      <c r="AO375" s="55"/>
    </row>
    <row r="376">
      <c r="A376" s="50">
        <f>IFERROR(__xludf.DUMMYFUNCTION("QUERY('Volunteer Survey'!A385)"),43846.63864890046)</f>
        <v>43846.63865</v>
      </c>
      <c r="B376" s="48" t="s">
        <v>322</v>
      </c>
      <c r="C376" s="53"/>
      <c r="D376" s="55"/>
      <c r="E376" s="55"/>
      <c r="F376" s="48" t="s">
        <v>130</v>
      </c>
      <c r="G376" s="48" t="s">
        <v>313</v>
      </c>
      <c r="H376" s="53"/>
      <c r="I376" s="53"/>
      <c r="J376" s="55"/>
      <c r="K376" s="55"/>
      <c r="L376" s="55" t="str">
        <f>IFERROR(__xludf.DUMMYFUNCTION("QUERY('Volunteer Survey'!B385)"),"Vijay Ganesh")</f>
        <v>Vijay Ganesh</v>
      </c>
      <c r="M376" s="55" t="str">
        <f>IFERROR(__xludf.DUMMYFUNCTION("QUERY('Volunteer Survey'!E385)"),"vganesh@bwh.harvard.edu")</f>
        <v>vganesh@bwh.harvard.edu</v>
      </c>
      <c r="N376" s="55" t="str">
        <f>IFERROR(__xludf.DUMMYFUNCTION("QUERY('Volunteer Survey'!F385)"),"Post Doc/Resident/Fellow (MD and/or PhD)")</f>
        <v>Post Doc/Resident/Fellow (MD and/or PhD)</v>
      </c>
      <c r="O376" s="48" t="str">
        <f>IFERROR(__xludf.DUMMYFUNCTION("QUERY('Volunteer Survey'!H385)"),"Baseline")</f>
        <v>Baseline</v>
      </c>
      <c r="P376" s="55" t="str">
        <f>IFERROR(__xludf.DUMMYFUNCTION("QUERY('Volunteer Survey'!I385)"),"Gene-Disease Validity")</f>
        <v>Gene-Disease Validity</v>
      </c>
      <c r="Q376" s="60" t="str">
        <f>IFERROR(__xludf.DUMMYFUNCTION("QUERY('Volunteer Survey'!J385)"),"Variant Pathogenicity")</f>
        <v>Variant Pathogenicity</v>
      </c>
      <c r="R376" s="55" t="str">
        <f>IFERROR(__xludf.DUMMYFUNCTION("QUERY('Volunteer Survey'!K385)"),"Clinical Actionability")</f>
        <v>Clinical Actionability</v>
      </c>
      <c r="S376" s="55" t="str">
        <f>IFERROR(__xludf.DUMMYFUNCTION("QUERY('Volunteer Survey'!L385)"),"Dosage Sensitivity")</f>
        <v>Dosage Sensitivity</v>
      </c>
      <c r="T376" s="55" t="str">
        <f>IFERROR(__xludf.DUMMYFUNCTION("QUERY('Volunteer Survey'!M385)"),"Somatic Cancer")</f>
        <v>Somatic Cancer</v>
      </c>
      <c r="U376" s="64" t="str">
        <f>IFERROR(__xludf.DUMMYFUNCTION("QUERY('Volunteer Survey'!N385)"),"None")</f>
        <v>None</v>
      </c>
      <c r="V376" s="55" t="str">
        <f>IFERROR(__xludf.DUMMYFUNCTION("QUERY('Volunteer Survey'!O385)"),"Yes")</f>
        <v>Yes</v>
      </c>
      <c r="W376" s="66" t="str">
        <f>IFERROR(__xludf.DUMMYFUNCTION("QUERY('Volunteer Survey'!P385)"),"Limb Girdle Muscular Dystrophy; Congenital Myopathies; Charcot-Marie Tooth")</f>
        <v>Limb Girdle Muscular Dystrophy; Congenital Myopathies; Charcot-Marie Tooth</v>
      </c>
      <c r="X376" s="64" t="str">
        <f>IFERROR(__xludf.DUMMYFUNCTION("QUERY('Volunteer Survey'!R385)"),"No - I am only interested in the group(s) I previously indicated")</f>
        <v>No - I am only interested in the group(s) I previously indicated</v>
      </c>
      <c r="Y376" s="53"/>
      <c r="Z376" s="55"/>
      <c r="AA376" s="55"/>
      <c r="AB376" s="55"/>
      <c r="AC376" s="55"/>
      <c r="AD376" s="55"/>
      <c r="AE376" s="55"/>
      <c r="AF376" s="55"/>
      <c r="AG376" s="55"/>
      <c r="AH376" s="55"/>
      <c r="AI376" s="55"/>
      <c r="AJ376" s="55"/>
      <c r="AK376" s="55"/>
      <c r="AL376" s="55"/>
      <c r="AM376" s="55"/>
      <c r="AN376" s="55"/>
      <c r="AO376" s="55"/>
    </row>
    <row r="377">
      <c r="A377" s="50">
        <f>IFERROR(__xludf.DUMMYFUNCTION("QUERY('Volunteer Survey'!A386)"),43846.63989085648)</f>
        <v>43846.63989</v>
      </c>
      <c r="B377" s="48" t="s">
        <v>108</v>
      </c>
      <c r="C377" s="53"/>
      <c r="D377" s="73">
        <v>43846.0</v>
      </c>
      <c r="E377" s="48" t="s">
        <v>117</v>
      </c>
      <c r="F377" s="48" t="s">
        <v>117</v>
      </c>
      <c r="G377" s="48" t="s">
        <v>122</v>
      </c>
      <c r="H377" s="53"/>
      <c r="I377" s="53"/>
      <c r="J377" s="55"/>
      <c r="K377" s="55"/>
      <c r="L377" s="55" t="str">
        <f>IFERROR(__xludf.DUMMYFUNCTION("QUERY('Volunteer Survey'!B386)"),"Julie Hathaway")</f>
        <v>Julie Hathaway</v>
      </c>
      <c r="M377" s="55" t="str">
        <f>IFERROR(__xludf.DUMMYFUNCTION("QUERY('Volunteer Survey'!E386)"),"julie.hathaway@blueprintgenetics.com")</f>
        <v>julie.hathaway@blueprintgenetics.com</v>
      </c>
      <c r="N377" s="55" t="str">
        <f>IFERROR(__xludf.DUMMYFUNCTION("QUERY('Volunteer Survey'!F386)"),"Genetic counselor")</f>
        <v>Genetic counselor</v>
      </c>
      <c r="O377" s="48" t="str">
        <f>IFERROR(__xludf.DUMMYFUNCTION("QUERY('Volunteer Survey'!H386)"),"Comprehensive")</f>
        <v>Comprehensive</v>
      </c>
      <c r="P377" s="55" t="str">
        <f>IFERROR(__xludf.DUMMYFUNCTION("QUERY('Volunteer Survey'!I386)"),"Gene-Disease Validity")</f>
        <v>Gene-Disease Validity</v>
      </c>
      <c r="Q377" s="60" t="str">
        <f>IFERROR(__xludf.DUMMYFUNCTION("QUERY('Volunteer Survey'!J386)"),"Variant Pathogenicity")</f>
        <v>Variant Pathogenicity</v>
      </c>
      <c r="R377" s="55" t="str">
        <f>IFERROR(__xludf.DUMMYFUNCTION("QUERY('Volunteer Survey'!K386)"),"Clinical Actionability")</f>
        <v>Clinical Actionability</v>
      </c>
      <c r="S377" s="55" t="str">
        <f>IFERROR(__xludf.DUMMYFUNCTION("QUERY('Volunteer Survey'!L386)"),"Dosage Sensitivity")</f>
        <v>Dosage Sensitivity</v>
      </c>
      <c r="T377" s="55" t="str">
        <f>IFERROR(__xludf.DUMMYFUNCTION("QUERY('Volunteer Survey'!M386)"),"Somatic Cancer")</f>
        <v>Somatic Cancer</v>
      </c>
      <c r="U377" s="64" t="str">
        <f>IFERROR(__xludf.DUMMYFUNCTION("QUERY('Volunteer Survey'!N386)"),"")</f>
        <v/>
      </c>
      <c r="V377" s="55" t="str">
        <f>IFERROR(__xludf.DUMMYFUNCTION("QUERY('Volunteer Survey'!O386)"),"No")</f>
        <v>No</v>
      </c>
      <c r="W377" s="66" t="str">
        <f>IFERROR(__xludf.DUMMYFUNCTION("QUERY('Volunteer Survey'!P386)"),"Cardiomyopathy")</f>
        <v>Cardiomyopathy</v>
      </c>
      <c r="X377" s="64" t="str">
        <f>IFERROR(__xludf.DUMMYFUNCTION("QUERY('Volunteer Survey'!R386)"),"Maybe -- please contact me with other options, and I will decide based on what is available")</f>
        <v>Maybe -- please contact me with other options, and I will decide based on what is available</v>
      </c>
      <c r="Y377" s="53"/>
      <c r="Z377" s="55"/>
      <c r="AA377" s="55"/>
      <c r="AB377" s="55"/>
      <c r="AC377" s="55"/>
      <c r="AD377" s="55"/>
      <c r="AE377" s="55"/>
      <c r="AF377" s="55"/>
      <c r="AG377" s="55"/>
      <c r="AH377" s="55"/>
      <c r="AI377" s="55"/>
      <c r="AJ377" s="55"/>
      <c r="AK377" s="55"/>
      <c r="AL377" s="55"/>
      <c r="AM377" s="55"/>
      <c r="AN377" s="55"/>
      <c r="AO377" s="55"/>
    </row>
    <row r="378">
      <c r="A378" s="50">
        <f>IFERROR(__xludf.DUMMYFUNCTION("QUERY('Volunteer Survey'!A387)"),43846.65032980324)</f>
        <v>43846.65033</v>
      </c>
      <c r="B378" s="48" t="s">
        <v>108</v>
      </c>
      <c r="C378" s="53"/>
      <c r="D378" s="73">
        <v>43846.0</v>
      </c>
      <c r="E378" s="48" t="s">
        <v>117</v>
      </c>
      <c r="F378" s="48" t="s">
        <v>130</v>
      </c>
      <c r="G378" s="48" t="s">
        <v>122</v>
      </c>
      <c r="H378" s="53"/>
      <c r="I378" s="53"/>
      <c r="J378" s="55"/>
      <c r="K378" s="55"/>
      <c r="L378" s="55" t="str">
        <f>IFERROR(__xludf.DUMMYFUNCTION("QUERY('Volunteer Survey'!B387)"),"Devon Thrush")</f>
        <v>Devon Thrush</v>
      </c>
      <c r="M378" s="55" t="str">
        <f>IFERROR(__xludf.DUMMYFUNCTION("QUERY('Volunteer Survey'!E387)"),"dthrush@ambrygen.com")</f>
        <v>dthrush@ambrygen.com</v>
      </c>
      <c r="N378" s="55" t="str">
        <f>IFERROR(__xludf.DUMMYFUNCTION("QUERY('Volunteer Survey'!F387)"),"Genetic counselor")</f>
        <v>Genetic counselor</v>
      </c>
      <c r="O378" s="48" t="str">
        <f>IFERROR(__xludf.DUMMYFUNCTION("QUERY('Volunteer Survey'!H387)"),"Comprehensive")</f>
        <v>Comprehensive</v>
      </c>
      <c r="P378" s="55" t="str">
        <f>IFERROR(__xludf.DUMMYFUNCTION("QUERY('Volunteer Survey'!I387)"),"Gene-Disease Validity")</f>
        <v>Gene-Disease Validity</v>
      </c>
      <c r="Q378" s="60" t="str">
        <f>IFERROR(__xludf.DUMMYFUNCTION("QUERY('Volunteer Survey'!J387)"),"Variant Pathogenicity")</f>
        <v>Variant Pathogenicity</v>
      </c>
      <c r="R378" s="55" t="str">
        <f>IFERROR(__xludf.DUMMYFUNCTION("QUERY('Volunteer Survey'!K387)"),"Somatic Cancer")</f>
        <v>Somatic Cancer</v>
      </c>
      <c r="S378" s="55" t="str">
        <f>IFERROR(__xludf.DUMMYFUNCTION("QUERY('Volunteer Survey'!L387)"),"Clinical Actionability")</f>
        <v>Clinical Actionability</v>
      </c>
      <c r="T378" s="55" t="str">
        <f>IFERROR(__xludf.DUMMYFUNCTION("QUERY('Volunteer Survey'!M387)"),"Dosage Sensitivity")</f>
        <v>Dosage Sensitivity</v>
      </c>
      <c r="U378" s="64" t="str">
        <f>IFERROR(__xludf.DUMMYFUNCTION("QUERY('Volunteer Survey'!N387)"),"I currently perform this type of work in my job. ")</f>
        <v>I currently perform this type of work in my job. </v>
      </c>
      <c r="V378" s="55" t="str">
        <f>IFERROR(__xludf.DUMMYFUNCTION("QUERY('Volunteer Survey'!O387)"),"No")</f>
        <v>No</v>
      </c>
      <c r="W378" s="66" t="str">
        <f>IFERROR(__xludf.DUMMYFUNCTION("QUERY('Volunteer Survey'!P387)"),"")</f>
        <v/>
      </c>
      <c r="X378" s="64" t="str">
        <f>IFERROR(__xludf.DUMMYFUNCTION("QUERY('Volunteer Survey'!R387)"),"Yes- I am willing to volunteer with any available ClinGen group")</f>
        <v>Yes- I am willing to volunteer with any available ClinGen group</v>
      </c>
      <c r="Y378" s="53"/>
      <c r="Z378" s="55"/>
      <c r="AA378" s="55"/>
      <c r="AB378" s="55"/>
      <c r="AC378" s="55"/>
      <c r="AD378" s="55"/>
      <c r="AE378" s="55"/>
      <c r="AF378" s="55"/>
      <c r="AG378" s="55"/>
      <c r="AH378" s="55"/>
      <c r="AI378" s="55"/>
      <c r="AJ378" s="55"/>
      <c r="AK378" s="55"/>
      <c r="AL378" s="55"/>
      <c r="AM378" s="55"/>
      <c r="AN378" s="55"/>
      <c r="AO378" s="55"/>
    </row>
    <row r="379">
      <c r="A379" s="50">
        <f>IFERROR(__xludf.DUMMYFUNCTION("QUERY('Volunteer Survey'!A388)"),43847.4378778125)</f>
        <v>43847.43788</v>
      </c>
      <c r="B379" s="48" t="s">
        <v>108</v>
      </c>
      <c r="C379" s="87">
        <v>43482.0</v>
      </c>
      <c r="D379" s="73">
        <v>43846.0</v>
      </c>
      <c r="E379" s="48" t="s">
        <v>117</v>
      </c>
      <c r="F379" s="48" t="s">
        <v>117</v>
      </c>
      <c r="G379" s="48" t="s">
        <v>251</v>
      </c>
      <c r="H379" s="53"/>
      <c r="I379" s="51" t="s">
        <v>356</v>
      </c>
      <c r="J379" s="55"/>
      <c r="K379" s="55"/>
      <c r="L379" s="55" t="str">
        <f>IFERROR(__xludf.DUMMYFUNCTION("QUERY('Volunteer Survey'!B388)"),"Adriana Bastos Carvalho")</f>
        <v>Adriana Bastos Carvalho</v>
      </c>
      <c r="M379" s="55" t="str">
        <f>IFERROR(__xludf.DUMMYFUNCTION("QUERY('Volunteer Survey'!E388)"),"carvalhoab@biof.ufrj.br")</f>
        <v>carvalhoab@biof.ufrj.br</v>
      </c>
      <c r="N379" s="55" t="str">
        <f>IFERROR(__xludf.DUMMYFUNCTION("QUERY('Volunteer Survey'!F388)"),"Scientific Researcher")</f>
        <v>Scientific Researcher</v>
      </c>
      <c r="O379" s="48" t="str">
        <f>IFERROR(__xludf.DUMMYFUNCTION("QUERY('Volunteer Survey'!H388)"),"Comprehensive")</f>
        <v>Comprehensive</v>
      </c>
      <c r="P379" s="55" t="str">
        <f>IFERROR(__xludf.DUMMYFUNCTION("QUERY('Volunteer Survey'!I388)"),"Variant Pathogenicity")</f>
        <v>Variant Pathogenicity</v>
      </c>
      <c r="Q379" s="60" t="str">
        <f>IFERROR(__xludf.DUMMYFUNCTION("QUERY('Volunteer Survey'!J388)"),"")</f>
        <v/>
      </c>
      <c r="R379" s="55" t="str">
        <f>IFERROR(__xludf.DUMMYFUNCTION("QUERY('Volunteer Survey'!K388)"),"")</f>
        <v/>
      </c>
      <c r="S379" s="55" t="str">
        <f>IFERROR(__xludf.DUMMYFUNCTION("QUERY('Volunteer Survey'!L388)"),"")</f>
        <v/>
      </c>
      <c r="T379" s="55" t="str">
        <f>IFERROR(__xludf.DUMMYFUNCTION("QUERY('Volunteer Survey'!M388)"),"")</f>
        <v/>
      </c>
      <c r="U379" s="64" t="str">
        <f>IFERROR(__xludf.DUMMYFUNCTION("QUERY('Volunteer Survey'!N388)"),"No. Although I have never worked in curation activities, I work with in vitro models to investigate variant pathogenicity.")</f>
        <v>No. Although I have never worked in curation activities, I work with in vitro models to investigate variant pathogenicity.</v>
      </c>
      <c r="V379" s="55" t="str">
        <f>IFERROR(__xludf.DUMMYFUNCTION("QUERY('Volunteer Survey'!O388)"),"Yes")</f>
        <v>Yes</v>
      </c>
      <c r="W379" s="66" t="str">
        <f>IFERROR(__xludf.DUMMYFUNCTION("QUERY('Volunteer Survey'!P388)"),"Cardiomyopathy Variant Curation Expert Panel")</f>
        <v>Cardiomyopathy Variant Curation Expert Panel</v>
      </c>
      <c r="X379" s="64" t="str">
        <f>IFERROR(__xludf.DUMMYFUNCTION("QUERY('Volunteer Survey'!R388)"),"Yes- I am willing to volunteer with any available ClinGen group")</f>
        <v>Yes- I am willing to volunteer with any available ClinGen group</v>
      </c>
      <c r="Y379" s="53"/>
      <c r="Z379" s="55"/>
      <c r="AA379" s="55"/>
      <c r="AB379" s="55"/>
      <c r="AC379" s="55"/>
      <c r="AD379" s="55"/>
      <c r="AE379" s="55"/>
      <c r="AF379" s="55"/>
      <c r="AG379" s="55"/>
      <c r="AH379" s="55"/>
      <c r="AI379" s="55"/>
      <c r="AJ379" s="55"/>
      <c r="AK379" s="55"/>
      <c r="AL379" s="55"/>
      <c r="AM379" s="55"/>
      <c r="AN379" s="55"/>
      <c r="AO379" s="55"/>
    </row>
    <row r="380">
      <c r="A380" s="50">
        <f>IFERROR(__xludf.DUMMYFUNCTION("QUERY('Volunteer Survey'!A389)"),43847.669551747684)</f>
        <v>43847.66955</v>
      </c>
      <c r="B380" s="48" t="s">
        <v>108</v>
      </c>
      <c r="C380" s="53"/>
      <c r="D380" s="73">
        <v>43846.0</v>
      </c>
      <c r="E380" s="48" t="s">
        <v>117</v>
      </c>
      <c r="F380" s="48" t="s">
        <v>117</v>
      </c>
      <c r="G380" s="48" t="s">
        <v>122</v>
      </c>
      <c r="H380" s="53"/>
      <c r="I380" s="53"/>
      <c r="J380" s="55"/>
      <c r="K380" s="55"/>
      <c r="L380" s="55" t="str">
        <f>IFERROR(__xludf.DUMMYFUNCTION("QUERY('Volunteer Survey'!B389)"),"Shiloh Martin")</f>
        <v>Shiloh Martin</v>
      </c>
      <c r="M380" s="55" t="str">
        <f>IFERROR(__xludf.DUMMYFUNCTION("QUERY('Volunteer Survey'!E389)"),"shiloh.martin@invitae.com")</f>
        <v>shiloh.martin@invitae.com</v>
      </c>
      <c r="N380" s="55" t="str">
        <f>IFERROR(__xludf.DUMMYFUNCTION("QUERY('Volunteer Survey'!F389)"),"Variant Analyst/Scientist - Industry")</f>
        <v>Variant Analyst/Scientist - Industry</v>
      </c>
      <c r="O380" s="48" t="str">
        <f>IFERROR(__xludf.DUMMYFUNCTION("QUERY('Volunteer Survey'!H389)"),"Comprehensive")</f>
        <v>Comprehensive</v>
      </c>
      <c r="P380" s="55" t="str">
        <f>IFERROR(__xludf.DUMMYFUNCTION("QUERY('Volunteer Survey'!I389)"),"Gene-Disease Validity")</f>
        <v>Gene-Disease Validity</v>
      </c>
      <c r="Q380" s="60" t="str">
        <f>IFERROR(__xludf.DUMMYFUNCTION("QUERY('Volunteer Survey'!J389)"),"Variant Pathogenicity")</f>
        <v>Variant Pathogenicity</v>
      </c>
      <c r="R380" s="55" t="str">
        <f>IFERROR(__xludf.DUMMYFUNCTION("QUERY('Volunteer Survey'!K389)"),"")</f>
        <v/>
      </c>
      <c r="S380" s="55" t="str">
        <f>IFERROR(__xludf.DUMMYFUNCTION("QUERY('Volunteer Survey'!L389)"),"")</f>
        <v/>
      </c>
      <c r="T380" s="55" t="str">
        <f>IFERROR(__xludf.DUMMYFUNCTION("QUERY('Volunteer Survey'!M389)"),"")</f>
        <v/>
      </c>
      <c r="U380" s="64" t="str">
        <f>IFERROR(__xludf.DUMMYFUNCTION("QUERY('Volunteer Survey'!N389)"),"I currently do gene-disease curations and variant interpretation at Invitae")</f>
        <v>I currently do gene-disease curations and variant interpretation at Invitae</v>
      </c>
      <c r="V380" s="55" t="str">
        <f>IFERROR(__xludf.DUMMYFUNCTION("QUERY('Volunteer Survey'!O389)"),"No")</f>
        <v>No</v>
      </c>
      <c r="W380" s="66" t="str">
        <f>IFERROR(__xludf.DUMMYFUNCTION("QUERY('Volunteer Survey'!P389)"),"I am interested in working with an Immunology GCEP.  I don't think such a GCEP exists at this time, but I have been told that one is possibly forming, so I would be interested in joining that group once formed.")</f>
        <v>I am interested in working with an Immunology GCEP.  I don't think such a GCEP exists at this time, but I have been told that one is possibly forming, so I would be interested in joining that group once formed.</v>
      </c>
      <c r="X380" s="64" t="str">
        <f>IFERROR(__xludf.DUMMYFUNCTION("QUERY('Volunteer Survey'!R389)"),"Maybe -- please contact me with other options, and I will decide based on what is available")</f>
        <v>Maybe -- please contact me with other options, and I will decide based on what is available</v>
      </c>
      <c r="Y380" s="53"/>
      <c r="Z380" s="55"/>
      <c r="AA380" s="55"/>
      <c r="AB380" s="55"/>
      <c r="AC380" s="55"/>
      <c r="AD380" s="55"/>
      <c r="AE380" s="55"/>
      <c r="AF380" s="55"/>
      <c r="AG380" s="55"/>
      <c r="AH380" s="55"/>
      <c r="AI380" s="55"/>
      <c r="AJ380" s="55"/>
      <c r="AK380" s="55"/>
      <c r="AL380" s="55"/>
      <c r="AM380" s="55"/>
      <c r="AN380" s="55"/>
      <c r="AO380" s="55"/>
    </row>
    <row r="381">
      <c r="A381" s="50">
        <f>IFERROR(__xludf.DUMMYFUNCTION("QUERY('Volunteer Survey'!A390)"),43847.82158326389)</f>
        <v>43847.82158</v>
      </c>
      <c r="B381" s="48" t="s">
        <v>322</v>
      </c>
      <c r="C381" s="53"/>
      <c r="D381" s="55"/>
      <c r="E381" s="55"/>
      <c r="F381" s="48" t="s">
        <v>130</v>
      </c>
      <c r="G381" s="48" t="s">
        <v>313</v>
      </c>
      <c r="H381" s="53"/>
      <c r="I381" s="53"/>
      <c r="J381" s="55"/>
      <c r="K381" s="55"/>
      <c r="L381" s="55" t="str">
        <f>IFERROR(__xludf.DUMMYFUNCTION("QUERY('Volunteer Survey'!B390)"),"Jennifer Holle")</f>
        <v>Jennifer Holle</v>
      </c>
      <c r="M381" s="55" t="str">
        <f>IFERROR(__xludf.DUMMYFUNCTION("QUERY('Volunteer Survey'!E390)"),"jennifer.holle@invitae.com")</f>
        <v>jennifer.holle@invitae.com</v>
      </c>
      <c r="N381" s="55" t="str">
        <f>IFERROR(__xludf.DUMMYFUNCTION("QUERY('Volunteer Survey'!F390)"),"Variant Analyst/Scientist - Industry")</f>
        <v>Variant Analyst/Scientist - Industry</v>
      </c>
      <c r="O381" s="48" t="str">
        <f>IFERROR(__xludf.DUMMYFUNCTION("QUERY('Volunteer Survey'!H390)"),"Comprehensive")</f>
        <v>Comprehensive</v>
      </c>
      <c r="P381" s="55" t="str">
        <f>IFERROR(__xludf.DUMMYFUNCTION("QUERY('Volunteer Survey'!I390)"),"Gene-Disease Validity")</f>
        <v>Gene-Disease Validity</v>
      </c>
      <c r="Q381" s="60" t="str">
        <f>IFERROR(__xludf.DUMMYFUNCTION("QUERY('Volunteer Survey'!J390)"),"Variant Pathogenicity")</f>
        <v>Variant Pathogenicity</v>
      </c>
      <c r="R381" s="55" t="str">
        <f>IFERROR(__xludf.DUMMYFUNCTION("QUERY('Volunteer Survey'!K390)"),"")</f>
        <v/>
      </c>
      <c r="S381" s="55" t="str">
        <f>IFERROR(__xludf.DUMMYFUNCTION("QUERY('Volunteer Survey'!L390)"),"")</f>
        <v/>
      </c>
      <c r="T381" s="55" t="str">
        <f>IFERROR(__xludf.DUMMYFUNCTION("QUERY('Volunteer Survey'!M390)"),"")</f>
        <v/>
      </c>
      <c r="U381" s="64" t="str">
        <f>IFERROR(__xludf.DUMMYFUNCTION("QUERY('Volunteer Survey'!N390)"),"Yes, I do variant pathogenicity curation in my job, as well as gene-disease validity curation (though I do less of this).")</f>
        <v>Yes, I do variant pathogenicity curation in my job, as well as gene-disease validity curation (though I do less of this).</v>
      </c>
      <c r="V381" s="55" t="str">
        <f>IFERROR(__xludf.DUMMYFUNCTION("QUERY('Volunteer Survey'!O390)"),"Possibly")</f>
        <v>Possibly</v>
      </c>
      <c r="W381" s="66" t="str">
        <f>IFERROR(__xludf.DUMMYFUNCTION("QUERY('Volunteer Survey'!P390)"),"The primary immunodeficiency group - didn't see it on the list, but I know it's upcoming")</f>
        <v>The primary immunodeficiency group - didn't see it on the list, but I know it's upcoming</v>
      </c>
      <c r="X381" s="64" t="str">
        <f>IFERROR(__xludf.DUMMYFUNCTION("QUERY('Volunteer Survey'!R390)"),"Maybe -- please contact me with other options, and I will decide based on what is available")</f>
        <v>Maybe -- please contact me with other options, and I will decide based on what is available</v>
      </c>
      <c r="Y381" s="53"/>
      <c r="Z381" s="55"/>
      <c r="AA381" s="55"/>
      <c r="AB381" s="55"/>
      <c r="AC381" s="55"/>
      <c r="AD381" s="55"/>
      <c r="AE381" s="55"/>
      <c r="AF381" s="55"/>
      <c r="AG381" s="55"/>
      <c r="AH381" s="55"/>
      <c r="AI381" s="55"/>
      <c r="AJ381" s="55"/>
      <c r="AK381" s="55"/>
      <c r="AL381" s="55"/>
      <c r="AM381" s="55"/>
      <c r="AN381" s="55"/>
      <c r="AO381" s="55"/>
    </row>
    <row r="382">
      <c r="A382" s="50">
        <f>IFERROR(__xludf.DUMMYFUNCTION("QUERY('Volunteer Survey'!A391)"),43851.400375983794)</f>
        <v>43851.40038</v>
      </c>
      <c r="B382" s="48" t="s">
        <v>160</v>
      </c>
      <c r="C382" s="90">
        <v>43860.0</v>
      </c>
      <c r="D382" s="55"/>
      <c r="E382" s="55"/>
      <c r="F382" s="48" t="s">
        <v>130</v>
      </c>
      <c r="G382" s="48" t="s">
        <v>313</v>
      </c>
      <c r="H382" s="53"/>
      <c r="I382" s="53"/>
      <c r="J382" s="55"/>
      <c r="K382" s="55"/>
      <c r="L382" s="55" t="str">
        <f>IFERROR(__xludf.DUMMYFUNCTION("QUERY('Volunteer Survey'!B391)"),"George Jour")</f>
        <v>George Jour</v>
      </c>
      <c r="M382" s="55" t="str">
        <f>IFERROR(__xludf.DUMMYFUNCTION("QUERY('Volunteer Survey'!E391)"),"george.jour@nyulangone.org")</f>
        <v>george.jour@nyulangone.org</v>
      </c>
      <c r="N382" s="55" t="str">
        <f>IFERROR(__xludf.DUMMYFUNCTION("QUERY('Volunteer Survey'!F391)"),"Physician (Non-geneticist)")</f>
        <v>Physician (Non-geneticist)</v>
      </c>
      <c r="O382" s="48" t="str">
        <f>IFERROR(__xludf.DUMMYFUNCTION("QUERY('Volunteer Survey'!H391)"),"Baseline")</f>
        <v>Baseline</v>
      </c>
      <c r="P382" s="55" t="str">
        <f>IFERROR(__xludf.DUMMYFUNCTION("QUERY('Volunteer Survey'!I391)"),"Clinical Actionability")</f>
        <v>Clinical Actionability</v>
      </c>
      <c r="Q382" s="60" t="str">
        <f>IFERROR(__xludf.DUMMYFUNCTION("QUERY('Volunteer Survey'!J391)"),"Somatic Cancer")</f>
        <v>Somatic Cancer</v>
      </c>
      <c r="R382" s="55" t="str">
        <f>IFERROR(__xludf.DUMMYFUNCTION("QUERY('Volunteer Survey'!K391)"),"Gene-Disease Validity")</f>
        <v>Gene-Disease Validity</v>
      </c>
      <c r="S382" s="55" t="str">
        <f>IFERROR(__xludf.DUMMYFUNCTION("QUERY('Volunteer Survey'!L391)"),"Variant Pathogenicity")</f>
        <v>Variant Pathogenicity</v>
      </c>
      <c r="T382" s="55" t="str">
        <f>IFERROR(__xludf.DUMMYFUNCTION("QUERY('Volunteer Survey'!M391)"),"")</f>
        <v/>
      </c>
      <c r="U382" s="64" t="str">
        <f>IFERROR(__xludf.DUMMYFUNCTION("QUERY('Volunteer Survey'!N391)"),"I did help curate an internal database during my fellowship for an inherited cancer NGS panel")</f>
        <v>I did help curate an internal database during my fellowship for an inherited cancer NGS panel</v>
      </c>
      <c r="V382" s="55" t="str">
        <f>IFERROR(__xludf.DUMMYFUNCTION("QUERY('Volunteer Survey'!O391)"),"Yes")</f>
        <v>Yes</v>
      </c>
      <c r="W382" s="66" t="str">
        <f>IFERROR(__xludf.DUMMYFUNCTION("QUERY('Volunteer Survey'!P391)"),"Rasopathies; hearing Loss; inherited cancers")</f>
        <v>Rasopathies; hearing Loss; inherited cancers</v>
      </c>
      <c r="X382" s="64" t="str">
        <f>IFERROR(__xludf.DUMMYFUNCTION("QUERY('Volunteer Survey'!R391)"),"Maybe -- please contact me with other options, and I will decide based on what is available")</f>
        <v>Maybe -- please contact me with other options, and I will decide based on what is available</v>
      </c>
      <c r="Y382" s="53"/>
      <c r="Z382" s="55"/>
      <c r="AA382" s="55"/>
      <c r="AB382" s="55"/>
      <c r="AC382" s="55"/>
      <c r="AD382" s="55"/>
      <c r="AE382" s="55"/>
      <c r="AF382" s="55"/>
      <c r="AG382" s="55"/>
      <c r="AH382" s="55"/>
      <c r="AI382" s="55"/>
      <c r="AJ382" s="55"/>
      <c r="AK382" s="55"/>
      <c r="AL382" s="55"/>
      <c r="AM382" s="55"/>
      <c r="AN382" s="55"/>
      <c r="AO382" s="55"/>
    </row>
    <row r="383">
      <c r="A383" s="50">
        <f>IFERROR(__xludf.DUMMYFUNCTION("QUERY('Volunteer Survey'!A392)"),43851.415571122685)</f>
        <v>43851.41557</v>
      </c>
      <c r="B383" s="48" t="s">
        <v>322</v>
      </c>
      <c r="C383" s="51" t="s">
        <v>3144</v>
      </c>
      <c r="D383" s="55"/>
      <c r="E383" s="55"/>
      <c r="F383" s="48" t="s">
        <v>130</v>
      </c>
      <c r="G383" s="48" t="s">
        <v>313</v>
      </c>
      <c r="H383" s="53"/>
      <c r="I383" s="53"/>
      <c r="J383" s="55"/>
      <c r="K383" s="55"/>
      <c r="L383" s="55" t="str">
        <f>IFERROR(__xludf.DUMMYFUNCTION("QUERY('Volunteer Survey'!B392)"),"George Jour")</f>
        <v>George Jour</v>
      </c>
      <c r="M383" s="55" t="str">
        <f>IFERROR(__xludf.DUMMYFUNCTION("QUERY('Volunteer Survey'!E392)"),"george.jour@nyulangone.org")</f>
        <v>george.jour@nyulangone.org</v>
      </c>
      <c r="N383" s="55" t="str">
        <f>IFERROR(__xludf.DUMMYFUNCTION("QUERY('Volunteer Survey'!F392)"),"Physician (Non-geneticist)")</f>
        <v>Physician (Non-geneticist)</v>
      </c>
      <c r="O383" s="48" t="str">
        <f>IFERROR(__xludf.DUMMYFUNCTION("QUERY('Volunteer Survey'!H392)"),"Baseline")</f>
        <v>Baseline</v>
      </c>
      <c r="P383" s="55" t="str">
        <f>IFERROR(__xludf.DUMMYFUNCTION("QUERY('Volunteer Survey'!I392)"),"Clinical Actionability")</f>
        <v>Clinical Actionability</v>
      </c>
      <c r="Q383" s="60" t="str">
        <f>IFERROR(__xludf.DUMMYFUNCTION("QUERY('Volunteer Survey'!J392)"),"Somatic Cancer")</f>
        <v>Somatic Cancer</v>
      </c>
      <c r="R383" s="55" t="str">
        <f>IFERROR(__xludf.DUMMYFUNCTION("QUERY('Volunteer Survey'!K392)"),"Gene-Disease Validity")</f>
        <v>Gene-Disease Validity</v>
      </c>
      <c r="S383" s="55" t="str">
        <f>IFERROR(__xludf.DUMMYFUNCTION("QUERY('Volunteer Survey'!L392)"),"Variant Pathogenicity")</f>
        <v>Variant Pathogenicity</v>
      </c>
      <c r="T383" s="55" t="str">
        <f>IFERROR(__xludf.DUMMYFUNCTION("QUERY('Volunteer Survey'!M392)"),"")</f>
        <v/>
      </c>
      <c r="U383" s="64" t="str">
        <f>IFERROR(__xludf.DUMMYFUNCTION("QUERY('Volunteer Survey'!N392)"),"I did help curate an internal database during my fellowship for an inherited cancer NGS panel")</f>
        <v>I did help curate an internal database during my fellowship for an inherited cancer NGS panel</v>
      </c>
      <c r="V383" s="55" t="str">
        <f>IFERROR(__xludf.DUMMYFUNCTION("QUERY('Volunteer Survey'!O392)"),"Yes")</f>
        <v>Yes</v>
      </c>
      <c r="W383" s="66" t="str">
        <f>IFERROR(__xludf.DUMMYFUNCTION("QUERY('Volunteer Survey'!P392)"),"Rasopathies; hearing Loss; inherited cancers")</f>
        <v>Rasopathies; hearing Loss; inherited cancers</v>
      </c>
      <c r="X383" s="64" t="str">
        <f>IFERROR(__xludf.DUMMYFUNCTION("QUERY('Volunteer Survey'!R392)"),"Maybe -- please contact me with other options, and I will decide based on what is available")</f>
        <v>Maybe -- please contact me with other options, and I will decide based on what is available</v>
      </c>
      <c r="Y383" s="53"/>
      <c r="Z383" s="55"/>
      <c r="AA383" s="55"/>
      <c r="AB383" s="55"/>
      <c r="AC383" s="55"/>
      <c r="AD383" s="55"/>
      <c r="AE383" s="55"/>
      <c r="AF383" s="55"/>
      <c r="AG383" s="55"/>
      <c r="AH383" s="55"/>
      <c r="AI383" s="55"/>
      <c r="AJ383" s="55"/>
      <c r="AK383" s="55"/>
      <c r="AL383" s="55"/>
      <c r="AM383" s="55"/>
      <c r="AN383" s="55"/>
      <c r="AO383" s="55"/>
    </row>
    <row r="384">
      <c r="A384" s="50">
        <f>IFERROR(__xludf.DUMMYFUNCTION("QUERY('Volunteer Survey'!A393)"),43851.816404606485)</f>
        <v>43851.8164</v>
      </c>
      <c r="B384" s="48" t="s">
        <v>322</v>
      </c>
      <c r="C384" s="53"/>
      <c r="D384" s="55"/>
      <c r="E384" s="55"/>
      <c r="F384" s="48" t="s">
        <v>130</v>
      </c>
      <c r="G384" s="48" t="s">
        <v>313</v>
      </c>
      <c r="H384" s="53"/>
      <c r="I384" s="53"/>
      <c r="J384" s="55"/>
      <c r="K384" s="55"/>
      <c r="L384" s="55" t="str">
        <f>IFERROR(__xludf.DUMMYFUNCTION("QUERY('Volunteer Survey'!B393)"),"Emily Hansen-Kiss")</f>
        <v>Emily Hansen-Kiss</v>
      </c>
      <c r="M384" s="55" t="str">
        <f>IFERROR(__xludf.DUMMYFUNCTION("QUERY('Volunteer Survey'!E393)"),"Emily.HansenKiss@uth.tmc.edu")</f>
        <v>Emily.HansenKiss@uth.tmc.edu</v>
      </c>
      <c r="N384" s="55" t="str">
        <f>IFERROR(__xludf.DUMMYFUNCTION("QUERY('Volunteer Survey'!F393)"),"Genetic counselor")</f>
        <v>Genetic counselor</v>
      </c>
      <c r="O384" s="48" t="str">
        <f>IFERROR(__xludf.DUMMYFUNCTION("QUERY('Volunteer Survey'!H393)"),"Comprehensive")</f>
        <v>Comprehensive</v>
      </c>
      <c r="P384" s="55" t="str">
        <f>IFERROR(__xludf.DUMMYFUNCTION("QUERY('Volunteer Survey'!I393)"),"Variant Pathogenicity")</f>
        <v>Variant Pathogenicity</v>
      </c>
      <c r="Q384" s="60" t="str">
        <f>IFERROR(__xludf.DUMMYFUNCTION("QUERY('Volunteer Survey'!J393)"),"Clinical Actionability")</f>
        <v>Clinical Actionability</v>
      </c>
      <c r="R384" s="55" t="str">
        <f>IFERROR(__xludf.DUMMYFUNCTION("QUERY('Volunteer Survey'!K393)"),"Gene-Disease Validity")</f>
        <v>Gene-Disease Validity</v>
      </c>
      <c r="S384" s="55" t="str">
        <f>IFERROR(__xludf.DUMMYFUNCTION("QUERY('Volunteer Survey'!L393)"),"Dosage Sensitivity")</f>
        <v>Dosage Sensitivity</v>
      </c>
      <c r="T384" s="55" t="str">
        <f>IFERROR(__xludf.DUMMYFUNCTION("QUERY('Volunteer Survey'!M393)"),"")</f>
        <v/>
      </c>
      <c r="U384" s="64" t="str">
        <f>IFERROR(__xludf.DUMMYFUNCTION("QUERY('Volunteer Survey'!N393)"),"No official training or experience, but clinical experience working with patients with mutations within the PTEN gene and identifying when phenotype is a good match for genotype.")</f>
        <v>No official training or experience, but clinical experience working with patients with mutations within the PTEN gene and identifying when phenotype is a good match for genotype.</v>
      </c>
      <c r="V384" s="55" t="str">
        <f>IFERROR(__xludf.DUMMYFUNCTION("QUERY('Volunteer Survey'!O393)"),"Possibly")</f>
        <v>Possibly</v>
      </c>
      <c r="W384" s="66" t="str">
        <f>IFERROR(__xludf.DUMMYFUNCTION("QUERY('Volunteer Survey'!P393)"),"PTEN")</f>
        <v>PTEN</v>
      </c>
      <c r="X384" s="64" t="str">
        <f>IFERROR(__xludf.DUMMYFUNCTION("QUERY('Volunteer Survey'!R393)"),"No - I am only interested in the group(s) I previously indicated")</f>
        <v>No - I am only interested in the group(s) I previously indicated</v>
      </c>
      <c r="Y384" s="53"/>
      <c r="Z384" s="55"/>
      <c r="AA384" s="55"/>
      <c r="AB384" s="55"/>
      <c r="AC384" s="55"/>
      <c r="AD384" s="55"/>
      <c r="AE384" s="55"/>
      <c r="AF384" s="55"/>
      <c r="AG384" s="55"/>
      <c r="AH384" s="55"/>
      <c r="AI384" s="55"/>
      <c r="AJ384" s="55"/>
      <c r="AK384" s="55"/>
      <c r="AL384" s="55"/>
      <c r="AM384" s="55"/>
      <c r="AN384" s="55"/>
      <c r="AO384" s="55"/>
    </row>
    <row r="385">
      <c r="A385" s="50">
        <f>IFERROR(__xludf.DUMMYFUNCTION("QUERY('Volunteer Survey'!A394)"),43852.431576759256)</f>
        <v>43852.43158</v>
      </c>
      <c r="B385" s="48" t="s">
        <v>322</v>
      </c>
      <c r="C385" s="53"/>
      <c r="D385" s="55"/>
      <c r="E385" s="55"/>
      <c r="F385" s="48" t="s">
        <v>130</v>
      </c>
      <c r="G385" s="48" t="s">
        <v>313</v>
      </c>
      <c r="H385" s="53"/>
      <c r="I385" s="53"/>
      <c r="J385" s="55"/>
      <c r="K385" s="55"/>
      <c r="L385" s="55" t="str">
        <f>IFERROR(__xludf.DUMMYFUNCTION("QUERY('Volunteer Survey'!B394)"),"Chitra Chandrasekaran")</f>
        <v>Chitra Chandrasekaran</v>
      </c>
      <c r="M385" s="55" t="str">
        <f>IFERROR(__xludf.DUMMYFUNCTION("QUERY('Volunteer Survey'!E394)"),"cchandrasekaran@txwes.edu")</f>
        <v>cchandrasekaran@txwes.edu</v>
      </c>
      <c r="N385" s="55" t="str">
        <f>IFERROR(__xludf.DUMMYFUNCTION("QUERY('Volunteer Survey'!F394)"),"Biology Professor")</f>
        <v>Biology Professor</v>
      </c>
      <c r="O385" s="48" t="str">
        <f>IFERROR(__xludf.DUMMYFUNCTION("QUERY('Volunteer Survey'!H394)"),"Comprehensive")</f>
        <v>Comprehensive</v>
      </c>
      <c r="P385" s="55" t="str">
        <f>IFERROR(__xludf.DUMMYFUNCTION("QUERY('Volunteer Survey'!I394)"),"Gene-Disease Validity")</f>
        <v>Gene-Disease Validity</v>
      </c>
      <c r="Q385" s="60" t="str">
        <f>IFERROR(__xludf.DUMMYFUNCTION("QUERY('Volunteer Survey'!J394)"),"Variant Pathogenicity")</f>
        <v>Variant Pathogenicity</v>
      </c>
      <c r="R385" s="55" t="str">
        <f>IFERROR(__xludf.DUMMYFUNCTION("QUERY('Volunteer Survey'!K394)"),"Somatic Cancer")</f>
        <v>Somatic Cancer</v>
      </c>
      <c r="S385" s="55" t="str">
        <f>IFERROR(__xludf.DUMMYFUNCTION("QUERY('Volunteer Survey'!L394)"),"Dosage Sensitivity")</f>
        <v>Dosage Sensitivity</v>
      </c>
      <c r="T385" s="55" t="str">
        <f>IFERROR(__xludf.DUMMYFUNCTION("QUERY('Volunteer Survey'!M394)"),"Clinical Actionability")</f>
        <v>Clinical Actionability</v>
      </c>
      <c r="U385" s="64" t="str">
        <f>IFERROR(__xludf.DUMMYFUNCTION("QUERY('Volunteer Survey'!N394)"),"I do not have any previous experience with the activities mentioned above.")</f>
        <v>I do not have any previous experience with the activities mentioned above.</v>
      </c>
      <c r="V385" s="55" t="str">
        <f>IFERROR(__xludf.DUMMYFUNCTION("QUERY('Volunteer Survey'!O394)"),"Possibly")</f>
        <v>Possibly</v>
      </c>
      <c r="W385" s="66" t="str">
        <f>IFERROR(__xludf.DUMMYFUNCTION("QUERY('Volunteer Survey'!P394)"),"")</f>
        <v/>
      </c>
      <c r="X385" s="64" t="str">
        <f>IFERROR(__xludf.DUMMYFUNCTION("QUERY('Volunteer Survey'!R394)"),"")</f>
        <v/>
      </c>
      <c r="Y385" s="53"/>
      <c r="Z385" s="55"/>
      <c r="AA385" s="55"/>
      <c r="AB385" s="55"/>
      <c r="AC385" s="55"/>
      <c r="AD385" s="55"/>
      <c r="AE385" s="55"/>
      <c r="AF385" s="55"/>
      <c r="AG385" s="55"/>
      <c r="AH385" s="55"/>
      <c r="AI385" s="55"/>
      <c r="AJ385" s="55"/>
      <c r="AK385" s="55"/>
      <c r="AL385" s="55"/>
      <c r="AM385" s="55"/>
      <c r="AN385" s="55"/>
      <c r="AO385" s="55"/>
    </row>
    <row r="386">
      <c r="A386" s="50">
        <f>IFERROR(__xludf.DUMMYFUNCTION("QUERY('Volunteer Survey'!A395)"),43852.752405405095)</f>
        <v>43852.75241</v>
      </c>
      <c r="B386" s="48" t="s">
        <v>322</v>
      </c>
      <c r="C386" s="53"/>
      <c r="D386" s="55"/>
      <c r="E386" s="55"/>
      <c r="F386" s="48" t="s">
        <v>130</v>
      </c>
      <c r="G386" s="48" t="s">
        <v>313</v>
      </c>
      <c r="H386" s="53"/>
      <c r="I386" s="53"/>
      <c r="J386" s="55"/>
      <c r="K386" s="55"/>
      <c r="L386" s="55" t="str">
        <f>IFERROR(__xludf.DUMMYFUNCTION("QUERY('Volunteer Survey'!B395)"),"Silke Waap")</f>
        <v>Silke Waap</v>
      </c>
      <c r="M386" s="55" t="str">
        <f>IFERROR(__xludf.DUMMYFUNCTION("QUERY('Volunteer Survey'!E395)"),"silkewaap@gmail.com")</f>
        <v>silkewaap@gmail.com</v>
      </c>
      <c r="N386" s="55" t="str">
        <f>IFERROR(__xludf.DUMMYFUNCTION("QUERY('Volunteer Survey'!F395)"),"Scientific Researcher")</f>
        <v>Scientific Researcher</v>
      </c>
      <c r="O386" s="48" t="str">
        <f>IFERROR(__xludf.DUMMYFUNCTION("QUERY('Volunteer Survey'!H395)"),"Comprehensive")</f>
        <v>Comprehensive</v>
      </c>
      <c r="P386" s="55" t="str">
        <f>IFERROR(__xludf.DUMMYFUNCTION("QUERY('Volunteer Survey'!I395)"),"Gene-Disease Validity")</f>
        <v>Gene-Disease Validity</v>
      </c>
      <c r="Q386" s="60" t="str">
        <f>IFERROR(__xludf.DUMMYFUNCTION("QUERY('Volunteer Survey'!J395)"),"Variant Pathogenicity")</f>
        <v>Variant Pathogenicity</v>
      </c>
      <c r="R386" s="55" t="str">
        <f>IFERROR(__xludf.DUMMYFUNCTION("QUERY('Volunteer Survey'!K395)"),"")</f>
        <v/>
      </c>
      <c r="S386" s="55" t="str">
        <f>IFERROR(__xludf.DUMMYFUNCTION("QUERY('Volunteer Survey'!L395)"),"")</f>
        <v/>
      </c>
      <c r="T386" s="55" t="str">
        <f>IFERROR(__xludf.DUMMYFUNCTION("QUERY('Volunteer Survey'!M395)"),"")</f>
        <v/>
      </c>
      <c r="U386" s="64" t="str">
        <f>IFERROR(__xludf.DUMMYFUNCTION("QUERY('Volunteer Survey'!N395)"),"My scientific research expertise has been on evolutionary processes, involving gene variation (SNPs) and laboratory next generation sequencing techniques and bioinformatic analyses of genetic barcodes. ")</f>
        <v>My scientific research expertise has been on evolutionary processes, involving gene variation (SNPs) and laboratory next generation sequencing techniques and bioinformatic analyses of genetic barcodes. </v>
      </c>
      <c r="V386" s="55" t="str">
        <f>IFERROR(__xludf.DUMMYFUNCTION("QUERY('Volunteer Survey'!O395)"),"Yes")</f>
        <v>Yes</v>
      </c>
      <c r="W386" s="66" t="str">
        <f>IFERROR(__xludf.DUMMYFUNCTION("QUERY('Volunteer Survey'!P395)"),"")</f>
        <v/>
      </c>
      <c r="X386" s="64" t="str">
        <f>IFERROR(__xludf.DUMMYFUNCTION("QUERY('Volunteer Survey'!R395)"),"Yes- I am willing to volunteer with any available ClinGen group")</f>
        <v>Yes- I am willing to volunteer with any available ClinGen group</v>
      </c>
      <c r="Y386" s="53"/>
      <c r="Z386" s="55"/>
      <c r="AA386" s="55"/>
      <c r="AB386" s="55"/>
      <c r="AC386" s="55"/>
      <c r="AD386" s="55"/>
      <c r="AE386" s="55"/>
      <c r="AF386" s="55"/>
      <c r="AG386" s="55"/>
      <c r="AH386" s="55"/>
      <c r="AI386" s="55"/>
      <c r="AJ386" s="55"/>
      <c r="AK386" s="55"/>
      <c r="AL386" s="55"/>
      <c r="AM386" s="55"/>
      <c r="AN386" s="55"/>
      <c r="AO386" s="55"/>
    </row>
    <row r="387">
      <c r="A387" s="55" t="str">
        <f>IFERROR(__xludf.DUMMYFUNCTION("QUERY('Volunteer Survey'!A405)"),"")</f>
        <v/>
      </c>
      <c r="B387" s="48" t="s">
        <v>322</v>
      </c>
      <c r="C387" s="53"/>
      <c r="D387" s="55"/>
      <c r="E387" s="55"/>
      <c r="F387" s="55" t="b">
        <v>0</v>
      </c>
      <c r="G387" s="48" t="s">
        <v>313</v>
      </c>
      <c r="H387" s="53"/>
      <c r="I387" s="53"/>
      <c r="J387" s="55"/>
      <c r="K387" s="55"/>
      <c r="L387" s="55" t="str">
        <f>IFERROR(__xludf.DUMMYFUNCTION("QUERY('Volunteer Survey'!B405)"),"")</f>
        <v/>
      </c>
      <c r="M387" s="55" t="str">
        <f>IFERROR(__xludf.DUMMYFUNCTION("QUERY('Volunteer Survey'!E405)"),"")</f>
        <v/>
      </c>
      <c r="N387" s="55" t="str">
        <f>IFERROR(__xludf.DUMMYFUNCTION("QUERY('Volunteer Survey'!F405)"),"")</f>
        <v/>
      </c>
      <c r="O387" s="48" t="str">
        <f>IFERROR(__xludf.DUMMYFUNCTION("QUERY('Volunteer Survey'!H405)"),"")</f>
        <v/>
      </c>
      <c r="P387" s="55" t="str">
        <f>IFERROR(__xludf.DUMMYFUNCTION("QUERY('Volunteer Survey'!I413)"),"")</f>
        <v/>
      </c>
      <c r="Q387" s="60" t="str">
        <f>IFERROR(__xludf.DUMMYFUNCTION("QUERY('Volunteer Survey'!J405)"),"")</f>
        <v/>
      </c>
      <c r="R387" s="55" t="str">
        <f>IFERROR(__xludf.DUMMYFUNCTION("QUERY('Volunteer Survey'!K405)"),"")</f>
        <v/>
      </c>
      <c r="S387" s="55" t="str">
        <f>IFERROR(__xludf.DUMMYFUNCTION("QUERY('Volunteer Survey'!L405)"),"")</f>
        <v/>
      </c>
      <c r="T387" s="55" t="str">
        <f>IFERROR(__xludf.DUMMYFUNCTION("QUERY('Volunteer Survey'!M405)"),"")</f>
        <v/>
      </c>
      <c r="U387" s="64" t="str">
        <f>IFERROR(__xludf.DUMMYFUNCTION("QUERY('Volunteer Survey'!N405)"),"")</f>
        <v/>
      </c>
      <c r="V387" s="55" t="str">
        <f>IFERROR(__xludf.DUMMYFUNCTION("QUERY('Volunteer Survey'!O405)"),"")</f>
        <v/>
      </c>
      <c r="W387" s="66" t="str">
        <f>IFERROR(__xludf.DUMMYFUNCTION("QUERY('Volunteer Survey'!P405)"),"")</f>
        <v/>
      </c>
      <c r="X387" s="64" t="str">
        <f>IFERROR(__xludf.DUMMYFUNCTION("QUERY('Volunteer Survey'!R405)"),"")</f>
        <v/>
      </c>
      <c r="Y387" s="53"/>
      <c r="Z387" s="55"/>
      <c r="AA387" s="55"/>
      <c r="AB387" s="55"/>
      <c r="AC387" s="55"/>
      <c r="AD387" s="55"/>
      <c r="AE387" s="55"/>
      <c r="AF387" s="55"/>
      <c r="AG387" s="55"/>
      <c r="AH387" s="55"/>
      <c r="AI387" s="55"/>
      <c r="AJ387" s="55"/>
      <c r="AK387" s="55"/>
      <c r="AL387" s="55"/>
      <c r="AM387" s="55"/>
      <c r="AN387" s="55"/>
      <c r="AO387" s="55"/>
    </row>
    <row r="388">
      <c r="A388" s="55" t="str">
        <f>IFERROR(__xludf.DUMMYFUNCTION("QUERY('Volunteer Survey'!A406)"),"")</f>
        <v/>
      </c>
      <c r="B388" s="48" t="s">
        <v>322</v>
      </c>
      <c r="C388" s="53"/>
      <c r="D388" s="55"/>
      <c r="E388" s="55"/>
      <c r="F388" s="55" t="b">
        <v>0</v>
      </c>
      <c r="G388" s="48" t="s">
        <v>313</v>
      </c>
      <c r="H388" s="53"/>
      <c r="I388" s="53"/>
      <c r="J388" s="55"/>
      <c r="K388" s="55"/>
      <c r="L388" s="55" t="str">
        <f>IFERROR(__xludf.DUMMYFUNCTION("QUERY('Volunteer Survey'!B414)"),"")</f>
        <v/>
      </c>
      <c r="M388" s="55" t="str">
        <f>IFERROR(__xludf.DUMMYFUNCTION("QUERY('Volunteer Survey'!E414)"),"")</f>
        <v/>
      </c>
      <c r="N388" s="55" t="str">
        <f>IFERROR(__xludf.DUMMYFUNCTION("QUERY('Volunteer Survey'!F406)"),"")</f>
        <v/>
      </c>
      <c r="O388" s="48" t="str">
        <f>IFERROR(__xludf.DUMMYFUNCTION("QUERY('Volunteer Survey'!H406)"),"")</f>
        <v/>
      </c>
      <c r="P388" s="55" t="str">
        <f>IFERROR(__xludf.DUMMYFUNCTION("QUERY('Volunteer Survey'!I414)"),"")</f>
        <v/>
      </c>
      <c r="Q388" s="60" t="str">
        <f>IFERROR(__xludf.DUMMYFUNCTION("QUERY('Volunteer Survey'!J414)"),"")</f>
        <v/>
      </c>
      <c r="R388" s="55" t="str">
        <f>IFERROR(__xludf.DUMMYFUNCTION("QUERY('Volunteer Survey'!K406)"),"")</f>
        <v/>
      </c>
      <c r="S388" s="55" t="str">
        <f>IFERROR(__xludf.DUMMYFUNCTION("QUERY('Volunteer Survey'!L406)"),"")</f>
        <v/>
      </c>
      <c r="T388" s="55" t="str">
        <f>IFERROR(__xludf.DUMMYFUNCTION("QUERY('Volunteer Survey'!M406)"),"")</f>
        <v/>
      </c>
      <c r="U388" s="64" t="str">
        <f>IFERROR(__xludf.DUMMYFUNCTION("QUERY('Volunteer Survey'!N406)"),"")</f>
        <v/>
      </c>
      <c r="V388" s="55" t="str">
        <f>IFERROR(__xludf.DUMMYFUNCTION("QUERY('Volunteer Survey'!O406)"),"")</f>
        <v/>
      </c>
      <c r="W388" s="66" t="str">
        <f>IFERROR(__xludf.DUMMYFUNCTION("QUERY('Volunteer Survey'!P406)"),"")</f>
        <v/>
      </c>
      <c r="X388" s="64" t="str">
        <f>IFERROR(__xludf.DUMMYFUNCTION("QUERY('Volunteer Survey'!R414)"),"")</f>
        <v/>
      </c>
      <c r="Y388" s="53"/>
      <c r="Z388" s="55"/>
      <c r="AA388" s="55"/>
      <c r="AB388" s="55"/>
      <c r="AC388" s="55"/>
      <c r="AD388" s="55"/>
      <c r="AE388" s="55"/>
      <c r="AF388" s="55"/>
      <c r="AG388" s="55"/>
      <c r="AH388" s="55"/>
      <c r="AI388" s="55"/>
      <c r="AJ388" s="55"/>
      <c r="AK388" s="55"/>
      <c r="AL388" s="55"/>
      <c r="AM388" s="55"/>
      <c r="AN388" s="55"/>
      <c r="AO388" s="55"/>
    </row>
    <row r="389">
      <c r="A389" s="55" t="str">
        <f>IFERROR(__xludf.DUMMYFUNCTION("QUERY('Volunteer Survey'!A407)"),"")</f>
        <v/>
      </c>
      <c r="B389" s="48" t="s">
        <v>322</v>
      </c>
      <c r="C389" s="53"/>
      <c r="D389" s="55"/>
      <c r="E389" s="55"/>
      <c r="F389" s="55" t="b">
        <v>0</v>
      </c>
      <c r="G389" s="48" t="s">
        <v>313</v>
      </c>
      <c r="H389" s="53"/>
      <c r="I389" s="53"/>
      <c r="J389" s="55"/>
      <c r="K389" s="55"/>
      <c r="L389" s="55" t="str">
        <f>IFERROR(__xludf.DUMMYFUNCTION("QUERY('Volunteer Survey'!B415)"),"")</f>
        <v/>
      </c>
      <c r="M389" s="55" t="str">
        <f>IFERROR(__xludf.DUMMYFUNCTION("QUERY('Volunteer Survey'!E415)"),"")</f>
        <v/>
      </c>
      <c r="N389" s="55" t="str">
        <f>IFERROR(__xludf.DUMMYFUNCTION("QUERY('Volunteer Survey'!F415)"),"")</f>
        <v/>
      </c>
      <c r="O389" s="48" t="str">
        <f>IFERROR(__xludf.DUMMYFUNCTION("QUERY('Volunteer Survey'!H407)"),"")</f>
        <v/>
      </c>
      <c r="P389" s="55" t="str">
        <f>IFERROR(__xludf.DUMMYFUNCTION("QUERY('Volunteer Survey'!I415)"),"")</f>
        <v/>
      </c>
      <c r="Q389" s="60" t="str">
        <f>IFERROR(__xludf.DUMMYFUNCTION("QUERY('Volunteer Survey'!J415)"),"")</f>
        <v/>
      </c>
      <c r="R389" s="55" t="str">
        <f>IFERROR(__xludf.DUMMYFUNCTION("QUERY('Volunteer Survey'!K415)"),"")</f>
        <v/>
      </c>
      <c r="S389" s="55" t="str">
        <f>IFERROR(__xludf.DUMMYFUNCTION("QUERY('Volunteer Survey'!L407)"),"")</f>
        <v/>
      </c>
      <c r="T389" s="55" t="str">
        <f>IFERROR(__xludf.DUMMYFUNCTION("QUERY('Volunteer Survey'!M407)"),"")</f>
        <v/>
      </c>
      <c r="U389" s="64" t="str">
        <f>IFERROR(__xludf.DUMMYFUNCTION("QUERY('Volunteer Survey'!N407)"),"")</f>
        <v/>
      </c>
      <c r="V389" s="55" t="str">
        <f>IFERROR(__xludf.DUMMYFUNCTION("QUERY('Volunteer Survey'!O415)"),"")</f>
        <v/>
      </c>
      <c r="W389" s="66" t="str">
        <f>IFERROR(__xludf.DUMMYFUNCTION("QUERY('Volunteer Survey'!P415)"),"")</f>
        <v/>
      </c>
      <c r="X389" s="64" t="str">
        <f>IFERROR(__xludf.DUMMYFUNCTION("QUERY('Volunteer Survey'!R415)"),"")</f>
        <v/>
      </c>
      <c r="Y389" s="53"/>
      <c r="Z389" s="55"/>
      <c r="AA389" s="55"/>
      <c r="AB389" s="55"/>
      <c r="AC389" s="55"/>
      <c r="AD389" s="55"/>
      <c r="AE389" s="55"/>
      <c r="AF389" s="55"/>
      <c r="AG389" s="55"/>
      <c r="AH389" s="55"/>
      <c r="AI389" s="55"/>
      <c r="AJ389" s="55"/>
      <c r="AK389" s="55"/>
      <c r="AL389" s="55"/>
      <c r="AM389" s="55"/>
      <c r="AN389" s="55"/>
      <c r="AO389" s="55"/>
    </row>
    <row r="390">
      <c r="A390" s="55" t="str">
        <f>IFERROR(__xludf.DUMMYFUNCTION("QUERY('Volunteer Survey'!A408)"),"")</f>
        <v/>
      </c>
      <c r="B390" s="48" t="s">
        <v>322</v>
      </c>
      <c r="C390" s="53"/>
      <c r="D390" s="55"/>
      <c r="E390" s="55"/>
      <c r="F390" s="55" t="b">
        <v>0</v>
      </c>
      <c r="G390" s="48" t="s">
        <v>313</v>
      </c>
      <c r="H390" s="53"/>
      <c r="I390" s="53"/>
      <c r="J390" s="55"/>
      <c r="K390" s="55"/>
      <c r="L390" s="55" t="str">
        <f>IFERROR(__xludf.DUMMYFUNCTION("QUERY('Volunteer Survey'!B416)"),"")</f>
        <v/>
      </c>
      <c r="M390" s="55" t="str">
        <f>IFERROR(__xludf.DUMMYFUNCTION("QUERY('Volunteer Survey'!E416)"),"")</f>
        <v/>
      </c>
      <c r="N390" s="55" t="str">
        <f>IFERROR(__xludf.DUMMYFUNCTION("QUERY('Volunteer Survey'!F416)"),"")</f>
        <v/>
      </c>
      <c r="O390" s="48" t="str">
        <f>IFERROR(__xludf.DUMMYFUNCTION("QUERY('Volunteer Survey'!H416)"),"")</f>
        <v/>
      </c>
      <c r="P390" s="55" t="str">
        <f>IFERROR(__xludf.DUMMYFUNCTION("QUERY('Volunteer Survey'!I416)"),"")</f>
        <v/>
      </c>
      <c r="Q390" s="60" t="str">
        <f>IFERROR(__xludf.DUMMYFUNCTION("QUERY('Volunteer Survey'!J416)"),"")</f>
        <v/>
      </c>
      <c r="R390" s="55" t="str">
        <f>IFERROR(__xludf.DUMMYFUNCTION("QUERY('Volunteer Survey'!K416)"),"")</f>
        <v/>
      </c>
      <c r="S390" s="55" t="str">
        <f>IFERROR(__xludf.DUMMYFUNCTION("QUERY('Volunteer Survey'!L416)"),"")</f>
        <v/>
      </c>
      <c r="T390" s="55" t="str">
        <f>IFERROR(__xludf.DUMMYFUNCTION("QUERY('Volunteer Survey'!M416)"),"")</f>
        <v/>
      </c>
      <c r="U390" s="64" t="str">
        <f>IFERROR(__xludf.DUMMYFUNCTION("QUERY('Volunteer Survey'!N416)"),"")</f>
        <v/>
      </c>
      <c r="V390" s="55" t="str">
        <f>IFERROR(__xludf.DUMMYFUNCTION("QUERY('Volunteer Survey'!O416)"),"")</f>
        <v/>
      </c>
      <c r="W390" s="66" t="str">
        <f>IFERROR(__xludf.DUMMYFUNCTION("QUERY('Volunteer Survey'!P416)"),"")</f>
        <v/>
      </c>
      <c r="X390" s="64" t="str">
        <f>IFERROR(__xludf.DUMMYFUNCTION("QUERY('Volunteer Survey'!R416)"),"")</f>
        <v/>
      </c>
      <c r="Y390" s="53"/>
      <c r="Z390" s="55"/>
      <c r="AA390" s="55"/>
      <c r="AB390" s="55"/>
      <c r="AC390" s="55"/>
      <c r="AD390" s="55"/>
      <c r="AE390" s="55"/>
      <c r="AF390" s="55"/>
      <c r="AG390" s="55"/>
      <c r="AH390" s="55"/>
      <c r="AI390" s="55"/>
      <c r="AJ390" s="55"/>
      <c r="AK390" s="55"/>
      <c r="AL390" s="55"/>
      <c r="AM390" s="55"/>
      <c r="AN390" s="55"/>
      <c r="AO390" s="55"/>
    </row>
    <row r="391">
      <c r="A391" s="55" t="str">
        <f>IFERROR(__xludf.DUMMYFUNCTION("QUERY('Volunteer Survey'!A409)"),"")</f>
        <v/>
      </c>
      <c r="B391" s="48" t="s">
        <v>322</v>
      </c>
      <c r="C391" s="53"/>
      <c r="D391" s="55"/>
      <c r="E391" s="55"/>
      <c r="F391" s="55" t="b">
        <v>0</v>
      </c>
      <c r="G391" s="48" t="s">
        <v>313</v>
      </c>
      <c r="H391" s="53"/>
      <c r="I391" s="53"/>
      <c r="J391" s="55"/>
      <c r="K391" s="55"/>
      <c r="L391" s="55" t="str">
        <f>IFERROR(__xludf.DUMMYFUNCTION("QUERY('Volunteer Survey'!B417)"),"")</f>
        <v/>
      </c>
      <c r="M391" s="55" t="str">
        <f>IFERROR(__xludf.DUMMYFUNCTION("QUERY('Volunteer Survey'!E417)"),"")</f>
        <v/>
      </c>
      <c r="N391" s="55" t="str">
        <f>IFERROR(__xludf.DUMMYFUNCTION("QUERY('Volunteer Survey'!F417)"),"")</f>
        <v/>
      </c>
      <c r="O391" s="48" t="str">
        <f>IFERROR(__xludf.DUMMYFUNCTION("QUERY('Volunteer Survey'!H417)"),"")</f>
        <v/>
      </c>
      <c r="P391" s="55" t="str">
        <f>IFERROR(__xludf.DUMMYFUNCTION("QUERY('Volunteer Survey'!I417)"),"")</f>
        <v/>
      </c>
      <c r="Q391" s="60" t="str">
        <f>IFERROR(__xludf.DUMMYFUNCTION("QUERY('Volunteer Survey'!J417)"),"")</f>
        <v/>
      </c>
      <c r="R391" s="55" t="str">
        <f>IFERROR(__xludf.DUMMYFUNCTION("QUERY('Volunteer Survey'!K417)"),"")</f>
        <v/>
      </c>
      <c r="S391" s="55" t="str">
        <f>IFERROR(__xludf.DUMMYFUNCTION("QUERY('Volunteer Survey'!L417)"),"")</f>
        <v/>
      </c>
      <c r="T391" s="55" t="str">
        <f>IFERROR(__xludf.DUMMYFUNCTION("QUERY('Volunteer Survey'!M417)"),"")</f>
        <v/>
      </c>
      <c r="U391" s="64" t="str">
        <f>IFERROR(__xludf.DUMMYFUNCTION("QUERY('Volunteer Survey'!N417)"),"")</f>
        <v/>
      </c>
      <c r="V391" s="55" t="str">
        <f>IFERROR(__xludf.DUMMYFUNCTION("QUERY('Volunteer Survey'!O417)"),"")</f>
        <v/>
      </c>
      <c r="W391" s="66" t="str">
        <f>IFERROR(__xludf.DUMMYFUNCTION("QUERY('Volunteer Survey'!P417)"),"")</f>
        <v/>
      </c>
      <c r="X391" s="64" t="str">
        <f>IFERROR(__xludf.DUMMYFUNCTION("QUERY('Volunteer Survey'!R417)"),"")</f>
        <v/>
      </c>
      <c r="Y391" s="53"/>
      <c r="Z391" s="55"/>
      <c r="AA391" s="55"/>
      <c r="AB391" s="55"/>
      <c r="AC391" s="55"/>
      <c r="AD391" s="55"/>
      <c r="AE391" s="55"/>
      <c r="AF391" s="55"/>
      <c r="AG391" s="55"/>
      <c r="AH391" s="55"/>
      <c r="AI391" s="55"/>
      <c r="AJ391" s="55"/>
      <c r="AK391" s="55"/>
      <c r="AL391" s="55"/>
      <c r="AM391" s="55"/>
      <c r="AN391" s="55"/>
      <c r="AO391" s="55"/>
    </row>
    <row r="392">
      <c r="A392" s="55" t="str">
        <f>IFERROR(__xludf.DUMMYFUNCTION("QUERY('Volunteer Survey'!A786)"),"")</f>
        <v/>
      </c>
      <c r="B392" s="48" t="s">
        <v>322</v>
      </c>
      <c r="C392" s="53"/>
      <c r="D392" s="55"/>
      <c r="E392" s="55"/>
      <c r="F392" s="55" t="b">
        <v>0</v>
      </c>
      <c r="G392" s="48" t="s">
        <v>313</v>
      </c>
      <c r="H392" s="53"/>
      <c r="I392" s="53"/>
      <c r="J392" s="55"/>
      <c r="K392" s="55"/>
      <c r="L392" s="55" t="str">
        <f>IFERROR(__xludf.DUMMYFUNCTION("QUERY('Volunteer Survey'!B418)"),"")</f>
        <v/>
      </c>
      <c r="M392" s="55" t="str">
        <f>IFERROR(__xludf.DUMMYFUNCTION("QUERY('Volunteer Survey'!E418)"),"")</f>
        <v/>
      </c>
      <c r="N392" s="55" t="str">
        <f>IFERROR(__xludf.DUMMYFUNCTION("QUERY('Volunteer Survey'!F418)"),"")</f>
        <v/>
      </c>
      <c r="O392" s="48" t="str">
        <f>IFERROR(__xludf.DUMMYFUNCTION("QUERY('Volunteer Survey'!H418)"),"")</f>
        <v/>
      </c>
      <c r="P392" s="55" t="str">
        <f>IFERROR(__xludf.DUMMYFUNCTION("QUERY('Volunteer Survey'!I418)"),"")</f>
        <v/>
      </c>
      <c r="Q392" s="60" t="str">
        <f>IFERROR(__xludf.DUMMYFUNCTION("QUERY('Volunteer Survey'!J418)"),"")</f>
        <v/>
      </c>
      <c r="R392" s="55" t="str">
        <f>IFERROR(__xludf.DUMMYFUNCTION("QUERY('Volunteer Survey'!K418)"),"")</f>
        <v/>
      </c>
      <c r="S392" s="55" t="str">
        <f>IFERROR(__xludf.DUMMYFUNCTION("QUERY('Volunteer Survey'!L418)"),"")</f>
        <v/>
      </c>
      <c r="T392" s="55" t="str">
        <f>IFERROR(__xludf.DUMMYFUNCTION("QUERY('Volunteer Survey'!M418)"),"")</f>
        <v/>
      </c>
      <c r="U392" s="64" t="str">
        <f>IFERROR(__xludf.DUMMYFUNCTION("QUERY('Volunteer Survey'!N418)"),"")</f>
        <v/>
      </c>
      <c r="V392" s="55" t="str">
        <f>IFERROR(__xludf.DUMMYFUNCTION("QUERY('Volunteer Survey'!O418)"),"")</f>
        <v/>
      </c>
      <c r="W392" s="66" t="str">
        <f>IFERROR(__xludf.DUMMYFUNCTION("QUERY('Volunteer Survey'!P418)"),"")</f>
        <v/>
      </c>
      <c r="X392" s="64" t="str">
        <f>IFERROR(__xludf.DUMMYFUNCTION("QUERY('Volunteer Survey'!R418)"),"")</f>
        <v/>
      </c>
      <c r="Y392" s="53"/>
      <c r="Z392" s="55"/>
      <c r="AA392" s="55"/>
      <c r="AB392" s="55"/>
      <c r="AC392" s="55"/>
      <c r="AD392" s="55"/>
      <c r="AE392" s="55"/>
      <c r="AF392" s="55"/>
      <c r="AG392" s="55"/>
      <c r="AH392" s="55"/>
      <c r="AI392" s="55"/>
      <c r="AJ392" s="55"/>
      <c r="AK392" s="55"/>
      <c r="AL392" s="55"/>
      <c r="AM392" s="55"/>
      <c r="AN392" s="55"/>
      <c r="AO392" s="55"/>
    </row>
    <row r="393">
      <c r="A393" s="55" t="str">
        <f>IFERROR(__xludf.DUMMYFUNCTION("QUERY('Volunteer Survey'!A787)"),"")</f>
        <v/>
      </c>
      <c r="B393" s="48" t="s">
        <v>322</v>
      </c>
      <c r="C393" s="53"/>
      <c r="D393" s="55"/>
      <c r="E393" s="55"/>
      <c r="F393" s="55" t="b">
        <v>0</v>
      </c>
      <c r="G393" s="48" t="s">
        <v>313</v>
      </c>
      <c r="H393" s="53"/>
      <c r="I393" s="53"/>
      <c r="J393" s="55"/>
      <c r="K393" s="55"/>
      <c r="L393" s="55" t="str">
        <f>IFERROR(__xludf.DUMMYFUNCTION("QUERY('Volunteer Survey'!B419)"),"")</f>
        <v/>
      </c>
      <c r="M393" s="55" t="str">
        <f>IFERROR(__xludf.DUMMYFUNCTION("QUERY('Volunteer Survey'!E419)"),"")</f>
        <v/>
      </c>
      <c r="N393" s="55" t="str">
        <f>IFERROR(__xludf.DUMMYFUNCTION("QUERY('Volunteer Survey'!F419)"),"")</f>
        <v/>
      </c>
      <c r="O393" s="48" t="str">
        <f>IFERROR(__xludf.DUMMYFUNCTION("QUERY('Volunteer Survey'!H419)"),"")</f>
        <v/>
      </c>
      <c r="P393" s="55" t="str">
        <f>IFERROR(__xludf.DUMMYFUNCTION("QUERY('Volunteer Survey'!I419)"),"")</f>
        <v/>
      </c>
      <c r="Q393" s="60" t="str">
        <f>IFERROR(__xludf.DUMMYFUNCTION("QUERY('Volunteer Survey'!J419)"),"")</f>
        <v/>
      </c>
      <c r="R393" s="55" t="str">
        <f>IFERROR(__xludf.DUMMYFUNCTION("QUERY('Volunteer Survey'!K419)"),"")</f>
        <v/>
      </c>
      <c r="S393" s="55" t="str">
        <f>IFERROR(__xludf.DUMMYFUNCTION("QUERY('Volunteer Survey'!L419)"),"")</f>
        <v/>
      </c>
      <c r="T393" s="55" t="str">
        <f>IFERROR(__xludf.DUMMYFUNCTION("QUERY('Volunteer Survey'!M419)"),"")</f>
        <v/>
      </c>
      <c r="U393" s="64" t="str">
        <f>IFERROR(__xludf.DUMMYFUNCTION("QUERY('Volunteer Survey'!N419)"),"")</f>
        <v/>
      </c>
      <c r="V393" s="55" t="str">
        <f>IFERROR(__xludf.DUMMYFUNCTION("QUERY('Volunteer Survey'!O419)"),"")</f>
        <v/>
      </c>
      <c r="W393" s="66" t="str">
        <f>IFERROR(__xludf.DUMMYFUNCTION("QUERY('Volunteer Survey'!P419)"),"")</f>
        <v/>
      </c>
      <c r="X393" s="64" t="str">
        <f>IFERROR(__xludf.DUMMYFUNCTION("QUERY('Volunteer Survey'!R419)"),"")</f>
        <v/>
      </c>
      <c r="Y393" s="53"/>
      <c r="Z393" s="55"/>
      <c r="AA393" s="55"/>
      <c r="AB393" s="55"/>
      <c r="AC393" s="55"/>
      <c r="AD393" s="55"/>
      <c r="AE393" s="55"/>
      <c r="AF393" s="55"/>
      <c r="AG393" s="55"/>
      <c r="AH393" s="55"/>
      <c r="AI393" s="55"/>
      <c r="AJ393" s="55"/>
      <c r="AK393" s="55"/>
      <c r="AL393" s="55"/>
      <c r="AM393" s="55"/>
      <c r="AN393" s="55"/>
      <c r="AO393" s="55"/>
    </row>
    <row r="394">
      <c r="A394" s="55" t="str">
        <f>IFERROR(__xludf.DUMMYFUNCTION("QUERY('Volunteer Survey'!A788)"),"")</f>
        <v/>
      </c>
      <c r="B394" s="48" t="s">
        <v>322</v>
      </c>
      <c r="C394" s="53"/>
      <c r="D394" s="55"/>
      <c r="E394" s="55"/>
      <c r="F394" s="55" t="b">
        <v>0</v>
      </c>
      <c r="G394" s="48" t="s">
        <v>313</v>
      </c>
      <c r="H394" s="53"/>
      <c r="I394" s="53"/>
      <c r="J394" s="55"/>
      <c r="K394" s="55"/>
      <c r="L394" s="55" t="str">
        <f>IFERROR(__xludf.DUMMYFUNCTION("QUERY('Volunteer Survey'!B420)"),"")</f>
        <v/>
      </c>
      <c r="M394" s="55" t="str">
        <f>IFERROR(__xludf.DUMMYFUNCTION("QUERY('Volunteer Survey'!E420)"),"")</f>
        <v/>
      </c>
      <c r="N394" s="55" t="str">
        <f>IFERROR(__xludf.DUMMYFUNCTION("QUERY('Volunteer Survey'!F420)"),"")</f>
        <v/>
      </c>
      <c r="O394" s="48" t="str">
        <f>IFERROR(__xludf.DUMMYFUNCTION("QUERY('Volunteer Survey'!H420)"),"")</f>
        <v/>
      </c>
      <c r="P394" s="55" t="str">
        <f>IFERROR(__xludf.DUMMYFUNCTION("QUERY('Volunteer Survey'!I420)"),"")</f>
        <v/>
      </c>
      <c r="Q394" s="60" t="str">
        <f>IFERROR(__xludf.DUMMYFUNCTION("QUERY('Volunteer Survey'!J420)"),"")</f>
        <v/>
      </c>
      <c r="R394" s="55" t="str">
        <f>IFERROR(__xludf.DUMMYFUNCTION("QUERY('Volunteer Survey'!K420)"),"")</f>
        <v/>
      </c>
      <c r="S394" s="55" t="str">
        <f>IFERROR(__xludf.DUMMYFUNCTION("QUERY('Volunteer Survey'!L420)"),"")</f>
        <v/>
      </c>
      <c r="T394" s="55" t="str">
        <f>IFERROR(__xludf.DUMMYFUNCTION("QUERY('Volunteer Survey'!M420)"),"")</f>
        <v/>
      </c>
      <c r="U394" s="64" t="str">
        <f>IFERROR(__xludf.DUMMYFUNCTION("QUERY('Volunteer Survey'!N420)"),"")</f>
        <v/>
      </c>
      <c r="V394" s="55" t="str">
        <f>IFERROR(__xludf.DUMMYFUNCTION("QUERY('Volunteer Survey'!O420)"),"")</f>
        <v/>
      </c>
      <c r="W394" s="66" t="str">
        <f>IFERROR(__xludf.DUMMYFUNCTION("QUERY('Volunteer Survey'!P420)"),"")</f>
        <v/>
      </c>
      <c r="X394" s="64" t="str">
        <f>IFERROR(__xludf.DUMMYFUNCTION("QUERY('Volunteer Survey'!R420)"),"")</f>
        <v/>
      </c>
      <c r="Y394" s="53"/>
      <c r="Z394" s="55"/>
      <c r="AA394" s="55"/>
      <c r="AB394" s="55"/>
      <c r="AC394" s="55"/>
      <c r="AD394" s="55"/>
      <c r="AE394" s="55"/>
      <c r="AF394" s="55"/>
      <c r="AG394" s="55"/>
      <c r="AH394" s="55"/>
      <c r="AI394" s="55"/>
      <c r="AJ394" s="55"/>
      <c r="AK394" s="55"/>
      <c r="AL394" s="55"/>
      <c r="AM394" s="55"/>
      <c r="AN394" s="55"/>
      <c r="AO394" s="55"/>
    </row>
    <row r="395">
      <c r="A395" s="55" t="str">
        <f>IFERROR(__xludf.DUMMYFUNCTION("QUERY('Volunteer Survey'!A789)"),"")</f>
        <v/>
      </c>
      <c r="B395" s="48" t="s">
        <v>322</v>
      </c>
      <c r="C395" s="53"/>
      <c r="D395" s="55"/>
      <c r="E395" s="55"/>
      <c r="F395" s="55" t="b">
        <v>0</v>
      </c>
      <c r="G395" s="48" t="s">
        <v>313</v>
      </c>
      <c r="H395" s="53"/>
      <c r="I395" s="53"/>
      <c r="J395" s="55"/>
      <c r="K395" s="55"/>
      <c r="L395" s="55" t="str">
        <f>IFERROR(__xludf.DUMMYFUNCTION("QUERY('Volunteer Survey'!B421)"),"")</f>
        <v/>
      </c>
      <c r="M395" s="55" t="str">
        <f>IFERROR(__xludf.DUMMYFUNCTION("QUERY('Volunteer Survey'!E421)"),"")</f>
        <v/>
      </c>
      <c r="N395" s="55" t="str">
        <f>IFERROR(__xludf.DUMMYFUNCTION("QUERY('Volunteer Survey'!F421)"),"")</f>
        <v/>
      </c>
      <c r="O395" s="48" t="str">
        <f>IFERROR(__xludf.DUMMYFUNCTION("QUERY('Volunteer Survey'!H421)"),"")</f>
        <v/>
      </c>
      <c r="P395" s="55" t="str">
        <f>IFERROR(__xludf.DUMMYFUNCTION("QUERY('Volunteer Survey'!I421)"),"")</f>
        <v/>
      </c>
      <c r="Q395" s="60" t="str">
        <f>IFERROR(__xludf.DUMMYFUNCTION("QUERY('Volunteer Survey'!J421)"),"")</f>
        <v/>
      </c>
      <c r="R395" s="55" t="str">
        <f>IFERROR(__xludf.DUMMYFUNCTION("QUERY('Volunteer Survey'!K421)"),"")</f>
        <v/>
      </c>
      <c r="S395" s="55" t="str">
        <f>IFERROR(__xludf.DUMMYFUNCTION("QUERY('Volunteer Survey'!L421)"),"")</f>
        <v/>
      </c>
      <c r="T395" s="55" t="str">
        <f>IFERROR(__xludf.DUMMYFUNCTION("QUERY('Volunteer Survey'!M421)"),"")</f>
        <v/>
      </c>
      <c r="U395" s="64" t="str">
        <f>IFERROR(__xludf.DUMMYFUNCTION("QUERY('Volunteer Survey'!N421)"),"")</f>
        <v/>
      </c>
      <c r="V395" s="55" t="str">
        <f>IFERROR(__xludf.DUMMYFUNCTION("QUERY('Volunteer Survey'!O421)"),"")</f>
        <v/>
      </c>
      <c r="W395" s="66" t="str">
        <f>IFERROR(__xludf.DUMMYFUNCTION("QUERY('Volunteer Survey'!P421)"),"")</f>
        <v/>
      </c>
      <c r="X395" s="64" t="str">
        <f>IFERROR(__xludf.DUMMYFUNCTION("QUERY('Volunteer Survey'!R421)"),"")</f>
        <v/>
      </c>
      <c r="Y395" s="53"/>
      <c r="Z395" s="55"/>
      <c r="AA395" s="55"/>
      <c r="AB395" s="55"/>
      <c r="AC395" s="55"/>
      <c r="AD395" s="55"/>
      <c r="AE395" s="55"/>
      <c r="AF395" s="55"/>
      <c r="AG395" s="55"/>
      <c r="AH395" s="55"/>
      <c r="AI395" s="55"/>
      <c r="AJ395" s="55"/>
      <c r="AK395" s="55"/>
      <c r="AL395" s="55"/>
      <c r="AM395" s="55"/>
      <c r="AN395" s="55"/>
      <c r="AO395" s="55"/>
    </row>
    <row r="396">
      <c r="A396" s="55" t="str">
        <f>IFERROR(__xludf.DUMMYFUNCTION("QUERY('Volunteer Survey'!A790)"),"")</f>
        <v/>
      </c>
      <c r="B396" s="48" t="s">
        <v>322</v>
      </c>
      <c r="C396" s="53"/>
      <c r="D396" s="55"/>
      <c r="E396" s="55"/>
      <c r="F396" s="55" t="b">
        <v>0</v>
      </c>
      <c r="G396" s="48" t="s">
        <v>313</v>
      </c>
      <c r="H396" s="53"/>
      <c r="I396" s="53"/>
      <c r="J396" s="55"/>
      <c r="K396" s="55"/>
      <c r="L396" s="55" t="str">
        <f>IFERROR(__xludf.DUMMYFUNCTION("QUERY('Volunteer Survey'!B422)"),"")</f>
        <v/>
      </c>
      <c r="M396" s="55" t="str">
        <f>IFERROR(__xludf.DUMMYFUNCTION("QUERY('Volunteer Survey'!E422)"),"")</f>
        <v/>
      </c>
      <c r="N396" s="55" t="str">
        <f>IFERROR(__xludf.DUMMYFUNCTION("QUERY('Volunteer Survey'!F422)"),"")</f>
        <v/>
      </c>
      <c r="O396" s="48" t="str">
        <f>IFERROR(__xludf.DUMMYFUNCTION("QUERY('Volunteer Survey'!H422)"),"")</f>
        <v/>
      </c>
      <c r="P396" s="55" t="str">
        <f>IFERROR(__xludf.DUMMYFUNCTION("QUERY('Volunteer Survey'!I422)"),"")</f>
        <v/>
      </c>
      <c r="Q396" s="60" t="str">
        <f>IFERROR(__xludf.DUMMYFUNCTION("QUERY('Volunteer Survey'!J422)"),"")</f>
        <v/>
      </c>
      <c r="R396" s="55" t="str">
        <f>IFERROR(__xludf.DUMMYFUNCTION("QUERY('Volunteer Survey'!K422)"),"")</f>
        <v/>
      </c>
      <c r="S396" s="55" t="str">
        <f>IFERROR(__xludf.DUMMYFUNCTION("QUERY('Volunteer Survey'!L422)"),"")</f>
        <v/>
      </c>
      <c r="T396" s="55" t="str">
        <f>IFERROR(__xludf.DUMMYFUNCTION("QUERY('Volunteer Survey'!M422)"),"")</f>
        <v/>
      </c>
      <c r="U396" s="64" t="str">
        <f>IFERROR(__xludf.DUMMYFUNCTION("QUERY('Volunteer Survey'!N422)"),"")</f>
        <v/>
      </c>
      <c r="V396" s="55" t="str">
        <f>IFERROR(__xludf.DUMMYFUNCTION("QUERY('Volunteer Survey'!O422)"),"")</f>
        <v/>
      </c>
      <c r="W396" s="66" t="str">
        <f>IFERROR(__xludf.DUMMYFUNCTION("QUERY('Volunteer Survey'!P422)"),"")</f>
        <v/>
      </c>
      <c r="X396" s="64" t="str">
        <f>IFERROR(__xludf.DUMMYFUNCTION("QUERY('Volunteer Survey'!R422)"),"")</f>
        <v/>
      </c>
      <c r="Y396" s="53"/>
      <c r="Z396" s="55"/>
      <c r="AA396" s="55"/>
      <c r="AB396" s="55"/>
      <c r="AC396" s="55"/>
      <c r="AD396" s="55"/>
      <c r="AE396" s="55"/>
      <c r="AF396" s="55"/>
      <c r="AG396" s="55"/>
      <c r="AH396" s="55"/>
      <c r="AI396" s="55"/>
      <c r="AJ396" s="55"/>
      <c r="AK396" s="55"/>
      <c r="AL396" s="55"/>
      <c r="AM396" s="55"/>
      <c r="AN396" s="55"/>
      <c r="AO396" s="55"/>
    </row>
    <row r="397">
      <c r="A397" s="55" t="str">
        <f>IFERROR(__xludf.DUMMYFUNCTION("QUERY('Volunteer Survey'!A791)"),"")</f>
        <v/>
      </c>
      <c r="B397" s="48" t="s">
        <v>322</v>
      </c>
      <c r="C397" s="53"/>
      <c r="D397" s="55"/>
      <c r="E397" s="55"/>
      <c r="F397" s="55" t="b">
        <v>0</v>
      </c>
      <c r="G397" s="55"/>
      <c r="H397" s="53"/>
      <c r="I397" s="53"/>
      <c r="J397" s="55"/>
      <c r="K397" s="55"/>
      <c r="L397" s="55" t="str">
        <f>IFERROR(__xludf.DUMMYFUNCTION("QUERY('Volunteer Survey'!B791)"),"")</f>
        <v/>
      </c>
      <c r="M397" s="55" t="str">
        <f>IFERROR(__xludf.DUMMYFUNCTION("QUERY('Volunteer Survey'!E791)"),"")</f>
        <v/>
      </c>
      <c r="N397" s="55" t="str">
        <f>IFERROR(__xludf.DUMMYFUNCTION("QUERY('Volunteer Survey'!F791)"),"")</f>
        <v/>
      </c>
      <c r="O397" s="48" t="str">
        <f>IFERROR(__xludf.DUMMYFUNCTION("QUERY('Volunteer Survey'!H791)"),"")</f>
        <v/>
      </c>
      <c r="P397" s="55" t="str">
        <f>IFERROR(__xludf.DUMMYFUNCTION("QUERY('Volunteer Survey'!I791)"),"")</f>
        <v/>
      </c>
      <c r="Q397" s="60" t="str">
        <f>IFERROR(__xludf.DUMMYFUNCTION("QUERY('Volunteer Survey'!J791)"),"")</f>
        <v/>
      </c>
      <c r="R397" s="55" t="str">
        <f>IFERROR(__xludf.DUMMYFUNCTION("QUERY('Volunteer Survey'!K791)"),"")</f>
        <v/>
      </c>
      <c r="S397" s="55" t="str">
        <f>IFERROR(__xludf.DUMMYFUNCTION("QUERY('Volunteer Survey'!L791)"),"")</f>
        <v/>
      </c>
      <c r="T397" s="55" t="str">
        <f>IFERROR(__xludf.DUMMYFUNCTION("QUERY('Volunteer Survey'!M791)"),"")</f>
        <v/>
      </c>
      <c r="U397" s="64" t="str">
        <f>IFERROR(__xludf.DUMMYFUNCTION("QUERY('Volunteer Survey'!N791)"),"")</f>
        <v/>
      </c>
      <c r="V397" s="55" t="str">
        <f>IFERROR(__xludf.DUMMYFUNCTION("QUERY('Volunteer Survey'!O791)"),"")</f>
        <v/>
      </c>
      <c r="W397" s="66" t="str">
        <f>IFERROR(__xludf.DUMMYFUNCTION("QUERY('Volunteer Survey'!P791)"),"")</f>
        <v/>
      </c>
      <c r="X397" s="64" t="str">
        <f>IFERROR(__xludf.DUMMYFUNCTION("QUERY('Volunteer Survey'!R791)"),"")</f>
        <v/>
      </c>
      <c r="Y397" s="53"/>
      <c r="Z397" s="55"/>
      <c r="AA397" s="55"/>
      <c r="AB397" s="55"/>
      <c r="AC397" s="55"/>
      <c r="AD397" s="55"/>
      <c r="AE397" s="55"/>
      <c r="AF397" s="55"/>
      <c r="AG397" s="55"/>
      <c r="AH397" s="55"/>
      <c r="AI397" s="55"/>
      <c r="AJ397" s="55"/>
      <c r="AK397" s="55"/>
      <c r="AL397" s="55"/>
      <c r="AM397" s="55"/>
      <c r="AN397" s="55"/>
      <c r="AO397" s="55"/>
    </row>
    <row r="398">
      <c r="A398" s="55" t="str">
        <f>IFERROR(__xludf.DUMMYFUNCTION("QUERY('Volunteer Survey'!A792)"),"")</f>
        <v/>
      </c>
      <c r="B398" s="48" t="s">
        <v>322</v>
      </c>
      <c r="C398" s="53"/>
      <c r="D398" s="55"/>
      <c r="E398" s="55"/>
      <c r="F398" s="55" t="b">
        <v>0</v>
      </c>
      <c r="G398" s="55"/>
      <c r="H398" s="53"/>
      <c r="I398" s="53"/>
      <c r="J398" s="55"/>
      <c r="K398" s="55"/>
      <c r="L398" s="55" t="str">
        <f>IFERROR(__xludf.DUMMYFUNCTION("QUERY('Volunteer Survey'!B792)"),"")</f>
        <v/>
      </c>
      <c r="M398" s="55" t="str">
        <f>IFERROR(__xludf.DUMMYFUNCTION("QUERY('Volunteer Survey'!E792)"),"")</f>
        <v/>
      </c>
      <c r="N398" s="55" t="str">
        <f>IFERROR(__xludf.DUMMYFUNCTION("QUERY('Volunteer Survey'!F792)"),"")</f>
        <v/>
      </c>
      <c r="O398" s="48" t="str">
        <f>IFERROR(__xludf.DUMMYFUNCTION("QUERY('Volunteer Survey'!H792)"),"")</f>
        <v/>
      </c>
      <c r="P398" s="55" t="str">
        <f>IFERROR(__xludf.DUMMYFUNCTION("QUERY('Volunteer Survey'!I792)"),"")</f>
        <v/>
      </c>
      <c r="Q398" s="60" t="str">
        <f>IFERROR(__xludf.DUMMYFUNCTION("QUERY('Volunteer Survey'!J792)"),"")</f>
        <v/>
      </c>
      <c r="R398" s="55" t="str">
        <f>IFERROR(__xludf.DUMMYFUNCTION("QUERY('Volunteer Survey'!K792)"),"")</f>
        <v/>
      </c>
      <c r="S398" s="55" t="str">
        <f>IFERROR(__xludf.DUMMYFUNCTION("QUERY('Volunteer Survey'!L792)"),"")</f>
        <v/>
      </c>
      <c r="T398" s="55" t="str">
        <f>IFERROR(__xludf.DUMMYFUNCTION("QUERY('Volunteer Survey'!M792)"),"")</f>
        <v/>
      </c>
      <c r="U398" s="64" t="str">
        <f>IFERROR(__xludf.DUMMYFUNCTION("QUERY('Volunteer Survey'!N792)"),"")</f>
        <v/>
      </c>
      <c r="V398" s="55" t="str">
        <f>IFERROR(__xludf.DUMMYFUNCTION("QUERY('Volunteer Survey'!O792)"),"")</f>
        <v/>
      </c>
      <c r="W398" s="66" t="str">
        <f>IFERROR(__xludf.DUMMYFUNCTION("QUERY('Volunteer Survey'!P792)"),"")</f>
        <v/>
      </c>
      <c r="X398" s="64" t="str">
        <f>IFERROR(__xludf.DUMMYFUNCTION("QUERY('Volunteer Survey'!R792)"),"")</f>
        <v/>
      </c>
      <c r="Y398" s="53"/>
      <c r="Z398" s="55"/>
      <c r="AA398" s="55"/>
      <c r="AB398" s="55"/>
      <c r="AC398" s="55"/>
      <c r="AD398" s="55"/>
      <c r="AE398" s="55"/>
      <c r="AF398" s="55"/>
      <c r="AG398" s="55"/>
      <c r="AH398" s="55"/>
      <c r="AI398" s="55"/>
      <c r="AJ398" s="55"/>
      <c r="AK398" s="55"/>
      <c r="AL398" s="55"/>
      <c r="AM398" s="55"/>
      <c r="AN398" s="55"/>
      <c r="AO398" s="55"/>
    </row>
    <row r="399">
      <c r="A399" s="55" t="str">
        <f>IFERROR(__xludf.DUMMYFUNCTION("QUERY('Volunteer Survey'!A793)"),"")</f>
        <v/>
      </c>
      <c r="B399" s="48" t="s">
        <v>322</v>
      </c>
      <c r="C399" s="53"/>
      <c r="D399" s="55"/>
      <c r="E399" s="55"/>
      <c r="F399" s="55" t="b">
        <v>0</v>
      </c>
      <c r="G399" s="55"/>
      <c r="H399" s="53"/>
      <c r="I399" s="53"/>
      <c r="J399" s="55"/>
      <c r="K399" s="55"/>
      <c r="L399" s="55" t="str">
        <f>IFERROR(__xludf.DUMMYFUNCTION("QUERY('Volunteer Survey'!B793)"),"")</f>
        <v/>
      </c>
      <c r="M399" s="55" t="str">
        <f>IFERROR(__xludf.DUMMYFUNCTION("QUERY('Volunteer Survey'!E793)"),"")</f>
        <v/>
      </c>
      <c r="N399" s="55" t="str">
        <f>IFERROR(__xludf.DUMMYFUNCTION("QUERY('Volunteer Survey'!F793)"),"")</f>
        <v/>
      </c>
      <c r="O399" s="48" t="str">
        <f>IFERROR(__xludf.DUMMYFUNCTION("QUERY('Volunteer Survey'!H793)"),"")</f>
        <v/>
      </c>
      <c r="P399" s="55" t="str">
        <f>IFERROR(__xludf.DUMMYFUNCTION("QUERY('Volunteer Survey'!I793)"),"")</f>
        <v/>
      </c>
      <c r="Q399" s="60" t="str">
        <f>IFERROR(__xludf.DUMMYFUNCTION("QUERY('Volunteer Survey'!J793)"),"")</f>
        <v/>
      </c>
      <c r="R399" s="55" t="str">
        <f>IFERROR(__xludf.DUMMYFUNCTION("QUERY('Volunteer Survey'!K793)"),"")</f>
        <v/>
      </c>
      <c r="S399" s="55" t="str">
        <f>IFERROR(__xludf.DUMMYFUNCTION("QUERY('Volunteer Survey'!L793)"),"")</f>
        <v/>
      </c>
      <c r="T399" s="55" t="str">
        <f>IFERROR(__xludf.DUMMYFUNCTION("QUERY('Volunteer Survey'!M793)"),"")</f>
        <v/>
      </c>
      <c r="U399" s="64" t="str">
        <f>IFERROR(__xludf.DUMMYFUNCTION("QUERY('Volunteer Survey'!N793)"),"")</f>
        <v/>
      </c>
      <c r="V399" s="55" t="str">
        <f>IFERROR(__xludf.DUMMYFUNCTION("QUERY('Volunteer Survey'!O793)"),"")</f>
        <v/>
      </c>
      <c r="W399" s="66" t="str">
        <f>IFERROR(__xludf.DUMMYFUNCTION("QUERY('Volunteer Survey'!P793)"),"")</f>
        <v/>
      </c>
      <c r="X399" s="64" t="str">
        <f>IFERROR(__xludf.DUMMYFUNCTION("QUERY('Volunteer Survey'!R793)"),"")</f>
        <v/>
      </c>
      <c r="Y399" s="53"/>
      <c r="Z399" s="55"/>
      <c r="AA399" s="55"/>
      <c r="AB399" s="55"/>
      <c r="AC399" s="55"/>
      <c r="AD399" s="55"/>
      <c r="AE399" s="55"/>
      <c r="AF399" s="55"/>
      <c r="AG399" s="55"/>
      <c r="AH399" s="55"/>
      <c r="AI399" s="55"/>
      <c r="AJ399" s="55"/>
      <c r="AK399" s="55"/>
      <c r="AL399" s="55"/>
      <c r="AM399" s="55"/>
      <c r="AN399" s="55"/>
      <c r="AO399" s="55"/>
    </row>
    <row r="400">
      <c r="A400" s="55" t="str">
        <f>IFERROR(__xludf.DUMMYFUNCTION("QUERY('Volunteer Survey'!A794)"),"")</f>
        <v/>
      </c>
      <c r="B400" s="48" t="s">
        <v>322</v>
      </c>
      <c r="C400" s="53"/>
      <c r="D400" s="55"/>
      <c r="E400" s="55"/>
      <c r="F400" s="55" t="b">
        <v>0</v>
      </c>
      <c r="G400" s="55"/>
      <c r="H400" s="53"/>
      <c r="I400" s="53"/>
      <c r="J400" s="55"/>
      <c r="K400" s="55"/>
      <c r="L400" s="55" t="str">
        <f>IFERROR(__xludf.DUMMYFUNCTION("QUERY('Volunteer Survey'!B794)"),"")</f>
        <v/>
      </c>
      <c r="M400" s="55" t="str">
        <f>IFERROR(__xludf.DUMMYFUNCTION("QUERY('Volunteer Survey'!E794)"),"")</f>
        <v/>
      </c>
      <c r="N400" s="55" t="str">
        <f>IFERROR(__xludf.DUMMYFUNCTION("QUERY('Volunteer Survey'!F794)"),"")</f>
        <v/>
      </c>
      <c r="O400" s="48" t="str">
        <f>IFERROR(__xludf.DUMMYFUNCTION("QUERY('Volunteer Survey'!H794)"),"")</f>
        <v/>
      </c>
      <c r="P400" s="55" t="str">
        <f>IFERROR(__xludf.DUMMYFUNCTION("QUERY('Volunteer Survey'!I794)"),"")</f>
        <v/>
      </c>
      <c r="Q400" s="60" t="str">
        <f>IFERROR(__xludf.DUMMYFUNCTION("QUERY('Volunteer Survey'!J794)"),"")</f>
        <v/>
      </c>
      <c r="R400" s="55" t="str">
        <f>IFERROR(__xludf.DUMMYFUNCTION("QUERY('Volunteer Survey'!K794)"),"")</f>
        <v/>
      </c>
      <c r="S400" s="55" t="str">
        <f>IFERROR(__xludf.DUMMYFUNCTION("QUERY('Volunteer Survey'!L794)"),"")</f>
        <v/>
      </c>
      <c r="T400" s="55" t="str">
        <f>IFERROR(__xludf.DUMMYFUNCTION("QUERY('Volunteer Survey'!M794)"),"")</f>
        <v/>
      </c>
      <c r="U400" s="64" t="str">
        <f>IFERROR(__xludf.DUMMYFUNCTION("QUERY('Volunteer Survey'!N794)"),"")</f>
        <v/>
      </c>
      <c r="V400" s="55" t="str">
        <f>IFERROR(__xludf.DUMMYFUNCTION("QUERY('Volunteer Survey'!O794)"),"")</f>
        <v/>
      </c>
      <c r="W400" s="66" t="str">
        <f>IFERROR(__xludf.DUMMYFUNCTION("QUERY('Volunteer Survey'!P794)"),"")</f>
        <v/>
      </c>
      <c r="X400" s="64" t="str">
        <f>IFERROR(__xludf.DUMMYFUNCTION("QUERY('Volunteer Survey'!R794)"),"")</f>
        <v/>
      </c>
      <c r="Y400" s="53"/>
      <c r="Z400" s="55"/>
      <c r="AA400" s="55"/>
      <c r="AB400" s="55"/>
      <c r="AC400" s="55"/>
      <c r="AD400" s="55"/>
      <c r="AE400" s="55"/>
      <c r="AF400" s="55"/>
      <c r="AG400" s="55"/>
      <c r="AH400" s="55"/>
      <c r="AI400" s="55"/>
      <c r="AJ400" s="55"/>
      <c r="AK400" s="55"/>
      <c r="AL400" s="55"/>
      <c r="AM400" s="55"/>
      <c r="AN400" s="55"/>
      <c r="AO400" s="55"/>
    </row>
    <row r="401">
      <c r="A401" s="55" t="str">
        <f>IFERROR(__xludf.DUMMYFUNCTION("QUERY('Volunteer Survey'!A795)"),"")</f>
        <v/>
      </c>
      <c r="B401" s="48" t="s">
        <v>322</v>
      </c>
      <c r="C401" s="53"/>
      <c r="D401" s="55"/>
      <c r="E401" s="55"/>
      <c r="F401" s="55" t="b">
        <v>0</v>
      </c>
      <c r="G401" s="55"/>
      <c r="H401" s="53"/>
      <c r="I401" s="53"/>
      <c r="J401" s="55"/>
      <c r="K401" s="55"/>
      <c r="L401" s="55" t="str">
        <f>IFERROR(__xludf.DUMMYFUNCTION("QUERY('Volunteer Survey'!B795)"),"")</f>
        <v/>
      </c>
      <c r="M401" s="55" t="str">
        <f>IFERROR(__xludf.DUMMYFUNCTION("QUERY('Volunteer Survey'!E795)"),"")</f>
        <v/>
      </c>
      <c r="N401" s="55" t="str">
        <f>IFERROR(__xludf.DUMMYFUNCTION("QUERY('Volunteer Survey'!F795)"),"")</f>
        <v/>
      </c>
      <c r="O401" s="48" t="str">
        <f>IFERROR(__xludf.DUMMYFUNCTION("QUERY('Volunteer Survey'!H795)"),"")</f>
        <v/>
      </c>
      <c r="P401" s="55" t="str">
        <f>IFERROR(__xludf.DUMMYFUNCTION("QUERY('Volunteer Survey'!I795)"),"")</f>
        <v/>
      </c>
      <c r="Q401" s="60" t="str">
        <f>IFERROR(__xludf.DUMMYFUNCTION("QUERY('Volunteer Survey'!J795)"),"")</f>
        <v/>
      </c>
      <c r="R401" s="55" t="str">
        <f>IFERROR(__xludf.DUMMYFUNCTION("QUERY('Volunteer Survey'!K795)"),"")</f>
        <v/>
      </c>
      <c r="S401" s="55" t="str">
        <f>IFERROR(__xludf.DUMMYFUNCTION("QUERY('Volunteer Survey'!L795)"),"")</f>
        <v/>
      </c>
      <c r="T401" s="55" t="str">
        <f>IFERROR(__xludf.DUMMYFUNCTION("QUERY('Volunteer Survey'!M795)"),"")</f>
        <v/>
      </c>
      <c r="U401" s="64" t="str">
        <f>IFERROR(__xludf.DUMMYFUNCTION("QUERY('Volunteer Survey'!N795)"),"")</f>
        <v/>
      </c>
      <c r="V401" s="55" t="str">
        <f>IFERROR(__xludf.DUMMYFUNCTION("QUERY('Volunteer Survey'!O795)"),"")</f>
        <v/>
      </c>
      <c r="W401" s="66" t="str">
        <f>IFERROR(__xludf.DUMMYFUNCTION("QUERY('Volunteer Survey'!P795)"),"")</f>
        <v/>
      </c>
      <c r="X401" s="64" t="str">
        <f>IFERROR(__xludf.DUMMYFUNCTION("QUERY('Volunteer Survey'!R795)"),"")</f>
        <v/>
      </c>
      <c r="Y401" s="53"/>
      <c r="Z401" s="55"/>
      <c r="AA401" s="55"/>
      <c r="AB401" s="55"/>
      <c r="AC401" s="55"/>
      <c r="AD401" s="55"/>
      <c r="AE401" s="55"/>
      <c r="AF401" s="55"/>
      <c r="AG401" s="55"/>
      <c r="AH401" s="55"/>
      <c r="AI401" s="55"/>
      <c r="AJ401" s="55"/>
      <c r="AK401" s="55"/>
      <c r="AL401" s="55"/>
      <c r="AM401" s="55"/>
      <c r="AN401" s="55"/>
      <c r="AO401" s="55"/>
    </row>
    <row r="402">
      <c r="A402" s="55" t="str">
        <f>IFERROR(__xludf.DUMMYFUNCTION("QUERY('Volunteer Survey'!A796)"),"")</f>
        <v/>
      </c>
      <c r="B402" s="48" t="s">
        <v>322</v>
      </c>
      <c r="C402" s="53"/>
      <c r="D402" s="55"/>
      <c r="E402" s="55"/>
      <c r="F402" s="55" t="b">
        <v>0</v>
      </c>
      <c r="G402" s="55"/>
      <c r="H402" s="53"/>
      <c r="I402" s="53"/>
      <c r="J402" s="55"/>
      <c r="K402" s="55"/>
      <c r="L402" s="55" t="str">
        <f>IFERROR(__xludf.DUMMYFUNCTION("QUERY('Volunteer Survey'!B796)"),"")</f>
        <v/>
      </c>
      <c r="M402" s="55" t="str">
        <f>IFERROR(__xludf.DUMMYFUNCTION("QUERY('Volunteer Survey'!E796)"),"")</f>
        <v/>
      </c>
      <c r="N402" s="55" t="str">
        <f>IFERROR(__xludf.DUMMYFUNCTION("QUERY('Volunteer Survey'!F796)"),"")</f>
        <v/>
      </c>
      <c r="O402" s="48" t="str">
        <f>IFERROR(__xludf.DUMMYFUNCTION("QUERY('Volunteer Survey'!H796)"),"")</f>
        <v/>
      </c>
      <c r="P402" s="55" t="str">
        <f>IFERROR(__xludf.DUMMYFUNCTION("QUERY('Volunteer Survey'!I796)"),"")</f>
        <v/>
      </c>
      <c r="Q402" s="60" t="str">
        <f>IFERROR(__xludf.DUMMYFUNCTION("QUERY('Volunteer Survey'!J796)"),"")</f>
        <v/>
      </c>
      <c r="R402" s="55" t="str">
        <f>IFERROR(__xludf.DUMMYFUNCTION("QUERY('Volunteer Survey'!K796)"),"")</f>
        <v/>
      </c>
      <c r="S402" s="55" t="str">
        <f>IFERROR(__xludf.DUMMYFUNCTION("QUERY('Volunteer Survey'!L796)"),"")</f>
        <v/>
      </c>
      <c r="T402" s="55" t="str">
        <f>IFERROR(__xludf.DUMMYFUNCTION("QUERY('Volunteer Survey'!M796)"),"")</f>
        <v/>
      </c>
      <c r="U402" s="64" t="str">
        <f>IFERROR(__xludf.DUMMYFUNCTION("QUERY('Volunteer Survey'!N796)"),"")</f>
        <v/>
      </c>
      <c r="V402" s="55" t="str">
        <f>IFERROR(__xludf.DUMMYFUNCTION("QUERY('Volunteer Survey'!O796)"),"")</f>
        <v/>
      </c>
      <c r="W402" s="66" t="str">
        <f>IFERROR(__xludf.DUMMYFUNCTION("QUERY('Volunteer Survey'!P796)"),"")</f>
        <v/>
      </c>
      <c r="X402" s="64" t="str">
        <f>IFERROR(__xludf.DUMMYFUNCTION("QUERY('Volunteer Survey'!R796)"),"")</f>
        <v/>
      </c>
      <c r="Y402" s="53"/>
      <c r="Z402" s="55"/>
      <c r="AA402" s="55"/>
      <c r="AB402" s="55"/>
      <c r="AC402" s="55"/>
      <c r="AD402" s="55"/>
      <c r="AE402" s="55"/>
      <c r="AF402" s="55"/>
      <c r="AG402" s="55"/>
      <c r="AH402" s="55"/>
      <c r="AI402" s="55"/>
      <c r="AJ402" s="55"/>
      <c r="AK402" s="55"/>
      <c r="AL402" s="55"/>
      <c r="AM402" s="55"/>
      <c r="AN402" s="55"/>
      <c r="AO402" s="55"/>
    </row>
    <row r="403">
      <c r="A403" s="55" t="str">
        <f>IFERROR(__xludf.DUMMYFUNCTION("QUERY('Volunteer Survey'!A797)"),"")</f>
        <v/>
      </c>
      <c r="B403" s="48" t="s">
        <v>322</v>
      </c>
      <c r="C403" s="53"/>
      <c r="D403" s="55"/>
      <c r="E403" s="55"/>
      <c r="F403" s="55" t="b">
        <v>0</v>
      </c>
      <c r="G403" s="55"/>
      <c r="H403" s="53"/>
      <c r="I403" s="53"/>
      <c r="J403" s="55"/>
      <c r="K403" s="55"/>
      <c r="L403" s="55" t="str">
        <f>IFERROR(__xludf.DUMMYFUNCTION("QUERY('Volunteer Survey'!B797)"),"")</f>
        <v/>
      </c>
      <c r="M403" s="55" t="str">
        <f>IFERROR(__xludf.DUMMYFUNCTION("QUERY('Volunteer Survey'!E797)"),"")</f>
        <v/>
      </c>
      <c r="N403" s="55" t="str">
        <f>IFERROR(__xludf.DUMMYFUNCTION("QUERY('Volunteer Survey'!F797)"),"")</f>
        <v/>
      </c>
      <c r="O403" s="48" t="str">
        <f>IFERROR(__xludf.DUMMYFUNCTION("QUERY('Volunteer Survey'!H797)"),"")</f>
        <v/>
      </c>
      <c r="P403" s="55" t="str">
        <f>IFERROR(__xludf.DUMMYFUNCTION("QUERY('Volunteer Survey'!I797)"),"")</f>
        <v/>
      </c>
      <c r="Q403" s="60" t="str">
        <f>IFERROR(__xludf.DUMMYFUNCTION("QUERY('Volunteer Survey'!J797)"),"")</f>
        <v/>
      </c>
      <c r="R403" s="55" t="str">
        <f>IFERROR(__xludf.DUMMYFUNCTION("QUERY('Volunteer Survey'!K797)"),"")</f>
        <v/>
      </c>
      <c r="S403" s="55" t="str">
        <f>IFERROR(__xludf.DUMMYFUNCTION("QUERY('Volunteer Survey'!L797)"),"")</f>
        <v/>
      </c>
      <c r="T403" s="55" t="str">
        <f>IFERROR(__xludf.DUMMYFUNCTION("QUERY('Volunteer Survey'!M797)"),"")</f>
        <v/>
      </c>
      <c r="U403" s="64" t="str">
        <f>IFERROR(__xludf.DUMMYFUNCTION("QUERY('Volunteer Survey'!N797)"),"")</f>
        <v/>
      </c>
      <c r="V403" s="55" t="str">
        <f>IFERROR(__xludf.DUMMYFUNCTION("QUERY('Volunteer Survey'!O797)"),"")</f>
        <v/>
      </c>
      <c r="W403" s="66" t="str">
        <f>IFERROR(__xludf.DUMMYFUNCTION("QUERY('Volunteer Survey'!P797)"),"")</f>
        <v/>
      </c>
      <c r="X403" s="64" t="str">
        <f>IFERROR(__xludf.DUMMYFUNCTION("QUERY('Volunteer Survey'!R797)"),"")</f>
        <v/>
      </c>
      <c r="Y403" s="53"/>
      <c r="Z403" s="55"/>
      <c r="AA403" s="55"/>
      <c r="AB403" s="55"/>
      <c r="AC403" s="55"/>
      <c r="AD403" s="55"/>
      <c r="AE403" s="55"/>
      <c r="AF403" s="55"/>
      <c r="AG403" s="55"/>
      <c r="AH403" s="55"/>
      <c r="AI403" s="55"/>
      <c r="AJ403" s="55"/>
      <c r="AK403" s="55"/>
      <c r="AL403" s="55"/>
      <c r="AM403" s="55"/>
      <c r="AN403" s="55"/>
      <c r="AO403" s="55"/>
    </row>
    <row r="404">
      <c r="A404" s="55" t="str">
        <f>IFERROR(__xludf.DUMMYFUNCTION("QUERY('Volunteer Survey'!A798)"),"")</f>
        <v/>
      </c>
      <c r="B404" s="48" t="s">
        <v>322</v>
      </c>
      <c r="C404" s="53"/>
      <c r="D404" s="55"/>
      <c r="E404" s="55"/>
      <c r="F404" s="55" t="b">
        <v>0</v>
      </c>
      <c r="G404" s="55"/>
      <c r="H404" s="53"/>
      <c r="I404" s="53"/>
      <c r="J404" s="55"/>
      <c r="K404" s="55"/>
      <c r="L404" s="55" t="str">
        <f>IFERROR(__xludf.DUMMYFUNCTION("QUERY('Volunteer Survey'!B798)"),"")</f>
        <v/>
      </c>
      <c r="M404" s="55" t="str">
        <f>IFERROR(__xludf.DUMMYFUNCTION("QUERY('Volunteer Survey'!E798)"),"")</f>
        <v/>
      </c>
      <c r="N404" s="55" t="str">
        <f>IFERROR(__xludf.DUMMYFUNCTION("QUERY('Volunteer Survey'!F798)"),"")</f>
        <v/>
      </c>
      <c r="O404" s="48" t="str">
        <f>IFERROR(__xludf.DUMMYFUNCTION("QUERY('Volunteer Survey'!H798)"),"")</f>
        <v/>
      </c>
      <c r="P404" s="55" t="str">
        <f>IFERROR(__xludf.DUMMYFUNCTION("QUERY('Volunteer Survey'!I798)"),"")</f>
        <v/>
      </c>
      <c r="Q404" s="60" t="str">
        <f>IFERROR(__xludf.DUMMYFUNCTION("QUERY('Volunteer Survey'!J798)"),"")</f>
        <v/>
      </c>
      <c r="R404" s="55" t="str">
        <f>IFERROR(__xludf.DUMMYFUNCTION("QUERY('Volunteer Survey'!K798)"),"")</f>
        <v/>
      </c>
      <c r="S404" s="55" t="str">
        <f>IFERROR(__xludf.DUMMYFUNCTION("QUERY('Volunteer Survey'!L798)"),"")</f>
        <v/>
      </c>
      <c r="T404" s="55" t="str">
        <f>IFERROR(__xludf.DUMMYFUNCTION("QUERY('Volunteer Survey'!M798)"),"")</f>
        <v/>
      </c>
      <c r="U404" s="64" t="str">
        <f>IFERROR(__xludf.DUMMYFUNCTION("QUERY('Volunteer Survey'!N798)"),"")</f>
        <v/>
      </c>
      <c r="V404" s="55" t="str">
        <f>IFERROR(__xludf.DUMMYFUNCTION("QUERY('Volunteer Survey'!O798)"),"")</f>
        <v/>
      </c>
      <c r="W404" s="66" t="str">
        <f>IFERROR(__xludf.DUMMYFUNCTION("QUERY('Volunteer Survey'!P798)"),"")</f>
        <v/>
      </c>
      <c r="X404" s="64" t="str">
        <f>IFERROR(__xludf.DUMMYFUNCTION("QUERY('Volunteer Survey'!R798)"),"")</f>
        <v/>
      </c>
      <c r="Y404" s="53"/>
      <c r="Z404" s="55"/>
      <c r="AA404" s="55"/>
      <c r="AB404" s="55"/>
      <c r="AC404" s="55"/>
      <c r="AD404" s="55"/>
      <c r="AE404" s="55"/>
      <c r="AF404" s="55"/>
      <c r="AG404" s="55"/>
      <c r="AH404" s="55"/>
      <c r="AI404" s="55"/>
      <c r="AJ404" s="55"/>
      <c r="AK404" s="55"/>
      <c r="AL404" s="55"/>
      <c r="AM404" s="55"/>
      <c r="AN404" s="55"/>
      <c r="AO404" s="55"/>
    </row>
    <row r="405">
      <c r="A405" s="55" t="str">
        <f>IFERROR(__xludf.DUMMYFUNCTION("QUERY('Volunteer Survey'!A799)"),"")</f>
        <v/>
      </c>
      <c r="B405" s="48" t="s">
        <v>322</v>
      </c>
      <c r="C405" s="53"/>
      <c r="D405" s="55"/>
      <c r="E405" s="55"/>
      <c r="F405" s="55" t="b">
        <v>0</v>
      </c>
      <c r="G405" s="55"/>
      <c r="H405" s="53"/>
      <c r="I405" s="53"/>
      <c r="J405" s="55"/>
      <c r="K405" s="55"/>
      <c r="L405" s="55" t="str">
        <f>IFERROR(__xludf.DUMMYFUNCTION("QUERY('Volunteer Survey'!B799)"),"")</f>
        <v/>
      </c>
      <c r="M405" s="55" t="str">
        <f>IFERROR(__xludf.DUMMYFUNCTION("QUERY('Volunteer Survey'!E799)"),"")</f>
        <v/>
      </c>
      <c r="N405" s="55" t="str">
        <f>IFERROR(__xludf.DUMMYFUNCTION("QUERY('Volunteer Survey'!F799)"),"")</f>
        <v/>
      </c>
      <c r="O405" s="48" t="str">
        <f>IFERROR(__xludf.DUMMYFUNCTION("QUERY('Volunteer Survey'!H799)"),"")</f>
        <v/>
      </c>
      <c r="P405" s="55" t="str">
        <f>IFERROR(__xludf.DUMMYFUNCTION("QUERY('Volunteer Survey'!I799)"),"")</f>
        <v/>
      </c>
      <c r="Q405" s="60" t="str">
        <f>IFERROR(__xludf.DUMMYFUNCTION("QUERY('Volunteer Survey'!J799)"),"")</f>
        <v/>
      </c>
      <c r="R405" s="55" t="str">
        <f>IFERROR(__xludf.DUMMYFUNCTION("QUERY('Volunteer Survey'!K799)"),"")</f>
        <v/>
      </c>
      <c r="S405" s="55" t="str">
        <f>IFERROR(__xludf.DUMMYFUNCTION("QUERY('Volunteer Survey'!L799)"),"")</f>
        <v/>
      </c>
      <c r="T405" s="55" t="str">
        <f>IFERROR(__xludf.DUMMYFUNCTION("QUERY('Volunteer Survey'!M799)"),"")</f>
        <v/>
      </c>
      <c r="U405" s="64" t="str">
        <f>IFERROR(__xludf.DUMMYFUNCTION("QUERY('Volunteer Survey'!N799)"),"")</f>
        <v/>
      </c>
      <c r="V405" s="55" t="str">
        <f>IFERROR(__xludf.DUMMYFUNCTION("QUERY('Volunteer Survey'!O799)"),"")</f>
        <v/>
      </c>
      <c r="W405" s="66" t="str">
        <f>IFERROR(__xludf.DUMMYFUNCTION("QUERY('Volunteer Survey'!P799)"),"")</f>
        <v/>
      </c>
      <c r="X405" s="64" t="str">
        <f>IFERROR(__xludf.DUMMYFUNCTION("QUERY('Volunteer Survey'!R799)"),"")</f>
        <v/>
      </c>
      <c r="Y405" s="53"/>
      <c r="Z405" s="55"/>
      <c r="AA405" s="55"/>
      <c r="AB405" s="55"/>
      <c r="AC405" s="55"/>
      <c r="AD405" s="55"/>
      <c r="AE405" s="55"/>
      <c r="AF405" s="55"/>
      <c r="AG405" s="55"/>
      <c r="AH405" s="55"/>
      <c r="AI405" s="55"/>
      <c r="AJ405" s="55"/>
      <c r="AK405" s="55"/>
      <c r="AL405" s="55"/>
      <c r="AM405" s="55"/>
      <c r="AN405" s="55"/>
      <c r="AO405" s="55"/>
    </row>
    <row r="406">
      <c r="A406" s="55" t="str">
        <f>IFERROR(__xludf.DUMMYFUNCTION("QUERY('Volunteer Survey'!A800)"),"")</f>
        <v/>
      </c>
      <c r="B406" s="48" t="s">
        <v>322</v>
      </c>
      <c r="C406" s="53"/>
      <c r="D406" s="55"/>
      <c r="E406" s="55"/>
      <c r="F406" s="55" t="b">
        <v>0</v>
      </c>
      <c r="G406" s="55"/>
      <c r="H406" s="53"/>
      <c r="I406" s="53"/>
      <c r="J406" s="55"/>
      <c r="K406" s="55"/>
      <c r="L406" s="55" t="str">
        <f>IFERROR(__xludf.DUMMYFUNCTION("QUERY('Volunteer Survey'!B800)"),"")</f>
        <v/>
      </c>
      <c r="M406" s="55" t="str">
        <f>IFERROR(__xludf.DUMMYFUNCTION("QUERY('Volunteer Survey'!E800)"),"")</f>
        <v/>
      </c>
      <c r="N406" s="55" t="str">
        <f>IFERROR(__xludf.DUMMYFUNCTION("QUERY('Volunteer Survey'!F800)"),"")</f>
        <v/>
      </c>
      <c r="O406" s="48" t="str">
        <f>IFERROR(__xludf.DUMMYFUNCTION("QUERY('Volunteer Survey'!H800)"),"")</f>
        <v/>
      </c>
      <c r="P406" s="55" t="str">
        <f>IFERROR(__xludf.DUMMYFUNCTION("QUERY('Volunteer Survey'!I800)"),"")</f>
        <v/>
      </c>
      <c r="Q406" s="60" t="str">
        <f>IFERROR(__xludf.DUMMYFUNCTION("QUERY('Volunteer Survey'!J800)"),"")</f>
        <v/>
      </c>
      <c r="R406" s="55" t="str">
        <f>IFERROR(__xludf.DUMMYFUNCTION("QUERY('Volunteer Survey'!K800)"),"")</f>
        <v/>
      </c>
      <c r="S406" s="55" t="str">
        <f>IFERROR(__xludf.DUMMYFUNCTION("QUERY('Volunteer Survey'!L800)"),"")</f>
        <v/>
      </c>
      <c r="T406" s="55" t="str">
        <f>IFERROR(__xludf.DUMMYFUNCTION("QUERY('Volunteer Survey'!M800)"),"")</f>
        <v/>
      </c>
      <c r="U406" s="64" t="str">
        <f>IFERROR(__xludf.DUMMYFUNCTION("QUERY('Volunteer Survey'!N800)"),"")</f>
        <v/>
      </c>
      <c r="V406" s="55" t="str">
        <f>IFERROR(__xludf.DUMMYFUNCTION("QUERY('Volunteer Survey'!O800)"),"")</f>
        <v/>
      </c>
      <c r="W406" s="66" t="str">
        <f>IFERROR(__xludf.DUMMYFUNCTION("QUERY('Volunteer Survey'!P800)"),"")</f>
        <v/>
      </c>
      <c r="X406" s="64" t="str">
        <f>IFERROR(__xludf.DUMMYFUNCTION("QUERY('Volunteer Survey'!R800)"),"")</f>
        <v/>
      </c>
      <c r="Y406" s="53"/>
      <c r="Z406" s="55"/>
      <c r="AA406" s="55"/>
      <c r="AB406" s="55"/>
      <c r="AC406" s="55"/>
      <c r="AD406" s="55"/>
      <c r="AE406" s="55"/>
      <c r="AF406" s="55"/>
      <c r="AG406" s="55"/>
      <c r="AH406" s="55"/>
      <c r="AI406" s="55"/>
      <c r="AJ406" s="55"/>
      <c r="AK406" s="55"/>
      <c r="AL406" s="55"/>
      <c r="AM406" s="55"/>
      <c r="AN406" s="55"/>
      <c r="AO406" s="55"/>
    </row>
    <row r="407">
      <c r="A407" s="55" t="str">
        <f>IFERROR(__xludf.DUMMYFUNCTION("QUERY('Volunteer Survey'!A801)"),"")</f>
        <v/>
      </c>
      <c r="B407" s="48" t="s">
        <v>322</v>
      </c>
      <c r="C407" s="53"/>
      <c r="D407" s="55"/>
      <c r="E407" s="55"/>
      <c r="F407" s="55" t="b">
        <v>0</v>
      </c>
      <c r="G407" s="55"/>
      <c r="H407" s="53"/>
      <c r="I407" s="53"/>
      <c r="J407" s="55"/>
      <c r="K407" s="55"/>
      <c r="L407" s="55" t="str">
        <f>IFERROR(__xludf.DUMMYFUNCTION("QUERY('Volunteer Survey'!B801)"),"")</f>
        <v/>
      </c>
      <c r="M407" s="55" t="str">
        <f>IFERROR(__xludf.DUMMYFUNCTION("QUERY('Volunteer Survey'!E801)"),"")</f>
        <v/>
      </c>
      <c r="N407" s="55" t="str">
        <f>IFERROR(__xludf.DUMMYFUNCTION("QUERY('Volunteer Survey'!F801)"),"")</f>
        <v/>
      </c>
      <c r="O407" s="48" t="str">
        <f>IFERROR(__xludf.DUMMYFUNCTION("QUERY('Volunteer Survey'!H801)"),"")</f>
        <v/>
      </c>
      <c r="P407" s="55" t="str">
        <f>IFERROR(__xludf.DUMMYFUNCTION("QUERY('Volunteer Survey'!I801)"),"")</f>
        <v/>
      </c>
      <c r="Q407" s="60" t="str">
        <f>IFERROR(__xludf.DUMMYFUNCTION("QUERY('Volunteer Survey'!J801)"),"")</f>
        <v/>
      </c>
      <c r="R407" s="55" t="str">
        <f>IFERROR(__xludf.DUMMYFUNCTION("QUERY('Volunteer Survey'!K801)"),"")</f>
        <v/>
      </c>
      <c r="S407" s="55" t="str">
        <f>IFERROR(__xludf.DUMMYFUNCTION("QUERY('Volunteer Survey'!L801)"),"")</f>
        <v/>
      </c>
      <c r="T407" s="55" t="str">
        <f>IFERROR(__xludf.DUMMYFUNCTION("QUERY('Volunteer Survey'!M801)"),"")</f>
        <v/>
      </c>
      <c r="U407" s="64" t="str">
        <f>IFERROR(__xludf.DUMMYFUNCTION("QUERY('Volunteer Survey'!N801)"),"")</f>
        <v/>
      </c>
      <c r="V407" s="55" t="str">
        <f>IFERROR(__xludf.DUMMYFUNCTION("QUERY('Volunteer Survey'!O801)"),"")</f>
        <v/>
      </c>
      <c r="W407" s="66" t="str">
        <f>IFERROR(__xludf.DUMMYFUNCTION("QUERY('Volunteer Survey'!P801)"),"")</f>
        <v/>
      </c>
      <c r="X407" s="64" t="str">
        <f>IFERROR(__xludf.DUMMYFUNCTION("QUERY('Volunteer Survey'!R801)"),"")</f>
        <v/>
      </c>
      <c r="Y407" s="53"/>
      <c r="Z407" s="55"/>
      <c r="AA407" s="55"/>
      <c r="AB407" s="55"/>
      <c r="AC407" s="55"/>
      <c r="AD407" s="55"/>
      <c r="AE407" s="55"/>
      <c r="AF407" s="55"/>
      <c r="AG407" s="55"/>
      <c r="AH407" s="55"/>
      <c r="AI407" s="55"/>
      <c r="AJ407" s="55"/>
      <c r="AK407" s="55"/>
      <c r="AL407" s="55"/>
      <c r="AM407" s="55"/>
      <c r="AN407" s="55"/>
      <c r="AO407" s="55"/>
    </row>
    <row r="408">
      <c r="A408" s="55" t="str">
        <f>IFERROR(__xludf.DUMMYFUNCTION("QUERY('Volunteer Survey'!A802)"),"")</f>
        <v/>
      </c>
      <c r="B408" s="48" t="s">
        <v>322</v>
      </c>
      <c r="C408" s="53"/>
      <c r="D408" s="55"/>
      <c r="E408" s="55"/>
      <c r="F408" s="55" t="b">
        <v>0</v>
      </c>
      <c r="G408" s="55"/>
      <c r="H408" s="53"/>
      <c r="I408" s="53"/>
      <c r="J408" s="55"/>
      <c r="K408" s="55"/>
      <c r="L408" s="55" t="str">
        <f>IFERROR(__xludf.DUMMYFUNCTION("QUERY('Volunteer Survey'!B802)"),"")</f>
        <v/>
      </c>
      <c r="M408" s="55" t="str">
        <f>IFERROR(__xludf.DUMMYFUNCTION("QUERY('Volunteer Survey'!E802)"),"")</f>
        <v/>
      </c>
      <c r="N408" s="55" t="str">
        <f>IFERROR(__xludf.DUMMYFUNCTION("QUERY('Volunteer Survey'!F802)"),"")</f>
        <v/>
      </c>
      <c r="O408" s="48" t="str">
        <f>IFERROR(__xludf.DUMMYFUNCTION("QUERY('Volunteer Survey'!H802)"),"")</f>
        <v/>
      </c>
      <c r="P408" s="55" t="str">
        <f>IFERROR(__xludf.DUMMYFUNCTION("QUERY('Volunteer Survey'!I802)"),"")</f>
        <v/>
      </c>
      <c r="Q408" s="60" t="str">
        <f>IFERROR(__xludf.DUMMYFUNCTION("QUERY('Volunteer Survey'!J802)"),"")</f>
        <v/>
      </c>
      <c r="R408" s="55" t="str">
        <f>IFERROR(__xludf.DUMMYFUNCTION("QUERY('Volunteer Survey'!K802)"),"")</f>
        <v/>
      </c>
      <c r="S408" s="55" t="str">
        <f>IFERROR(__xludf.DUMMYFUNCTION("QUERY('Volunteer Survey'!L802)"),"")</f>
        <v/>
      </c>
      <c r="T408" s="55" t="str">
        <f>IFERROR(__xludf.DUMMYFUNCTION("QUERY('Volunteer Survey'!M802)"),"")</f>
        <v/>
      </c>
      <c r="U408" s="64" t="str">
        <f>IFERROR(__xludf.DUMMYFUNCTION("QUERY('Volunteer Survey'!N802)"),"")</f>
        <v/>
      </c>
      <c r="V408" s="55" t="str">
        <f>IFERROR(__xludf.DUMMYFUNCTION("QUERY('Volunteer Survey'!O802)"),"")</f>
        <v/>
      </c>
      <c r="W408" s="66" t="str">
        <f>IFERROR(__xludf.DUMMYFUNCTION("QUERY('Volunteer Survey'!P802)"),"")</f>
        <v/>
      </c>
      <c r="X408" s="64" t="str">
        <f>IFERROR(__xludf.DUMMYFUNCTION("QUERY('Volunteer Survey'!R802)"),"")</f>
        <v/>
      </c>
      <c r="Y408" s="53"/>
      <c r="Z408" s="55"/>
      <c r="AA408" s="55"/>
      <c r="AB408" s="55"/>
      <c r="AC408" s="55"/>
      <c r="AD408" s="55"/>
      <c r="AE408" s="55"/>
      <c r="AF408" s="55"/>
      <c r="AG408" s="55"/>
      <c r="AH408" s="55"/>
      <c r="AI408" s="55"/>
      <c r="AJ408" s="55"/>
      <c r="AK408" s="55"/>
      <c r="AL408" s="55"/>
      <c r="AM408" s="55"/>
      <c r="AN408" s="55"/>
      <c r="AO408" s="55"/>
    </row>
    <row r="409">
      <c r="A409" s="55" t="str">
        <f>IFERROR(__xludf.DUMMYFUNCTION("QUERY('Volunteer Survey'!A803)"),"")</f>
        <v/>
      </c>
      <c r="B409" s="48" t="s">
        <v>322</v>
      </c>
      <c r="C409" s="53"/>
      <c r="D409" s="55"/>
      <c r="E409" s="55"/>
      <c r="F409" s="55" t="b">
        <v>0</v>
      </c>
      <c r="G409" s="55"/>
      <c r="H409" s="53"/>
      <c r="I409" s="53"/>
      <c r="J409" s="55"/>
      <c r="K409" s="55"/>
      <c r="L409" s="55" t="str">
        <f>IFERROR(__xludf.DUMMYFUNCTION("QUERY('Volunteer Survey'!B803)"),"")</f>
        <v/>
      </c>
      <c r="M409" s="55" t="str">
        <f>IFERROR(__xludf.DUMMYFUNCTION("QUERY('Volunteer Survey'!E803)"),"")</f>
        <v/>
      </c>
      <c r="N409" s="55" t="str">
        <f>IFERROR(__xludf.DUMMYFUNCTION("QUERY('Volunteer Survey'!F803)"),"")</f>
        <v/>
      </c>
      <c r="O409" s="48" t="str">
        <f>IFERROR(__xludf.DUMMYFUNCTION("QUERY('Volunteer Survey'!H803)"),"")</f>
        <v/>
      </c>
      <c r="P409" s="55" t="str">
        <f>IFERROR(__xludf.DUMMYFUNCTION("QUERY('Volunteer Survey'!I803)"),"")</f>
        <v/>
      </c>
      <c r="Q409" s="60" t="str">
        <f>IFERROR(__xludf.DUMMYFUNCTION("QUERY('Volunteer Survey'!J803)"),"")</f>
        <v/>
      </c>
      <c r="R409" s="55" t="str">
        <f>IFERROR(__xludf.DUMMYFUNCTION("QUERY('Volunteer Survey'!K803)"),"")</f>
        <v/>
      </c>
      <c r="S409" s="55" t="str">
        <f>IFERROR(__xludf.DUMMYFUNCTION("QUERY('Volunteer Survey'!L803)"),"")</f>
        <v/>
      </c>
      <c r="T409" s="55" t="str">
        <f>IFERROR(__xludf.DUMMYFUNCTION("QUERY('Volunteer Survey'!M803)"),"")</f>
        <v/>
      </c>
      <c r="U409" s="64" t="str">
        <f>IFERROR(__xludf.DUMMYFUNCTION("QUERY('Volunteer Survey'!N803)"),"")</f>
        <v/>
      </c>
      <c r="V409" s="55" t="str">
        <f>IFERROR(__xludf.DUMMYFUNCTION("QUERY('Volunteer Survey'!O803)"),"")</f>
        <v/>
      </c>
      <c r="W409" s="66" t="str">
        <f>IFERROR(__xludf.DUMMYFUNCTION("QUERY('Volunteer Survey'!P803)"),"")</f>
        <v/>
      </c>
      <c r="X409" s="64" t="str">
        <f>IFERROR(__xludf.DUMMYFUNCTION("QUERY('Volunteer Survey'!R803)"),"")</f>
        <v/>
      </c>
      <c r="Y409" s="53"/>
      <c r="Z409" s="55"/>
      <c r="AA409" s="55"/>
      <c r="AB409" s="55"/>
      <c r="AC409" s="55"/>
      <c r="AD409" s="55"/>
      <c r="AE409" s="55"/>
      <c r="AF409" s="55"/>
      <c r="AG409" s="55"/>
      <c r="AH409" s="55"/>
      <c r="AI409" s="55"/>
      <c r="AJ409" s="55"/>
      <c r="AK409" s="55"/>
      <c r="AL409" s="55"/>
      <c r="AM409" s="55"/>
      <c r="AN409" s="55"/>
      <c r="AO409" s="55"/>
    </row>
    <row r="410">
      <c r="A410" s="55" t="str">
        <f>IFERROR(__xludf.DUMMYFUNCTION("QUERY('Volunteer Survey'!A804)"),"")</f>
        <v/>
      </c>
      <c r="B410" s="48" t="s">
        <v>322</v>
      </c>
      <c r="C410" s="53"/>
      <c r="D410" s="55"/>
      <c r="E410" s="55"/>
      <c r="F410" s="55" t="b">
        <v>0</v>
      </c>
      <c r="G410" s="55"/>
      <c r="H410" s="53"/>
      <c r="I410" s="53"/>
      <c r="J410" s="55"/>
      <c r="K410" s="55"/>
      <c r="L410" s="55" t="str">
        <f>IFERROR(__xludf.DUMMYFUNCTION("QUERY('Volunteer Survey'!B804)"),"")</f>
        <v/>
      </c>
      <c r="M410" s="55" t="str">
        <f>IFERROR(__xludf.DUMMYFUNCTION("QUERY('Volunteer Survey'!E804)"),"")</f>
        <v/>
      </c>
      <c r="N410" s="55" t="str">
        <f>IFERROR(__xludf.DUMMYFUNCTION("QUERY('Volunteer Survey'!F804)"),"")</f>
        <v/>
      </c>
      <c r="O410" s="48" t="str">
        <f>IFERROR(__xludf.DUMMYFUNCTION("QUERY('Volunteer Survey'!H804)"),"")</f>
        <v/>
      </c>
      <c r="P410" s="55" t="str">
        <f>IFERROR(__xludf.DUMMYFUNCTION("QUERY('Volunteer Survey'!I804)"),"")</f>
        <v/>
      </c>
      <c r="Q410" s="60" t="str">
        <f>IFERROR(__xludf.DUMMYFUNCTION("QUERY('Volunteer Survey'!J804)"),"")</f>
        <v/>
      </c>
      <c r="R410" s="55" t="str">
        <f>IFERROR(__xludf.DUMMYFUNCTION("QUERY('Volunteer Survey'!K804)"),"")</f>
        <v/>
      </c>
      <c r="S410" s="55" t="str">
        <f>IFERROR(__xludf.DUMMYFUNCTION("QUERY('Volunteer Survey'!L804)"),"")</f>
        <v/>
      </c>
      <c r="T410" s="55" t="str">
        <f>IFERROR(__xludf.DUMMYFUNCTION("QUERY('Volunteer Survey'!M804)"),"")</f>
        <v/>
      </c>
      <c r="U410" s="64" t="str">
        <f>IFERROR(__xludf.DUMMYFUNCTION("QUERY('Volunteer Survey'!N804)"),"")</f>
        <v/>
      </c>
      <c r="V410" s="55" t="str">
        <f>IFERROR(__xludf.DUMMYFUNCTION("QUERY('Volunteer Survey'!O804)"),"")</f>
        <v/>
      </c>
      <c r="W410" s="66" t="str">
        <f>IFERROR(__xludf.DUMMYFUNCTION("QUERY('Volunteer Survey'!P804)"),"")</f>
        <v/>
      </c>
      <c r="X410" s="64" t="str">
        <f>IFERROR(__xludf.DUMMYFUNCTION("QUERY('Volunteer Survey'!R804)"),"")</f>
        <v/>
      </c>
      <c r="Y410" s="53"/>
      <c r="Z410" s="55"/>
      <c r="AA410" s="55"/>
      <c r="AB410" s="55"/>
      <c r="AC410" s="55"/>
      <c r="AD410" s="55"/>
      <c r="AE410" s="55"/>
      <c r="AF410" s="55"/>
      <c r="AG410" s="55"/>
      <c r="AH410" s="55"/>
      <c r="AI410" s="55"/>
      <c r="AJ410" s="55"/>
      <c r="AK410" s="55"/>
      <c r="AL410" s="55"/>
      <c r="AM410" s="55"/>
      <c r="AN410" s="55"/>
      <c r="AO410" s="55"/>
    </row>
    <row r="411">
      <c r="A411" s="55" t="str">
        <f>IFERROR(__xludf.DUMMYFUNCTION("QUERY('Volunteer Survey'!A805)"),"")</f>
        <v/>
      </c>
      <c r="B411" s="48" t="s">
        <v>322</v>
      </c>
      <c r="C411" s="53"/>
      <c r="D411" s="55"/>
      <c r="E411" s="55"/>
      <c r="F411" s="55" t="b">
        <v>0</v>
      </c>
      <c r="G411" s="55"/>
      <c r="H411" s="53"/>
      <c r="I411" s="53"/>
      <c r="J411" s="55"/>
      <c r="K411" s="55"/>
      <c r="L411" s="55" t="str">
        <f>IFERROR(__xludf.DUMMYFUNCTION("QUERY('Volunteer Survey'!B805)"),"")</f>
        <v/>
      </c>
      <c r="M411" s="55" t="str">
        <f>IFERROR(__xludf.DUMMYFUNCTION("QUERY('Volunteer Survey'!E805)"),"")</f>
        <v/>
      </c>
      <c r="N411" s="55" t="str">
        <f>IFERROR(__xludf.DUMMYFUNCTION("QUERY('Volunteer Survey'!F805)"),"")</f>
        <v/>
      </c>
      <c r="O411" s="48" t="str">
        <f>IFERROR(__xludf.DUMMYFUNCTION("QUERY('Volunteer Survey'!H805)"),"")</f>
        <v/>
      </c>
      <c r="P411" s="55" t="str">
        <f>IFERROR(__xludf.DUMMYFUNCTION("QUERY('Volunteer Survey'!I805)"),"")</f>
        <v/>
      </c>
      <c r="Q411" s="60" t="str">
        <f>IFERROR(__xludf.DUMMYFUNCTION("QUERY('Volunteer Survey'!J805)"),"")</f>
        <v/>
      </c>
      <c r="R411" s="55" t="str">
        <f>IFERROR(__xludf.DUMMYFUNCTION("QUERY('Volunteer Survey'!K805)"),"")</f>
        <v/>
      </c>
      <c r="S411" s="55" t="str">
        <f>IFERROR(__xludf.DUMMYFUNCTION("QUERY('Volunteer Survey'!L805)"),"")</f>
        <v/>
      </c>
      <c r="T411" s="55" t="str">
        <f>IFERROR(__xludf.DUMMYFUNCTION("QUERY('Volunteer Survey'!M805)"),"")</f>
        <v/>
      </c>
      <c r="U411" s="64" t="str">
        <f>IFERROR(__xludf.DUMMYFUNCTION("QUERY('Volunteer Survey'!N805)"),"")</f>
        <v/>
      </c>
      <c r="V411" s="55" t="str">
        <f>IFERROR(__xludf.DUMMYFUNCTION("QUERY('Volunteer Survey'!O805)"),"")</f>
        <v/>
      </c>
      <c r="W411" s="66" t="str">
        <f>IFERROR(__xludf.DUMMYFUNCTION("QUERY('Volunteer Survey'!P805)"),"")</f>
        <v/>
      </c>
      <c r="X411" s="64" t="str">
        <f>IFERROR(__xludf.DUMMYFUNCTION("QUERY('Volunteer Survey'!R805)"),"")</f>
        <v/>
      </c>
      <c r="Y411" s="53"/>
      <c r="Z411" s="55"/>
      <c r="AA411" s="55"/>
      <c r="AB411" s="55"/>
      <c r="AC411" s="55"/>
      <c r="AD411" s="55"/>
      <c r="AE411" s="55"/>
      <c r="AF411" s="55"/>
      <c r="AG411" s="55"/>
      <c r="AH411" s="55"/>
      <c r="AI411" s="55"/>
      <c r="AJ411" s="55"/>
      <c r="AK411" s="55"/>
      <c r="AL411" s="55"/>
      <c r="AM411" s="55"/>
      <c r="AN411" s="55"/>
      <c r="AO411" s="55"/>
    </row>
    <row r="412">
      <c r="A412" s="55" t="str">
        <f>IFERROR(__xludf.DUMMYFUNCTION("QUERY('Volunteer Survey'!A806)"),"")</f>
        <v/>
      </c>
      <c r="B412" s="48" t="s">
        <v>322</v>
      </c>
      <c r="C412" s="53"/>
      <c r="D412" s="55"/>
      <c r="E412" s="55"/>
      <c r="F412" s="55" t="b">
        <v>0</v>
      </c>
      <c r="G412" s="55"/>
      <c r="H412" s="53"/>
      <c r="I412" s="53"/>
      <c r="J412" s="55"/>
      <c r="K412" s="55"/>
      <c r="L412" s="55" t="str">
        <f>IFERROR(__xludf.DUMMYFUNCTION("QUERY('Volunteer Survey'!B806)"),"")</f>
        <v/>
      </c>
      <c r="M412" s="55" t="str">
        <f>IFERROR(__xludf.DUMMYFUNCTION("QUERY('Volunteer Survey'!E806)"),"")</f>
        <v/>
      </c>
      <c r="N412" s="55" t="str">
        <f>IFERROR(__xludf.DUMMYFUNCTION("QUERY('Volunteer Survey'!F806)"),"")</f>
        <v/>
      </c>
      <c r="O412" s="48" t="str">
        <f>IFERROR(__xludf.DUMMYFUNCTION("QUERY('Volunteer Survey'!H806)"),"")</f>
        <v/>
      </c>
      <c r="P412" s="55" t="str">
        <f>IFERROR(__xludf.DUMMYFUNCTION("QUERY('Volunteer Survey'!I806)"),"")</f>
        <v/>
      </c>
      <c r="Q412" s="60" t="str">
        <f>IFERROR(__xludf.DUMMYFUNCTION("QUERY('Volunteer Survey'!J806)"),"")</f>
        <v/>
      </c>
      <c r="R412" s="55" t="str">
        <f>IFERROR(__xludf.DUMMYFUNCTION("QUERY('Volunteer Survey'!K806)"),"")</f>
        <v/>
      </c>
      <c r="S412" s="55" t="str">
        <f>IFERROR(__xludf.DUMMYFUNCTION("QUERY('Volunteer Survey'!L806)"),"")</f>
        <v/>
      </c>
      <c r="T412" s="55" t="str">
        <f>IFERROR(__xludf.DUMMYFUNCTION("QUERY('Volunteer Survey'!M806)"),"")</f>
        <v/>
      </c>
      <c r="U412" s="64" t="str">
        <f>IFERROR(__xludf.DUMMYFUNCTION("QUERY('Volunteer Survey'!N806)"),"")</f>
        <v/>
      </c>
      <c r="V412" s="55" t="str">
        <f>IFERROR(__xludf.DUMMYFUNCTION("QUERY('Volunteer Survey'!O806)"),"")</f>
        <v/>
      </c>
      <c r="W412" s="66" t="str">
        <f>IFERROR(__xludf.DUMMYFUNCTION("QUERY('Volunteer Survey'!P806)"),"")</f>
        <v/>
      </c>
      <c r="X412" s="64" t="str">
        <f>IFERROR(__xludf.DUMMYFUNCTION("QUERY('Volunteer Survey'!R806)"),"")</f>
        <v/>
      </c>
      <c r="Y412" s="53"/>
      <c r="Z412" s="55"/>
      <c r="AA412" s="55"/>
      <c r="AB412" s="55"/>
      <c r="AC412" s="55"/>
      <c r="AD412" s="55"/>
      <c r="AE412" s="55"/>
      <c r="AF412" s="55"/>
      <c r="AG412" s="55"/>
      <c r="AH412" s="55"/>
      <c r="AI412" s="55"/>
      <c r="AJ412" s="55"/>
      <c r="AK412" s="55"/>
      <c r="AL412" s="55"/>
      <c r="AM412" s="55"/>
      <c r="AN412" s="55"/>
      <c r="AO412" s="55"/>
    </row>
    <row r="413">
      <c r="A413" s="55" t="str">
        <f>IFERROR(__xludf.DUMMYFUNCTION("QUERY('Volunteer Survey'!A807)"),"")</f>
        <v/>
      </c>
      <c r="B413" s="48" t="s">
        <v>322</v>
      </c>
      <c r="C413" s="53"/>
      <c r="D413" s="55"/>
      <c r="E413" s="55"/>
      <c r="F413" s="55" t="b">
        <v>0</v>
      </c>
      <c r="G413" s="55"/>
      <c r="H413" s="53"/>
      <c r="I413" s="53"/>
      <c r="J413" s="55"/>
      <c r="K413" s="55"/>
      <c r="L413" s="55" t="str">
        <f>IFERROR(__xludf.DUMMYFUNCTION("QUERY('Volunteer Survey'!B807)"),"")</f>
        <v/>
      </c>
      <c r="M413" s="55" t="str">
        <f>IFERROR(__xludf.DUMMYFUNCTION("QUERY('Volunteer Survey'!E807)"),"")</f>
        <v/>
      </c>
      <c r="N413" s="55" t="str">
        <f>IFERROR(__xludf.DUMMYFUNCTION("QUERY('Volunteer Survey'!F807)"),"")</f>
        <v/>
      </c>
      <c r="O413" s="48" t="str">
        <f>IFERROR(__xludf.DUMMYFUNCTION("QUERY('Volunteer Survey'!H807)"),"")</f>
        <v/>
      </c>
      <c r="P413" s="55" t="str">
        <f>IFERROR(__xludf.DUMMYFUNCTION("QUERY('Volunteer Survey'!I807)"),"")</f>
        <v/>
      </c>
      <c r="Q413" s="60" t="str">
        <f>IFERROR(__xludf.DUMMYFUNCTION("QUERY('Volunteer Survey'!J807)"),"")</f>
        <v/>
      </c>
      <c r="R413" s="55" t="str">
        <f>IFERROR(__xludf.DUMMYFUNCTION("QUERY('Volunteer Survey'!K807)"),"")</f>
        <v/>
      </c>
      <c r="S413" s="55" t="str">
        <f>IFERROR(__xludf.DUMMYFUNCTION("QUERY('Volunteer Survey'!L807)"),"")</f>
        <v/>
      </c>
      <c r="T413" s="55" t="str">
        <f>IFERROR(__xludf.DUMMYFUNCTION("QUERY('Volunteer Survey'!M807)"),"")</f>
        <v/>
      </c>
      <c r="U413" s="64" t="str">
        <f>IFERROR(__xludf.DUMMYFUNCTION("QUERY('Volunteer Survey'!N807)"),"")</f>
        <v/>
      </c>
      <c r="V413" s="55" t="str">
        <f>IFERROR(__xludf.DUMMYFUNCTION("QUERY('Volunteer Survey'!O807)"),"")</f>
        <v/>
      </c>
      <c r="W413" s="66" t="str">
        <f>IFERROR(__xludf.DUMMYFUNCTION("QUERY('Volunteer Survey'!P807)"),"")</f>
        <v/>
      </c>
      <c r="X413" s="64" t="str">
        <f>IFERROR(__xludf.DUMMYFUNCTION("QUERY('Volunteer Survey'!R807)"),"")</f>
        <v/>
      </c>
      <c r="Y413" s="53"/>
      <c r="Z413" s="55"/>
      <c r="AA413" s="55"/>
      <c r="AB413" s="55"/>
      <c r="AC413" s="55"/>
      <c r="AD413" s="55"/>
      <c r="AE413" s="55"/>
      <c r="AF413" s="55"/>
      <c r="AG413" s="55"/>
      <c r="AH413" s="55"/>
      <c r="AI413" s="55"/>
      <c r="AJ413" s="55"/>
      <c r="AK413" s="55"/>
      <c r="AL413" s="55"/>
      <c r="AM413" s="55"/>
      <c r="AN413" s="55"/>
      <c r="AO413" s="55"/>
    </row>
    <row r="414">
      <c r="A414" s="55" t="str">
        <f>IFERROR(__xludf.DUMMYFUNCTION("QUERY('Volunteer Survey'!A808)"),"")</f>
        <v/>
      </c>
      <c r="B414" s="48" t="s">
        <v>322</v>
      </c>
      <c r="C414" s="53"/>
      <c r="D414" s="55"/>
      <c r="E414" s="55"/>
      <c r="F414" s="55" t="b">
        <v>0</v>
      </c>
      <c r="G414" s="55"/>
      <c r="H414" s="53"/>
      <c r="I414" s="53"/>
      <c r="J414" s="55"/>
      <c r="K414" s="55"/>
      <c r="L414" s="55" t="str">
        <f>IFERROR(__xludf.DUMMYFUNCTION("QUERY('Volunteer Survey'!B808)"),"")</f>
        <v/>
      </c>
      <c r="M414" s="55" t="str">
        <f>IFERROR(__xludf.DUMMYFUNCTION("QUERY('Volunteer Survey'!E808)"),"")</f>
        <v/>
      </c>
      <c r="N414" s="55" t="str">
        <f>IFERROR(__xludf.DUMMYFUNCTION("QUERY('Volunteer Survey'!F808)"),"")</f>
        <v/>
      </c>
      <c r="O414" s="48" t="str">
        <f>IFERROR(__xludf.DUMMYFUNCTION("QUERY('Volunteer Survey'!H808)"),"")</f>
        <v/>
      </c>
      <c r="P414" s="55" t="str">
        <f>IFERROR(__xludf.DUMMYFUNCTION("QUERY('Volunteer Survey'!I808)"),"")</f>
        <v/>
      </c>
      <c r="Q414" s="60" t="str">
        <f>IFERROR(__xludf.DUMMYFUNCTION("QUERY('Volunteer Survey'!J808)"),"")</f>
        <v/>
      </c>
      <c r="R414" s="55" t="str">
        <f>IFERROR(__xludf.DUMMYFUNCTION("QUERY('Volunteer Survey'!K808)"),"")</f>
        <v/>
      </c>
      <c r="S414" s="55" t="str">
        <f>IFERROR(__xludf.DUMMYFUNCTION("QUERY('Volunteer Survey'!L808)"),"")</f>
        <v/>
      </c>
      <c r="T414" s="55" t="str">
        <f>IFERROR(__xludf.DUMMYFUNCTION("QUERY('Volunteer Survey'!M808)"),"")</f>
        <v/>
      </c>
      <c r="U414" s="64" t="str">
        <f>IFERROR(__xludf.DUMMYFUNCTION("QUERY('Volunteer Survey'!N808)"),"")</f>
        <v/>
      </c>
      <c r="V414" s="55" t="str">
        <f>IFERROR(__xludf.DUMMYFUNCTION("QUERY('Volunteer Survey'!O808)"),"")</f>
        <v/>
      </c>
      <c r="W414" s="66" t="str">
        <f>IFERROR(__xludf.DUMMYFUNCTION("QUERY('Volunteer Survey'!P808)"),"")</f>
        <v/>
      </c>
      <c r="X414" s="64" t="str">
        <f>IFERROR(__xludf.DUMMYFUNCTION("QUERY('Volunteer Survey'!R808)"),"")</f>
        <v/>
      </c>
      <c r="Y414" s="53"/>
      <c r="Z414" s="55"/>
      <c r="AA414" s="55"/>
      <c r="AB414" s="55"/>
      <c r="AC414" s="55"/>
      <c r="AD414" s="55"/>
      <c r="AE414" s="55"/>
      <c r="AF414" s="55"/>
      <c r="AG414" s="55"/>
      <c r="AH414" s="55"/>
      <c r="AI414" s="55"/>
      <c r="AJ414" s="55"/>
      <c r="AK414" s="55"/>
      <c r="AL414" s="55"/>
      <c r="AM414" s="55"/>
      <c r="AN414" s="55"/>
      <c r="AO414" s="55"/>
    </row>
    <row r="415">
      <c r="A415" s="55" t="str">
        <f>IFERROR(__xludf.DUMMYFUNCTION("QUERY('Volunteer Survey'!A809)"),"")</f>
        <v/>
      </c>
      <c r="B415" s="48" t="s">
        <v>322</v>
      </c>
      <c r="C415" s="53"/>
      <c r="D415" s="55"/>
      <c r="E415" s="55"/>
      <c r="F415" s="55" t="b">
        <v>0</v>
      </c>
      <c r="G415" s="55"/>
      <c r="H415" s="53"/>
      <c r="I415" s="53"/>
      <c r="J415" s="55"/>
      <c r="K415" s="55"/>
      <c r="L415" s="55" t="str">
        <f>IFERROR(__xludf.DUMMYFUNCTION("QUERY('Volunteer Survey'!B809)"),"")</f>
        <v/>
      </c>
      <c r="M415" s="55" t="str">
        <f>IFERROR(__xludf.DUMMYFUNCTION("QUERY('Volunteer Survey'!E809)"),"")</f>
        <v/>
      </c>
      <c r="N415" s="55" t="str">
        <f>IFERROR(__xludf.DUMMYFUNCTION("QUERY('Volunteer Survey'!F809)"),"")</f>
        <v/>
      </c>
      <c r="O415" s="48" t="str">
        <f>IFERROR(__xludf.DUMMYFUNCTION("QUERY('Volunteer Survey'!H809)"),"")</f>
        <v/>
      </c>
      <c r="P415" s="55" t="str">
        <f>IFERROR(__xludf.DUMMYFUNCTION("QUERY('Volunteer Survey'!I809)"),"")</f>
        <v/>
      </c>
      <c r="Q415" s="60" t="str">
        <f>IFERROR(__xludf.DUMMYFUNCTION("QUERY('Volunteer Survey'!J809)"),"")</f>
        <v/>
      </c>
      <c r="R415" s="55" t="str">
        <f>IFERROR(__xludf.DUMMYFUNCTION("QUERY('Volunteer Survey'!K809)"),"")</f>
        <v/>
      </c>
      <c r="S415" s="55" t="str">
        <f>IFERROR(__xludf.DUMMYFUNCTION("QUERY('Volunteer Survey'!L809)"),"")</f>
        <v/>
      </c>
      <c r="T415" s="55" t="str">
        <f>IFERROR(__xludf.DUMMYFUNCTION("QUERY('Volunteer Survey'!M809)"),"")</f>
        <v/>
      </c>
      <c r="U415" s="64" t="str">
        <f>IFERROR(__xludf.DUMMYFUNCTION("QUERY('Volunteer Survey'!N809)"),"")</f>
        <v/>
      </c>
      <c r="V415" s="55" t="str">
        <f>IFERROR(__xludf.DUMMYFUNCTION("QUERY('Volunteer Survey'!O809)"),"")</f>
        <v/>
      </c>
      <c r="W415" s="66" t="str">
        <f>IFERROR(__xludf.DUMMYFUNCTION("QUERY('Volunteer Survey'!P809)"),"")</f>
        <v/>
      </c>
      <c r="X415" s="64" t="str">
        <f>IFERROR(__xludf.DUMMYFUNCTION("QUERY('Volunteer Survey'!R809)"),"")</f>
        <v/>
      </c>
      <c r="Y415" s="53"/>
      <c r="Z415" s="55"/>
      <c r="AA415" s="55"/>
      <c r="AB415" s="55"/>
      <c r="AC415" s="55"/>
      <c r="AD415" s="55"/>
      <c r="AE415" s="55"/>
      <c r="AF415" s="55"/>
      <c r="AG415" s="55"/>
      <c r="AH415" s="55"/>
      <c r="AI415" s="55"/>
      <c r="AJ415" s="55"/>
      <c r="AK415" s="55"/>
      <c r="AL415" s="55"/>
      <c r="AM415" s="55"/>
      <c r="AN415" s="55"/>
      <c r="AO415" s="55"/>
    </row>
    <row r="416">
      <c r="A416" s="55" t="str">
        <f>IFERROR(__xludf.DUMMYFUNCTION("QUERY('Volunteer Survey'!A810)"),"")</f>
        <v/>
      </c>
      <c r="B416" s="48" t="s">
        <v>322</v>
      </c>
      <c r="C416" s="53"/>
      <c r="D416" s="55"/>
      <c r="E416" s="55"/>
      <c r="F416" s="55" t="b">
        <v>0</v>
      </c>
      <c r="G416" s="55"/>
      <c r="H416" s="53"/>
      <c r="I416" s="53"/>
      <c r="J416" s="55"/>
      <c r="K416" s="55"/>
      <c r="L416" s="55" t="str">
        <f>IFERROR(__xludf.DUMMYFUNCTION("QUERY('Volunteer Survey'!B810)"),"")</f>
        <v/>
      </c>
      <c r="M416" s="55" t="str">
        <f>IFERROR(__xludf.DUMMYFUNCTION("QUERY('Volunteer Survey'!E810)"),"")</f>
        <v/>
      </c>
      <c r="N416" s="55" t="str">
        <f>IFERROR(__xludf.DUMMYFUNCTION("QUERY('Volunteer Survey'!F810)"),"")</f>
        <v/>
      </c>
      <c r="O416" s="48" t="str">
        <f>IFERROR(__xludf.DUMMYFUNCTION("QUERY('Volunteer Survey'!H810)"),"")</f>
        <v/>
      </c>
      <c r="P416" s="55" t="str">
        <f>IFERROR(__xludf.DUMMYFUNCTION("QUERY('Volunteer Survey'!I810)"),"")</f>
        <v/>
      </c>
      <c r="Q416" s="60" t="str">
        <f>IFERROR(__xludf.DUMMYFUNCTION("QUERY('Volunteer Survey'!J810)"),"")</f>
        <v/>
      </c>
      <c r="R416" s="55" t="str">
        <f>IFERROR(__xludf.DUMMYFUNCTION("QUERY('Volunteer Survey'!K810)"),"")</f>
        <v/>
      </c>
      <c r="S416" s="55" t="str">
        <f>IFERROR(__xludf.DUMMYFUNCTION("QUERY('Volunteer Survey'!L810)"),"")</f>
        <v/>
      </c>
      <c r="T416" s="55" t="str">
        <f>IFERROR(__xludf.DUMMYFUNCTION("QUERY('Volunteer Survey'!M810)"),"")</f>
        <v/>
      </c>
      <c r="U416" s="64" t="str">
        <f>IFERROR(__xludf.DUMMYFUNCTION("QUERY('Volunteer Survey'!N810)"),"")</f>
        <v/>
      </c>
      <c r="V416" s="55" t="str">
        <f>IFERROR(__xludf.DUMMYFUNCTION("QUERY('Volunteer Survey'!O810)"),"")</f>
        <v/>
      </c>
      <c r="W416" s="66" t="str">
        <f>IFERROR(__xludf.DUMMYFUNCTION("QUERY('Volunteer Survey'!P810)"),"")</f>
        <v/>
      </c>
      <c r="X416" s="64" t="str">
        <f>IFERROR(__xludf.DUMMYFUNCTION("QUERY('Volunteer Survey'!R810)"),"")</f>
        <v/>
      </c>
      <c r="Y416" s="53"/>
      <c r="Z416" s="55"/>
      <c r="AA416" s="55"/>
      <c r="AB416" s="55"/>
      <c r="AC416" s="55"/>
      <c r="AD416" s="55"/>
      <c r="AE416" s="55"/>
      <c r="AF416" s="55"/>
      <c r="AG416" s="55"/>
      <c r="AH416" s="55"/>
      <c r="AI416" s="55"/>
      <c r="AJ416" s="55"/>
      <c r="AK416" s="55"/>
      <c r="AL416" s="55"/>
      <c r="AM416" s="55"/>
      <c r="AN416" s="55"/>
      <c r="AO416" s="55"/>
    </row>
    <row r="417">
      <c r="A417" s="55" t="str">
        <f>IFERROR(__xludf.DUMMYFUNCTION("QUERY('Volunteer Survey'!A811)"),"")</f>
        <v/>
      </c>
      <c r="B417" s="48" t="s">
        <v>322</v>
      </c>
      <c r="C417" s="53"/>
      <c r="D417" s="55"/>
      <c r="E417" s="55"/>
      <c r="F417" s="55" t="b">
        <v>0</v>
      </c>
      <c r="G417" s="55"/>
      <c r="H417" s="53"/>
      <c r="I417" s="53"/>
      <c r="J417" s="55"/>
      <c r="K417" s="55"/>
      <c r="L417" s="55" t="str">
        <f>IFERROR(__xludf.DUMMYFUNCTION("QUERY('Volunteer Survey'!B811)"),"")</f>
        <v/>
      </c>
      <c r="M417" s="55" t="str">
        <f>IFERROR(__xludf.DUMMYFUNCTION("QUERY('Volunteer Survey'!E811)"),"")</f>
        <v/>
      </c>
      <c r="N417" s="55" t="str">
        <f>IFERROR(__xludf.DUMMYFUNCTION("QUERY('Volunteer Survey'!F811)"),"")</f>
        <v/>
      </c>
      <c r="O417" s="48" t="str">
        <f>IFERROR(__xludf.DUMMYFUNCTION("QUERY('Volunteer Survey'!H811)"),"")</f>
        <v/>
      </c>
      <c r="P417" s="55" t="str">
        <f>IFERROR(__xludf.DUMMYFUNCTION("QUERY('Volunteer Survey'!I811)"),"")</f>
        <v/>
      </c>
      <c r="Q417" s="60" t="str">
        <f>IFERROR(__xludf.DUMMYFUNCTION("QUERY('Volunteer Survey'!J811)"),"")</f>
        <v/>
      </c>
      <c r="R417" s="55" t="str">
        <f>IFERROR(__xludf.DUMMYFUNCTION("QUERY('Volunteer Survey'!K811)"),"")</f>
        <v/>
      </c>
      <c r="S417" s="55" t="str">
        <f>IFERROR(__xludf.DUMMYFUNCTION("QUERY('Volunteer Survey'!L811)"),"")</f>
        <v/>
      </c>
      <c r="T417" s="55" t="str">
        <f>IFERROR(__xludf.DUMMYFUNCTION("QUERY('Volunteer Survey'!M811)"),"")</f>
        <v/>
      </c>
      <c r="U417" s="64" t="str">
        <f>IFERROR(__xludf.DUMMYFUNCTION("QUERY('Volunteer Survey'!N811)"),"")</f>
        <v/>
      </c>
      <c r="V417" s="55" t="str">
        <f>IFERROR(__xludf.DUMMYFUNCTION("QUERY('Volunteer Survey'!O811)"),"")</f>
        <v/>
      </c>
      <c r="W417" s="66" t="str">
        <f>IFERROR(__xludf.DUMMYFUNCTION("QUERY('Volunteer Survey'!P811)"),"")</f>
        <v/>
      </c>
      <c r="X417" s="64" t="str">
        <f>IFERROR(__xludf.DUMMYFUNCTION("QUERY('Volunteer Survey'!R811)"),"")</f>
        <v/>
      </c>
      <c r="Y417" s="53"/>
      <c r="Z417" s="55"/>
      <c r="AA417" s="55"/>
      <c r="AB417" s="55"/>
      <c r="AC417" s="55"/>
      <c r="AD417" s="55"/>
      <c r="AE417" s="55"/>
      <c r="AF417" s="55"/>
      <c r="AG417" s="55"/>
      <c r="AH417" s="55"/>
      <c r="AI417" s="55"/>
      <c r="AJ417" s="55"/>
      <c r="AK417" s="55"/>
      <c r="AL417" s="55"/>
      <c r="AM417" s="55"/>
      <c r="AN417" s="55"/>
      <c r="AO417" s="55"/>
    </row>
    <row r="418">
      <c r="A418" s="55" t="str">
        <f>IFERROR(__xludf.DUMMYFUNCTION("QUERY('Volunteer Survey'!A812)"),"")</f>
        <v/>
      </c>
      <c r="B418" s="48" t="s">
        <v>322</v>
      </c>
      <c r="C418" s="53"/>
      <c r="D418" s="55"/>
      <c r="E418" s="55"/>
      <c r="F418" s="55" t="b">
        <v>0</v>
      </c>
      <c r="G418" s="55"/>
      <c r="H418" s="53"/>
      <c r="I418" s="53"/>
      <c r="J418" s="55"/>
      <c r="K418" s="55"/>
      <c r="L418" s="55" t="str">
        <f>IFERROR(__xludf.DUMMYFUNCTION("QUERY('Volunteer Survey'!B812)"),"")</f>
        <v/>
      </c>
      <c r="M418" s="55" t="str">
        <f>IFERROR(__xludf.DUMMYFUNCTION("QUERY('Volunteer Survey'!E812)"),"")</f>
        <v/>
      </c>
      <c r="N418" s="55" t="str">
        <f>IFERROR(__xludf.DUMMYFUNCTION("QUERY('Volunteer Survey'!F812)"),"")</f>
        <v/>
      </c>
      <c r="O418" s="48" t="str">
        <f>IFERROR(__xludf.DUMMYFUNCTION("QUERY('Volunteer Survey'!H812)"),"")</f>
        <v/>
      </c>
      <c r="P418" s="55" t="str">
        <f>IFERROR(__xludf.DUMMYFUNCTION("QUERY('Volunteer Survey'!I812)"),"")</f>
        <v/>
      </c>
      <c r="Q418" s="60" t="str">
        <f>IFERROR(__xludf.DUMMYFUNCTION("QUERY('Volunteer Survey'!J812)"),"")</f>
        <v/>
      </c>
      <c r="R418" s="55" t="str">
        <f>IFERROR(__xludf.DUMMYFUNCTION("QUERY('Volunteer Survey'!K812)"),"")</f>
        <v/>
      </c>
      <c r="S418" s="55" t="str">
        <f>IFERROR(__xludf.DUMMYFUNCTION("QUERY('Volunteer Survey'!L812)"),"")</f>
        <v/>
      </c>
      <c r="T418" s="55" t="str">
        <f>IFERROR(__xludf.DUMMYFUNCTION("QUERY('Volunteer Survey'!M812)"),"")</f>
        <v/>
      </c>
      <c r="U418" s="64" t="str">
        <f>IFERROR(__xludf.DUMMYFUNCTION("QUERY('Volunteer Survey'!N812)"),"")</f>
        <v/>
      </c>
      <c r="V418" s="55" t="str">
        <f>IFERROR(__xludf.DUMMYFUNCTION("QUERY('Volunteer Survey'!O812)"),"")</f>
        <v/>
      </c>
      <c r="W418" s="66" t="str">
        <f>IFERROR(__xludf.DUMMYFUNCTION("QUERY('Volunteer Survey'!P812)"),"")</f>
        <v/>
      </c>
      <c r="X418" s="64" t="str">
        <f>IFERROR(__xludf.DUMMYFUNCTION("QUERY('Volunteer Survey'!R812)"),"")</f>
        <v/>
      </c>
      <c r="Y418" s="53"/>
      <c r="Z418" s="55"/>
      <c r="AA418" s="55"/>
      <c r="AB418" s="55"/>
      <c r="AC418" s="55"/>
      <c r="AD418" s="55"/>
      <c r="AE418" s="55"/>
      <c r="AF418" s="55"/>
      <c r="AG418" s="55"/>
      <c r="AH418" s="55"/>
      <c r="AI418" s="55"/>
      <c r="AJ418" s="55"/>
      <c r="AK418" s="55"/>
      <c r="AL418" s="55"/>
      <c r="AM418" s="55"/>
      <c r="AN418" s="55"/>
      <c r="AO418" s="55"/>
    </row>
    <row r="419">
      <c r="A419" s="55" t="str">
        <f>IFERROR(__xludf.DUMMYFUNCTION("QUERY('Volunteer Survey'!A813)"),"")</f>
        <v/>
      </c>
      <c r="B419" s="48" t="s">
        <v>322</v>
      </c>
      <c r="C419" s="53"/>
      <c r="D419" s="55"/>
      <c r="E419" s="55"/>
      <c r="F419" s="55" t="b">
        <v>0</v>
      </c>
      <c r="G419" s="55"/>
      <c r="H419" s="53"/>
      <c r="I419" s="53"/>
      <c r="J419" s="55"/>
      <c r="K419" s="55"/>
      <c r="L419" s="55" t="str">
        <f>IFERROR(__xludf.DUMMYFUNCTION("QUERY('Volunteer Survey'!B813)"),"")</f>
        <v/>
      </c>
      <c r="M419" s="55" t="str">
        <f>IFERROR(__xludf.DUMMYFUNCTION("QUERY('Volunteer Survey'!E813)"),"")</f>
        <v/>
      </c>
      <c r="N419" s="55" t="str">
        <f>IFERROR(__xludf.DUMMYFUNCTION("QUERY('Volunteer Survey'!F813)"),"")</f>
        <v/>
      </c>
      <c r="O419" s="48" t="str">
        <f>IFERROR(__xludf.DUMMYFUNCTION("QUERY('Volunteer Survey'!H813)"),"")</f>
        <v/>
      </c>
      <c r="P419" s="55" t="str">
        <f>IFERROR(__xludf.DUMMYFUNCTION("QUERY('Volunteer Survey'!I813)"),"")</f>
        <v/>
      </c>
      <c r="Q419" s="60" t="str">
        <f>IFERROR(__xludf.DUMMYFUNCTION("QUERY('Volunteer Survey'!J813)"),"")</f>
        <v/>
      </c>
      <c r="R419" s="55" t="str">
        <f>IFERROR(__xludf.DUMMYFUNCTION("QUERY('Volunteer Survey'!K813)"),"")</f>
        <v/>
      </c>
      <c r="S419" s="55" t="str">
        <f>IFERROR(__xludf.DUMMYFUNCTION("QUERY('Volunteer Survey'!L813)"),"")</f>
        <v/>
      </c>
      <c r="T419" s="55" t="str">
        <f>IFERROR(__xludf.DUMMYFUNCTION("QUERY('Volunteer Survey'!M813)"),"")</f>
        <v/>
      </c>
      <c r="U419" s="64" t="str">
        <f>IFERROR(__xludf.DUMMYFUNCTION("QUERY('Volunteer Survey'!N813)"),"")</f>
        <v/>
      </c>
      <c r="V419" s="55" t="str">
        <f>IFERROR(__xludf.DUMMYFUNCTION("QUERY('Volunteer Survey'!O813)"),"")</f>
        <v/>
      </c>
      <c r="W419" s="66" t="str">
        <f>IFERROR(__xludf.DUMMYFUNCTION("QUERY('Volunteer Survey'!P813)"),"")</f>
        <v/>
      </c>
      <c r="X419" s="64" t="str">
        <f>IFERROR(__xludf.DUMMYFUNCTION("QUERY('Volunteer Survey'!R813)"),"")</f>
        <v/>
      </c>
      <c r="Y419" s="53"/>
      <c r="Z419" s="55"/>
      <c r="AA419" s="55"/>
      <c r="AB419" s="55"/>
      <c r="AC419" s="55"/>
      <c r="AD419" s="55"/>
      <c r="AE419" s="55"/>
      <c r="AF419" s="55"/>
      <c r="AG419" s="55"/>
      <c r="AH419" s="55"/>
      <c r="AI419" s="55"/>
      <c r="AJ419" s="55"/>
      <c r="AK419" s="55"/>
      <c r="AL419" s="55"/>
      <c r="AM419" s="55"/>
      <c r="AN419" s="55"/>
      <c r="AO419" s="55"/>
    </row>
    <row r="420">
      <c r="A420" s="55" t="str">
        <f>IFERROR(__xludf.DUMMYFUNCTION("QUERY('Volunteer Survey'!A814)"),"")</f>
        <v/>
      </c>
      <c r="B420" s="48" t="s">
        <v>322</v>
      </c>
      <c r="C420" s="53"/>
      <c r="D420" s="55"/>
      <c r="E420" s="55"/>
      <c r="F420" s="55" t="b">
        <v>0</v>
      </c>
      <c r="G420" s="55"/>
      <c r="H420" s="53"/>
      <c r="I420" s="53"/>
      <c r="J420" s="55"/>
      <c r="K420" s="55"/>
      <c r="L420" s="55" t="str">
        <f>IFERROR(__xludf.DUMMYFUNCTION("QUERY('Volunteer Survey'!B814)"),"")</f>
        <v/>
      </c>
      <c r="M420" s="55" t="str">
        <f>IFERROR(__xludf.DUMMYFUNCTION("QUERY('Volunteer Survey'!E814)"),"")</f>
        <v/>
      </c>
      <c r="N420" s="55" t="str">
        <f>IFERROR(__xludf.DUMMYFUNCTION("QUERY('Volunteer Survey'!F814)"),"")</f>
        <v/>
      </c>
      <c r="O420" s="48" t="str">
        <f>IFERROR(__xludf.DUMMYFUNCTION("QUERY('Volunteer Survey'!H814)"),"")</f>
        <v/>
      </c>
      <c r="P420" s="55" t="str">
        <f>IFERROR(__xludf.DUMMYFUNCTION("QUERY('Volunteer Survey'!I814)"),"")</f>
        <v/>
      </c>
      <c r="Q420" s="60" t="str">
        <f>IFERROR(__xludf.DUMMYFUNCTION("QUERY('Volunteer Survey'!J814)"),"")</f>
        <v/>
      </c>
      <c r="R420" s="55" t="str">
        <f>IFERROR(__xludf.DUMMYFUNCTION("QUERY('Volunteer Survey'!K814)"),"")</f>
        <v/>
      </c>
      <c r="S420" s="55" t="str">
        <f>IFERROR(__xludf.DUMMYFUNCTION("QUERY('Volunteer Survey'!L814)"),"")</f>
        <v/>
      </c>
      <c r="T420" s="55" t="str">
        <f>IFERROR(__xludf.DUMMYFUNCTION("QUERY('Volunteer Survey'!M814)"),"")</f>
        <v/>
      </c>
      <c r="U420" s="64" t="str">
        <f>IFERROR(__xludf.DUMMYFUNCTION("QUERY('Volunteer Survey'!N814)"),"")</f>
        <v/>
      </c>
      <c r="V420" s="55" t="str">
        <f>IFERROR(__xludf.DUMMYFUNCTION("QUERY('Volunteer Survey'!O814)"),"")</f>
        <v/>
      </c>
      <c r="W420" s="66" t="str">
        <f>IFERROR(__xludf.DUMMYFUNCTION("QUERY('Volunteer Survey'!P814)"),"")</f>
        <v/>
      </c>
      <c r="X420" s="64" t="str">
        <f>IFERROR(__xludf.DUMMYFUNCTION("QUERY('Volunteer Survey'!R814)"),"")</f>
        <v/>
      </c>
      <c r="Y420" s="53"/>
      <c r="Z420" s="55"/>
      <c r="AA420" s="55"/>
      <c r="AB420" s="55"/>
      <c r="AC420" s="55"/>
      <c r="AD420" s="55"/>
      <c r="AE420" s="55"/>
      <c r="AF420" s="55"/>
      <c r="AG420" s="55"/>
      <c r="AH420" s="55"/>
      <c r="AI420" s="55"/>
      <c r="AJ420" s="55"/>
      <c r="AK420" s="55"/>
      <c r="AL420" s="55"/>
      <c r="AM420" s="55"/>
      <c r="AN420" s="55"/>
      <c r="AO420" s="55"/>
    </row>
    <row r="421">
      <c r="A421" s="55" t="str">
        <f>IFERROR(__xludf.DUMMYFUNCTION("QUERY('Volunteer Survey'!A815)"),"")</f>
        <v/>
      </c>
      <c r="B421" s="48" t="s">
        <v>322</v>
      </c>
      <c r="C421" s="53"/>
      <c r="D421" s="55"/>
      <c r="E421" s="55"/>
      <c r="F421" s="55" t="b">
        <v>0</v>
      </c>
      <c r="G421" s="55"/>
      <c r="H421" s="53"/>
      <c r="I421" s="53"/>
      <c r="J421" s="55"/>
      <c r="K421" s="55"/>
      <c r="L421" s="55" t="str">
        <f>IFERROR(__xludf.DUMMYFUNCTION("QUERY('Volunteer Survey'!B815)"),"")</f>
        <v/>
      </c>
      <c r="M421" s="55" t="str">
        <f>IFERROR(__xludf.DUMMYFUNCTION("QUERY('Volunteer Survey'!E815)"),"")</f>
        <v/>
      </c>
      <c r="N421" s="55" t="str">
        <f>IFERROR(__xludf.DUMMYFUNCTION("QUERY('Volunteer Survey'!F815)"),"")</f>
        <v/>
      </c>
      <c r="O421" s="48" t="str">
        <f>IFERROR(__xludf.DUMMYFUNCTION("QUERY('Volunteer Survey'!H815)"),"")</f>
        <v/>
      </c>
      <c r="P421" s="55" t="str">
        <f>IFERROR(__xludf.DUMMYFUNCTION("QUERY('Volunteer Survey'!I815)"),"")</f>
        <v/>
      </c>
      <c r="Q421" s="60" t="str">
        <f>IFERROR(__xludf.DUMMYFUNCTION("QUERY('Volunteer Survey'!J815)"),"")</f>
        <v/>
      </c>
      <c r="R421" s="55" t="str">
        <f>IFERROR(__xludf.DUMMYFUNCTION("QUERY('Volunteer Survey'!K815)"),"")</f>
        <v/>
      </c>
      <c r="S421" s="55" t="str">
        <f>IFERROR(__xludf.DUMMYFUNCTION("QUERY('Volunteer Survey'!L815)"),"")</f>
        <v/>
      </c>
      <c r="T421" s="55" t="str">
        <f>IFERROR(__xludf.DUMMYFUNCTION("QUERY('Volunteer Survey'!M815)"),"")</f>
        <v/>
      </c>
      <c r="U421" s="64" t="str">
        <f>IFERROR(__xludf.DUMMYFUNCTION("QUERY('Volunteer Survey'!N815)"),"")</f>
        <v/>
      </c>
      <c r="V421" s="55" t="str">
        <f>IFERROR(__xludf.DUMMYFUNCTION("QUERY('Volunteer Survey'!O815)"),"")</f>
        <v/>
      </c>
      <c r="W421" s="66" t="str">
        <f>IFERROR(__xludf.DUMMYFUNCTION("QUERY('Volunteer Survey'!P815)"),"")</f>
        <v/>
      </c>
      <c r="X421" s="64" t="str">
        <f>IFERROR(__xludf.DUMMYFUNCTION("QUERY('Volunteer Survey'!R815)"),"")</f>
        <v/>
      </c>
      <c r="Y421" s="53"/>
      <c r="Z421" s="55"/>
      <c r="AA421" s="55"/>
      <c r="AB421" s="55"/>
      <c r="AC421" s="55"/>
      <c r="AD421" s="55"/>
      <c r="AE421" s="55"/>
      <c r="AF421" s="55"/>
      <c r="AG421" s="55"/>
      <c r="AH421" s="55"/>
      <c r="AI421" s="55"/>
      <c r="AJ421" s="55"/>
      <c r="AK421" s="55"/>
      <c r="AL421" s="55"/>
      <c r="AM421" s="55"/>
      <c r="AN421" s="55"/>
      <c r="AO421" s="55"/>
    </row>
    <row r="422">
      <c r="A422" s="55" t="str">
        <f>IFERROR(__xludf.DUMMYFUNCTION("QUERY('Volunteer Survey'!A816)"),"")</f>
        <v/>
      </c>
      <c r="B422" s="48" t="s">
        <v>322</v>
      </c>
      <c r="C422" s="53"/>
      <c r="D422" s="55"/>
      <c r="E422" s="55"/>
      <c r="F422" s="55" t="b">
        <v>0</v>
      </c>
      <c r="G422" s="55"/>
      <c r="H422" s="53"/>
      <c r="I422" s="53"/>
      <c r="J422" s="55"/>
      <c r="K422" s="55"/>
      <c r="L422" s="55" t="str">
        <f>IFERROR(__xludf.DUMMYFUNCTION("QUERY('Volunteer Survey'!B816)"),"")</f>
        <v/>
      </c>
      <c r="M422" s="55" t="str">
        <f>IFERROR(__xludf.DUMMYFUNCTION("QUERY('Volunteer Survey'!E816)"),"")</f>
        <v/>
      </c>
      <c r="N422" s="55" t="str">
        <f>IFERROR(__xludf.DUMMYFUNCTION("QUERY('Volunteer Survey'!F816)"),"")</f>
        <v/>
      </c>
      <c r="O422" s="48" t="str">
        <f>IFERROR(__xludf.DUMMYFUNCTION("QUERY('Volunteer Survey'!H816)"),"")</f>
        <v/>
      </c>
      <c r="P422" s="55" t="str">
        <f>IFERROR(__xludf.DUMMYFUNCTION("QUERY('Volunteer Survey'!I816)"),"")</f>
        <v/>
      </c>
      <c r="Q422" s="60" t="str">
        <f>IFERROR(__xludf.DUMMYFUNCTION("QUERY('Volunteer Survey'!J816)"),"")</f>
        <v/>
      </c>
      <c r="R422" s="55" t="str">
        <f>IFERROR(__xludf.DUMMYFUNCTION("QUERY('Volunteer Survey'!K816)"),"")</f>
        <v/>
      </c>
      <c r="S422" s="55" t="str">
        <f>IFERROR(__xludf.DUMMYFUNCTION("QUERY('Volunteer Survey'!L816)"),"")</f>
        <v/>
      </c>
      <c r="T422" s="55" t="str">
        <f>IFERROR(__xludf.DUMMYFUNCTION("QUERY('Volunteer Survey'!M816)"),"")</f>
        <v/>
      </c>
      <c r="U422" s="64" t="str">
        <f>IFERROR(__xludf.DUMMYFUNCTION("QUERY('Volunteer Survey'!N816)"),"")</f>
        <v/>
      </c>
      <c r="V422" s="55" t="str">
        <f>IFERROR(__xludf.DUMMYFUNCTION("QUERY('Volunteer Survey'!O816)"),"")</f>
        <v/>
      </c>
      <c r="W422" s="66" t="str">
        <f>IFERROR(__xludf.DUMMYFUNCTION("QUERY('Volunteer Survey'!P816)"),"")</f>
        <v/>
      </c>
      <c r="X422" s="64" t="str">
        <f>IFERROR(__xludf.DUMMYFUNCTION("QUERY('Volunteer Survey'!R816)"),"")</f>
        <v/>
      </c>
      <c r="Y422" s="53"/>
      <c r="Z422" s="55"/>
      <c r="AA422" s="55"/>
      <c r="AB422" s="55"/>
      <c r="AC422" s="55"/>
      <c r="AD422" s="55"/>
      <c r="AE422" s="55"/>
      <c r="AF422" s="55"/>
      <c r="AG422" s="55"/>
      <c r="AH422" s="55"/>
      <c r="AI422" s="55"/>
      <c r="AJ422" s="55"/>
      <c r="AK422" s="55"/>
      <c r="AL422" s="55"/>
      <c r="AM422" s="55"/>
      <c r="AN422" s="55"/>
      <c r="AO422" s="55"/>
    </row>
    <row r="423">
      <c r="A423" s="55" t="str">
        <f>IFERROR(__xludf.DUMMYFUNCTION("QUERY('Volunteer Survey'!A817)"),"")</f>
        <v/>
      </c>
      <c r="B423" s="48" t="s">
        <v>322</v>
      </c>
      <c r="C423" s="53"/>
      <c r="D423" s="55"/>
      <c r="E423" s="55"/>
      <c r="F423" s="55" t="b">
        <v>0</v>
      </c>
      <c r="G423" s="55"/>
      <c r="H423" s="53"/>
      <c r="I423" s="53"/>
      <c r="J423" s="55"/>
      <c r="K423" s="55"/>
      <c r="L423" s="55" t="str">
        <f>IFERROR(__xludf.DUMMYFUNCTION("QUERY('Volunteer Survey'!B817)"),"")</f>
        <v/>
      </c>
      <c r="M423" s="55" t="str">
        <f>IFERROR(__xludf.DUMMYFUNCTION("QUERY('Volunteer Survey'!E817)"),"")</f>
        <v/>
      </c>
      <c r="N423" s="55" t="str">
        <f>IFERROR(__xludf.DUMMYFUNCTION("QUERY('Volunteer Survey'!F817)"),"")</f>
        <v/>
      </c>
      <c r="O423" s="48" t="str">
        <f>IFERROR(__xludf.DUMMYFUNCTION("QUERY('Volunteer Survey'!H817)"),"")</f>
        <v/>
      </c>
      <c r="P423" s="55" t="str">
        <f>IFERROR(__xludf.DUMMYFUNCTION("QUERY('Volunteer Survey'!I817)"),"")</f>
        <v/>
      </c>
      <c r="Q423" s="60" t="str">
        <f>IFERROR(__xludf.DUMMYFUNCTION("QUERY('Volunteer Survey'!J817)"),"")</f>
        <v/>
      </c>
      <c r="R423" s="55" t="str">
        <f>IFERROR(__xludf.DUMMYFUNCTION("QUERY('Volunteer Survey'!K817)"),"")</f>
        <v/>
      </c>
      <c r="S423" s="55" t="str">
        <f>IFERROR(__xludf.DUMMYFUNCTION("QUERY('Volunteer Survey'!L817)"),"")</f>
        <v/>
      </c>
      <c r="T423" s="55" t="str">
        <f>IFERROR(__xludf.DUMMYFUNCTION("QUERY('Volunteer Survey'!M817)"),"")</f>
        <v/>
      </c>
      <c r="U423" s="64" t="str">
        <f>IFERROR(__xludf.DUMMYFUNCTION("QUERY('Volunteer Survey'!N817)"),"")</f>
        <v/>
      </c>
      <c r="V423" s="55" t="str">
        <f>IFERROR(__xludf.DUMMYFUNCTION("QUERY('Volunteer Survey'!O817)"),"")</f>
        <v/>
      </c>
      <c r="W423" s="66" t="str">
        <f>IFERROR(__xludf.DUMMYFUNCTION("QUERY('Volunteer Survey'!P817)"),"")</f>
        <v/>
      </c>
      <c r="X423" s="64" t="str">
        <f>IFERROR(__xludf.DUMMYFUNCTION("QUERY('Volunteer Survey'!R817)"),"")</f>
        <v/>
      </c>
      <c r="Y423" s="53"/>
      <c r="Z423" s="55"/>
      <c r="AA423" s="55"/>
      <c r="AB423" s="55"/>
      <c r="AC423" s="55"/>
      <c r="AD423" s="55"/>
      <c r="AE423" s="55"/>
      <c r="AF423" s="55"/>
      <c r="AG423" s="55"/>
      <c r="AH423" s="55"/>
      <c r="AI423" s="55"/>
      <c r="AJ423" s="55"/>
      <c r="AK423" s="55"/>
      <c r="AL423" s="55"/>
      <c r="AM423" s="55"/>
      <c r="AN423" s="55"/>
      <c r="AO423" s="55"/>
    </row>
    <row r="424">
      <c r="A424" s="55" t="str">
        <f>IFERROR(__xludf.DUMMYFUNCTION("QUERY('Volunteer Survey'!A818)"),"")</f>
        <v/>
      </c>
      <c r="B424" s="48" t="s">
        <v>322</v>
      </c>
      <c r="C424" s="53"/>
      <c r="D424" s="55"/>
      <c r="E424" s="55"/>
      <c r="F424" s="55" t="b">
        <v>0</v>
      </c>
      <c r="G424" s="55"/>
      <c r="H424" s="53"/>
      <c r="I424" s="53"/>
      <c r="J424" s="55"/>
      <c r="K424" s="55"/>
      <c r="L424" s="55" t="str">
        <f>IFERROR(__xludf.DUMMYFUNCTION("QUERY('Volunteer Survey'!B818)"),"")</f>
        <v/>
      </c>
      <c r="M424" s="55" t="str">
        <f>IFERROR(__xludf.DUMMYFUNCTION("QUERY('Volunteer Survey'!E818)"),"")</f>
        <v/>
      </c>
      <c r="N424" s="55" t="str">
        <f>IFERROR(__xludf.DUMMYFUNCTION("QUERY('Volunteer Survey'!F818)"),"")</f>
        <v/>
      </c>
      <c r="O424" s="48" t="str">
        <f>IFERROR(__xludf.DUMMYFUNCTION("QUERY('Volunteer Survey'!H818)"),"")</f>
        <v/>
      </c>
      <c r="P424" s="55" t="str">
        <f>IFERROR(__xludf.DUMMYFUNCTION("QUERY('Volunteer Survey'!I818)"),"")</f>
        <v/>
      </c>
      <c r="Q424" s="60" t="str">
        <f>IFERROR(__xludf.DUMMYFUNCTION("QUERY('Volunteer Survey'!J818)"),"")</f>
        <v/>
      </c>
      <c r="R424" s="55" t="str">
        <f>IFERROR(__xludf.DUMMYFUNCTION("QUERY('Volunteer Survey'!K818)"),"")</f>
        <v/>
      </c>
      <c r="S424" s="55" t="str">
        <f>IFERROR(__xludf.DUMMYFUNCTION("QUERY('Volunteer Survey'!L818)"),"")</f>
        <v/>
      </c>
      <c r="T424" s="55" t="str">
        <f>IFERROR(__xludf.DUMMYFUNCTION("QUERY('Volunteer Survey'!M818)"),"")</f>
        <v/>
      </c>
      <c r="U424" s="64" t="str">
        <f>IFERROR(__xludf.DUMMYFUNCTION("QUERY('Volunteer Survey'!N818)"),"")</f>
        <v/>
      </c>
      <c r="V424" s="55" t="str">
        <f>IFERROR(__xludf.DUMMYFUNCTION("QUERY('Volunteer Survey'!O818)"),"")</f>
        <v/>
      </c>
      <c r="W424" s="66" t="str">
        <f>IFERROR(__xludf.DUMMYFUNCTION("QUERY('Volunteer Survey'!P818)"),"")</f>
        <v/>
      </c>
      <c r="X424" s="64" t="str">
        <f>IFERROR(__xludf.DUMMYFUNCTION("QUERY('Volunteer Survey'!R818)"),"")</f>
        <v/>
      </c>
      <c r="Y424" s="53"/>
      <c r="Z424" s="55"/>
      <c r="AA424" s="55"/>
      <c r="AB424" s="55"/>
      <c r="AC424" s="55"/>
      <c r="AD424" s="55"/>
      <c r="AE424" s="55"/>
      <c r="AF424" s="55"/>
      <c r="AG424" s="55"/>
      <c r="AH424" s="55"/>
      <c r="AI424" s="55"/>
      <c r="AJ424" s="55"/>
      <c r="AK424" s="55"/>
      <c r="AL424" s="55"/>
      <c r="AM424" s="55"/>
      <c r="AN424" s="55"/>
      <c r="AO424" s="55"/>
    </row>
    <row r="425">
      <c r="A425" s="55" t="str">
        <f>IFERROR(__xludf.DUMMYFUNCTION("QUERY('Volunteer Survey'!A819)"),"")</f>
        <v/>
      </c>
      <c r="B425" s="48" t="s">
        <v>322</v>
      </c>
      <c r="C425" s="53"/>
      <c r="D425" s="55"/>
      <c r="E425" s="55"/>
      <c r="F425" s="55" t="b">
        <v>0</v>
      </c>
      <c r="G425" s="55"/>
      <c r="H425" s="53"/>
      <c r="I425" s="53"/>
      <c r="J425" s="55"/>
      <c r="K425" s="55"/>
      <c r="L425" s="55" t="str">
        <f>IFERROR(__xludf.DUMMYFUNCTION("QUERY('Volunteer Survey'!B819)"),"")</f>
        <v/>
      </c>
      <c r="M425" s="55" t="str">
        <f>IFERROR(__xludf.DUMMYFUNCTION("QUERY('Volunteer Survey'!E819)"),"")</f>
        <v/>
      </c>
      <c r="N425" s="55" t="str">
        <f>IFERROR(__xludf.DUMMYFUNCTION("QUERY('Volunteer Survey'!F819)"),"")</f>
        <v/>
      </c>
      <c r="O425" s="48" t="str">
        <f>IFERROR(__xludf.DUMMYFUNCTION("QUERY('Volunteer Survey'!H819)"),"")</f>
        <v/>
      </c>
      <c r="P425" s="55" t="str">
        <f>IFERROR(__xludf.DUMMYFUNCTION("QUERY('Volunteer Survey'!I819)"),"")</f>
        <v/>
      </c>
      <c r="Q425" s="60" t="str">
        <f>IFERROR(__xludf.DUMMYFUNCTION("QUERY('Volunteer Survey'!J819)"),"")</f>
        <v/>
      </c>
      <c r="R425" s="55" t="str">
        <f>IFERROR(__xludf.DUMMYFUNCTION("QUERY('Volunteer Survey'!K819)"),"")</f>
        <v/>
      </c>
      <c r="S425" s="55" t="str">
        <f>IFERROR(__xludf.DUMMYFUNCTION("QUERY('Volunteer Survey'!L819)"),"")</f>
        <v/>
      </c>
      <c r="T425" s="55" t="str">
        <f>IFERROR(__xludf.DUMMYFUNCTION("QUERY('Volunteer Survey'!M819)"),"")</f>
        <v/>
      </c>
      <c r="U425" s="64" t="str">
        <f>IFERROR(__xludf.DUMMYFUNCTION("QUERY('Volunteer Survey'!N819)"),"")</f>
        <v/>
      </c>
      <c r="V425" s="55" t="str">
        <f>IFERROR(__xludf.DUMMYFUNCTION("QUERY('Volunteer Survey'!O819)"),"")</f>
        <v/>
      </c>
      <c r="W425" s="66" t="str">
        <f>IFERROR(__xludf.DUMMYFUNCTION("QUERY('Volunteer Survey'!P819)"),"")</f>
        <v/>
      </c>
      <c r="X425" s="64" t="str">
        <f>IFERROR(__xludf.DUMMYFUNCTION("QUERY('Volunteer Survey'!R819)"),"")</f>
        <v/>
      </c>
      <c r="Y425" s="53"/>
      <c r="Z425" s="55"/>
      <c r="AA425" s="55"/>
      <c r="AB425" s="55"/>
      <c r="AC425" s="55"/>
      <c r="AD425" s="55"/>
      <c r="AE425" s="55"/>
      <c r="AF425" s="55"/>
      <c r="AG425" s="55"/>
      <c r="AH425" s="55"/>
      <c r="AI425" s="55"/>
      <c r="AJ425" s="55"/>
      <c r="AK425" s="55"/>
      <c r="AL425" s="55"/>
      <c r="AM425" s="55"/>
      <c r="AN425" s="55"/>
      <c r="AO425" s="55"/>
    </row>
    <row r="426">
      <c r="A426" s="55" t="str">
        <f>IFERROR(__xludf.DUMMYFUNCTION("QUERY('Volunteer Survey'!A820)"),"")</f>
        <v/>
      </c>
      <c r="B426" s="48" t="s">
        <v>322</v>
      </c>
      <c r="C426" s="53"/>
      <c r="D426" s="55"/>
      <c r="E426" s="55"/>
      <c r="F426" s="55" t="b">
        <v>0</v>
      </c>
      <c r="G426" s="55"/>
      <c r="H426" s="53"/>
      <c r="I426" s="53"/>
      <c r="J426" s="55"/>
      <c r="K426" s="55"/>
      <c r="L426" s="55" t="str">
        <f>IFERROR(__xludf.DUMMYFUNCTION("QUERY('Volunteer Survey'!B820)"),"")</f>
        <v/>
      </c>
      <c r="M426" s="55" t="str">
        <f>IFERROR(__xludf.DUMMYFUNCTION("QUERY('Volunteer Survey'!E820)"),"")</f>
        <v/>
      </c>
      <c r="N426" s="55" t="str">
        <f>IFERROR(__xludf.DUMMYFUNCTION("QUERY('Volunteer Survey'!F820)"),"")</f>
        <v/>
      </c>
      <c r="O426" s="48" t="str">
        <f>IFERROR(__xludf.DUMMYFUNCTION("QUERY('Volunteer Survey'!H820)"),"")</f>
        <v/>
      </c>
      <c r="P426" s="55" t="str">
        <f>IFERROR(__xludf.DUMMYFUNCTION("QUERY('Volunteer Survey'!I820)"),"")</f>
        <v/>
      </c>
      <c r="Q426" s="60" t="str">
        <f>IFERROR(__xludf.DUMMYFUNCTION("QUERY('Volunteer Survey'!J820)"),"")</f>
        <v/>
      </c>
      <c r="R426" s="55" t="str">
        <f>IFERROR(__xludf.DUMMYFUNCTION("QUERY('Volunteer Survey'!K820)"),"")</f>
        <v/>
      </c>
      <c r="S426" s="55" t="str">
        <f>IFERROR(__xludf.DUMMYFUNCTION("QUERY('Volunteer Survey'!L820)"),"")</f>
        <v/>
      </c>
      <c r="T426" s="55" t="str">
        <f>IFERROR(__xludf.DUMMYFUNCTION("QUERY('Volunteer Survey'!M820)"),"")</f>
        <v/>
      </c>
      <c r="U426" s="64" t="str">
        <f>IFERROR(__xludf.DUMMYFUNCTION("QUERY('Volunteer Survey'!N820)"),"")</f>
        <v/>
      </c>
      <c r="V426" s="55" t="str">
        <f>IFERROR(__xludf.DUMMYFUNCTION("QUERY('Volunteer Survey'!O820)"),"")</f>
        <v/>
      </c>
      <c r="W426" s="66" t="str">
        <f>IFERROR(__xludf.DUMMYFUNCTION("QUERY('Volunteer Survey'!P820)"),"")</f>
        <v/>
      </c>
      <c r="X426" s="64" t="str">
        <f>IFERROR(__xludf.DUMMYFUNCTION("QUERY('Volunteer Survey'!R820)"),"")</f>
        <v/>
      </c>
      <c r="Y426" s="53"/>
      <c r="Z426" s="55"/>
      <c r="AA426" s="55"/>
      <c r="AB426" s="55"/>
      <c r="AC426" s="55"/>
      <c r="AD426" s="55"/>
      <c r="AE426" s="55"/>
      <c r="AF426" s="55"/>
      <c r="AG426" s="55"/>
      <c r="AH426" s="55"/>
      <c r="AI426" s="55"/>
      <c r="AJ426" s="55"/>
      <c r="AK426" s="55"/>
      <c r="AL426" s="55"/>
      <c r="AM426" s="55"/>
      <c r="AN426" s="55"/>
      <c r="AO426" s="55"/>
    </row>
    <row r="427">
      <c r="A427" s="55" t="str">
        <f>IFERROR(__xludf.DUMMYFUNCTION("QUERY('Volunteer Survey'!A821)"),"")</f>
        <v/>
      </c>
      <c r="B427" s="48" t="s">
        <v>322</v>
      </c>
      <c r="C427" s="53"/>
      <c r="D427" s="55"/>
      <c r="E427" s="55"/>
      <c r="F427" s="55" t="b">
        <v>0</v>
      </c>
      <c r="G427" s="55"/>
      <c r="H427" s="53"/>
      <c r="I427" s="53"/>
      <c r="J427" s="55"/>
      <c r="K427" s="55"/>
      <c r="L427" s="55" t="str">
        <f>IFERROR(__xludf.DUMMYFUNCTION("QUERY('Volunteer Survey'!B821)"),"")</f>
        <v/>
      </c>
      <c r="M427" s="55" t="str">
        <f>IFERROR(__xludf.DUMMYFUNCTION("QUERY('Volunteer Survey'!E821)"),"")</f>
        <v/>
      </c>
      <c r="N427" s="55" t="str">
        <f>IFERROR(__xludf.DUMMYFUNCTION("QUERY('Volunteer Survey'!F821)"),"")</f>
        <v/>
      </c>
      <c r="O427" s="48" t="str">
        <f>IFERROR(__xludf.DUMMYFUNCTION("QUERY('Volunteer Survey'!H821)"),"")</f>
        <v/>
      </c>
      <c r="P427" s="55" t="str">
        <f>IFERROR(__xludf.DUMMYFUNCTION("QUERY('Volunteer Survey'!I821)"),"")</f>
        <v/>
      </c>
      <c r="Q427" s="60" t="str">
        <f>IFERROR(__xludf.DUMMYFUNCTION("QUERY('Volunteer Survey'!J821)"),"")</f>
        <v/>
      </c>
      <c r="R427" s="55" t="str">
        <f>IFERROR(__xludf.DUMMYFUNCTION("QUERY('Volunteer Survey'!K821)"),"")</f>
        <v/>
      </c>
      <c r="S427" s="55" t="str">
        <f>IFERROR(__xludf.DUMMYFUNCTION("QUERY('Volunteer Survey'!L821)"),"")</f>
        <v/>
      </c>
      <c r="T427" s="55" t="str">
        <f>IFERROR(__xludf.DUMMYFUNCTION("QUERY('Volunteer Survey'!M821)"),"")</f>
        <v/>
      </c>
      <c r="U427" s="64" t="str">
        <f>IFERROR(__xludf.DUMMYFUNCTION("QUERY('Volunteer Survey'!N821)"),"")</f>
        <v/>
      </c>
      <c r="V427" s="55" t="str">
        <f>IFERROR(__xludf.DUMMYFUNCTION("QUERY('Volunteer Survey'!O821)"),"")</f>
        <v/>
      </c>
      <c r="W427" s="66" t="str">
        <f>IFERROR(__xludf.DUMMYFUNCTION("QUERY('Volunteer Survey'!P821)"),"")</f>
        <v/>
      </c>
      <c r="X427" s="64" t="str">
        <f>IFERROR(__xludf.DUMMYFUNCTION("QUERY('Volunteer Survey'!R821)"),"")</f>
        <v/>
      </c>
      <c r="Y427" s="53"/>
      <c r="Z427" s="55"/>
      <c r="AA427" s="55"/>
      <c r="AB427" s="55"/>
      <c r="AC427" s="55"/>
      <c r="AD427" s="55"/>
      <c r="AE427" s="55"/>
      <c r="AF427" s="55"/>
      <c r="AG427" s="55"/>
      <c r="AH427" s="55"/>
      <c r="AI427" s="55"/>
      <c r="AJ427" s="55"/>
      <c r="AK427" s="55"/>
      <c r="AL427" s="55"/>
      <c r="AM427" s="55"/>
      <c r="AN427" s="55"/>
      <c r="AO427" s="55"/>
    </row>
    <row r="428">
      <c r="A428" s="55" t="str">
        <f>IFERROR(__xludf.DUMMYFUNCTION("QUERY('Volunteer Survey'!A822)"),"")</f>
        <v/>
      </c>
      <c r="B428" s="48" t="s">
        <v>322</v>
      </c>
      <c r="C428" s="53"/>
      <c r="D428" s="55"/>
      <c r="E428" s="55"/>
      <c r="F428" s="55" t="b">
        <v>0</v>
      </c>
      <c r="G428" s="55"/>
      <c r="H428" s="53"/>
      <c r="I428" s="53"/>
      <c r="J428" s="55"/>
      <c r="K428" s="55"/>
      <c r="L428" s="55" t="str">
        <f>IFERROR(__xludf.DUMMYFUNCTION("QUERY('Volunteer Survey'!B822)"),"")</f>
        <v/>
      </c>
      <c r="M428" s="55" t="str">
        <f>IFERROR(__xludf.DUMMYFUNCTION("QUERY('Volunteer Survey'!E822)"),"")</f>
        <v/>
      </c>
      <c r="N428" s="55" t="str">
        <f>IFERROR(__xludf.DUMMYFUNCTION("QUERY('Volunteer Survey'!F822)"),"")</f>
        <v/>
      </c>
      <c r="O428" s="48" t="str">
        <f>IFERROR(__xludf.DUMMYFUNCTION("QUERY('Volunteer Survey'!H822)"),"")</f>
        <v/>
      </c>
      <c r="P428" s="55" t="str">
        <f>IFERROR(__xludf.DUMMYFUNCTION("QUERY('Volunteer Survey'!I822)"),"")</f>
        <v/>
      </c>
      <c r="Q428" s="60" t="str">
        <f>IFERROR(__xludf.DUMMYFUNCTION("QUERY('Volunteer Survey'!J822)"),"")</f>
        <v/>
      </c>
      <c r="R428" s="55" t="str">
        <f>IFERROR(__xludf.DUMMYFUNCTION("QUERY('Volunteer Survey'!K822)"),"")</f>
        <v/>
      </c>
      <c r="S428" s="55" t="str">
        <f>IFERROR(__xludf.DUMMYFUNCTION("QUERY('Volunteer Survey'!L822)"),"")</f>
        <v/>
      </c>
      <c r="T428" s="55" t="str">
        <f>IFERROR(__xludf.DUMMYFUNCTION("QUERY('Volunteer Survey'!M822)"),"")</f>
        <v/>
      </c>
      <c r="U428" s="64" t="str">
        <f>IFERROR(__xludf.DUMMYFUNCTION("QUERY('Volunteer Survey'!N822)"),"")</f>
        <v/>
      </c>
      <c r="V428" s="55" t="str">
        <f>IFERROR(__xludf.DUMMYFUNCTION("QUERY('Volunteer Survey'!O822)"),"")</f>
        <v/>
      </c>
      <c r="W428" s="66" t="str">
        <f>IFERROR(__xludf.DUMMYFUNCTION("QUERY('Volunteer Survey'!P822)"),"")</f>
        <v/>
      </c>
      <c r="X428" s="64" t="str">
        <f>IFERROR(__xludf.DUMMYFUNCTION("QUERY('Volunteer Survey'!R822)"),"")</f>
        <v/>
      </c>
      <c r="Y428" s="53"/>
      <c r="Z428" s="55"/>
      <c r="AA428" s="55"/>
      <c r="AB428" s="55"/>
      <c r="AC428" s="55"/>
      <c r="AD428" s="55"/>
      <c r="AE428" s="55"/>
      <c r="AF428" s="55"/>
      <c r="AG428" s="55"/>
      <c r="AH428" s="55"/>
      <c r="AI428" s="55"/>
      <c r="AJ428" s="55"/>
      <c r="AK428" s="55"/>
      <c r="AL428" s="55"/>
      <c r="AM428" s="55"/>
      <c r="AN428" s="55"/>
      <c r="AO428" s="55"/>
    </row>
    <row r="429">
      <c r="A429" s="55" t="str">
        <f>IFERROR(__xludf.DUMMYFUNCTION("QUERY('Volunteer Survey'!A823)"),"")</f>
        <v/>
      </c>
      <c r="B429" s="48" t="s">
        <v>322</v>
      </c>
      <c r="C429" s="53"/>
      <c r="D429" s="55"/>
      <c r="E429" s="55"/>
      <c r="F429" s="55" t="b">
        <v>0</v>
      </c>
      <c r="G429" s="55"/>
      <c r="H429" s="53"/>
      <c r="I429" s="53"/>
      <c r="J429" s="55"/>
      <c r="K429" s="55"/>
      <c r="L429" s="55" t="str">
        <f>IFERROR(__xludf.DUMMYFUNCTION("QUERY('Volunteer Survey'!B823)"),"")</f>
        <v/>
      </c>
      <c r="M429" s="55" t="str">
        <f>IFERROR(__xludf.DUMMYFUNCTION("QUERY('Volunteer Survey'!E823)"),"")</f>
        <v/>
      </c>
      <c r="N429" s="55" t="str">
        <f>IFERROR(__xludf.DUMMYFUNCTION("QUERY('Volunteer Survey'!F823)"),"")</f>
        <v/>
      </c>
      <c r="O429" s="48" t="str">
        <f>IFERROR(__xludf.DUMMYFUNCTION("QUERY('Volunteer Survey'!H823)"),"")</f>
        <v/>
      </c>
      <c r="P429" s="55" t="str">
        <f>IFERROR(__xludf.DUMMYFUNCTION("QUERY('Volunteer Survey'!I823)"),"")</f>
        <v/>
      </c>
      <c r="Q429" s="60" t="str">
        <f>IFERROR(__xludf.DUMMYFUNCTION("QUERY('Volunteer Survey'!J823)"),"")</f>
        <v/>
      </c>
      <c r="R429" s="55" t="str">
        <f>IFERROR(__xludf.DUMMYFUNCTION("QUERY('Volunteer Survey'!K823)"),"")</f>
        <v/>
      </c>
      <c r="S429" s="55" t="str">
        <f>IFERROR(__xludf.DUMMYFUNCTION("QUERY('Volunteer Survey'!L823)"),"")</f>
        <v/>
      </c>
      <c r="T429" s="55" t="str">
        <f>IFERROR(__xludf.DUMMYFUNCTION("QUERY('Volunteer Survey'!M823)"),"")</f>
        <v/>
      </c>
      <c r="U429" s="64" t="str">
        <f>IFERROR(__xludf.DUMMYFUNCTION("QUERY('Volunteer Survey'!N823)"),"")</f>
        <v/>
      </c>
      <c r="V429" s="55" t="str">
        <f>IFERROR(__xludf.DUMMYFUNCTION("QUERY('Volunteer Survey'!O823)"),"")</f>
        <v/>
      </c>
      <c r="W429" s="66" t="str">
        <f>IFERROR(__xludf.DUMMYFUNCTION("QUERY('Volunteer Survey'!P823)"),"")</f>
        <v/>
      </c>
      <c r="X429" s="64" t="str">
        <f>IFERROR(__xludf.DUMMYFUNCTION("QUERY('Volunteer Survey'!R823)"),"")</f>
        <v/>
      </c>
      <c r="Y429" s="53"/>
      <c r="Z429" s="55"/>
      <c r="AA429" s="55"/>
      <c r="AB429" s="55"/>
      <c r="AC429" s="55"/>
      <c r="AD429" s="55"/>
      <c r="AE429" s="55"/>
      <c r="AF429" s="55"/>
      <c r="AG429" s="55"/>
      <c r="AH429" s="55"/>
      <c r="AI429" s="55"/>
      <c r="AJ429" s="55"/>
      <c r="AK429" s="55"/>
      <c r="AL429" s="55"/>
      <c r="AM429" s="55"/>
      <c r="AN429" s="55"/>
      <c r="AO429" s="55"/>
    </row>
    <row r="430">
      <c r="A430" s="55" t="str">
        <f>IFERROR(__xludf.DUMMYFUNCTION("QUERY('Volunteer Survey'!A824)"),"")</f>
        <v/>
      </c>
      <c r="B430" s="48" t="s">
        <v>322</v>
      </c>
      <c r="C430" s="53"/>
      <c r="D430" s="55"/>
      <c r="E430" s="55"/>
      <c r="F430" s="55" t="b">
        <v>0</v>
      </c>
      <c r="G430" s="55"/>
      <c r="H430" s="53"/>
      <c r="I430" s="53"/>
      <c r="J430" s="55"/>
      <c r="K430" s="55"/>
      <c r="L430" s="55" t="str">
        <f>IFERROR(__xludf.DUMMYFUNCTION("QUERY('Volunteer Survey'!B824)"),"")</f>
        <v/>
      </c>
      <c r="M430" s="55" t="str">
        <f>IFERROR(__xludf.DUMMYFUNCTION("QUERY('Volunteer Survey'!E824)"),"")</f>
        <v/>
      </c>
      <c r="N430" s="55" t="str">
        <f>IFERROR(__xludf.DUMMYFUNCTION("QUERY('Volunteer Survey'!F824)"),"")</f>
        <v/>
      </c>
      <c r="O430" s="48" t="str">
        <f>IFERROR(__xludf.DUMMYFUNCTION("QUERY('Volunteer Survey'!H824)"),"")</f>
        <v/>
      </c>
      <c r="P430" s="55" t="str">
        <f>IFERROR(__xludf.DUMMYFUNCTION("QUERY('Volunteer Survey'!I824)"),"")</f>
        <v/>
      </c>
      <c r="Q430" s="60" t="str">
        <f>IFERROR(__xludf.DUMMYFUNCTION("QUERY('Volunteer Survey'!J824)"),"")</f>
        <v/>
      </c>
      <c r="R430" s="55" t="str">
        <f>IFERROR(__xludf.DUMMYFUNCTION("QUERY('Volunteer Survey'!K824)"),"")</f>
        <v/>
      </c>
      <c r="S430" s="55" t="str">
        <f>IFERROR(__xludf.DUMMYFUNCTION("QUERY('Volunteer Survey'!L824)"),"")</f>
        <v/>
      </c>
      <c r="T430" s="55" t="str">
        <f>IFERROR(__xludf.DUMMYFUNCTION("QUERY('Volunteer Survey'!M824)"),"")</f>
        <v/>
      </c>
      <c r="U430" s="64" t="str">
        <f>IFERROR(__xludf.DUMMYFUNCTION("QUERY('Volunteer Survey'!N824)"),"")</f>
        <v/>
      </c>
      <c r="V430" s="55" t="str">
        <f>IFERROR(__xludf.DUMMYFUNCTION("QUERY('Volunteer Survey'!O824)"),"")</f>
        <v/>
      </c>
      <c r="W430" s="66" t="str">
        <f>IFERROR(__xludf.DUMMYFUNCTION("QUERY('Volunteer Survey'!P824)"),"")</f>
        <v/>
      </c>
      <c r="X430" s="64" t="str">
        <f>IFERROR(__xludf.DUMMYFUNCTION("QUERY('Volunteer Survey'!R824)"),"")</f>
        <v/>
      </c>
      <c r="Y430" s="53"/>
      <c r="Z430" s="55"/>
      <c r="AA430" s="55"/>
      <c r="AB430" s="55"/>
      <c r="AC430" s="55"/>
      <c r="AD430" s="55"/>
      <c r="AE430" s="55"/>
      <c r="AF430" s="55"/>
      <c r="AG430" s="55"/>
      <c r="AH430" s="55"/>
      <c r="AI430" s="55"/>
      <c r="AJ430" s="55"/>
      <c r="AK430" s="55"/>
      <c r="AL430" s="55"/>
      <c r="AM430" s="55"/>
      <c r="AN430" s="55"/>
      <c r="AO430" s="55"/>
    </row>
    <row r="431">
      <c r="A431" s="55" t="str">
        <f>IFERROR(__xludf.DUMMYFUNCTION("QUERY('Volunteer Survey'!A825)"),"")</f>
        <v/>
      </c>
      <c r="B431" s="48" t="s">
        <v>322</v>
      </c>
      <c r="C431" s="53"/>
      <c r="D431" s="55"/>
      <c r="E431" s="55"/>
      <c r="F431" s="55" t="b">
        <v>0</v>
      </c>
      <c r="G431" s="55"/>
      <c r="H431" s="53"/>
      <c r="I431" s="53"/>
      <c r="J431" s="55"/>
      <c r="K431" s="55"/>
      <c r="L431" s="55" t="str">
        <f>IFERROR(__xludf.DUMMYFUNCTION("QUERY('Volunteer Survey'!B825)"),"")</f>
        <v/>
      </c>
      <c r="M431" s="55" t="str">
        <f>IFERROR(__xludf.DUMMYFUNCTION("QUERY('Volunteer Survey'!E825)"),"")</f>
        <v/>
      </c>
      <c r="N431" s="55" t="str">
        <f>IFERROR(__xludf.DUMMYFUNCTION("QUERY('Volunteer Survey'!F825)"),"")</f>
        <v/>
      </c>
      <c r="O431" s="48" t="str">
        <f>IFERROR(__xludf.DUMMYFUNCTION("QUERY('Volunteer Survey'!H825)"),"")</f>
        <v/>
      </c>
      <c r="P431" s="55" t="str">
        <f>IFERROR(__xludf.DUMMYFUNCTION("QUERY('Volunteer Survey'!I825)"),"")</f>
        <v/>
      </c>
      <c r="Q431" s="60" t="str">
        <f>IFERROR(__xludf.DUMMYFUNCTION("QUERY('Volunteer Survey'!J825)"),"")</f>
        <v/>
      </c>
      <c r="R431" s="55" t="str">
        <f>IFERROR(__xludf.DUMMYFUNCTION("QUERY('Volunteer Survey'!K825)"),"")</f>
        <v/>
      </c>
      <c r="S431" s="55" t="str">
        <f>IFERROR(__xludf.DUMMYFUNCTION("QUERY('Volunteer Survey'!L825)"),"")</f>
        <v/>
      </c>
      <c r="T431" s="55" t="str">
        <f>IFERROR(__xludf.DUMMYFUNCTION("QUERY('Volunteer Survey'!M825)"),"")</f>
        <v/>
      </c>
      <c r="U431" s="64" t="str">
        <f>IFERROR(__xludf.DUMMYFUNCTION("QUERY('Volunteer Survey'!N825)"),"")</f>
        <v/>
      </c>
      <c r="V431" s="55" t="str">
        <f>IFERROR(__xludf.DUMMYFUNCTION("QUERY('Volunteer Survey'!O825)"),"")</f>
        <v/>
      </c>
      <c r="W431" s="66" t="str">
        <f>IFERROR(__xludf.DUMMYFUNCTION("QUERY('Volunteer Survey'!P825)"),"")</f>
        <v/>
      </c>
      <c r="X431" s="64" t="str">
        <f>IFERROR(__xludf.DUMMYFUNCTION("QUERY('Volunteer Survey'!R825)"),"")</f>
        <v/>
      </c>
      <c r="Y431" s="53"/>
      <c r="Z431" s="55"/>
      <c r="AA431" s="55"/>
      <c r="AB431" s="55"/>
      <c r="AC431" s="55"/>
      <c r="AD431" s="55"/>
      <c r="AE431" s="55"/>
      <c r="AF431" s="55"/>
      <c r="AG431" s="55"/>
      <c r="AH431" s="55"/>
      <c r="AI431" s="55"/>
      <c r="AJ431" s="55"/>
      <c r="AK431" s="55"/>
      <c r="AL431" s="55"/>
      <c r="AM431" s="55"/>
      <c r="AN431" s="55"/>
      <c r="AO431" s="55"/>
    </row>
    <row r="432">
      <c r="A432" s="55" t="str">
        <f>IFERROR(__xludf.DUMMYFUNCTION("QUERY('Volunteer Survey'!A826)"),"")</f>
        <v/>
      </c>
      <c r="B432" s="48" t="s">
        <v>322</v>
      </c>
      <c r="C432" s="53"/>
      <c r="D432" s="55"/>
      <c r="E432" s="55"/>
      <c r="F432" s="55" t="b">
        <v>0</v>
      </c>
      <c r="G432" s="55"/>
      <c r="H432" s="53"/>
      <c r="I432" s="53"/>
      <c r="J432" s="55"/>
      <c r="K432" s="55"/>
      <c r="L432" s="55" t="str">
        <f>IFERROR(__xludf.DUMMYFUNCTION("QUERY('Volunteer Survey'!B826)"),"")</f>
        <v/>
      </c>
      <c r="M432" s="55" t="str">
        <f>IFERROR(__xludf.DUMMYFUNCTION("QUERY('Volunteer Survey'!E826)"),"")</f>
        <v/>
      </c>
      <c r="N432" s="55" t="str">
        <f>IFERROR(__xludf.DUMMYFUNCTION("QUERY('Volunteer Survey'!F826)"),"")</f>
        <v/>
      </c>
      <c r="O432" s="48" t="str">
        <f>IFERROR(__xludf.DUMMYFUNCTION("QUERY('Volunteer Survey'!H826)"),"")</f>
        <v/>
      </c>
      <c r="P432" s="55" t="str">
        <f>IFERROR(__xludf.DUMMYFUNCTION("QUERY('Volunteer Survey'!I826)"),"")</f>
        <v/>
      </c>
      <c r="Q432" s="60" t="str">
        <f>IFERROR(__xludf.DUMMYFUNCTION("QUERY('Volunteer Survey'!J826)"),"")</f>
        <v/>
      </c>
      <c r="R432" s="55" t="str">
        <f>IFERROR(__xludf.DUMMYFUNCTION("QUERY('Volunteer Survey'!K826)"),"")</f>
        <v/>
      </c>
      <c r="S432" s="55" t="str">
        <f>IFERROR(__xludf.DUMMYFUNCTION("QUERY('Volunteer Survey'!L826)"),"")</f>
        <v/>
      </c>
      <c r="T432" s="55" t="str">
        <f>IFERROR(__xludf.DUMMYFUNCTION("QUERY('Volunteer Survey'!M826)"),"")</f>
        <v/>
      </c>
      <c r="U432" s="64" t="str">
        <f>IFERROR(__xludf.DUMMYFUNCTION("QUERY('Volunteer Survey'!N826)"),"")</f>
        <v/>
      </c>
      <c r="V432" s="55" t="str">
        <f>IFERROR(__xludf.DUMMYFUNCTION("QUERY('Volunteer Survey'!O826)"),"")</f>
        <v/>
      </c>
      <c r="W432" s="66" t="str">
        <f>IFERROR(__xludf.DUMMYFUNCTION("QUERY('Volunteer Survey'!P826)"),"")</f>
        <v/>
      </c>
      <c r="X432" s="64" t="str">
        <f>IFERROR(__xludf.DUMMYFUNCTION("QUERY('Volunteer Survey'!R826)"),"")</f>
        <v/>
      </c>
      <c r="Y432" s="53"/>
      <c r="Z432" s="55"/>
      <c r="AA432" s="55"/>
      <c r="AB432" s="55"/>
      <c r="AC432" s="55"/>
      <c r="AD432" s="55"/>
      <c r="AE432" s="55"/>
      <c r="AF432" s="55"/>
      <c r="AG432" s="55"/>
      <c r="AH432" s="55"/>
      <c r="AI432" s="55"/>
      <c r="AJ432" s="55"/>
      <c r="AK432" s="55"/>
      <c r="AL432" s="55"/>
      <c r="AM432" s="55"/>
      <c r="AN432" s="55"/>
      <c r="AO432" s="55"/>
    </row>
    <row r="433">
      <c r="A433" s="55" t="str">
        <f>IFERROR(__xludf.DUMMYFUNCTION("QUERY('Volunteer Survey'!A827)"),"")</f>
        <v/>
      </c>
      <c r="B433" s="48" t="s">
        <v>322</v>
      </c>
      <c r="C433" s="53"/>
      <c r="D433" s="55"/>
      <c r="E433" s="55"/>
      <c r="F433" s="55" t="b">
        <v>0</v>
      </c>
      <c r="G433" s="55"/>
      <c r="H433" s="53"/>
      <c r="I433" s="53"/>
      <c r="J433" s="55"/>
      <c r="K433" s="55"/>
      <c r="L433" s="55" t="str">
        <f>IFERROR(__xludf.DUMMYFUNCTION("QUERY('Volunteer Survey'!B827)"),"")</f>
        <v/>
      </c>
      <c r="M433" s="55" t="str">
        <f>IFERROR(__xludf.DUMMYFUNCTION("QUERY('Volunteer Survey'!E827)"),"")</f>
        <v/>
      </c>
      <c r="N433" s="55" t="str">
        <f>IFERROR(__xludf.DUMMYFUNCTION("QUERY('Volunteer Survey'!F827)"),"")</f>
        <v/>
      </c>
      <c r="O433" s="48" t="str">
        <f>IFERROR(__xludf.DUMMYFUNCTION("QUERY('Volunteer Survey'!H827)"),"")</f>
        <v/>
      </c>
      <c r="P433" s="55" t="str">
        <f>IFERROR(__xludf.DUMMYFUNCTION("QUERY('Volunteer Survey'!I827)"),"")</f>
        <v/>
      </c>
      <c r="Q433" s="60" t="str">
        <f>IFERROR(__xludf.DUMMYFUNCTION("QUERY('Volunteer Survey'!J827)"),"")</f>
        <v/>
      </c>
      <c r="R433" s="55" t="str">
        <f>IFERROR(__xludf.DUMMYFUNCTION("QUERY('Volunteer Survey'!K827)"),"")</f>
        <v/>
      </c>
      <c r="S433" s="55" t="str">
        <f>IFERROR(__xludf.DUMMYFUNCTION("QUERY('Volunteer Survey'!L827)"),"")</f>
        <v/>
      </c>
      <c r="T433" s="55" t="str">
        <f>IFERROR(__xludf.DUMMYFUNCTION("QUERY('Volunteer Survey'!M827)"),"")</f>
        <v/>
      </c>
      <c r="U433" s="64" t="str">
        <f>IFERROR(__xludf.DUMMYFUNCTION("QUERY('Volunteer Survey'!N827)"),"")</f>
        <v/>
      </c>
      <c r="V433" s="55" t="str">
        <f>IFERROR(__xludf.DUMMYFUNCTION("QUERY('Volunteer Survey'!O827)"),"")</f>
        <v/>
      </c>
      <c r="W433" s="66" t="str">
        <f>IFERROR(__xludf.DUMMYFUNCTION("QUERY('Volunteer Survey'!P827)"),"")</f>
        <v/>
      </c>
      <c r="X433" s="64" t="str">
        <f>IFERROR(__xludf.DUMMYFUNCTION("QUERY('Volunteer Survey'!R827)"),"")</f>
        <v/>
      </c>
      <c r="Y433" s="53"/>
      <c r="Z433" s="55"/>
      <c r="AA433" s="55"/>
      <c r="AB433" s="55"/>
      <c r="AC433" s="55"/>
      <c r="AD433" s="55"/>
      <c r="AE433" s="55"/>
      <c r="AF433" s="55"/>
      <c r="AG433" s="55"/>
      <c r="AH433" s="55"/>
      <c r="AI433" s="55"/>
      <c r="AJ433" s="55"/>
      <c r="AK433" s="55"/>
      <c r="AL433" s="55"/>
      <c r="AM433" s="55"/>
      <c r="AN433" s="55"/>
      <c r="AO433" s="55"/>
    </row>
    <row r="434">
      <c r="A434" s="55" t="str">
        <f>IFERROR(__xludf.DUMMYFUNCTION("QUERY('Volunteer Survey'!A828)"),"")</f>
        <v/>
      </c>
      <c r="B434" s="48" t="s">
        <v>322</v>
      </c>
      <c r="C434" s="53"/>
      <c r="D434" s="55"/>
      <c r="E434" s="55"/>
      <c r="F434" s="55" t="b">
        <v>0</v>
      </c>
      <c r="G434" s="55"/>
      <c r="H434" s="53"/>
      <c r="I434" s="53"/>
      <c r="J434" s="55"/>
      <c r="K434" s="55"/>
      <c r="L434" s="55" t="str">
        <f>IFERROR(__xludf.DUMMYFUNCTION("QUERY('Volunteer Survey'!B828)"),"")</f>
        <v/>
      </c>
      <c r="M434" s="55" t="str">
        <f>IFERROR(__xludf.DUMMYFUNCTION("QUERY('Volunteer Survey'!E828)"),"")</f>
        <v/>
      </c>
      <c r="N434" s="55" t="str">
        <f>IFERROR(__xludf.DUMMYFUNCTION("QUERY('Volunteer Survey'!F828)"),"")</f>
        <v/>
      </c>
      <c r="O434" s="48" t="str">
        <f>IFERROR(__xludf.DUMMYFUNCTION("QUERY('Volunteer Survey'!H828)"),"")</f>
        <v/>
      </c>
      <c r="P434" s="55" t="str">
        <f>IFERROR(__xludf.DUMMYFUNCTION("QUERY('Volunteer Survey'!I828)"),"")</f>
        <v/>
      </c>
      <c r="Q434" s="60" t="str">
        <f>IFERROR(__xludf.DUMMYFUNCTION("QUERY('Volunteer Survey'!J828)"),"")</f>
        <v/>
      </c>
      <c r="R434" s="55" t="str">
        <f>IFERROR(__xludf.DUMMYFUNCTION("QUERY('Volunteer Survey'!K828)"),"")</f>
        <v/>
      </c>
      <c r="S434" s="55" t="str">
        <f>IFERROR(__xludf.DUMMYFUNCTION("QUERY('Volunteer Survey'!L828)"),"")</f>
        <v/>
      </c>
      <c r="T434" s="55" t="str">
        <f>IFERROR(__xludf.DUMMYFUNCTION("QUERY('Volunteer Survey'!M828)"),"")</f>
        <v/>
      </c>
      <c r="U434" s="64" t="str">
        <f>IFERROR(__xludf.DUMMYFUNCTION("QUERY('Volunteer Survey'!N828)"),"")</f>
        <v/>
      </c>
      <c r="V434" s="55" t="str">
        <f>IFERROR(__xludf.DUMMYFUNCTION("QUERY('Volunteer Survey'!O828)"),"")</f>
        <v/>
      </c>
      <c r="W434" s="66" t="str">
        <f>IFERROR(__xludf.DUMMYFUNCTION("QUERY('Volunteer Survey'!P828)"),"")</f>
        <v/>
      </c>
      <c r="X434" s="64" t="str">
        <f>IFERROR(__xludf.DUMMYFUNCTION("QUERY('Volunteer Survey'!R828)"),"")</f>
        <v/>
      </c>
      <c r="Y434" s="53"/>
      <c r="Z434" s="55"/>
      <c r="AA434" s="55"/>
      <c r="AB434" s="55"/>
      <c r="AC434" s="55"/>
      <c r="AD434" s="55"/>
      <c r="AE434" s="55"/>
      <c r="AF434" s="55"/>
      <c r="AG434" s="55"/>
      <c r="AH434" s="55"/>
      <c r="AI434" s="55"/>
      <c r="AJ434" s="55"/>
      <c r="AK434" s="55"/>
      <c r="AL434" s="55"/>
      <c r="AM434" s="55"/>
      <c r="AN434" s="55"/>
      <c r="AO434" s="55"/>
    </row>
    <row r="435">
      <c r="A435" s="55" t="str">
        <f>IFERROR(__xludf.DUMMYFUNCTION("QUERY('Volunteer Survey'!A829)"),"")</f>
        <v/>
      </c>
      <c r="B435" s="48" t="s">
        <v>322</v>
      </c>
      <c r="C435" s="53"/>
      <c r="D435" s="55"/>
      <c r="E435" s="55"/>
      <c r="F435" s="55" t="b">
        <v>0</v>
      </c>
      <c r="G435" s="55"/>
      <c r="H435" s="53"/>
      <c r="I435" s="53"/>
      <c r="J435" s="55"/>
      <c r="K435" s="55"/>
      <c r="L435" s="55" t="str">
        <f>IFERROR(__xludf.DUMMYFUNCTION("QUERY('Volunteer Survey'!B829)"),"")</f>
        <v/>
      </c>
      <c r="M435" s="55" t="str">
        <f>IFERROR(__xludf.DUMMYFUNCTION("QUERY('Volunteer Survey'!E829)"),"")</f>
        <v/>
      </c>
      <c r="N435" s="55" t="str">
        <f>IFERROR(__xludf.DUMMYFUNCTION("QUERY('Volunteer Survey'!F829)"),"")</f>
        <v/>
      </c>
      <c r="O435" s="48" t="str">
        <f>IFERROR(__xludf.DUMMYFUNCTION("QUERY('Volunteer Survey'!H829)"),"")</f>
        <v/>
      </c>
      <c r="P435" s="55" t="str">
        <f>IFERROR(__xludf.DUMMYFUNCTION("QUERY('Volunteer Survey'!I829)"),"")</f>
        <v/>
      </c>
      <c r="Q435" s="60" t="str">
        <f>IFERROR(__xludf.DUMMYFUNCTION("QUERY('Volunteer Survey'!J829)"),"")</f>
        <v/>
      </c>
      <c r="R435" s="55" t="str">
        <f>IFERROR(__xludf.DUMMYFUNCTION("QUERY('Volunteer Survey'!K829)"),"")</f>
        <v/>
      </c>
      <c r="S435" s="55" t="str">
        <f>IFERROR(__xludf.DUMMYFUNCTION("QUERY('Volunteer Survey'!L829)"),"")</f>
        <v/>
      </c>
      <c r="T435" s="55" t="str">
        <f>IFERROR(__xludf.DUMMYFUNCTION("QUERY('Volunteer Survey'!M829)"),"")</f>
        <v/>
      </c>
      <c r="U435" s="64" t="str">
        <f>IFERROR(__xludf.DUMMYFUNCTION("QUERY('Volunteer Survey'!N829)"),"")</f>
        <v/>
      </c>
      <c r="V435" s="55" t="str">
        <f>IFERROR(__xludf.DUMMYFUNCTION("QUERY('Volunteer Survey'!O829)"),"")</f>
        <v/>
      </c>
      <c r="W435" s="66" t="str">
        <f>IFERROR(__xludf.DUMMYFUNCTION("QUERY('Volunteer Survey'!P829)"),"")</f>
        <v/>
      </c>
      <c r="X435" s="64" t="str">
        <f>IFERROR(__xludf.DUMMYFUNCTION("QUERY('Volunteer Survey'!R829)"),"")</f>
        <v/>
      </c>
      <c r="Y435" s="53"/>
      <c r="Z435" s="55"/>
      <c r="AA435" s="55"/>
      <c r="AB435" s="55"/>
      <c r="AC435" s="55"/>
      <c r="AD435" s="55"/>
      <c r="AE435" s="55"/>
      <c r="AF435" s="55"/>
      <c r="AG435" s="55"/>
      <c r="AH435" s="55"/>
      <c r="AI435" s="55"/>
      <c r="AJ435" s="55"/>
      <c r="AK435" s="55"/>
      <c r="AL435" s="55"/>
      <c r="AM435" s="55"/>
      <c r="AN435" s="55"/>
      <c r="AO435" s="55"/>
    </row>
    <row r="436">
      <c r="A436" s="55" t="str">
        <f>IFERROR(__xludf.DUMMYFUNCTION("QUERY('Volunteer Survey'!A830)"),"")</f>
        <v/>
      </c>
      <c r="B436" s="48" t="s">
        <v>322</v>
      </c>
      <c r="C436" s="53"/>
      <c r="D436" s="55"/>
      <c r="E436" s="55"/>
      <c r="F436" s="55" t="b">
        <v>0</v>
      </c>
      <c r="G436" s="55"/>
      <c r="H436" s="53"/>
      <c r="I436" s="53"/>
      <c r="J436" s="55"/>
      <c r="K436" s="55"/>
      <c r="L436" s="55" t="str">
        <f>IFERROR(__xludf.DUMMYFUNCTION("QUERY('Volunteer Survey'!B830)"),"")</f>
        <v/>
      </c>
      <c r="M436" s="55" t="str">
        <f>IFERROR(__xludf.DUMMYFUNCTION("QUERY('Volunteer Survey'!E830)"),"")</f>
        <v/>
      </c>
      <c r="N436" s="55" t="str">
        <f>IFERROR(__xludf.DUMMYFUNCTION("QUERY('Volunteer Survey'!F830)"),"")</f>
        <v/>
      </c>
      <c r="O436" s="48" t="str">
        <f>IFERROR(__xludf.DUMMYFUNCTION("QUERY('Volunteer Survey'!H830)"),"")</f>
        <v/>
      </c>
      <c r="P436" s="55" t="str">
        <f>IFERROR(__xludf.DUMMYFUNCTION("QUERY('Volunteer Survey'!I830)"),"")</f>
        <v/>
      </c>
      <c r="Q436" s="60" t="str">
        <f>IFERROR(__xludf.DUMMYFUNCTION("QUERY('Volunteer Survey'!J830)"),"")</f>
        <v/>
      </c>
      <c r="R436" s="55" t="str">
        <f>IFERROR(__xludf.DUMMYFUNCTION("QUERY('Volunteer Survey'!K830)"),"")</f>
        <v/>
      </c>
      <c r="S436" s="55" t="str">
        <f>IFERROR(__xludf.DUMMYFUNCTION("QUERY('Volunteer Survey'!L830)"),"")</f>
        <v/>
      </c>
      <c r="T436" s="55" t="str">
        <f>IFERROR(__xludf.DUMMYFUNCTION("QUERY('Volunteer Survey'!M830)"),"")</f>
        <v/>
      </c>
      <c r="U436" s="64" t="str">
        <f>IFERROR(__xludf.DUMMYFUNCTION("QUERY('Volunteer Survey'!N830)"),"")</f>
        <v/>
      </c>
      <c r="V436" s="55" t="str">
        <f>IFERROR(__xludf.DUMMYFUNCTION("QUERY('Volunteer Survey'!O830)"),"")</f>
        <v/>
      </c>
      <c r="W436" s="66" t="str">
        <f>IFERROR(__xludf.DUMMYFUNCTION("QUERY('Volunteer Survey'!P830)"),"")</f>
        <v/>
      </c>
      <c r="X436" s="64" t="str">
        <f>IFERROR(__xludf.DUMMYFUNCTION("QUERY('Volunteer Survey'!R830)"),"")</f>
        <v/>
      </c>
      <c r="Y436" s="53"/>
      <c r="Z436" s="55"/>
      <c r="AA436" s="55"/>
      <c r="AB436" s="55"/>
      <c r="AC436" s="55"/>
      <c r="AD436" s="55"/>
      <c r="AE436" s="55"/>
      <c r="AF436" s="55"/>
      <c r="AG436" s="55"/>
      <c r="AH436" s="55"/>
      <c r="AI436" s="55"/>
      <c r="AJ436" s="55"/>
      <c r="AK436" s="55"/>
      <c r="AL436" s="55"/>
      <c r="AM436" s="55"/>
      <c r="AN436" s="55"/>
      <c r="AO436" s="55"/>
    </row>
    <row r="437">
      <c r="A437" s="55" t="str">
        <f>IFERROR(__xludf.DUMMYFUNCTION("QUERY('Volunteer Survey'!A831)"),"")</f>
        <v/>
      </c>
      <c r="B437" s="48" t="s">
        <v>322</v>
      </c>
      <c r="C437" s="53"/>
      <c r="D437" s="55"/>
      <c r="E437" s="55"/>
      <c r="F437" s="55" t="b">
        <v>0</v>
      </c>
      <c r="G437" s="55"/>
      <c r="H437" s="53"/>
      <c r="I437" s="53"/>
      <c r="J437" s="55"/>
      <c r="K437" s="55"/>
      <c r="L437" s="55" t="str">
        <f>IFERROR(__xludf.DUMMYFUNCTION("QUERY('Volunteer Survey'!B831)"),"")</f>
        <v/>
      </c>
      <c r="M437" s="55" t="str">
        <f>IFERROR(__xludf.DUMMYFUNCTION("QUERY('Volunteer Survey'!E831)"),"")</f>
        <v/>
      </c>
      <c r="N437" s="55" t="str">
        <f>IFERROR(__xludf.DUMMYFUNCTION("QUERY('Volunteer Survey'!F831)"),"")</f>
        <v/>
      </c>
      <c r="O437" s="48" t="str">
        <f>IFERROR(__xludf.DUMMYFUNCTION("QUERY('Volunteer Survey'!H831)"),"")</f>
        <v/>
      </c>
      <c r="P437" s="55" t="str">
        <f>IFERROR(__xludf.DUMMYFUNCTION("QUERY('Volunteer Survey'!I831)"),"")</f>
        <v/>
      </c>
      <c r="Q437" s="60" t="str">
        <f>IFERROR(__xludf.DUMMYFUNCTION("QUERY('Volunteer Survey'!J831)"),"")</f>
        <v/>
      </c>
      <c r="R437" s="55" t="str">
        <f>IFERROR(__xludf.DUMMYFUNCTION("QUERY('Volunteer Survey'!K831)"),"")</f>
        <v/>
      </c>
      <c r="S437" s="55" t="str">
        <f>IFERROR(__xludf.DUMMYFUNCTION("QUERY('Volunteer Survey'!L831)"),"")</f>
        <v/>
      </c>
      <c r="T437" s="55" t="str">
        <f>'Volunteer Survey'!M847</f>
        <v/>
      </c>
      <c r="U437" s="64" t="str">
        <f>IFERROR(__xludf.DUMMYFUNCTION("QUERY('Volunteer Survey'!N831)"),"")</f>
        <v/>
      </c>
      <c r="V437" s="55" t="str">
        <f>IFERROR(__xludf.DUMMYFUNCTION("QUERY('Volunteer Survey'!O831)"),"")</f>
        <v/>
      </c>
      <c r="W437" s="66" t="str">
        <f>IFERROR(__xludf.DUMMYFUNCTION("QUERY('Volunteer Survey'!P831)"),"")</f>
        <v/>
      </c>
      <c r="X437" s="64" t="str">
        <f>IFERROR(__xludf.DUMMYFUNCTION("QUERY('Volunteer Survey'!R831)"),"")</f>
        <v/>
      </c>
      <c r="Y437" s="53"/>
      <c r="Z437" s="55"/>
      <c r="AA437" s="55"/>
      <c r="AB437" s="55"/>
      <c r="AC437" s="55"/>
      <c r="AD437" s="55"/>
      <c r="AE437" s="55"/>
      <c r="AF437" s="55"/>
      <c r="AG437" s="55"/>
      <c r="AH437" s="55"/>
      <c r="AI437" s="55"/>
      <c r="AJ437" s="55"/>
      <c r="AK437" s="55"/>
      <c r="AL437" s="55"/>
      <c r="AM437" s="55"/>
      <c r="AN437" s="55"/>
      <c r="AO437" s="55"/>
    </row>
    <row r="438">
      <c r="A438" s="55" t="str">
        <f>IFERROR(__xludf.DUMMYFUNCTION("QUERY('Volunteer Survey'!A832)"),"")</f>
        <v/>
      </c>
      <c r="B438" s="48" t="s">
        <v>322</v>
      </c>
      <c r="C438" s="53"/>
      <c r="D438" s="55"/>
      <c r="E438" s="55"/>
      <c r="F438" s="55" t="b">
        <v>0</v>
      </c>
      <c r="G438" s="55"/>
      <c r="H438" s="53"/>
      <c r="I438" s="53"/>
      <c r="J438" s="55"/>
      <c r="K438" s="55"/>
      <c r="L438" s="55" t="str">
        <f>IFERROR(__xludf.DUMMYFUNCTION("QUERY('Volunteer Survey'!B832)"),"")</f>
        <v/>
      </c>
      <c r="M438" s="55" t="str">
        <f>IFERROR(__xludf.DUMMYFUNCTION("QUERY('Volunteer Survey'!E832)"),"")</f>
        <v/>
      </c>
      <c r="N438" s="55" t="str">
        <f>IFERROR(__xludf.DUMMYFUNCTION("QUERY('Volunteer Survey'!F832)"),"")</f>
        <v/>
      </c>
      <c r="O438" s="48" t="str">
        <f>'Volunteer Survey'!H849</f>
        <v/>
      </c>
      <c r="P438" s="55" t="str">
        <f>IFERROR(__xludf.DUMMYFUNCTION("QUERY('Volunteer Survey'!I832)"),"")</f>
        <v/>
      </c>
      <c r="Q438" s="60" t="str">
        <f>IFERROR(__xludf.DUMMYFUNCTION("QUERY('Volunteer Survey'!J832)"),"")</f>
        <v/>
      </c>
      <c r="R438" s="55" t="str">
        <f>IFERROR(__xludf.DUMMYFUNCTION("QUERY('Volunteer Survey'!K832)"),"")</f>
        <v/>
      </c>
      <c r="S438" s="55" t="str">
        <f>IFERROR(__xludf.DUMMYFUNCTION("QUERY('Volunteer Survey'!L832)"),"")</f>
        <v/>
      </c>
      <c r="T438" s="55" t="str">
        <f>'Volunteer Survey'!M848</f>
        <v/>
      </c>
      <c r="U438" s="64" t="str">
        <f>IFERROR(__xludf.DUMMYFUNCTION("QUERY('Volunteer Survey'!N832)"),"")</f>
        <v/>
      </c>
      <c r="V438" s="55" t="str">
        <f>'Volunteer Survey'!O848</f>
        <v/>
      </c>
      <c r="W438" s="66" t="str">
        <f>IFERROR(__xludf.DUMMYFUNCTION("QUERY('Volunteer Survey'!P832)"),"")</f>
        <v/>
      </c>
      <c r="X438" s="64" t="str">
        <f>IFERROR(__xludf.DUMMYFUNCTION("QUERY('Volunteer Survey'!R832)"),"")</f>
        <v/>
      </c>
      <c r="Y438" s="53"/>
      <c r="Z438" s="55"/>
      <c r="AA438" s="55"/>
      <c r="AB438" s="55"/>
      <c r="AC438" s="55"/>
      <c r="AD438" s="55"/>
      <c r="AE438" s="55"/>
      <c r="AF438" s="55"/>
      <c r="AG438" s="55"/>
      <c r="AH438" s="55"/>
      <c r="AI438" s="55"/>
      <c r="AJ438" s="55"/>
      <c r="AK438" s="55"/>
      <c r="AL438" s="55"/>
      <c r="AM438" s="55"/>
      <c r="AN438" s="55"/>
      <c r="AO438" s="55"/>
    </row>
    <row r="439">
      <c r="A439" s="55" t="str">
        <f>IFERROR(__xludf.DUMMYFUNCTION("QUERY('Volunteer Survey'!A833)"),"")</f>
        <v/>
      </c>
      <c r="B439" s="48" t="s">
        <v>322</v>
      </c>
      <c r="C439" s="53"/>
      <c r="D439" s="55"/>
      <c r="E439" s="55"/>
      <c r="F439" s="55" t="b">
        <v>0</v>
      </c>
      <c r="G439" s="55"/>
      <c r="H439" s="53"/>
      <c r="I439" s="53"/>
      <c r="J439" s="55"/>
      <c r="K439" s="55"/>
      <c r="L439" s="55" t="str">
        <f>IFERROR(__xludf.DUMMYFUNCTION("QUERY('Volunteer Survey'!B833)"),"")</f>
        <v/>
      </c>
      <c r="M439" s="55" t="str">
        <f>IFERROR(__xludf.DUMMYFUNCTION("QUERY('Volunteer Survey'!E833)"),"")</f>
        <v/>
      </c>
      <c r="N439" s="55" t="str">
        <f>IFERROR(__xludf.DUMMYFUNCTION("QUERY('Volunteer Survey'!F833)"),"")</f>
        <v/>
      </c>
      <c r="O439" s="48" t="str">
        <f>'Volunteer Survey'!H850</f>
        <v/>
      </c>
      <c r="P439" s="55" t="str">
        <f>IFERROR(__xludf.DUMMYFUNCTION("QUERY('Volunteer Survey'!I833)"),"")</f>
        <v/>
      </c>
      <c r="Q439" s="60" t="str">
        <f>IFERROR(__xludf.DUMMYFUNCTION("QUERY('Volunteer Survey'!J833)"),"")</f>
        <v/>
      </c>
      <c r="R439" s="55" t="str">
        <f>IFERROR(__xludf.DUMMYFUNCTION("QUERY('Volunteer Survey'!K833)"),"")</f>
        <v/>
      </c>
      <c r="S439" s="55" t="str">
        <f>IFERROR(__xludf.DUMMYFUNCTION("QUERY('Volunteer Survey'!L833)"),"")</f>
        <v/>
      </c>
      <c r="T439" s="55" t="str">
        <f>'Volunteer Survey'!M849</f>
        <v/>
      </c>
      <c r="U439" s="64" t="str">
        <f>IFERROR(__xludf.DUMMYFUNCTION("QUERY('Volunteer Survey'!N833)"),"")</f>
        <v/>
      </c>
      <c r="V439" s="55" t="str">
        <f>'Volunteer Survey'!O849</f>
        <v/>
      </c>
      <c r="W439" s="66" t="str">
        <f>IFERROR(__xludf.DUMMYFUNCTION("QUERY('Volunteer Survey'!P833)"),"")</f>
        <v/>
      </c>
      <c r="X439" s="64" t="str">
        <f>IFERROR(__xludf.DUMMYFUNCTION("QUERY('Volunteer Survey'!R833)"),"")</f>
        <v/>
      </c>
      <c r="Y439" s="53"/>
      <c r="Z439" s="55"/>
      <c r="AA439" s="55"/>
      <c r="AB439" s="55"/>
      <c r="AC439" s="55"/>
      <c r="AD439" s="55"/>
      <c r="AE439" s="55"/>
      <c r="AF439" s="55"/>
      <c r="AG439" s="55"/>
      <c r="AH439" s="55"/>
      <c r="AI439" s="55"/>
      <c r="AJ439" s="55"/>
      <c r="AK439" s="55"/>
      <c r="AL439" s="55"/>
      <c r="AM439" s="55"/>
      <c r="AN439" s="55"/>
      <c r="AO439" s="55"/>
    </row>
    <row r="440">
      <c r="A440" s="55" t="str">
        <f>IFERROR(__xludf.DUMMYFUNCTION("QUERY('Volunteer Survey'!A834)"),"")</f>
        <v/>
      </c>
      <c r="B440" s="48" t="s">
        <v>322</v>
      </c>
      <c r="C440" s="53"/>
      <c r="D440" s="55"/>
      <c r="E440" s="55"/>
      <c r="F440" s="55" t="b">
        <v>0</v>
      </c>
      <c r="G440" s="55"/>
      <c r="H440" s="53"/>
      <c r="I440" s="53"/>
      <c r="J440" s="55"/>
      <c r="K440" s="55"/>
      <c r="L440" s="55" t="str">
        <f>IFERROR(__xludf.DUMMYFUNCTION("QUERY('Volunteer Survey'!B834)"),"")</f>
        <v/>
      </c>
      <c r="M440" s="55" t="str">
        <f>IFERROR(__xludf.DUMMYFUNCTION("QUERY('Volunteer Survey'!E834)"),"")</f>
        <v/>
      </c>
      <c r="N440" s="55" t="str">
        <f>IFERROR(__xludf.DUMMYFUNCTION("QUERY('Volunteer Survey'!F834)"),"")</f>
        <v/>
      </c>
      <c r="O440" s="48" t="str">
        <f>'Volunteer Survey'!H851</f>
        <v/>
      </c>
      <c r="P440" s="55" t="str">
        <f>IFERROR(__xludf.DUMMYFUNCTION("QUERY('Volunteer Survey'!I834)"),"")</f>
        <v/>
      </c>
      <c r="Q440" s="60" t="str">
        <f>IFERROR(__xludf.DUMMYFUNCTION("QUERY('Volunteer Survey'!J834)"),"")</f>
        <v/>
      </c>
      <c r="R440" s="55" t="str">
        <f>IFERROR(__xludf.DUMMYFUNCTION("QUERY('Volunteer Survey'!K834)"),"")</f>
        <v/>
      </c>
      <c r="S440" s="55" t="str">
        <f>IFERROR(__xludf.DUMMYFUNCTION("QUERY('Volunteer Survey'!L834)"),"")</f>
        <v/>
      </c>
      <c r="T440" s="55" t="str">
        <f>'Volunteer Survey'!M850</f>
        <v/>
      </c>
      <c r="U440" s="64" t="str">
        <f>IFERROR(__xludf.DUMMYFUNCTION("QUERY('Volunteer Survey'!N834)"),"")</f>
        <v/>
      </c>
      <c r="V440" s="55" t="str">
        <f>'Volunteer Survey'!O850</f>
        <v/>
      </c>
      <c r="W440" s="66" t="str">
        <f>IFERROR(__xludf.DUMMYFUNCTION("QUERY('Volunteer Survey'!P834)"),"")</f>
        <v/>
      </c>
      <c r="X440" s="64" t="str">
        <f>IFERROR(__xludf.DUMMYFUNCTION("QUERY('Volunteer Survey'!R834)"),"")</f>
        <v/>
      </c>
      <c r="Y440" s="53"/>
      <c r="Z440" s="55"/>
      <c r="AA440" s="55"/>
      <c r="AB440" s="55"/>
      <c r="AC440" s="55"/>
      <c r="AD440" s="55"/>
      <c r="AE440" s="55"/>
      <c r="AF440" s="55"/>
      <c r="AG440" s="55"/>
      <c r="AH440" s="55"/>
      <c r="AI440" s="55"/>
      <c r="AJ440" s="55"/>
      <c r="AK440" s="55"/>
      <c r="AL440" s="55"/>
      <c r="AM440" s="55"/>
      <c r="AN440" s="55"/>
      <c r="AO440" s="55"/>
    </row>
    <row r="441">
      <c r="A441" s="55" t="str">
        <f>IFERROR(__xludf.DUMMYFUNCTION("QUERY('Volunteer Survey'!A835)"),"")</f>
        <v/>
      </c>
      <c r="B441" s="48" t="s">
        <v>322</v>
      </c>
      <c r="C441" s="53"/>
      <c r="D441" s="55"/>
      <c r="E441" s="55"/>
      <c r="F441" s="55" t="b">
        <v>0</v>
      </c>
      <c r="G441" s="55"/>
      <c r="H441" s="53"/>
      <c r="I441" s="53"/>
      <c r="J441" s="55"/>
      <c r="K441" s="55"/>
      <c r="L441" s="55" t="str">
        <f>IFERROR(__xludf.DUMMYFUNCTION("QUERY('Volunteer Survey'!B835)"),"")</f>
        <v/>
      </c>
      <c r="M441" s="55" t="str">
        <f>IFERROR(__xludf.DUMMYFUNCTION("QUERY('Volunteer Survey'!E835)"),"")</f>
        <v/>
      </c>
      <c r="N441" s="55" t="str">
        <f>IFERROR(__xludf.DUMMYFUNCTION("QUERY('Volunteer Survey'!F835)"),"")</f>
        <v/>
      </c>
      <c r="O441" s="48" t="str">
        <f>'Volunteer Survey'!H852</f>
        <v/>
      </c>
      <c r="P441" s="55" t="str">
        <f>IFERROR(__xludf.DUMMYFUNCTION("QUERY('Volunteer Survey'!I835)"),"")</f>
        <v/>
      </c>
      <c r="Q441" s="60" t="str">
        <f>IFERROR(__xludf.DUMMYFUNCTION("QUERY('Volunteer Survey'!J835)"),"")</f>
        <v/>
      </c>
      <c r="R441" s="55" t="str">
        <f>IFERROR(__xludf.DUMMYFUNCTION("QUERY('Volunteer Survey'!K835)"),"")</f>
        <v/>
      </c>
      <c r="S441" s="55" t="str">
        <f>IFERROR(__xludf.DUMMYFUNCTION("QUERY('Volunteer Survey'!L835)"),"")</f>
        <v/>
      </c>
      <c r="T441" s="55" t="str">
        <f>'Volunteer Survey'!M851</f>
        <v/>
      </c>
      <c r="U441" s="64" t="str">
        <f>IFERROR(__xludf.DUMMYFUNCTION("QUERY('Volunteer Survey'!N835)"),"")</f>
        <v/>
      </c>
      <c r="V441" s="55" t="str">
        <f>'Volunteer Survey'!O851</f>
        <v/>
      </c>
      <c r="W441" s="66" t="str">
        <f>IFERROR(__xludf.DUMMYFUNCTION("QUERY('Volunteer Survey'!P835)"),"")</f>
        <v/>
      </c>
      <c r="X441" s="64" t="str">
        <f>IFERROR(__xludf.DUMMYFUNCTION("QUERY('Volunteer Survey'!R835)"),"")</f>
        <v/>
      </c>
      <c r="Y441" s="53"/>
      <c r="Z441" s="55"/>
      <c r="AA441" s="55"/>
      <c r="AB441" s="55"/>
      <c r="AC441" s="55"/>
      <c r="AD441" s="55"/>
      <c r="AE441" s="55"/>
      <c r="AF441" s="55"/>
      <c r="AG441" s="55"/>
      <c r="AH441" s="55"/>
      <c r="AI441" s="55"/>
      <c r="AJ441" s="55"/>
      <c r="AK441" s="55"/>
      <c r="AL441" s="55"/>
      <c r="AM441" s="55"/>
      <c r="AN441" s="55"/>
      <c r="AO441" s="55"/>
    </row>
    <row r="442">
      <c r="A442" s="55" t="str">
        <f>IFERROR(__xludf.DUMMYFUNCTION("QUERY('Volunteer Survey'!A836)"),"")</f>
        <v/>
      </c>
      <c r="B442" s="48" t="s">
        <v>322</v>
      </c>
      <c r="C442" s="53"/>
      <c r="D442" s="55"/>
      <c r="E442" s="55"/>
      <c r="F442" s="55" t="b">
        <v>0</v>
      </c>
      <c r="G442" s="55"/>
      <c r="H442" s="53"/>
      <c r="I442" s="53"/>
      <c r="J442" s="55"/>
      <c r="K442" s="55"/>
      <c r="L442" s="55" t="str">
        <f>IFERROR(__xludf.DUMMYFUNCTION("QUERY('Volunteer Survey'!B836)"),"")</f>
        <v/>
      </c>
      <c r="M442" s="55" t="str">
        <f>IFERROR(__xludf.DUMMYFUNCTION("QUERY('Volunteer Survey'!E836)"),"")</f>
        <v/>
      </c>
      <c r="N442" s="55" t="str">
        <f>IFERROR(__xludf.DUMMYFUNCTION("QUERY('Volunteer Survey'!F836)"),"")</f>
        <v/>
      </c>
      <c r="O442" s="48" t="str">
        <f>'Volunteer Survey'!H853</f>
        <v/>
      </c>
      <c r="P442" s="55" t="str">
        <f>IFERROR(__xludf.DUMMYFUNCTION("QUERY('Volunteer Survey'!I836)"),"")</f>
        <v/>
      </c>
      <c r="Q442" s="60" t="str">
        <f>IFERROR(__xludf.DUMMYFUNCTION("QUERY('Volunteer Survey'!J836)"),"")</f>
        <v/>
      </c>
      <c r="R442" s="55" t="str">
        <f>IFERROR(__xludf.DUMMYFUNCTION("QUERY('Volunteer Survey'!K836)"),"")</f>
        <v/>
      </c>
      <c r="S442" s="55" t="str">
        <f>IFERROR(__xludf.DUMMYFUNCTION("QUERY('Volunteer Survey'!L836)"),"")</f>
        <v/>
      </c>
      <c r="T442" s="55" t="str">
        <f>'Volunteer Survey'!M852</f>
        <v/>
      </c>
      <c r="U442" s="64" t="str">
        <f>IFERROR(__xludf.DUMMYFUNCTION("QUERY('Volunteer Survey'!N836)"),"")</f>
        <v/>
      </c>
      <c r="V442" s="55" t="str">
        <f>'Volunteer Survey'!O852</f>
        <v/>
      </c>
      <c r="W442" s="66" t="str">
        <f>IFERROR(__xludf.DUMMYFUNCTION("QUERY('Volunteer Survey'!P836)"),"")</f>
        <v/>
      </c>
      <c r="X442" s="64" t="str">
        <f>IFERROR(__xludf.DUMMYFUNCTION("QUERY('Volunteer Survey'!R836)"),"")</f>
        <v/>
      </c>
      <c r="Y442" s="53"/>
      <c r="Z442" s="55"/>
      <c r="AA442" s="55"/>
      <c r="AB442" s="55"/>
      <c r="AC442" s="55"/>
      <c r="AD442" s="55"/>
      <c r="AE442" s="55"/>
      <c r="AF442" s="55"/>
      <c r="AG442" s="55"/>
      <c r="AH442" s="55"/>
      <c r="AI442" s="55"/>
      <c r="AJ442" s="55"/>
      <c r="AK442" s="55"/>
      <c r="AL442" s="55"/>
      <c r="AM442" s="55"/>
      <c r="AN442" s="55"/>
      <c r="AO442" s="55"/>
    </row>
    <row r="443">
      <c r="A443" s="55" t="str">
        <f>IFERROR(__xludf.DUMMYFUNCTION("QUERY('Volunteer Survey'!A837)"),"")</f>
        <v/>
      </c>
      <c r="B443" s="48" t="s">
        <v>322</v>
      </c>
      <c r="C443" s="53"/>
      <c r="D443" s="55"/>
      <c r="E443" s="55"/>
      <c r="F443" s="55" t="b">
        <v>0</v>
      </c>
      <c r="G443" s="55"/>
      <c r="H443" s="53"/>
      <c r="I443" s="53"/>
      <c r="J443" s="55"/>
      <c r="K443" s="55"/>
      <c r="L443" s="55" t="str">
        <f>IFERROR(__xludf.DUMMYFUNCTION("QUERY('Volunteer Survey'!B837)"),"")</f>
        <v/>
      </c>
      <c r="M443" s="55" t="str">
        <f>IFERROR(__xludf.DUMMYFUNCTION("QUERY('Volunteer Survey'!E837)"),"")</f>
        <v/>
      </c>
      <c r="N443" s="55" t="str">
        <f>IFERROR(__xludf.DUMMYFUNCTION("QUERY('Volunteer Survey'!F837)"),"")</f>
        <v/>
      </c>
      <c r="O443" s="48" t="str">
        <f>'Volunteer Survey'!H854</f>
        <v/>
      </c>
      <c r="P443" s="55" t="str">
        <f>IFERROR(__xludf.DUMMYFUNCTION("QUERY('Volunteer Survey'!I837)"),"")</f>
        <v/>
      </c>
      <c r="Q443" s="60" t="str">
        <f>IFERROR(__xludf.DUMMYFUNCTION("QUERY('Volunteer Survey'!J837)"),"")</f>
        <v/>
      </c>
      <c r="R443" s="55" t="str">
        <f>IFERROR(__xludf.DUMMYFUNCTION("QUERY('Volunteer Survey'!K837)"),"")</f>
        <v/>
      </c>
      <c r="S443" s="55" t="str">
        <f>IFERROR(__xludf.DUMMYFUNCTION("QUERY('Volunteer Survey'!L837)"),"")</f>
        <v/>
      </c>
      <c r="T443" s="55" t="str">
        <f>'Volunteer Survey'!M853</f>
        <v/>
      </c>
      <c r="U443" s="64" t="str">
        <f>IFERROR(__xludf.DUMMYFUNCTION("QUERY('Volunteer Survey'!N837)"),"")</f>
        <v/>
      </c>
      <c r="V443" s="55" t="str">
        <f>'Volunteer Survey'!O853</f>
        <v/>
      </c>
      <c r="W443" s="66" t="str">
        <f>IFERROR(__xludf.DUMMYFUNCTION("QUERY('Volunteer Survey'!P837)"),"")</f>
        <v/>
      </c>
      <c r="X443" s="64" t="str">
        <f>IFERROR(__xludf.DUMMYFUNCTION("QUERY('Volunteer Survey'!R837)"),"")</f>
        <v/>
      </c>
      <c r="Y443" s="53"/>
      <c r="Z443" s="55"/>
      <c r="AA443" s="55"/>
      <c r="AB443" s="55"/>
      <c r="AC443" s="55"/>
      <c r="AD443" s="55"/>
      <c r="AE443" s="55"/>
      <c r="AF443" s="55"/>
      <c r="AG443" s="55"/>
      <c r="AH443" s="55"/>
      <c r="AI443" s="55"/>
      <c r="AJ443" s="55"/>
      <c r="AK443" s="55"/>
      <c r="AL443" s="55"/>
      <c r="AM443" s="55"/>
      <c r="AN443" s="55"/>
      <c r="AO443" s="55"/>
    </row>
    <row r="444">
      <c r="A444" s="55" t="str">
        <f>IFERROR(__xludf.DUMMYFUNCTION("QUERY('Volunteer Survey'!A838)"),"")</f>
        <v/>
      </c>
      <c r="B444" s="48" t="s">
        <v>322</v>
      </c>
      <c r="C444" s="53"/>
      <c r="D444" s="55"/>
      <c r="E444" s="55"/>
      <c r="F444" s="55" t="b">
        <v>0</v>
      </c>
      <c r="G444" s="55"/>
      <c r="H444" s="53"/>
      <c r="I444" s="53"/>
      <c r="J444" s="55"/>
      <c r="K444" s="55"/>
      <c r="L444" s="55" t="str">
        <f>IFERROR(__xludf.DUMMYFUNCTION("QUERY('Volunteer Survey'!B838)"),"")</f>
        <v/>
      </c>
      <c r="M444" s="55" t="str">
        <f>IFERROR(__xludf.DUMMYFUNCTION("QUERY('Volunteer Survey'!E838)"),"")</f>
        <v/>
      </c>
      <c r="N444" s="55" t="str">
        <f>IFERROR(__xludf.DUMMYFUNCTION("QUERY('Volunteer Survey'!F838)"),"")</f>
        <v/>
      </c>
      <c r="O444" s="48" t="str">
        <f>'Volunteer Survey'!H855</f>
        <v/>
      </c>
      <c r="P444" s="55" t="str">
        <f>IFERROR(__xludf.DUMMYFUNCTION("QUERY('Volunteer Survey'!I838)"),"")</f>
        <v/>
      </c>
      <c r="Q444" s="60" t="str">
        <f>IFERROR(__xludf.DUMMYFUNCTION("QUERY('Volunteer Survey'!J838)"),"")</f>
        <v/>
      </c>
      <c r="R444" s="55" t="str">
        <f>IFERROR(__xludf.DUMMYFUNCTION("QUERY('Volunteer Survey'!K838)"),"")</f>
        <v/>
      </c>
      <c r="S444" s="55" t="str">
        <f>IFERROR(__xludf.DUMMYFUNCTION("QUERY('Volunteer Survey'!L838)"),"")</f>
        <v/>
      </c>
      <c r="T444" s="55" t="str">
        <f>'Volunteer Survey'!M854</f>
        <v/>
      </c>
      <c r="U444" s="64" t="str">
        <f>IFERROR(__xludf.DUMMYFUNCTION("QUERY('Volunteer Survey'!N838)"),"")</f>
        <v/>
      </c>
      <c r="V444" s="55" t="str">
        <f>'Volunteer Survey'!O854</f>
        <v/>
      </c>
      <c r="W444" s="66" t="str">
        <f>IFERROR(__xludf.DUMMYFUNCTION("QUERY('Volunteer Survey'!P838)"),"")</f>
        <v/>
      </c>
      <c r="X444" s="64" t="str">
        <f>IFERROR(__xludf.DUMMYFUNCTION("QUERY('Volunteer Survey'!R838)"),"")</f>
        <v/>
      </c>
      <c r="Y444" s="53"/>
      <c r="Z444" s="55"/>
      <c r="AA444" s="55"/>
      <c r="AB444" s="55"/>
      <c r="AC444" s="55"/>
      <c r="AD444" s="55"/>
      <c r="AE444" s="55"/>
      <c r="AF444" s="55"/>
      <c r="AG444" s="55"/>
      <c r="AH444" s="55"/>
      <c r="AI444" s="55"/>
      <c r="AJ444" s="55"/>
      <c r="AK444" s="55"/>
      <c r="AL444" s="55"/>
      <c r="AM444" s="55"/>
      <c r="AN444" s="55"/>
      <c r="AO444" s="55"/>
    </row>
    <row r="445">
      <c r="A445" s="55" t="str">
        <f>IFERROR(__xludf.DUMMYFUNCTION("QUERY('Volunteer Survey'!A839)"),"")</f>
        <v/>
      </c>
      <c r="B445" s="48" t="s">
        <v>322</v>
      </c>
      <c r="C445" s="53"/>
      <c r="D445" s="55"/>
      <c r="E445" s="55"/>
      <c r="F445" s="55" t="b">
        <v>0</v>
      </c>
      <c r="G445" s="55"/>
      <c r="H445" s="53"/>
      <c r="I445" s="53"/>
      <c r="J445" s="55"/>
      <c r="K445" s="55"/>
      <c r="L445" s="55" t="str">
        <f>IFERROR(__xludf.DUMMYFUNCTION("QUERY('Volunteer Survey'!B839)"),"")</f>
        <v/>
      </c>
      <c r="M445" s="55" t="str">
        <f>IFERROR(__xludf.DUMMYFUNCTION("QUERY('Volunteer Survey'!E839)"),"")</f>
        <v/>
      </c>
      <c r="N445" s="55" t="str">
        <f>'Volunteer Survey'!F855</f>
        <v/>
      </c>
      <c r="O445" s="48" t="str">
        <f>'Volunteer Survey'!H856</f>
        <v/>
      </c>
      <c r="P445" s="55" t="str">
        <f>IFERROR(__xludf.DUMMYFUNCTION("QUERY('Volunteer Survey'!I839)"),"")</f>
        <v/>
      </c>
      <c r="Q445" s="60" t="str">
        <f>IFERROR(__xludf.DUMMYFUNCTION("QUERY('Volunteer Survey'!J839)"),"")</f>
        <v/>
      </c>
      <c r="R445" s="55" t="str">
        <f>IFERROR(__xludf.DUMMYFUNCTION("QUERY('Volunteer Survey'!K839)"),"")</f>
        <v/>
      </c>
      <c r="S445" s="55" t="str">
        <f>IFERROR(__xludf.DUMMYFUNCTION("QUERY('Volunteer Survey'!L839)"),"")</f>
        <v/>
      </c>
      <c r="T445" s="55" t="str">
        <f>'Volunteer Survey'!M855</f>
        <v/>
      </c>
      <c r="U445" s="64" t="str">
        <f>IFERROR(__xludf.DUMMYFUNCTION("QUERY('Volunteer Survey'!N839)"),"")</f>
        <v/>
      </c>
      <c r="V445" s="55" t="str">
        <f>'Volunteer Survey'!O855</f>
        <v/>
      </c>
      <c r="W445" s="66" t="str">
        <f>IFERROR(__xludf.DUMMYFUNCTION("QUERY('Volunteer Survey'!P839)"),"")</f>
        <v/>
      </c>
      <c r="X445" s="64" t="str">
        <f>IFERROR(__xludf.DUMMYFUNCTION("QUERY('Volunteer Survey'!R839)"),"")</f>
        <v/>
      </c>
      <c r="Y445" s="53"/>
      <c r="Z445" s="55"/>
      <c r="AA445" s="55"/>
      <c r="AB445" s="55"/>
      <c r="AC445" s="55"/>
      <c r="AD445" s="55"/>
      <c r="AE445" s="55"/>
      <c r="AF445" s="55"/>
      <c r="AG445" s="55"/>
      <c r="AH445" s="55"/>
      <c r="AI445" s="55"/>
      <c r="AJ445" s="55"/>
      <c r="AK445" s="55"/>
      <c r="AL445" s="55"/>
      <c r="AM445" s="55"/>
      <c r="AN445" s="55"/>
      <c r="AO445" s="55"/>
    </row>
    <row r="446">
      <c r="A446" s="55" t="str">
        <f>IFERROR(__xludf.DUMMYFUNCTION("QUERY('Volunteer Survey'!A840)"),"")</f>
        <v/>
      </c>
      <c r="B446" s="48" t="s">
        <v>322</v>
      </c>
      <c r="C446" s="53"/>
      <c r="D446" s="55"/>
      <c r="E446" s="55"/>
      <c r="F446" s="55" t="b">
        <v>0</v>
      </c>
      <c r="G446" s="55"/>
      <c r="H446" s="53"/>
      <c r="I446" s="53"/>
      <c r="J446" s="55"/>
      <c r="K446" s="55"/>
      <c r="L446" s="55" t="str">
        <f>IFERROR(__xludf.DUMMYFUNCTION("QUERY('Volunteer Survey'!B840)"),"")</f>
        <v/>
      </c>
      <c r="M446" s="55" t="str">
        <f>IFERROR(__xludf.DUMMYFUNCTION("QUERY('Volunteer Survey'!E840)"),"")</f>
        <v/>
      </c>
      <c r="N446" s="55" t="str">
        <f>'Volunteer Survey'!F856</f>
        <v/>
      </c>
      <c r="O446" s="48" t="str">
        <f>'Volunteer Survey'!H857</f>
        <v/>
      </c>
      <c r="P446" s="55" t="str">
        <f>IFERROR(__xludf.DUMMYFUNCTION("QUERY('Volunteer Survey'!I840)"),"")</f>
        <v/>
      </c>
      <c r="Q446" s="60" t="str">
        <f>IFERROR(__xludf.DUMMYFUNCTION("QUERY('Volunteer Survey'!J840)"),"")</f>
        <v/>
      </c>
      <c r="R446" s="55" t="str">
        <f>IFERROR(__xludf.DUMMYFUNCTION("QUERY('Volunteer Survey'!K840)"),"")</f>
        <v/>
      </c>
      <c r="S446" s="55" t="str">
        <f>IFERROR(__xludf.DUMMYFUNCTION("QUERY('Volunteer Survey'!L840)"),"")</f>
        <v/>
      </c>
      <c r="T446" s="55" t="str">
        <f>'Volunteer Survey'!M856</f>
        <v/>
      </c>
      <c r="U446" s="64" t="str">
        <f>IFERROR(__xludf.DUMMYFUNCTION("QUERY('Volunteer Survey'!N840)"),"")</f>
        <v/>
      </c>
      <c r="V446" s="55" t="str">
        <f>'Volunteer Survey'!O856</f>
        <v/>
      </c>
      <c r="W446" s="66" t="str">
        <f>IFERROR(__xludf.DUMMYFUNCTION("QUERY('Volunteer Survey'!P840)"),"")</f>
        <v/>
      </c>
      <c r="X446" s="64" t="str">
        <f>IFERROR(__xludf.DUMMYFUNCTION("QUERY('Volunteer Survey'!R840)"),"")</f>
        <v/>
      </c>
      <c r="Y446" s="53"/>
      <c r="Z446" s="55"/>
      <c r="AA446" s="55"/>
      <c r="AB446" s="55"/>
      <c r="AC446" s="55"/>
      <c r="AD446" s="55"/>
      <c r="AE446" s="55"/>
      <c r="AF446" s="55"/>
      <c r="AG446" s="55"/>
      <c r="AH446" s="55"/>
      <c r="AI446" s="55"/>
      <c r="AJ446" s="55"/>
      <c r="AK446" s="55"/>
      <c r="AL446" s="55"/>
      <c r="AM446" s="55"/>
      <c r="AN446" s="55"/>
      <c r="AO446" s="55"/>
    </row>
    <row r="447">
      <c r="A447" s="55" t="str">
        <f>IFERROR(__xludf.DUMMYFUNCTION("QUERY('Volunteer Survey'!A841)"),"")</f>
        <v/>
      </c>
      <c r="B447" s="48" t="s">
        <v>322</v>
      </c>
      <c r="C447" s="53"/>
      <c r="D447" s="55"/>
      <c r="E447" s="55"/>
      <c r="F447" s="55" t="b">
        <v>0</v>
      </c>
      <c r="G447" s="55"/>
      <c r="H447" s="53"/>
      <c r="I447" s="53"/>
      <c r="J447" s="55"/>
      <c r="K447" s="55"/>
      <c r="L447" s="55" t="str">
        <f>IFERROR(__xludf.DUMMYFUNCTION("QUERY('Volunteer Survey'!B841)"),"")</f>
        <v/>
      </c>
      <c r="M447" s="55" t="str">
        <f>IFERROR(__xludf.DUMMYFUNCTION("QUERY('Volunteer Survey'!E841)"),"")</f>
        <v/>
      </c>
      <c r="N447" s="55" t="str">
        <f>'Volunteer Survey'!F857</f>
        <v/>
      </c>
      <c r="O447" s="48" t="str">
        <f>'Volunteer Survey'!H858</f>
        <v/>
      </c>
      <c r="P447" s="55" t="str">
        <f>IFERROR(__xludf.DUMMYFUNCTION("QUERY('Volunteer Survey'!I841)"),"")</f>
        <v/>
      </c>
      <c r="Q447" s="60" t="str">
        <f>IFERROR(__xludf.DUMMYFUNCTION("QUERY('Volunteer Survey'!J841)"),"")</f>
        <v/>
      </c>
      <c r="R447" s="55" t="str">
        <f>IFERROR(__xludf.DUMMYFUNCTION("QUERY('Volunteer Survey'!K841)"),"")</f>
        <v/>
      </c>
      <c r="S447" s="55" t="str">
        <f>IFERROR(__xludf.DUMMYFUNCTION("QUERY('Volunteer Survey'!L841)"),"")</f>
        <v/>
      </c>
      <c r="T447" s="55" t="str">
        <f>'Volunteer Survey'!M857</f>
        <v/>
      </c>
      <c r="U447" s="64" t="str">
        <f>IFERROR(__xludf.DUMMYFUNCTION("QUERY('Volunteer Survey'!N841)"),"")</f>
        <v/>
      </c>
      <c r="V447" s="55" t="str">
        <f>'Volunteer Survey'!O857</f>
        <v/>
      </c>
      <c r="W447" s="66" t="str">
        <f>IFERROR(__xludf.DUMMYFUNCTION("QUERY('Volunteer Survey'!P841)"),"")</f>
        <v/>
      </c>
      <c r="X447" s="64" t="str">
        <f>IFERROR(__xludf.DUMMYFUNCTION("QUERY('Volunteer Survey'!R841)"),"")</f>
        <v/>
      </c>
      <c r="Y447" s="53"/>
      <c r="Z447" s="55"/>
      <c r="AA447" s="55"/>
      <c r="AB447" s="55"/>
      <c r="AC447" s="55"/>
      <c r="AD447" s="55"/>
      <c r="AE447" s="55"/>
      <c r="AF447" s="55"/>
      <c r="AG447" s="55"/>
      <c r="AH447" s="55"/>
      <c r="AI447" s="55"/>
      <c r="AJ447" s="55"/>
      <c r="AK447" s="55"/>
      <c r="AL447" s="55"/>
      <c r="AM447" s="55"/>
      <c r="AN447" s="55"/>
      <c r="AO447" s="55"/>
    </row>
    <row r="448">
      <c r="A448" s="55" t="str">
        <f>IFERROR(__xludf.DUMMYFUNCTION("QUERY('Volunteer Survey'!A842)"),"")</f>
        <v/>
      </c>
      <c r="B448" s="48" t="s">
        <v>322</v>
      </c>
      <c r="C448" s="53"/>
      <c r="D448" s="55"/>
      <c r="E448" s="55"/>
      <c r="F448" s="55" t="b">
        <v>0</v>
      </c>
      <c r="G448" s="55"/>
      <c r="H448" s="53"/>
      <c r="I448" s="53"/>
      <c r="J448" s="55"/>
      <c r="K448" s="55"/>
      <c r="L448" s="55" t="str">
        <f>IFERROR(__xludf.DUMMYFUNCTION("QUERY('Volunteer Survey'!B842)"),"")</f>
        <v/>
      </c>
      <c r="M448" s="55" t="str">
        <f>IFERROR(__xludf.DUMMYFUNCTION("QUERY('Volunteer Survey'!E842)"),"")</f>
        <v/>
      </c>
      <c r="N448" s="55" t="str">
        <f>'Volunteer Survey'!F858</f>
        <v/>
      </c>
      <c r="O448" s="48" t="str">
        <f>'Volunteer Survey'!H859</f>
        <v/>
      </c>
      <c r="P448" s="55" t="str">
        <f>IFERROR(__xludf.DUMMYFUNCTION("QUERY('Volunteer Survey'!I842)"),"")</f>
        <v/>
      </c>
      <c r="Q448" s="60" t="str">
        <f>IFERROR(__xludf.DUMMYFUNCTION("QUERY('Volunteer Survey'!J842)"),"")</f>
        <v/>
      </c>
      <c r="R448" s="55" t="str">
        <f>IFERROR(__xludf.DUMMYFUNCTION("QUERY('Volunteer Survey'!K842)"),"")</f>
        <v/>
      </c>
      <c r="S448" s="55" t="str">
        <f>IFERROR(__xludf.DUMMYFUNCTION("QUERY('Volunteer Survey'!L842)"),"")</f>
        <v/>
      </c>
      <c r="T448" s="55" t="str">
        <f>'Volunteer Survey'!M858</f>
        <v/>
      </c>
      <c r="U448" s="64" t="str">
        <f>IFERROR(__xludf.DUMMYFUNCTION("QUERY('Volunteer Survey'!N842)"),"")</f>
        <v/>
      </c>
      <c r="V448" s="55" t="str">
        <f>'Volunteer Survey'!O858</f>
        <v/>
      </c>
      <c r="W448" s="66" t="str">
        <f>IFERROR(__xludf.DUMMYFUNCTION("QUERY('Volunteer Survey'!P842)"),"")</f>
        <v/>
      </c>
      <c r="X448" s="64" t="str">
        <f>IFERROR(__xludf.DUMMYFUNCTION("QUERY('Volunteer Survey'!R842)"),"")</f>
        <v/>
      </c>
      <c r="Y448" s="53"/>
      <c r="Z448" s="55"/>
      <c r="AA448" s="55"/>
      <c r="AB448" s="55"/>
      <c r="AC448" s="55"/>
      <c r="AD448" s="55"/>
      <c r="AE448" s="55"/>
      <c r="AF448" s="55"/>
      <c r="AG448" s="55"/>
      <c r="AH448" s="55"/>
      <c r="AI448" s="55"/>
      <c r="AJ448" s="55"/>
      <c r="AK448" s="55"/>
      <c r="AL448" s="55"/>
      <c r="AM448" s="55"/>
      <c r="AN448" s="55"/>
      <c r="AO448" s="55"/>
    </row>
    <row r="449">
      <c r="A449" s="55" t="str">
        <f>IFERROR(__xludf.DUMMYFUNCTION("QUERY('Volunteer Survey'!A843)"),"")</f>
        <v/>
      </c>
      <c r="B449" s="48" t="s">
        <v>322</v>
      </c>
      <c r="C449" s="53"/>
      <c r="D449" s="55"/>
      <c r="E449" s="55"/>
      <c r="F449" s="55" t="b">
        <v>0</v>
      </c>
      <c r="G449" s="55"/>
      <c r="H449" s="53"/>
      <c r="I449" s="53"/>
      <c r="J449" s="55"/>
      <c r="K449" s="55"/>
      <c r="L449" s="55" t="str">
        <f>IFERROR(__xludf.DUMMYFUNCTION("QUERY('Volunteer Survey'!B843)"),"")</f>
        <v/>
      </c>
      <c r="M449" s="55" t="str">
        <f>IFERROR(__xludf.DUMMYFUNCTION("QUERY('Volunteer Survey'!E843)"),"")</f>
        <v/>
      </c>
      <c r="N449" s="55" t="str">
        <f>'Volunteer Survey'!F859</f>
        <v/>
      </c>
      <c r="O449" s="48" t="str">
        <f>'Volunteer Survey'!H860</f>
        <v/>
      </c>
      <c r="P449" s="55" t="str">
        <f>IFERROR(__xludf.DUMMYFUNCTION("QUERY('Volunteer Survey'!I843)"),"")</f>
        <v/>
      </c>
      <c r="Q449" s="60" t="str">
        <f>IFERROR(__xludf.DUMMYFUNCTION("QUERY('Volunteer Survey'!J843)"),"")</f>
        <v/>
      </c>
      <c r="R449" s="55" t="str">
        <f>IFERROR(__xludf.DUMMYFUNCTION("QUERY('Volunteer Survey'!K843)"),"")</f>
        <v/>
      </c>
      <c r="S449" s="55" t="str">
        <f>IFERROR(__xludf.DUMMYFUNCTION("QUERY('Volunteer Survey'!L843)"),"")</f>
        <v/>
      </c>
      <c r="T449" s="55" t="str">
        <f>'Volunteer Survey'!M859</f>
        <v/>
      </c>
      <c r="U449" s="64" t="str">
        <f>IFERROR(__xludf.DUMMYFUNCTION("QUERY('Volunteer Survey'!N843)"),"")</f>
        <v/>
      </c>
      <c r="V449" s="55" t="str">
        <f>'Volunteer Survey'!O859</f>
        <v/>
      </c>
      <c r="W449" s="66" t="str">
        <f>IFERROR(__xludf.DUMMYFUNCTION("QUERY('Volunteer Survey'!P843)"),"")</f>
        <v/>
      </c>
      <c r="X449" s="64" t="str">
        <f>IFERROR(__xludf.DUMMYFUNCTION("QUERY('Volunteer Survey'!R843)"),"")</f>
        <v/>
      </c>
      <c r="Y449" s="53"/>
      <c r="Z449" s="55"/>
      <c r="AA449" s="55"/>
      <c r="AB449" s="55"/>
      <c r="AC449" s="55"/>
      <c r="AD449" s="55"/>
      <c r="AE449" s="55"/>
      <c r="AF449" s="55"/>
      <c r="AG449" s="55"/>
      <c r="AH449" s="55"/>
      <c r="AI449" s="55"/>
      <c r="AJ449" s="55"/>
      <c r="AK449" s="55"/>
      <c r="AL449" s="55"/>
      <c r="AM449" s="55"/>
      <c r="AN449" s="55"/>
      <c r="AO449" s="55"/>
    </row>
    <row r="450">
      <c r="A450" s="55" t="str">
        <f>IFERROR(__xludf.DUMMYFUNCTION("QUERY('Volunteer Survey'!A844)"),"")</f>
        <v/>
      </c>
      <c r="B450" s="48" t="s">
        <v>322</v>
      </c>
      <c r="C450" s="53"/>
      <c r="D450" s="55"/>
      <c r="E450" s="55"/>
      <c r="F450" s="55" t="b">
        <v>0</v>
      </c>
      <c r="G450" s="55"/>
      <c r="H450" s="53"/>
      <c r="I450" s="53"/>
      <c r="J450" s="55"/>
      <c r="K450" s="55"/>
      <c r="L450" s="55" t="str">
        <f>IFERROR(__xludf.DUMMYFUNCTION("QUERY('Volunteer Survey'!B844)"),"")</f>
        <v/>
      </c>
      <c r="M450" s="55" t="str">
        <f>IFERROR(__xludf.DUMMYFUNCTION("QUERY('Volunteer Survey'!E844)"),"")</f>
        <v/>
      </c>
      <c r="N450" s="55" t="str">
        <f>'Volunteer Survey'!F860</f>
        <v/>
      </c>
      <c r="O450" s="48" t="str">
        <f>'Volunteer Survey'!H861</f>
        <v/>
      </c>
      <c r="P450" s="55" t="str">
        <f>IFERROR(__xludf.DUMMYFUNCTION("QUERY('Volunteer Survey'!I844)"),"")</f>
        <v/>
      </c>
      <c r="Q450" s="60" t="str">
        <f>IFERROR(__xludf.DUMMYFUNCTION("QUERY('Volunteer Survey'!J844)"),"")</f>
        <v/>
      </c>
      <c r="R450" s="55" t="str">
        <f>IFERROR(__xludf.DUMMYFUNCTION("QUERY('Volunteer Survey'!K844)"),"")</f>
        <v/>
      </c>
      <c r="S450" s="55" t="str">
        <f>IFERROR(__xludf.DUMMYFUNCTION("QUERY('Volunteer Survey'!L844)"),"")</f>
        <v/>
      </c>
      <c r="T450" s="55" t="str">
        <f>'Volunteer Survey'!M860</f>
        <v/>
      </c>
      <c r="U450" s="64" t="str">
        <f>IFERROR(__xludf.DUMMYFUNCTION("QUERY('Volunteer Survey'!N844)"),"")</f>
        <v/>
      </c>
      <c r="V450" s="55" t="str">
        <f>'Volunteer Survey'!O860</f>
        <v/>
      </c>
      <c r="W450" s="66" t="str">
        <f>IFERROR(__xludf.DUMMYFUNCTION("QUERY('Volunteer Survey'!P844)"),"")</f>
        <v/>
      </c>
      <c r="X450" s="64" t="str">
        <f>IFERROR(__xludf.DUMMYFUNCTION("QUERY('Volunteer Survey'!R844)"),"")</f>
        <v/>
      </c>
      <c r="Y450" s="53"/>
      <c r="Z450" s="55"/>
      <c r="AA450" s="55"/>
      <c r="AB450" s="55"/>
      <c r="AC450" s="55"/>
      <c r="AD450" s="55"/>
      <c r="AE450" s="55"/>
      <c r="AF450" s="55"/>
      <c r="AG450" s="55"/>
      <c r="AH450" s="55"/>
      <c r="AI450" s="55"/>
      <c r="AJ450" s="55"/>
      <c r="AK450" s="55"/>
      <c r="AL450" s="55"/>
      <c r="AM450" s="55"/>
      <c r="AN450" s="55"/>
      <c r="AO450" s="55"/>
    </row>
    <row r="451">
      <c r="A451" s="55" t="str">
        <f>IFERROR(__xludf.DUMMYFUNCTION("QUERY('Volunteer Survey'!A845)"),"")</f>
        <v/>
      </c>
      <c r="B451" s="48" t="s">
        <v>322</v>
      </c>
      <c r="C451" s="53"/>
      <c r="D451" s="55"/>
      <c r="E451" s="55"/>
      <c r="F451" s="55" t="b">
        <v>0</v>
      </c>
      <c r="G451" s="55"/>
      <c r="H451" s="53"/>
      <c r="I451" s="53"/>
      <c r="J451" s="55"/>
      <c r="K451" s="55"/>
      <c r="L451" s="55" t="str">
        <f>IFERROR(__xludf.DUMMYFUNCTION("QUERY('Volunteer Survey'!B845)"),"")</f>
        <v/>
      </c>
      <c r="M451" s="55" t="str">
        <f>IFERROR(__xludf.DUMMYFUNCTION("QUERY('Volunteer Survey'!E845)"),"")</f>
        <v/>
      </c>
      <c r="N451" s="55" t="str">
        <f>'Volunteer Survey'!F861</f>
        <v/>
      </c>
      <c r="O451" s="48" t="str">
        <f>'Volunteer Survey'!H862</f>
        <v/>
      </c>
      <c r="P451" s="55" t="str">
        <f>IFERROR(__xludf.DUMMYFUNCTION("QUERY('Volunteer Survey'!I845)"),"")</f>
        <v/>
      </c>
      <c r="Q451" s="60" t="str">
        <f>IFERROR(__xludf.DUMMYFUNCTION("QUERY('Volunteer Survey'!J845)"),"")</f>
        <v/>
      </c>
      <c r="R451" s="55" t="str">
        <f>IFERROR(__xludf.DUMMYFUNCTION("QUERY('Volunteer Survey'!K845)"),"")</f>
        <v/>
      </c>
      <c r="S451" s="55" t="str">
        <f>IFERROR(__xludf.DUMMYFUNCTION("QUERY('Volunteer Survey'!L845)"),"")</f>
        <v/>
      </c>
      <c r="T451" s="55" t="str">
        <f>'Volunteer Survey'!M861</f>
        <v/>
      </c>
      <c r="U451" s="64" t="str">
        <f>IFERROR(__xludf.DUMMYFUNCTION("QUERY('Volunteer Survey'!N845)"),"")</f>
        <v/>
      </c>
      <c r="V451" s="55" t="str">
        <f>'Volunteer Survey'!O861</f>
        <v/>
      </c>
      <c r="W451" s="66" t="str">
        <f>IFERROR(__xludf.DUMMYFUNCTION("QUERY('Volunteer Survey'!P845)"),"")</f>
        <v/>
      </c>
      <c r="X451" s="64" t="str">
        <f>IFERROR(__xludf.DUMMYFUNCTION("QUERY('Volunteer Survey'!R845)"),"")</f>
        <v/>
      </c>
      <c r="Y451" s="53"/>
      <c r="Z451" s="55"/>
      <c r="AA451" s="55"/>
      <c r="AB451" s="55"/>
      <c r="AC451" s="55"/>
      <c r="AD451" s="55"/>
      <c r="AE451" s="55"/>
      <c r="AF451" s="55"/>
      <c r="AG451" s="55"/>
      <c r="AH451" s="55"/>
      <c r="AI451" s="55"/>
      <c r="AJ451" s="55"/>
      <c r="AK451" s="55"/>
      <c r="AL451" s="55"/>
      <c r="AM451" s="55"/>
      <c r="AN451" s="55"/>
      <c r="AO451" s="55"/>
    </row>
    <row r="452">
      <c r="A452" s="55" t="str">
        <f>IFERROR(__xludf.DUMMYFUNCTION("QUERY('Volunteer Survey'!A846)"),"")</f>
        <v/>
      </c>
      <c r="B452" s="48" t="s">
        <v>322</v>
      </c>
      <c r="C452" s="53"/>
      <c r="D452" s="55"/>
      <c r="E452" s="55"/>
      <c r="F452" s="55" t="b">
        <v>0</v>
      </c>
      <c r="G452" s="55"/>
      <c r="H452" s="53"/>
      <c r="I452" s="53"/>
      <c r="J452" s="55"/>
      <c r="K452" s="55"/>
      <c r="L452" s="55" t="str">
        <f>IFERROR(__xludf.DUMMYFUNCTION("QUERY('Volunteer Survey'!B846)"),"")</f>
        <v/>
      </c>
      <c r="M452" s="55" t="str">
        <f>IFERROR(__xludf.DUMMYFUNCTION("QUERY('Volunteer Survey'!E846)"),"")</f>
        <v/>
      </c>
      <c r="N452" s="55" t="str">
        <f>'Volunteer Survey'!F862</f>
        <v/>
      </c>
      <c r="O452" s="48" t="str">
        <f>'Volunteer Survey'!H863</f>
        <v/>
      </c>
      <c r="P452" s="55" t="str">
        <f>IFERROR(__xludf.DUMMYFUNCTION("QUERY('Volunteer Survey'!I846)"),"")</f>
        <v/>
      </c>
      <c r="Q452" s="60" t="str">
        <f>IFERROR(__xludf.DUMMYFUNCTION("QUERY('Volunteer Survey'!J846)"),"")</f>
        <v/>
      </c>
      <c r="R452" s="55" t="str">
        <f>IFERROR(__xludf.DUMMYFUNCTION("QUERY('Volunteer Survey'!K846)"),"")</f>
        <v/>
      </c>
      <c r="S452" s="55" t="str">
        <f>IFERROR(__xludf.DUMMYFUNCTION("QUERY('Volunteer Survey'!L846)"),"")</f>
        <v/>
      </c>
      <c r="T452" s="55" t="str">
        <f>'Volunteer Survey'!M862</f>
        <v/>
      </c>
      <c r="U452" s="64" t="str">
        <f>IFERROR(__xludf.DUMMYFUNCTION("QUERY('Volunteer Survey'!N846)"),"")</f>
        <v/>
      </c>
      <c r="V452" s="55" t="str">
        <f>'Volunteer Survey'!O862</f>
        <v/>
      </c>
      <c r="W452" s="66" t="str">
        <f>IFERROR(__xludf.DUMMYFUNCTION("QUERY('Volunteer Survey'!P846)"),"")</f>
        <v/>
      </c>
      <c r="X452" s="64" t="str">
        <f>IFERROR(__xludf.DUMMYFUNCTION("QUERY('Volunteer Survey'!R846)"),"")</f>
        <v/>
      </c>
      <c r="Y452" s="53"/>
      <c r="Z452" s="55"/>
      <c r="AA452" s="55"/>
      <c r="AB452" s="55"/>
      <c r="AC452" s="55"/>
      <c r="AD452" s="55"/>
      <c r="AE452" s="55"/>
      <c r="AF452" s="55"/>
      <c r="AG452" s="55"/>
      <c r="AH452" s="55"/>
      <c r="AI452" s="55"/>
      <c r="AJ452" s="55"/>
      <c r="AK452" s="55"/>
      <c r="AL452" s="55"/>
      <c r="AM452" s="55"/>
      <c r="AN452" s="55"/>
      <c r="AO452" s="55"/>
    </row>
    <row r="453">
      <c r="A453" s="55" t="str">
        <f>IFERROR(__xludf.DUMMYFUNCTION("QUERY('Volunteer Survey'!A847)"),"")</f>
        <v/>
      </c>
      <c r="B453" s="48" t="s">
        <v>322</v>
      </c>
      <c r="C453" s="53"/>
      <c r="D453" s="55"/>
      <c r="E453" s="55"/>
      <c r="F453" s="55" t="b">
        <v>0</v>
      </c>
      <c r="G453" s="55"/>
      <c r="H453" s="53"/>
      <c r="I453" s="53"/>
      <c r="J453" s="55"/>
      <c r="K453" s="55"/>
      <c r="L453" s="55" t="str">
        <f>IFERROR(__xludf.DUMMYFUNCTION("QUERY('Volunteer Survey'!B847)"),"")</f>
        <v/>
      </c>
      <c r="M453" s="55" t="str">
        <f>IFERROR(__xludf.DUMMYFUNCTION("QUERY('Volunteer Survey'!E847)"),"")</f>
        <v/>
      </c>
      <c r="N453" s="55" t="str">
        <f>'Volunteer Survey'!F863</f>
        <v/>
      </c>
      <c r="O453" s="48" t="str">
        <f>'Volunteer Survey'!H864</f>
        <v/>
      </c>
      <c r="P453" s="55" t="str">
        <f>IFERROR(__xludf.DUMMYFUNCTION("QUERY('Volunteer Survey'!I847)"),"")</f>
        <v/>
      </c>
      <c r="Q453" s="60" t="str">
        <f>IFERROR(__xludf.DUMMYFUNCTION("QUERY('Volunteer Survey'!J847)"),"")</f>
        <v/>
      </c>
      <c r="R453" s="55"/>
      <c r="S453" s="55" t="str">
        <f>IFERROR(__xludf.DUMMYFUNCTION("QUERY('Volunteer Survey'!L847)"),"")</f>
        <v/>
      </c>
      <c r="T453" s="55" t="str">
        <f>'Volunteer Survey'!M863</f>
        <v/>
      </c>
      <c r="U453" s="64"/>
      <c r="V453" s="55" t="str">
        <f>'Volunteer Survey'!O863</f>
        <v/>
      </c>
      <c r="W453" s="66" t="str">
        <f>IFERROR(__xludf.DUMMYFUNCTION("QUERY('Volunteer Survey'!P847)"),"")</f>
        <v/>
      </c>
      <c r="X453" s="64" t="str">
        <f>IFERROR(__xludf.DUMMYFUNCTION("QUERY('Volunteer Survey'!R847)"),"")</f>
        <v/>
      </c>
      <c r="Y453" s="53"/>
      <c r="Z453" s="55"/>
      <c r="AA453" s="55"/>
      <c r="AB453" s="55"/>
      <c r="AC453" s="55"/>
      <c r="AD453" s="55"/>
      <c r="AE453" s="55"/>
      <c r="AF453" s="55"/>
      <c r="AG453" s="55"/>
      <c r="AH453" s="55"/>
      <c r="AI453" s="55"/>
      <c r="AJ453" s="55"/>
      <c r="AK453" s="55"/>
      <c r="AL453" s="55"/>
      <c r="AM453" s="55"/>
      <c r="AN453" s="55"/>
      <c r="AO453" s="55"/>
    </row>
    <row r="454">
      <c r="A454" s="55" t="str">
        <f>IFERROR(__xludf.DUMMYFUNCTION("QUERY('Volunteer Survey'!A848)"),"")</f>
        <v/>
      </c>
      <c r="B454" s="48" t="s">
        <v>322</v>
      </c>
      <c r="C454" s="53"/>
      <c r="D454" s="55"/>
      <c r="E454" s="55"/>
      <c r="F454" s="55" t="b">
        <v>0</v>
      </c>
      <c r="G454" s="55"/>
      <c r="H454" s="53"/>
      <c r="I454" s="53"/>
      <c r="J454" s="55"/>
      <c r="K454" s="55"/>
      <c r="L454" s="55" t="str">
        <f>IFERROR(__xludf.DUMMYFUNCTION("QUERY('Volunteer Survey'!B848)"),"")</f>
        <v/>
      </c>
      <c r="M454" s="55" t="str">
        <f>IFERROR(__xludf.DUMMYFUNCTION("QUERY('Volunteer Survey'!E848)"),"")</f>
        <v/>
      </c>
      <c r="N454" s="55" t="str">
        <f>'Volunteer Survey'!F864</f>
        <v/>
      </c>
      <c r="O454" s="48" t="str">
        <f>'Volunteer Survey'!H865</f>
        <v/>
      </c>
      <c r="P454" s="55" t="str">
        <f>IFERROR(__xludf.DUMMYFUNCTION("QUERY('Volunteer Survey'!I848)"),"")</f>
        <v/>
      </c>
      <c r="Q454" s="60" t="str">
        <f>IFERROR(__xludf.DUMMYFUNCTION("QUERY('Volunteer Survey'!J848)"),"")</f>
        <v/>
      </c>
      <c r="R454" s="55"/>
      <c r="S454" s="55" t="str">
        <f>IFERROR(__xludf.DUMMYFUNCTION("QUERY('Volunteer Survey'!L848)"),"")</f>
        <v/>
      </c>
      <c r="T454" s="55" t="str">
        <f>'Volunteer Survey'!M864</f>
        <v/>
      </c>
      <c r="U454" s="64"/>
      <c r="V454" s="55" t="str">
        <f>'Volunteer Survey'!O864</f>
        <v/>
      </c>
      <c r="W454" s="66" t="str">
        <f>IFERROR(__xludf.DUMMYFUNCTION("QUERY('Volunteer Survey'!P848)"),"")</f>
        <v/>
      </c>
      <c r="X454" s="64" t="str">
        <f>IFERROR(__xludf.DUMMYFUNCTION("QUERY('Volunteer Survey'!R848)"),"")</f>
        <v/>
      </c>
      <c r="Y454" s="53"/>
      <c r="Z454" s="55"/>
      <c r="AA454" s="55"/>
      <c r="AB454" s="55"/>
      <c r="AC454" s="55"/>
      <c r="AD454" s="55"/>
      <c r="AE454" s="55"/>
      <c r="AF454" s="55"/>
      <c r="AG454" s="55"/>
      <c r="AH454" s="55"/>
      <c r="AI454" s="55"/>
      <c r="AJ454" s="55"/>
      <c r="AK454" s="55"/>
      <c r="AL454" s="55"/>
      <c r="AM454" s="55"/>
      <c r="AN454" s="55"/>
      <c r="AO454" s="55"/>
    </row>
    <row r="455">
      <c r="A455" s="55" t="str">
        <f>IFERROR(__xludf.DUMMYFUNCTION("QUERY('Volunteer Survey'!A849)"),"")</f>
        <v/>
      </c>
      <c r="B455" s="48" t="s">
        <v>322</v>
      </c>
      <c r="C455" s="53"/>
      <c r="D455" s="55"/>
      <c r="E455" s="55"/>
      <c r="F455" s="55" t="b">
        <v>0</v>
      </c>
      <c r="G455" s="55"/>
      <c r="H455" s="53"/>
      <c r="I455" s="53"/>
      <c r="J455" s="55"/>
      <c r="K455" s="55"/>
      <c r="L455" s="55" t="str">
        <f>'Volunteer Survey'!B865</f>
        <v/>
      </c>
      <c r="M455" s="55" t="str">
        <f>IFERROR(__xludf.DUMMYFUNCTION("QUERY('Volunteer Survey'!E849)"),"")</f>
        <v/>
      </c>
      <c r="N455" s="55" t="str">
        <f>'Volunteer Survey'!F865</f>
        <v/>
      </c>
      <c r="O455" s="48" t="str">
        <f>'Volunteer Survey'!H866</f>
        <v/>
      </c>
      <c r="P455" s="55" t="str">
        <f>IFERROR(__xludf.DUMMYFUNCTION("QUERY('Volunteer Survey'!I849)"),"")</f>
        <v/>
      </c>
      <c r="Q455" s="60" t="str">
        <f>IFERROR(__xludf.DUMMYFUNCTION("QUERY('Volunteer Survey'!J849)"),"")</f>
        <v/>
      </c>
      <c r="R455" s="55"/>
      <c r="S455" s="55" t="str">
        <f>IFERROR(__xludf.DUMMYFUNCTION("QUERY('Volunteer Survey'!L849)"),"")</f>
        <v/>
      </c>
      <c r="T455" s="55" t="str">
        <f>'Volunteer Survey'!M865</f>
        <v/>
      </c>
      <c r="U455" s="64"/>
      <c r="V455" s="55" t="str">
        <f>'Volunteer Survey'!O865</f>
        <v/>
      </c>
      <c r="W455" s="66" t="str">
        <f>IFERROR(__xludf.DUMMYFUNCTION("QUERY('Volunteer Survey'!P849)"),"")</f>
        <v/>
      </c>
      <c r="X455" s="64" t="str">
        <f>IFERROR(__xludf.DUMMYFUNCTION("QUERY('Volunteer Survey'!R849)"),"")</f>
        <v/>
      </c>
      <c r="Y455" s="53"/>
      <c r="Z455" s="55"/>
      <c r="AA455" s="55"/>
      <c r="AB455" s="55"/>
      <c r="AC455" s="55"/>
      <c r="AD455" s="55"/>
      <c r="AE455" s="55"/>
      <c r="AF455" s="55"/>
      <c r="AG455" s="55"/>
      <c r="AH455" s="55"/>
      <c r="AI455" s="55"/>
      <c r="AJ455" s="55"/>
      <c r="AK455" s="55"/>
      <c r="AL455" s="55"/>
      <c r="AM455" s="55"/>
      <c r="AN455" s="55"/>
      <c r="AO455" s="55"/>
    </row>
    <row r="456">
      <c r="A456" s="55" t="str">
        <f>'Volunteer Survey'!A866</f>
        <v/>
      </c>
      <c r="B456" s="48" t="s">
        <v>322</v>
      </c>
      <c r="C456" s="53"/>
      <c r="D456" s="55"/>
      <c r="E456" s="55"/>
      <c r="F456" s="55" t="b">
        <v>0</v>
      </c>
      <c r="G456" s="55"/>
      <c r="H456" s="53"/>
      <c r="I456" s="53"/>
      <c r="J456" s="55"/>
      <c r="K456" s="55"/>
      <c r="L456" s="55" t="str">
        <f>'Volunteer Survey'!B866</f>
        <v/>
      </c>
      <c r="M456" s="55" t="str">
        <f>IFERROR(__xludf.DUMMYFUNCTION("QUERY('Volunteer Survey'!E850)"),"")</f>
        <v/>
      </c>
      <c r="N456" s="55" t="str">
        <f>'Volunteer Survey'!F866</f>
        <v/>
      </c>
      <c r="O456" s="48" t="str">
        <f>'Volunteer Survey'!H867</f>
        <v/>
      </c>
      <c r="P456" s="55" t="str">
        <f>IFERROR(__xludf.DUMMYFUNCTION("QUERY('Volunteer Survey'!I850)"),"")</f>
        <v/>
      </c>
      <c r="Q456" s="60" t="str">
        <f>IFERROR(__xludf.DUMMYFUNCTION("QUERY('Volunteer Survey'!J850)"),"")</f>
        <v/>
      </c>
      <c r="R456" s="55"/>
      <c r="S456" s="55" t="str">
        <f>IFERROR(__xludf.DUMMYFUNCTION("QUERY('Volunteer Survey'!L850)"),"")</f>
        <v/>
      </c>
      <c r="T456" s="55" t="str">
        <f>'Volunteer Survey'!M866</f>
        <v/>
      </c>
      <c r="U456" s="64"/>
      <c r="V456" s="55" t="str">
        <f>'Volunteer Survey'!O866</f>
        <v/>
      </c>
      <c r="W456" s="66" t="str">
        <f>IFERROR(__xludf.DUMMYFUNCTION("QUERY('Volunteer Survey'!P850)"),"")</f>
        <v/>
      </c>
      <c r="X456" s="64" t="str">
        <f>IFERROR(__xludf.DUMMYFUNCTION("QUERY('Volunteer Survey'!R850)"),"")</f>
        <v/>
      </c>
      <c r="Y456" s="53"/>
      <c r="Z456" s="55"/>
      <c r="AA456" s="55"/>
      <c r="AB456" s="55"/>
      <c r="AC456" s="55"/>
      <c r="AD456" s="55"/>
      <c r="AE456" s="55"/>
      <c r="AF456" s="55"/>
      <c r="AG456" s="55"/>
      <c r="AH456" s="55"/>
      <c r="AI456" s="55"/>
      <c r="AJ456" s="55"/>
      <c r="AK456" s="55"/>
      <c r="AL456" s="55"/>
      <c r="AM456" s="55"/>
      <c r="AN456" s="55"/>
      <c r="AO456" s="55"/>
    </row>
    <row r="457">
      <c r="A457" s="55" t="str">
        <f>'Volunteer Survey'!A867</f>
        <v/>
      </c>
      <c r="B457" s="48" t="s">
        <v>322</v>
      </c>
      <c r="C457" s="53"/>
      <c r="D457" s="55"/>
      <c r="E457" s="55"/>
      <c r="F457" s="55" t="b">
        <v>0</v>
      </c>
      <c r="G457" s="55"/>
      <c r="H457" s="53"/>
      <c r="I457" s="53"/>
      <c r="J457" s="55"/>
      <c r="K457" s="55"/>
      <c r="L457" s="55" t="str">
        <f>'Volunteer Survey'!B867</f>
        <v/>
      </c>
      <c r="M457" s="55" t="str">
        <f>IFERROR(__xludf.DUMMYFUNCTION("QUERY('Volunteer Survey'!E851)"),"")</f>
        <v/>
      </c>
      <c r="N457" s="55" t="str">
        <f>'Volunteer Survey'!F867</f>
        <v/>
      </c>
      <c r="O457" s="48" t="str">
        <f>'Volunteer Survey'!H868</f>
        <v/>
      </c>
      <c r="P457" s="55" t="str">
        <f>IFERROR(__xludf.DUMMYFUNCTION("QUERY('Volunteer Survey'!I851)"),"")</f>
        <v/>
      </c>
      <c r="Q457" s="60" t="str">
        <f>IFERROR(__xludf.DUMMYFUNCTION("QUERY('Volunteer Survey'!J851)"),"")</f>
        <v/>
      </c>
      <c r="R457" s="55"/>
      <c r="S457" s="55" t="str">
        <f>IFERROR(__xludf.DUMMYFUNCTION("QUERY('Volunteer Survey'!L851)"),"")</f>
        <v/>
      </c>
      <c r="T457" s="55" t="str">
        <f>'Volunteer Survey'!M867</f>
        <v/>
      </c>
      <c r="U457" s="64"/>
      <c r="V457" s="55" t="str">
        <f>'Volunteer Survey'!O867</f>
        <v/>
      </c>
      <c r="W457" s="66" t="str">
        <f>IFERROR(__xludf.DUMMYFUNCTION("QUERY('Volunteer Survey'!P851)"),"")</f>
        <v/>
      </c>
      <c r="X457" s="64" t="str">
        <f>IFERROR(__xludf.DUMMYFUNCTION("QUERY('Volunteer Survey'!R851)"),"")</f>
        <v/>
      </c>
      <c r="Y457" s="53"/>
      <c r="Z457" s="55"/>
      <c r="AA457" s="55"/>
      <c r="AB457" s="55"/>
      <c r="AC457" s="55"/>
      <c r="AD457" s="55"/>
      <c r="AE457" s="55"/>
      <c r="AF457" s="55"/>
      <c r="AG457" s="55"/>
      <c r="AH457" s="55"/>
      <c r="AI457" s="55"/>
      <c r="AJ457" s="55"/>
      <c r="AK457" s="55"/>
      <c r="AL457" s="55"/>
      <c r="AM457" s="55"/>
      <c r="AN457" s="55"/>
      <c r="AO457" s="55"/>
    </row>
    <row r="458">
      <c r="A458" s="55" t="str">
        <f>'Volunteer Survey'!A868</f>
        <v/>
      </c>
      <c r="B458" s="48" t="s">
        <v>322</v>
      </c>
      <c r="C458" s="53"/>
      <c r="D458" s="55"/>
      <c r="E458" s="55"/>
      <c r="F458" s="55" t="b">
        <v>0</v>
      </c>
      <c r="G458" s="55"/>
      <c r="H458" s="53"/>
      <c r="I458" s="53"/>
      <c r="J458" s="55"/>
      <c r="K458" s="55"/>
      <c r="L458" s="55" t="str">
        <f>'Volunteer Survey'!B868</f>
        <v/>
      </c>
      <c r="M458" s="55" t="str">
        <f>IFERROR(__xludf.DUMMYFUNCTION("QUERY('Volunteer Survey'!E852)"),"")</f>
        <v/>
      </c>
      <c r="N458" s="55" t="str">
        <f>'Volunteer Survey'!F868</f>
        <v/>
      </c>
      <c r="O458" s="48" t="str">
        <f>'Volunteer Survey'!H869</f>
        <v/>
      </c>
      <c r="P458" s="55" t="str">
        <f>IFERROR(__xludf.DUMMYFUNCTION("QUERY('Volunteer Survey'!I852)"),"")</f>
        <v/>
      </c>
      <c r="Q458" s="60" t="str">
        <f>IFERROR(__xludf.DUMMYFUNCTION("QUERY('Volunteer Survey'!J852)"),"")</f>
        <v/>
      </c>
      <c r="R458" s="55"/>
      <c r="S458" s="55" t="str">
        <f>IFERROR(__xludf.DUMMYFUNCTION("QUERY('Volunteer Survey'!L852)"),"")</f>
        <v/>
      </c>
      <c r="T458" s="55" t="str">
        <f>'Volunteer Survey'!M868</f>
        <v/>
      </c>
      <c r="U458" s="64"/>
      <c r="V458" s="55" t="str">
        <f>'Volunteer Survey'!O868</f>
        <v/>
      </c>
      <c r="W458" s="66" t="str">
        <f>IFERROR(__xludf.DUMMYFUNCTION("QUERY('Volunteer Survey'!P852)"),"")</f>
        <v/>
      </c>
      <c r="X458" s="64" t="str">
        <f>IFERROR(__xludf.DUMMYFUNCTION("QUERY('Volunteer Survey'!R852)"),"")</f>
        <v/>
      </c>
      <c r="Y458" s="53"/>
      <c r="Z458" s="55"/>
      <c r="AA458" s="55"/>
      <c r="AB458" s="55"/>
      <c r="AC458" s="55"/>
      <c r="AD458" s="55"/>
      <c r="AE458" s="55"/>
      <c r="AF458" s="55"/>
      <c r="AG458" s="55"/>
      <c r="AH458" s="55"/>
      <c r="AI458" s="55"/>
      <c r="AJ458" s="55"/>
      <c r="AK458" s="55"/>
      <c r="AL458" s="55"/>
      <c r="AM458" s="55"/>
      <c r="AN458" s="55"/>
      <c r="AO458" s="55"/>
    </row>
    <row r="459">
      <c r="A459" s="55" t="str">
        <f>'Volunteer Survey'!A869</f>
        <v/>
      </c>
      <c r="B459" s="48" t="s">
        <v>322</v>
      </c>
      <c r="C459" s="53"/>
      <c r="D459" s="55"/>
      <c r="E459" s="55"/>
      <c r="F459" s="55" t="b">
        <v>0</v>
      </c>
      <c r="G459" s="55"/>
      <c r="H459" s="53"/>
      <c r="I459" s="53"/>
      <c r="J459" s="55"/>
      <c r="K459" s="55"/>
      <c r="L459" s="55" t="str">
        <f>'Volunteer Survey'!B869</f>
        <v/>
      </c>
      <c r="M459" s="55" t="str">
        <f>IFERROR(__xludf.DUMMYFUNCTION("QUERY('Volunteer Survey'!E853)"),"")</f>
        <v/>
      </c>
      <c r="N459" s="55" t="str">
        <f>'Volunteer Survey'!F869</f>
        <v/>
      </c>
      <c r="O459" s="48" t="str">
        <f>'Volunteer Survey'!H870</f>
        <v/>
      </c>
      <c r="P459" s="55" t="str">
        <f>IFERROR(__xludf.DUMMYFUNCTION("QUERY('Volunteer Survey'!I853)"),"")</f>
        <v/>
      </c>
      <c r="Q459" s="60" t="str">
        <f>IFERROR(__xludf.DUMMYFUNCTION("QUERY('Volunteer Survey'!J853)"),"")</f>
        <v/>
      </c>
      <c r="R459" s="55"/>
      <c r="S459" s="55" t="str">
        <f>IFERROR(__xludf.DUMMYFUNCTION("QUERY('Volunteer Survey'!L853)"),"")</f>
        <v/>
      </c>
      <c r="T459" s="55" t="str">
        <f>'Volunteer Survey'!M869</f>
        <v/>
      </c>
      <c r="U459" s="64"/>
      <c r="V459" s="55" t="str">
        <f>'Volunteer Survey'!O869</f>
        <v/>
      </c>
      <c r="W459" s="66" t="str">
        <f>IFERROR(__xludf.DUMMYFUNCTION("QUERY('Volunteer Survey'!P853)"),"")</f>
        <v/>
      </c>
      <c r="X459" s="64" t="str">
        <f>IFERROR(__xludf.DUMMYFUNCTION("QUERY('Volunteer Survey'!R853)"),"")</f>
        <v/>
      </c>
      <c r="Y459" s="53"/>
      <c r="Z459" s="55"/>
      <c r="AA459" s="55"/>
      <c r="AB459" s="55"/>
      <c r="AC459" s="55"/>
      <c r="AD459" s="55"/>
      <c r="AE459" s="55"/>
      <c r="AF459" s="55"/>
      <c r="AG459" s="55"/>
      <c r="AH459" s="55"/>
      <c r="AI459" s="55"/>
      <c r="AJ459" s="55"/>
      <c r="AK459" s="55"/>
      <c r="AL459" s="55"/>
      <c r="AM459" s="55"/>
      <c r="AN459" s="55"/>
      <c r="AO459" s="55"/>
    </row>
    <row r="460">
      <c r="A460" s="55" t="str">
        <f>'Volunteer Survey'!A870</f>
        <v/>
      </c>
      <c r="B460" s="48" t="s">
        <v>322</v>
      </c>
      <c r="C460" s="53"/>
      <c r="D460" s="55"/>
      <c r="E460" s="55"/>
      <c r="F460" s="55" t="b">
        <v>0</v>
      </c>
      <c r="G460" s="55"/>
      <c r="H460" s="53"/>
      <c r="I460" s="53"/>
      <c r="J460" s="55"/>
      <c r="K460" s="55"/>
      <c r="L460" s="55" t="str">
        <f>'Volunteer Survey'!B870</f>
        <v/>
      </c>
      <c r="M460" s="55" t="str">
        <f>IFERROR(__xludf.DUMMYFUNCTION("QUERY('Volunteer Survey'!E854)"),"")</f>
        <v/>
      </c>
      <c r="N460" s="55" t="str">
        <f>'Volunteer Survey'!F870</f>
        <v/>
      </c>
      <c r="O460" s="48" t="str">
        <f>'Volunteer Survey'!H871</f>
        <v/>
      </c>
      <c r="P460" s="55" t="str">
        <f>IFERROR(__xludf.DUMMYFUNCTION("QUERY('Volunteer Survey'!I854)"),"")</f>
        <v/>
      </c>
      <c r="Q460" s="60" t="str">
        <f>IFERROR(__xludf.DUMMYFUNCTION("QUERY('Volunteer Survey'!J854)"),"")</f>
        <v/>
      </c>
      <c r="R460" s="55"/>
      <c r="S460" s="55" t="str">
        <f>IFERROR(__xludf.DUMMYFUNCTION("QUERY('Volunteer Survey'!L854)"),"")</f>
        <v/>
      </c>
      <c r="T460" s="55" t="str">
        <f>'Volunteer Survey'!M870</f>
        <v/>
      </c>
      <c r="U460" s="64"/>
      <c r="V460" s="55" t="str">
        <f>'Volunteer Survey'!O870</f>
        <v/>
      </c>
      <c r="W460" s="66" t="str">
        <f>IFERROR(__xludf.DUMMYFUNCTION("QUERY('Volunteer Survey'!P854)"),"")</f>
        <v/>
      </c>
      <c r="X460" s="64" t="str">
        <f>IFERROR(__xludf.DUMMYFUNCTION("QUERY('Volunteer Survey'!R854)"),"")</f>
        <v/>
      </c>
      <c r="Y460" s="53"/>
      <c r="Z460" s="55"/>
      <c r="AA460" s="55"/>
      <c r="AB460" s="55"/>
      <c r="AC460" s="55"/>
      <c r="AD460" s="55"/>
      <c r="AE460" s="55"/>
      <c r="AF460" s="55"/>
      <c r="AG460" s="55"/>
      <c r="AH460" s="55"/>
      <c r="AI460" s="55"/>
      <c r="AJ460" s="55"/>
      <c r="AK460" s="55"/>
      <c r="AL460" s="55"/>
      <c r="AM460" s="55"/>
      <c r="AN460" s="55"/>
      <c r="AO460" s="55"/>
    </row>
    <row r="461">
      <c r="A461" s="55" t="str">
        <f>'Volunteer Survey'!A871</f>
        <v/>
      </c>
      <c r="B461" s="48" t="s">
        <v>322</v>
      </c>
      <c r="C461" s="53"/>
      <c r="D461" s="55"/>
      <c r="E461" s="55"/>
      <c r="F461" s="55" t="b">
        <v>0</v>
      </c>
      <c r="G461" s="55"/>
      <c r="H461" s="53"/>
      <c r="I461" s="53"/>
      <c r="J461" s="55"/>
      <c r="K461" s="55"/>
      <c r="L461" s="55" t="str">
        <f>'Volunteer Survey'!B871</f>
        <v/>
      </c>
      <c r="M461" s="55" t="str">
        <f>IFERROR(__xludf.DUMMYFUNCTION("QUERY('Volunteer Survey'!E855)"),"")</f>
        <v/>
      </c>
      <c r="N461" s="55" t="str">
        <f>'Volunteer Survey'!F872</f>
        <v/>
      </c>
      <c r="O461" s="48" t="str">
        <f>'Volunteer Survey'!H872</f>
        <v/>
      </c>
      <c r="P461" s="55"/>
      <c r="Q461" s="60" t="str">
        <f>IFERROR(__xludf.DUMMYFUNCTION("QUERY('Volunteer Survey'!J855)"),"")</f>
        <v/>
      </c>
      <c r="R461" s="55"/>
      <c r="S461" s="55" t="str">
        <f>IFERROR(__xludf.DUMMYFUNCTION("QUERY('Volunteer Survey'!L855)"),"")</f>
        <v/>
      </c>
      <c r="T461" s="55" t="str">
        <f>'Volunteer Survey'!M871</f>
        <v/>
      </c>
      <c r="U461" s="64"/>
      <c r="V461" s="55" t="str">
        <f>'Volunteer Survey'!O871</f>
        <v/>
      </c>
      <c r="W461" s="66" t="str">
        <f>IFERROR(__xludf.DUMMYFUNCTION("QUERY('Volunteer Survey'!P855)"),"")</f>
        <v/>
      </c>
      <c r="X461" s="64" t="str">
        <f>IFERROR(__xludf.DUMMYFUNCTION("QUERY('Volunteer Survey'!R855)"),"")</f>
        <v/>
      </c>
      <c r="Y461" s="53"/>
      <c r="Z461" s="55"/>
      <c r="AA461" s="55"/>
      <c r="AB461" s="55"/>
      <c r="AC461" s="55"/>
      <c r="AD461" s="55"/>
      <c r="AE461" s="55"/>
      <c r="AF461" s="55"/>
      <c r="AG461" s="55"/>
      <c r="AH461" s="55"/>
      <c r="AI461" s="55"/>
      <c r="AJ461" s="55"/>
      <c r="AK461" s="55"/>
      <c r="AL461" s="55"/>
      <c r="AM461" s="55"/>
      <c r="AN461" s="55"/>
      <c r="AO461" s="55"/>
    </row>
    <row r="462">
      <c r="A462" s="55" t="str">
        <f>'Volunteer Survey'!A872</f>
        <v/>
      </c>
      <c r="B462" s="48" t="s">
        <v>322</v>
      </c>
      <c r="C462" s="53"/>
      <c r="D462" s="55"/>
      <c r="E462" s="55"/>
      <c r="F462" s="55" t="b">
        <v>0</v>
      </c>
      <c r="G462" s="55"/>
      <c r="H462" s="53"/>
      <c r="I462" s="53"/>
      <c r="J462" s="55"/>
      <c r="K462" s="55"/>
      <c r="L462" s="55" t="str">
        <f>'Volunteer Survey'!B872</f>
        <v/>
      </c>
      <c r="M462" s="55" t="str">
        <f>IFERROR(__xludf.DUMMYFUNCTION("QUERY('Volunteer Survey'!E856)"),"")</f>
        <v/>
      </c>
      <c r="N462" s="55" t="str">
        <f>'Volunteer Survey'!F873</f>
        <v/>
      </c>
      <c r="O462" s="48" t="str">
        <f>'Volunteer Survey'!H873</f>
        <v/>
      </c>
      <c r="P462" s="55"/>
      <c r="Q462" s="60" t="str">
        <f>IFERROR(__xludf.DUMMYFUNCTION("QUERY('Volunteer Survey'!J856)"),"")</f>
        <v/>
      </c>
      <c r="R462" s="55"/>
      <c r="S462" s="55" t="str">
        <f>IFERROR(__xludf.DUMMYFUNCTION("QUERY('Volunteer Survey'!L856)"),"")</f>
        <v/>
      </c>
      <c r="T462" s="55" t="str">
        <f>'Volunteer Survey'!M872</f>
        <v/>
      </c>
      <c r="U462" s="64"/>
      <c r="V462" s="55" t="str">
        <f>'Volunteer Survey'!O872</f>
        <v/>
      </c>
      <c r="W462" s="66" t="str">
        <f>IFERROR(__xludf.DUMMYFUNCTION("QUERY('Volunteer Survey'!P856)"),"")</f>
        <v/>
      </c>
      <c r="X462" s="64" t="str">
        <f>IFERROR(__xludf.DUMMYFUNCTION("QUERY('Volunteer Survey'!R856)"),"")</f>
        <v/>
      </c>
      <c r="Y462" s="53"/>
      <c r="Z462" s="55"/>
      <c r="AA462" s="55"/>
      <c r="AB462" s="55"/>
      <c r="AC462" s="55"/>
      <c r="AD462" s="55"/>
      <c r="AE462" s="55"/>
      <c r="AF462" s="55"/>
      <c r="AG462" s="55"/>
      <c r="AH462" s="55"/>
      <c r="AI462" s="55"/>
      <c r="AJ462" s="55"/>
      <c r="AK462" s="55"/>
      <c r="AL462" s="55"/>
      <c r="AM462" s="55"/>
      <c r="AN462" s="55"/>
      <c r="AO462" s="55"/>
    </row>
    <row r="463">
      <c r="A463" s="55" t="str">
        <f>'Volunteer Survey'!A873</f>
        <v/>
      </c>
      <c r="B463" s="48" t="s">
        <v>322</v>
      </c>
      <c r="C463" s="53"/>
      <c r="D463" s="55"/>
      <c r="E463" s="55"/>
      <c r="F463" s="55" t="b">
        <v>0</v>
      </c>
      <c r="G463" s="55"/>
      <c r="H463" s="53"/>
      <c r="I463" s="53"/>
      <c r="J463" s="55"/>
      <c r="K463" s="55"/>
      <c r="L463" s="55" t="str">
        <f>'Volunteer Survey'!B873</f>
        <v/>
      </c>
      <c r="M463" s="55" t="str">
        <f>IFERROR(__xludf.DUMMYFUNCTION("QUERY('Volunteer Survey'!E857)"),"")</f>
        <v/>
      </c>
      <c r="N463" s="55" t="str">
        <f>'Volunteer Survey'!F874</f>
        <v/>
      </c>
      <c r="O463" s="48" t="str">
        <f>'Volunteer Survey'!H874</f>
        <v/>
      </c>
      <c r="P463" s="55"/>
      <c r="Q463" s="60" t="str">
        <f>IFERROR(__xludf.DUMMYFUNCTION("QUERY('Volunteer Survey'!J857)"),"")</f>
        <v/>
      </c>
      <c r="R463" s="55"/>
      <c r="S463" s="55" t="str">
        <f>IFERROR(__xludf.DUMMYFUNCTION("QUERY('Volunteer Survey'!L857)"),"")</f>
        <v/>
      </c>
      <c r="T463" s="55" t="str">
        <f>'Volunteer Survey'!M873</f>
        <v/>
      </c>
      <c r="U463" s="64"/>
      <c r="V463" s="55" t="str">
        <f>'Volunteer Survey'!O873</f>
        <v/>
      </c>
      <c r="W463" s="66" t="str">
        <f>IFERROR(__xludf.DUMMYFUNCTION("QUERY('Volunteer Survey'!P857)"),"")</f>
        <v/>
      </c>
      <c r="X463" s="64" t="str">
        <f>IFERROR(__xludf.DUMMYFUNCTION("QUERY('Volunteer Survey'!R857)"),"")</f>
        <v/>
      </c>
      <c r="Y463" s="53"/>
      <c r="Z463" s="55"/>
      <c r="AA463" s="55"/>
      <c r="AB463" s="55"/>
      <c r="AC463" s="55"/>
      <c r="AD463" s="55"/>
      <c r="AE463" s="55"/>
      <c r="AF463" s="55"/>
      <c r="AG463" s="55"/>
      <c r="AH463" s="55"/>
      <c r="AI463" s="55"/>
      <c r="AJ463" s="55"/>
      <c r="AK463" s="55"/>
      <c r="AL463" s="55"/>
      <c r="AM463" s="55"/>
      <c r="AN463" s="55"/>
      <c r="AO463" s="55"/>
    </row>
    <row r="464">
      <c r="A464" s="55" t="str">
        <f>'Volunteer Survey'!A874</f>
        <v/>
      </c>
      <c r="B464" s="48" t="s">
        <v>322</v>
      </c>
      <c r="C464" s="53"/>
      <c r="D464" s="55"/>
      <c r="E464" s="55"/>
      <c r="F464" s="55" t="b">
        <v>0</v>
      </c>
      <c r="G464" s="55"/>
      <c r="H464" s="53"/>
      <c r="I464" s="53"/>
      <c r="J464" s="55"/>
      <c r="K464" s="55"/>
      <c r="L464" s="55" t="str">
        <f>'Volunteer Survey'!B874</f>
        <v/>
      </c>
      <c r="M464" s="55" t="str">
        <f>IFERROR(__xludf.DUMMYFUNCTION("QUERY('Volunteer Survey'!E858)"),"")</f>
        <v/>
      </c>
      <c r="N464" s="55" t="str">
        <f>'Volunteer Survey'!F875</f>
        <v/>
      </c>
      <c r="O464" s="48" t="str">
        <f>'Volunteer Survey'!H875</f>
        <v/>
      </c>
      <c r="P464" s="55"/>
      <c r="Q464" s="60" t="str">
        <f>IFERROR(__xludf.DUMMYFUNCTION("QUERY('Volunteer Survey'!J858)"),"")</f>
        <v/>
      </c>
      <c r="R464" s="55"/>
      <c r="S464" s="55" t="str">
        <f>'Volunteer Survey'!L869</f>
        <v/>
      </c>
      <c r="T464" s="55" t="str">
        <f>'Volunteer Survey'!M874</f>
        <v/>
      </c>
      <c r="U464" s="64"/>
      <c r="V464" s="55" t="str">
        <f>'Volunteer Survey'!O874</f>
        <v/>
      </c>
      <c r="W464" s="66" t="str">
        <f>IFERROR(__xludf.DUMMYFUNCTION("QUERY('Volunteer Survey'!P858)"),"")</f>
        <v/>
      </c>
      <c r="X464" s="64" t="str">
        <f>IFERROR(__xludf.DUMMYFUNCTION("QUERY('Volunteer Survey'!R858)"),"")</f>
        <v/>
      </c>
      <c r="Y464" s="53"/>
      <c r="Z464" s="55"/>
      <c r="AA464" s="55"/>
      <c r="AB464" s="55"/>
      <c r="AC464" s="55"/>
      <c r="AD464" s="55"/>
      <c r="AE464" s="55"/>
      <c r="AF464" s="55"/>
      <c r="AG464" s="55"/>
      <c r="AH464" s="55"/>
      <c r="AI464" s="55"/>
      <c r="AJ464" s="55"/>
      <c r="AK464" s="55"/>
      <c r="AL464" s="55"/>
      <c r="AM464" s="55"/>
      <c r="AN464" s="55"/>
      <c r="AO464" s="55"/>
    </row>
    <row r="465">
      <c r="A465" s="55" t="str">
        <f>'Volunteer Survey'!A875</f>
        <v/>
      </c>
      <c r="B465" s="48" t="s">
        <v>322</v>
      </c>
      <c r="C465" s="53"/>
      <c r="D465" s="55"/>
      <c r="E465" s="55"/>
      <c r="F465" s="55" t="b">
        <v>0</v>
      </c>
      <c r="G465" s="55"/>
      <c r="H465" s="53"/>
      <c r="I465" s="53"/>
      <c r="J465" s="55"/>
      <c r="K465" s="55"/>
      <c r="L465" s="55" t="str">
        <f>'Volunteer Survey'!B875</f>
        <v/>
      </c>
      <c r="M465" s="55" t="str">
        <f>IFERROR(__xludf.DUMMYFUNCTION("QUERY('Volunteer Survey'!E859)"),"")</f>
        <v/>
      </c>
      <c r="N465" s="55" t="str">
        <f>'Volunteer Survey'!F876</f>
        <v/>
      </c>
      <c r="O465" s="48" t="str">
        <f>'Volunteer Survey'!H876</f>
        <v/>
      </c>
      <c r="P465" s="55"/>
      <c r="Q465" s="60" t="str">
        <f>IFERROR(__xludf.DUMMYFUNCTION("QUERY('Volunteer Survey'!J859)"),"")</f>
        <v/>
      </c>
      <c r="R465" s="55"/>
      <c r="S465" s="55" t="str">
        <f>'Volunteer Survey'!L870</f>
        <v/>
      </c>
      <c r="T465" s="55" t="str">
        <f>'Volunteer Survey'!M875</f>
        <v/>
      </c>
      <c r="U465" s="64"/>
      <c r="V465" s="55" t="str">
        <f>'Volunteer Survey'!O875</f>
        <v/>
      </c>
      <c r="W465" s="66" t="str">
        <f>IFERROR(__xludf.DUMMYFUNCTION("QUERY('Volunteer Survey'!P859)"),"")</f>
        <v/>
      </c>
      <c r="X465" s="64" t="str">
        <f>IFERROR(__xludf.DUMMYFUNCTION("QUERY('Volunteer Survey'!R859)"),"")</f>
        <v/>
      </c>
      <c r="Y465" s="53"/>
      <c r="Z465" s="55"/>
      <c r="AA465" s="55"/>
      <c r="AB465" s="55"/>
      <c r="AC465" s="55"/>
      <c r="AD465" s="55"/>
      <c r="AE465" s="55"/>
      <c r="AF465" s="55"/>
      <c r="AG465" s="55"/>
      <c r="AH465" s="55"/>
      <c r="AI465" s="55"/>
      <c r="AJ465" s="55"/>
      <c r="AK465" s="55"/>
      <c r="AL465" s="55"/>
      <c r="AM465" s="55"/>
      <c r="AN465" s="55"/>
      <c r="AO465" s="55"/>
    </row>
    <row r="466">
      <c r="A466" s="55" t="str">
        <f>'Volunteer Survey'!A876</f>
        <v/>
      </c>
      <c r="B466" s="48" t="s">
        <v>322</v>
      </c>
      <c r="C466" s="53"/>
      <c r="D466" s="55"/>
      <c r="E466" s="55"/>
      <c r="F466" s="55" t="b">
        <v>0</v>
      </c>
      <c r="G466" s="55"/>
      <c r="H466" s="53"/>
      <c r="I466" s="53"/>
      <c r="J466" s="55"/>
      <c r="K466" s="55"/>
      <c r="L466" s="55" t="str">
        <f>'Volunteer Survey'!B876</f>
        <v/>
      </c>
      <c r="M466" s="55" t="str">
        <f>IFERROR(__xludf.DUMMYFUNCTION("QUERY('Volunteer Survey'!E860)"),"")</f>
        <v/>
      </c>
      <c r="N466" s="55" t="str">
        <f>'Volunteer Survey'!F877</f>
        <v/>
      </c>
      <c r="O466" s="48" t="str">
        <f>'Volunteer Survey'!H877</f>
        <v/>
      </c>
      <c r="P466" s="55"/>
      <c r="Q466" s="60" t="str">
        <f>IFERROR(__xludf.DUMMYFUNCTION("QUERY('Volunteer Survey'!J860)"),"")</f>
        <v/>
      </c>
      <c r="R466" s="55"/>
      <c r="S466" s="55" t="str">
        <f>'Volunteer Survey'!L871</f>
        <v/>
      </c>
      <c r="T466" s="55" t="str">
        <f>'Volunteer Survey'!M876</f>
        <v/>
      </c>
      <c r="U466" s="64"/>
      <c r="V466" s="55" t="str">
        <f>'Volunteer Survey'!O876</f>
        <v/>
      </c>
      <c r="W466" s="66" t="str">
        <f>'Volunteer Survey'!P876</f>
        <v/>
      </c>
      <c r="X466" s="64" t="str">
        <f>IFERROR(__xludf.DUMMYFUNCTION("QUERY('Volunteer Survey'!R860)"),"")</f>
        <v/>
      </c>
      <c r="Y466" s="53"/>
      <c r="Z466" s="55"/>
      <c r="AA466" s="55"/>
      <c r="AB466" s="55"/>
      <c r="AC466" s="55"/>
      <c r="AD466" s="55"/>
      <c r="AE466" s="55"/>
      <c r="AF466" s="55"/>
      <c r="AG466" s="55"/>
      <c r="AH466" s="55"/>
      <c r="AI466" s="55"/>
      <c r="AJ466" s="55"/>
      <c r="AK466" s="55"/>
      <c r="AL466" s="55"/>
      <c r="AM466" s="55"/>
      <c r="AN466" s="55"/>
      <c r="AO466" s="55"/>
    </row>
    <row r="467">
      <c r="A467" s="55" t="str">
        <f>'Volunteer Survey'!A877</f>
        <v/>
      </c>
      <c r="B467" s="48" t="s">
        <v>322</v>
      </c>
      <c r="C467" s="53"/>
      <c r="D467" s="55"/>
      <c r="E467" s="55"/>
      <c r="F467" s="55" t="b">
        <v>0</v>
      </c>
      <c r="G467" s="55"/>
      <c r="H467" s="53"/>
      <c r="I467" s="53"/>
      <c r="J467" s="55"/>
      <c r="K467" s="55"/>
      <c r="L467" s="55" t="str">
        <f>'Volunteer Survey'!B877</f>
        <v/>
      </c>
      <c r="M467" s="55" t="str">
        <f>IFERROR(__xludf.DUMMYFUNCTION("QUERY('Volunteer Survey'!E861)"),"")</f>
        <v/>
      </c>
      <c r="N467" s="55" t="str">
        <f>'Volunteer Survey'!F878</f>
        <v/>
      </c>
      <c r="O467" s="48" t="str">
        <f>'Volunteer Survey'!H878</f>
        <v/>
      </c>
      <c r="P467" s="55"/>
      <c r="Q467" s="60" t="str">
        <f>IFERROR(__xludf.DUMMYFUNCTION("QUERY('Volunteer Survey'!J861)"),"")</f>
        <v/>
      </c>
      <c r="R467" s="55"/>
      <c r="S467" s="55" t="str">
        <f>'Volunteer Survey'!L872</f>
        <v/>
      </c>
      <c r="T467" s="55" t="str">
        <f>'Volunteer Survey'!M877</f>
        <v/>
      </c>
      <c r="U467" s="64"/>
      <c r="V467" s="55" t="str">
        <f>'Volunteer Survey'!O877</f>
        <v/>
      </c>
      <c r="W467" s="66" t="str">
        <f>'Volunteer Survey'!P877</f>
        <v/>
      </c>
      <c r="X467" s="64" t="str">
        <f>IFERROR(__xludf.DUMMYFUNCTION("QUERY('Volunteer Survey'!R861)"),"")</f>
        <v/>
      </c>
      <c r="Y467" s="53"/>
      <c r="Z467" s="55"/>
      <c r="AA467" s="55"/>
      <c r="AB467" s="55"/>
      <c r="AC467" s="55"/>
      <c r="AD467" s="55"/>
      <c r="AE467" s="55"/>
      <c r="AF467" s="55"/>
      <c r="AG467" s="55"/>
      <c r="AH467" s="55"/>
      <c r="AI467" s="55"/>
      <c r="AJ467" s="55"/>
      <c r="AK467" s="55"/>
      <c r="AL467" s="55"/>
      <c r="AM467" s="55"/>
      <c r="AN467" s="55"/>
      <c r="AO467" s="55"/>
    </row>
    <row r="468">
      <c r="A468" s="55" t="str">
        <f>'Volunteer Survey'!A878</f>
        <v/>
      </c>
      <c r="B468" s="48" t="s">
        <v>322</v>
      </c>
      <c r="C468" s="53"/>
      <c r="D468" s="55"/>
      <c r="E468" s="55"/>
      <c r="F468" s="55" t="b">
        <v>0</v>
      </c>
      <c r="G468" s="55"/>
      <c r="H468" s="53"/>
      <c r="I468" s="53"/>
      <c r="J468" s="55"/>
      <c r="K468" s="55"/>
      <c r="L468" s="55" t="str">
        <f>'Volunteer Survey'!B878</f>
        <v/>
      </c>
      <c r="M468" s="55" t="str">
        <f>IFERROR(__xludf.DUMMYFUNCTION("QUERY('Volunteer Survey'!E862)"),"")</f>
        <v/>
      </c>
      <c r="N468" s="55" t="str">
        <f>'Volunteer Survey'!F879</f>
        <v/>
      </c>
      <c r="O468" s="48" t="str">
        <f>'Volunteer Survey'!H879</f>
        <v/>
      </c>
      <c r="P468" s="55"/>
      <c r="Q468" s="60" t="str">
        <f>IFERROR(__xludf.DUMMYFUNCTION("QUERY('Volunteer Survey'!J862)"),"")</f>
        <v/>
      </c>
      <c r="R468" s="55"/>
      <c r="S468" s="55" t="str">
        <f>'Volunteer Survey'!L873</f>
        <v/>
      </c>
      <c r="T468" s="55" t="str">
        <f>'Volunteer Survey'!M878</f>
        <v/>
      </c>
      <c r="U468" s="64"/>
      <c r="V468" s="55" t="str">
        <f>'Volunteer Survey'!O878</f>
        <v/>
      </c>
      <c r="W468" s="66" t="str">
        <f>'Volunteer Survey'!P878</f>
        <v/>
      </c>
      <c r="X468" s="64" t="str">
        <f>IFERROR(__xludf.DUMMYFUNCTION("QUERY('Volunteer Survey'!R862)"),"")</f>
        <v/>
      </c>
      <c r="Y468" s="53"/>
      <c r="Z468" s="55"/>
      <c r="AA468" s="55"/>
      <c r="AB468" s="55"/>
      <c r="AC468" s="55"/>
      <c r="AD468" s="55"/>
      <c r="AE468" s="55"/>
      <c r="AF468" s="55"/>
      <c r="AG468" s="55"/>
      <c r="AH468" s="55"/>
      <c r="AI468" s="55"/>
      <c r="AJ468" s="55"/>
      <c r="AK468" s="55"/>
      <c r="AL468" s="55"/>
      <c r="AM468" s="55"/>
      <c r="AN468" s="55"/>
      <c r="AO468" s="55"/>
    </row>
    <row r="469">
      <c r="A469" s="55" t="str">
        <f>'Volunteer Survey'!A879</f>
        <v/>
      </c>
      <c r="B469" s="48" t="s">
        <v>322</v>
      </c>
      <c r="C469" s="53"/>
      <c r="D469" s="55"/>
      <c r="E469" s="55"/>
      <c r="F469" s="55" t="b">
        <v>0</v>
      </c>
      <c r="G469" s="55"/>
      <c r="H469" s="53"/>
      <c r="I469" s="53"/>
      <c r="J469" s="55"/>
      <c r="K469" s="55"/>
      <c r="L469" s="55" t="str">
        <f>'Volunteer Survey'!B879</f>
        <v/>
      </c>
      <c r="M469" s="55" t="str">
        <f>IFERROR(__xludf.DUMMYFUNCTION("QUERY('Volunteer Survey'!E863)"),"")</f>
        <v/>
      </c>
      <c r="N469" s="55" t="str">
        <f>'Volunteer Survey'!F880</f>
        <v/>
      </c>
      <c r="O469" s="48" t="str">
        <f>'Volunteer Survey'!H880</f>
        <v/>
      </c>
      <c r="P469" s="55"/>
      <c r="Q469" s="60" t="str">
        <f>IFERROR(__xludf.DUMMYFUNCTION("QUERY('Volunteer Survey'!J863)"),"")</f>
        <v/>
      </c>
      <c r="R469" s="55"/>
      <c r="S469" s="55" t="str">
        <f>'Volunteer Survey'!L874</f>
        <v/>
      </c>
      <c r="T469" s="55" t="str">
        <f>'Volunteer Survey'!M879</f>
        <v/>
      </c>
      <c r="U469" s="64"/>
      <c r="V469" s="55" t="str">
        <f>'Volunteer Survey'!O879</f>
        <v/>
      </c>
      <c r="W469" s="66" t="str">
        <f>'Volunteer Survey'!P879</f>
        <v/>
      </c>
      <c r="X469" s="64" t="str">
        <f>IFERROR(__xludf.DUMMYFUNCTION("QUERY('Volunteer Survey'!R863)"),"")</f>
        <v/>
      </c>
      <c r="Y469" s="53"/>
      <c r="Z469" s="55"/>
      <c r="AA469" s="55"/>
      <c r="AB469" s="55"/>
      <c r="AC469" s="55"/>
      <c r="AD469" s="55"/>
      <c r="AE469" s="55"/>
      <c r="AF469" s="55"/>
      <c r="AG469" s="55"/>
      <c r="AH469" s="55"/>
      <c r="AI469" s="55"/>
      <c r="AJ469" s="55"/>
      <c r="AK469" s="55"/>
      <c r="AL469" s="55"/>
      <c r="AM469" s="55"/>
      <c r="AN469" s="55"/>
      <c r="AO469" s="55"/>
    </row>
    <row r="470">
      <c r="A470" s="55" t="str">
        <f>'Volunteer Survey'!A880</f>
        <v/>
      </c>
      <c r="B470" s="48" t="s">
        <v>322</v>
      </c>
      <c r="C470" s="53"/>
      <c r="D470" s="55"/>
      <c r="E470" s="55"/>
      <c r="F470" s="55" t="b">
        <v>0</v>
      </c>
      <c r="G470" s="55"/>
      <c r="H470" s="53"/>
      <c r="I470" s="53"/>
      <c r="J470" s="55"/>
      <c r="K470" s="55"/>
      <c r="L470" s="55" t="str">
        <f>'Volunteer Survey'!B880</f>
        <v/>
      </c>
      <c r="M470" s="55" t="str">
        <f>IFERROR(__xludf.DUMMYFUNCTION("QUERY('Volunteer Survey'!E864)"),"")</f>
        <v/>
      </c>
      <c r="N470" s="55" t="str">
        <f>'Volunteer Survey'!F881</f>
        <v/>
      </c>
      <c r="O470" s="48" t="str">
        <f>'Volunteer Survey'!H881</f>
        <v/>
      </c>
      <c r="P470" s="55"/>
      <c r="Q470" s="60" t="str">
        <f>IFERROR(__xludf.DUMMYFUNCTION("QUERY('Volunteer Survey'!J864)"),"")</f>
        <v/>
      </c>
      <c r="R470" s="55"/>
      <c r="S470" s="55" t="str">
        <f>'Volunteer Survey'!L875</f>
        <v/>
      </c>
      <c r="T470" s="55" t="str">
        <f>'Volunteer Survey'!M880</f>
        <v/>
      </c>
      <c r="U470" s="64"/>
      <c r="V470" s="55" t="str">
        <f>'Volunteer Survey'!O880</f>
        <v/>
      </c>
      <c r="W470" s="66" t="str">
        <f>'Volunteer Survey'!P880</f>
        <v/>
      </c>
      <c r="X470" s="64" t="str">
        <f>IFERROR(__xludf.DUMMYFUNCTION("QUERY('Volunteer Survey'!R864)"),"")</f>
        <v/>
      </c>
      <c r="Y470" s="53"/>
      <c r="Z470" s="55"/>
      <c r="AA470" s="55"/>
      <c r="AB470" s="55"/>
      <c r="AC470" s="55"/>
      <c r="AD470" s="55"/>
      <c r="AE470" s="55"/>
      <c r="AF470" s="55"/>
      <c r="AG470" s="55"/>
      <c r="AH470" s="55"/>
      <c r="AI470" s="55"/>
      <c r="AJ470" s="55"/>
      <c r="AK470" s="55"/>
      <c r="AL470" s="55"/>
      <c r="AM470" s="55"/>
      <c r="AN470" s="55"/>
      <c r="AO470" s="55"/>
    </row>
    <row r="471">
      <c r="A471" s="55" t="str">
        <f>'Volunteer Survey'!A881</f>
        <v/>
      </c>
      <c r="B471" s="48" t="s">
        <v>322</v>
      </c>
      <c r="C471" s="53"/>
      <c r="D471" s="55"/>
      <c r="E471" s="55"/>
      <c r="F471" s="55" t="b">
        <v>0</v>
      </c>
      <c r="G471" s="55"/>
      <c r="H471" s="53"/>
      <c r="I471" s="53"/>
      <c r="J471" s="55"/>
      <c r="K471" s="55"/>
      <c r="L471" s="55" t="str">
        <f>'Volunteer Survey'!B881</f>
        <v/>
      </c>
      <c r="M471" s="55" t="str">
        <f>IFERROR(__xludf.DUMMYFUNCTION("QUERY('Volunteer Survey'!E865)"),"")</f>
        <v/>
      </c>
      <c r="N471" s="55" t="str">
        <f>'Volunteer Survey'!F882</f>
        <v/>
      </c>
      <c r="O471" s="48" t="str">
        <f>'Volunteer Survey'!H882</f>
        <v/>
      </c>
      <c r="P471" s="55"/>
      <c r="Q471" s="60" t="str">
        <f>IFERROR(__xludf.DUMMYFUNCTION("QUERY('Volunteer Survey'!J865)"),"")</f>
        <v/>
      </c>
      <c r="R471" s="55"/>
      <c r="S471" s="55" t="str">
        <f>'Volunteer Survey'!L876</f>
        <v/>
      </c>
      <c r="T471" s="55" t="str">
        <f>'Volunteer Survey'!M881</f>
        <v/>
      </c>
      <c r="U471" s="64"/>
      <c r="V471" s="55" t="str">
        <f>'Volunteer Survey'!O881</f>
        <v/>
      </c>
      <c r="W471" s="66" t="str">
        <f>'Volunteer Survey'!P881</f>
        <v/>
      </c>
      <c r="X471" s="64" t="str">
        <f>IFERROR(__xludf.DUMMYFUNCTION("QUERY('Volunteer Survey'!R865)"),"")</f>
        <v/>
      </c>
      <c r="Y471" s="53"/>
      <c r="Z471" s="55"/>
      <c r="AA471" s="55"/>
      <c r="AB471" s="55"/>
      <c r="AC471" s="55"/>
      <c r="AD471" s="55"/>
      <c r="AE471" s="55"/>
      <c r="AF471" s="55"/>
      <c r="AG471" s="55"/>
      <c r="AH471" s="55"/>
      <c r="AI471" s="55"/>
      <c r="AJ471" s="55"/>
      <c r="AK471" s="55"/>
      <c r="AL471" s="55"/>
      <c r="AM471" s="55"/>
      <c r="AN471" s="55"/>
      <c r="AO471" s="55"/>
    </row>
    <row r="472">
      <c r="A472" s="55" t="str">
        <f>'Volunteer Survey'!A882</f>
        <v/>
      </c>
      <c r="B472" s="48" t="s">
        <v>322</v>
      </c>
      <c r="C472" s="53"/>
      <c r="D472" s="55"/>
      <c r="E472" s="55"/>
      <c r="F472" s="55" t="b">
        <v>0</v>
      </c>
      <c r="G472" s="55"/>
      <c r="H472" s="53"/>
      <c r="I472" s="53"/>
      <c r="J472" s="55"/>
      <c r="K472" s="55"/>
      <c r="L472" s="55" t="str">
        <f>'Volunteer Survey'!B882</f>
        <v/>
      </c>
      <c r="M472" s="55" t="str">
        <f>IFERROR(__xludf.DUMMYFUNCTION("QUERY('Volunteer Survey'!E866)"),"")</f>
        <v/>
      </c>
      <c r="N472" s="55" t="str">
        <f>'Volunteer Survey'!F883</f>
        <v/>
      </c>
      <c r="O472" s="48" t="str">
        <f>'Volunteer Survey'!H883</f>
        <v/>
      </c>
      <c r="P472" s="55"/>
      <c r="Q472" s="60" t="str">
        <f>IFERROR(__xludf.DUMMYFUNCTION("QUERY('Volunteer Survey'!J866)"),"")</f>
        <v/>
      </c>
      <c r="R472" s="55"/>
      <c r="S472" s="55" t="str">
        <f>'Volunteer Survey'!L877</f>
        <v/>
      </c>
      <c r="T472" s="55" t="str">
        <f>'Volunteer Survey'!M882</f>
        <v/>
      </c>
      <c r="U472" s="64"/>
      <c r="V472" s="55" t="str">
        <f>'Volunteer Survey'!O882</f>
        <v/>
      </c>
      <c r="W472" s="66" t="str">
        <f>'Volunteer Survey'!P882</f>
        <v/>
      </c>
      <c r="X472" s="64" t="str">
        <f>IFERROR(__xludf.DUMMYFUNCTION("QUERY('Volunteer Survey'!R866)"),"")</f>
        <v/>
      </c>
      <c r="Y472" s="53"/>
      <c r="Z472" s="55"/>
      <c r="AA472" s="55"/>
      <c r="AB472" s="55"/>
      <c r="AC472" s="55"/>
      <c r="AD472" s="55"/>
      <c r="AE472" s="55"/>
      <c r="AF472" s="55"/>
      <c r="AG472" s="55"/>
      <c r="AH472" s="55"/>
      <c r="AI472" s="55"/>
      <c r="AJ472" s="55"/>
      <c r="AK472" s="55"/>
      <c r="AL472" s="55"/>
      <c r="AM472" s="55"/>
      <c r="AN472" s="55"/>
      <c r="AO472" s="55"/>
    </row>
    <row r="473">
      <c r="A473" s="55" t="str">
        <f>'Volunteer Survey'!A883</f>
        <v/>
      </c>
      <c r="B473" s="48" t="s">
        <v>322</v>
      </c>
      <c r="C473" s="53"/>
      <c r="D473" s="55"/>
      <c r="E473" s="55"/>
      <c r="F473" s="55" t="b">
        <v>0</v>
      </c>
      <c r="G473" s="55"/>
      <c r="H473" s="53"/>
      <c r="I473" s="53"/>
      <c r="J473" s="55"/>
      <c r="K473" s="55"/>
      <c r="L473" s="55" t="str">
        <f>'Volunteer Survey'!B883</f>
        <v/>
      </c>
      <c r="M473" s="55" t="str">
        <f>IFERROR(__xludf.DUMMYFUNCTION("QUERY('Volunteer Survey'!E867)"),"")</f>
        <v/>
      </c>
      <c r="N473" s="55" t="str">
        <f>'Volunteer Survey'!F884</f>
        <v/>
      </c>
      <c r="O473" s="48" t="str">
        <f>'Volunteer Survey'!H884</f>
        <v/>
      </c>
      <c r="P473" s="55"/>
      <c r="Q473" s="60" t="str">
        <f>IFERROR(__xludf.DUMMYFUNCTION("QUERY('Volunteer Survey'!J867)"),"")</f>
        <v/>
      </c>
      <c r="R473" s="55"/>
      <c r="S473" s="55" t="str">
        <f>'Volunteer Survey'!L878</f>
        <v/>
      </c>
      <c r="T473" s="55" t="str">
        <f>'Volunteer Survey'!M883</f>
        <v/>
      </c>
      <c r="U473" s="64"/>
      <c r="V473" s="55" t="str">
        <f>'Volunteer Survey'!O883</f>
        <v/>
      </c>
      <c r="W473" s="66" t="str">
        <f>'Volunteer Survey'!P883</f>
        <v/>
      </c>
      <c r="X473" s="64" t="str">
        <f>IFERROR(__xludf.DUMMYFUNCTION("QUERY('Volunteer Survey'!R867)"),"")</f>
        <v/>
      </c>
      <c r="Y473" s="53"/>
      <c r="Z473" s="55"/>
      <c r="AA473" s="55"/>
      <c r="AB473" s="55"/>
      <c r="AC473" s="55"/>
      <c r="AD473" s="55"/>
      <c r="AE473" s="55"/>
      <c r="AF473" s="55"/>
      <c r="AG473" s="55"/>
      <c r="AH473" s="55"/>
      <c r="AI473" s="55"/>
      <c r="AJ473" s="55"/>
      <c r="AK473" s="55"/>
      <c r="AL473" s="55"/>
      <c r="AM473" s="55"/>
      <c r="AN473" s="55"/>
      <c r="AO473" s="55"/>
    </row>
    <row r="474">
      <c r="A474" s="55" t="str">
        <f>'Volunteer Survey'!A884</f>
        <v/>
      </c>
      <c r="B474" s="48" t="s">
        <v>322</v>
      </c>
      <c r="C474" s="53"/>
      <c r="D474" s="55"/>
      <c r="E474" s="55"/>
      <c r="F474" s="55" t="b">
        <v>0</v>
      </c>
      <c r="G474" s="55"/>
      <c r="H474" s="53"/>
      <c r="I474" s="53"/>
      <c r="J474" s="55"/>
      <c r="K474" s="55"/>
      <c r="L474" s="55" t="str">
        <f>'Volunteer Survey'!B884</f>
        <v/>
      </c>
      <c r="M474" s="55" t="str">
        <f>IFERROR(__xludf.DUMMYFUNCTION("QUERY('Volunteer Survey'!E868)"),"")</f>
        <v/>
      </c>
      <c r="N474" s="55" t="str">
        <f>'Volunteer Survey'!F885</f>
        <v/>
      </c>
      <c r="O474" s="48" t="str">
        <f>'Volunteer Survey'!H885</f>
        <v/>
      </c>
      <c r="P474" s="55"/>
      <c r="Q474" s="60" t="str">
        <f>IFERROR(__xludf.DUMMYFUNCTION("QUERY('Volunteer Survey'!J868)"),"")</f>
        <v/>
      </c>
      <c r="R474" s="55"/>
      <c r="S474" s="55" t="str">
        <f>'Volunteer Survey'!L879</f>
        <v/>
      </c>
      <c r="T474" s="55" t="str">
        <f>'Volunteer Survey'!M884</f>
        <v/>
      </c>
      <c r="U474" s="64"/>
      <c r="V474" s="55" t="str">
        <f>'Volunteer Survey'!O884</f>
        <v/>
      </c>
      <c r="W474" s="66" t="str">
        <f>'Volunteer Survey'!P884</f>
        <v/>
      </c>
      <c r="X474" s="64" t="str">
        <f>IFERROR(__xludf.DUMMYFUNCTION("QUERY('Volunteer Survey'!R868)"),"")</f>
        <v/>
      </c>
      <c r="Y474" s="53"/>
      <c r="Z474" s="55"/>
      <c r="AA474" s="55"/>
      <c r="AB474" s="55"/>
      <c r="AC474" s="55"/>
      <c r="AD474" s="55"/>
      <c r="AE474" s="55"/>
      <c r="AF474" s="55"/>
      <c r="AG474" s="55"/>
      <c r="AH474" s="55"/>
      <c r="AI474" s="55"/>
      <c r="AJ474" s="55"/>
      <c r="AK474" s="55"/>
      <c r="AL474" s="55"/>
      <c r="AM474" s="55"/>
      <c r="AN474" s="55"/>
      <c r="AO474" s="55"/>
    </row>
    <row r="475">
      <c r="A475" s="55" t="str">
        <f>'Volunteer Survey'!A885</f>
        <v/>
      </c>
      <c r="B475" s="48" t="s">
        <v>322</v>
      </c>
      <c r="C475" s="53"/>
      <c r="D475" s="55"/>
      <c r="E475" s="55"/>
      <c r="F475" s="55" t="b">
        <v>0</v>
      </c>
      <c r="G475" s="55"/>
      <c r="H475" s="53"/>
      <c r="I475" s="53"/>
      <c r="J475" s="55"/>
      <c r="K475" s="55"/>
      <c r="L475" s="55" t="str">
        <f>'Volunteer Survey'!B885</f>
        <v/>
      </c>
      <c r="M475" s="55" t="str">
        <f>'Volunteer Survey'!E885</f>
        <v/>
      </c>
      <c r="N475" s="55" t="str">
        <f>'Volunteer Survey'!F886</f>
        <v/>
      </c>
      <c r="O475" s="48" t="str">
        <f>'Volunteer Survey'!H886</f>
        <v/>
      </c>
      <c r="P475" s="55"/>
      <c r="Q475" s="60" t="str">
        <f>IFERROR(__xludf.DUMMYFUNCTION("QUERY('Volunteer Survey'!J869)"),"")</f>
        <v/>
      </c>
      <c r="R475" s="55"/>
      <c r="S475" s="55" t="str">
        <f>'Volunteer Survey'!L880</f>
        <v/>
      </c>
      <c r="T475" s="55" t="str">
        <f>'Volunteer Survey'!M885</f>
        <v/>
      </c>
      <c r="U475" s="64"/>
      <c r="V475" s="55" t="str">
        <f>'Volunteer Survey'!O887</f>
        <v/>
      </c>
      <c r="W475" s="66" t="str">
        <f>'Volunteer Survey'!P885</f>
        <v/>
      </c>
      <c r="X475" s="64" t="str">
        <f>IFERROR(__xludf.DUMMYFUNCTION("QUERY('Volunteer Survey'!R869)"),"")</f>
        <v/>
      </c>
      <c r="Y475" s="53"/>
      <c r="Z475" s="55"/>
      <c r="AA475" s="55"/>
      <c r="AB475" s="55"/>
      <c r="AC475" s="55"/>
      <c r="AD475" s="55"/>
      <c r="AE475" s="55"/>
      <c r="AF475" s="55"/>
      <c r="AG475" s="55"/>
      <c r="AH475" s="55"/>
      <c r="AI475" s="55"/>
      <c r="AJ475" s="55"/>
      <c r="AK475" s="55"/>
      <c r="AL475" s="55"/>
      <c r="AM475" s="55"/>
      <c r="AN475" s="55"/>
      <c r="AO475" s="55"/>
    </row>
    <row r="476">
      <c r="A476" s="55" t="str">
        <f>'Volunteer Survey'!A886</f>
        <v/>
      </c>
      <c r="B476" s="48" t="s">
        <v>322</v>
      </c>
      <c r="C476" s="53"/>
      <c r="D476" s="55"/>
      <c r="E476" s="55"/>
      <c r="F476" s="55" t="b">
        <v>0</v>
      </c>
      <c r="G476" s="55"/>
      <c r="H476" s="53"/>
      <c r="I476" s="53"/>
      <c r="J476" s="55"/>
      <c r="K476" s="55"/>
      <c r="L476" s="55" t="str">
        <f>'Volunteer Survey'!B886</f>
        <v/>
      </c>
      <c r="M476" s="55" t="str">
        <f>'Volunteer Survey'!E886</f>
        <v/>
      </c>
      <c r="N476" s="55" t="str">
        <f>'Volunteer Survey'!F887</f>
        <v/>
      </c>
      <c r="O476" s="48" t="str">
        <f>'Volunteer Survey'!H887</f>
        <v/>
      </c>
      <c r="P476" s="55"/>
      <c r="Q476" s="60" t="str">
        <f>IFERROR(__xludf.DUMMYFUNCTION("QUERY('Volunteer Survey'!J870)"),"")</f>
        <v/>
      </c>
      <c r="R476" s="55"/>
      <c r="S476" s="55" t="str">
        <f>'Volunteer Survey'!L881</f>
        <v/>
      </c>
      <c r="T476" s="55" t="str">
        <f>'Volunteer Survey'!M886</f>
        <v/>
      </c>
      <c r="U476" s="64"/>
      <c r="V476" s="55" t="str">
        <f>'Volunteer Survey'!O888</f>
        <v/>
      </c>
      <c r="W476" s="66" t="str">
        <f>'Volunteer Survey'!P886</f>
        <v/>
      </c>
      <c r="X476" s="64" t="str">
        <f>'Volunteer Survey'!R887</f>
        <v/>
      </c>
      <c r="Y476" s="53"/>
      <c r="Z476" s="55"/>
      <c r="AA476" s="55"/>
      <c r="AB476" s="55"/>
      <c r="AC476" s="55"/>
      <c r="AD476" s="55"/>
      <c r="AE476" s="55"/>
      <c r="AF476" s="55"/>
      <c r="AG476" s="55"/>
      <c r="AH476" s="55"/>
      <c r="AI476" s="55"/>
      <c r="AJ476" s="55"/>
      <c r="AK476" s="55"/>
      <c r="AL476" s="55"/>
      <c r="AM476" s="55"/>
      <c r="AN476" s="55"/>
      <c r="AO476" s="55"/>
    </row>
    <row r="477">
      <c r="A477" s="55" t="str">
        <f>'Volunteer Survey'!A887</f>
        <v/>
      </c>
      <c r="B477" s="48" t="s">
        <v>322</v>
      </c>
      <c r="C477" s="53"/>
      <c r="D477" s="55"/>
      <c r="E477" s="55"/>
      <c r="F477" s="55" t="b">
        <v>0</v>
      </c>
      <c r="G477" s="55"/>
      <c r="H477" s="53"/>
      <c r="I477" s="53"/>
      <c r="J477" s="55"/>
      <c r="K477" s="55"/>
      <c r="L477" s="55" t="str">
        <f>'Volunteer Survey'!B887</f>
        <v/>
      </c>
      <c r="M477" s="55" t="str">
        <f>'Volunteer Survey'!E887</f>
        <v/>
      </c>
      <c r="N477" s="55" t="str">
        <f>'Volunteer Survey'!F888</f>
        <v/>
      </c>
      <c r="O477" s="48" t="str">
        <f>'Volunteer Survey'!H888</f>
        <v/>
      </c>
      <c r="P477" s="55"/>
      <c r="Q477" s="60" t="str">
        <f>IFERROR(__xludf.DUMMYFUNCTION("QUERY('Volunteer Survey'!J871)"),"")</f>
        <v/>
      </c>
      <c r="R477" s="55"/>
      <c r="S477" s="55" t="str">
        <f>'Volunteer Survey'!L882</f>
        <v/>
      </c>
      <c r="T477" s="55" t="str">
        <f>'Volunteer Survey'!M887</f>
        <v/>
      </c>
      <c r="U477" s="64"/>
      <c r="V477" s="55"/>
      <c r="W477" s="66" t="str">
        <f>'Volunteer Survey'!P887</f>
        <v/>
      </c>
      <c r="X477" s="64" t="str">
        <f>'Volunteer Survey'!R888</f>
        <v/>
      </c>
      <c r="Y477" s="53"/>
      <c r="Z477" s="55"/>
      <c r="AA477" s="55"/>
      <c r="AB477" s="55"/>
      <c r="AC477" s="55"/>
      <c r="AD477" s="55"/>
      <c r="AE477" s="55"/>
      <c r="AF477" s="55"/>
      <c r="AG477" s="55"/>
      <c r="AH477" s="55"/>
      <c r="AI477" s="55"/>
      <c r="AJ477" s="55"/>
      <c r="AK477" s="55"/>
      <c r="AL477" s="55"/>
      <c r="AM477" s="55"/>
      <c r="AN477" s="55"/>
      <c r="AO477" s="55"/>
    </row>
    <row r="478">
      <c r="A478" s="55" t="str">
        <f>'Volunteer Survey'!A888</f>
        <v/>
      </c>
      <c r="B478" s="48" t="s">
        <v>322</v>
      </c>
      <c r="C478" s="53"/>
      <c r="D478" s="55"/>
      <c r="E478" s="55"/>
      <c r="F478" s="55" t="b">
        <v>0</v>
      </c>
      <c r="G478" s="55"/>
      <c r="H478" s="53"/>
      <c r="I478" s="53"/>
      <c r="J478" s="55"/>
      <c r="K478" s="55"/>
      <c r="L478" s="55" t="str">
        <f>'Volunteer Survey'!B888</f>
        <v/>
      </c>
      <c r="M478" s="55" t="str">
        <f>'Volunteer Survey'!E888</f>
        <v/>
      </c>
      <c r="N478" s="55" t="str">
        <f>'Volunteer Survey'!F889</f>
        <v/>
      </c>
      <c r="O478" s="48" t="str">
        <f>'Volunteer Survey'!H889</f>
        <v/>
      </c>
      <c r="P478" s="55"/>
      <c r="Q478" s="60" t="str">
        <f>IFERROR(__xludf.DUMMYFUNCTION("QUERY('Volunteer Survey'!J872)"),"")</f>
        <v/>
      </c>
      <c r="R478" s="55"/>
      <c r="S478" s="55" t="str">
        <f>'Volunteer Survey'!L883</f>
        <v/>
      </c>
      <c r="T478" s="55" t="str">
        <f>'Volunteer Survey'!M888</f>
        <v/>
      </c>
      <c r="U478" s="64"/>
      <c r="V478" s="55"/>
      <c r="W478" s="66" t="str">
        <f>'Volunteer Survey'!P888</f>
        <v/>
      </c>
      <c r="X478" s="64" t="str">
        <f>'Volunteer Survey'!R889</f>
        <v/>
      </c>
      <c r="Y478" s="53"/>
      <c r="Z478" s="55"/>
      <c r="AA478" s="55"/>
      <c r="AB478" s="55"/>
      <c r="AC478" s="55"/>
      <c r="AD478" s="55"/>
      <c r="AE478" s="55"/>
      <c r="AF478" s="55"/>
      <c r="AG478" s="55"/>
      <c r="AH478" s="55"/>
      <c r="AI478" s="55"/>
      <c r="AJ478" s="55"/>
      <c r="AK478" s="55"/>
      <c r="AL478" s="55"/>
      <c r="AM478" s="55"/>
      <c r="AN478" s="55"/>
      <c r="AO478" s="55"/>
    </row>
    <row r="479">
      <c r="A479" s="55" t="str">
        <f>'Volunteer Survey'!A889</f>
        <v/>
      </c>
      <c r="B479" s="48" t="s">
        <v>322</v>
      </c>
      <c r="C479" s="53"/>
      <c r="D479" s="55"/>
      <c r="E479" s="55"/>
      <c r="F479" s="55" t="b">
        <v>0</v>
      </c>
      <c r="G479" s="55"/>
      <c r="H479" s="53"/>
      <c r="I479" s="53"/>
      <c r="J479" s="55"/>
      <c r="K479" s="55"/>
      <c r="L479" s="55" t="str">
        <f>'Volunteer Survey'!B889</f>
        <v/>
      </c>
      <c r="M479" s="55" t="str">
        <f>'Volunteer Survey'!E889</f>
        <v/>
      </c>
      <c r="N479" s="55" t="str">
        <f>'Volunteer Survey'!F890</f>
        <v/>
      </c>
      <c r="O479" s="48" t="str">
        <f>'Volunteer Survey'!H890</f>
        <v/>
      </c>
      <c r="P479" s="55"/>
      <c r="Q479" s="60" t="str">
        <f>IFERROR(__xludf.DUMMYFUNCTION("QUERY('Volunteer Survey'!J873)"),"")</f>
        <v/>
      </c>
      <c r="R479" s="55"/>
      <c r="S479" s="55" t="str">
        <f>'Volunteer Survey'!L884</f>
        <v/>
      </c>
      <c r="T479" s="55" t="str">
        <f>'Volunteer Survey'!M889</f>
        <v/>
      </c>
      <c r="U479" s="64"/>
      <c r="V479" s="55"/>
      <c r="W479" s="66" t="str">
        <f>'Volunteer Survey'!P889</f>
        <v/>
      </c>
      <c r="X479" s="64" t="str">
        <f>'Volunteer Survey'!R890</f>
        <v/>
      </c>
      <c r="Y479" s="53"/>
      <c r="Z479" s="55"/>
      <c r="AA479" s="55"/>
      <c r="AB479" s="55"/>
      <c r="AC479" s="55"/>
      <c r="AD479" s="55"/>
      <c r="AE479" s="55"/>
      <c r="AF479" s="55"/>
      <c r="AG479" s="55"/>
      <c r="AH479" s="55"/>
      <c r="AI479" s="55"/>
      <c r="AJ479" s="55"/>
      <c r="AK479" s="55"/>
      <c r="AL479" s="55"/>
      <c r="AM479" s="55"/>
      <c r="AN479" s="55"/>
      <c r="AO479" s="55"/>
    </row>
    <row r="480">
      <c r="A480" s="55" t="str">
        <f>'Volunteer Survey'!A890</f>
        <v/>
      </c>
      <c r="B480" s="48" t="s">
        <v>322</v>
      </c>
      <c r="C480" s="53"/>
      <c r="D480" s="55"/>
      <c r="E480" s="55"/>
      <c r="F480" s="55" t="b">
        <v>0</v>
      </c>
      <c r="G480" s="55"/>
      <c r="H480" s="53"/>
      <c r="I480" s="53"/>
      <c r="J480" s="55"/>
      <c r="K480" s="55"/>
      <c r="L480" s="55" t="str">
        <f>'Volunteer Survey'!B890</f>
        <v/>
      </c>
      <c r="M480" s="55" t="str">
        <f>'Volunteer Survey'!E890</f>
        <v/>
      </c>
      <c r="N480" s="55" t="str">
        <f>'Volunteer Survey'!F891</f>
        <v/>
      </c>
      <c r="O480" s="48" t="str">
        <f>'Volunteer Survey'!H891</f>
        <v/>
      </c>
      <c r="P480" s="55"/>
      <c r="Q480" s="60" t="str">
        <f>IFERROR(__xludf.DUMMYFUNCTION("QUERY('Volunteer Survey'!J874)"),"")</f>
        <v/>
      </c>
      <c r="R480" s="55"/>
      <c r="S480" s="55" t="str">
        <f>'Volunteer Survey'!L885</f>
        <v/>
      </c>
      <c r="T480" s="55" t="str">
        <f>'Volunteer Survey'!M890</f>
        <v/>
      </c>
      <c r="U480" s="64"/>
      <c r="V480" s="55"/>
      <c r="W480" s="66" t="str">
        <f>'Volunteer Survey'!P890</f>
        <v/>
      </c>
      <c r="X480" s="64" t="str">
        <f>'Volunteer Survey'!R891</f>
        <v/>
      </c>
      <c r="Y480" s="53"/>
      <c r="Z480" s="55"/>
      <c r="AA480" s="55"/>
      <c r="AB480" s="55"/>
      <c r="AC480" s="55"/>
      <c r="AD480" s="55"/>
      <c r="AE480" s="55"/>
      <c r="AF480" s="55"/>
      <c r="AG480" s="55"/>
      <c r="AH480" s="55"/>
      <c r="AI480" s="55"/>
      <c r="AJ480" s="55"/>
      <c r="AK480" s="55"/>
      <c r="AL480" s="55"/>
      <c r="AM480" s="55"/>
      <c r="AN480" s="55"/>
      <c r="AO480" s="55"/>
    </row>
    <row r="481">
      <c r="A481" s="55" t="str">
        <f>'Volunteer Survey'!A891</f>
        <v/>
      </c>
      <c r="B481" s="48" t="s">
        <v>322</v>
      </c>
      <c r="C481" s="53"/>
      <c r="D481" s="55"/>
      <c r="E481" s="55"/>
      <c r="F481" s="55" t="b">
        <v>0</v>
      </c>
      <c r="G481" s="55"/>
      <c r="H481" s="53"/>
      <c r="I481" s="53"/>
      <c r="J481" s="55"/>
      <c r="K481" s="55"/>
      <c r="L481" s="55" t="str">
        <f>'Volunteer Survey'!B891</f>
        <v/>
      </c>
      <c r="M481" s="55" t="str">
        <f>'Volunteer Survey'!E891</f>
        <v/>
      </c>
      <c r="N481" s="55" t="str">
        <f>'Volunteer Survey'!F892</f>
        <v/>
      </c>
      <c r="O481" s="48" t="str">
        <f>'Volunteer Survey'!H892</f>
        <v/>
      </c>
      <c r="P481" s="55"/>
      <c r="Q481" s="60" t="str">
        <f>IFERROR(__xludf.DUMMYFUNCTION("QUERY('Volunteer Survey'!J875)"),"")</f>
        <v/>
      </c>
      <c r="R481" s="55"/>
      <c r="S481" s="55" t="str">
        <f>'Volunteer Survey'!L886</f>
        <v/>
      </c>
      <c r="T481" s="55" t="str">
        <f>'Volunteer Survey'!M891</f>
        <v/>
      </c>
      <c r="U481" s="64"/>
      <c r="V481" s="55"/>
      <c r="W481" s="66" t="str">
        <f>'Volunteer Survey'!P891</f>
        <v/>
      </c>
      <c r="X481" s="64" t="str">
        <f>'Volunteer Survey'!R892</f>
        <v/>
      </c>
      <c r="Y481" s="53"/>
      <c r="Z481" s="55"/>
      <c r="AA481" s="55"/>
      <c r="AB481" s="55"/>
      <c r="AC481" s="55"/>
      <c r="AD481" s="55"/>
      <c r="AE481" s="55"/>
      <c r="AF481" s="55"/>
      <c r="AG481" s="55"/>
      <c r="AH481" s="55"/>
      <c r="AI481" s="55"/>
      <c r="AJ481" s="55"/>
      <c r="AK481" s="55"/>
      <c r="AL481" s="55"/>
      <c r="AM481" s="55"/>
      <c r="AN481" s="55"/>
      <c r="AO481" s="55"/>
    </row>
    <row r="482">
      <c r="A482" s="55" t="str">
        <f>'Volunteer Survey'!A892</f>
        <v/>
      </c>
      <c r="B482" s="48" t="s">
        <v>322</v>
      </c>
      <c r="C482" s="53"/>
      <c r="D482" s="55"/>
      <c r="E482" s="55"/>
      <c r="F482" s="55" t="b">
        <v>0</v>
      </c>
      <c r="G482" s="55"/>
      <c r="H482" s="53"/>
      <c r="I482" s="53"/>
      <c r="J482" s="55"/>
      <c r="K482" s="55"/>
      <c r="L482" s="55" t="str">
        <f>'Volunteer Survey'!B892</f>
        <v/>
      </c>
      <c r="M482" s="55" t="str">
        <f>'Volunteer Survey'!E892</f>
        <v/>
      </c>
      <c r="N482" s="55" t="str">
        <f>'Volunteer Survey'!F893</f>
        <v/>
      </c>
      <c r="O482" s="48" t="str">
        <f>'Volunteer Survey'!H893</f>
        <v/>
      </c>
      <c r="P482" s="55"/>
      <c r="Q482" s="60" t="str">
        <f>IFERROR(__xludf.DUMMYFUNCTION("QUERY('Volunteer Survey'!J876)"),"")</f>
        <v/>
      </c>
      <c r="R482" s="55"/>
      <c r="S482" s="55" t="str">
        <f>'Volunteer Survey'!L887</f>
        <v/>
      </c>
      <c r="T482" s="55" t="str">
        <f>'Volunteer Survey'!M892</f>
        <v/>
      </c>
      <c r="U482" s="64"/>
      <c r="V482" s="55"/>
      <c r="W482" s="66" t="str">
        <f>'Volunteer Survey'!P892</f>
        <v/>
      </c>
      <c r="X482" s="64" t="str">
        <f>'Volunteer Survey'!R893</f>
        <v/>
      </c>
      <c r="Y482" s="53"/>
      <c r="Z482" s="55"/>
      <c r="AA482" s="55"/>
      <c r="AB482" s="55"/>
      <c r="AC482" s="55"/>
      <c r="AD482" s="55"/>
      <c r="AE482" s="55"/>
      <c r="AF482" s="55"/>
      <c r="AG482" s="55"/>
      <c r="AH482" s="55"/>
      <c r="AI482" s="55"/>
      <c r="AJ482" s="55"/>
      <c r="AK482" s="55"/>
      <c r="AL482" s="55"/>
      <c r="AM482" s="55"/>
      <c r="AN482" s="55"/>
      <c r="AO482" s="55"/>
    </row>
    <row r="483">
      <c r="A483" s="55" t="str">
        <f>'Volunteer Survey'!A893</f>
        <v/>
      </c>
      <c r="B483" s="48" t="s">
        <v>322</v>
      </c>
      <c r="C483" s="53"/>
      <c r="D483" s="55"/>
      <c r="E483" s="55"/>
      <c r="F483" s="55" t="b">
        <v>0</v>
      </c>
      <c r="G483" s="55"/>
      <c r="H483" s="53"/>
      <c r="I483" s="53"/>
      <c r="J483" s="55"/>
      <c r="K483" s="55"/>
      <c r="L483" s="55" t="str">
        <f>'Volunteer Survey'!B893</f>
        <v/>
      </c>
      <c r="M483" s="55" t="str">
        <f>'Volunteer Survey'!E893</f>
        <v/>
      </c>
      <c r="N483" s="55" t="str">
        <f>'Volunteer Survey'!F894</f>
        <v/>
      </c>
      <c r="O483" s="48" t="str">
        <f>'Volunteer Survey'!H894</f>
        <v/>
      </c>
      <c r="P483" s="55"/>
      <c r="Q483" s="60" t="str">
        <f>IFERROR(__xludf.DUMMYFUNCTION("QUERY('Volunteer Survey'!J877)"),"")</f>
        <v/>
      </c>
      <c r="R483" s="55"/>
      <c r="S483" s="55" t="str">
        <f>'Volunteer Survey'!L888</f>
        <v/>
      </c>
      <c r="T483" s="55" t="str">
        <f>'Volunteer Survey'!M893</f>
        <v/>
      </c>
      <c r="U483" s="64"/>
      <c r="V483" s="55"/>
      <c r="W483" s="66" t="str">
        <f>'Volunteer Survey'!P893</f>
        <v/>
      </c>
      <c r="X483" s="64" t="str">
        <f>'Volunteer Survey'!R894</f>
        <v/>
      </c>
      <c r="Y483" s="53"/>
      <c r="Z483" s="55"/>
      <c r="AA483" s="55"/>
      <c r="AB483" s="55"/>
      <c r="AC483" s="55"/>
      <c r="AD483" s="55"/>
      <c r="AE483" s="55"/>
      <c r="AF483" s="55"/>
      <c r="AG483" s="55"/>
      <c r="AH483" s="55"/>
      <c r="AI483" s="55"/>
      <c r="AJ483" s="55"/>
      <c r="AK483" s="55"/>
      <c r="AL483" s="55"/>
      <c r="AM483" s="55"/>
      <c r="AN483" s="55"/>
      <c r="AO483" s="55"/>
    </row>
    <row r="484">
      <c r="A484" s="55" t="str">
        <f>'Volunteer Survey'!A894</f>
        <v/>
      </c>
      <c r="B484" s="48" t="s">
        <v>322</v>
      </c>
      <c r="C484" s="53"/>
      <c r="D484" s="55"/>
      <c r="E484" s="55"/>
      <c r="F484" s="55" t="b">
        <v>0</v>
      </c>
      <c r="G484" s="55"/>
      <c r="H484" s="53"/>
      <c r="I484" s="53"/>
      <c r="J484" s="55"/>
      <c r="K484" s="55"/>
      <c r="L484" s="55" t="str">
        <f>'Volunteer Survey'!B894</f>
        <v/>
      </c>
      <c r="M484" s="55" t="str">
        <f>'Volunteer Survey'!E894</f>
        <v/>
      </c>
      <c r="N484" s="55" t="str">
        <f>'Volunteer Survey'!F895</f>
        <v/>
      </c>
      <c r="O484" s="48" t="str">
        <f>'Volunteer Survey'!H895</f>
        <v/>
      </c>
      <c r="P484" s="55"/>
      <c r="Q484" s="60" t="str">
        <f>IFERROR(__xludf.DUMMYFUNCTION("QUERY('Volunteer Survey'!J878)"),"")</f>
        <v/>
      </c>
      <c r="R484" s="55"/>
      <c r="S484" s="55" t="str">
        <f>'Volunteer Survey'!L889</f>
        <v/>
      </c>
      <c r="T484" s="55" t="str">
        <f>'Volunteer Survey'!M894</f>
        <v/>
      </c>
      <c r="U484" s="64"/>
      <c r="V484" s="55"/>
      <c r="W484" s="66" t="str">
        <f>'Volunteer Survey'!P894</f>
        <v/>
      </c>
      <c r="X484" s="64" t="str">
        <f>'Volunteer Survey'!R895</f>
        <v/>
      </c>
      <c r="Y484" s="53"/>
      <c r="Z484" s="55"/>
      <c r="AA484" s="55"/>
      <c r="AB484" s="55"/>
      <c r="AC484" s="55"/>
      <c r="AD484" s="55"/>
      <c r="AE484" s="55"/>
      <c r="AF484" s="55"/>
      <c r="AG484" s="55"/>
      <c r="AH484" s="55"/>
      <c r="AI484" s="55"/>
      <c r="AJ484" s="55"/>
      <c r="AK484" s="55"/>
      <c r="AL484" s="55"/>
      <c r="AM484" s="55"/>
      <c r="AN484" s="55"/>
      <c r="AO484" s="55"/>
    </row>
    <row r="485">
      <c r="A485" s="55" t="str">
        <f>'Volunteer Survey'!A895</f>
        <v/>
      </c>
      <c r="B485" s="48" t="s">
        <v>322</v>
      </c>
      <c r="C485" s="53"/>
      <c r="D485" s="55"/>
      <c r="E485" s="55"/>
      <c r="F485" s="55" t="b">
        <v>0</v>
      </c>
      <c r="G485" s="55"/>
      <c r="H485" s="53"/>
      <c r="I485" s="53"/>
      <c r="J485" s="55"/>
      <c r="K485" s="55"/>
      <c r="L485" s="55" t="str">
        <f>'Volunteer Survey'!B895</f>
        <v/>
      </c>
      <c r="M485" s="55" t="str">
        <f>'Volunteer Survey'!E895</f>
        <v/>
      </c>
      <c r="N485" s="55" t="str">
        <f>'Volunteer Survey'!F896</f>
        <v/>
      </c>
      <c r="O485" s="48" t="str">
        <f>'Volunteer Survey'!H896</f>
        <v/>
      </c>
      <c r="P485" s="55"/>
      <c r="Q485" s="60" t="str">
        <f>IFERROR(__xludf.DUMMYFUNCTION("QUERY('Volunteer Survey'!J879)"),"")</f>
        <v/>
      </c>
      <c r="R485" s="55"/>
      <c r="S485" s="55" t="str">
        <f>'Volunteer Survey'!L890</f>
        <v/>
      </c>
      <c r="T485" s="55" t="str">
        <f>'Volunteer Survey'!M895</f>
        <v/>
      </c>
      <c r="U485" s="64"/>
      <c r="V485" s="55"/>
      <c r="W485" s="66" t="str">
        <f>'Volunteer Survey'!P895</f>
        <v/>
      </c>
      <c r="X485" s="64" t="str">
        <f>'Volunteer Survey'!R896</f>
        <v/>
      </c>
      <c r="Y485" s="53"/>
      <c r="Z485" s="55"/>
      <c r="AA485" s="55"/>
      <c r="AB485" s="55"/>
      <c r="AC485" s="55"/>
      <c r="AD485" s="55"/>
      <c r="AE485" s="55"/>
      <c r="AF485" s="55"/>
      <c r="AG485" s="55"/>
      <c r="AH485" s="55"/>
      <c r="AI485" s="55"/>
      <c r="AJ485" s="55"/>
      <c r="AK485" s="55"/>
      <c r="AL485" s="55"/>
      <c r="AM485" s="55"/>
      <c r="AN485" s="55"/>
      <c r="AO485" s="55"/>
    </row>
    <row r="486">
      <c r="A486" s="55" t="str">
        <f>'Volunteer Survey'!A896</f>
        <v/>
      </c>
      <c r="B486" s="48" t="s">
        <v>322</v>
      </c>
      <c r="C486" s="53"/>
      <c r="D486" s="55"/>
      <c r="E486" s="55"/>
      <c r="F486" s="55" t="b">
        <v>0</v>
      </c>
      <c r="G486" s="55"/>
      <c r="H486" s="53"/>
      <c r="I486" s="53"/>
      <c r="J486" s="55"/>
      <c r="K486" s="55"/>
      <c r="L486" s="55" t="str">
        <f>'Volunteer Survey'!B896</f>
        <v/>
      </c>
      <c r="M486" s="55" t="str">
        <f>'Volunteer Survey'!E896</f>
        <v/>
      </c>
      <c r="N486" s="55" t="str">
        <f>'Volunteer Survey'!F897</f>
        <v/>
      </c>
      <c r="O486" s="48" t="str">
        <f>'Volunteer Survey'!H897</f>
        <v/>
      </c>
      <c r="P486" s="55"/>
      <c r="Q486" s="60" t="str">
        <f>IFERROR(__xludf.DUMMYFUNCTION("QUERY('Volunteer Survey'!J880)"),"")</f>
        <v/>
      </c>
      <c r="R486" s="55"/>
      <c r="S486" s="55" t="str">
        <f>'Volunteer Survey'!L891</f>
        <v/>
      </c>
      <c r="T486" s="55" t="str">
        <f>'Volunteer Survey'!M896</f>
        <v/>
      </c>
      <c r="U486" s="64"/>
      <c r="V486" s="55"/>
      <c r="W486" s="66" t="str">
        <f>'Volunteer Survey'!P896</f>
        <v/>
      </c>
      <c r="X486" s="64" t="str">
        <f>'Volunteer Survey'!R897</f>
        <v/>
      </c>
      <c r="Y486" s="53"/>
      <c r="Z486" s="55"/>
      <c r="AA486" s="55"/>
      <c r="AB486" s="55"/>
      <c r="AC486" s="55"/>
      <c r="AD486" s="55"/>
      <c r="AE486" s="55"/>
      <c r="AF486" s="55"/>
      <c r="AG486" s="55"/>
      <c r="AH486" s="55"/>
      <c r="AI486" s="55"/>
      <c r="AJ486" s="55"/>
      <c r="AK486" s="55"/>
      <c r="AL486" s="55"/>
      <c r="AM486" s="55"/>
      <c r="AN486" s="55"/>
      <c r="AO486" s="55"/>
    </row>
    <row r="487">
      <c r="A487" s="55" t="str">
        <f>'Volunteer Survey'!A897</f>
        <v/>
      </c>
      <c r="B487" s="48" t="s">
        <v>322</v>
      </c>
      <c r="C487" s="53"/>
      <c r="D487" s="55"/>
      <c r="E487" s="55"/>
      <c r="F487" s="55" t="b">
        <v>0</v>
      </c>
      <c r="G487" s="55"/>
      <c r="H487" s="53"/>
      <c r="I487" s="53"/>
      <c r="J487" s="55"/>
      <c r="K487" s="55"/>
      <c r="L487" s="55" t="str">
        <f>'Volunteer Survey'!B897</f>
        <v/>
      </c>
      <c r="M487" s="55" t="str">
        <f>'Volunteer Survey'!E897</f>
        <v/>
      </c>
      <c r="N487" s="55" t="str">
        <f>'Volunteer Survey'!F898</f>
        <v/>
      </c>
      <c r="O487" s="48" t="str">
        <f>'Volunteer Survey'!H898</f>
        <v/>
      </c>
      <c r="P487" s="55"/>
      <c r="Q487" s="60" t="str">
        <f>IFERROR(__xludf.DUMMYFUNCTION("QUERY('Volunteer Survey'!J881)"),"")</f>
        <v/>
      </c>
      <c r="R487" s="55"/>
      <c r="S487" s="55" t="str">
        <f>'Volunteer Survey'!L892</f>
        <v/>
      </c>
      <c r="T487" s="55" t="str">
        <f>'Volunteer Survey'!M897</f>
        <v/>
      </c>
      <c r="U487" s="64"/>
      <c r="V487" s="55"/>
      <c r="W487" s="66" t="str">
        <f>'Volunteer Survey'!P897</f>
        <v/>
      </c>
      <c r="X487" s="64" t="str">
        <f>'Volunteer Survey'!R898</f>
        <v/>
      </c>
      <c r="Y487" s="53"/>
      <c r="Z487" s="55"/>
      <c r="AA487" s="55"/>
      <c r="AB487" s="55"/>
      <c r="AC487" s="55"/>
      <c r="AD487" s="55"/>
      <c r="AE487" s="55"/>
      <c r="AF487" s="55"/>
      <c r="AG487" s="55"/>
      <c r="AH487" s="55"/>
      <c r="AI487" s="55"/>
      <c r="AJ487" s="55"/>
      <c r="AK487" s="55"/>
      <c r="AL487" s="55"/>
      <c r="AM487" s="55"/>
      <c r="AN487" s="55"/>
      <c r="AO487" s="55"/>
    </row>
    <row r="488">
      <c r="A488" s="55" t="str">
        <f>'Volunteer Survey'!A898</f>
        <v/>
      </c>
      <c r="B488" s="48" t="s">
        <v>322</v>
      </c>
      <c r="C488" s="53"/>
      <c r="D488" s="55"/>
      <c r="E488" s="55"/>
      <c r="F488" s="55" t="b">
        <v>0</v>
      </c>
      <c r="G488" s="55"/>
      <c r="H488" s="53"/>
      <c r="I488" s="53"/>
      <c r="J488" s="55"/>
      <c r="K488" s="55"/>
      <c r="L488" s="55" t="str">
        <f>'Volunteer Survey'!B898</f>
        <v/>
      </c>
      <c r="M488" s="55" t="str">
        <f>'Volunteer Survey'!E898</f>
        <v/>
      </c>
      <c r="N488" s="55" t="str">
        <f>'Volunteer Survey'!F899</f>
        <v/>
      </c>
      <c r="O488" s="48" t="str">
        <f>'Volunteer Survey'!H899</f>
        <v/>
      </c>
      <c r="P488" s="55"/>
      <c r="Q488" s="60" t="str">
        <f>IFERROR(__xludf.DUMMYFUNCTION("QUERY('Volunteer Survey'!J882)"),"")</f>
        <v/>
      </c>
      <c r="R488" s="55"/>
      <c r="S488" s="55" t="str">
        <f>'Volunteer Survey'!L893</f>
        <v/>
      </c>
      <c r="T488" s="55" t="str">
        <f>'Volunteer Survey'!M898</f>
        <v/>
      </c>
      <c r="U488" s="64"/>
      <c r="V488" s="55"/>
      <c r="W488" s="66" t="str">
        <f>'Volunteer Survey'!P898</f>
        <v/>
      </c>
      <c r="X488" s="64" t="str">
        <f>'Volunteer Survey'!R899</f>
        <v/>
      </c>
      <c r="Y488" s="53"/>
      <c r="Z488" s="55"/>
      <c r="AA488" s="55"/>
      <c r="AB488" s="55"/>
      <c r="AC488" s="55"/>
      <c r="AD488" s="55"/>
      <c r="AE488" s="55"/>
      <c r="AF488" s="55"/>
      <c r="AG488" s="55"/>
      <c r="AH488" s="55"/>
      <c r="AI488" s="55"/>
      <c r="AJ488" s="55"/>
      <c r="AK488" s="55"/>
      <c r="AL488" s="55"/>
      <c r="AM488" s="55"/>
      <c r="AN488" s="55"/>
      <c r="AO488" s="55"/>
    </row>
    <row r="489">
      <c r="A489" s="55" t="str">
        <f>'Volunteer Survey'!A899</f>
        <v/>
      </c>
      <c r="B489" s="48" t="s">
        <v>322</v>
      </c>
      <c r="C489" s="53"/>
      <c r="D489" s="55"/>
      <c r="E489" s="55"/>
      <c r="F489" s="55" t="b">
        <v>0</v>
      </c>
      <c r="G489" s="55"/>
      <c r="H489" s="53"/>
      <c r="I489" s="53"/>
      <c r="J489" s="55"/>
      <c r="K489" s="55"/>
      <c r="L489" s="55" t="str">
        <f>'Volunteer Survey'!B899</f>
        <v/>
      </c>
      <c r="M489" s="55" t="str">
        <f>'Volunteer Survey'!E899</f>
        <v/>
      </c>
      <c r="N489" s="55" t="str">
        <f>'Volunteer Survey'!F900</f>
        <v/>
      </c>
      <c r="O489" s="48" t="str">
        <f>'Volunteer Survey'!H900</f>
        <v/>
      </c>
      <c r="P489" s="55"/>
      <c r="Q489" s="60" t="str">
        <f>IFERROR(__xludf.DUMMYFUNCTION("QUERY('Volunteer Survey'!J883)"),"")</f>
        <v/>
      </c>
      <c r="R489" s="55"/>
      <c r="S489" s="55" t="str">
        <f>'Volunteer Survey'!L894</f>
        <v/>
      </c>
      <c r="T489" s="55" t="str">
        <f>'Volunteer Survey'!M899</f>
        <v/>
      </c>
      <c r="U489" s="64"/>
      <c r="V489" s="55"/>
      <c r="W489" s="66" t="str">
        <f>'Volunteer Survey'!P899</f>
        <v/>
      </c>
      <c r="X489" s="64" t="str">
        <f>'Volunteer Survey'!R900</f>
        <v/>
      </c>
      <c r="Y489" s="53"/>
      <c r="Z489" s="55"/>
      <c r="AA489" s="55"/>
      <c r="AB489" s="55"/>
      <c r="AC489" s="55"/>
      <c r="AD489" s="55"/>
      <c r="AE489" s="55"/>
      <c r="AF489" s="55"/>
      <c r="AG489" s="55"/>
      <c r="AH489" s="55"/>
      <c r="AI489" s="55"/>
      <c r="AJ489" s="55"/>
      <c r="AK489" s="55"/>
      <c r="AL489" s="55"/>
      <c r="AM489" s="55"/>
      <c r="AN489" s="55"/>
      <c r="AO489" s="55"/>
    </row>
    <row r="490">
      <c r="A490" s="55" t="str">
        <f>'Volunteer Survey'!A900</f>
        <v/>
      </c>
      <c r="B490" s="48" t="s">
        <v>322</v>
      </c>
      <c r="C490" s="53"/>
      <c r="D490" s="55"/>
      <c r="E490" s="55"/>
      <c r="F490" s="55" t="b">
        <v>0</v>
      </c>
      <c r="G490" s="55"/>
      <c r="H490" s="53"/>
      <c r="I490" s="53"/>
      <c r="J490" s="55"/>
      <c r="K490" s="55"/>
      <c r="L490" s="55" t="str">
        <f>'Volunteer Survey'!B900</f>
        <v/>
      </c>
      <c r="M490" s="55" t="str">
        <f>'Volunteer Survey'!E900</f>
        <v/>
      </c>
      <c r="N490" s="55" t="str">
        <f>'Volunteer Survey'!F901</f>
        <v/>
      </c>
      <c r="O490" s="48" t="str">
        <f>'Volunteer Survey'!H901</f>
        <v/>
      </c>
      <c r="P490" s="55"/>
      <c r="Q490" s="60" t="str">
        <f>IFERROR(__xludf.DUMMYFUNCTION("QUERY('Volunteer Survey'!J884)"),"")</f>
        <v/>
      </c>
      <c r="R490" s="55"/>
      <c r="S490" s="55" t="str">
        <f>'Volunteer Survey'!L895</f>
        <v/>
      </c>
      <c r="T490" s="55" t="str">
        <f>'Volunteer Survey'!M900</f>
        <v/>
      </c>
      <c r="U490" s="64"/>
      <c r="V490" s="55"/>
      <c r="W490" s="66" t="str">
        <f>'Volunteer Survey'!P900</f>
        <v/>
      </c>
      <c r="X490" s="64" t="str">
        <f>'Volunteer Survey'!R901</f>
        <v/>
      </c>
      <c r="Y490" s="53"/>
      <c r="Z490" s="55"/>
      <c r="AA490" s="55"/>
      <c r="AB490" s="55"/>
      <c r="AC490" s="55"/>
      <c r="AD490" s="55"/>
      <c r="AE490" s="55"/>
      <c r="AF490" s="55"/>
      <c r="AG490" s="55"/>
      <c r="AH490" s="55"/>
      <c r="AI490" s="55"/>
      <c r="AJ490" s="55"/>
      <c r="AK490" s="55"/>
      <c r="AL490" s="55"/>
      <c r="AM490" s="55"/>
      <c r="AN490" s="55"/>
      <c r="AO490" s="55"/>
    </row>
    <row r="491">
      <c r="A491" s="55" t="str">
        <f>'Volunteer Survey'!A901</f>
        <v/>
      </c>
      <c r="B491" s="48" t="s">
        <v>322</v>
      </c>
      <c r="C491" s="53"/>
      <c r="D491" s="55"/>
      <c r="E491" s="55"/>
      <c r="F491" s="55" t="b">
        <v>0</v>
      </c>
      <c r="G491" s="55"/>
      <c r="H491" s="53"/>
      <c r="I491" s="53"/>
      <c r="J491" s="55"/>
      <c r="K491" s="55"/>
      <c r="L491" s="55" t="str">
        <f>'Volunteer Survey'!B901</f>
        <v/>
      </c>
      <c r="M491" s="55" t="str">
        <f>'Volunteer Survey'!E901</f>
        <v/>
      </c>
      <c r="N491" s="55" t="str">
        <f>'Volunteer Survey'!F902</f>
        <v/>
      </c>
      <c r="O491" s="48" t="str">
        <f>'Volunteer Survey'!H902</f>
        <v/>
      </c>
      <c r="P491" s="55"/>
      <c r="Q491" s="60" t="str">
        <f>IFERROR(__xludf.DUMMYFUNCTION("QUERY('Volunteer Survey'!J885)"),"")</f>
        <v/>
      </c>
      <c r="R491" s="55"/>
      <c r="S491" s="55" t="str">
        <f>'Volunteer Survey'!L896</f>
        <v/>
      </c>
      <c r="T491" s="55" t="str">
        <f>'Volunteer Survey'!M901</f>
        <v/>
      </c>
      <c r="U491" s="64"/>
      <c r="V491" s="55"/>
      <c r="W491" s="66" t="str">
        <f>'Volunteer Survey'!P901</f>
        <v/>
      </c>
      <c r="X491" s="64" t="str">
        <f>'Volunteer Survey'!R902</f>
        <v/>
      </c>
      <c r="Y491" s="53"/>
      <c r="Z491" s="55"/>
      <c r="AA491" s="55"/>
      <c r="AB491" s="55"/>
      <c r="AC491" s="55"/>
      <c r="AD491" s="55"/>
      <c r="AE491" s="55"/>
      <c r="AF491" s="55"/>
      <c r="AG491" s="55"/>
      <c r="AH491" s="55"/>
      <c r="AI491" s="55"/>
      <c r="AJ491" s="55"/>
      <c r="AK491" s="55"/>
      <c r="AL491" s="55"/>
      <c r="AM491" s="55"/>
      <c r="AN491" s="55"/>
      <c r="AO491" s="55"/>
    </row>
    <row r="492">
      <c r="A492" s="55" t="str">
        <f>'Volunteer Survey'!A902</f>
        <v/>
      </c>
      <c r="B492" s="48" t="s">
        <v>322</v>
      </c>
      <c r="C492" s="53"/>
      <c r="D492" s="55"/>
      <c r="E492" s="55"/>
      <c r="F492" s="55" t="b">
        <v>0</v>
      </c>
      <c r="G492" s="55"/>
      <c r="H492" s="53"/>
      <c r="I492" s="53"/>
      <c r="J492" s="55"/>
      <c r="K492" s="55"/>
      <c r="L492" s="55" t="str">
        <f>'Volunteer Survey'!B902</f>
        <v/>
      </c>
      <c r="M492" s="55" t="str">
        <f>'Volunteer Survey'!E902</f>
        <v/>
      </c>
      <c r="N492" s="55" t="str">
        <f>'Volunteer Survey'!F903</f>
        <v/>
      </c>
      <c r="O492" s="48" t="str">
        <f>'Volunteer Survey'!H903</f>
        <v/>
      </c>
      <c r="P492" s="55"/>
      <c r="Q492" s="60" t="str">
        <f>IFERROR(__xludf.DUMMYFUNCTION("QUERY('Volunteer Survey'!J886)"),"")</f>
        <v/>
      </c>
      <c r="R492" s="55"/>
      <c r="S492" s="55" t="str">
        <f>'Volunteer Survey'!L897</f>
        <v/>
      </c>
      <c r="T492" s="55" t="str">
        <f>'Volunteer Survey'!M902</f>
        <v/>
      </c>
      <c r="U492" s="64"/>
      <c r="V492" s="55"/>
      <c r="W492" s="66" t="str">
        <f>'Volunteer Survey'!P902</f>
        <v/>
      </c>
      <c r="X492" s="64" t="str">
        <f>'Volunteer Survey'!R903</f>
        <v/>
      </c>
      <c r="Y492" s="53"/>
      <c r="Z492" s="55"/>
      <c r="AA492" s="55"/>
      <c r="AB492" s="55"/>
      <c r="AC492" s="55"/>
      <c r="AD492" s="55"/>
      <c r="AE492" s="55"/>
      <c r="AF492" s="55"/>
      <c r="AG492" s="55"/>
      <c r="AH492" s="55"/>
      <c r="AI492" s="55"/>
      <c r="AJ492" s="55"/>
      <c r="AK492" s="55"/>
      <c r="AL492" s="55"/>
      <c r="AM492" s="55"/>
      <c r="AN492" s="55"/>
      <c r="AO492" s="55"/>
    </row>
    <row r="493">
      <c r="A493" s="55" t="str">
        <f>'Volunteer Survey'!A903</f>
        <v/>
      </c>
      <c r="B493" s="48" t="s">
        <v>322</v>
      </c>
      <c r="C493" s="53"/>
      <c r="D493" s="55"/>
      <c r="E493" s="55"/>
      <c r="F493" s="55" t="b">
        <v>0</v>
      </c>
      <c r="G493" s="55"/>
      <c r="H493" s="53"/>
      <c r="I493" s="53"/>
      <c r="J493" s="55"/>
      <c r="K493" s="55"/>
      <c r="L493" s="55" t="str">
        <f>'Volunteer Survey'!B903</f>
        <v/>
      </c>
      <c r="M493" s="55" t="str">
        <f>'Volunteer Survey'!E903</f>
        <v/>
      </c>
      <c r="N493" s="55" t="str">
        <f>'Volunteer Survey'!F904</f>
        <v/>
      </c>
      <c r="O493" s="48" t="str">
        <f>'Volunteer Survey'!H904</f>
        <v/>
      </c>
      <c r="P493" s="55"/>
      <c r="Q493" s="60" t="str">
        <f>IFERROR(__xludf.DUMMYFUNCTION("QUERY('Volunteer Survey'!J887)"),"")</f>
        <v/>
      </c>
      <c r="R493" s="55"/>
      <c r="S493" s="55" t="str">
        <f>'Volunteer Survey'!L898</f>
        <v/>
      </c>
      <c r="T493" s="55" t="str">
        <f>'Volunteer Survey'!M903</f>
        <v/>
      </c>
      <c r="U493" s="64"/>
      <c r="V493" s="55"/>
      <c r="W493" s="66" t="str">
        <f>'Volunteer Survey'!P903</f>
        <v/>
      </c>
      <c r="X493" s="64" t="str">
        <f>'Volunteer Survey'!R904</f>
        <v/>
      </c>
      <c r="Y493" s="53"/>
      <c r="Z493" s="55"/>
      <c r="AA493" s="55"/>
      <c r="AB493" s="55"/>
      <c r="AC493" s="55"/>
      <c r="AD493" s="55"/>
      <c r="AE493" s="55"/>
      <c r="AF493" s="55"/>
      <c r="AG493" s="55"/>
      <c r="AH493" s="55"/>
      <c r="AI493" s="55"/>
      <c r="AJ493" s="55"/>
      <c r="AK493" s="55"/>
      <c r="AL493" s="55"/>
      <c r="AM493" s="55"/>
      <c r="AN493" s="55"/>
      <c r="AO493" s="55"/>
    </row>
    <row r="494">
      <c r="A494" s="55" t="str">
        <f>'Volunteer Survey'!A904</f>
        <v/>
      </c>
      <c r="B494" s="48" t="s">
        <v>322</v>
      </c>
      <c r="C494" s="53"/>
      <c r="D494" s="55"/>
      <c r="E494" s="55"/>
      <c r="F494" s="55" t="b">
        <v>0</v>
      </c>
      <c r="G494" s="55"/>
      <c r="H494" s="53"/>
      <c r="I494" s="53"/>
      <c r="J494" s="55"/>
      <c r="K494" s="55"/>
      <c r="L494" s="55" t="str">
        <f>'Volunteer Survey'!B904</f>
        <v/>
      </c>
      <c r="M494" s="55" t="str">
        <f>'Volunteer Survey'!E904</f>
        <v/>
      </c>
      <c r="N494" s="55" t="str">
        <f>'Volunteer Survey'!F905</f>
        <v/>
      </c>
      <c r="O494" s="48" t="str">
        <f>'Volunteer Survey'!H905</f>
        <v/>
      </c>
      <c r="P494" s="55"/>
      <c r="Q494" s="60" t="str">
        <f>IFERROR(__xludf.DUMMYFUNCTION("QUERY('Volunteer Survey'!J888)"),"")</f>
        <v/>
      </c>
      <c r="R494" s="55"/>
      <c r="S494" s="55" t="str">
        <f>'Volunteer Survey'!L899</f>
        <v/>
      </c>
      <c r="T494" s="55" t="str">
        <f>'Volunteer Survey'!M904</f>
        <v/>
      </c>
      <c r="U494" s="64"/>
      <c r="V494" s="55"/>
      <c r="W494" s="66" t="str">
        <f>'Volunteer Survey'!P904</f>
        <v/>
      </c>
      <c r="X494" s="64" t="str">
        <f>'Volunteer Survey'!R905</f>
        <v/>
      </c>
      <c r="Y494" s="53"/>
      <c r="Z494" s="55"/>
      <c r="AA494" s="55"/>
      <c r="AB494" s="55"/>
      <c r="AC494" s="55"/>
      <c r="AD494" s="55"/>
      <c r="AE494" s="55"/>
      <c r="AF494" s="55"/>
      <c r="AG494" s="55"/>
      <c r="AH494" s="55"/>
      <c r="AI494" s="55"/>
      <c r="AJ494" s="55"/>
      <c r="AK494" s="55"/>
      <c r="AL494" s="55"/>
      <c r="AM494" s="55"/>
      <c r="AN494" s="55"/>
      <c r="AO494" s="55"/>
    </row>
    <row r="495">
      <c r="A495" s="55" t="str">
        <f>'Volunteer Survey'!A905</f>
        <v/>
      </c>
      <c r="B495" s="48" t="s">
        <v>322</v>
      </c>
      <c r="C495" s="53"/>
      <c r="D495" s="55"/>
      <c r="E495" s="55"/>
      <c r="F495" s="55" t="b">
        <v>0</v>
      </c>
      <c r="G495" s="55"/>
      <c r="H495" s="53"/>
      <c r="I495" s="53"/>
      <c r="J495" s="55"/>
      <c r="K495" s="55"/>
      <c r="L495" s="55" t="str">
        <f>'Volunteer Survey'!B905</f>
        <v/>
      </c>
      <c r="M495" s="55" t="str">
        <f>'Volunteer Survey'!E905</f>
        <v/>
      </c>
      <c r="N495" s="55" t="str">
        <f>'Volunteer Survey'!F906</f>
        <v/>
      </c>
      <c r="O495" s="48" t="str">
        <f>'Volunteer Survey'!H906</f>
        <v/>
      </c>
      <c r="P495" s="55"/>
      <c r="Q495" s="60" t="str">
        <f>IFERROR(__xludf.DUMMYFUNCTION("QUERY('Volunteer Survey'!J889)"),"")</f>
        <v/>
      </c>
      <c r="R495" s="55"/>
      <c r="S495" s="55" t="str">
        <f>'Volunteer Survey'!L900</f>
        <v/>
      </c>
      <c r="T495" s="55" t="str">
        <f>'Volunteer Survey'!M905</f>
        <v/>
      </c>
      <c r="U495" s="64"/>
      <c r="V495" s="55"/>
      <c r="W495" s="66" t="str">
        <f>'Volunteer Survey'!P905</f>
        <v/>
      </c>
      <c r="X495" s="64" t="str">
        <f>'Volunteer Survey'!R906</f>
        <v/>
      </c>
      <c r="Y495" s="53"/>
      <c r="Z495" s="55"/>
      <c r="AA495" s="55"/>
      <c r="AB495" s="55"/>
      <c r="AC495" s="55"/>
      <c r="AD495" s="55"/>
      <c r="AE495" s="55"/>
      <c r="AF495" s="55"/>
      <c r="AG495" s="55"/>
      <c r="AH495" s="55"/>
      <c r="AI495" s="55"/>
      <c r="AJ495" s="55"/>
      <c r="AK495" s="55"/>
      <c r="AL495" s="55"/>
      <c r="AM495" s="55"/>
      <c r="AN495" s="55"/>
      <c r="AO495" s="55"/>
    </row>
    <row r="496">
      <c r="A496" s="55" t="str">
        <f>'Volunteer Survey'!A906</f>
        <v/>
      </c>
      <c r="B496" s="48" t="s">
        <v>322</v>
      </c>
      <c r="C496" s="53"/>
      <c r="D496" s="55"/>
      <c r="E496" s="55"/>
      <c r="F496" s="55" t="b">
        <v>0</v>
      </c>
      <c r="G496" s="55"/>
      <c r="H496" s="53"/>
      <c r="I496" s="53"/>
      <c r="J496" s="55"/>
      <c r="K496" s="55"/>
      <c r="L496" s="55" t="str">
        <f>'Volunteer Survey'!B906</f>
        <v/>
      </c>
      <c r="M496" s="55" t="str">
        <f>'Volunteer Survey'!E906</f>
        <v/>
      </c>
      <c r="N496" s="55" t="str">
        <f>'Volunteer Survey'!F907</f>
        <v/>
      </c>
      <c r="O496" s="48" t="str">
        <f>'Volunteer Survey'!H907</f>
        <v/>
      </c>
      <c r="P496" s="55"/>
      <c r="Q496" s="60" t="str">
        <f>IFERROR(__xludf.DUMMYFUNCTION("QUERY('Volunteer Survey'!J890)"),"")</f>
        <v/>
      </c>
      <c r="R496" s="55"/>
      <c r="S496" s="55" t="str">
        <f>'Volunteer Survey'!L901</f>
        <v/>
      </c>
      <c r="T496" s="55" t="str">
        <f>'Volunteer Survey'!M906</f>
        <v/>
      </c>
      <c r="U496" s="64"/>
      <c r="V496" s="55"/>
      <c r="W496" s="66" t="str">
        <f>'Volunteer Survey'!P906</f>
        <v/>
      </c>
      <c r="X496" s="64" t="str">
        <f>'Volunteer Survey'!R907</f>
        <v/>
      </c>
      <c r="Y496" s="53"/>
      <c r="Z496" s="55"/>
      <c r="AA496" s="55"/>
      <c r="AB496" s="55"/>
      <c r="AC496" s="55"/>
      <c r="AD496" s="55"/>
      <c r="AE496" s="55"/>
      <c r="AF496" s="55"/>
      <c r="AG496" s="55"/>
      <c r="AH496" s="55"/>
      <c r="AI496" s="55"/>
      <c r="AJ496" s="55"/>
      <c r="AK496" s="55"/>
      <c r="AL496" s="55"/>
      <c r="AM496" s="55"/>
      <c r="AN496" s="55"/>
      <c r="AO496" s="55"/>
    </row>
    <row r="497">
      <c r="A497" s="55" t="str">
        <f>'Volunteer Survey'!A907</f>
        <v/>
      </c>
      <c r="B497" s="48" t="s">
        <v>322</v>
      </c>
      <c r="C497" s="53"/>
      <c r="D497" s="55"/>
      <c r="E497" s="55"/>
      <c r="F497" s="55" t="b">
        <v>0</v>
      </c>
      <c r="G497" s="55"/>
      <c r="H497" s="53"/>
      <c r="I497" s="53"/>
      <c r="J497" s="55"/>
      <c r="K497" s="55"/>
      <c r="L497" s="55" t="str">
        <f>'Volunteer Survey'!B907</f>
        <v/>
      </c>
      <c r="M497" s="55" t="str">
        <f>'Volunteer Survey'!E907</f>
        <v/>
      </c>
      <c r="N497" s="55" t="str">
        <f>'Volunteer Survey'!F908</f>
        <v/>
      </c>
      <c r="O497" s="48" t="str">
        <f>'Volunteer Survey'!H908</f>
        <v/>
      </c>
      <c r="P497" s="55"/>
      <c r="Q497" s="60" t="str">
        <f>IFERROR(__xludf.DUMMYFUNCTION("QUERY('Volunteer Survey'!J891)"),"")</f>
        <v/>
      </c>
      <c r="R497" s="55"/>
      <c r="S497" s="55" t="str">
        <f>'Volunteer Survey'!L902</f>
        <v/>
      </c>
      <c r="T497" s="55" t="str">
        <f>'Volunteer Survey'!M907</f>
        <v/>
      </c>
      <c r="U497" s="64"/>
      <c r="V497" s="55"/>
      <c r="W497" s="66" t="str">
        <f>'Volunteer Survey'!P907</f>
        <v/>
      </c>
      <c r="X497" s="64" t="str">
        <f>'Volunteer Survey'!R908</f>
        <v/>
      </c>
      <c r="Y497" s="53"/>
      <c r="Z497" s="55"/>
      <c r="AA497" s="55"/>
      <c r="AB497" s="55"/>
      <c r="AC497" s="55"/>
      <c r="AD497" s="55"/>
      <c r="AE497" s="55"/>
      <c r="AF497" s="55"/>
      <c r="AG497" s="55"/>
      <c r="AH497" s="55"/>
      <c r="AI497" s="55"/>
      <c r="AJ497" s="55"/>
      <c r="AK497" s="55"/>
      <c r="AL497" s="55"/>
      <c r="AM497" s="55"/>
      <c r="AN497" s="55"/>
      <c r="AO497" s="55"/>
    </row>
    <row r="498">
      <c r="A498" s="55" t="str">
        <f>'Volunteer Survey'!A908</f>
        <v/>
      </c>
      <c r="B498" s="48" t="s">
        <v>322</v>
      </c>
      <c r="C498" s="53"/>
      <c r="D498" s="55"/>
      <c r="E498" s="55"/>
      <c r="F498" s="55" t="b">
        <v>0</v>
      </c>
      <c r="G498" s="55"/>
      <c r="H498" s="53"/>
      <c r="I498" s="53"/>
      <c r="J498" s="55"/>
      <c r="K498" s="55"/>
      <c r="L498" s="55" t="str">
        <f>'Volunteer Survey'!B908</f>
        <v/>
      </c>
      <c r="M498" s="55" t="str">
        <f>'Volunteer Survey'!E908</f>
        <v/>
      </c>
      <c r="N498" s="55" t="str">
        <f>'Volunteer Survey'!F909</f>
        <v/>
      </c>
      <c r="O498" s="48" t="str">
        <f>'Volunteer Survey'!H909</f>
        <v/>
      </c>
      <c r="P498" s="55"/>
      <c r="Q498" s="60" t="str">
        <f>IFERROR(__xludf.DUMMYFUNCTION("QUERY('Volunteer Survey'!J892)"),"")</f>
        <v/>
      </c>
      <c r="R498" s="55"/>
      <c r="S498" s="55" t="str">
        <f>'Volunteer Survey'!L903</f>
        <v/>
      </c>
      <c r="T498" s="55" t="str">
        <f>'Volunteer Survey'!M908</f>
        <v/>
      </c>
      <c r="U498" s="64"/>
      <c r="V498" s="55"/>
      <c r="W498" s="66" t="str">
        <f>'Volunteer Survey'!P908</f>
        <v/>
      </c>
      <c r="X498" s="64" t="str">
        <f>'Volunteer Survey'!R909</f>
        <v/>
      </c>
      <c r="Y498" s="53"/>
      <c r="Z498" s="55"/>
      <c r="AA498" s="55"/>
      <c r="AB498" s="55"/>
      <c r="AC498" s="55"/>
      <c r="AD498" s="55"/>
      <c r="AE498" s="55"/>
      <c r="AF498" s="55"/>
      <c r="AG498" s="55"/>
      <c r="AH498" s="55"/>
      <c r="AI498" s="55"/>
      <c r="AJ498" s="55"/>
      <c r="AK498" s="55"/>
      <c r="AL498" s="55"/>
      <c r="AM498" s="55"/>
      <c r="AN498" s="55"/>
      <c r="AO498" s="55"/>
    </row>
    <row r="499">
      <c r="A499" s="55" t="str">
        <f>'Volunteer Survey'!A909</f>
        <v/>
      </c>
      <c r="B499" s="48" t="s">
        <v>322</v>
      </c>
      <c r="C499" s="53"/>
      <c r="D499" s="55"/>
      <c r="E499" s="55"/>
      <c r="F499" s="55" t="b">
        <v>0</v>
      </c>
      <c r="G499" s="55"/>
      <c r="H499" s="53"/>
      <c r="I499" s="53"/>
      <c r="J499" s="55"/>
      <c r="K499" s="55"/>
      <c r="L499" s="55" t="str">
        <f>'Volunteer Survey'!B909</f>
        <v/>
      </c>
      <c r="M499" s="55" t="str">
        <f>'Volunteer Survey'!E909</f>
        <v/>
      </c>
      <c r="N499" s="55" t="str">
        <f>'Volunteer Survey'!F910</f>
        <v/>
      </c>
      <c r="O499" s="48" t="str">
        <f>'Volunteer Survey'!H910</f>
        <v/>
      </c>
      <c r="P499" s="55"/>
      <c r="Q499" s="60" t="str">
        <f>IFERROR(__xludf.DUMMYFUNCTION("QUERY('Volunteer Survey'!J893)"),"")</f>
        <v/>
      </c>
      <c r="R499" s="55"/>
      <c r="S499" s="55" t="str">
        <f>'Volunteer Survey'!L904</f>
        <v/>
      </c>
      <c r="T499" s="55" t="str">
        <f>'Volunteer Survey'!M909</f>
        <v/>
      </c>
      <c r="U499" s="64"/>
      <c r="V499" s="55"/>
      <c r="W499" s="66" t="str">
        <f>'Volunteer Survey'!P909</f>
        <v/>
      </c>
      <c r="X499" s="64" t="str">
        <f>'Volunteer Survey'!R910</f>
        <v/>
      </c>
      <c r="Y499" s="53"/>
      <c r="Z499" s="55"/>
      <c r="AA499" s="55"/>
      <c r="AB499" s="55"/>
      <c r="AC499" s="55"/>
      <c r="AD499" s="55"/>
      <c r="AE499" s="55"/>
      <c r="AF499" s="55"/>
      <c r="AG499" s="55"/>
      <c r="AH499" s="55"/>
      <c r="AI499" s="55"/>
      <c r="AJ499" s="55"/>
      <c r="AK499" s="55"/>
      <c r="AL499" s="55"/>
      <c r="AM499" s="55"/>
      <c r="AN499" s="55"/>
      <c r="AO499" s="55"/>
    </row>
    <row r="500">
      <c r="A500" s="55" t="str">
        <f>'Volunteer Survey'!A910</f>
        <v/>
      </c>
      <c r="B500" s="48" t="s">
        <v>322</v>
      </c>
      <c r="C500" s="53"/>
      <c r="D500" s="55"/>
      <c r="E500" s="55"/>
      <c r="F500" s="55" t="b">
        <v>0</v>
      </c>
      <c r="G500" s="55"/>
      <c r="H500" s="53"/>
      <c r="I500" s="53"/>
      <c r="J500" s="55"/>
      <c r="K500" s="55"/>
      <c r="L500" s="55" t="str">
        <f>'Volunteer Survey'!B910</f>
        <v/>
      </c>
      <c r="M500" s="55" t="str">
        <f>'Volunteer Survey'!E910</f>
        <v/>
      </c>
      <c r="N500" s="55" t="str">
        <f>'Volunteer Survey'!F911</f>
        <v/>
      </c>
      <c r="O500" s="48" t="str">
        <f>'Volunteer Survey'!H911</f>
        <v/>
      </c>
      <c r="P500" s="55"/>
      <c r="Q500" s="60" t="str">
        <f>IFERROR(__xludf.DUMMYFUNCTION("QUERY('Volunteer Survey'!J894)"),"")</f>
        <v/>
      </c>
      <c r="R500" s="55"/>
      <c r="S500" s="55" t="str">
        <f>'Volunteer Survey'!L905</f>
        <v/>
      </c>
      <c r="T500" s="55" t="str">
        <f>'Volunteer Survey'!M910</f>
        <v/>
      </c>
      <c r="U500" s="64"/>
      <c r="V500" s="55"/>
      <c r="W500" s="66" t="str">
        <f>'Volunteer Survey'!P910</f>
        <v/>
      </c>
      <c r="X500" s="64" t="str">
        <f>'Volunteer Survey'!R911</f>
        <v/>
      </c>
      <c r="Y500" s="53"/>
      <c r="Z500" s="55"/>
      <c r="AA500" s="55"/>
      <c r="AB500" s="55"/>
      <c r="AC500" s="55"/>
      <c r="AD500" s="55"/>
      <c r="AE500" s="55"/>
      <c r="AF500" s="55"/>
      <c r="AG500" s="55"/>
      <c r="AH500" s="55"/>
      <c r="AI500" s="55"/>
      <c r="AJ500" s="55"/>
      <c r="AK500" s="55"/>
      <c r="AL500" s="55"/>
      <c r="AM500" s="55"/>
      <c r="AN500" s="55"/>
      <c r="AO500" s="55"/>
    </row>
    <row r="501">
      <c r="A501" s="55" t="str">
        <f>'Volunteer Survey'!A911</f>
        <v/>
      </c>
      <c r="B501" s="48" t="s">
        <v>322</v>
      </c>
      <c r="C501" s="53"/>
      <c r="D501" s="55"/>
      <c r="E501" s="55"/>
      <c r="F501" s="55" t="b">
        <v>0</v>
      </c>
      <c r="G501" s="55"/>
      <c r="H501" s="53"/>
      <c r="I501" s="53"/>
      <c r="J501" s="55"/>
      <c r="K501" s="55"/>
      <c r="L501" s="55" t="str">
        <f>'Volunteer Survey'!B911</f>
        <v/>
      </c>
      <c r="M501" s="55" t="str">
        <f>'Volunteer Survey'!E911</f>
        <v/>
      </c>
      <c r="N501" s="55" t="str">
        <f>'Volunteer Survey'!F912</f>
        <v/>
      </c>
      <c r="O501" s="48" t="str">
        <f>'Volunteer Survey'!H912</f>
        <v/>
      </c>
      <c r="P501" s="55"/>
      <c r="Q501" s="60" t="str">
        <f>IFERROR(__xludf.DUMMYFUNCTION("QUERY('Volunteer Survey'!J895)"),"")</f>
        <v/>
      </c>
      <c r="R501" s="55"/>
      <c r="S501" s="55" t="str">
        <f>'Volunteer Survey'!L906</f>
        <v/>
      </c>
      <c r="T501" s="55" t="str">
        <f>'Volunteer Survey'!M911</f>
        <v/>
      </c>
      <c r="U501" s="64"/>
      <c r="V501" s="55"/>
      <c r="W501" s="66" t="str">
        <f>'Volunteer Survey'!P911</f>
        <v/>
      </c>
      <c r="X501" s="64" t="str">
        <f>'Volunteer Survey'!R912</f>
        <v/>
      </c>
      <c r="Y501" s="53"/>
      <c r="Z501" s="55"/>
      <c r="AA501" s="55"/>
      <c r="AB501" s="55"/>
      <c r="AC501" s="55"/>
      <c r="AD501" s="55"/>
      <c r="AE501" s="55"/>
      <c r="AF501" s="55"/>
      <c r="AG501" s="55"/>
      <c r="AH501" s="55"/>
      <c r="AI501" s="55"/>
      <c r="AJ501" s="55"/>
      <c r="AK501" s="55"/>
      <c r="AL501" s="55"/>
      <c r="AM501" s="55"/>
      <c r="AN501" s="55"/>
      <c r="AO501" s="55"/>
    </row>
    <row r="502">
      <c r="A502" s="55" t="str">
        <f>'Volunteer Survey'!A912</f>
        <v/>
      </c>
      <c r="B502" s="48" t="s">
        <v>322</v>
      </c>
      <c r="C502" s="53"/>
      <c r="D502" s="55"/>
      <c r="E502" s="55"/>
      <c r="F502" s="55" t="b">
        <v>0</v>
      </c>
      <c r="G502" s="55"/>
      <c r="H502" s="53"/>
      <c r="I502" s="53"/>
      <c r="J502" s="55"/>
      <c r="K502" s="55"/>
      <c r="L502" s="55" t="str">
        <f>'Volunteer Survey'!B912</f>
        <v/>
      </c>
      <c r="M502" s="55" t="str">
        <f>'Volunteer Survey'!E912</f>
        <v/>
      </c>
      <c r="N502" s="55" t="str">
        <f>'Volunteer Survey'!F913</f>
        <v/>
      </c>
      <c r="O502" s="48" t="str">
        <f>'Volunteer Survey'!H913</f>
        <v/>
      </c>
      <c r="P502" s="55"/>
      <c r="Q502" s="60" t="str">
        <f>IFERROR(__xludf.DUMMYFUNCTION("QUERY('Volunteer Survey'!J896)"),"")</f>
        <v/>
      </c>
      <c r="R502" s="55"/>
      <c r="S502" s="55" t="str">
        <f>'Volunteer Survey'!L907</f>
        <v/>
      </c>
      <c r="T502" s="55" t="str">
        <f>'Volunteer Survey'!M912</f>
        <v/>
      </c>
      <c r="U502" s="64"/>
      <c r="V502" s="55"/>
      <c r="W502" s="66" t="str">
        <f>'Volunteer Survey'!P912</f>
        <v/>
      </c>
      <c r="X502" s="64" t="str">
        <f>'Volunteer Survey'!R913</f>
        <v/>
      </c>
      <c r="Y502" s="53"/>
      <c r="Z502" s="55"/>
      <c r="AA502" s="55"/>
      <c r="AB502" s="55"/>
      <c r="AC502" s="55"/>
      <c r="AD502" s="55"/>
      <c r="AE502" s="55"/>
      <c r="AF502" s="55"/>
      <c r="AG502" s="55"/>
      <c r="AH502" s="55"/>
      <c r="AI502" s="55"/>
      <c r="AJ502" s="55"/>
      <c r="AK502" s="55"/>
      <c r="AL502" s="55"/>
      <c r="AM502" s="55"/>
      <c r="AN502" s="55"/>
      <c r="AO502" s="55"/>
    </row>
    <row r="503">
      <c r="A503" s="55" t="str">
        <f>'Volunteer Survey'!A913</f>
        <v/>
      </c>
      <c r="B503" s="48" t="s">
        <v>322</v>
      </c>
      <c r="C503" s="53"/>
      <c r="D503" s="55"/>
      <c r="E503" s="55"/>
      <c r="F503" s="55" t="b">
        <v>0</v>
      </c>
      <c r="G503" s="55"/>
      <c r="H503" s="53"/>
      <c r="I503" s="53"/>
      <c r="J503" s="55"/>
      <c r="K503" s="55"/>
      <c r="L503" s="55" t="str">
        <f>'Volunteer Survey'!B913</f>
        <v/>
      </c>
      <c r="M503" s="55" t="str">
        <f>'Volunteer Survey'!E913</f>
        <v/>
      </c>
      <c r="N503" s="55" t="str">
        <f>'Volunteer Survey'!F914</f>
        <v/>
      </c>
      <c r="O503" s="48" t="str">
        <f>'Volunteer Survey'!H914</f>
        <v/>
      </c>
      <c r="P503" s="55"/>
      <c r="Q503" s="60" t="str">
        <f>IFERROR(__xludf.DUMMYFUNCTION("QUERY('Volunteer Survey'!J897)"),"")</f>
        <v/>
      </c>
      <c r="R503" s="55"/>
      <c r="S503" s="55" t="str">
        <f>'Volunteer Survey'!L908</f>
        <v/>
      </c>
      <c r="T503" s="55" t="str">
        <f>'Volunteer Survey'!M913</f>
        <v/>
      </c>
      <c r="U503" s="64"/>
      <c r="V503" s="55"/>
      <c r="W503" s="66" t="str">
        <f>'Volunteer Survey'!P913</f>
        <v/>
      </c>
      <c r="X503" s="64" t="str">
        <f>'Volunteer Survey'!R914</f>
        <v/>
      </c>
      <c r="Y503" s="53"/>
      <c r="Z503" s="55"/>
      <c r="AA503" s="55"/>
      <c r="AB503" s="55"/>
      <c r="AC503" s="55"/>
      <c r="AD503" s="55"/>
      <c r="AE503" s="55"/>
      <c r="AF503" s="55"/>
      <c r="AG503" s="55"/>
      <c r="AH503" s="55"/>
      <c r="AI503" s="55"/>
      <c r="AJ503" s="55"/>
      <c r="AK503" s="55"/>
      <c r="AL503" s="55"/>
      <c r="AM503" s="55"/>
      <c r="AN503" s="55"/>
      <c r="AO503" s="55"/>
    </row>
    <row r="504">
      <c r="A504" s="55" t="str">
        <f>'Volunteer Survey'!A914</f>
        <v/>
      </c>
      <c r="B504" s="48" t="s">
        <v>322</v>
      </c>
      <c r="C504" s="53"/>
      <c r="D504" s="55"/>
      <c r="E504" s="55"/>
      <c r="F504" s="55" t="b">
        <v>0</v>
      </c>
      <c r="G504" s="55"/>
      <c r="H504" s="53"/>
      <c r="I504" s="53"/>
      <c r="J504" s="55"/>
      <c r="K504" s="55"/>
      <c r="L504" s="55" t="str">
        <f>'Volunteer Survey'!B914</f>
        <v/>
      </c>
      <c r="M504" s="55" t="str">
        <f>'Volunteer Survey'!E914</f>
        <v/>
      </c>
      <c r="N504" s="55" t="str">
        <f>'Volunteer Survey'!F915</f>
        <v/>
      </c>
      <c r="O504" s="48" t="str">
        <f>'Volunteer Survey'!H915</f>
        <v/>
      </c>
      <c r="P504" s="55"/>
      <c r="Q504" s="60" t="str">
        <f>IFERROR(__xludf.DUMMYFUNCTION("QUERY('Volunteer Survey'!J898)"),"")</f>
        <v/>
      </c>
      <c r="R504" s="55"/>
      <c r="S504" s="55" t="str">
        <f>'Volunteer Survey'!L909</f>
        <v/>
      </c>
      <c r="T504" s="55" t="str">
        <f>'Volunteer Survey'!M914</f>
        <v/>
      </c>
      <c r="U504" s="64"/>
      <c r="V504" s="55"/>
      <c r="W504" s="66" t="str">
        <f>'Volunteer Survey'!P914</f>
        <v/>
      </c>
      <c r="X504" s="55"/>
      <c r="Y504" s="53"/>
      <c r="Z504" s="55"/>
      <c r="AA504" s="55"/>
      <c r="AB504" s="55"/>
      <c r="AC504" s="55"/>
      <c r="AD504" s="55"/>
      <c r="AE504" s="55"/>
      <c r="AF504" s="55"/>
      <c r="AG504" s="55"/>
      <c r="AH504" s="55"/>
      <c r="AI504" s="55"/>
      <c r="AJ504" s="55"/>
      <c r="AK504" s="55"/>
      <c r="AL504" s="55"/>
      <c r="AM504" s="55"/>
      <c r="AN504" s="55"/>
      <c r="AO504" s="55"/>
    </row>
    <row r="505">
      <c r="A505" s="55" t="str">
        <f>'Volunteer Survey'!A915</f>
        <v/>
      </c>
      <c r="B505" s="48" t="s">
        <v>322</v>
      </c>
      <c r="C505" s="53"/>
      <c r="D505" s="55"/>
      <c r="E505" s="55"/>
      <c r="F505" s="55" t="b">
        <v>0</v>
      </c>
      <c r="G505" s="55"/>
      <c r="H505" s="53"/>
      <c r="I505" s="53"/>
      <c r="J505" s="55"/>
      <c r="K505" s="55"/>
      <c r="L505" s="55" t="str">
        <f>'Volunteer Survey'!B915</f>
        <v/>
      </c>
      <c r="M505" s="55" t="str">
        <f>'Volunteer Survey'!E915</f>
        <v/>
      </c>
      <c r="N505" s="55" t="str">
        <f>'Volunteer Survey'!F916</f>
        <v/>
      </c>
      <c r="O505" s="48" t="str">
        <f>'Volunteer Survey'!H916</f>
        <v/>
      </c>
      <c r="P505" s="55"/>
      <c r="Q505" s="60" t="str">
        <f>IFERROR(__xludf.DUMMYFUNCTION("QUERY('Volunteer Survey'!J899)"),"")</f>
        <v/>
      </c>
      <c r="R505" s="55"/>
      <c r="S505" s="55" t="str">
        <f>'Volunteer Survey'!L910</f>
        <v/>
      </c>
      <c r="T505" s="55" t="str">
        <f>'Volunteer Survey'!M915</f>
        <v/>
      </c>
      <c r="U505" s="64"/>
      <c r="V505" s="55"/>
      <c r="W505" s="66" t="str">
        <f>'Volunteer Survey'!P915</f>
        <v/>
      </c>
      <c r="X505" s="55"/>
      <c r="Y505" s="53"/>
      <c r="Z505" s="55"/>
      <c r="AA505" s="55"/>
      <c r="AB505" s="55"/>
      <c r="AC505" s="55"/>
      <c r="AD505" s="55"/>
      <c r="AE505" s="55"/>
      <c r="AF505" s="55"/>
      <c r="AG505" s="55"/>
      <c r="AH505" s="55"/>
      <c r="AI505" s="55"/>
      <c r="AJ505" s="55"/>
      <c r="AK505" s="55"/>
      <c r="AL505" s="55"/>
      <c r="AM505" s="55"/>
      <c r="AN505" s="55"/>
      <c r="AO505" s="55"/>
    </row>
    <row r="506">
      <c r="A506" s="55" t="str">
        <f>'Volunteer Survey'!A916</f>
        <v/>
      </c>
      <c r="B506" s="48" t="s">
        <v>322</v>
      </c>
      <c r="C506" s="53"/>
      <c r="D506" s="55"/>
      <c r="E506" s="55"/>
      <c r="F506" s="55" t="b">
        <v>0</v>
      </c>
      <c r="G506" s="55"/>
      <c r="H506" s="53"/>
      <c r="I506" s="53"/>
      <c r="J506" s="55"/>
      <c r="K506" s="55"/>
      <c r="L506" s="55" t="str">
        <f>'Volunteer Survey'!B916</f>
        <v/>
      </c>
      <c r="M506" s="55" t="str">
        <f>'Volunteer Survey'!E916</f>
        <v/>
      </c>
      <c r="N506" s="55" t="str">
        <f>'Volunteer Survey'!F917</f>
        <v/>
      </c>
      <c r="O506" s="48" t="str">
        <f>'Volunteer Survey'!H917</f>
        <v/>
      </c>
      <c r="P506" s="55"/>
      <c r="Q506" s="60" t="str">
        <f>IFERROR(__xludf.DUMMYFUNCTION("QUERY('Volunteer Survey'!J900)"),"")</f>
        <v/>
      </c>
      <c r="R506" s="55"/>
      <c r="S506" s="55" t="str">
        <f>'Volunteer Survey'!L911</f>
        <v/>
      </c>
      <c r="T506" s="55" t="str">
        <f>'Volunteer Survey'!M916</f>
        <v/>
      </c>
      <c r="U506" s="64"/>
      <c r="V506" s="55"/>
      <c r="W506" s="66" t="str">
        <f>'Volunteer Survey'!P916</f>
        <v/>
      </c>
      <c r="X506" s="55"/>
      <c r="Y506" s="53"/>
      <c r="Z506" s="55"/>
      <c r="AA506" s="55"/>
      <c r="AB506" s="55"/>
      <c r="AC506" s="55"/>
      <c r="AD506" s="55"/>
      <c r="AE506" s="55"/>
      <c r="AF506" s="55"/>
      <c r="AG506" s="55"/>
      <c r="AH506" s="55"/>
      <c r="AI506" s="55"/>
      <c r="AJ506" s="55"/>
      <c r="AK506" s="55"/>
      <c r="AL506" s="55"/>
      <c r="AM506" s="55"/>
      <c r="AN506" s="55"/>
      <c r="AO506" s="55"/>
    </row>
    <row r="507">
      <c r="A507" s="55" t="str">
        <f>'Volunteer Survey'!A917</f>
        <v/>
      </c>
      <c r="B507" s="48" t="s">
        <v>322</v>
      </c>
      <c r="C507" s="53"/>
      <c r="D507" s="55"/>
      <c r="E507" s="55"/>
      <c r="F507" s="55" t="b">
        <v>0</v>
      </c>
      <c r="G507" s="55"/>
      <c r="H507" s="53"/>
      <c r="I507" s="53"/>
      <c r="J507" s="55"/>
      <c r="K507" s="55"/>
      <c r="L507" s="55" t="str">
        <f>'Volunteer Survey'!B917</f>
        <v/>
      </c>
      <c r="M507" s="55" t="str">
        <f>'Volunteer Survey'!E917</f>
        <v/>
      </c>
      <c r="N507" s="55" t="str">
        <f>'Volunteer Survey'!F918</f>
        <v/>
      </c>
      <c r="O507" s="48" t="str">
        <f>'Volunteer Survey'!H918</f>
        <v/>
      </c>
      <c r="P507" s="55"/>
      <c r="Q507" s="60" t="str">
        <f>IFERROR(__xludf.DUMMYFUNCTION("QUERY('Volunteer Survey'!J901)"),"")</f>
        <v/>
      </c>
      <c r="R507" s="55"/>
      <c r="S507" s="55" t="str">
        <f>'Volunteer Survey'!L912</f>
        <v/>
      </c>
      <c r="T507" s="55" t="str">
        <f>'Volunteer Survey'!M917</f>
        <v/>
      </c>
      <c r="U507" s="64"/>
      <c r="V507" s="55"/>
      <c r="W507" s="66" t="str">
        <f>'Volunteer Survey'!P917</f>
        <v/>
      </c>
      <c r="X507" s="55"/>
      <c r="Y507" s="53"/>
      <c r="Z507" s="55"/>
      <c r="AA507" s="55"/>
      <c r="AB507" s="55"/>
      <c r="AC507" s="55"/>
      <c r="AD507" s="55"/>
      <c r="AE507" s="55"/>
      <c r="AF507" s="55"/>
      <c r="AG507" s="55"/>
      <c r="AH507" s="55"/>
      <c r="AI507" s="55"/>
      <c r="AJ507" s="55"/>
      <c r="AK507" s="55"/>
      <c r="AL507" s="55"/>
      <c r="AM507" s="55"/>
      <c r="AN507" s="55"/>
      <c r="AO507" s="55"/>
    </row>
    <row r="508">
      <c r="A508" s="55" t="str">
        <f>'Volunteer Survey'!A918</f>
        <v/>
      </c>
      <c r="B508" s="48" t="s">
        <v>322</v>
      </c>
      <c r="C508" s="53"/>
      <c r="D508" s="55"/>
      <c r="E508" s="55"/>
      <c r="F508" s="55" t="b">
        <v>0</v>
      </c>
      <c r="G508" s="55"/>
      <c r="H508" s="53"/>
      <c r="I508" s="53"/>
      <c r="J508" s="55"/>
      <c r="K508" s="55"/>
      <c r="L508" s="55" t="str">
        <f>'Volunteer Survey'!B918</f>
        <v/>
      </c>
      <c r="M508" s="55" t="str">
        <f>'Volunteer Survey'!E918</f>
        <v/>
      </c>
      <c r="N508" s="55" t="str">
        <f>'Volunteer Survey'!F919</f>
        <v/>
      </c>
      <c r="O508" s="48" t="str">
        <f>'Volunteer Survey'!H919</f>
        <v/>
      </c>
      <c r="P508" s="55"/>
      <c r="Q508" s="60" t="str">
        <f>IFERROR(__xludf.DUMMYFUNCTION("QUERY('Volunteer Survey'!J902)"),"")</f>
        <v/>
      </c>
      <c r="R508" s="55"/>
      <c r="S508" s="55" t="str">
        <f>'Volunteer Survey'!L913</f>
        <v/>
      </c>
      <c r="T508" s="55" t="str">
        <f>'Volunteer Survey'!M918</f>
        <v/>
      </c>
      <c r="U508" s="64"/>
      <c r="V508" s="55"/>
      <c r="W508" s="66" t="str">
        <f>'Volunteer Survey'!P918</f>
        <v/>
      </c>
      <c r="X508" s="55"/>
      <c r="Y508" s="53"/>
      <c r="Z508" s="55"/>
      <c r="AA508" s="55"/>
      <c r="AB508" s="55"/>
      <c r="AC508" s="55"/>
      <c r="AD508" s="55"/>
      <c r="AE508" s="55"/>
      <c r="AF508" s="55"/>
      <c r="AG508" s="55"/>
      <c r="AH508" s="55"/>
      <c r="AI508" s="55"/>
      <c r="AJ508" s="55"/>
      <c r="AK508" s="55"/>
      <c r="AL508" s="55"/>
      <c r="AM508" s="55"/>
      <c r="AN508" s="55"/>
      <c r="AO508" s="55"/>
    </row>
    <row r="509">
      <c r="A509" s="55" t="str">
        <f>'Volunteer Survey'!A919</f>
        <v/>
      </c>
      <c r="B509" s="48" t="s">
        <v>322</v>
      </c>
      <c r="C509" s="53"/>
      <c r="D509" s="55"/>
      <c r="E509" s="55"/>
      <c r="F509" s="55" t="b">
        <v>0</v>
      </c>
      <c r="G509" s="55"/>
      <c r="H509" s="53"/>
      <c r="I509" s="53"/>
      <c r="J509" s="55"/>
      <c r="K509" s="55"/>
      <c r="L509" s="55" t="str">
        <f>'Volunteer Survey'!B919</f>
        <v/>
      </c>
      <c r="M509" s="55" t="str">
        <f>'Volunteer Survey'!E919</f>
        <v/>
      </c>
      <c r="N509" s="55" t="str">
        <f>'Volunteer Survey'!F920</f>
        <v/>
      </c>
      <c r="O509" s="48" t="str">
        <f>'Volunteer Survey'!H920</f>
        <v/>
      </c>
      <c r="P509" s="55"/>
      <c r="Q509" s="60" t="str">
        <f>IFERROR(__xludf.DUMMYFUNCTION("QUERY('Volunteer Survey'!J903)"),"")</f>
        <v/>
      </c>
      <c r="R509" s="55"/>
      <c r="S509" s="55" t="str">
        <f>'Volunteer Survey'!L914</f>
        <v/>
      </c>
      <c r="T509" s="55" t="str">
        <f>'Volunteer Survey'!M919</f>
        <v/>
      </c>
      <c r="U509" s="64"/>
      <c r="V509" s="55"/>
      <c r="W509" s="66" t="str">
        <f>'Volunteer Survey'!P919</f>
        <v/>
      </c>
      <c r="X509" s="55"/>
      <c r="Y509" s="53"/>
      <c r="Z509" s="55"/>
      <c r="AA509" s="55"/>
      <c r="AB509" s="55"/>
      <c r="AC509" s="55"/>
      <c r="AD509" s="55"/>
      <c r="AE509" s="55"/>
      <c r="AF509" s="55"/>
      <c r="AG509" s="55"/>
      <c r="AH509" s="55"/>
      <c r="AI509" s="55"/>
      <c r="AJ509" s="55"/>
      <c r="AK509" s="55"/>
      <c r="AL509" s="55"/>
      <c r="AM509" s="55"/>
      <c r="AN509" s="55"/>
      <c r="AO509" s="55"/>
    </row>
    <row r="510">
      <c r="A510" s="55" t="str">
        <f>'Volunteer Survey'!A920</f>
        <v/>
      </c>
      <c r="B510" s="48" t="s">
        <v>322</v>
      </c>
      <c r="C510" s="53"/>
      <c r="D510" s="55"/>
      <c r="E510" s="55"/>
      <c r="F510" s="55" t="b">
        <v>0</v>
      </c>
      <c r="G510" s="55"/>
      <c r="H510" s="53"/>
      <c r="I510" s="53"/>
      <c r="J510" s="55"/>
      <c r="K510" s="55"/>
      <c r="L510" s="55" t="str">
        <f>'Volunteer Survey'!B920</f>
        <v/>
      </c>
      <c r="M510" s="55" t="str">
        <f>'Volunteer Survey'!E920</f>
        <v/>
      </c>
      <c r="N510" s="55" t="str">
        <f>'Volunteer Survey'!F921</f>
        <v/>
      </c>
      <c r="O510" s="48" t="str">
        <f>'Volunteer Survey'!H921</f>
        <v/>
      </c>
      <c r="P510" s="55"/>
      <c r="Q510" s="60" t="str">
        <f>IFERROR(__xludf.DUMMYFUNCTION("QUERY('Volunteer Survey'!J904)"),"")</f>
        <v/>
      </c>
      <c r="R510" s="55"/>
      <c r="S510" s="55"/>
      <c r="T510" s="55" t="str">
        <f>'Volunteer Survey'!M920</f>
        <v/>
      </c>
      <c r="U510" s="64"/>
      <c r="V510" s="55"/>
      <c r="W510" s="66" t="str">
        <f>'Volunteer Survey'!P920</f>
        <v/>
      </c>
      <c r="X510" s="55"/>
      <c r="Y510" s="53"/>
      <c r="Z510" s="55"/>
      <c r="AA510" s="55"/>
      <c r="AB510" s="55"/>
      <c r="AC510" s="55"/>
      <c r="AD510" s="55"/>
      <c r="AE510" s="55"/>
      <c r="AF510" s="55"/>
      <c r="AG510" s="55"/>
      <c r="AH510" s="55"/>
      <c r="AI510" s="55"/>
      <c r="AJ510" s="55"/>
      <c r="AK510" s="55"/>
      <c r="AL510" s="55"/>
      <c r="AM510" s="55"/>
      <c r="AN510" s="55"/>
      <c r="AO510" s="55"/>
    </row>
    <row r="511">
      <c r="A511" s="55" t="str">
        <f>'Volunteer Survey'!A921</f>
        <v/>
      </c>
      <c r="B511" s="48" t="s">
        <v>322</v>
      </c>
      <c r="C511" s="53"/>
      <c r="D511" s="55"/>
      <c r="E511" s="55"/>
      <c r="F511" s="55" t="b">
        <v>0</v>
      </c>
      <c r="G511" s="55"/>
      <c r="H511" s="53"/>
      <c r="I511" s="53"/>
      <c r="J511" s="55"/>
      <c r="K511" s="55"/>
      <c r="L511" s="55" t="str">
        <f>'Volunteer Survey'!B921</f>
        <v/>
      </c>
      <c r="M511" s="55" t="str">
        <f>'Volunteer Survey'!E921</f>
        <v/>
      </c>
      <c r="N511" s="55" t="str">
        <f>'Volunteer Survey'!F922</f>
        <v/>
      </c>
      <c r="O511" s="48" t="str">
        <f>'Volunteer Survey'!H922</f>
        <v/>
      </c>
      <c r="P511" s="55"/>
      <c r="Q511" s="60" t="str">
        <f>IFERROR(__xludf.DUMMYFUNCTION("QUERY('Volunteer Survey'!J905)"),"")</f>
        <v/>
      </c>
      <c r="R511" s="55"/>
      <c r="S511" s="55"/>
      <c r="T511" s="55" t="str">
        <f>'Volunteer Survey'!M921</f>
        <v/>
      </c>
      <c r="U511" s="64"/>
      <c r="V511" s="55"/>
      <c r="W511" s="66" t="str">
        <f>'Volunteer Survey'!P921</f>
        <v/>
      </c>
      <c r="X511" s="55"/>
      <c r="Y511" s="53"/>
      <c r="Z511" s="55"/>
      <c r="AA511" s="55"/>
      <c r="AB511" s="55"/>
      <c r="AC511" s="55"/>
      <c r="AD511" s="55"/>
      <c r="AE511" s="55"/>
      <c r="AF511" s="55"/>
      <c r="AG511" s="55"/>
      <c r="AH511" s="55"/>
      <c r="AI511" s="55"/>
      <c r="AJ511" s="55"/>
      <c r="AK511" s="55"/>
      <c r="AL511" s="55"/>
      <c r="AM511" s="55"/>
      <c r="AN511" s="55"/>
      <c r="AO511" s="55"/>
    </row>
    <row r="512">
      <c r="A512" s="55" t="str">
        <f>'Volunteer Survey'!A922</f>
        <v/>
      </c>
      <c r="B512" s="48" t="s">
        <v>322</v>
      </c>
      <c r="C512" s="53"/>
      <c r="D512" s="55"/>
      <c r="E512" s="55"/>
      <c r="F512" s="55" t="b">
        <v>0</v>
      </c>
      <c r="G512" s="55"/>
      <c r="H512" s="53"/>
      <c r="I512" s="53"/>
      <c r="J512" s="55"/>
      <c r="K512" s="55"/>
      <c r="L512" s="55" t="str">
        <f>'Volunteer Survey'!B922</f>
        <v/>
      </c>
      <c r="M512" s="55" t="str">
        <f>'Volunteer Survey'!E922</f>
        <v/>
      </c>
      <c r="N512" s="55" t="str">
        <f>'Volunteer Survey'!F923</f>
        <v/>
      </c>
      <c r="O512" s="48" t="str">
        <f>'Volunteer Survey'!H923</f>
        <v/>
      </c>
      <c r="P512" s="55"/>
      <c r="Q512" s="60" t="str">
        <f>IFERROR(__xludf.DUMMYFUNCTION("QUERY('Volunteer Survey'!J906)"),"")</f>
        <v/>
      </c>
      <c r="R512" s="55"/>
      <c r="S512" s="55"/>
      <c r="T512" s="55" t="str">
        <f>'Volunteer Survey'!M922</f>
        <v/>
      </c>
      <c r="U512" s="64"/>
      <c r="V512" s="55"/>
      <c r="W512" s="66" t="str">
        <f>'Volunteer Survey'!P922</f>
        <v/>
      </c>
      <c r="X512" s="55"/>
      <c r="Y512" s="53"/>
      <c r="Z512" s="55"/>
      <c r="AA512" s="55"/>
      <c r="AB512" s="55"/>
      <c r="AC512" s="55"/>
      <c r="AD512" s="55"/>
      <c r="AE512" s="55"/>
      <c r="AF512" s="55"/>
      <c r="AG512" s="55"/>
      <c r="AH512" s="55"/>
      <c r="AI512" s="55"/>
      <c r="AJ512" s="55"/>
      <c r="AK512" s="55"/>
      <c r="AL512" s="55"/>
      <c r="AM512" s="55"/>
      <c r="AN512" s="55"/>
      <c r="AO512" s="55"/>
    </row>
    <row r="513">
      <c r="A513" s="55" t="str">
        <f>'Volunteer Survey'!A923</f>
        <v/>
      </c>
      <c r="B513" s="48" t="s">
        <v>322</v>
      </c>
      <c r="C513" s="53"/>
      <c r="D513" s="55"/>
      <c r="E513" s="55"/>
      <c r="F513" s="55" t="b">
        <v>0</v>
      </c>
      <c r="G513" s="55"/>
      <c r="H513" s="53"/>
      <c r="I513" s="53"/>
      <c r="J513" s="55"/>
      <c r="K513" s="55"/>
      <c r="L513" s="55" t="str">
        <f>'Volunteer Survey'!B923</f>
        <v/>
      </c>
      <c r="M513" s="55" t="str">
        <f>'Volunteer Survey'!E923</f>
        <v/>
      </c>
      <c r="N513" s="55" t="str">
        <f>'Volunteer Survey'!F924</f>
        <v/>
      </c>
      <c r="O513" s="48" t="str">
        <f>'Volunteer Survey'!H924</f>
        <v/>
      </c>
      <c r="P513" s="55"/>
      <c r="Q513" s="60" t="str">
        <f>IFERROR(__xludf.DUMMYFUNCTION("QUERY('Volunteer Survey'!J907)"),"")</f>
        <v/>
      </c>
      <c r="R513" s="55"/>
      <c r="S513" s="55"/>
      <c r="T513" s="55" t="str">
        <f>'Volunteer Survey'!M923</f>
        <v/>
      </c>
      <c r="U513" s="64"/>
      <c r="V513" s="55"/>
      <c r="W513" s="66" t="str">
        <f>'Volunteer Survey'!P923</f>
        <v/>
      </c>
      <c r="X513" s="55"/>
      <c r="Y513" s="53"/>
      <c r="Z513" s="55"/>
      <c r="AA513" s="55"/>
      <c r="AB513" s="55"/>
      <c r="AC513" s="55"/>
      <c r="AD513" s="55"/>
      <c r="AE513" s="55"/>
      <c r="AF513" s="55"/>
      <c r="AG513" s="55"/>
      <c r="AH513" s="55"/>
      <c r="AI513" s="55"/>
      <c r="AJ513" s="55"/>
      <c r="AK513" s="55"/>
      <c r="AL513" s="55"/>
      <c r="AM513" s="55"/>
      <c r="AN513" s="55"/>
      <c r="AO513" s="55"/>
    </row>
    <row r="514">
      <c r="A514" s="55" t="str">
        <f>'Volunteer Survey'!A924</f>
        <v/>
      </c>
      <c r="B514" s="48" t="s">
        <v>322</v>
      </c>
      <c r="C514" s="53"/>
      <c r="D514" s="55"/>
      <c r="E514" s="55"/>
      <c r="F514" s="55" t="b">
        <v>0</v>
      </c>
      <c r="G514" s="55"/>
      <c r="H514" s="53"/>
      <c r="I514" s="53"/>
      <c r="J514" s="55"/>
      <c r="K514" s="55"/>
      <c r="L514" s="55" t="str">
        <f>'Volunteer Survey'!B924</f>
        <v/>
      </c>
      <c r="M514" s="55" t="str">
        <f>'Volunteer Survey'!E924</f>
        <v/>
      </c>
      <c r="N514" s="55" t="str">
        <f>'Volunteer Survey'!F925</f>
        <v/>
      </c>
      <c r="O514" s="48" t="str">
        <f>'Volunteer Survey'!H925</f>
        <v/>
      </c>
      <c r="P514" s="55"/>
      <c r="Q514" s="60" t="str">
        <f>IFERROR(__xludf.DUMMYFUNCTION("QUERY('Volunteer Survey'!J908)"),"")</f>
        <v/>
      </c>
      <c r="R514" s="55"/>
      <c r="S514" s="55"/>
      <c r="T514" s="55" t="str">
        <f>'Volunteer Survey'!M924</f>
        <v/>
      </c>
      <c r="U514" s="64"/>
      <c r="V514" s="55"/>
      <c r="W514" s="66" t="str">
        <f>'Volunteer Survey'!P924</f>
        <v/>
      </c>
      <c r="X514" s="55"/>
      <c r="Y514" s="53"/>
      <c r="Z514" s="55"/>
      <c r="AA514" s="55"/>
      <c r="AB514" s="55"/>
      <c r="AC514" s="55"/>
      <c r="AD514" s="55"/>
      <c r="AE514" s="55"/>
      <c r="AF514" s="55"/>
      <c r="AG514" s="55"/>
      <c r="AH514" s="55"/>
      <c r="AI514" s="55"/>
      <c r="AJ514" s="55"/>
      <c r="AK514" s="55"/>
      <c r="AL514" s="55"/>
      <c r="AM514" s="55"/>
      <c r="AN514" s="55"/>
      <c r="AO514" s="55"/>
    </row>
    <row r="515">
      <c r="A515" s="55" t="str">
        <f>'Volunteer Survey'!A925</f>
        <v/>
      </c>
      <c r="B515" s="48" t="s">
        <v>322</v>
      </c>
      <c r="C515" s="53"/>
      <c r="D515" s="55"/>
      <c r="E515" s="55"/>
      <c r="F515" s="55" t="b">
        <v>0</v>
      </c>
      <c r="G515" s="55"/>
      <c r="H515" s="53"/>
      <c r="I515" s="53"/>
      <c r="J515" s="55"/>
      <c r="K515" s="55"/>
      <c r="L515" s="55" t="str">
        <f>'Volunteer Survey'!B925</f>
        <v/>
      </c>
      <c r="M515" s="55" t="str">
        <f>'Volunteer Survey'!E925</f>
        <v/>
      </c>
      <c r="N515" s="55" t="str">
        <f>'Volunteer Survey'!F926</f>
        <v/>
      </c>
      <c r="O515" s="48" t="str">
        <f>'Volunteer Survey'!H926</f>
        <v/>
      </c>
      <c r="P515" s="55"/>
      <c r="Q515" s="60" t="str">
        <f>IFERROR(__xludf.DUMMYFUNCTION("QUERY('Volunteer Survey'!J909)"),"")</f>
        <v/>
      </c>
      <c r="R515" s="55"/>
      <c r="S515" s="55"/>
      <c r="T515" s="55" t="str">
        <f>'Volunteer Survey'!M925</f>
        <v/>
      </c>
      <c r="U515" s="64"/>
      <c r="V515" s="55"/>
      <c r="W515" s="66" t="str">
        <f>'Volunteer Survey'!P925</f>
        <v/>
      </c>
      <c r="X515" s="55"/>
      <c r="Y515" s="53"/>
      <c r="Z515" s="55"/>
      <c r="AA515" s="55"/>
      <c r="AB515" s="55"/>
      <c r="AC515" s="55"/>
      <c r="AD515" s="55"/>
      <c r="AE515" s="55"/>
      <c r="AF515" s="55"/>
      <c r="AG515" s="55"/>
      <c r="AH515" s="55"/>
      <c r="AI515" s="55"/>
      <c r="AJ515" s="55"/>
      <c r="AK515" s="55"/>
      <c r="AL515" s="55"/>
      <c r="AM515" s="55"/>
      <c r="AN515" s="55"/>
      <c r="AO515" s="55"/>
    </row>
    <row r="516">
      <c r="A516" s="55" t="str">
        <f>'Volunteer Survey'!A926</f>
        <v/>
      </c>
      <c r="B516" s="48" t="s">
        <v>322</v>
      </c>
      <c r="C516" s="53"/>
      <c r="D516" s="55"/>
      <c r="E516" s="55"/>
      <c r="F516" s="55" t="b">
        <v>0</v>
      </c>
      <c r="G516" s="55"/>
      <c r="H516" s="53"/>
      <c r="I516" s="53"/>
      <c r="J516" s="55"/>
      <c r="K516" s="55"/>
      <c r="L516" s="55" t="str">
        <f>'Volunteer Survey'!B926</f>
        <v/>
      </c>
      <c r="M516" s="55" t="str">
        <f>'Volunteer Survey'!E926</f>
        <v/>
      </c>
      <c r="N516" s="55" t="str">
        <f>'Volunteer Survey'!F927</f>
        <v/>
      </c>
      <c r="O516" s="48" t="str">
        <f>'Volunteer Survey'!H927</f>
        <v/>
      </c>
      <c r="P516" s="55"/>
      <c r="Q516" s="60" t="str">
        <f>IFERROR(__xludf.DUMMYFUNCTION("QUERY('Volunteer Survey'!J910)"),"")</f>
        <v/>
      </c>
      <c r="R516" s="55"/>
      <c r="S516" s="55"/>
      <c r="T516" s="55" t="str">
        <f>'Volunteer Survey'!M926</f>
        <v/>
      </c>
      <c r="U516" s="64"/>
      <c r="V516" s="55"/>
      <c r="W516" s="66" t="str">
        <f>'Volunteer Survey'!P926</f>
        <v/>
      </c>
      <c r="X516" s="55"/>
      <c r="Y516" s="53"/>
      <c r="Z516" s="55"/>
      <c r="AA516" s="55"/>
      <c r="AB516" s="55"/>
      <c r="AC516" s="55"/>
      <c r="AD516" s="55"/>
      <c r="AE516" s="55"/>
      <c r="AF516" s="55"/>
      <c r="AG516" s="55"/>
      <c r="AH516" s="55"/>
      <c r="AI516" s="55"/>
      <c r="AJ516" s="55"/>
      <c r="AK516" s="55"/>
      <c r="AL516" s="55"/>
      <c r="AM516" s="55"/>
      <c r="AN516" s="55"/>
      <c r="AO516" s="55"/>
    </row>
    <row r="517">
      <c r="A517" s="55" t="str">
        <f>'Volunteer Survey'!A927</f>
        <v/>
      </c>
      <c r="B517" s="48" t="s">
        <v>322</v>
      </c>
      <c r="C517" s="53"/>
      <c r="D517" s="55"/>
      <c r="E517" s="55"/>
      <c r="F517" s="55" t="b">
        <v>0</v>
      </c>
      <c r="G517" s="55"/>
      <c r="H517" s="53"/>
      <c r="I517" s="53"/>
      <c r="J517" s="55"/>
      <c r="K517" s="55"/>
      <c r="L517" s="55" t="str">
        <f>'Volunteer Survey'!B927</f>
        <v/>
      </c>
      <c r="M517" s="55" t="str">
        <f>'Volunteer Survey'!E927</f>
        <v/>
      </c>
      <c r="N517" s="55" t="str">
        <f>'Volunteer Survey'!F928</f>
        <v/>
      </c>
      <c r="O517" s="48" t="str">
        <f>'Volunteer Survey'!H928</f>
        <v/>
      </c>
      <c r="P517" s="55"/>
      <c r="Q517" s="60" t="str">
        <f>IFERROR(__xludf.DUMMYFUNCTION("QUERY('Volunteer Survey'!J911)"),"")</f>
        <v/>
      </c>
      <c r="R517" s="55"/>
      <c r="S517" s="55"/>
      <c r="T517" s="55" t="str">
        <f>'Volunteer Survey'!M927</f>
        <v/>
      </c>
      <c r="U517" s="64"/>
      <c r="V517" s="55"/>
      <c r="W517" s="66" t="str">
        <f>'Volunteer Survey'!P927</f>
        <v/>
      </c>
      <c r="X517" s="55"/>
      <c r="Y517" s="53"/>
      <c r="Z517" s="55"/>
      <c r="AA517" s="55"/>
      <c r="AB517" s="55"/>
      <c r="AC517" s="55"/>
      <c r="AD517" s="55"/>
      <c r="AE517" s="55"/>
      <c r="AF517" s="55"/>
      <c r="AG517" s="55"/>
      <c r="AH517" s="55"/>
      <c r="AI517" s="55"/>
      <c r="AJ517" s="55"/>
      <c r="AK517" s="55"/>
      <c r="AL517" s="55"/>
      <c r="AM517" s="55"/>
      <c r="AN517" s="55"/>
      <c r="AO517" s="55"/>
    </row>
    <row r="518">
      <c r="A518" s="55" t="str">
        <f>'Volunteer Survey'!A928</f>
        <v/>
      </c>
      <c r="B518" s="48" t="s">
        <v>322</v>
      </c>
      <c r="C518" s="53"/>
      <c r="D518" s="55"/>
      <c r="E518" s="55"/>
      <c r="F518" s="55" t="b">
        <v>0</v>
      </c>
      <c r="G518" s="55"/>
      <c r="H518" s="53"/>
      <c r="I518" s="53"/>
      <c r="J518" s="55"/>
      <c r="K518" s="55"/>
      <c r="L518" s="55" t="str">
        <f>'Volunteer Survey'!B928</f>
        <v/>
      </c>
      <c r="M518" s="55" t="str">
        <f>'Volunteer Survey'!E928</f>
        <v/>
      </c>
      <c r="N518" s="55" t="str">
        <f>'Volunteer Survey'!F929</f>
        <v/>
      </c>
      <c r="O518" s="48" t="str">
        <f>'Volunteer Survey'!H929</f>
        <v/>
      </c>
      <c r="P518" s="55"/>
      <c r="Q518" s="60" t="str">
        <f>IFERROR(__xludf.DUMMYFUNCTION("QUERY('Volunteer Survey'!J912)"),"")</f>
        <v/>
      </c>
      <c r="R518" s="55"/>
      <c r="S518" s="55"/>
      <c r="T518" s="55" t="str">
        <f>'Volunteer Survey'!M928</f>
        <v/>
      </c>
      <c r="U518" s="64"/>
      <c r="V518" s="55"/>
      <c r="W518" s="66" t="str">
        <f>'Volunteer Survey'!P928</f>
        <v/>
      </c>
      <c r="X518" s="55"/>
      <c r="Y518" s="53"/>
      <c r="Z518" s="55"/>
      <c r="AA518" s="55"/>
      <c r="AB518" s="55"/>
      <c r="AC518" s="55"/>
      <c r="AD518" s="55"/>
      <c r="AE518" s="55"/>
      <c r="AF518" s="55"/>
      <c r="AG518" s="55"/>
      <c r="AH518" s="55"/>
      <c r="AI518" s="55"/>
      <c r="AJ518" s="55"/>
      <c r="AK518" s="55"/>
      <c r="AL518" s="55"/>
      <c r="AM518" s="55"/>
      <c r="AN518" s="55"/>
      <c r="AO518" s="55"/>
    </row>
    <row r="519">
      <c r="A519" s="55" t="str">
        <f>'Volunteer Survey'!A929</f>
        <v/>
      </c>
      <c r="B519" s="48" t="s">
        <v>322</v>
      </c>
      <c r="C519" s="53"/>
      <c r="D519" s="55"/>
      <c r="E519" s="55"/>
      <c r="F519" s="55" t="b">
        <v>0</v>
      </c>
      <c r="G519" s="55"/>
      <c r="H519" s="53"/>
      <c r="I519" s="53"/>
      <c r="J519" s="55"/>
      <c r="K519" s="55"/>
      <c r="L519" s="55" t="str">
        <f>'Volunteer Survey'!B929</f>
        <v/>
      </c>
      <c r="M519" s="55" t="str">
        <f>'Volunteer Survey'!E929</f>
        <v/>
      </c>
      <c r="N519" s="55"/>
      <c r="O519" s="48" t="str">
        <f>'Volunteer Survey'!H930</f>
        <v/>
      </c>
      <c r="P519" s="55"/>
      <c r="Q519" s="60" t="str">
        <f>IFERROR(__xludf.DUMMYFUNCTION("QUERY('Volunteer Survey'!J913)"),"")</f>
        <v/>
      </c>
      <c r="R519" s="55"/>
      <c r="S519" s="55"/>
      <c r="T519" s="55" t="str">
        <f>'Volunteer Survey'!M929</f>
        <v/>
      </c>
      <c r="U519" s="64"/>
      <c r="V519" s="55"/>
      <c r="W519" s="66" t="str">
        <f>'Volunteer Survey'!P929</f>
        <v/>
      </c>
      <c r="X519" s="55"/>
      <c r="Y519" s="53"/>
      <c r="Z519" s="55"/>
      <c r="AA519" s="55"/>
      <c r="AB519" s="55"/>
      <c r="AC519" s="55"/>
      <c r="AD519" s="55"/>
      <c r="AE519" s="55"/>
      <c r="AF519" s="55"/>
      <c r="AG519" s="55"/>
      <c r="AH519" s="55"/>
      <c r="AI519" s="55"/>
      <c r="AJ519" s="55"/>
      <c r="AK519" s="55"/>
      <c r="AL519" s="55"/>
      <c r="AM519" s="55"/>
      <c r="AN519" s="55"/>
      <c r="AO519" s="55"/>
    </row>
    <row r="520">
      <c r="A520" s="55" t="str">
        <f>'Volunteer Survey'!A930</f>
        <v/>
      </c>
      <c r="B520" s="48" t="s">
        <v>322</v>
      </c>
      <c r="C520" s="53"/>
      <c r="D520" s="55"/>
      <c r="E520" s="55"/>
      <c r="F520" s="55" t="b">
        <v>0</v>
      </c>
      <c r="G520" s="55"/>
      <c r="H520" s="53"/>
      <c r="I520" s="53"/>
      <c r="J520" s="55"/>
      <c r="K520" s="55"/>
      <c r="L520" s="55" t="str">
        <f>'Volunteer Survey'!B930</f>
        <v/>
      </c>
      <c r="M520" s="55" t="str">
        <f>'Volunteer Survey'!E930</f>
        <v/>
      </c>
      <c r="N520" s="55"/>
      <c r="O520" s="48" t="str">
        <f>'Volunteer Survey'!H931</f>
        <v/>
      </c>
      <c r="P520" s="55"/>
      <c r="Q520" s="60" t="str">
        <f>IFERROR(__xludf.DUMMYFUNCTION("QUERY('Volunteer Survey'!J914)"),"")</f>
        <v/>
      </c>
      <c r="R520" s="55"/>
      <c r="S520" s="55"/>
      <c r="T520" s="55" t="str">
        <f>'Volunteer Survey'!M930</f>
        <v/>
      </c>
      <c r="U520" s="64"/>
      <c r="V520" s="55"/>
      <c r="W520" s="66" t="str">
        <f>'Volunteer Survey'!P930</f>
        <v/>
      </c>
      <c r="X520" s="55"/>
      <c r="Y520" s="53"/>
      <c r="Z520" s="55"/>
      <c r="AA520" s="55"/>
      <c r="AB520" s="55"/>
      <c r="AC520" s="55"/>
      <c r="AD520" s="55"/>
      <c r="AE520" s="55"/>
      <c r="AF520" s="55"/>
      <c r="AG520" s="55"/>
      <c r="AH520" s="55"/>
      <c r="AI520" s="55"/>
      <c r="AJ520" s="55"/>
      <c r="AK520" s="55"/>
      <c r="AL520" s="55"/>
      <c r="AM520" s="55"/>
      <c r="AN520" s="55"/>
      <c r="AO520" s="55"/>
    </row>
    <row r="521">
      <c r="A521" s="55" t="str">
        <f>'Volunteer Survey'!A931</f>
        <v/>
      </c>
      <c r="B521" s="48" t="s">
        <v>322</v>
      </c>
      <c r="C521" s="53"/>
      <c r="D521" s="55"/>
      <c r="E521" s="55"/>
      <c r="F521" s="55" t="b">
        <v>0</v>
      </c>
      <c r="G521" s="55"/>
      <c r="H521" s="53"/>
      <c r="I521" s="53"/>
      <c r="J521" s="55"/>
      <c r="K521" s="55"/>
      <c r="L521" s="55" t="str">
        <f>'Volunteer Survey'!B931</f>
        <v/>
      </c>
      <c r="M521" s="55" t="str">
        <f>'Volunteer Survey'!E931</f>
        <v/>
      </c>
      <c r="N521" s="55"/>
      <c r="O521" s="48" t="str">
        <f>'Volunteer Survey'!H932</f>
        <v/>
      </c>
      <c r="P521" s="55"/>
      <c r="Q521" s="60" t="str">
        <f>IFERROR(__xludf.DUMMYFUNCTION("QUERY('Volunteer Survey'!J915)"),"")</f>
        <v/>
      </c>
      <c r="R521" s="55"/>
      <c r="S521" s="55"/>
      <c r="T521" s="55" t="str">
        <f>'Volunteer Survey'!M931</f>
        <v/>
      </c>
      <c r="U521" s="64"/>
      <c r="V521" s="55"/>
      <c r="W521" s="66" t="str">
        <f>'Volunteer Survey'!P931</f>
        <v/>
      </c>
      <c r="X521" s="55"/>
      <c r="Y521" s="53"/>
      <c r="Z521" s="55"/>
      <c r="AA521" s="55"/>
      <c r="AB521" s="55"/>
      <c r="AC521" s="55"/>
      <c r="AD521" s="55"/>
      <c r="AE521" s="55"/>
      <c r="AF521" s="55"/>
      <c r="AG521" s="55"/>
      <c r="AH521" s="55"/>
      <c r="AI521" s="55"/>
      <c r="AJ521" s="55"/>
      <c r="AK521" s="55"/>
      <c r="AL521" s="55"/>
      <c r="AM521" s="55"/>
      <c r="AN521" s="55"/>
      <c r="AO521" s="55"/>
    </row>
    <row r="522">
      <c r="A522" s="55" t="str">
        <f>'Volunteer Survey'!A932</f>
        <v/>
      </c>
      <c r="B522" s="48" t="s">
        <v>322</v>
      </c>
      <c r="C522" s="53"/>
      <c r="D522" s="55"/>
      <c r="E522" s="55"/>
      <c r="F522" s="55" t="b">
        <v>0</v>
      </c>
      <c r="G522" s="55"/>
      <c r="H522" s="53"/>
      <c r="I522" s="53"/>
      <c r="J522" s="55"/>
      <c r="K522" s="55"/>
      <c r="L522" s="55" t="str">
        <f>'Volunteer Survey'!B932</f>
        <v/>
      </c>
      <c r="M522" s="55" t="str">
        <f>'Volunteer Survey'!E932</f>
        <v/>
      </c>
      <c r="N522" s="55"/>
      <c r="O522" s="48" t="str">
        <f>'Volunteer Survey'!H933</f>
        <v/>
      </c>
      <c r="P522" s="55"/>
      <c r="Q522" s="60" t="str">
        <f>IFERROR(__xludf.DUMMYFUNCTION("QUERY('Volunteer Survey'!J916)"),"")</f>
        <v/>
      </c>
      <c r="R522" s="55"/>
      <c r="S522" s="55"/>
      <c r="T522" s="55" t="str">
        <f>'Volunteer Survey'!M932</f>
        <v/>
      </c>
      <c r="U522" s="64"/>
      <c r="V522" s="55"/>
      <c r="W522" s="66" t="str">
        <f>'Volunteer Survey'!P932</f>
        <v/>
      </c>
      <c r="X522" s="55"/>
      <c r="Y522" s="53"/>
      <c r="Z522" s="55"/>
      <c r="AA522" s="55"/>
      <c r="AB522" s="55"/>
      <c r="AC522" s="55"/>
      <c r="AD522" s="55"/>
      <c r="AE522" s="55"/>
      <c r="AF522" s="55"/>
      <c r="AG522" s="55"/>
      <c r="AH522" s="55"/>
      <c r="AI522" s="55"/>
      <c r="AJ522" s="55"/>
      <c r="AK522" s="55"/>
      <c r="AL522" s="55"/>
      <c r="AM522" s="55"/>
      <c r="AN522" s="55"/>
      <c r="AO522" s="55"/>
    </row>
    <row r="523">
      <c r="A523" s="55" t="str">
        <f>'Volunteer Survey'!A933</f>
        <v/>
      </c>
      <c r="B523" s="48" t="s">
        <v>322</v>
      </c>
      <c r="C523" s="53"/>
      <c r="D523" s="55"/>
      <c r="E523" s="55"/>
      <c r="F523" s="55" t="b">
        <v>0</v>
      </c>
      <c r="G523" s="55"/>
      <c r="H523" s="53"/>
      <c r="I523" s="53"/>
      <c r="J523" s="55"/>
      <c r="K523" s="55"/>
      <c r="L523" s="55" t="str">
        <f>'Volunteer Survey'!B933</f>
        <v/>
      </c>
      <c r="M523" s="55" t="str">
        <f>'Volunteer Survey'!E933</f>
        <v/>
      </c>
      <c r="N523" s="55"/>
      <c r="O523" s="48" t="str">
        <f>'Volunteer Survey'!H934</f>
        <v/>
      </c>
      <c r="P523" s="55"/>
      <c r="Q523" s="60" t="str">
        <f>IFERROR(__xludf.DUMMYFUNCTION("QUERY('Volunteer Survey'!J917)"),"")</f>
        <v/>
      </c>
      <c r="R523" s="55"/>
      <c r="S523" s="55"/>
      <c r="T523" s="55" t="str">
        <f>'Volunteer Survey'!M933</f>
        <v/>
      </c>
      <c r="U523" s="64"/>
      <c r="V523" s="55"/>
      <c r="W523" s="66" t="str">
        <f>'Volunteer Survey'!P933</f>
        <v/>
      </c>
      <c r="X523" s="55"/>
      <c r="Y523" s="53"/>
      <c r="Z523" s="55"/>
      <c r="AA523" s="55"/>
      <c r="AB523" s="55"/>
      <c r="AC523" s="55"/>
      <c r="AD523" s="55"/>
      <c r="AE523" s="55"/>
      <c r="AF523" s="55"/>
      <c r="AG523" s="55"/>
      <c r="AH523" s="55"/>
      <c r="AI523" s="55"/>
      <c r="AJ523" s="55"/>
      <c r="AK523" s="55"/>
      <c r="AL523" s="55"/>
      <c r="AM523" s="55"/>
      <c r="AN523" s="55"/>
      <c r="AO523" s="55"/>
    </row>
    <row r="524">
      <c r="A524" s="55" t="str">
        <f>'Volunteer Survey'!A934</f>
        <v/>
      </c>
      <c r="B524" s="48" t="s">
        <v>322</v>
      </c>
      <c r="C524" s="53"/>
      <c r="D524" s="55"/>
      <c r="E524" s="55"/>
      <c r="F524" s="55" t="b">
        <v>0</v>
      </c>
      <c r="G524" s="55"/>
      <c r="H524" s="53"/>
      <c r="I524" s="53"/>
      <c r="J524" s="55"/>
      <c r="K524" s="55"/>
      <c r="L524" s="55" t="str">
        <f>'Volunteer Survey'!B934</f>
        <v/>
      </c>
      <c r="M524" s="55" t="str">
        <f>'Volunteer Survey'!E934</f>
        <v/>
      </c>
      <c r="N524" s="55"/>
      <c r="O524" s="48" t="str">
        <f>'Volunteer Survey'!H935</f>
        <v/>
      </c>
      <c r="P524" s="55"/>
      <c r="Q524" s="60" t="str">
        <f>IFERROR(__xludf.DUMMYFUNCTION("QUERY('Volunteer Survey'!J918)"),"")</f>
        <v/>
      </c>
      <c r="R524" s="55"/>
      <c r="S524" s="55"/>
      <c r="T524" s="55" t="str">
        <f>'Volunteer Survey'!M934</f>
        <v/>
      </c>
      <c r="U524" s="64"/>
      <c r="V524" s="55"/>
      <c r="W524" s="66" t="str">
        <f>'Volunteer Survey'!P934</f>
        <v/>
      </c>
      <c r="X524" s="55"/>
      <c r="Y524" s="53"/>
      <c r="Z524" s="55"/>
      <c r="AA524" s="55"/>
      <c r="AB524" s="55"/>
      <c r="AC524" s="55"/>
      <c r="AD524" s="55"/>
      <c r="AE524" s="55"/>
      <c r="AF524" s="55"/>
      <c r="AG524" s="55"/>
      <c r="AH524" s="55"/>
      <c r="AI524" s="55"/>
      <c r="AJ524" s="55"/>
      <c r="AK524" s="55"/>
      <c r="AL524" s="55"/>
      <c r="AM524" s="55"/>
      <c r="AN524" s="55"/>
      <c r="AO524" s="55"/>
    </row>
    <row r="525">
      <c r="A525" s="55" t="str">
        <f>'Volunteer Survey'!A935</f>
        <v/>
      </c>
      <c r="B525" s="48" t="s">
        <v>322</v>
      </c>
      <c r="C525" s="53"/>
      <c r="D525" s="55"/>
      <c r="E525" s="55"/>
      <c r="F525" s="55" t="b">
        <v>0</v>
      </c>
      <c r="G525" s="55"/>
      <c r="H525" s="53"/>
      <c r="I525" s="53"/>
      <c r="J525" s="55"/>
      <c r="K525" s="55"/>
      <c r="L525" s="55" t="str">
        <f>'Volunteer Survey'!B935</f>
        <v/>
      </c>
      <c r="M525" s="55" t="str">
        <f>'Volunteer Survey'!E935</f>
        <v/>
      </c>
      <c r="N525" s="55"/>
      <c r="O525" s="48" t="str">
        <f>'Volunteer Survey'!H936</f>
        <v/>
      </c>
      <c r="P525" s="55"/>
      <c r="Q525" s="60" t="str">
        <f>IFERROR(__xludf.DUMMYFUNCTION("QUERY('Volunteer Survey'!J919)"),"")</f>
        <v/>
      </c>
      <c r="R525" s="55"/>
      <c r="S525" s="55"/>
      <c r="T525" s="55" t="str">
        <f>'Volunteer Survey'!M935</f>
        <v/>
      </c>
      <c r="U525" s="64"/>
      <c r="V525" s="55"/>
      <c r="W525" s="66" t="str">
        <f>'Volunteer Survey'!P935</f>
        <v/>
      </c>
      <c r="X525" s="55"/>
      <c r="Y525" s="53"/>
      <c r="Z525" s="55"/>
      <c r="AA525" s="55"/>
      <c r="AB525" s="55"/>
      <c r="AC525" s="55"/>
      <c r="AD525" s="55"/>
      <c r="AE525" s="55"/>
      <c r="AF525" s="55"/>
      <c r="AG525" s="55"/>
      <c r="AH525" s="55"/>
      <c r="AI525" s="55"/>
      <c r="AJ525" s="55"/>
      <c r="AK525" s="55"/>
      <c r="AL525" s="55"/>
      <c r="AM525" s="55"/>
      <c r="AN525" s="55"/>
      <c r="AO525" s="55"/>
    </row>
    <row r="526">
      <c r="A526" s="55" t="str">
        <f>'Volunteer Survey'!A936</f>
        <v/>
      </c>
      <c r="B526" s="48" t="s">
        <v>322</v>
      </c>
      <c r="C526" s="53"/>
      <c r="D526" s="55"/>
      <c r="E526" s="55"/>
      <c r="F526" s="55" t="b">
        <v>0</v>
      </c>
      <c r="G526" s="55"/>
      <c r="H526" s="53"/>
      <c r="I526" s="53"/>
      <c r="J526" s="55"/>
      <c r="K526" s="55"/>
      <c r="L526" s="55" t="str">
        <f>'Volunteer Survey'!B936</f>
        <v/>
      </c>
      <c r="M526" s="55" t="str">
        <f>'Volunteer Survey'!E936</f>
        <v/>
      </c>
      <c r="N526" s="55"/>
      <c r="O526" s="48" t="str">
        <f>'Volunteer Survey'!H937</f>
        <v/>
      </c>
      <c r="P526" s="55"/>
      <c r="Q526" s="60" t="str">
        <f>IFERROR(__xludf.DUMMYFUNCTION("QUERY('Volunteer Survey'!J920)"),"")</f>
        <v/>
      </c>
      <c r="R526" s="55"/>
      <c r="S526" s="55"/>
      <c r="T526" s="55" t="str">
        <f>'Volunteer Survey'!M936</f>
        <v/>
      </c>
      <c r="U526" s="64"/>
      <c r="V526" s="55"/>
      <c r="W526" s="66" t="str">
        <f>'Volunteer Survey'!P936</f>
        <v/>
      </c>
      <c r="X526" s="55"/>
      <c r="Y526" s="53"/>
      <c r="Z526" s="55"/>
      <c r="AA526" s="55"/>
      <c r="AB526" s="55"/>
      <c r="AC526" s="55"/>
      <c r="AD526" s="55"/>
      <c r="AE526" s="55"/>
      <c r="AF526" s="55"/>
      <c r="AG526" s="55"/>
      <c r="AH526" s="55"/>
      <c r="AI526" s="55"/>
      <c r="AJ526" s="55"/>
      <c r="AK526" s="55"/>
      <c r="AL526" s="55"/>
      <c r="AM526" s="55"/>
      <c r="AN526" s="55"/>
      <c r="AO526" s="55"/>
    </row>
    <row r="527">
      <c r="A527" s="55" t="str">
        <f>'Volunteer Survey'!A937</f>
        <v/>
      </c>
      <c r="B527" s="48" t="s">
        <v>322</v>
      </c>
      <c r="C527" s="53"/>
      <c r="D527" s="55"/>
      <c r="E527" s="55"/>
      <c r="F527" s="55" t="b">
        <v>0</v>
      </c>
      <c r="G527" s="55"/>
      <c r="H527" s="53"/>
      <c r="I527" s="53"/>
      <c r="J527" s="55"/>
      <c r="K527" s="55"/>
      <c r="L527" s="55" t="str">
        <f>'Volunteer Survey'!B937</f>
        <v/>
      </c>
      <c r="M527" s="55" t="str">
        <f>'Volunteer Survey'!E937</f>
        <v/>
      </c>
      <c r="N527" s="55"/>
      <c r="O527" s="48" t="str">
        <f>'Volunteer Survey'!H938</f>
        <v/>
      </c>
      <c r="P527" s="55"/>
      <c r="Q527" s="60" t="str">
        <f>IFERROR(__xludf.DUMMYFUNCTION("QUERY('Volunteer Survey'!J921)"),"")</f>
        <v/>
      </c>
      <c r="R527" s="55"/>
      <c r="S527" s="55"/>
      <c r="T527" s="55" t="str">
        <f>'Volunteer Survey'!M937</f>
        <v/>
      </c>
      <c r="U527" s="64"/>
      <c r="V527" s="55"/>
      <c r="W527" s="66" t="str">
        <f>'Volunteer Survey'!P937</f>
        <v/>
      </c>
      <c r="X527" s="55"/>
      <c r="Y527" s="53"/>
      <c r="Z527" s="55"/>
      <c r="AA527" s="55"/>
      <c r="AB527" s="55"/>
      <c r="AC527" s="55"/>
      <c r="AD527" s="55"/>
      <c r="AE527" s="55"/>
      <c r="AF527" s="55"/>
      <c r="AG527" s="55"/>
      <c r="AH527" s="55"/>
      <c r="AI527" s="55"/>
      <c r="AJ527" s="55"/>
      <c r="AK527" s="55"/>
      <c r="AL527" s="55"/>
      <c r="AM527" s="55"/>
      <c r="AN527" s="55"/>
      <c r="AO527" s="55"/>
    </row>
    <row r="528">
      <c r="A528" s="55" t="str">
        <f>'Volunteer Survey'!A938</f>
        <v/>
      </c>
      <c r="B528" s="48" t="s">
        <v>322</v>
      </c>
      <c r="C528" s="53"/>
      <c r="D528" s="55"/>
      <c r="E528" s="55"/>
      <c r="F528" s="55" t="b">
        <v>0</v>
      </c>
      <c r="G528" s="55"/>
      <c r="H528" s="53"/>
      <c r="I528" s="53"/>
      <c r="J528" s="55"/>
      <c r="K528" s="55"/>
      <c r="L528" s="55" t="str">
        <f>'Volunteer Survey'!B938</f>
        <v/>
      </c>
      <c r="M528" s="55" t="str">
        <f>'Volunteer Survey'!E938</f>
        <v/>
      </c>
      <c r="N528" s="55"/>
      <c r="O528" s="48" t="str">
        <f>'Volunteer Survey'!H939</f>
        <v/>
      </c>
      <c r="P528" s="55"/>
      <c r="Q528" s="60" t="str">
        <f>IFERROR(__xludf.DUMMYFUNCTION("QUERY('Volunteer Survey'!J922)"),"")</f>
        <v/>
      </c>
      <c r="R528" s="55"/>
      <c r="S528" s="55"/>
      <c r="T528" s="55" t="str">
        <f>'Volunteer Survey'!M938</f>
        <v/>
      </c>
      <c r="U528" s="64"/>
      <c r="V528" s="55"/>
      <c r="W528" s="66" t="str">
        <f>'Volunteer Survey'!P938</f>
        <v/>
      </c>
      <c r="X528" s="55"/>
      <c r="Y528" s="53"/>
      <c r="Z528" s="55"/>
      <c r="AA528" s="55"/>
      <c r="AB528" s="55"/>
      <c r="AC528" s="55"/>
      <c r="AD528" s="55"/>
      <c r="AE528" s="55"/>
      <c r="AF528" s="55"/>
      <c r="AG528" s="55"/>
      <c r="AH528" s="55"/>
      <c r="AI528" s="55"/>
      <c r="AJ528" s="55"/>
      <c r="AK528" s="55"/>
      <c r="AL528" s="55"/>
      <c r="AM528" s="55"/>
      <c r="AN528" s="55"/>
      <c r="AO528" s="55"/>
    </row>
    <row r="529">
      <c r="A529" s="55" t="str">
        <f>'Volunteer Survey'!A939</f>
        <v/>
      </c>
      <c r="B529" s="48" t="s">
        <v>322</v>
      </c>
      <c r="C529" s="53"/>
      <c r="D529" s="55"/>
      <c r="E529" s="55"/>
      <c r="F529" s="55" t="b">
        <v>0</v>
      </c>
      <c r="G529" s="55"/>
      <c r="H529" s="53"/>
      <c r="I529" s="53"/>
      <c r="J529" s="55"/>
      <c r="K529" s="55"/>
      <c r="L529" s="55" t="str">
        <f>'Volunteer Survey'!B939</f>
        <v/>
      </c>
      <c r="M529" s="55" t="str">
        <f>'Volunteer Survey'!E939</f>
        <v/>
      </c>
      <c r="N529" s="55"/>
      <c r="O529" s="48" t="str">
        <f>'Volunteer Survey'!H940</f>
        <v/>
      </c>
      <c r="P529" s="55"/>
      <c r="Q529" s="60" t="str">
        <f>IFERROR(__xludf.DUMMYFUNCTION("QUERY('Volunteer Survey'!J923)"),"")</f>
        <v/>
      </c>
      <c r="R529" s="55"/>
      <c r="S529" s="55"/>
      <c r="T529" s="55" t="str">
        <f>'Volunteer Survey'!M939</f>
        <v/>
      </c>
      <c r="U529" s="64"/>
      <c r="V529" s="55"/>
      <c r="W529" s="66" t="str">
        <f>'Volunteer Survey'!P939</f>
        <v/>
      </c>
      <c r="X529" s="55"/>
      <c r="Y529" s="53"/>
      <c r="Z529" s="55"/>
      <c r="AA529" s="55"/>
      <c r="AB529" s="55"/>
      <c r="AC529" s="55"/>
      <c r="AD529" s="55"/>
      <c r="AE529" s="55"/>
      <c r="AF529" s="55"/>
      <c r="AG529" s="55"/>
      <c r="AH529" s="55"/>
      <c r="AI529" s="55"/>
      <c r="AJ529" s="55"/>
      <c r="AK529" s="55"/>
      <c r="AL529" s="55"/>
      <c r="AM529" s="55"/>
      <c r="AN529" s="55"/>
      <c r="AO529" s="55"/>
    </row>
    <row r="530">
      <c r="A530" s="55" t="str">
        <f>'Volunteer Survey'!A940</f>
        <v/>
      </c>
      <c r="B530" s="48" t="s">
        <v>322</v>
      </c>
      <c r="C530" s="53"/>
      <c r="D530" s="55"/>
      <c r="E530" s="55"/>
      <c r="F530" s="55" t="b">
        <v>0</v>
      </c>
      <c r="G530" s="55"/>
      <c r="H530" s="53"/>
      <c r="I530" s="53"/>
      <c r="J530" s="55"/>
      <c r="K530" s="55"/>
      <c r="L530" s="55" t="str">
        <f>'Volunteer Survey'!B940</f>
        <v/>
      </c>
      <c r="M530" s="55" t="str">
        <f>'Volunteer Survey'!E940</f>
        <v/>
      </c>
      <c r="N530" s="55"/>
      <c r="O530" s="48" t="str">
        <f>'Volunteer Survey'!H941</f>
        <v/>
      </c>
      <c r="P530" s="55"/>
      <c r="Q530" s="60" t="str">
        <f>IFERROR(__xludf.DUMMYFUNCTION("QUERY('Volunteer Survey'!J924)"),"")</f>
        <v/>
      </c>
      <c r="R530" s="55"/>
      <c r="S530" s="55"/>
      <c r="T530" s="55" t="str">
        <f>'Volunteer Survey'!M940</f>
        <v/>
      </c>
      <c r="U530" s="64"/>
      <c r="V530" s="55"/>
      <c r="W530" s="66" t="str">
        <f>'Volunteer Survey'!P940</f>
        <v/>
      </c>
      <c r="X530" s="55"/>
      <c r="Y530" s="53"/>
      <c r="Z530" s="55"/>
      <c r="AA530" s="55"/>
      <c r="AB530" s="55"/>
      <c r="AC530" s="55"/>
      <c r="AD530" s="55"/>
      <c r="AE530" s="55"/>
      <c r="AF530" s="55"/>
      <c r="AG530" s="55"/>
      <c r="AH530" s="55"/>
      <c r="AI530" s="55"/>
      <c r="AJ530" s="55"/>
      <c r="AK530" s="55"/>
      <c r="AL530" s="55"/>
      <c r="AM530" s="55"/>
      <c r="AN530" s="55"/>
      <c r="AO530" s="55"/>
    </row>
    <row r="531">
      <c r="A531" s="55" t="str">
        <f>'Volunteer Survey'!A941</f>
        <v/>
      </c>
      <c r="B531" s="48" t="s">
        <v>322</v>
      </c>
      <c r="C531" s="53"/>
      <c r="D531" s="55"/>
      <c r="E531" s="55"/>
      <c r="F531" s="55" t="b">
        <v>0</v>
      </c>
      <c r="G531" s="55"/>
      <c r="H531" s="53"/>
      <c r="I531" s="53"/>
      <c r="J531" s="55"/>
      <c r="K531" s="55"/>
      <c r="L531" s="55" t="str">
        <f>'Volunteer Survey'!B941</f>
        <v/>
      </c>
      <c r="M531" s="55" t="str">
        <f>'Volunteer Survey'!E941</f>
        <v/>
      </c>
      <c r="N531" s="55"/>
      <c r="O531" s="48" t="str">
        <f>'Volunteer Survey'!H942</f>
        <v/>
      </c>
      <c r="P531" s="55"/>
      <c r="Q531" s="60" t="str">
        <f>IFERROR(__xludf.DUMMYFUNCTION("QUERY('Volunteer Survey'!J925)"),"")</f>
        <v/>
      </c>
      <c r="R531" s="55"/>
      <c r="S531" s="55"/>
      <c r="T531" s="55" t="str">
        <f>'Volunteer Survey'!M941</f>
        <v/>
      </c>
      <c r="U531" s="64"/>
      <c r="V531" s="55"/>
      <c r="W531" s="66" t="str">
        <f>'Volunteer Survey'!P941</f>
        <v/>
      </c>
      <c r="X531" s="55"/>
      <c r="Y531" s="53"/>
      <c r="Z531" s="55"/>
      <c r="AA531" s="55"/>
      <c r="AB531" s="55"/>
      <c r="AC531" s="55"/>
      <c r="AD531" s="55"/>
      <c r="AE531" s="55"/>
      <c r="AF531" s="55"/>
      <c r="AG531" s="55"/>
      <c r="AH531" s="55"/>
      <c r="AI531" s="55"/>
      <c r="AJ531" s="55"/>
      <c r="AK531" s="55"/>
      <c r="AL531" s="55"/>
      <c r="AM531" s="55"/>
      <c r="AN531" s="55"/>
      <c r="AO531" s="55"/>
    </row>
    <row r="532">
      <c r="A532" s="55" t="str">
        <f>'Volunteer Survey'!A942</f>
        <v/>
      </c>
      <c r="B532" s="48" t="s">
        <v>322</v>
      </c>
      <c r="C532" s="53"/>
      <c r="D532" s="55"/>
      <c r="E532" s="55"/>
      <c r="F532" s="55" t="b">
        <v>0</v>
      </c>
      <c r="G532" s="55"/>
      <c r="H532" s="53"/>
      <c r="I532" s="53"/>
      <c r="J532" s="55"/>
      <c r="K532" s="55"/>
      <c r="L532" s="55" t="str">
        <f>'Volunteer Survey'!B942</f>
        <v/>
      </c>
      <c r="M532" s="55" t="str">
        <f>'Volunteer Survey'!E942</f>
        <v/>
      </c>
      <c r="N532" s="55"/>
      <c r="O532" s="48" t="str">
        <f>'Volunteer Survey'!H943</f>
        <v/>
      </c>
      <c r="P532" s="55"/>
      <c r="Q532" s="60" t="str">
        <f>IFERROR(__xludf.DUMMYFUNCTION("QUERY('Volunteer Survey'!J926)"),"")</f>
        <v/>
      </c>
      <c r="R532" s="55"/>
      <c r="S532" s="55"/>
      <c r="T532" s="55" t="str">
        <f>'Volunteer Survey'!M942</f>
        <v/>
      </c>
      <c r="U532" s="64"/>
      <c r="V532" s="55"/>
      <c r="W532" s="66" t="str">
        <f>'Volunteer Survey'!P942</f>
        <v/>
      </c>
      <c r="X532" s="55"/>
      <c r="Y532" s="53"/>
      <c r="Z532" s="55"/>
      <c r="AA532" s="55"/>
      <c r="AB532" s="55"/>
      <c r="AC532" s="55"/>
      <c r="AD532" s="55"/>
      <c r="AE532" s="55"/>
      <c r="AF532" s="55"/>
      <c r="AG532" s="55"/>
      <c r="AH532" s="55"/>
      <c r="AI532" s="55"/>
      <c r="AJ532" s="55"/>
      <c r="AK532" s="55"/>
      <c r="AL532" s="55"/>
      <c r="AM532" s="55"/>
      <c r="AN532" s="55"/>
      <c r="AO532" s="55"/>
    </row>
    <row r="533">
      <c r="A533" s="55" t="str">
        <f>'Volunteer Survey'!A943</f>
        <v/>
      </c>
      <c r="B533" s="48" t="s">
        <v>322</v>
      </c>
      <c r="C533" s="53"/>
      <c r="D533" s="55"/>
      <c r="E533" s="55"/>
      <c r="F533" s="55" t="b">
        <v>0</v>
      </c>
      <c r="G533" s="55"/>
      <c r="H533" s="53"/>
      <c r="I533" s="53"/>
      <c r="J533" s="55"/>
      <c r="K533" s="55"/>
      <c r="L533" s="55" t="str">
        <f>'Volunteer Survey'!B943</f>
        <v/>
      </c>
      <c r="M533" s="55" t="str">
        <f>'Volunteer Survey'!E943</f>
        <v/>
      </c>
      <c r="N533" s="55"/>
      <c r="O533" s="48" t="str">
        <f>'Volunteer Survey'!H944</f>
        <v/>
      </c>
      <c r="P533" s="55"/>
      <c r="Q533" s="60" t="str">
        <f>IFERROR(__xludf.DUMMYFUNCTION("QUERY('Volunteer Survey'!J927)"),"")</f>
        <v/>
      </c>
      <c r="R533" s="55"/>
      <c r="S533" s="55"/>
      <c r="T533" s="55" t="str">
        <f>'Volunteer Survey'!M943</f>
        <v/>
      </c>
      <c r="U533" s="64"/>
      <c r="V533" s="55"/>
      <c r="W533" s="66" t="str">
        <f>'Volunteer Survey'!P943</f>
        <v/>
      </c>
      <c r="X533" s="55"/>
      <c r="Y533" s="53"/>
      <c r="Z533" s="55"/>
      <c r="AA533" s="55"/>
      <c r="AB533" s="55"/>
      <c r="AC533" s="55"/>
      <c r="AD533" s="55"/>
      <c r="AE533" s="55"/>
      <c r="AF533" s="55"/>
      <c r="AG533" s="55"/>
      <c r="AH533" s="55"/>
      <c r="AI533" s="55"/>
      <c r="AJ533" s="55"/>
      <c r="AK533" s="55"/>
      <c r="AL533" s="55"/>
      <c r="AM533" s="55"/>
      <c r="AN533" s="55"/>
      <c r="AO533" s="55"/>
    </row>
    <row r="534">
      <c r="A534" s="55" t="str">
        <f>'Volunteer Survey'!A944</f>
        <v/>
      </c>
      <c r="B534" s="48" t="s">
        <v>322</v>
      </c>
      <c r="C534" s="53"/>
      <c r="D534" s="55"/>
      <c r="E534" s="55"/>
      <c r="F534" s="55" t="b">
        <v>0</v>
      </c>
      <c r="G534" s="55"/>
      <c r="H534" s="53"/>
      <c r="I534" s="53"/>
      <c r="J534" s="55"/>
      <c r="K534" s="55"/>
      <c r="L534" s="55" t="str">
        <f>'Volunteer Survey'!B944</f>
        <v/>
      </c>
      <c r="M534" s="55" t="str">
        <f>'Volunteer Survey'!E944</f>
        <v/>
      </c>
      <c r="N534" s="55"/>
      <c r="O534" s="48" t="str">
        <f>'Volunteer Survey'!H945</f>
        <v/>
      </c>
      <c r="P534" s="55"/>
      <c r="Q534" s="60" t="str">
        <f>'Volunteer Survey'!J944</f>
        <v/>
      </c>
      <c r="R534" s="55"/>
      <c r="S534" s="55"/>
      <c r="T534" s="55" t="str">
        <f>'Volunteer Survey'!M944</f>
        <v/>
      </c>
      <c r="U534" s="64"/>
      <c r="V534" s="55"/>
      <c r="W534" s="66" t="str">
        <f>'Volunteer Survey'!P944</f>
        <v/>
      </c>
      <c r="X534" s="55"/>
      <c r="Y534" s="53"/>
      <c r="Z534" s="55"/>
      <c r="AA534" s="55"/>
      <c r="AB534" s="55"/>
      <c r="AC534" s="55"/>
      <c r="AD534" s="55"/>
      <c r="AE534" s="55"/>
      <c r="AF534" s="55"/>
      <c r="AG534" s="55"/>
      <c r="AH534" s="55"/>
      <c r="AI534" s="55"/>
      <c r="AJ534" s="55"/>
      <c r="AK534" s="55"/>
      <c r="AL534" s="55"/>
      <c r="AM534" s="55"/>
      <c r="AN534" s="55"/>
      <c r="AO534" s="55"/>
    </row>
    <row r="535">
      <c r="A535" s="55" t="str">
        <f>'Volunteer Survey'!A945</f>
        <v/>
      </c>
      <c r="B535" s="55"/>
      <c r="C535" s="53"/>
      <c r="D535" s="55"/>
      <c r="E535" s="55"/>
      <c r="F535" s="55" t="b">
        <v>0</v>
      </c>
      <c r="G535" s="55"/>
      <c r="H535" s="53"/>
      <c r="I535" s="53"/>
      <c r="J535" s="55"/>
      <c r="K535" s="55"/>
      <c r="L535" s="55" t="str">
        <f>'Volunteer Survey'!B945</f>
        <v/>
      </c>
      <c r="M535" s="55" t="str">
        <f>'Volunteer Survey'!E945</f>
        <v/>
      </c>
      <c r="N535" s="55"/>
      <c r="O535" s="48" t="str">
        <f>'Volunteer Survey'!H946</f>
        <v/>
      </c>
      <c r="P535" s="55"/>
      <c r="Q535" s="60" t="str">
        <f>'Volunteer Survey'!J945</f>
        <v/>
      </c>
      <c r="R535" s="55"/>
      <c r="S535" s="55"/>
      <c r="T535" s="55" t="str">
        <f>'Volunteer Survey'!M945</f>
        <v/>
      </c>
      <c r="U535" s="64"/>
      <c r="V535" s="55"/>
      <c r="W535" s="66" t="str">
        <f>'Volunteer Survey'!P945</f>
        <v/>
      </c>
      <c r="X535" s="55"/>
      <c r="Y535" s="53"/>
      <c r="Z535" s="55"/>
      <c r="AA535" s="55"/>
      <c r="AB535" s="55"/>
      <c r="AC535" s="55"/>
      <c r="AD535" s="55"/>
      <c r="AE535" s="55"/>
      <c r="AF535" s="55"/>
      <c r="AG535" s="55"/>
      <c r="AH535" s="55"/>
      <c r="AI535" s="55"/>
      <c r="AJ535" s="55"/>
      <c r="AK535" s="55"/>
      <c r="AL535" s="55"/>
      <c r="AM535" s="55"/>
      <c r="AN535" s="55"/>
      <c r="AO535" s="55"/>
    </row>
    <row r="536">
      <c r="A536" s="55" t="str">
        <f>'Volunteer Survey'!A946</f>
        <v/>
      </c>
      <c r="B536" s="55"/>
      <c r="C536" s="53"/>
      <c r="D536" s="55"/>
      <c r="E536" s="55"/>
      <c r="F536" s="55" t="b">
        <v>0</v>
      </c>
      <c r="G536" s="55"/>
      <c r="H536" s="53"/>
      <c r="I536" s="53"/>
      <c r="J536" s="55"/>
      <c r="K536" s="55"/>
      <c r="L536" s="55" t="str">
        <f>'Volunteer Survey'!B946</f>
        <v/>
      </c>
      <c r="M536" s="55" t="str">
        <f>'Volunteer Survey'!E946</f>
        <v/>
      </c>
      <c r="N536" s="55"/>
      <c r="O536" s="48" t="str">
        <f>'Volunteer Survey'!H947</f>
        <v/>
      </c>
      <c r="P536" s="55"/>
      <c r="Q536" s="60" t="str">
        <f>'Volunteer Survey'!J946</f>
        <v/>
      </c>
      <c r="R536" s="55"/>
      <c r="S536" s="55"/>
      <c r="T536" s="55" t="str">
        <f>'Volunteer Survey'!M946</f>
        <v/>
      </c>
      <c r="U536" s="64"/>
      <c r="V536" s="55"/>
      <c r="W536" s="66" t="str">
        <f>'Volunteer Survey'!P946</f>
        <v/>
      </c>
      <c r="X536" s="55"/>
      <c r="Y536" s="53"/>
      <c r="Z536" s="55"/>
      <c r="AA536" s="55"/>
      <c r="AB536" s="55"/>
      <c r="AC536" s="55"/>
      <c r="AD536" s="55"/>
      <c r="AE536" s="55"/>
      <c r="AF536" s="55"/>
      <c r="AG536" s="55"/>
      <c r="AH536" s="55"/>
      <c r="AI536" s="55"/>
      <c r="AJ536" s="55"/>
      <c r="AK536" s="55"/>
      <c r="AL536" s="55"/>
      <c r="AM536" s="55"/>
      <c r="AN536" s="55"/>
      <c r="AO536" s="55"/>
    </row>
    <row r="537">
      <c r="A537" s="55" t="str">
        <f>'Volunteer Survey'!A947</f>
        <v/>
      </c>
      <c r="B537" s="55"/>
      <c r="C537" s="53"/>
      <c r="D537" s="55"/>
      <c r="E537" s="55"/>
      <c r="F537" s="55" t="b">
        <v>0</v>
      </c>
      <c r="G537" s="55"/>
      <c r="H537" s="53"/>
      <c r="I537" s="53"/>
      <c r="J537" s="55"/>
      <c r="K537" s="55"/>
      <c r="L537" s="55" t="str">
        <f>'Volunteer Survey'!B947</f>
        <v/>
      </c>
      <c r="M537" s="55" t="str">
        <f>'Volunteer Survey'!E947</f>
        <v/>
      </c>
      <c r="N537" s="55"/>
      <c r="O537" s="48" t="str">
        <f>'Volunteer Survey'!H948</f>
        <v/>
      </c>
      <c r="P537" s="55"/>
      <c r="Q537" s="60" t="str">
        <f>'Volunteer Survey'!J947</f>
        <v/>
      </c>
      <c r="R537" s="55"/>
      <c r="S537" s="55"/>
      <c r="T537" s="55" t="str">
        <f>'Volunteer Survey'!M947</f>
        <v/>
      </c>
      <c r="U537" s="64"/>
      <c r="V537" s="55"/>
      <c r="W537" s="66" t="str">
        <f>'Volunteer Survey'!P947</f>
        <v/>
      </c>
      <c r="X537" s="55"/>
      <c r="Y537" s="53"/>
      <c r="Z537" s="55"/>
      <c r="AA537" s="55"/>
      <c r="AB537" s="55"/>
      <c r="AC537" s="55"/>
      <c r="AD537" s="55"/>
      <c r="AE537" s="55"/>
      <c r="AF537" s="55"/>
      <c r="AG537" s="55"/>
      <c r="AH537" s="55"/>
      <c r="AI537" s="55"/>
      <c r="AJ537" s="55"/>
      <c r="AK537" s="55"/>
      <c r="AL537" s="55"/>
      <c r="AM537" s="55"/>
      <c r="AN537" s="55"/>
      <c r="AO537" s="55"/>
    </row>
    <row r="538">
      <c r="A538" s="55" t="str">
        <f>'Volunteer Survey'!A948</f>
        <v/>
      </c>
      <c r="B538" s="55"/>
      <c r="C538" s="53"/>
      <c r="D538" s="55"/>
      <c r="E538" s="55"/>
      <c r="F538" s="55" t="b">
        <v>0</v>
      </c>
      <c r="G538" s="55"/>
      <c r="H538" s="53"/>
      <c r="I538" s="53"/>
      <c r="J538" s="55"/>
      <c r="K538" s="55"/>
      <c r="L538" s="55" t="str">
        <f>'Volunteer Survey'!B948</f>
        <v/>
      </c>
      <c r="M538" s="55" t="str">
        <f>'Volunteer Survey'!E948</f>
        <v/>
      </c>
      <c r="N538" s="55"/>
      <c r="O538" s="48" t="str">
        <f>'Volunteer Survey'!H949</f>
        <v/>
      </c>
      <c r="P538" s="55"/>
      <c r="Q538" s="60" t="str">
        <f>'Volunteer Survey'!J948</f>
        <v/>
      </c>
      <c r="R538" s="55"/>
      <c r="S538" s="55"/>
      <c r="T538" s="55" t="str">
        <f>'Volunteer Survey'!M948</f>
        <v/>
      </c>
      <c r="U538" s="64"/>
      <c r="V538" s="55"/>
      <c r="W538" s="66" t="str">
        <f>'Volunteer Survey'!P948</f>
        <v/>
      </c>
      <c r="X538" s="55"/>
      <c r="Y538" s="53"/>
      <c r="Z538" s="55"/>
      <c r="AA538" s="55"/>
      <c r="AB538" s="55"/>
      <c r="AC538" s="55"/>
      <c r="AD538" s="55"/>
      <c r="AE538" s="55"/>
      <c r="AF538" s="55"/>
      <c r="AG538" s="55"/>
      <c r="AH538" s="55"/>
      <c r="AI538" s="55"/>
      <c r="AJ538" s="55"/>
      <c r="AK538" s="55"/>
      <c r="AL538" s="55"/>
      <c r="AM538" s="55"/>
      <c r="AN538" s="55"/>
      <c r="AO538" s="55"/>
    </row>
    <row r="539">
      <c r="A539" s="55" t="str">
        <f>'Volunteer Survey'!A949</f>
        <v/>
      </c>
      <c r="B539" s="55"/>
      <c r="C539" s="53"/>
      <c r="D539" s="55"/>
      <c r="E539" s="55"/>
      <c r="F539" s="55" t="b">
        <v>0</v>
      </c>
      <c r="G539" s="55"/>
      <c r="H539" s="53"/>
      <c r="I539" s="53"/>
      <c r="J539" s="55"/>
      <c r="K539" s="55"/>
      <c r="L539" s="55" t="str">
        <f>'Volunteer Survey'!B949</f>
        <v/>
      </c>
      <c r="M539" s="55" t="str">
        <f>'Volunteer Survey'!E949</f>
        <v/>
      </c>
      <c r="N539" s="55"/>
      <c r="O539" s="48" t="str">
        <f>'Volunteer Survey'!H950</f>
        <v/>
      </c>
      <c r="P539" s="55"/>
      <c r="Q539" s="60" t="str">
        <f>'Volunteer Survey'!J949</f>
        <v/>
      </c>
      <c r="R539" s="55"/>
      <c r="S539" s="55"/>
      <c r="T539" s="55" t="str">
        <f>'Volunteer Survey'!M949</f>
        <v/>
      </c>
      <c r="U539" s="64"/>
      <c r="V539" s="55"/>
      <c r="W539" s="66" t="str">
        <f>'Volunteer Survey'!P949</f>
        <v/>
      </c>
      <c r="X539" s="55"/>
      <c r="Y539" s="53"/>
      <c r="Z539" s="55"/>
      <c r="AA539" s="55"/>
      <c r="AB539" s="55"/>
      <c r="AC539" s="55"/>
      <c r="AD539" s="55"/>
      <c r="AE539" s="55"/>
      <c r="AF539" s="55"/>
      <c r="AG539" s="55"/>
      <c r="AH539" s="55"/>
      <c r="AI539" s="55"/>
      <c r="AJ539" s="55"/>
      <c r="AK539" s="55"/>
      <c r="AL539" s="55"/>
      <c r="AM539" s="55"/>
      <c r="AN539" s="55"/>
      <c r="AO539" s="55"/>
    </row>
    <row r="540">
      <c r="A540" s="55" t="str">
        <f>'Volunteer Survey'!A950</f>
        <v/>
      </c>
      <c r="B540" s="55"/>
      <c r="C540" s="53"/>
      <c r="D540" s="55"/>
      <c r="E540" s="55"/>
      <c r="F540" s="55" t="b">
        <v>0</v>
      </c>
      <c r="G540" s="55"/>
      <c r="H540" s="53"/>
      <c r="I540" s="53"/>
      <c r="J540" s="55"/>
      <c r="K540" s="55"/>
      <c r="L540" s="55" t="str">
        <f>'Volunteer Survey'!B950</f>
        <v/>
      </c>
      <c r="M540" s="55" t="str">
        <f>'Volunteer Survey'!E950</f>
        <v/>
      </c>
      <c r="N540" s="55"/>
      <c r="O540" s="48" t="str">
        <f>'Volunteer Survey'!H951</f>
        <v/>
      </c>
      <c r="P540" s="55"/>
      <c r="Q540" s="60" t="str">
        <f>'Volunteer Survey'!J950</f>
        <v/>
      </c>
      <c r="R540" s="55"/>
      <c r="S540" s="55"/>
      <c r="T540" s="55" t="str">
        <f>'Volunteer Survey'!M950</f>
        <v/>
      </c>
      <c r="U540" s="64"/>
      <c r="V540" s="55"/>
      <c r="W540" s="66" t="str">
        <f>'Volunteer Survey'!P950</f>
        <v/>
      </c>
      <c r="X540" s="55"/>
      <c r="Y540" s="53"/>
      <c r="Z540" s="55"/>
      <c r="AA540" s="55"/>
      <c r="AB540" s="55"/>
      <c r="AC540" s="55"/>
      <c r="AD540" s="55"/>
      <c r="AE540" s="55"/>
      <c r="AF540" s="55"/>
      <c r="AG540" s="55"/>
      <c r="AH540" s="55"/>
      <c r="AI540" s="55"/>
      <c r="AJ540" s="55"/>
      <c r="AK540" s="55"/>
      <c r="AL540" s="55"/>
      <c r="AM540" s="55"/>
      <c r="AN540" s="55"/>
      <c r="AO540" s="55"/>
    </row>
    <row r="541">
      <c r="A541" s="55" t="str">
        <f>'Volunteer Survey'!A951</f>
        <v/>
      </c>
      <c r="B541" s="55"/>
      <c r="C541" s="53"/>
      <c r="D541" s="55"/>
      <c r="E541" s="55"/>
      <c r="F541" s="55" t="b">
        <v>0</v>
      </c>
      <c r="G541" s="55"/>
      <c r="H541" s="53"/>
      <c r="I541" s="53"/>
      <c r="J541" s="55"/>
      <c r="K541" s="55"/>
      <c r="L541" s="55" t="str">
        <f>'Volunteer Survey'!B951</f>
        <v/>
      </c>
      <c r="M541" s="55" t="str">
        <f>'Volunteer Survey'!E951</f>
        <v/>
      </c>
      <c r="N541" s="55"/>
      <c r="O541" s="48" t="str">
        <f>'Volunteer Survey'!H952</f>
        <v/>
      </c>
      <c r="P541" s="55"/>
      <c r="Q541" s="60" t="str">
        <f>'Volunteer Survey'!J951</f>
        <v/>
      </c>
      <c r="R541" s="55"/>
      <c r="S541" s="55"/>
      <c r="T541" s="55" t="str">
        <f>'Volunteer Survey'!M951</f>
        <v/>
      </c>
      <c r="U541" s="64"/>
      <c r="V541" s="55"/>
      <c r="W541" s="66" t="str">
        <f>'Volunteer Survey'!P951</f>
        <v/>
      </c>
      <c r="X541" s="55"/>
      <c r="Y541" s="53"/>
      <c r="Z541" s="55"/>
      <c r="AA541" s="55"/>
      <c r="AB541" s="55"/>
      <c r="AC541" s="55"/>
      <c r="AD541" s="55"/>
      <c r="AE541" s="55"/>
      <c r="AF541" s="55"/>
      <c r="AG541" s="55"/>
      <c r="AH541" s="55"/>
      <c r="AI541" s="55"/>
      <c r="AJ541" s="55"/>
      <c r="AK541" s="55"/>
      <c r="AL541" s="55"/>
      <c r="AM541" s="55"/>
      <c r="AN541" s="55"/>
      <c r="AO541" s="55"/>
    </row>
    <row r="542">
      <c r="A542" s="55" t="str">
        <f>'Volunteer Survey'!A952</f>
        <v/>
      </c>
      <c r="B542" s="55"/>
      <c r="C542" s="53"/>
      <c r="D542" s="55"/>
      <c r="E542" s="55"/>
      <c r="F542" s="55" t="b">
        <v>0</v>
      </c>
      <c r="G542" s="55"/>
      <c r="H542" s="53"/>
      <c r="I542" s="53"/>
      <c r="J542" s="55"/>
      <c r="K542" s="55"/>
      <c r="L542" s="55" t="str">
        <f>'Volunteer Survey'!B952</f>
        <v/>
      </c>
      <c r="M542" s="55" t="str">
        <f>'Volunteer Survey'!E952</f>
        <v/>
      </c>
      <c r="N542" s="55"/>
      <c r="O542" s="48" t="str">
        <f>'Volunteer Survey'!H953</f>
        <v/>
      </c>
      <c r="P542" s="55"/>
      <c r="Q542" s="60" t="str">
        <f>'Volunteer Survey'!J952</f>
        <v/>
      </c>
      <c r="R542" s="55"/>
      <c r="S542" s="55"/>
      <c r="T542" s="55" t="str">
        <f>'Volunteer Survey'!M952</f>
        <v/>
      </c>
      <c r="U542" s="64"/>
      <c r="V542" s="55"/>
      <c r="W542" s="66" t="str">
        <f>'Volunteer Survey'!P952</f>
        <v/>
      </c>
      <c r="X542" s="55"/>
      <c r="Y542" s="53"/>
      <c r="Z542" s="55"/>
      <c r="AA542" s="55"/>
      <c r="AB542" s="55"/>
      <c r="AC542" s="55"/>
      <c r="AD542" s="55"/>
      <c r="AE542" s="55"/>
      <c r="AF542" s="55"/>
      <c r="AG542" s="55"/>
      <c r="AH542" s="55"/>
      <c r="AI542" s="55"/>
      <c r="AJ542" s="55"/>
      <c r="AK542" s="55"/>
      <c r="AL542" s="55"/>
      <c r="AM542" s="55"/>
      <c r="AN542" s="55"/>
      <c r="AO542" s="55"/>
    </row>
    <row r="543">
      <c r="A543" s="55" t="str">
        <f>'Volunteer Survey'!A953</f>
        <v/>
      </c>
      <c r="B543" s="55"/>
      <c r="C543" s="53"/>
      <c r="D543" s="55"/>
      <c r="E543" s="55"/>
      <c r="F543" s="55" t="b">
        <v>0</v>
      </c>
      <c r="G543" s="55"/>
      <c r="H543" s="53"/>
      <c r="I543" s="53"/>
      <c r="J543" s="55"/>
      <c r="K543" s="55"/>
      <c r="L543" s="55" t="str">
        <f>'Volunteer Survey'!B953</f>
        <v/>
      </c>
      <c r="M543" s="55" t="str">
        <f>'Volunteer Survey'!E953</f>
        <v/>
      </c>
      <c r="N543" s="55"/>
      <c r="O543" s="48" t="str">
        <f>'Volunteer Survey'!H954</f>
        <v/>
      </c>
      <c r="P543" s="55"/>
      <c r="Q543" s="60" t="str">
        <f>'Volunteer Survey'!J953</f>
        <v/>
      </c>
      <c r="R543" s="55"/>
      <c r="S543" s="55"/>
      <c r="T543" s="55" t="str">
        <f>'Volunteer Survey'!M953</f>
        <v/>
      </c>
      <c r="U543" s="64"/>
      <c r="V543" s="55"/>
      <c r="W543" s="66" t="str">
        <f>'Volunteer Survey'!P953</f>
        <v/>
      </c>
      <c r="X543" s="55"/>
      <c r="Y543" s="53"/>
      <c r="Z543" s="55"/>
      <c r="AA543" s="55"/>
      <c r="AB543" s="55"/>
      <c r="AC543" s="55"/>
      <c r="AD543" s="55"/>
      <c r="AE543" s="55"/>
      <c r="AF543" s="55"/>
      <c r="AG543" s="55"/>
      <c r="AH543" s="55"/>
      <c r="AI543" s="55"/>
      <c r="AJ543" s="55"/>
      <c r="AK543" s="55"/>
      <c r="AL543" s="55"/>
      <c r="AM543" s="55"/>
      <c r="AN543" s="55"/>
      <c r="AO543" s="55"/>
    </row>
    <row r="544">
      <c r="A544" s="55" t="str">
        <f>'Volunteer Survey'!A954</f>
        <v/>
      </c>
      <c r="B544" s="55"/>
      <c r="C544" s="53"/>
      <c r="D544" s="55"/>
      <c r="E544" s="55"/>
      <c r="F544" s="55" t="b">
        <v>0</v>
      </c>
      <c r="G544" s="55"/>
      <c r="H544" s="53"/>
      <c r="I544" s="53"/>
      <c r="J544" s="55"/>
      <c r="K544" s="55"/>
      <c r="L544" s="55" t="str">
        <f>'Volunteer Survey'!B954</f>
        <v/>
      </c>
      <c r="M544" s="55" t="str">
        <f>'Volunteer Survey'!E954</f>
        <v/>
      </c>
      <c r="N544" s="55"/>
      <c r="O544" s="48" t="str">
        <f>'Volunteer Survey'!H955</f>
        <v/>
      </c>
      <c r="P544" s="55"/>
      <c r="Q544" s="60" t="str">
        <f>'Volunteer Survey'!J954</f>
        <v/>
      </c>
      <c r="R544" s="55"/>
      <c r="S544" s="55"/>
      <c r="T544" s="55" t="str">
        <f>'Volunteer Survey'!M954</f>
        <v/>
      </c>
      <c r="U544" s="64"/>
      <c r="V544" s="55"/>
      <c r="W544" s="66" t="str">
        <f>'Volunteer Survey'!P954</f>
        <v/>
      </c>
      <c r="X544" s="55"/>
      <c r="Y544" s="53"/>
      <c r="Z544" s="55"/>
      <c r="AA544" s="55"/>
      <c r="AB544" s="55"/>
      <c r="AC544" s="55"/>
      <c r="AD544" s="55"/>
      <c r="AE544" s="55"/>
      <c r="AF544" s="55"/>
      <c r="AG544" s="55"/>
      <c r="AH544" s="55"/>
      <c r="AI544" s="55"/>
      <c r="AJ544" s="55"/>
      <c r="AK544" s="55"/>
      <c r="AL544" s="55"/>
      <c r="AM544" s="55"/>
      <c r="AN544" s="55"/>
      <c r="AO544" s="55"/>
    </row>
    <row r="545">
      <c r="A545" s="55" t="str">
        <f>'Volunteer Survey'!A955</f>
        <v/>
      </c>
      <c r="B545" s="55"/>
      <c r="C545" s="53"/>
      <c r="D545" s="55"/>
      <c r="E545" s="55"/>
      <c r="F545" s="55" t="b">
        <v>0</v>
      </c>
      <c r="G545" s="55"/>
      <c r="H545" s="53"/>
      <c r="I545" s="53"/>
      <c r="J545" s="55"/>
      <c r="K545" s="55"/>
      <c r="L545" s="55" t="str">
        <f>'Volunteer Survey'!B955</f>
        <v/>
      </c>
      <c r="M545" s="55" t="str">
        <f>'Volunteer Survey'!E955</f>
        <v/>
      </c>
      <c r="N545" s="55"/>
      <c r="O545" s="48" t="str">
        <f>'Volunteer Survey'!H956</f>
        <v/>
      </c>
      <c r="P545" s="55"/>
      <c r="Q545" s="60" t="str">
        <f>'Volunteer Survey'!J955</f>
        <v/>
      </c>
      <c r="R545" s="55"/>
      <c r="S545" s="55"/>
      <c r="T545" s="55" t="str">
        <f>'Volunteer Survey'!M955</f>
        <v/>
      </c>
      <c r="U545" s="64"/>
      <c r="V545" s="55"/>
      <c r="W545" s="66" t="str">
        <f>'Volunteer Survey'!P955</f>
        <v/>
      </c>
      <c r="X545" s="55"/>
      <c r="Y545" s="53"/>
      <c r="Z545" s="55"/>
      <c r="AA545" s="55"/>
      <c r="AB545" s="55"/>
      <c r="AC545" s="55"/>
      <c r="AD545" s="55"/>
      <c r="AE545" s="55"/>
      <c r="AF545" s="55"/>
      <c r="AG545" s="55"/>
      <c r="AH545" s="55"/>
      <c r="AI545" s="55"/>
      <c r="AJ545" s="55"/>
      <c r="AK545" s="55"/>
      <c r="AL545" s="55"/>
      <c r="AM545" s="55"/>
      <c r="AN545" s="55"/>
      <c r="AO545" s="55"/>
    </row>
    <row r="546">
      <c r="A546" s="55" t="str">
        <f>'Volunteer Survey'!A956</f>
        <v/>
      </c>
      <c r="B546" s="55"/>
      <c r="C546" s="53"/>
      <c r="D546" s="55"/>
      <c r="E546" s="55"/>
      <c r="F546" s="55" t="b">
        <v>0</v>
      </c>
      <c r="G546" s="55"/>
      <c r="H546" s="53"/>
      <c r="I546" s="53"/>
      <c r="J546" s="55"/>
      <c r="K546" s="55"/>
      <c r="L546" s="55" t="str">
        <f>'Volunteer Survey'!B956</f>
        <v/>
      </c>
      <c r="M546" s="55" t="str">
        <f>'Volunteer Survey'!E956</f>
        <v/>
      </c>
      <c r="N546" s="55"/>
      <c r="O546" s="48" t="str">
        <f>'Volunteer Survey'!H957</f>
        <v/>
      </c>
      <c r="P546" s="55"/>
      <c r="Q546" s="60" t="str">
        <f>'Volunteer Survey'!J956</f>
        <v/>
      </c>
      <c r="R546" s="55"/>
      <c r="S546" s="55"/>
      <c r="T546" s="55" t="str">
        <f>'Volunteer Survey'!M956</f>
        <v/>
      </c>
      <c r="U546" s="64"/>
      <c r="V546" s="55"/>
      <c r="W546" s="66" t="str">
        <f>'Volunteer Survey'!P956</f>
        <v/>
      </c>
      <c r="X546" s="55"/>
      <c r="Y546" s="53"/>
      <c r="Z546" s="55"/>
      <c r="AA546" s="55"/>
      <c r="AB546" s="55"/>
      <c r="AC546" s="55"/>
      <c r="AD546" s="55"/>
      <c r="AE546" s="55"/>
      <c r="AF546" s="55"/>
      <c r="AG546" s="55"/>
      <c r="AH546" s="55"/>
      <c r="AI546" s="55"/>
      <c r="AJ546" s="55"/>
      <c r="AK546" s="55"/>
      <c r="AL546" s="55"/>
      <c r="AM546" s="55"/>
      <c r="AN546" s="55"/>
      <c r="AO546" s="55"/>
    </row>
    <row r="547">
      <c r="A547" s="55" t="str">
        <f>'Volunteer Survey'!A957</f>
        <v/>
      </c>
      <c r="B547" s="55"/>
      <c r="C547" s="53"/>
      <c r="D547" s="55"/>
      <c r="E547" s="55"/>
      <c r="F547" s="55" t="b">
        <v>0</v>
      </c>
      <c r="G547" s="55"/>
      <c r="H547" s="53"/>
      <c r="I547" s="53"/>
      <c r="J547" s="55"/>
      <c r="K547" s="55"/>
      <c r="L547" s="55" t="str">
        <f>'Volunteer Survey'!B957</f>
        <v/>
      </c>
      <c r="M547" s="55" t="str">
        <f>'Volunteer Survey'!E957</f>
        <v/>
      </c>
      <c r="N547" s="55"/>
      <c r="O547" s="48" t="str">
        <f>'Volunteer Survey'!H958</f>
        <v/>
      </c>
      <c r="P547" s="55"/>
      <c r="Q547" s="60" t="str">
        <f>'Volunteer Survey'!J957</f>
        <v/>
      </c>
      <c r="R547" s="55"/>
      <c r="S547" s="55"/>
      <c r="T547" s="55" t="str">
        <f>'Volunteer Survey'!M957</f>
        <v/>
      </c>
      <c r="U547" s="64"/>
      <c r="V547" s="55"/>
      <c r="W547" s="66" t="str">
        <f>'Volunteer Survey'!P957</f>
        <v/>
      </c>
      <c r="X547" s="55"/>
      <c r="Y547" s="53"/>
      <c r="Z547" s="55"/>
      <c r="AA547" s="55"/>
      <c r="AB547" s="55"/>
      <c r="AC547" s="55"/>
      <c r="AD547" s="55"/>
      <c r="AE547" s="55"/>
      <c r="AF547" s="55"/>
      <c r="AG547" s="55"/>
      <c r="AH547" s="55"/>
      <c r="AI547" s="55"/>
      <c r="AJ547" s="55"/>
      <c r="AK547" s="55"/>
      <c r="AL547" s="55"/>
      <c r="AM547" s="55"/>
      <c r="AN547" s="55"/>
      <c r="AO547" s="55"/>
    </row>
    <row r="548">
      <c r="A548" s="55" t="str">
        <f>'Volunteer Survey'!A958</f>
        <v/>
      </c>
      <c r="B548" s="55"/>
      <c r="C548" s="53"/>
      <c r="D548" s="55"/>
      <c r="E548" s="55"/>
      <c r="F548" s="55" t="b">
        <v>0</v>
      </c>
      <c r="G548" s="55"/>
      <c r="H548" s="53"/>
      <c r="I548" s="53"/>
      <c r="J548" s="55"/>
      <c r="K548" s="55"/>
      <c r="L548" s="55" t="str">
        <f>'Volunteer Survey'!B958</f>
        <v/>
      </c>
      <c r="M548" s="55" t="str">
        <f>'Volunteer Survey'!E958</f>
        <v/>
      </c>
      <c r="N548" s="55"/>
      <c r="O548" s="48" t="str">
        <f>'Volunteer Survey'!H959</f>
        <v/>
      </c>
      <c r="P548" s="55"/>
      <c r="Q548" s="60" t="str">
        <f>'Volunteer Survey'!J958</f>
        <v/>
      </c>
      <c r="R548" s="55"/>
      <c r="S548" s="55"/>
      <c r="T548" s="55" t="str">
        <f>'Volunteer Survey'!M958</f>
        <v/>
      </c>
      <c r="U548" s="64"/>
      <c r="V548" s="55"/>
      <c r="W548" s="66" t="str">
        <f>'Volunteer Survey'!P958</f>
        <v/>
      </c>
      <c r="X548" s="55"/>
      <c r="Y548" s="53"/>
      <c r="Z548" s="55"/>
      <c r="AA548" s="55"/>
      <c r="AB548" s="55"/>
      <c r="AC548" s="55"/>
      <c r="AD548" s="55"/>
      <c r="AE548" s="55"/>
      <c r="AF548" s="55"/>
      <c r="AG548" s="55"/>
      <c r="AH548" s="55"/>
      <c r="AI548" s="55"/>
      <c r="AJ548" s="55"/>
      <c r="AK548" s="55"/>
      <c r="AL548" s="55"/>
      <c r="AM548" s="55"/>
      <c r="AN548" s="55"/>
      <c r="AO548" s="55"/>
    </row>
    <row r="549">
      <c r="A549" s="55" t="str">
        <f>'Volunteer Survey'!A959</f>
        <v/>
      </c>
      <c r="B549" s="55"/>
      <c r="C549" s="53"/>
      <c r="D549" s="55"/>
      <c r="E549" s="55"/>
      <c r="F549" s="55" t="b">
        <v>0</v>
      </c>
      <c r="G549" s="55"/>
      <c r="H549" s="53"/>
      <c r="I549" s="53"/>
      <c r="J549" s="55"/>
      <c r="K549" s="55"/>
      <c r="L549" s="55" t="str">
        <f>'Volunteer Survey'!B959</f>
        <v/>
      </c>
      <c r="M549" s="55" t="str">
        <f>'Volunteer Survey'!E959</f>
        <v/>
      </c>
      <c r="N549" s="55"/>
      <c r="O549" s="48" t="str">
        <f>'Volunteer Survey'!H960</f>
        <v/>
      </c>
      <c r="P549" s="55"/>
      <c r="Q549" s="60" t="str">
        <f>'Volunteer Survey'!J959</f>
        <v/>
      </c>
      <c r="R549" s="55"/>
      <c r="S549" s="55"/>
      <c r="T549" s="55" t="str">
        <f>'Volunteer Survey'!M959</f>
        <v/>
      </c>
      <c r="U549" s="64"/>
      <c r="V549" s="55"/>
      <c r="W549" s="66" t="str">
        <f>'Volunteer Survey'!P959</f>
        <v/>
      </c>
      <c r="X549" s="55"/>
      <c r="Y549" s="53"/>
      <c r="Z549" s="55"/>
      <c r="AA549" s="55"/>
      <c r="AB549" s="55"/>
      <c r="AC549" s="55"/>
      <c r="AD549" s="55"/>
      <c r="AE549" s="55"/>
      <c r="AF549" s="55"/>
      <c r="AG549" s="55"/>
      <c r="AH549" s="55"/>
      <c r="AI549" s="55"/>
      <c r="AJ549" s="55"/>
      <c r="AK549" s="55"/>
      <c r="AL549" s="55"/>
      <c r="AM549" s="55"/>
      <c r="AN549" s="55"/>
      <c r="AO549" s="55"/>
    </row>
    <row r="550">
      <c r="A550" s="55" t="str">
        <f>'Volunteer Survey'!A960</f>
        <v/>
      </c>
      <c r="B550" s="55"/>
      <c r="C550" s="53"/>
      <c r="D550" s="55"/>
      <c r="E550" s="55"/>
      <c r="F550" s="55" t="b">
        <v>0</v>
      </c>
      <c r="G550" s="55"/>
      <c r="H550" s="53"/>
      <c r="I550" s="53"/>
      <c r="J550" s="55"/>
      <c r="K550" s="55"/>
      <c r="L550" s="55" t="str">
        <f>'Volunteer Survey'!B960</f>
        <v/>
      </c>
      <c r="M550" s="55" t="str">
        <f>'Volunteer Survey'!E960</f>
        <v/>
      </c>
      <c r="N550" s="55"/>
      <c r="O550" s="48" t="str">
        <f>'Volunteer Survey'!H961</f>
        <v/>
      </c>
      <c r="P550" s="55"/>
      <c r="Q550" s="60" t="str">
        <f>'Volunteer Survey'!J960</f>
        <v/>
      </c>
      <c r="R550" s="55"/>
      <c r="S550" s="55"/>
      <c r="T550" s="55" t="str">
        <f>'Volunteer Survey'!M960</f>
        <v/>
      </c>
      <c r="U550" s="64"/>
      <c r="V550" s="55"/>
      <c r="W550" s="66" t="str">
        <f>'Volunteer Survey'!P960</f>
        <v/>
      </c>
      <c r="X550" s="55"/>
      <c r="Y550" s="53"/>
      <c r="Z550" s="55"/>
      <c r="AA550" s="55"/>
      <c r="AB550" s="55"/>
      <c r="AC550" s="55"/>
      <c r="AD550" s="55"/>
      <c r="AE550" s="55"/>
      <c r="AF550" s="55"/>
      <c r="AG550" s="55"/>
      <c r="AH550" s="55"/>
      <c r="AI550" s="55"/>
      <c r="AJ550" s="55"/>
      <c r="AK550" s="55"/>
      <c r="AL550" s="55"/>
      <c r="AM550" s="55"/>
      <c r="AN550" s="55"/>
      <c r="AO550" s="55"/>
    </row>
    <row r="551">
      <c r="A551" s="55" t="str">
        <f>'Volunteer Survey'!A961</f>
        <v/>
      </c>
      <c r="B551" s="55"/>
      <c r="C551" s="53"/>
      <c r="D551" s="55"/>
      <c r="E551" s="55"/>
      <c r="F551" s="55" t="b">
        <v>0</v>
      </c>
      <c r="G551" s="55"/>
      <c r="H551" s="53"/>
      <c r="I551" s="53"/>
      <c r="J551" s="55"/>
      <c r="K551" s="55"/>
      <c r="L551" s="55" t="str">
        <f>'Volunteer Survey'!B961</f>
        <v/>
      </c>
      <c r="M551" s="55" t="str">
        <f>'Volunteer Survey'!E961</f>
        <v/>
      </c>
      <c r="N551" s="55"/>
      <c r="O551" s="48" t="str">
        <f>'Volunteer Survey'!H962</f>
        <v/>
      </c>
      <c r="P551" s="55"/>
      <c r="Q551" s="60" t="str">
        <f>'Volunteer Survey'!J961</f>
        <v/>
      </c>
      <c r="R551" s="55"/>
      <c r="S551" s="55"/>
      <c r="T551" s="55" t="str">
        <f>'Volunteer Survey'!M961</f>
        <v/>
      </c>
      <c r="U551" s="64"/>
      <c r="V551" s="55"/>
      <c r="W551" s="66" t="str">
        <f>'Volunteer Survey'!P961</f>
        <v/>
      </c>
      <c r="X551" s="55"/>
      <c r="Y551" s="53"/>
      <c r="Z551" s="55"/>
      <c r="AA551" s="55"/>
      <c r="AB551" s="55"/>
      <c r="AC551" s="55"/>
      <c r="AD551" s="55"/>
      <c r="AE551" s="55"/>
      <c r="AF551" s="55"/>
      <c r="AG551" s="55"/>
      <c r="AH551" s="55"/>
      <c r="AI551" s="55"/>
      <c r="AJ551" s="55"/>
      <c r="AK551" s="55"/>
      <c r="AL551" s="55"/>
      <c r="AM551" s="55"/>
      <c r="AN551" s="55"/>
      <c r="AO551" s="55"/>
    </row>
    <row r="552">
      <c r="A552" s="55" t="str">
        <f>'Volunteer Survey'!A962</f>
        <v/>
      </c>
      <c r="B552" s="55"/>
      <c r="C552" s="53"/>
      <c r="D552" s="55"/>
      <c r="E552" s="55"/>
      <c r="F552" s="55" t="b">
        <v>0</v>
      </c>
      <c r="G552" s="55"/>
      <c r="H552" s="53"/>
      <c r="I552" s="53"/>
      <c r="J552" s="55"/>
      <c r="K552" s="55"/>
      <c r="L552" s="55" t="str">
        <f>'Volunteer Survey'!B962</f>
        <v/>
      </c>
      <c r="M552" s="55" t="str">
        <f>'Volunteer Survey'!E962</f>
        <v/>
      </c>
      <c r="N552" s="55"/>
      <c r="O552" s="48" t="str">
        <f>'Volunteer Survey'!H963</f>
        <v/>
      </c>
      <c r="P552" s="55"/>
      <c r="Q552" s="60" t="str">
        <f>'Volunteer Survey'!J962</f>
        <v/>
      </c>
      <c r="R552" s="55"/>
      <c r="S552" s="55"/>
      <c r="T552" s="55" t="str">
        <f>'Volunteer Survey'!M962</f>
        <v/>
      </c>
      <c r="U552" s="64"/>
      <c r="V552" s="55"/>
      <c r="W552" s="66" t="str">
        <f>'Volunteer Survey'!P962</f>
        <v/>
      </c>
      <c r="X552" s="55"/>
      <c r="Y552" s="53"/>
      <c r="Z552" s="55"/>
      <c r="AA552" s="55"/>
      <c r="AB552" s="55"/>
      <c r="AC552" s="55"/>
      <c r="AD552" s="55"/>
      <c r="AE552" s="55"/>
      <c r="AF552" s="55"/>
      <c r="AG552" s="55"/>
      <c r="AH552" s="55"/>
      <c r="AI552" s="55"/>
      <c r="AJ552" s="55"/>
      <c r="AK552" s="55"/>
      <c r="AL552" s="55"/>
      <c r="AM552" s="55"/>
      <c r="AN552" s="55"/>
      <c r="AO552" s="55"/>
    </row>
    <row r="553">
      <c r="A553" s="55" t="str">
        <f>'Volunteer Survey'!A963</f>
        <v/>
      </c>
      <c r="B553" s="55"/>
      <c r="C553" s="53"/>
      <c r="D553" s="55"/>
      <c r="E553" s="55"/>
      <c r="F553" s="55" t="b">
        <v>0</v>
      </c>
      <c r="G553" s="55"/>
      <c r="H553" s="53"/>
      <c r="I553" s="53"/>
      <c r="J553" s="55"/>
      <c r="K553" s="55"/>
      <c r="L553" s="55" t="str">
        <f>'Volunteer Survey'!B963</f>
        <v/>
      </c>
      <c r="M553" s="55" t="str">
        <f>'Volunteer Survey'!E963</f>
        <v/>
      </c>
      <c r="N553" s="55"/>
      <c r="O553" s="48" t="str">
        <f>'Volunteer Survey'!H964</f>
        <v/>
      </c>
      <c r="P553" s="55"/>
      <c r="Q553" s="60" t="str">
        <f>'Volunteer Survey'!J963</f>
        <v/>
      </c>
      <c r="R553" s="55"/>
      <c r="S553" s="55"/>
      <c r="T553" s="55" t="str">
        <f>'Volunteer Survey'!M963</f>
        <v/>
      </c>
      <c r="U553" s="64"/>
      <c r="V553" s="55"/>
      <c r="W553" s="66" t="str">
        <f>'Volunteer Survey'!P963</f>
        <v/>
      </c>
      <c r="X553" s="55"/>
      <c r="Y553" s="53"/>
      <c r="Z553" s="55"/>
      <c r="AA553" s="55"/>
      <c r="AB553" s="55"/>
      <c r="AC553" s="55"/>
      <c r="AD553" s="55"/>
      <c r="AE553" s="55"/>
      <c r="AF553" s="55"/>
      <c r="AG553" s="55"/>
      <c r="AH553" s="55"/>
      <c r="AI553" s="55"/>
      <c r="AJ553" s="55"/>
      <c r="AK553" s="55"/>
      <c r="AL553" s="55"/>
      <c r="AM553" s="55"/>
      <c r="AN553" s="55"/>
      <c r="AO553" s="55"/>
    </row>
    <row r="554">
      <c r="A554" s="55" t="str">
        <f>'Volunteer Survey'!A964</f>
        <v/>
      </c>
      <c r="B554" s="55"/>
      <c r="C554" s="53"/>
      <c r="D554" s="55"/>
      <c r="E554" s="55"/>
      <c r="F554" s="55" t="b">
        <v>0</v>
      </c>
      <c r="G554" s="55"/>
      <c r="H554" s="53"/>
      <c r="I554" s="53"/>
      <c r="J554" s="55"/>
      <c r="K554" s="55"/>
      <c r="L554" s="55" t="str">
        <f>'Volunteer Survey'!B964</f>
        <v/>
      </c>
      <c r="M554" s="55" t="str">
        <f>'Volunteer Survey'!E964</f>
        <v/>
      </c>
      <c r="N554" s="55"/>
      <c r="O554" s="48" t="str">
        <f>'Volunteer Survey'!H965</f>
        <v/>
      </c>
      <c r="P554" s="55"/>
      <c r="Q554" s="60" t="str">
        <f>'Volunteer Survey'!J964</f>
        <v/>
      </c>
      <c r="R554" s="55"/>
      <c r="S554" s="55"/>
      <c r="T554" s="55" t="str">
        <f>'Volunteer Survey'!M964</f>
        <v/>
      </c>
      <c r="U554" s="64"/>
      <c r="V554" s="55"/>
      <c r="W554" s="66" t="str">
        <f>'Volunteer Survey'!P964</f>
        <v/>
      </c>
      <c r="X554" s="55"/>
      <c r="Y554" s="53"/>
      <c r="Z554" s="55"/>
      <c r="AA554" s="55"/>
      <c r="AB554" s="55"/>
      <c r="AC554" s="55"/>
      <c r="AD554" s="55"/>
      <c r="AE554" s="55"/>
      <c r="AF554" s="55"/>
      <c r="AG554" s="55"/>
      <c r="AH554" s="55"/>
      <c r="AI554" s="55"/>
      <c r="AJ554" s="55"/>
      <c r="AK554" s="55"/>
      <c r="AL554" s="55"/>
      <c r="AM554" s="55"/>
      <c r="AN554" s="55"/>
      <c r="AO554" s="55"/>
    </row>
    <row r="555">
      <c r="A555" s="55" t="str">
        <f>'Volunteer Survey'!A965</f>
        <v/>
      </c>
      <c r="B555" s="55"/>
      <c r="C555" s="53"/>
      <c r="D555" s="55"/>
      <c r="E555" s="55"/>
      <c r="F555" s="55" t="b">
        <v>0</v>
      </c>
      <c r="G555" s="55"/>
      <c r="H555" s="53"/>
      <c r="I555" s="53"/>
      <c r="J555" s="55"/>
      <c r="K555" s="55"/>
      <c r="L555" s="55" t="str">
        <f>'Volunteer Survey'!B965</f>
        <v/>
      </c>
      <c r="M555" s="55" t="str">
        <f>'Volunteer Survey'!E965</f>
        <v/>
      </c>
      <c r="N555" s="55"/>
      <c r="O555" s="48" t="str">
        <f>'Volunteer Survey'!H966</f>
        <v/>
      </c>
      <c r="P555" s="55"/>
      <c r="Q555" s="60" t="str">
        <f>'Volunteer Survey'!J965</f>
        <v/>
      </c>
      <c r="R555" s="55"/>
      <c r="S555" s="55"/>
      <c r="T555" s="55" t="str">
        <f>'Volunteer Survey'!M965</f>
        <v/>
      </c>
      <c r="U555" s="64"/>
      <c r="V555" s="55"/>
      <c r="W555" s="66" t="str">
        <f>'Volunteer Survey'!P965</f>
        <v/>
      </c>
      <c r="X555" s="55"/>
      <c r="Y555" s="53"/>
      <c r="Z555" s="55"/>
      <c r="AA555" s="55"/>
      <c r="AB555" s="55"/>
      <c r="AC555" s="55"/>
      <c r="AD555" s="55"/>
      <c r="AE555" s="55"/>
      <c r="AF555" s="55"/>
      <c r="AG555" s="55"/>
      <c r="AH555" s="55"/>
      <c r="AI555" s="55"/>
      <c r="AJ555" s="55"/>
      <c r="AK555" s="55"/>
      <c r="AL555" s="55"/>
      <c r="AM555" s="55"/>
      <c r="AN555" s="55"/>
      <c r="AO555" s="55"/>
    </row>
    <row r="556">
      <c r="A556" s="55" t="str">
        <f>'Volunteer Survey'!A966</f>
        <v/>
      </c>
      <c r="B556" s="55"/>
      <c r="C556" s="53"/>
      <c r="D556" s="55"/>
      <c r="E556" s="55"/>
      <c r="F556" s="55" t="b">
        <v>0</v>
      </c>
      <c r="G556" s="55"/>
      <c r="H556" s="53"/>
      <c r="I556" s="53"/>
      <c r="J556" s="55"/>
      <c r="K556" s="55"/>
      <c r="L556" s="55" t="str">
        <f>'Volunteer Survey'!B966</f>
        <v/>
      </c>
      <c r="M556" s="55" t="str">
        <f>'Volunteer Survey'!E966</f>
        <v/>
      </c>
      <c r="N556" s="55"/>
      <c r="O556" s="55" t="b">
        <v>0</v>
      </c>
      <c r="P556" s="55"/>
      <c r="Q556" s="60" t="str">
        <f>'Volunteer Survey'!J966</f>
        <v/>
      </c>
      <c r="R556" s="55"/>
      <c r="S556" s="55"/>
      <c r="T556" s="55" t="str">
        <f>'Volunteer Survey'!M966</f>
        <v/>
      </c>
      <c r="U556" s="64"/>
      <c r="V556" s="55"/>
      <c r="W556" s="66" t="str">
        <f>'Volunteer Survey'!P966</f>
        <v/>
      </c>
      <c r="X556" s="55"/>
      <c r="Y556" s="53"/>
      <c r="Z556" s="55"/>
      <c r="AA556" s="55"/>
      <c r="AB556" s="55"/>
      <c r="AC556" s="55"/>
      <c r="AD556" s="55"/>
      <c r="AE556" s="55"/>
      <c r="AF556" s="55"/>
      <c r="AG556" s="55"/>
      <c r="AH556" s="55"/>
      <c r="AI556" s="55"/>
      <c r="AJ556" s="55"/>
      <c r="AK556" s="55"/>
      <c r="AL556" s="55"/>
      <c r="AM556" s="55"/>
      <c r="AN556" s="55"/>
      <c r="AO556" s="55"/>
    </row>
    <row r="557">
      <c r="A557" s="55" t="str">
        <f>'Volunteer Survey'!A967</f>
        <v/>
      </c>
      <c r="B557" s="55"/>
      <c r="C557" s="53"/>
      <c r="D557" s="55"/>
      <c r="E557" s="55"/>
      <c r="F557" s="55" t="b">
        <v>0</v>
      </c>
      <c r="G557" s="55"/>
      <c r="H557" s="53"/>
      <c r="I557" s="53"/>
      <c r="J557" s="55"/>
      <c r="K557" s="55"/>
      <c r="L557" s="55" t="str">
        <f>'Volunteer Survey'!B967</f>
        <v/>
      </c>
      <c r="M557" s="55" t="str">
        <f>'Volunteer Survey'!E967</f>
        <v/>
      </c>
      <c r="N557" s="55"/>
      <c r="O557" s="55" t="b">
        <v>0</v>
      </c>
      <c r="P557" s="55"/>
      <c r="Q557" s="60" t="str">
        <f>'Volunteer Survey'!J967</f>
        <v/>
      </c>
      <c r="R557" s="55"/>
      <c r="S557" s="55"/>
      <c r="T557" s="55" t="str">
        <f>'Volunteer Survey'!M967</f>
        <v/>
      </c>
      <c r="U557" s="64"/>
      <c r="V557" s="55"/>
      <c r="W557" s="66" t="str">
        <f>'Volunteer Survey'!P967</f>
        <v/>
      </c>
      <c r="X557" s="55"/>
      <c r="Y557" s="53"/>
      <c r="Z557" s="55"/>
      <c r="AA557" s="55"/>
      <c r="AB557" s="55"/>
      <c r="AC557" s="55"/>
      <c r="AD557" s="55"/>
      <c r="AE557" s="55"/>
      <c r="AF557" s="55"/>
      <c r="AG557" s="55"/>
      <c r="AH557" s="55"/>
      <c r="AI557" s="55"/>
      <c r="AJ557" s="55"/>
      <c r="AK557" s="55"/>
      <c r="AL557" s="55"/>
      <c r="AM557" s="55"/>
      <c r="AN557" s="55"/>
      <c r="AO557" s="55"/>
    </row>
    <row r="558">
      <c r="A558" s="55" t="str">
        <f>'Volunteer Survey'!A968</f>
        <v/>
      </c>
      <c r="B558" s="55"/>
      <c r="C558" s="53"/>
      <c r="D558" s="55"/>
      <c r="E558" s="55"/>
      <c r="F558" s="55" t="b">
        <v>0</v>
      </c>
      <c r="G558" s="55"/>
      <c r="H558" s="53"/>
      <c r="I558" s="53"/>
      <c r="J558" s="55"/>
      <c r="K558" s="55"/>
      <c r="L558" s="55" t="str">
        <f>'Volunteer Survey'!B968</f>
        <v/>
      </c>
      <c r="M558" s="55" t="str">
        <f>'Volunteer Survey'!E968</f>
        <v/>
      </c>
      <c r="N558" s="55"/>
      <c r="O558" s="55" t="b">
        <v>0</v>
      </c>
      <c r="P558" s="55"/>
      <c r="Q558" s="60" t="str">
        <f>'Volunteer Survey'!J968</f>
        <v/>
      </c>
      <c r="R558" s="55"/>
      <c r="S558" s="55"/>
      <c r="T558" s="55" t="str">
        <f>'Volunteer Survey'!M968</f>
        <v/>
      </c>
      <c r="U558" s="64"/>
      <c r="V558" s="55"/>
      <c r="W558" s="66" t="str">
        <f>'Volunteer Survey'!P968</f>
        <v/>
      </c>
      <c r="X558" s="55"/>
      <c r="Y558" s="53"/>
      <c r="Z558" s="55"/>
      <c r="AA558" s="55"/>
      <c r="AB558" s="55"/>
      <c r="AC558" s="55"/>
      <c r="AD558" s="55"/>
      <c r="AE558" s="55"/>
      <c r="AF558" s="55"/>
      <c r="AG558" s="55"/>
      <c r="AH558" s="55"/>
      <c r="AI558" s="55"/>
      <c r="AJ558" s="55"/>
      <c r="AK558" s="55"/>
      <c r="AL558" s="55"/>
      <c r="AM558" s="55"/>
      <c r="AN558" s="55"/>
      <c r="AO558" s="55"/>
    </row>
    <row r="559">
      <c r="A559" s="55" t="str">
        <f>'Volunteer Survey'!A969</f>
        <v/>
      </c>
      <c r="B559" s="55"/>
      <c r="C559" s="53"/>
      <c r="D559" s="55"/>
      <c r="E559" s="55"/>
      <c r="F559" s="55" t="b">
        <v>0</v>
      </c>
      <c r="G559" s="55"/>
      <c r="H559" s="53"/>
      <c r="I559" s="53"/>
      <c r="J559" s="55"/>
      <c r="K559" s="55"/>
      <c r="L559" s="55" t="str">
        <f>'Volunteer Survey'!B969</f>
        <v/>
      </c>
      <c r="M559" s="55" t="str">
        <f>'Volunteer Survey'!E969</f>
        <v/>
      </c>
      <c r="N559" s="55"/>
      <c r="O559" s="55" t="b">
        <v>0</v>
      </c>
      <c r="P559" s="55"/>
      <c r="Q559" s="60" t="str">
        <f>'Volunteer Survey'!J969</f>
        <v/>
      </c>
      <c r="R559" s="55"/>
      <c r="S559" s="55"/>
      <c r="T559" s="55" t="str">
        <f>'Volunteer Survey'!M969</f>
        <v/>
      </c>
      <c r="U559" s="64"/>
      <c r="V559" s="55"/>
      <c r="W559" s="66" t="str">
        <f>'Volunteer Survey'!P969</f>
        <v/>
      </c>
      <c r="X559" s="55"/>
      <c r="Y559" s="53"/>
      <c r="Z559" s="55"/>
      <c r="AA559" s="55"/>
      <c r="AB559" s="55"/>
      <c r="AC559" s="55"/>
      <c r="AD559" s="55"/>
      <c r="AE559" s="55"/>
      <c r="AF559" s="55"/>
      <c r="AG559" s="55"/>
      <c r="AH559" s="55"/>
      <c r="AI559" s="55"/>
      <c r="AJ559" s="55"/>
      <c r="AK559" s="55"/>
      <c r="AL559" s="55"/>
      <c r="AM559" s="55"/>
      <c r="AN559" s="55"/>
      <c r="AO559" s="55"/>
    </row>
    <row r="560">
      <c r="A560" s="55" t="str">
        <f>'Volunteer Survey'!A970</f>
        <v/>
      </c>
      <c r="B560" s="55"/>
      <c r="C560" s="53"/>
      <c r="D560" s="55"/>
      <c r="E560" s="55"/>
      <c r="F560" s="55" t="b">
        <v>0</v>
      </c>
      <c r="G560" s="55"/>
      <c r="H560" s="53"/>
      <c r="I560" s="53"/>
      <c r="J560" s="55"/>
      <c r="K560" s="55"/>
      <c r="L560" s="55" t="str">
        <f>'Volunteer Survey'!B970</f>
        <v/>
      </c>
      <c r="M560" s="55" t="str">
        <f>'Volunteer Survey'!E970</f>
        <v/>
      </c>
      <c r="N560" s="55"/>
      <c r="O560" s="55" t="b">
        <v>0</v>
      </c>
      <c r="P560" s="55"/>
      <c r="Q560" s="60" t="str">
        <f>'Volunteer Survey'!J970</f>
        <v/>
      </c>
      <c r="R560" s="55"/>
      <c r="S560" s="55"/>
      <c r="T560" s="55" t="str">
        <f>'Volunteer Survey'!M970</f>
        <v/>
      </c>
      <c r="U560" s="64"/>
      <c r="V560" s="55"/>
      <c r="W560" s="66" t="str">
        <f>'Volunteer Survey'!P970</f>
        <v/>
      </c>
      <c r="X560" s="55"/>
      <c r="Y560" s="53"/>
      <c r="Z560" s="55"/>
      <c r="AA560" s="55"/>
      <c r="AB560" s="55"/>
      <c r="AC560" s="55"/>
      <c r="AD560" s="55"/>
      <c r="AE560" s="55"/>
      <c r="AF560" s="55"/>
      <c r="AG560" s="55"/>
      <c r="AH560" s="55"/>
      <c r="AI560" s="55"/>
      <c r="AJ560" s="55"/>
      <c r="AK560" s="55"/>
      <c r="AL560" s="55"/>
      <c r="AM560" s="55"/>
      <c r="AN560" s="55"/>
      <c r="AO560" s="55"/>
    </row>
    <row r="561">
      <c r="A561" s="55" t="str">
        <f>'Volunteer Survey'!A971</f>
        <v/>
      </c>
      <c r="B561" s="55"/>
      <c r="C561" s="53"/>
      <c r="D561" s="55"/>
      <c r="E561" s="55"/>
      <c r="F561" s="55" t="b">
        <v>0</v>
      </c>
      <c r="G561" s="55"/>
      <c r="H561" s="53"/>
      <c r="I561" s="53"/>
      <c r="J561" s="55"/>
      <c r="K561" s="55"/>
      <c r="L561" s="55" t="str">
        <f>'Volunteer Survey'!B971</f>
        <v/>
      </c>
      <c r="M561" s="55" t="str">
        <f>'Volunteer Survey'!E971</f>
        <v/>
      </c>
      <c r="N561" s="55"/>
      <c r="O561" s="55" t="b">
        <v>0</v>
      </c>
      <c r="P561" s="55"/>
      <c r="Q561" s="60" t="str">
        <f>'Volunteer Survey'!J971</f>
        <v/>
      </c>
      <c r="R561" s="55"/>
      <c r="S561" s="55"/>
      <c r="T561" s="55" t="str">
        <f>'Volunteer Survey'!M971</f>
        <v/>
      </c>
      <c r="U561" s="64"/>
      <c r="V561" s="55"/>
      <c r="W561" s="66" t="str">
        <f>'Volunteer Survey'!P971</f>
        <v/>
      </c>
      <c r="X561" s="55"/>
      <c r="Y561" s="53"/>
      <c r="Z561" s="55"/>
      <c r="AA561" s="55"/>
      <c r="AB561" s="55"/>
      <c r="AC561" s="55"/>
      <c r="AD561" s="55"/>
      <c r="AE561" s="55"/>
      <c r="AF561" s="55"/>
      <c r="AG561" s="55"/>
      <c r="AH561" s="55"/>
      <c r="AI561" s="55"/>
      <c r="AJ561" s="55"/>
      <c r="AK561" s="55"/>
      <c r="AL561" s="55"/>
      <c r="AM561" s="55"/>
      <c r="AN561" s="55"/>
      <c r="AO561" s="55"/>
    </row>
    <row r="562">
      <c r="A562" s="55" t="str">
        <f>'Volunteer Survey'!A972</f>
        <v/>
      </c>
      <c r="B562" s="55"/>
      <c r="C562" s="53"/>
      <c r="D562" s="55"/>
      <c r="E562" s="55"/>
      <c r="F562" s="55" t="b">
        <v>0</v>
      </c>
      <c r="G562" s="55"/>
      <c r="H562" s="53"/>
      <c r="I562" s="53"/>
      <c r="J562" s="55"/>
      <c r="K562" s="55"/>
      <c r="L562" s="55" t="str">
        <f>'Volunteer Survey'!B972</f>
        <v/>
      </c>
      <c r="M562" s="55" t="str">
        <f>'Volunteer Survey'!E972</f>
        <v/>
      </c>
      <c r="N562" s="55"/>
      <c r="O562" s="55" t="b">
        <v>0</v>
      </c>
      <c r="P562" s="55"/>
      <c r="Q562" s="60" t="str">
        <f>'Volunteer Survey'!J972</f>
        <v/>
      </c>
      <c r="R562" s="55"/>
      <c r="S562" s="55"/>
      <c r="T562" s="55" t="str">
        <f>'Volunteer Survey'!M972</f>
        <v/>
      </c>
      <c r="U562" s="64"/>
      <c r="V562" s="55"/>
      <c r="W562" s="66" t="str">
        <f>'Volunteer Survey'!P972</f>
        <v/>
      </c>
      <c r="X562" s="55"/>
      <c r="Y562" s="53"/>
      <c r="Z562" s="55"/>
      <c r="AA562" s="55"/>
      <c r="AB562" s="55"/>
      <c r="AC562" s="55"/>
      <c r="AD562" s="55"/>
      <c r="AE562" s="55"/>
      <c r="AF562" s="55"/>
      <c r="AG562" s="55"/>
      <c r="AH562" s="55"/>
      <c r="AI562" s="55"/>
      <c r="AJ562" s="55"/>
      <c r="AK562" s="55"/>
      <c r="AL562" s="55"/>
      <c r="AM562" s="55"/>
      <c r="AN562" s="55"/>
      <c r="AO562" s="55"/>
    </row>
    <row r="563">
      <c r="A563" s="55" t="str">
        <f>'Volunteer Survey'!A973</f>
        <v/>
      </c>
      <c r="B563" s="55"/>
      <c r="C563" s="53"/>
      <c r="D563" s="55"/>
      <c r="E563" s="55"/>
      <c r="F563" s="55" t="b">
        <v>0</v>
      </c>
      <c r="G563" s="55"/>
      <c r="H563" s="53"/>
      <c r="I563" s="53"/>
      <c r="J563" s="55"/>
      <c r="K563" s="55"/>
      <c r="L563" s="55" t="str">
        <f>'Volunteer Survey'!B973</f>
        <v/>
      </c>
      <c r="M563" s="55" t="str">
        <f>'Volunteer Survey'!E973</f>
        <v/>
      </c>
      <c r="N563" s="55"/>
      <c r="O563" s="55" t="b">
        <v>0</v>
      </c>
      <c r="P563" s="55"/>
      <c r="Q563" s="60" t="str">
        <f>'Volunteer Survey'!J973</f>
        <v/>
      </c>
      <c r="R563" s="55"/>
      <c r="S563" s="55"/>
      <c r="T563" s="55" t="str">
        <f>'Volunteer Survey'!M973</f>
        <v/>
      </c>
      <c r="U563" s="64"/>
      <c r="V563" s="55"/>
      <c r="W563" s="66" t="str">
        <f>'Volunteer Survey'!P973</f>
        <v/>
      </c>
      <c r="X563" s="55"/>
      <c r="Y563" s="53"/>
      <c r="Z563" s="55"/>
      <c r="AA563" s="55"/>
      <c r="AB563" s="55"/>
      <c r="AC563" s="55"/>
      <c r="AD563" s="55"/>
      <c r="AE563" s="55"/>
      <c r="AF563" s="55"/>
      <c r="AG563" s="55"/>
      <c r="AH563" s="55"/>
      <c r="AI563" s="55"/>
      <c r="AJ563" s="55"/>
      <c r="AK563" s="55"/>
      <c r="AL563" s="55"/>
      <c r="AM563" s="55"/>
      <c r="AN563" s="55"/>
      <c r="AO563" s="55"/>
    </row>
    <row r="564">
      <c r="A564" s="55" t="str">
        <f>'Volunteer Survey'!A974</f>
        <v/>
      </c>
      <c r="B564" s="55"/>
      <c r="C564" s="53"/>
      <c r="D564" s="55"/>
      <c r="E564" s="55"/>
      <c r="F564" s="55" t="b">
        <v>0</v>
      </c>
      <c r="G564" s="55"/>
      <c r="H564" s="53"/>
      <c r="I564" s="53"/>
      <c r="J564" s="55"/>
      <c r="K564" s="55"/>
      <c r="L564" s="55" t="str">
        <f>'Volunteer Survey'!B974</f>
        <v/>
      </c>
      <c r="M564" s="55" t="str">
        <f>'Volunteer Survey'!E974</f>
        <v/>
      </c>
      <c r="N564" s="55"/>
      <c r="O564" s="55" t="b">
        <v>0</v>
      </c>
      <c r="P564" s="55"/>
      <c r="Q564" s="60" t="str">
        <f>'Volunteer Survey'!J974</f>
        <v/>
      </c>
      <c r="R564" s="55"/>
      <c r="S564" s="55"/>
      <c r="T564" s="55" t="str">
        <f>'Volunteer Survey'!M974</f>
        <v/>
      </c>
      <c r="U564" s="64"/>
      <c r="V564" s="55"/>
      <c r="W564" s="66" t="str">
        <f>'Volunteer Survey'!P974</f>
        <v/>
      </c>
      <c r="X564" s="55"/>
      <c r="Y564" s="53"/>
      <c r="Z564" s="55"/>
      <c r="AA564" s="55"/>
      <c r="AB564" s="55"/>
      <c r="AC564" s="55"/>
      <c r="AD564" s="55"/>
      <c r="AE564" s="55"/>
      <c r="AF564" s="55"/>
      <c r="AG564" s="55"/>
      <c r="AH564" s="55"/>
      <c r="AI564" s="55"/>
      <c r="AJ564" s="55"/>
      <c r="AK564" s="55"/>
      <c r="AL564" s="55"/>
      <c r="AM564" s="55"/>
      <c r="AN564" s="55"/>
      <c r="AO564" s="55"/>
    </row>
    <row r="565">
      <c r="A565" s="55" t="str">
        <f>'Volunteer Survey'!A975</f>
        <v/>
      </c>
      <c r="B565" s="55"/>
      <c r="C565" s="53"/>
      <c r="D565" s="55"/>
      <c r="E565" s="55"/>
      <c r="F565" s="55" t="b">
        <v>0</v>
      </c>
      <c r="G565" s="55"/>
      <c r="H565" s="53"/>
      <c r="I565" s="53"/>
      <c r="J565" s="55"/>
      <c r="K565" s="55"/>
      <c r="L565" s="55" t="str">
        <f>'Volunteer Survey'!B975</f>
        <v/>
      </c>
      <c r="M565" s="55" t="str">
        <f>'Volunteer Survey'!E975</f>
        <v/>
      </c>
      <c r="N565" s="55"/>
      <c r="O565" s="55" t="b">
        <v>0</v>
      </c>
      <c r="P565" s="55"/>
      <c r="Q565" s="60" t="str">
        <f>'Volunteer Survey'!J975</f>
        <v/>
      </c>
      <c r="R565" s="55"/>
      <c r="S565" s="55"/>
      <c r="T565" s="55" t="str">
        <f>'Volunteer Survey'!M975</f>
        <v/>
      </c>
      <c r="U565" s="64"/>
      <c r="V565" s="55"/>
      <c r="W565" s="66" t="str">
        <f>'Volunteer Survey'!P975</f>
        <v/>
      </c>
      <c r="X565" s="55"/>
      <c r="Y565" s="53"/>
      <c r="Z565" s="55"/>
      <c r="AA565" s="55"/>
      <c r="AB565" s="55"/>
      <c r="AC565" s="55"/>
      <c r="AD565" s="55"/>
      <c r="AE565" s="55"/>
      <c r="AF565" s="55"/>
      <c r="AG565" s="55"/>
      <c r="AH565" s="55"/>
      <c r="AI565" s="55"/>
      <c r="AJ565" s="55"/>
      <c r="AK565" s="55"/>
      <c r="AL565" s="55"/>
      <c r="AM565" s="55"/>
      <c r="AN565" s="55"/>
      <c r="AO565" s="55"/>
    </row>
    <row r="566">
      <c r="A566" s="55" t="str">
        <f>'Volunteer Survey'!A976</f>
        <v/>
      </c>
      <c r="B566" s="55"/>
      <c r="C566" s="53"/>
      <c r="D566" s="55"/>
      <c r="E566" s="55"/>
      <c r="F566" s="55" t="b">
        <v>0</v>
      </c>
      <c r="G566" s="55"/>
      <c r="H566" s="53"/>
      <c r="I566" s="53"/>
      <c r="J566" s="55"/>
      <c r="K566" s="55"/>
      <c r="L566" s="55" t="str">
        <f>'Volunteer Survey'!B976</f>
        <v/>
      </c>
      <c r="M566" s="55" t="str">
        <f>'Volunteer Survey'!E976</f>
        <v/>
      </c>
      <c r="N566" s="55"/>
      <c r="O566" s="55" t="b">
        <v>0</v>
      </c>
      <c r="P566" s="55"/>
      <c r="Q566" s="60" t="str">
        <f>'Volunteer Survey'!J976</f>
        <v/>
      </c>
      <c r="R566" s="55"/>
      <c r="S566" s="55"/>
      <c r="T566" s="55" t="str">
        <f>'Volunteer Survey'!M976</f>
        <v/>
      </c>
      <c r="U566" s="64"/>
      <c r="V566" s="55"/>
      <c r="W566" s="66" t="str">
        <f>'Volunteer Survey'!P976</f>
        <v/>
      </c>
      <c r="X566" s="55"/>
      <c r="Y566" s="53"/>
      <c r="Z566" s="55"/>
      <c r="AA566" s="55"/>
      <c r="AB566" s="55"/>
      <c r="AC566" s="55"/>
      <c r="AD566" s="55"/>
      <c r="AE566" s="55"/>
      <c r="AF566" s="55"/>
      <c r="AG566" s="55"/>
      <c r="AH566" s="55"/>
      <c r="AI566" s="55"/>
      <c r="AJ566" s="55"/>
      <c r="AK566" s="55"/>
      <c r="AL566" s="55"/>
      <c r="AM566" s="55"/>
      <c r="AN566" s="55"/>
      <c r="AO566" s="55"/>
    </row>
    <row r="567">
      <c r="A567" s="55" t="str">
        <f>'Volunteer Survey'!A977</f>
        <v/>
      </c>
      <c r="B567" s="55"/>
      <c r="C567" s="53"/>
      <c r="D567" s="55"/>
      <c r="E567" s="55"/>
      <c r="F567" s="55" t="b">
        <v>0</v>
      </c>
      <c r="G567" s="55"/>
      <c r="H567" s="53"/>
      <c r="I567" s="53"/>
      <c r="J567" s="55"/>
      <c r="K567" s="55"/>
      <c r="L567" s="55" t="str">
        <f>'Volunteer Survey'!B977</f>
        <v/>
      </c>
      <c r="M567" s="55" t="str">
        <f>'Volunteer Survey'!E977</f>
        <v/>
      </c>
      <c r="N567" s="55"/>
      <c r="O567" s="55" t="b">
        <v>0</v>
      </c>
      <c r="P567" s="55"/>
      <c r="Q567" s="60" t="str">
        <f>'Volunteer Survey'!J977</f>
        <v/>
      </c>
      <c r="R567" s="55"/>
      <c r="S567" s="55"/>
      <c r="T567" s="55" t="str">
        <f>'Volunteer Survey'!M977</f>
        <v/>
      </c>
      <c r="U567" s="64"/>
      <c r="V567" s="55"/>
      <c r="W567" s="66" t="str">
        <f>'Volunteer Survey'!P977</f>
        <v/>
      </c>
      <c r="X567" s="55"/>
      <c r="Y567" s="53"/>
      <c r="Z567" s="55"/>
      <c r="AA567" s="55"/>
      <c r="AB567" s="55"/>
      <c r="AC567" s="55"/>
      <c r="AD567" s="55"/>
      <c r="AE567" s="55"/>
      <c r="AF567" s="55"/>
      <c r="AG567" s="55"/>
      <c r="AH567" s="55"/>
      <c r="AI567" s="55"/>
      <c r="AJ567" s="55"/>
      <c r="AK567" s="55"/>
      <c r="AL567" s="55"/>
      <c r="AM567" s="55"/>
      <c r="AN567" s="55"/>
      <c r="AO567" s="55"/>
    </row>
    <row r="568">
      <c r="A568" s="55" t="str">
        <f>'Volunteer Survey'!A978</f>
        <v/>
      </c>
      <c r="B568" s="55"/>
      <c r="C568" s="53"/>
      <c r="D568" s="55"/>
      <c r="E568" s="55"/>
      <c r="F568" s="55" t="b">
        <v>0</v>
      </c>
      <c r="G568" s="55"/>
      <c r="H568" s="53"/>
      <c r="I568" s="53"/>
      <c r="J568" s="55"/>
      <c r="K568" s="55"/>
      <c r="L568" s="55" t="str">
        <f>'Volunteer Survey'!B978</f>
        <v/>
      </c>
      <c r="M568" s="55" t="str">
        <f>'Volunteer Survey'!E978</f>
        <v/>
      </c>
      <c r="N568" s="55"/>
      <c r="O568" s="55" t="b">
        <v>0</v>
      </c>
      <c r="P568" s="55"/>
      <c r="Q568" s="60" t="str">
        <f>'Volunteer Survey'!J978</f>
        <v/>
      </c>
      <c r="R568" s="55"/>
      <c r="S568" s="55"/>
      <c r="T568" s="55" t="str">
        <f>'Volunteer Survey'!M978</f>
        <v/>
      </c>
      <c r="U568" s="64"/>
      <c r="V568" s="55"/>
      <c r="W568" s="66" t="str">
        <f>'Volunteer Survey'!P978</f>
        <v/>
      </c>
      <c r="X568" s="55"/>
      <c r="Y568" s="53"/>
      <c r="Z568" s="55"/>
      <c r="AA568" s="55"/>
      <c r="AB568" s="55"/>
      <c r="AC568" s="55"/>
      <c r="AD568" s="55"/>
      <c r="AE568" s="55"/>
      <c r="AF568" s="55"/>
      <c r="AG568" s="55"/>
      <c r="AH568" s="55"/>
      <c r="AI568" s="55"/>
      <c r="AJ568" s="55"/>
      <c r="AK568" s="55"/>
      <c r="AL568" s="55"/>
      <c r="AM568" s="55"/>
      <c r="AN568" s="55"/>
      <c r="AO568" s="55"/>
    </row>
    <row r="569">
      <c r="A569" s="55" t="str">
        <f>'Volunteer Survey'!A979</f>
        <v/>
      </c>
      <c r="B569" s="55"/>
      <c r="C569" s="53"/>
      <c r="D569" s="55"/>
      <c r="E569" s="55"/>
      <c r="F569" s="55" t="b">
        <v>0</v>
      </c>
      <c r="G569" s="55"/>
      <c r="H569" s="53"/>
      <c r="I569" s="53"/>
      <c r="J569" s="55"/>
      <c r="K569" s="55"/>
      <c r="L569" s="55" t="str">
        <f>'Volunteer Survey'!B979</f>
        <v/>
      </c>
      <c r="M569" s="55" t="str">
        <f>'Volunteer Survey'!E979</f>
        <v/>
      </c>
      <c r="N569" s="55"/>
      <c r="O569" s="55" t="b">
        <v>0</v>
      </c>
      <c r="P569" s="55"/>
      <c r="Q569" s="60" t="str">
        <f>'Volunteer Survey'!J979</f>
        <v/>
      </c>
      <c r="R569" s="55"/>
      <c r="S569" s="55"/>
      <c r="T569" s="55" t="str">
        <f>'Volunteer Survey'!M979</f>
        <v/>
      </c>
      <c r="U569" s="64"/>
      <c r="V569" s="55"/>
      <c r="W569" s="66" t="str">
        <f>'Volunteer Survey'!P979</f>
        <v/>
      </c>
      <c r="X569" s="55"/>
      <c r="Y569" s="53"/>
      <c r="Z569" s="55"/>
      <c r="AA569" s="55"/>
      <c r="AB569" s="55"/>
      <c r="AC569" s="55"/>
      <c r="AD569" s="55"/>
      <c r="AE569" s="55"/>
      <c r="AF569" s="55"/>
      <c r="AG569" s="55"/>
      <c r="AH569" s="55"/>
      <c r="AI569" s="55"/>
      <c r="AJ569" s="55"/>
      <c r="AK569" s="55"/>
      <c r="AL569" s="55"/>
      <c r="AM569" s="55"/>
      <c r="AN569" s="55"/>
      <c r="AO569" s="55"/>
    </row>
    <row r="570">
      <c r="A570" s="55" t="str">
        <f>'Volunteer Survey'!A980</f>
        <v/>
      </c>
      <c r="B570" s="55"/>
      <c r="C570" s="53"/>
      <c r="D570" s="55"/>
      <c r="E570" s="55"/>
      <c r="F570" s="55" t="b">
        <v>0</v>
      </c>
      <c r="G570" s="55"/>
      <c r="H570" s="53"/>
      <c r="I570" s="53"/>
      <c r="J570" s="55"/>
      <c r="K570" s="55"/>
      <c r="L570" s="55" t="str">
        <f>'Volunteer Survey'!B980</f>
        <v/>
      </c>
      <c r="M570" s="55" t="str">
        <f>'Volunteer Survey'!E980</f>
        <v/>
      </c>
      <c r="N570" s="55"/>
      <c r="O570" s="55" t="b">
        <v>0</v>
      </c>
      <c r="P570" s="55"/>
      <c r="Q570" s="60" t="str">
        <f>'Volunteer Survey'!J980</f>
        <v/>
      </c>
      <c r="R570" s="55"/>
      <c r="S570" s="55"/>
      <c r="T570" s="55" t="str">
        <f>'Volunteer Survey'!M980</f>
        <v/>
      </c>
      <c r="U570" s="64"/>
      <c r="V570" s="55"/>
      <c r="W570" s="66" t="str">
        <f>'Volunteer Survey'!P980</f>
        <v/>
      </c>
      <c r="X570" s="55"/>
      <c r="Y570" s="53"/>
      <c r="Z570" s="55"/>
      <c r="AA570" s="55"/>
      <c r="AB570" s="55"/>
      <c r="AC570" s="55"/>
      <c r="AD570" s="55"/>
      <c r="AE570" s="55"/>
      <c r="AF570" s="55"/>
      <c r="AG570" s="55"/>
      <c r="AH570" s="55"/>
      <c r="AI570" s="55"/>
      <c r="AJ570" s="55"/>
      <c r="AK570" s="55"/>
      <c r="AL570" s="55"/>
      <c r="AM570" s="55"/>
      <c r="AN570" s="55"/>
      <c r="AO570" s="55"/>
    </row>
    <row r="571">
      <c r="A571" s="55" t="str">
        <f>'Volunteer Survey'!A981</f>
        <v/>
      </c>
      <c r="B571" s="55"/>
      <c r="C571" s="53"/>
      <c r="D571" s="55"/>
      <c r="E571" s="55"/>
      <c r="F571" s="55" t="b">
        <v>0</v>
      </c>
      <c r="G571" s="55"/>
      <c r="H571" s="53"/>
      <c r="I571" s="53"/>
      <c r="J571" s="55"/>
      <c r="K571" s="55"/>
      <c r="L571" s="55" t="str">
        <f>'Volunteer Survey'!B981</f>
        <v/>
      </c>
      <c r="M571" s="55"/>
      <c r="N571" s="55"/>
      <c r="O571" s="55" t="b">
        <v>0</v>
      </c>
      <c r="P571" s="55"/>
      <c r="Q571" s="60" t="str">
        <f>'Volunteer Survey'!J981</f>
        <v/>
      </c>
      <c r="R571" s="55"/>
      <c r="S571" s="55"/>
      <c r="T571" s="55" t="str">
        <f>'Volunteer Survey'!M981</f>
        <v/>
      </c>
      <c r="U571" s="64"/>
      <c r="V571" s="55"/>
      <c r="W571" s="66" t="str">
        <f>'Volunteer Survey'!P981</f>
        <v/>
      </c>
      <c r="X571" s="55"/>
      <c r="Y571" s="53"/>
      <c r="Z571" s="55"/>
      <c r="AA571" s="55"/>
      <c r="AB571" s="55"/>
      <c r="AC571" s="55"/>
      <c r="AD571" s="55"/>
      <c r="AE571" s="55"/>
      <c r="AF571" s="55"/>
      <c r="AG571" s="55"/>
      <c r="AH571" s="55"/>
      <c r="AI571" s="55"/>
      <c r="AJ571" s="55"/>
      <c r="AK571" s="55"/>
      <c r="AL571" s="55"/>
      <c r="AM571" s="55"/>
      <c r="AN571" s="55"/>
      <c r="AO571" s="55"/>
    </row>
    <row r="572">
      <c r="A572" s="55" t="str">
        <f>'Volunteer Survey'!A982</f>
        <v/>
      </c>
      <c r="B572" s="55"/>
      <c r="C572" s="53"/>
      <c r="D572" s="55"/>
      <c r="E572" s="55"/>
      <c r="F572" s="55" t="b">
        <v>0</v>
      </c>
      <c r="G572" s="55"/>
      <c r="H572" s="53"/>
      <c r="I572" s="53"/>
      <c r="J572" s="55"/>
      <c r="K572" s="55"/>
      <c r="L572" s="55" t="str">
        <f>'Volunteer Survey'!B982</f>
        <v/>
      </c>
      <c r="M572" s="55"/>
      <c r="N572" s="55"/>
      <c r="O572" s="55" t="b">
        <v>0</v>
      </c>
      <c r="P572" s="55"/>
      <c r="Q572" s="60" t="str">
        <f>'Volunteer Survey'!J982</f>
        <v/>
      </c>
      <c r="R572" s="55"/>
      <c r="S572" s="55"/>
      <c r="T572" s="55" t="str">
        <f>'Volunteer Survey'!M982</f>
        <v/>
      </c>
      <c r="U572" s="64"/>
      <c r="V572" s="55"/>
      <c r="W572" s="66" t="str">
        <f>'Volunteer Survey'!P982</f>
        <v/>
      </c>
      <c r="X572" s="55"/>
      <c r="Y572" s="53"/>
      <c r="Z572" s="55"/>
      <c r="AA572" s="55"/>
      <c r="AB572" s="55"/>
      <c r="AC572" s="55"/>
      <c r="AD572" s="55"/>
      <c r="AE572" s="55"/>
      <c r="AF572" s="55"/>
      <c r="AG572" s="55"/>
      <c r="AH572" s="55"/>
      <c r="AI572" s="55"/>
      <c r="AJ572" s="55"/>
      <c r="AK572" s="55"/>
      <c r="AL572" s="55"/>
      <c r="AM572" s="55"/>
      <c r="AN572" s="55"/>
      <c r="AO572" s="55"/>
    </row>
    <row r="573">
      <c r="A573" s="55" t="str">
        <f>'Volunteer Survey'!A983</f>
        <v/>
      </c>
      <c r="B573" s="55"/>
      <c r="C573" s="53"/>
      <c r="D573" s="55"/>
      <c r="E573" s="55"/>
      <c r="F573" s="55" t="b">
        <v>0</v>
      </c>
      <c r="G573" s="55"/>
      <c r="H573" s="53"/>
      <c r="I573" s="53"/>
      <c r="J573" s="55"/>
      <c r="K573" s="55"/>
      <c r="L573" s="55" t="str">
        <f>'Volunteer Survey'!B983</f>
        <v/>
      </c>
      <c r="M573" s="55"/>
      <c r="N573" s="55"/>
      <c r="O573" s="55" t="b">
        <v>0</v>
      </c>
      <c r="P573" s="55"/>
      <c r="Q573" s="60" t="str">
        <f>'Volunteer Survey'!J983</f>
        <v/>
      </c>
      <c r="R573" s="55"/>
      <c r="S573" s="55"/>
      <c r="T573" s="55" t="str">
        <f>'Volunteer Survey'!M983</f>
        <v/>
      </c>
      <c r="U573" s="64"/>
      <c r="V573" s="55"/>
      <c r="W573" s="66" t="str">
        <f>'Volunteer Survey'!P983</f>
        <v/>
      </c>
      <c r="X573" s="55"/>
      <c r="Y573" s="53"/>
      <c r="Z573" s="55"/>
      <c r="AA573" s="55"/>
      <c r="AB573" s="55"/>
      <c r="AC573" s="55"/>
      <c r="AD573" s="55"/>
      <c r="AE573" s="55"/>
      <c r="AF573" s="55"/>
      <c r="AG573" s="55"/>
      <c r="AH573" s="55"/>
      <c r="AI573" s="55"/>
      <c r="AJ573" s="55"/>
      <c r="AK573" s="55"/>
      <c r="AL573" s="55"/>
      <c r="AM573" s="55"/>
      <c r="AN573" s="55"/>
      <c r="AO573" s="55"/>
    </row>
    <row r="574">
      <c r="A574" s="55" t="str">
        <f>'Volunteer Survey'!A984</f>
        <v/>
      </c>
      <c r="B574" s="55"/>
      <c r="C574" s="53"/>
      <c r="D574" s="55"/>
      <c r="E574" s="55"/>
      <c r="F574" s="55" t="b">
        <v>0</v>
      </c>
      <c r="G574" s="55"/>
      <c r="H574" s="53"/>
      <c r="I574" s="53"/>
      <c r="J574" s="55"/>
      <c r="K574" s="55"/>
      <c r="L574" s="55" t="str">
        <f>'Volunteer Survey'!B984</f>
        <v/>
      </c>
      <c r="M574" s="55"/>
      <c r="N574" s="55"/>
      <c r="O574" s="55" t="b">
        <v>0</v>
      </c>
      <c r="P574" s="55"/>
      <c r="Q574" s="60" t="str">
        <f>'Volunteer Survey'!J984</f>
        <v/>
      </c>
      <c r="R574" s="55"/>
      <c r="S574" s="55"/>
      <c r="T574" s="55" t="str">
        <f>'Volunteer Survey'!M984</f>
        <v/>
      </c>
      <c r="U574" s="64"/>
      <c r="V574" s="55"/>
      <c r="W574" s="66" t="str">
        <f>'Volunteer Survey'!P984</f>
        <v/>
      </c>
      <c r="X574" s="55"/>
      <c r="Y574" s="53"/>
      <c r="Z574" s="55"/>
      <c r="AA574" s="55"/>
      <c r="AB574" s="55"/>
      <c r="AC574" s="55"/>
      <c r="AD574" s="55"/>
      <c r="AE574" s="55"/>
      <c r="AF574" s="55"/>
      <c r="AG574" s="55"/>
      <c r="AH574" s="55"/>
      <c r="AI574" s="55"/>
      <c r="AJ574" s="55"/>
      <c r="AK574" s="55"/>
      <c r="AL574" s="55"/>
      <c r="AM574" s="55"/>
      <c r="AN574" s="55"/>
      <c r="AO574" s="55"/>
    </row>
    <row r="575">
      <c r="A575" s="55" t="str">
        <f>'Volunteer Survey'!A985</f>
        <v/>
      </c>
      <c r="B575" s="55"/>
      <c r="C575" s="53"/>
      <c r="D575" s="55"/>
      <c r="E575" s="55"/>
      <c r="F575" s="55" t="b">
        <v>0</v>
      </c>
      <c r="G575" s="55"/>
      <c r="H575" s="53"/>
      <c r="I575" s="53"/>
      <c r="J575" s="55"/>
      <c r="K575" s="55"/>
      <c r="L575" s="55" t="str">
        <f>'Volunteer Survey'!B985</f>
        <v/>
      </c>
      <c r="M575" s="55"/>
      <c r="N575" s="55"/>
      <c r="O575" s="55" t="b">
        <v>0</v>
      </c>
      <c r="P575" s="55"/>
      <c r="Q575" s="60" t="str">
        <f>'Volunteer Survey'!J985</f>
        <v/>
      </c>
      <c r="R575" s="55"/>
      <c r="S575" s="55"/>
      <c r="T575" s="55" t="str">
        <f>'Volunteer Survey'!M985</f>
        <v/>
      </c>
      <c r="U575" s="64"/>
      <c r="V575" s="55"/>
      <c r="W575" s="66" t="str">
        <f>'Volunteer Survey'!P985</f>
        <v/>
      </c>
      <c r="X575" s="55"/>
      <c r="Y575" s="53"/>
      <c r="Z575" s="55"/>
      <c r="AA575" s="55"/>
      <c r="AB575" s="55"/>
      <c r="AC575" s="55"/>
      <c r="AD575" s="55"/>
      <c r="AE575" s="55"/>
      <c r="AF575" s="55"/>
      <c r="AG575" s="55"/>
      <c r="AH575" s="55"/>
      <c r="AI575" s="55"/>
      <c r="AJ575" s="55"/>
      <c r="AK575" s="55"/>
      <c r="AL575" s="55"/>
      <c r="AM575" s="55"/>
      <c r="AN575" s="55"/>
      <c r="AO575" s="55"/>
    </row>
    <row r="576">
      <c r="A576" s="55" t="str">
        <f>'Volunteer Survey'!A986</f>
        <v/>
      </c>
      <c r="B576" s="55"/>
      <c r="C576" s="53"/>
      <c r="D576" s="55"/>
      <c r="E576" s="55"/>
      <c r="F576" s="55" t="b">
        <v>0</v>
      </c>
      <c r="G576" s="55"/>
      <c r="H576" s="53"/>
      <c r="I576" s="53"/>
      <c r="J576" s="55"/>
      <c r="K576" s="55"/>
      <c r="L576" s="55" t="str">
        <f>'Volunteer Survey'!B986</f>
        <v/>
      </c>
      <c r="M576" s="55"/>
      <c r="N576" s="55"/>
      <c r="O576" s="55" t="b">
        <v>0</v>
      </c>
      <c r="P576" s="55"/>
      <c r="Q576" s="60" t="str">
        <f>'Volunteer Survey'!J986</f>
        <v/>
      </c>
      <c r="R576" s="55"/>
      <c r="S576" s="55"/>
      <c r="T576" s="55" t="str">
        <f>'Volunteer Survey'!M986</f>
        <v/>
      </c>
      <c r="U576" s="64"/>
      <c r="V576" s="55"/>
      <c r="W576" s="66" t="str">
        <f>'Volunteer Survey'!P986</f>
        <v/>
      </c>
      <c r="X576" s="55"/>
      <c r="Y576" s="53"/>
      <c r="Z576" s="55"/>
      <c r="AA576" s="55"/>
      <c r="AB576" s="55"/>
      <c r="AC576" s="55"/>
      <c r="AD576" s="55"/>
      <c r="AE576" s="55"/>
      <c r="AF576" s="55"/>
      <c r="AG576" s="55"/>
      <c r="AH576" s="55"/>
      <c r="AI576" s="55"/>
      <c r="AJ576" s="55"/>
      <c r="AK576" s="55"/>
      <c r="AL576" s="55"/>
      <c r="AM576" s="55"/>
      <c r="AN576" s="55"/>
      <c r="AO576" s="55"/>
    </row>
    <row r="577">
      <c r="A577" s="55" t="str">
        <f>'Volunteer Survey'!A987</f>
        <v/>
      </c>
      <c r="B577" s="55"/>
      <c r="C577" s="53"/>
      <c r="D577" s="55"/>
      <c r="E577" s="55"/>
      <c r="F577" s="55" t="b">
        <v>0</v>
      </c>
      <c r="G577" s="55"/>
      <c r="H577" s="53"/>
      <c r="I577" s="53"/>
      <c r="J577" s="55"/>
      <c r="K577" s="55"/>
      <c r="L577" s="55" t="str">
        <f>'Volunteer Survey'!B987</f>
        <v/>
      </c>
      <c r="M577" s="55"/>
      <c r="N577" s="55"/>
      <c r="O577" s="55" t="b">
        <v>0</v>
      </c>
      <c r="P577" s="55"/>
      <c r="Q577" s="60" t="str">
        <f>'Volunteer Survey'!J987</f>
        <v/>
      </c>
      <c r="R577" s="55"/>
      <c r="S577" s="55"/>
      <c r="T577" s="55" t="str">
        <f>'Volunteer Survey'!M987</f>
        <v/>
      </c>
      <c r="U577" s="64"/>
      <c r="V577" s="55"/>
      <c r="W577" s="66" t="str">
        <f>'Volunteer Survey'!P987</f>
        <v/>
      </c>
      <c r="X577" s="55"/>
      <c r="Y577" s="53"/>
      <c r="Z577" s="55"/>
      <c r="AA577" s="55"/>
      <c r="AB577" s="55"/>
      <c r="AC577" s="55"/>
      <c r="AD577" s="55"/>
      <c r="AE577" s="55"/>
      <c r="AF577" s="55"/>
      <c r="AG577" s="55"/>
      <c r="AH577" s="55"/>
      <c r="AI577" s="55"/>
      <c r="AJ577" s="55"/>
      <c r="AK577" s="55"/>
      <c r="AL577" s="55"/>
      <c r="AM577" s="55"/>
      <c r="AN577" s="55"/>
      <c r="AO577" s="55"/>
    </row>
    <row r="578">
      <c r="A578" s="55" t="str">
        <f>'Volunteer Survey'!A988</f>
        <v/>
      </c>
      <c r="B578" s="55"/>
      <c r="C578" s="53"/>
      <c r="D578" s="55"/>
      <c r="E578" s="55"/>
      <c r="F578" s="55" t="b">
        <v>0</v>
      </c>
      <c r="G578" s="55"/>
      <c r="H578" s="53"/>
      <c r="I578" s="53"/>
      <c r="J578" s="55"/>
      <c r="K578" s="55"/>
      <c r="L578" s="55" t="str">
        <f>'Volunteer Survey'!B988</f>
        <v/>
      </c>
      <c r="M578" s="55"/>
      <c r="N578" s="55"/>
      <c r="O578" s="55" t="b">
        <v>0</v>
      </c>
      <c r="P578" s="55"/>
      <c r="Q578" s="60" t="str">
        <f>'Volunteer Survey'!J988</f>
        <v/>
      </c>
      <c r="R578" s="55"/>
      <c r="S578" s="55"/>
      <c r="T578" s="55" t="str">
        <f>'Volunteer Survey'!M988</f>
        <v/>
      </c>
      <c r="U578" s="64"/>
      <c r="V578" s="55"/>
      <c r="W578" s="66" t="str">
        <f>'Volunteer Survey'!P988</f>
        <v/>
      </c>
      <c r="X578" s="55"/>
      <c r="Y578" s="53"/>
      <c r="Z578" s="55"/>
      <c r="AA578" s="55"/>
      <c r="AB578" s="55"/>
      <c r="AC578" s="55"/>
      <c r="AD578" s="55"/>
      <c r="AE578" s="55"/>
      <c r="AF578" s="55"/>
      <c r="AG578" s="55"/>
      <c r="AH578" s="55"/>
      <c r="AI578" s="55"/>
      <c r="AJ578" s="55"/>
      <c r="AK578" s="55"/>
      <c r="AL578" s="55"/>
      <c r="AM578" s="55"/>
      <c r="AN578" s="55"/>
      <c r="AO578" s="55"/>
    </row>
    <row r="579">
      <c r="A579" s="55" t="str">
        <f>'Volunteer Survey'!A989</f>
        <v/>
      </c>
      <c r="B579" s="55"/>
      <c r="C579" s="53"/>
      <c r="D579" s="55"/>
      <c r="E579" s="55"/>
      <c r="F579" s="55" t="b">
        <v>0</v>
      </c>
      <c r="G579" s="55"/>
      <c r="H579" s="53"/>
      <c r="I579" s="53"/>
      <c r="J579" s="55"/>
      <c r="K579" s="55"/>
      <c r="L579" s="55" t="str">
        <f>'Volunteer Survey'!B989</f>
        <v/>
      </c>
      <c r="M579" s="55"/>
      <c r="N579" s="55"/>
      <c r="O579" s="55" t="b">
        <v>0</v>
      </c>
      <c r="P579" s="55"/>
      <c r="Q579" s="60" t="str">
        <f>'Volunteer Survey'!J989</f>
        <v/>
      </c>
      <c r="R579" s="55"/>
      <c r="S579" s="55"/>
      <c r="T579" s="55" t="str">
        <f>'Volunteer Survey'!M989</f>
        <v/>
      </c>
      <c r="U579" s="64"/>
      <c r="V579" s="55"/>
      <c r="W579" s="66" t="str">
        <f>'Volunteer Survey'!P989</f>
        <v/>
      </c>
      <c r="X579" s="55"/>
      <c r="Y579" s="53"/>
      <c r="Z579" s="55"/>
      <c r="AA579" s="55"/>
      <c r="AB579" s="55"/>
      <c r="AC579" s="55"/>
      <c r="AD579" s="55"/>
      <c r="AE579" s="55"/>
      <c r="AF579" s="55"/>
      <c r="AG579" s="55"/>
      <c r="AH579" s="55"/>
      <c r="AI579" s="55"/>
      <c r="AJ579" s="55"/>
      <c r="AK579" s="55"/>
      <c r="AL579" s="55"/>
      <c r="AM579" s="55"/>
      <c r="AN579" s="55"/>
      <c r="AO579" s="55"/>
    </row>
    <row r="580">
      <c r="A580" s="55" t="str">
        <f>'Volunteer Survey'!A990</f>
        <v/>
      </c>
      <c r="B580" s="55"/>
      <c r="C580" s="53"/>
      <c r="D580" s="55"/>
      <c r="E580" s="55"/>
      <c r="F580" s="55" t="b">
        <v>0</v>
      </c>
      <c r="G580" s="55"/>
      <c r="H580" s="53"/>
      <c r="I580" s="53"/>
      <c r="J580" s="55"/>
      <c r="K580" s="55"/>
      <c r="L580" s="55" t="str">
        <f>'Volunteer Survey'!B990</f>
        <v/>
      </c>
      <c r="M580" s="55"/>
      <c r="N580" s="55"/>
      <c r="O580" s="55" t="b">
        <v>0</v>
      </c>
      <c r="P580" s="55"/>
      <c r="Q580" s="60" t="str">
        <f>'Volunteer Survey'!J990</f>
        <v/>
      </c>
      <c r="R580" s="55"/>
      <c r="S580" s="55"/>
      <c r="T580" s="55" t="str">
        <f>'Volunteer Survey'!M990</f>
        <v/>
      </c>
      <c r="U580" s="64"/>
      <c r="V580" s="55"/>
      <c r="W580" s="66" t="str">
        <f>'Volunteer Survey'!P990</f>
        <v/>
      </c>
      <c r="X580" s="55"/>
      <c r="Y580" s="53"/>
      <c r="Z580" s="55"/>
      <c r="AA580" s="55"/>
      <c r="AB580" s="55"/>
      <c r="AC580" s="55"/>
      <c r="AD580" s="55"/>
      <c r="AE580" s="55"/>
      <c r="AF580" s="55"/>
      <c r="AG580" s="55"/>
      <c r="AH580" s="55"/>
      <c r="AI580" s="55"/>
      <c r="AJ580" s="55"/>
      <c r="AK580" s="55"/>
      <c r="AL580" s="55"/>
      <c r="AM580" s="55"/>
      <c r="AN580" s="55"/>
      <c r="AO580" s="55"/>
    </row>
    <row r="581">
      <c r="A581" s="55" t="str">
        <f>'Volunteer Survey'!A991</f>
        <v/>
      </c>
      <c r="B581" s="55"/>
      <c r="C581" s="53"/>
      <c r="D581" s="55"/>
      <c r="E581" s="55"/>
      <c r="F581" s="55" t="b">
        <v>0</v>
      </c>
      <c r="G581" s="55"/>
      <c r="H581" s="53"/>
      <c r="I581" s="53"/>
      <c r="J581" s="55"/>
      <c r="K581" s="55"/>
      <c r="L581" s="55" t="str">
        <f>'Volunteer Survey'!B991</f>
        <v/>
      </c>
      <c r="M581" s="55"/>
      <c r="N581" s="55"/>
      <c r="O581" s="55" t="b">
        <v>0</v>
      </c>
      <c r="P581" s="55"/>
      <c r="Q581" s="60" t="str">
        <f>'Volunteer Survey'!J991</f>
        <v/>
      </c>
      <c r="R581" s="55"/>
      <c r="S581" s="55"/>
      <c r="T581" s="55" t="str">
        <f>'Volunteer Survey'!M991</f>
        <v/>
      </c>
      <c r="U581" s="64"/>
      <c r="V581" s="55"/>
      <c r="W581" s="66" t="str">
        <f>'Volunteer Survey'!P991</f>
        <v/>
      </c>
      <c r="X581" s="55"/>
      <c r="Y581" s="53"/>
      <c r="Z581" s="55"/>
      <c r="AA581" s="55"/>
      <c r="AB581" s="55"/>
      <c r="AC581" s="55"/>
      <c r="AD581" s="55"/>
      <c r="AE581" s="55"/>
      <c r="AF581" s="55"/>
      <c r="AG581" s="55"/>
      <c r="AH581" s="55"/>
      <c r="AI581" s="55"/>
      <c r="AJ581" s="55"/>
      <c r="AK581" s="55"/>
      <c r="AL581" s="55"/>
      <c r="AM581" s="55"/>
      <c r="AN581" s="55"/>
      <c r="AO581" s="55"/>
    </row>
    <row r="582">
      <c r="A582" s="55" t="str">
        <f>'Volunteer Survey'!A992</f>
        <v/>
      </c>
      <c r="B582" s="55"/>
      <c r="C582" s="53"/>
      <c r="D582" s="55"/>
      <c r="E582" s="55"/>
      <c r="F582" s="55" t="b">
        <v>0</v>
      </c>
      <c r="G582" s="55"/>
      <c r="H582" s="53"/>
      <c r="I582" s="53"/>
      <c r="J582" s="55"/>
      <c r="K582" s="55"/>
      <c r="L582" s="55" t="str">
        <f>'Volunteer Survey'!B992</f>
        <v/>
      </c>
      <c r="M582" s="55"/>
      <c r="N582" s="55"/>
      <c r="O582" s="55" t="b">
        <v>0</v>
      </c>
      <c r="P582" s="55"/>
      <c r="Q582" s="60" t="str">
        <f>'Volunteer Survey'!J992</f>
        <v/>
      </c>
      <c r="R582" s="55"/>
      <c r="S582" s="55"/>
      <c r="T582" s="55" t="str">
        <f>'Volunteer Survey'!M992</f>
        <v/>
      </c>
      <c r="U582" s="64"/>
      <c r="V582" s="55"/>
      <c r="W582" s="66" t="str">
        <f>'Volunteer Survey'!P992</f>
        <v/>
      </c>
      <c r="X582" s="55"/>
      <c r="Y582" s="53"/>
      <c r="Z582" s="55"/>
      <c r="AA582" s="55"/>
      <c r="AB582" s="55"/>
      <c r="AC582" s="55"/>
      <c r="AD582" s="55"/>
      <c r="AE582" s="55"/>
      <c r="AF582" s="55"/>
      <c r="AG582" s="55"/>
      <c r="AH582" s="55"/>
      <c r="AI582" s="55"/>
      <c r="AJ582" s="55"/>
      <c r="AK582" s="55"/>
      <c r="AL582" s="55"/>
      <c r="AM582" s="55"/>
      <c r="AN582" s="55"/>
      <c r="AO582" s="55"/>
    </row>
    <row r="583">
      <c r="A583" s="55" t="str">
        <f>'Volunteer Survey'!A993</f>
        <v/>
      </c>
      <c r="B583" s="55"/>
      <c r="C583" s="53"/>
      <c r="D583" s="55"/>
      <c r="E583" s="55"/>
      <c r="F583" s="55" t="b">
        <v>0</v>
      </c>
      <c r="G583" s="55"/>
      <c r="H583" s="53"/>
      <c r="I583" s="53"/>
      <c r="J583" s="55"/>
      <c r="K583" s="55"/>
      <c r="L583" s="55" t="str">
        <f>'Volunteer Survey'!B993</f>
        <v/>
      </c>
      <c r="M583" s="55"/>
      <c r="N583" s="55"/>
      <c r="O583" s="55" t="b">
        <v>0</v>
      </c>
      <c r="P583" s="55"/>
      <c r="Q583" s="60" t="str">
        <f>'Volunteer Survey'!J993</f>
        <v/>
      </c>
      <c r="R583" s="55"/>
      <c r="S583" s="55"/>
      <c r="T583" s="55" t="str">
        <f>'Volunteer Survey'!M993</f>
        <v/>
      </c>
      <c r="U583" s="64"/>
      <c r="V583" s="55"/>
      <c r="W583" s="66" t="str">
        <f>'Volunteer Survey'!P993</f>
        <v/>
      </c>
      <c r="X583" s="55"/>
      <c r="Y583" s="53"/>
      <c r="Z583" s="55"/>
      <c r="AA583" s="55"/>
      <c r="AB583" s="55"/>
      <c r="AC583" s="55"/>
      <c r="AD583" s="55"/>
      <c r="AE583" s="55"/>
      <c r="AF583" s="55"/>
      <c r="AG583" s="55"/>
      <c r="AH583" s="55"/>
      <c r="AI583" s="55"/>
      <c r="AJ583" s="55"/>
      <c r="AK583" s="55"/>
      <c r="AL583" s="55"/>
      <c r="AM583" s="55"/>
      <c r="AN583" s="55"/>
      <c r="AO583" s="55"/>
    </row>
    <row r="584">
      <c r="A584" s="55" t="str">
        <f>'Volunteer Survey'!A994</f>
        <v/>
      </c>
      <c r="B584" s="55"/>
      <c r="C584" s="53"/>
      <c r="D584" s="55"/>
      <c r="E584" s="55"/>
      <c r="F584" s="55" t="b">
        <v>0</v>
      </c>
      <c r="G584" s="55"/>
      <c r="H584" s="53"/>
      <c r="I584" s="53"/>
      <c r="J584" s="55"/>
      <c r="K584" s="55"/>
      <c r="L584" s="55" t="str">
        <f>'Volunteer Survey'!B994</f>
        <v/>
      </c>
      <c r="M584" s="55"/>
      <c r="N584" s="55"/>
      <c r="O584" s="55" t="b">
        <v>0</v>
      </c>
      <c r="P584" s="55"/>
      <c r="Q584" s="60" t="str">
        <f>'Volunteer Survey'!J994</f>
        <v/>
      </c>
      <c r="R584" s="55"/>
      <c r="S584" s="55"/>
      <c r="T584" s="55" t="str">
        <f>'Volunteer Survey'!M994</f>
        <v/>
      </c>
      <c r="U584" s="64"/>
      <c r="V584" s="55"/>
      <c r="W584" s="66" t="str">
        <f>'Volunteer Survey'!P994</f>
        <v/>
      </c>
      <c r="X584" s="55"/>
      <c r="Y584" s="53"/>
      <c r="Z584" s="55"/>
      <c r="AA584" s="55"/>
      <c r="AB584" s="55"/>
      <c r="AC584" s="55"/>
      <c r="AD584" s="55"/>
      <c r="AE584" s="55"/>
      <c r="AF584" s="55"/>
      <c r="AG584" s="55"/>
      <c r="AH584" s="55"/>
      <c r="AI584" s="55"/>
      <c r="AJ584" s="55"/>
      <c r="AK584" s="55"/>
      <c r="AL584" s="55"/>
      <c r="AM584" s="55"/>
      <c r="AN584" s="55"/>
      <c r="AO584" s="55"/>
    </row>
    <row r="585">
      <c r="A585" s="55" t="str">
        <f>'Volunteer Survey'!A995</f>
        <v/>
      </c>
      <c r="B585" s="55"/>
      <c r="C585" s="53"/>
      <c r="D585" s="55"/>
      <c r="E585" s="55"/>
      <c r="F585" s="55" t="b">
        <v>0</v>
      </c>
      <c r="G585" s="55"/>
      <c r="H585" s="53"/>
      <c r="I585" s="53"/>
      <c r="J585" s="55"/>
      <c r="K585" s="55"/>
      <c r="L585" s="55" t="str">
        <f>'Volunteer Survey'!B995</f>
        <v/>
      </c>
      <c r="M585" s="55"/>
      <c r="N585" s="55"/>
      <c r="O585" s="55" t="b">
        <v>0</v>
      </c>
      <c r="P585" s="55"/>
      <c r="Q585" s="60" t="str">
        <f>'Volunteer Survey'!J995</f>
        <v/>
      </c>
      <c r="R585" s="55"/>
      <c r="S585" s="55"/>
      <c r="T585" s="55" t="str">
        <f>'Volunteer Survey'!M995</f>
        <v/>
      </c>
      <c r="U585" s="64"/>
      <c r="V585" s="55"/>
      <c r="W585" s="66" t="str">
        <f>'Volunteer Survey'!P995</f>
        <v/>
      </c>
      <c r="X585" s="55"/>
      <c r="Y585" s="53"/>
      <c r="Z585" s="55"/>
      <c r="AA585" s="55"/>
      <c r="AB585" s="55"/>
      <c r="AC585" s="55"/>
      <c r="AD585" s="55"/>
      <c r="AE585" s="55"/>
      <c r="AF585" s="55"/>
      <c r="AG585" s="55"/>
      <c r="AH585" s="55"/>
      <c r="AI585" s="55"/>
      <c r="AJ585" s="55"/>
      <c r="AK585" s="55"/>
      <c r="AL585" s="55"/>
      <c r="AM585" s="55"/>
      <c r="AN585" s="55"/>
      <c r="AO585" s="55"/>
    </row>
    <row r="586">
      <c r="A586" s="55" t="str">
        <f>'Volunteer Survey'!A996</f>
        <v/>
      </c>
      <c r="B586" s="55"/>
      <c r="C586" s="53"/>
      <c r="D586" s="55"/>
      <c r="E586" s="55"/>
      <c r="F586" s="55" t="b">
        <v>0</v>
      </c>
      <c r="G586" s="55"/>
      <c r="H586" s="53"/>
      <c r="I586" s="53"/>
      <c r="J586" s="55"/>
      <c r="K586" s="55"/>
      <c r="L586" s="55" t="str">
        <f>'Volunteer Survey'!B996</f>
        <v/>
      </c>
      <c r="M586" s="55"/>
      <c r="N586" s="55"/>
      <c r="O586" s="55" t="b">
        <v>0</v>
      </c>
      <c r="P586" s="55"/>
      <c r="Q586" s="60" t="str">
        <f>'Volunteer Survey'!J996</f>
        <v/>
      </c>
      <c r="R586" s="55"/>
      <c r="S586" s="55"/>
      <c r="T586" s="55" t="str">
        <f>'Volunteer Survey'!M996</f>
        <v/>
      </c>
      <c r="U586" s="64"/>
      <c r="V586" s="55"/>
      <c r="W586" s="66" t="str">
        <f>'Volunteer Survey'!P996</f>
        <v/>
      </c>
      <c r="X586" s="55"/>
      <c r="Y586" s="53"/>
      <c r="Z586" s="55"/>
      <c r="AA586" s="55"/>
      <c r="AB586" s="55"/>
      <c r="AC586" s="55"/>
      <c r="AD586" s="55"/>
      <c r="AE586" s="55"/>
      <c r="AF586" s="55"/>
      <c r="AG586" s="55"/>
      <c r="AH586" s="55"/>
      <c r="AI586" s="55"/>
      <c r="AJ586" s="55"/>
      <c r="AK586" s="55"/>
      <c r="AL586" s="55"/>
      <c r="AM586" s="55"/>
      <c r="AN586" s="55"/>
      <c r="AO586" s="55"/>
    </row>
    <row r="587">
      <c r="A587" s="55" t="str">
        <f>'Volunteer Survey'!A997</f>
        <v/>
      </c>
      <c r="B587" s="55"/>
      <c r="C587" s="53"/>
      <c r="D587" s="55"/>
      <c r="E587" s="55"/>
      <c r="F587" s="55" t="b">
        <v>0</v>
      </c>
      <c r="G587" s="55"/>
      <c r="H587" s="53"/>
      <c r="I587" s="53"/>
      <c r="J587" s="55"/>
      <c r="K587" s="55"/>
      <c r="L587" s="55" t="str">
        <f>'Volunteer Survey'!B997</f>
        <v/>
      </c>
      <c r="M587" s="55"/>
      <c r="N587" s="55"/>
      <c r="O587" s="55" t="b">
        <v>0</v>
      </c>
      <c r="P587" s="55"/>
      <c r="Q587" s="60" t="str">
        <f>'Volunteer Survey'!J997</f>
        <v/>
      </c>
      <c r="R587" s="55"/>
      <c r="S587" s="55"/>
      <c r="T587" s="55" t="str">
        <f>'Volunteer Survey'!M997</f>
        <v/>
      </c>
      <c r="U587" s="64"/>
      <c r="V587" s="55"/>
      <c r="W587" s="66" t="str">
        <f>'Volunteer Survey'!P997</f>
        <v/>
      </c>
      <c r="X587" s="55"/>
      <c r="Y587" s="53"/>
      <c r="Z587" s="55"/>
      <c r="AA587" s="55"/>
      <c r="AB587" s="55"/>
      <c r="AC587" s="55"/>
      <c r="AD587" s="55"/>
      <c r="AE587" s="55"/>
      <c r="AF587" s="55"/>
      <c r="AG587" s="55"/>
      <c r="AH587" s="55"/>
      <c r="AI587" s="55"/>
      <c r="AJ587" s="55"/>
      <c r="AK587" s="55"/>
      <c r="AL587" s="55"/>
      <c r="AM587" s="55"/>
      <c r="AN587" s="55"/>
      <c r="AO587" s="55"/>
    </row>
    <row r="588">
      <c r="A588" s="55" t="str">
        <f>'Volunteer Survey'!A998</f>
        <v/>
      </c>
      <c r="B588" s="55"/>
      <c r="C588" s="53"/>
      <c r="D588" s="55"/>
      <c r="E588" s="55"/>
      <c r="F588" s="55" t="b">
        <v>0</v>
      </c>
      <c r="G588" s="55"/>
      <c r="H588" s="53"/>
      <c r="I588" s="53"/>
      <c r="J588" s="55"/>
      <c r="K588" s="55"/>
      <c r="L588" s="55" t="str">
        <f>'Volunteer Survey'!B998</f>
        <v/>
      </c>
      <c r="M588" s="55"/>
      <c r="N588" s="55"/>
      <c r="O588" s="55" t="b">
        <v>0</v>
      </c>
      <c r="P588" s="55"/>
      <c r="Q588" s="60" t="str">
        <f>'Volunteer Survey'!J998</f>
        <v/>
      </c>
      <c r="R588" s="55"/>
      <c r="S588" s="55"/>
      <c r="T588" s="55" t="str">
        <f>'Volunteer Survey'!M998</f>
        <v/>
      </c>
      <c r="U588" s="64"/>
      <c r="V588" s="55"/>
      <c r="W588" s="66" t="str">
        <f>'Volunteer Survey'!P998</f>
        <v/>
      </c>
      <c r="X588" s="55"/>
      <c r="Y588" s="53"/>
      <c r="Z588" s="55"/>
      <c r="AA588" s="55"/>
      <c r="AB588" s="55"/>
      <c r="AC588" s="55"/>
      <c r="AD588" s="55"/>
      <c r="AE588" s="55"/>
      <c r="AF588" s="55"/>
      <c r="AG588" s="55"/>
      <c r="AH588" s="55"/>
      <c r="AI588" s="55"/>
      <c r="AJ588" s="55"/>
      <c r="AK588" s="55"/>
      <c r="AL588" s="55"/>
      <c r="AM588" s="55"/>
      <c r="AN588" s="55"/>
      <c r="AO588" s="55"/>
    </row>
    <row r="589">
      <c r="A589" s="55" t="str">
        <f>'Volunteer Survey'!A999</f>
        <v/>
      </c>
      <c r="B589" s="55"/>
      <c r="C589" s="53"/>
      <c r="D589" s="55"/>
      <c r="E589" s="55"/>
      <c r="F589" s="55" t="b">
        <v>0</v>
      </c>
      <c r="G589" s="55"/>
      <c r="H589" s="53"/>
      <c r="I589" s="53"/>
      <c r="J589" s="55"/>
      <c r="K589" s="55"/>
      <c r="L589" s="55" t="str">
        <f>'Volunteer Survey'!B999</f>
        <v/>
      </c>
      <c r="M589" s="55"/>
      <c r="N589" s="55"/>
      <c r="O589" s="55" t="b">
        <v>0</v>
      </c>
      <c r="P589" s="55"/>
      <c r="Q589" s="60" t="str">
        <f>'Volunteer Survey'!J999</f>
        <v/>
      </c>
      <c r="R589" s="55"/>
      <c r="S589" s="55"/>
      <c r="T589" s="55" t="str">
        <f>'Volunteer Survey'!M999</f>
        <v/>
      </c>
      <c r="U589" s="64"/>
      <c r="V589" s="55"/>
      <c r="W589" s="66" t="str">
        <f>'Volunteer Survey'!P999</f>
        <v/>
      </c>
      <c r="X589" s="55"/>
      <c r="Y589" s="53"/>
      <c r="Z589" s="55"/>
      <c r="AA589" s="55"/>
      <c r="AB589" s="55"/>
      <c r="AC589" s="55"/>
      <c r="AD589" s="55"/>
      <c r="AE589" s="55"/>
      <c r="AF589" s="55"/>
      <c r="AG589" s="55"/>
      <c r="AH589" s="55"/>
      <c r="AI589" s="55"/>
      <c r="AJ589" s="55"/>
      <c r="AK589" s="55"/>
      <c r="AL589" s="55"/>
      <c r="AM589" s="55"/>
      <c r="AN589" s="55"/>
      <c r="AO589" s="55"/>
    </row>
    <row r="590">
      <c r="A590" s="55" t="str">
        <f>'Volunteer Survey'!A1000</f>
        <v/>
      </c>
      <c r="B590" s="55"/>
      <c r="C590" s="53"/>
      <c r="D590" s="55"/>
      <c r="E590" s="55"/>
      <c r="F590" s="55" t="b">
        <v>0</v>
      </c>
      <c r="G590" s="55"/>
      <c r="H590" s="53"/>
      <c r="I590" s="53"/>
      <c r="J590" s="55"/>
      <c r="K590" s="55"/>
      <c r="L590" s="55" t="str">
        <f>'Volunteer Survey'!B1000</f>
        <v/>
      </c>
      <c r="M590" s="55"/>
      <c r="N590" s="55"/>
      <c r="O590" s="55" t="b">
        <v>0</v>
      </c>
      <c r="P590" s="55"/>
      <c r="Q590" s="60" t="str">
        <f>'Volunteer Survey'!J1000</f>
        <v/>
      </c>
      <c r="R590" s="55"/>
      <c r="S590" s="55"/>
      <c r="T590" s="55" t="str">
        <f>'Volunteer Survey'!M1000</f>
        <v/>
      </c>
      <c r="U590" s="64"/>
      <c r="V590" s="55"/>
      <c r="W590" s="66" t="str">
        <f>'Volunteer Survey'!P1000</f>
        <v/>
      </c>
      <c r="X590" s="55"/>
      <c r="Y590" s="53"/>
      <c r="Z590" s="55"/>
      <c r="AA590" s="55"/>
      <c r="AB590" s="55"/>
      <c r="AC590" s="55"/>
      <c r="AD590" s="55"/>
      <c r="AE590" s="55"/>
      <c r="AF590" s="55"/>
      <c r="AG590" s="55"/>
      <c r="AH590" s="55"/>
      <c r="AI590" s="55"/>
      <c r="AJ590" s="55"/>
      <c r="AK590" s="55"/>
      <c r="AL590" s="55"/>
      <c r="AM590" s="55"/>
      <c r="AN590" s="55"/>
      <c r="AO590" s="55"/>
    </row>
    <row r="591">
      <c r="A591" s="55" t="str">
        <f>'Volunteer Survey'!A1001</f>
        <v/>
      </c>
      <c r="B591" s="55"/>
      <c r="C591" s="53"/>
      <c r="D591" s="55"/>
      <c r="E591" s="55"/>
      <c r="F591" s="55" t="b">
        <v>0</v>
      </c>
      <c r="G591" s="55"/>
      <c r="H591" s="53"/>
      <c r="I591" s="53"/>
      <c r="J591" s="55"/>
      <c r="K591" s="55"/>
      <c r="L591" s="55" t="str">
        <f>'Volunteer Survey'!B1001</f>
        <v/>
      </c>
      <c r="M591" s="55"/>
      <c r="N591" s="55"/>
      <c r="O591" s="55" t="b">
        <v>0</v>
      </c>
      <c r="P591" s="55"/>
      <c r="Q591" s="60" t="str">
        <f>'Volunteer Survey'!J1001</f>
        <v/>
      </c>
      <c r="R591" s="55"/>
      <c r="S591" s="55"/>
      <c r="T591" s="55" t="str">
        <f>'Volunteer Survey'!M1001</f>
        <v/>
      </c>
      <c r="U591" s="64"/>
      <c r="V591" s="55"/>
      <c r="W591" s="66" t="str">
        <f>'Volunteer Survey'!P1001</f>
        <v/>
      </c>
      <c r="X591" s="55"/>
      <c r="Y591" s="53"/>
      <c r="Z591" s="55"/>
      <c r="AA591" s="55"/>
      <c r="AB591" s="55"/>
      <c r="AC591" s="55"/>
      <c r="AD591" s="55"/>
      <c r="AE591" s="55"/>
      <c r="AF591" s="55"/>
      <c r="AG591" s="55"/>
      <c r="AH591" s="55"/>
      <c r="AI591" s="55"/>
      <c r="AJ591" s="55"/>
      <c r="AK591" s="55"/>
      <c r="AL591" s="55"/>
      <c r="AM591" s="55"/>
      <c r="AN591" s="55"/>
      <c r="AO591" s="55"/>
    </row>
    <row r="592">
      <c r="A592" s="55" t="str">
        <f>'Volunteer Survey'!A1002</f>
        <v/>
      </c>
      <c r="B592" s="55"/>
      <c r="C592" s="53"/>
      <c r="D592" s="55"/>
      <c r="E592" s="55"/>
      <c r="F592" s="55" t="b">
        <v>0</v>
      </c>
      <c r="G592" s="55"/>
      <c r="H592" s="53"/>
      <c r="I592" s="53"/>
      <c r="J592" s="55"/>
      <c r="K592" s="55"/>
      <c r="L592" s="55" t="str">
        <f>'Volunteer Survey'!B1002</f>
        <v/>
      </c>
      <c r="M592" s="55"/>
      <c r="N592" s="55"/>
      <c r="O592" s="55" t="b">
        <v>0</v>
      </c>
      <c r="P592" s="55"/>
      <c r="Q592" s="60" t="str">
        <f>'Volunteer Survey'!J1002</f>
        <v/>
      </c>
      <c r="R592" s="55"/>
      <c r="S592" s="55"/>
      <c r="T592" s="55" t="str">
        <f>'Volunteer Survey'!M1002</f>
        <v/>
      </c>
      <c r="U592" s="64"/>
      <c r="V592" s="55"/>
      <c r="W592" s="66" t="str">
        <f>'Volunteer Survey'!P1002</f>
        <v/>
      </c>
      <c r="X592" s="55"/>
      <c r="Y592" s="53"/>
      <c r="Z592" s="55"/>
      <c r="AA592" s="55"/>
      <c r="AB592" s="55"/>
      <c r="AC592" s="55"/>
      <c r="AD592" s="55"/>
      <c r="AE592" s="55"/>
      <c r="AF592" s="55"/>
      <c r="AG592" s="55"/>
      <c r="AH592" s="55"/>
      <c r="AI592" s="55"/>
      <c r="AJ592" s="55"/>
      <c r="AK592" s="55"/>
      <c r="AL592" s="55"/>
      <c r="AM592" s="55"/>
      <c r="AN592" s="55"/>
      <c r="AO592" s="55"/>
    </row>
    <row r="593">
      <c r="A593" s="55" t="str">
        <f>'Volunteer Survey'!A1003</f>
        <v/>
      </c>
      <c r="B593" s="55"/>
      <c r="C593" s="53"/>
      <c r="D593" s="55"/>
      <c r="E593" s="55"/>
      <c r="F593" s="55" t="b">
        <v>0</v>
      </c>
      <c r="G593" s="55"/>
      <c r="H593" s="53"/>
      <c r="I593" s="53"/>
      <c r="J593" s="55"/>
      <c r="K593" s="55"/>
      <c r="L593" s="55"/>
      <c r="M593" s="55"/>
      <c r="N593" s="55"/>
      <c r="O593" s="55" t="b">
        <v>0</v>
      </c>
      <c r="P593" s="55"/>
      <c r="Q593" s="60" t="str">
        <f>'Volunteer Survey'!J1003</f>
        <v/>
      </c>
      <c r="R593" s="55"/>
      <c r="S593" s="55"/>
      <c r="T593" s="55"/>
      <c r="U593" s="64"/>
      <c r="V593" s="55"/>
      <c r="W593" s="66" t="str">
        <f>'Volunteer Survey'!P1003</f>
        <v/>
      </c>
      <c r="X593" s="55"/>
      <c r="Y593" s="53"/>
      <c r="Z593" s="55"/>
      <c r="AA593" s="55"/>
      <c r="AB593" s="55"/>
      <c r="AC593" s="55"/>
      <c r="AD593" s="55"/>
      <c r="AE593" s="55"/>
      <c r="AF593" s="55"/>
      <c r="AG593" s="55"/>
      <c r="AH593" s="55"/>
      <c r="AI593" s="55"/>
      <c r="AJ593" s="55"/>
      <c r="AK593" s="55"/>
      <c r="AL593" s="55"/>
      <c r="AM593" s="55"/>
      <c r="AN593" s="55"/>
      <c r="AO593" s="55"/>
    </row>
    <row r="594">
      <c r="A594" s="55" t="str">
        <f>'Volunteer Survey'!A1004</f>
        <v/>
      </c>
      <c r="B594" s="55"/>
      <c r="C594" s="53"/>
      <c r="D594" s="55"/>
      <c r="E594" s="55"/>
      <c r="F594" s="55" t="b">
        <v>0</v>
      </c>
      <c r="G594" s="55"/>
      <c r="H594" s="53"/>
      <c r="I594" s="53"/>
      <c r="J594" s="55"/>
      <c r="K594" s="55"/>
      <c r="L594" s="55"/>
      <c r="M594" s="55"/>
      <c r="N594" s="55"/>
      <c r="O594" s="55" t="b">
        <v>0</v>
      </c>
      <c r="P594" s="55"/>
      <c r="Q594" s="60" t="str">
        <f>'Volunteer Survey'!J1004</f>
        <v/>
      </c>
      <c r="R594" s="55"/>
      <c r="S594" s="55"/>
      <c r="T594" s="55"/>
      <c r="U594" s="64"/>
      <c r="V594" s="55"/>
      <c r="W594" s="66" t="str">
        <f>'Volunteer Survey'!P1004</f>
        <v/>
      </c>
      <c r="X594" s="55"/>
      <c r="Y594" s="53"/>
      <c r="Z594" s="55"/>
      <c r="AA594" s="55"/>
      <c r="AB594" s="55"/>
      <c r="AC594" s="55"/>
      <c r="AD594" s="55"/>
      <c r="AE594" s="55"/>
      <c r="AF594" s="55"/>
      <c r="AG594" s="55"/>
      <c r="AH594" s="55"/>
      <c r="AI594" s="55"/>
      <c r="AJ594" s="55"/>
      <c r="AK594" s="55"/>
      <c r="AL594" s="55"/>
      <c r="AM594" s="55"/>
      <c r="AN594" s="55"/>
      <c r="AO594" s="55"/>
    </row>
    <row r="595">
      <c r="A595" s="55"/>
      <c r="B595" s="55"/>
      <c r="C595" s="53"/>
      <c r="D595" s="55"/>
      <c r="E595" s="55"/>
      <c r="F595" s="55" t="b">
        <v>0</v>
      </c>
      <c r="G595" s="55"/>
      <c r="H595" s="53"/>
      <c r="I595" s="53"/>
      <c r="J595" s="55"/>
      <c r="K595" s="55"/>
      <c r="L595" s="55"/>
      <c r="M595" s="55"/>
      <c r="N595" s="55"/>
      <c r="O595" s="55" t="b">
        <v>0</v>
      </c>
      <c r="P595" s="55"/>
      <c r="Q595" s="60" t="str">
        <f>'Volunteer Survey'!J1005</f>
        <v/>
      </c>
      <c r="R595" s="55"/>
      <c r="S595" s="55"/>
      <c r="T595" s="55"/>
      <c r="U595" s="64"/>
      <c r="V595" s="55"/>
      <c r="W595" s="66" t="str">
        <f>'Volunteer Survey'!P1005</f>
        <v/>
      </c>
      <c r="X595" s="55"/>
      <c r="Y595" s="53"/>
      <c r="Z595" s="55"/>
      <c r="AA595" s="55"/>
      <c r="AB595" s="55"/>
      <c r="AC595" s="55"/>
      <c r="AD595" s="55"/>
      <c r="AE595" s="55"/>
      <c r="AF595" s="55"/>
      <c r="AG595" s="55"/>
      <c r="AH595" s="55"/>
      <c r="AI595" s="55"/>
      <c r="AJ595" s="55"/>
      <c r="AK595" s="55"/>
      <c r="AL595" s="55"/>
      <c r="AM595" s="55"/>
      <c r="AN595" s="55"/>
      <c r="AO595" s="55"/>
    </row>
    <row r="596">
      <c r="A596" s="55"/>
      <c r="B596" s="55"/>
      <c r="C596" s="53"/>
      <c r="D596" s="55"/>
      <c r="E596" s="55"/>
      <c r="F596" s="55" t="b">
        <v>0</v>
      </c>
      <c r="G596" s="55"/>
      <c r="H596" s="53"/>
      <c r="I596" s="53"/>
      <c r="J596" s="55"/>
      <c r="K596" s="55"/>
      <c r="L596" s="55"/>
      <c r="M596" s="55"/>
      <c r="N596" s="55"/>
      <c r="O596" s="55" t="b">
        <v>0</v>
      </c>
      <c r="P596" s="55"/>
      <c r="Q596" s="60" t="str">
        <f>'Volunteer Survey'!J1006</f>
        <v/>
      </c>
      <c r="R596" s="55"/>
      <c r="S596" s="55"/>
      <c r="T596" s="55"/>
      <c r="U596" s="64"/>
      <c r="V596" s="55"/>
      <c r="W596" s="66" t="str">
        <f>'Volunteer Survey'!P1006</f>
        <v/>
      </c>
      <c r="X596" s="55"/>
      <c r="Y596" s="53"/>
      <c r="Z596" s="55"/>
      <c r="AA596" s="55"/>
      <c r="AB596" s="55"/>
      <c r="AC596" s="55"/>
      <c r="AD596" s="55"/>
      <c r="AE596" s="55"/>
      <c r="AF596" s="55"/>
      <c r="AG596" s="55"/>
      <c r="AH596" s="55"/>
      <c r="AI596" s="55"/>
      <c r="AJ596" s="55"/>
      <c r="AK596" s="55"/>
      <c r="AL596" s="55"/>
      <c r="AM596" s="55"/>
      <c r="AN596" s="55"/>
      <c r="AO596" s="55"/>
    </row>
    <row r="597">
      <c r="A597" s="55"/>
      <c r="B597" s="55"/>
      <c r="C597" s="53"/>
      <c r="D597" s="55"/>
      <c r="E597" s="55"/>
      <c r="F597" s="55" t="b">
        <v>0</v>
      </c>
      <c r="G597" s="55"/>
      <c r="H597" s="53"/>
      <c r="I597" s="53"/>
      <c r="J597" s="55"/>
      <c r="K597" s="55"/>
      <c r="L597" s="55"/>
      <c r="M597" s="55"/>
      <c r="N597" s="55"/>
      <c r="O597" s="55" t="b">
        <v>0</v>
      </c>
      <c r="P597" s="55"/>
      <c r="Q597" s="60" t="str">
        <f>'Volunteer Survey'!J1007</f>
        <v/>
      </c>
      <c r="R597" s="55"/>
      <c r="S597" s="55"/>
      <c r="T597" s="55"/>
      <c r="U597" s="64"/>
      <c r="V597" s="55"/>
      <c r="W597" s="66" t="str">
        <f>'Volunteer Survey'!P1007</f>
        <v/>
      </c>
      <c r="X597" s="55"/>
      <c r="Y597" s="53"/>
      <c r="Z597" s="55"/>
      <c r="AA597" s="55"/>
      <c r="AB597" s="55"/>
      <c r="AC597" s="55"/>
      <c r="AD597" s="55"/>
      <c r="AE597" s="55"/>
      <c r="AF597" s="55"/>
      <c r="AG597" s="55"/>
      <c r="AH597" s="55"/>
      <c r="AI597" s="55"/>
      <c r="AJ597" s="55"/>
      <c r="AK597" s="55"/>
      <c r="AL597" s="55"/>
      <c r="AM597" s="55"/>
      <c r="AN597" s="55"/>
      <c r="AO597" s="55"/>
    </row>
    <row r="598">
      <c r="A598" s="55"/>
      <c r="B598" s="55"/>
      <c r="C598" s="53"/>
      <c r="D598" s="55"/>
      <c r="E598" s="55"/>
      <c r="F598" s="55" t="b">
        <v>0</v>
      </c>
      <c r="G598" s="55"/>
      <c r="H598" s="53"/>
      <c r="I598" s="53"/>
      <c r="J598" s="55"/>
      <c r="K598" s="55"/>
      <c r="L598" s="55"/>
      <c r="M598" s="55"/>
      <c r="N598" s="55"/>
      <c r="O598" s="55" t="b">
        <v>0</v>
      </c>
      <c r="P598" s="55"/>
      <c r="Q598" s="60" t="str">
        <f>'Volunteer Survey'!J1008</f>
        <v/>
      </c>
      <c r="R598" s="55"/>
      <c r="S598" s="55"/>
      <c r="T598" s="55"/>
      <c r="U598" s="64"/>
      <c r="V598" s="55"/>
      <c r="W598" s="66" t="str">
        <f>'Volunteer Survey'!P1008</f>
        <v/>
      </c>
      <c r="X598" s="55"/>
      <c r="Y598" s="53"/>
      <c r="Z598" s="55"/>
      <c r="AA598" s="55"/>
      <c r="AB598" s="55"/>
      <c r="AC598" s="55"/>
      <c r="AD598" s="55"/>
      <c r="AE598" s="55"/>
      <c r="AF598" s="55"/>
      <c r="AG598" s="55"/>
      <c r="AH598" s="55"/>
      <c r="AI598" s="55"/>
      <c r="AJ598" s="55"/>
      <c r="AK598" s="55"/>
      <c r="AL598" s="55"/>
      <c r="AM598" s="55"/>
      <c r="AN598" s="55"/>
      <c r="AO598" s="55"/>
    </row>
    <row r="599">
      <c r="A599" s="55"/>
      <c r="B599" s="55"/>
      <c r="C599" s="53"/>
      <c r="D599" s="55"/>
      <c r="E599" s="55"/>
      <c r="F599" s="55" t="b">
        <v>0</v>
      </c>
      <c r="G599" s="55"/>
      <c r="H599" s="53"/>
      <c r="I599" s="53"/>
      <c r="J599" s="55"/>
      <c r="K599" s="55"/>
      <c r="L599" s="55"/>
      <c r="M599" s="55"/>
      <c r="N599" s="55"/>
      <c r="O599" s="55" t="b">
        <v>0</v>
      </c>
      <c r="P599" s="55"/>
      <c r="Q599" s="60" t="str">
        <f>'Volunteer Survey'!J1009</f>
        <v/>
      </c>
      <c r="R599" s="55"/>
      <c r="S599" s="55"/>
      <c r="T599" s="55"/>
      <c r="U599" s="64"/>
      <c r="V599" s="55"/>
      <c r="W599" s="66" t="str">
        <f>'Volunteer Survey'!P1009</f>
        <v/>
      </c>
      <c r="X599" s="55"/>
      <c r="Y599" s="53"/>
      <c r="Z599" s="55"/>
      <c r="AA599" s="55"/>
      <c r="AB599" s="55"/>
      <c r="AC599" s="55"/>
      <c r="AD599" s="55"/>
      <c r="AE599" s="55"/>
      <c r="AF599" s="55"/>
      <c r="AG599" s="55"/>
      <c r="AH599" s="55"/>
      <c r="AI599" s="55"/>
      <c r="AJ599" s="55"/>
      <c r="AK599" s="55"/>
      <c r="AL599" s="55"/>
      <c r="AM599" s="55"/>
      <c r="AN599" s="55"/>
      <c r="AO599" s="55"/>
    </row>
    <row r="600">
      <c r="A600" s="55"/>
      <c r="B600" s="55"/>
      <c r="C600" s="53"/>
      <c r="D600" s="55"/>
      <c r="E600" s="55"/>
      <c r="F600" s="55" t="b">
        <v>0</v>
      </c>
      <c r="G600" s="55"/>
      <c r="H600" s="53"/>
      <c r="I600" s="53"/>
      <c r="J600" s="55"/>
      <c r="K600" s="55"/>
      <c r="L600" s="55"/>
      <c r="M600" s="55"/>
      <c r="N600" s="55"/>
      <c r="O600" s="55" t="b">
        <v>0</v>
      </c>
      <c r="P600" s="55"/>
      <c r="Q600" s="60" t="str">
        <f>'Volunteer Survey'!J1010</f>
        <v/>
      </c>
      <c r="R600" s="55"/>
      <c r="S600" s="55"/>
      <c r="T600" s="55"/>
      <c r="U600" s="64"/>
      <c r="V600" s="55"/>
      <c r="W600" s="66" t="str">
        <f>'Volunteer Survey'!P1010</f>
        <v/>
      </c>
      <c r="X600" s="55"/>
      <c r="Y600" s="53"/>
      <c r="Z600" s="55"/>
      <c r="AA600" s="55"/>
      <c r="AB600" s="55"/>
      <c r="AC600" s="55"/>
      <c r="AD600" s="55"/>
      <c r="AE600" s="55"/>
      <c r="AF600" s="55"/>
      <c r="AG600" s="55"/>
      <c r="AH600" s="55"/>
      <c r="AI600" s="55"/>
      <c r="AJ600" s="55"/>
      <c r="AK600" s="55"/>
      <c r="AL600" s="55"/>
      <c r="AM600" s="55"/>
      <c r="AN600" s="55"/>
      <c r="AO600" s="55"/>
    </row>
    <row r="601">
      <c r="A601" s="55"/>
      <c r="B601" s="55"/>
      <c r="C601" s="53"/>
      <c r="D601" s="55"/>
      <c r="E601" s="55"/>
      <c r="F601" s="55" t="b">
        <v>0</v>
      </c>
      <c r="G601" s="55"/>
      <c r="H601" s="53"/>
      <c r="I601" s="53"/>
      <c r="J601" s="55"/>
      <c r="K601" s="55"/>
      <c r="L601" s="55"/>
      <c r="M601" s="55"/>
      <c r="N601" s="55"/>
      <c r="O601" s="55" t="b">
        <v>0</v>
      </c>
      <c r="P601" s="55"/>
      <c r="Q601" s="60" t="str">
        <f>'Volunteer Survey'!J1011</f>
        <v/>
      </c>
      <c r="R601" s="55"/>
      <c r="S601" s="55"/>
      <c r="T601" s="55"/>
      <c r="U601" s="64"/>
      <c r="V601" s="55"/>
      <c r="W601" s="66" t="str">
        <f>'Volunteer Survey'!P1011</f>
        <v/>
      </c>
      <c r="X601" s="55"/>
      <c r="Y601" s="53"/>
      <c r="Z601" s="55"/>
      <c r="AA601" s="55"/>
      <c r="AB601" s="55"/>
      <c r="AC601" s="55"/>
      <c r="AD601" s="55"/>
      <c r="AE601" s="55"/>
      <c r="AF601" s="55"/>
      <c r="AG601" s="55"/>
      <c r="AH601" s="55"/>
      <c r="AI601" s="55"/>
      <c r="AJ601" s="55"/>
      <c r="AK601" s="55"/>
      <c r="AL601" s="55"/>
      <c r="AM601" s="55"/>
      <c r="AN601" s="55"/>
      <c r="AO601" s="55"/>
    </row>
    <row r="602">
      <c r="A602" s="55"/>
      <c r="B602" s="55"/>
      <c r="C602" s="53"/>
      <c r="D602" s="55"/>
      <c r="E602" s="55"/>
      <c r="F602" s="55" t="b">
        <v>0</v>
      </c>
      <c r="G602" s="55"/>
      <c r="H602" s="53"/>
      <c r="I602" s="53"/>
      <c r="J602" s="55"/>
      <c r="K602" s="55"/>
      <c r="L602" s="55"/>
      <c r="M602" s="55"/>
      <c r="N602" s="55"/>
      <c r="O602" s="55" t="b">
        <v>0</v>
      </c>
      <c r="P602" s="55"/>
      <c r="Q602" s="60" t="str">
        <f>'Volunteer Survey'!J1012</f>
        <v/>
      </c>
      <c r="R602" s="55"/>
      <c r="S602" s="55"/>
      <c r="T602" s="55"/>
      <c r="U602" s="64"/>
      <c r="V602" s="55"/>
      <c r="W602" s="66" t="str">
        <f>'Volunteer Survey'!P1012</f>
        <v/>
      </c>
      <c r="X602" s="55"/>
      <c r="Y602" s="53"/>
      <c r="Z602" s="55"/>
      <c r="AA602" s="55"/>
      <c r="AB602" s="55"/>
      <c r="AC602" s="55"/>
      <c r="AD602" s="55"/>
      <c r="AE602" s="55"/>
      <c r="AF602" s="55"/>
      <c r="AG602" s="55"/>
      <c r="AH602" s="55"/>
      <c r="AI602" s="55"/>
      <c r="AJ602" s="55"/>
      <c r="AK602" s="55"/>
      <c r="AL602" s="55"/>
      <c r="AM602" s="55"/>
      <c r="AN602" s="55"/>
      <c r="AO602" s="55"/>
    </row>
    <row r="603">
      <c r="A603" s="55"/>
      <c r="B603" s="55"/>
      <c r="C603" s="53"/>
      <c r="D603" s="55"/>
      <c r="E603" s="55"/>
      <c r="F603" s="55" t="b">
        <v>0</v>
      </c>
      <c r="G603" s="55"/>
      <c r="H603" s="53"/>
      <c r="I603" s="53"/>
      <c r="J603" s="55"/>
      <c r="K603" s="55"/>
      <c r="L603" s="55"/>
      <c r="M603" s="55"/>
      <c r="N603" s="55"/>
      <c r="O603" s="55" t="b">
        <v>0</v>
      </c>
      <c r="P603" s="55"/>
      <c r="Q603" s="60" t="str">
        <f>'Volunteer Survey'!J1013</f>
        <v/>
      </c>
      <c r="R603" s="55"/>
      <c r="S603" s="55"/>
      <c r="T603" s="55"/>
      <c r="U603" s="64"/>
      <c r="V603" s="55"/>
      <c r="W603" s="66" t="str">
        <f>'Volunteer Survey'!P1013</f>
        <v/>
      </c>
      <c r="X603" s="55"/>
      <c r="Y603" s="53"/>
      <c r="Z603" s="55"/>
      <c r="AA603" s="55"/>
      <c r="AB603" s="55"/>
      <c r="AC603" s="55"/>
      <c r="AD603" s="55"/>
      <c r="AE603" s="55"/>
      <c r="AF603" s="55"/>
      <c r="AG603" s="55"/>
      <c r="AH603" s="55"/>
      <c r="AI603" s="55"/>
      <c r="AJ603" s="55"/>
      <c r="AK603" s="55"/>
      <c r="AL603" s="55"/>
      <c r="AM603" s="55"/>
      <c r="AN603" s="55"/>
      <c r="AO603" s="55"/>
    </row>
    <row r="604">
      <c r="A604" s="55"/>
      <c r="B604" s="55"/>
      <c r="C604" s="53"/>
      <c r="D604" s="55"/>
      <c r="E604" s="55"/>
      <c r="F604" s="55" t="b">
        <v>0</v>
      </c>
      <c r="G604" s="55"/>
      <c r="H604" s="53"/>
      <c r="I604" s="53"/>
      <c r="J604" s="55"/>
      <c r="K604" s="55"/>
      <c r="L604" s="55"/>
      <c r="M604" s="55"/>
      <c r="N604" s="55"/>
      <c r="O604" s="55" t="b">
        <v>0</v>
      </c>
      <c r="P604" s="55"/>
      <c r="Q604" s="60" t="str">
        <f>'Volunteer Survey'!J1014</f>
        <v/>
      </c>
      <c r="R604" s="55"/>
      <c r="S604" s="55"/>
      <c r="T604" s="55"/>
      <c r="U604" s="64"/>
      <c r="V604" s="55"/>
      <c r="W604" s="66" t="str">
        <f>'Volunteer Survey'!P1014</f>
        <v/>
      </c>
      <c r="X604" s="55"/>
      <c r="Y604" s="53"/>
      <c r="Z604" s="55"/>
      <c r="AA604" s="55"/>
      <c r="AB604" s="55"/>
      <c r="AC604" s="55"/>
      <c r="AD604" s="55"/>
      <c r="AE604" s="55"/>
      <c r="AF604" s="55"/>
      <c r="AG604" s="55"/>
      <c r="AH604" s="55"/>
      <c r="AI604" s="55"/>
      <c r="AJ604" s="55"/>
      <c r="AK604" s="55"/>
      <c r="AL604" s="55"/>
      <c r="AM604" s="55"/>
      <c r="AN604" s="55"/>
      <c r="AO604" s="55"/>
    </row>
    <row r="605">
      <c r="A605" s="55"/>
      <c r="B605" s="55"/>
      <c r="C605" s="53"/>
      <c r="D605" s="55"/>
      <c r="E605" s="55"/>
      <c r="F605" s="55" t="b">
        <v>0</v>
      </c>
      <c r="G605" s="55"/>
      <c r="H605" s="53"/>
      <c r="I605" s="53"/>
      <c r="J605" s="55"/>
      <c r="K605" s="55"/>
      <c r="L605" s="55"/>
      <c r="M605" s="55"/>
      <c r="N605" s="55"/>
      <c r="O605" s="55" t="b">
        <v>0</v>
      </c>
      <c r="P605" s="55"/>
      <c r="Q605" s="60" t="str">
        <f>'Volunteer Survey'!J1015</f>
        <v/>
      </c>
      <c r="R605" s="55"/>
      <c r="S605" s="55"/>
      <c r="T605" s="55"/>
      <c r="U605" s="64"/>
      <c r="V605" s="55"/>
      <c r="W605" s="66" t="str">
        <f>'Volunteer Survey'!P1015</f>
        <v/>
      </c>
      <c r="X605" s="55"/>
      <c r="Y605" s="53"/>
      <c r="Z605" s="55"/>
      <c r="AA605" s="55"/>
      <c r="AB605" s="55"/>
      <c r="AC605" s="55"/>
      <c r="AD605" s="55"/>
      <c r="AE605" s="55"/>
      <c r="AF605" s="55"/>
      <c r="AG605" s="55"/>
      <c r="AH605" s="55"/>
      <c r="AI605" s="55"/>
      <c r="AJ605" s="55"/>
      <c r="AK605" s="55"/>
      <c r="AL605" s="55"/>
      <c r="AM605" s="55"/>
      <c r="AN605" s="55"/>
      <c r="AO605" s="55"/>
    </row>
    <row r="606">
      <c r="A606" s="55"/>
      <c r="B606" s="55"/>
      <c r="C606" s="53"/>
      <c r="D606" s="55"/>
      <c r="E606" s="55"/>
      <c r="F606" s="55" t="b">
        <v>0</v>
      </c>
      <c r="G606" s="55"/>
      <c r="H606" s="53"/>
      <c r="I606" s="53"/>
      <c r="J606" s="55"/>
      <c r="K606" s="55"/>
      <c r="L606" s="55"/>
      <c r="M606" s="55"/>
      <c r="N606" s="55"/>
      <c r="O606" s="55" t="b">
        <v>0</v>
      </c>
      <c r="P606" s="55"/>
      <c r="Q606" s="60" t="str">
        <f>'Volunteer Survey'!J1016</f>
        <v/>
      </c>
      <c r="R606" s="55"/>
      <c r="S606" s="55"/>
      <c r="T606" s="55"/>
      <c r="U606" s="64"/>
      <c r="V606" s="55"/>
      <c r="W606" s="66" t="str">
        <f>'Volunteer Survey'!P1016</f>
        <v/>
      </c>
      <c r="X606" s="55"/>
      <c r="Y606" s="53"/>
      <c r="Z606" s="55"/>
      <c r="AA606" s="55"/>
      <c r="AB606" s="55"/>
      <c r="AC606" s="55"/>
      <c r="AD606" s="55"/>
      <c r="AE606" s="55"/>
      <c r="AF606" s="55"/>
      <c r="AG606" s="55"/>
      <c r="AH606" s="55"/>
      <c r="AI606" s="55"/>
      <c r="AJ606" s="55"/>
      <c r="AK606" s="55"/>
      <c r="AL606" s="55"/>
      <c r="AM606" s="55"/>
      <c r="AN606" s="55"/>
      <c r="AO606" s="55"/>
    </row>
    <row r="607">
      <c r="A607" s="55"/>
      <c r="B607" s="55"/>
      <c r="C607" s="53"/>
      <c r="D607" s="55"/>
      <c r="E607" s="55"/>
      <c r="F607" s="55" t="b">
        <v>0</v>
      </c>
      <c r="G607" s="55"/>
      <c r="H607" s="53"/>
      <c r="I607" s="53"/>
      <c r="J607" s="55"/>
      <c r="K607" s="55"/>
      <c r="L607" s="55"/>
      <c r="M607" s="55"/>
      <c r="N607" s="55"/>
      <c r="O607" s="55" t="b">
        <v>0</v>
      </c>
      <c r="P607" s="55"/>
      <c r="Q607" s="60" t="str">
        <f>'Volunteer Survey'!J1017</f>
        <v/>
      </c>
      <c r="R607" s="55"/>
      <c r="S607" s="55"/>
      <c r="T607" s="55"/>
      <c r="U607" s="64"/>
      <c r="V607" s="55"/>
      <c r="W607" s="66" t="str">
        <f>'Volunteer Survey'!P1017</f>
        <v/>
      </c>
      <c r="X607" s="55"/>
      <c r="Y607" s="53"/>
      <c r="Z607" s="55"/>
      <c r="AA607" s="55"/>
      <c r="AB607" s="55"/>
      <c r="AC607" s="55"/>
      <c r="AD607" s="55"/>
      <c r="AE607" s="55"/>
      <c r="AF607" s="55"/>
      <c r="AG607" s="55"/>
      <c r="AH607" s="55"/>
      <c r="AI607" s="55"/>
      <c r="AJ607" s="55"/>
      <c r="AK607" s="55"/>
      <c r="AL607" s="55"/>
      <c r="AM607" s="55"/>
      <c r="AN607" s="55"/>
      <c r="AO607" s="55"/>
    </row>
    <row r="608">
      <c r="A608" s="55"/>
      <c r="B608" s="55"/>
      <c r="C608" s="53"/>
      <c r="D608" s="55"/>
      <c r="E608" s="55"/>
      <c r="F608" s="55" t="b">
        <v>0</v>
      </c>
      <c r="G608" s="55"/>
      <c r="H608" s="53"/>
      <c r="I608" s="53"/>
      <c r="J608" s="55"/>
      <c r="K608" s="55"/>
      <c r="L608" s="55"/>
      <c r="M608" s="55"/>
      <c r="N608" s="55"/>
      <c r="O608" s="55" t="b">
        <v>0</v>
      </c>
      <c r="P608" s="55"/>
      <c r="Q608" s="60" t="str">
        <f>'Volunteer Survey'!J1018</f>
        <v/>
      </c>
      <c r="R608" s="55"/>
      <c r="S608" s="55"/>
      <c r="T608" s="55"/>
      <c r="U608" s="64"/>
      <c r="V608" s="55"/>
      <c r="W608" s="66" t="str">
        <f>'Volunteer Survey'!P1018</f>
        <v/>
      </c>
      <c r="X608" s="55"/>
      <c r="Y608" s="53"/>
      <c r="Z608" s="55"/>
      <c r="AA608" s="55"/>
      <c r="AB608" s="55"/>
      <c r="AC608" s="55"/>
      <c r="AD608" s="55"/>
      <c r="AE608" s="55"/>
      <c r="AF608" s="55"/>
      <c r="AG608" s="55"/>
      <c r="AH608" s="55"/>
      <c r="AI608" s="55"/>
      <c r="AJ608" s="55"/>
      <c r="AK608" s="55"/>
      <c r="AL608" s="55"/>
      <c r="AM608" s="55"/>
      <c r="AN608" s="55"/>
      <c r="AO608" s="55"/>
    </row>
    <row r="609">
      <c r="A609" s="55"/>
      <c r="B609" s="55"/>
      <c r="C609" s="53"/>
      <c r="D609" s="55"/>
      <c r="E609" s="55"/>
      <c r="F609" s="55" t="b">
        <v>0</v>
      </c>
      <c r="G609" s="55"/>
      <c r="H609" s="53"/>
      <c r="I609" s="53"/>
      <c r="J609" s="55"/>
      <c r="K609" s="55"/>
      <c r="L609" s="55"/>
      <c r="M609" s="55"/>
      <c r="N609" s="55"/>
      <c r="O609" s="55" t="b">
        <v>0</v>
      </c>
      <c r="P609" s="55"/>
      <c r="Q609" s="60" t="str">
        <f>'Volunteer Survey'!J1019</f>
        <v/>
      </c>
      <c r="R609" s="55"/>
      <c r="S609" s="55"/>
      <c r="T609" s="55"/>
      <c r="U609" s="64"/>
      <c r="V609" s="55"/>
      <c r="W609" s="66" t="str">
        <f>'Volunteer Survey'!P1019</f>
        <v/>
      </c>
      <c r="X609" s="55"/>
      <c r="Y609" s="53"/>
      <c r="Z609" s="55"/>
      <c r="AA609" s="55"/>
      <c r="AB609" s="55"/>
      <c r="AC609" s="55"/>
      <c r="AD609" s="55"/>
      <c r="AE609" s="55"/>
      <c r="AF609" s="55"/>
      <c r="AG609" s="55"/>
      <c r="AH609" s="55"/>
      <c r="AI609" s="55"/>
      <c r="AJ609" s="55"/>
      <c r="AK609" s="55"/>
      <c r="AL609" s="55"/>
      <c r="AM609" s="55"/>
      <c r="AN609" s="55"/>
      <c r="AO609" s="55"/>
    </row>
    <row r="610">
      <c r="A610" s="55"/>
      <c r="B610" s="55"/>
      <c r="C610" s="53"/>
      <c r="D610" s="55"/>
      <c r="E610" s="55"/>
      <c r="F610" s="55" t="b">
        <v>0</v>
      </c>
      <c r="G610" s="55"/>
      <c r="H610" s="53"/>
      <c r="I610" s="53"/>
      <c r="J610" s="55"/>
      <c r="K610" s="55"/>
      <c r="L610" s="55"/>
      <c r="M610" s="55"/>
      <c r="N610" s="55"/>
      <c r="O610" s="55" t="b">
        <v>0</v>
      </c>
      <c r="P610" s="55"/>
      <c r="Q610" s="60" t="str">
        <f>'Volunteer Survey'!J1020</f>
        <v/>
      </c>
      <c r="R610" s="55"/>
      <c r="S610" s="55"/>
      <c r="T610" s="55"/>
      <c r="U610" s="64"/>
      <c r="V610" s="55"/>
      <c r="W610" s="66" t="str">
        <f>'Volunteer Survey'!P1020</f>
        <v/>
      </c>
      <c r="X610" s="55"/>
      <c r="Y610" s="53"/>
      <c r="Z610" s="55"/>
      <c r="AA610" s="55"/>
      <c r="AB610" s="55"/>
      <c r="AC610" s="55"/>
      <c r="AD610" s="55"/>
      <c r="AE610" s="55"/>
      <c r="AF610" s="55"/>
      <c r="AG610" s="55"/>
      <c r="AH610" s="55"/>
      <c r="AI610" s="55"/>
      <c r="AJ610" s="55"/>
      <c r="AK610" s="55"/>
      <c r="AL610" s="55"/>
      <c r="AM610" s="55"/>
      <c r="AN610" s="55"/>
      <c r="AO610" s="55"/>
    </row>
    <row r="611">
      <c r="A611" s="55"/>
      <c r="B611" s="55"/>
      <c r="C611" s="53"/>
      <c r="D611" s="55"/>
      <c r="E611" s="55"/>
      <c r="F611" s="55" t="b">
        <v>0</v>
      </c>
      <c r="G611" s="55"/>
      <c r="H611" s="53"/>
      <c r="I611" s="53"/>
      <c r="J611" s="55"/>
      <c r="K611" s="55"/>
      <c r="L611" s="55"/>
      <c r="M611" s="55"/>
      <c r="N611" s="55"/>
      <c r="O611" s="55" t="b">
        <v>0</v>
      </c>
      <c r="P611" s="55"/>
      <c r="Q611" s="55"/>
      <c r="R611" s="55"/>
      <c r="S611" s="55"/>
      <c r="T611" s="55"/>
      <c r="U611" s="64"/>
      <c r="V611" s="55"/>
      <c r="W611" s="66" t="str">
        <f>'Volunteer Survey'!P1021</f>
        <v/>
      </c>
      <c r="X611" s="55"/>
      <c r="Y611" s="53"/>
      <c r="Z611" s="55"/>
      <c r="AA611" s="55"/>
      <c r="AB611" s="55"/>
      <c r="AC611" s="55"/>
      <c r="AD611" s="55"/>
      <c r="AE611" s="55"/>
      <c r="AF611" s="55"/>
      <c r="AG611" s="55"/>
      <c r="AH611" s="55"/>
      <c r="AI611" s="55"/>
      <c r="AJ611" s="55"/>
      <c r="AK611" s="55"/>
      <c r="AL611" s="55"/>
      <c r="AM611" s="55"/>
      <c r="AN611" s="55"/>
      <c r="AO611" s="55"/>
    </row>
    <row r="612">
      <c r="A612" s="55"/>
      <c r="B612" s="55"/>
      <c r="C612" s="53"/>
      <c r="D612" s="55"/>
      <c r="E612" s="55"/>
      <c r="F612" s="55" t="b">
        <v>0</v>
      </c>
      <c r="G612" s="55"/>
      <c r="H612" s="53"/>
      <c r="I612" s="53"/>
      <c r="J612" s="55"/>
      <c r="K612" s="55"/>
      <c r="L612" s="55"/>
      <c r="M612" s="55"/>
      <c r="N612" s="55"/>
      <c r="O612" s="55" t="b">
        <v>0</v>
      </c>
      <c r="P612" s="55"/>
      <c r="Q612" s="55"/>
      <c r="R612" s="55"/>
      <c r="S612" s="55"/>
      <c r="T612" s="55"/>
      <c r="U612" s="64"/>
      <c r="V612" s="55"/>
      <c r="W612" s="66" t="str">
        <f>'Volunteer Survey'!P1022</f>
        <v/>
      </c>
      <c r="X612" s="55"/>
      <c r="Y612" s="53"/>
      <c r="Z612" s="55"/>
      <c r="AA612" s="55"/>
      <c r="AB612" s="55"/>
      <c r="AC612" s="55"/>
      <c r="AD612" s="55"/>
      <c r="AE612" s="55"/>
      <c r="AF612" s="55"/>
      <c r="AG612" s="55"/>
      <c r="AH612" s="55"/>
      <c r="AI612" s="55"/>
      <c r="AJ612" s="55"/>
      <c r="AK612" s="55"/>
      <c r="AL612" s="55"/>
      <c r="AM612" s="55"/>
      <c r="AN612" s="55"/>
      <c r="AO612" s="55"/>
    </row>
    <row r="613">
      <c r="A613" s="55"/>
      <c r="B613" s="55"/>
      <c r="C613" s="53"/>
      <c r="D613" s="55"/>
      <c r="E613" s="55"/>
      <c r="F613" s="55" t="b">
        <v>0</v>
      </c>
      <c r="G613" s="55"/>
      <c r="H613" s="53"/>
      <c r="I613" s="53"/>
      <c r="J613" s="55"/>
      <c r="K613" s="55"/>
      <c r="L613" s="55"/>
      <c r="M613" s="55"/>
      <c r="N613" s="55"/>
      <c r="O613" s="55" t="b">
        <v>0</v>
      </c>
      <c r="P613" s="55"/>
      <c r="Q613" s="55"/>
      <c r="R613" s="55"/>
      <c r="S613" s="55"/>
      <c r="T613" s="55"/>
      <c r="U613" s="64"/>
      <c r="V613" s="55"/>
      <c r="W613" s="66" t="str">
        <f>'Volunteer Survey'!P1023</f>
        <v/>
      </c>
      <c r="X613" s="55"/>
      <c r="Y613" s="53"/>
      <c r="Z613" s="55"/>
      <c r="AA613" s="55"/>
      <c r="AB613" s="55"/>
      <c r="AC613" s="55"/>
      <c r="AD613" s="55"/>
      <c r="AE613" s="55"/>
      <c r="AF613" s="55"/>
      <c r="AG613" s="55"/>
      <c r="AH613" s="55"/>
      <c r="AI613" s="55"/>
      <c r="AJ613" s="55"/>
      <c r="AK613" s="55"/>
      <c r="AL613" s="55"/>
      <c r="AM613" s="55"/>
      <c r="AN613" s="55"/>
      <c r="AO613" s="55"/>
    </row>
    <row r="614">
      <c r="A614" s="55"/>
      <c r="B614" s="55"/>
      <c r="C614" s="53"/>
      <c r="D614" s="55"/>
      <c r="E614" s="55"/>
      <c r="F614" s="55" t="b">
        <v>0</v>
      </c>
      <c r="G614" s="55"/>
      <c r="H614" s="53"/>
      <c r="I614" s="53"/>
      <c r="J614" s="55"/>
      <c r="K614" s="55"/>
      <c r="L614" s="55"/>
      <c r="M614" s="55"/>
      <c r="N614" s="55"/>
      <c r="O614" s="55" t="b">
        <v>0</v>
      </c>
      <c r="P614" s="55"/>
      <c r="Q614" s="55"/>
      <c r="R614" s="55"/>
      <c r="S614" s="55"/>
      <c r="T614" s="55"/>
      <c r="U614" s="64"/>
      <c r="V614" s="55"/>
      <c r="W614" s="66" t="str">
        <f>'Volunteer Survey'!P1024</f>
        <v/>
      </c>
      <c r="X614" s="55"/>
      <c r="Y614" s="53"/>
      <c r="Z614" s="55"/>
      <c r="AA614" s="55"/>
      <c r="AB614" s="55"/>
      <c r="AC614" s="55"/>
      <c r="AD614" s="55"/>
      <c r="AE614" s="55"/>
      <c r="AF614" s="55"/>
      <c r="AG614" s="55"/>
      <c r="AH614" s="55"/>
      <c r="AI614" s="55"/>
      <c r="AJ614" s="55"/>
      <c r="AK614" s="55"/>
      <c r="AL614" s="55"/>
      <c r="AM614" s="55"/>
      <c r="AN614" s="55"/>
      <c r="AO614" s="55"/>
    </row>
    <row r="615">
      <c r="A615" s="55"/>
      <c r="B615" s="55"/>
      <c r="C615" s="53"/>
      <c r="D615" s="55"/>
      <c r="E615" s="55"/>
      <c r="F615" s="55" t="b">
        <v>0</v>
      </c>
      <c r="G615" s="55"/>
      <c r="H615" s="53"/>
      <c r="I615" s="53"/>
      <c r="J615" s="55"/>
      <c r="K615" s="55"/>
      <c r="L615" s="55"/>
      <c r="M615" s="55"/>
      <c r="N615" s="55"/>
      <c r="O615" s="55" t="b">
        <v>0</v>
      </c>
      <c r="P615" s="55"/>
      <c r="Q615" s="55"/>
      <c r="R615" s="55"/>
      <c r="S615" s="55"/>
      <c r="T615" s="55"/>
      <c r="U615" s="64"/>
      <c r="V615" s="55"/>
      <c r="W615" s="66" t="str">
        <f>'Volunteer Survey'!P1025</f>
        <v/>
      </c>
      <c r="X615" s="55"/>
      <c r="Y615" s="53"/>
      <c r="Z615" s="55"/>
      <c r="AA615" s="55"/>
      <c r="AB615" s="55"/>
      <c r="AC615" s="55"/>
      <c r="AD615" s="55"/>
      <c r="AE615" s="55"/>
      <c r="AF615" s="55"/>
      <c r="AG615" s="55"/>
      <c r="AH615" s="55"/>
      <c r="AI615" s="55"/>
      <c r="AJ615" s="55"/>
      <c r="AK615" s="55"/>
      <c r="AL615" s="55"/>
      <c r="AM615" s="55"/>
      <c r="AN615" s="55"/>
      <c r="AO615" s="55"/>
    </row>
    <row r="616">
      <c r="A616" s="55"/>
      <c r="B616" s="55"/>
      <c r="C616" s="53"/>
      <c r="D616" s="55"/>
      <c r="E616" s="55"/>
      <c r="F616" s="55" t="b">
        <v>0</v>
      </c>
      <c r="G616" s="55"/>
      <c r="H616" s="53"/>
      <c r="I616" s="53"/>
      <c r="J616" s="55"/>
      <c r="K616" s="55"/>
      <c r="L616" s="55"/>
      <c r="M616" s="55"/>
      <c r="N616" s="55"/>
      <c r="O616" s="55" t="b">
        <v>0</v>
      </c>
      <c r="P616" s="55"/>
      <c r="Q616" s="55"/>
      <c r="R616" s="55"/>
      <c r="S616" s="55"/>
      <c r="T616" s="55"/>
      <c r="U616" s="64"/>
      <c r="V616" s="55"/>
      <c r="W616" s="66" t="str">
        <f>'Volunteer Survey'!P1026</f>
        <v/>
      </c>
      <c r="X616" s="55"/>
      <c r="Y616" s="53"/>
      <c r="Z616" s="55"/>
      <c r="AA616" s="55"/>
      <c r="AB616" s="55"/>
      <c r="AC616" s="55"/>
      <c r="AD616" s="55"/>
      <c r="AE616" s="55"/>
      <c r="AF616" s="55"/>
      <c r="AG616" s="55"/>
      <c r="AH616" s="55"/>
      <c r="AI616" s="55"/>
      <c r="AJ616" s="55"/>
      <c r="AK616" s="55"/>
      <c r="AL616" s="55"/>
      <c r="AM616" s="55"/>
      <c r="AN616" s="55"/>
      <c r="AO616" s="55"/>
    </row>
    <row r="617">
      <c r="A617" s="55"/>
      <c r="B617" s="55"/>
      <c r="C617" s="53"/>
      <c r="D617" s="55"/>
      <c r="E617" s="55"/>
      <c r="F617" s="55" t="b">
        <v>0</v>
      </c>
      <c r="G617" s="55"/>
      <c r="H617" s="53"/>
      <c r="I617" s="53"/>
      <c r="J617" s="55"/>
      <c r="K617" s="55"/>
      <c r="L617" s="55"/>
      <c r="M617" s="55"/>
      <c r="N617" s="55"/>
      <c r="O617" s="55" t="b">
        <v>0</v>
      </c>
      <c r="P617" s="55"/>
      <c r="Q617" s="55"/>
      <c r="R617" s="55"/>
      <c r="S617" s="55"/>
      <c r="T617" s="55"/>
      <c r="U617" s="64"/>
      <c r="V617" s="55"/>
      <c r="W617" s="66" t="str">
        <f>'Volunteer Survey'!P1027</f>
        <v/>
      </c>
      <c r="X617" s="55"/>
      <c r="Y617" s="53"/>
      <c r="Z617" s="55"/>
      <c r="AA617" s="55"/>
      <c r="AB617" s="55"/>
      <c r="AC617" s="55"/>
      <c r="AD617" s="55"/>
      <c r="AE617" s="55"/>
      <c r="AF617" s="55"/>
      <c r="AG617" s="55"/>
      <c r="AH617" s="55"/>
      <c r="AI617" s="55"/>
      <c r="AJ617" s="55"/>
      <c r="AK617" s="55"/>
      <c r="AL617" s="55"/>
      <c r="AM617" s="55"/>
      <c r="AN617" s="55"/>
      <c r="AO617" s="55"/>
    </row>
    <row r="618">
      <c r="A618" s="55"/>
      <c r="B618" s="55"/>
      <c r="C618" s="53"/>
      <c r="D618" s="55"/>
      <c r="E618" s="55"/>
      <c r="F618" s="55" t="b">
        <v>0</v>
      </c>
      <c r="G618" s="55"/>
      <c r="H618" s="53"/>
      <c r="I618" s="53"/>
      <c r="J618" s="55"/>
      <c r="K618" s="55"/>
      <c r="L618" s="55"/>
      <c r="M618" s="55"/>
      <c r="N618" s="55"/>
      <c r="O618" s="55" t="b">
        <v>0</v>
      </c>
      <c r="P618" s="55"/>
      <c r="Q618" s="55"/>
      <c r="R618" s="55"/>
      <c r="S618" s="55"/>
      <c r="T618" s="55"/>
      <c r="U618" s="64"/>
      <c r="V618" s="55"/>
      <c r="W618" s="66" t="str">
        <f>'Volunteer Survey'!P1028</f>
        <v/>
      </c>
      <c r="X618" s="55"/>
      <c r="Y618" s="53"/>
      <c r="Z618" s="55"/>
      <c r="AA618" s="55"/>
      <c r="AB618" s="55"/>
      <c r="AC618" s="55"/>
      <c r="AD618" s="55"/>
      <c r="AE618" s="55"/>
      <c r="AF618" s="55"/>
      <c r="AG618" s="55"/>
      <c r="AH618" s="55"/>
      <c r="AI618" s="55"/>
      <c r="AJ618" s="55"/>
      <c r="AK618" s="55"/>
      <c r="AL618" s="55"/>
      <c r="AM618" s="55"/>
      <c r="AN618" s="55"/>
      <c r="AO618" s="55"/>
    </row>
    <row r="619">
      <c r="A619" s="55"/>
      <c r="B619" s="55"/>
      <c r="C619" s="53"/>
      <c r="D619" s="55"/>
      <c r="E619" s="55"/>
      <c r="F619" s="55" t="b">
        <v>0</v>
      </c>
      <c r="G619" s="55"/>
      <c r="H619" s="53"/>
      <c r="I619" s="53"/>
      <c r="J619" s="55"/>
      <c r="K619" s="55"/>
      <c r="L619" s="55"/>
      <c r="M619" s="55"/>
      <c r="N619" s="55"/>
      <c r="O619" s="55" t="b">
        <v>0</v>
      </c>
      <c r="P619" s="55"/>
      <c r="Q619" s="55"/>
      <c r="R619" s="55"/>
      <c r="S619" s="55"/>
      <c r="T619" s="55"/>
      <c r="U619" s="64"/>
      <c r="V619" s="55"/>
      <c r="W619" s="66" t="str">
        <f>'Volunteer Survey'!P1029</f>
        <v/>
      </c>
      <c r="X619" s="55"/>
      <c r="Y619" s="53"/>
      <c r="Z619" s="55"/>
      <c r="AA619" s="55"/>
      <c r="AB619" s="55"/>
      <c r="AC619" s="55"/>
      <c r="AD619" s="55"/>
      <c r="AE619" s="55"/>
      <c r="AF619" s="55"/>
      <c r="AG619" s="55"/>
      <c r="AH619" s="55"/>
      <c r="AI619" s="55"/>
      <c r="AJ619" s="55"/>
      <c r="AK619" s="55"/>
      <c r="AL619" s="55"/>
      <c r="AM619" s="55"/>
      <c r="AN619" s="55"/>
      <c r="AO619" s="55"/>
    </row>
    <row r="620">
      <c r="A620" s="55"/>
      <c r="B620" s="55"/>
      <c r="C620" s="53"/>
      <c r="D620" s="55"/>
      <c r="E620" s="55"/>
      <c r="F620" s="55" t="b">
        <v>0</v>
      </c>
      <c r="G620" s="55"/>
      <c r="H620" s="53"/>
      <c r="I620" s="53"/>
      <c r="J620" s="55"/>
      <c r="K620" s="55"/>
      <c r="L620" s="55"/>
      <c r="M620" s="55"/>
      <c r="N620" s="55"/>
      <c r="O620" s="55" t="b">
        <v>0</v>
      </c>
      <c r="P620" s="55"/>
      <c r="Q620" s="55"/>
      <c r="R620" s="55"/>
      <c r="S620" s="55"/>
      <c r="T620" s="55"/>
      <c r="U620" s="64"/>
      <c r="V620" s="55"/>
      <c r="W620" s="64"/>
      <c r="X620" s="55"/>
      <c r="Y620" s="53"/>
      <c r="Z620" s="55"/>
      <c r="AA620" s="55"/>
      <c r="AB620" s="55"/>
      <c r="AC620" s="55"/>
      <c r="AD620" s="55"/>
      <c r="AE620" s="55"/>
      <c r="AF620" s="55"/>
      <c r="AG620" s="55"/>
      <c r="AH620" s="55"/>
      <c r="AI620" s="55"/>
      <c r="AJ620" s="55"/>
      <c r="AK620" s="55"/>
      <c r="AL620" s="55"/>
      <c r="AM620" s="55"/>
      <c r="AN620" s="55"/>
      <c r="AO620" s="55"/>
    </row>
    <row r="621">
      <c r="A621" s="55"/>
      <c r="B621" s="55"/>
      <c r="C621" s="53"/>
      <c r="D621" s="55"/>
      <c r="E621" s="55"/>
      <c r="F621" s="55" t="b">
        <v>0</v>
      </c>
      <c r="G621" s="55"/>
      <c r="H621" s="53"/>
      <c r="I621" s="53"/>
      <c r="J621" s="55"/>
      <c r="K621" s="55"/>
      <c r="L621" s="55"/>
      <c r="M621" s="55"/>
      <c r="N621" s="55"/>
      <c r="O621" s="55" t="b">
        <v>0</v>
      </c>
      <c r="P621" s="55"/>
      <c r="Q621" s="55"/>
      <c r="R621" s="55"/>
      <c r="S621" s="55"/>
      <c r="T621" s="55"/>
      <c r="U621" s="64"/>
      <c r="V621" s="55"/>
      <c r="W621" s="64"/>
      <c r="X621" s="55"/>
      <c r="Y621" s="53"/>
      <c r="Z621" s="55"/>
      <c r="AA621" s="55"/>
      <c r="AB621" s="55"/>
      <c r="AC621" s="55"/>
      <c r="AD621" s="55"/>
      <c r="AE621" s="55"/>
      <c r="AF621" s="55"/>
      <c r="AG621" s="55"/>
      <c r="AH621" s="55"/>
      <c r="AI621" s="55"/>
      <c r="AJ621" s="55"/>
      <c r="AK621" s="55"/>
      <c r="AL621" s="55"/>
      <c r="AM621" s="55"/>
      <c r="AN621" s="55"/>
      <c r="AO621" s="55"/>
    </row>
    <row r="622">
      <c r="A622" s="55"/>
      <c r="B622" s="55"/>
      <c r="C622" s="53"/>
      <c r="D622" s="55"/>
      <c r="E622" s="55"/>
      <c r="F622" s="55" t="b">
        <v>0</v>
      </c>
      <c r="G622" s="55"/>
      <c r="H622" s="53"/>
      <c r="I622" s="53"/>
      <c r="J622" s="55"/>
      <c r="K622" s="55"/>
      <c r="L622" s="55"/>
      <c r="M622" s="55"/>
      <c r="N622" s="55"/>
      <c r="O622" s="55" t="b">
        <v>0</v>
      </c>
      <c r="P622" s="55"/>
      <c r="Q622" s="55"/>
      <c r="R622" s="55"/>
      <c r="S622" s="55"/>
      <c r="T622" s="55"/>
      <c r="U622" s="64"/>
      <c r="V622" s="55"/>
      <c r="W622" s="64"/>
      <c r="X622" s="55"/>
      <c r="Y622" s="53"/>
      <c r="Z622" s="55"/>
      <c r="AA622" s="55"/>
      <c r="AB622" s="55"/>
      <c r="AC622" s="55"/>
      <c r="AD622" s="55"/>
      <c r="AE622" s="55"/>
      <c r="AF622" s="55"/>
      <c r="AG622" s="55"/>
      <c r="AH622" s="55"/>
      <c r="AI622" s="55"/>
      <c r="AJ622" s="55"/>
      <c r="AK622" s="55"/>
      <c r="AL622" s="55"/>
      <c r="AM622" s="55"/>
      <c r="AN622" s="55"/>
      <c r="AO622" s="55"/>
    </row>
    <row r="623">
      <c r="A623" s="55"/>
      <c r="B623" s="55"/>
      <c r="C623" s="53"/>
      <c r="D623" s="55"/>
      <c r="E623" s="55"/>
      <c r="F623" s="55" t="b">
        <v>0</v>
      </c>
      <c r="G623" s="55"/>
      <c r="H623" s="53"/>
      <c r="I623" s="53"/>
      <c r="J623" s="55"/>
      <c r="K623" s="55"/>
      <c r="L623" s="55"/>
      <c r="M623" s="55"/>
      <c r="N623" s="55"/>
      <c r="O623" s="55" t="b">
        <v>0</v>
      </c>
      <c r="P623" s="55"/>
      <c r="Q623" s="55"/>
      <c r="R623" s="55"/>
      <c r="S623" s="55"/>
      <c r="T623" s="55"/>
      <c r="U623" s="64"/>
      <c r="V623" s="55"/>
      <c r="W623" s="64"/>
      <c r="X623" s="55"/>
      <c r="Y623" s="53"/>
      <c r="Z623" s="55"/>
      <c r="AA623" s="55"/>
      <c r="AB623" s="55"/>
      <c r="AC623" s="55"/>
      <c r="AD623" s="55"/>
      <c r="AE623" s="55"/>
      <c r="AF623" s="55"/>
      <c r="AG623" s="55"/>
      <c r="AH623" s="55"/>
      <c r="AI623" s="55"/>
      <c r="AJ623" s="55"/>
      <c r="AK623" s="55"/>
      <c r="AL623" s="55"/>
      <c r="AM623" s="55"/>
      <c r="AN623" s="55"/>
      <c r="AO623" s="55"/>
    </row>
    <row r="624">
      <c r="A624" s="55"/>
      <c r="B624" s="55"/>
      <c r="C624" s="53"/>
      <c r="D624" s="55"/>
      <c r="E624" s="55"/>
      <c r="F624" s="55" t="b">
        <v>0</v>
      </c>
      <c r="G624" s="55"/>
      <c r="H624" s="53"/>
      <c r="I624" s="53"/>
      <c r="J624" s="55"/>
      <c r="K624" s="55"/>
      <c r="L624" s="55"/>
      <c r="M624" s="55"/>
      <c r="N624" s="55"/>
      <c r="O624" s="55" t="b">
        <v>0</v>
      </c>
      <c r="P624" s="55"/>
      <c r="Q624" s="55"/>
      <c r="R624" s="55"/>
      <c r="S624" s="55"/>
      <c r="T624" s="55"/>
      <c r="U624" s="64"/>
      <c r="V624" s="55"/>
      <c r="W624" s="64"/>
      <c r="X624" s="55"/>
      <c r="Y624" s="53"/>
      <c r="Z624" s="55"/>
      <c r="AA624" s="55"/>
      <c r="AB624" s="55"/>
      <c r="AC624" s="55"/>
      <c r="AD624" s="55"/>
      <c r="AE624" s="55"/>
      <c r="AF624" s="55"/>
      <c r="AG624" s="55"/>
      <c r="AH624" s="55"/>
      <c r="AI624" s="55"/>
      <c r="AJ624" s="55"/>
      <c r="AK624" s="55"/>
      <c r="AL624" s="55"/>
      <c r="AM624" s="55"/>
      <c r="AN624" s="55"/>
      <c r="AO624" s="55"/>
    </row>
    <row r="625">
      <c r="A625" s="55"/>
      <c r="B625" s="55"/>
      <c r="C625" s="53"/>
      <c r="D625" s="55"/>
      <c r="E625" s="55"/>
      <c r="F625" s="55" t="b">
        <v>0</v>
      </c>
      <c r="G625" s="55"/>
      <c r="H625" s="53"/>
      <c r="I625" s="53"/>
      <c r="J625" s="55"/>
      <c r="K625" s="55"/>
      <c r="L625" s="55"/>
      <c r="M625" s="55"/>
      <c r="N625" s="55"/>
      <c r="O625" s="55" t="b">
        <v>0</v>
      </c>
      <c r="P625" s="55"/>
      <c r="Q625" s="55"/>
      <c r="R625" s="55"/>
      <c r="S625" s="55"/>
      <c r="T625" s="55"/>
      <c r="U625" s="64"/>
      <c r="V625" s="55"/>
      <c r="W625" s="64"/>
      <c r="X625" s="55"/>
      <c r="Y625" s="53"/>
      <c r="Z625" s="55"/>
      <c r="AA625" s="55"/>
      <c r="AB625" s="55"/>
      <c r="AC625" s="55"/>
      <c r="AD625" s="55"/>
      <c r="AE625" s="55"/>
      <c r="AF625" s="55"/>
      <c r="AG625" s="55"/>
      <c r="AH625" s="55"/>
      <c r="AI625" s="55"/>
      <c r="AJ625" s="55"/>
      <c r="AK625" s="55"/>
      <c r="AL625" s="55"/>
      <c r="AM625" s="55"/>
      <c r="AN625" s="55"/>
      <c r="AO625" s="55"/>
    </row>
    <row r="626">
      <c r="A626" s="55"/>
      <c r="B626" s="55"/>
      <c r="C626" s="53"/>
      <c r="D626" s="55"/>
      <c r="E626" s="55"/>
      <c r="F626" s="55" t="b">
        <v>0</v>
      </c>
      <c r="G626" s="55"/>
      <c r="H626" s="53"/>
      <c r="I626" s="53"/>
      <c r="J626" s="55"/>
      <c r="K626" s="55"/>
      <c r="L626" s="55"/>
      <c r="M626" s="55"/>
      <c r="N626" s="55"/>
      <c r="O626" s="55" t="b">
        <v>0</v>
      </c>
      <c r="P626" s="55"/>
      <c r="Q626" s="55"/>
      <c r="R626" s="55"/>
      <c r="S626" s="55"/>
      <c r="T626" s="55"/>
      <c r="U626" s="64"/>
      <c r="V626" s="55"/>
      <c r="W626" s="64"/>
      <c r="X626" s="55"/>
      <c r="Y626" s="53"/>
      <c r="Z626" s="55"/>
      <c r="AA626" s="55"/>
      <c r="AB626" s="55"/>
      <c r="AC626" s="55"/>
      <c r="AD626" s="55"/>
      <c r="AE626" s="55"/>
      <c r="AF626" s="55"/>
      <c r="AG626" s="55"/>
      <c r="AH626" s="55"/>
      <c r="AI626" s="55"/>
      <c r="AJ626" s="55"/>
      <c r="AK626" s="55"/>
      <c r="AL626" s="55"/>
      <c r="AM626" s="55"/>
      <c r="AN626" s="55"/>
      <c r="AO626" s="55"/>
    </row>
    <row r="627">
      <c r="A627" s="55"/>
      <c r="B627" s="55"/>
      <c r="C627" s="53"/>
      <c r="D627" s="55"/>
      <c r="E627" s="55"/>
      <c r="F627" s="55" t="b">
        <v>0</v>
      </c>
      <c r="G627" s="55"/>
      <c r="H627" s="53"/>
      <c r="I627" s="53"/>
      <c r="J627" s="55"/>
      <c r="K627" s="55"/>
      <c r="L627" s="55"/>
      <c r="M627" s="55"/>
      <c r="N627" s="55"/>
      <c r="O627" s="55" t="b">
        <v>0</v>
      </c>
      <c r="P627" s="55"/>
      <c r="Q627" s="55"/>
      <c r="R627" s="55"/>
      <c r="S627" s="55"/>
      <c r="T627" s="55"/>
      <c r="U627" s="64"/>
      <c r="V627" s="55"/>
      <c r="W627" s="64"/>
      <c r="X627" s="55"/>
      <c r="Y627" s="53"/>
      <c r="Z627" s="55"/>
      <c r="AA627" s="55"/>
      <c r="AB627" s="55"/>
      <c r="AC627" s="55"/>
      <c r="AD627" s="55"/>
      <c r="AE627" s="55"/>
      <c r="AF627" s="55"/>
      <c r="AG627" s="55"/>
      <c r="AH627" s="55"/>
      <c r="AI627" s="55"/>
      <c r="AJ627" s="55"/>
      <c r="AK627" s="55"/>
      <c r="AL627" s="55"/>
      <c r="AM627" s="55"/>
      <c r="AN627" s="55"/>
      <c r="AO627" s="55"/>
    </row>
    <row r="628">
      <c r="A628" s="55"/>
      <c r="B628" s="55"/>
      <c r="C628" s="53"/>
      <c r="D628" s="55"/>
      <c r="E628" s="55"/>
      <c r="F628" s="55" t="b">
        <v>0</v>
      </c>
      <c r="G628" s="55"/>
      <c r="H628" s="53"/>
      <c r="I628" s="53"/>
      <c r="J628" s="55"/>
      <c r="K628" s="55"/>
      <c r="L628" s="55"/>
      <c r="M628" s="55"/>
      <c r="N628" s="55"/>
      <c r="O628" s="55" t="b">
        <v>0</v>
      </c>
      <c r="P628" s="55"/>
      <c r="Q628" s="55"/>
      <c r="R628" s="55"/>
      <c r="S628" s="55"/>
      <c r="T628" s="55"/>
      <c r="U628" s="64"/>
      <c r="V628" s="55"/>
      <c r="W628" s="64"/>
      <c r="X628" s="55"/>
      <c r="Y628" s="53"/>
      <c r="Z628" s="55"/>
      <c r="AA628" s="55"/>
      <c r="AB628" s="55"/>
      <c r="AC628" s="55"/>
      <c r="AD628" s="55"/>
      <c r="AE628" s="55"/>
      <c r="AF628" s="55"/>
      <c r="AG628" s="55"/>
      <c r="AH628" s="55"/>
      <c r="AI628" s="55"/>
      <c r="AJ628" s="55"/>
      <c r="AK628" s="55"/>
      <c r="AL628" s="55"/>
      <c r="AM628" s="55"/>
      <c r="AN628" s="55"/>
      <c r="AO628" s="55"/>
    </row>
    <row r="629">
      <c r="A629" s="55"/>
      <c r="B629" s="55"/>
      <c r="C629" s="53"/>
      <c r="D629" s="55"/>
      <c r="E629" s="55"/>
      <c r="F629" s="55" t="b">
        <v>0</v>
      </c>
      <c r="G629" s="55"/>
      <c r="H629" s="53"/>
      <c r="I629" s="53"/>
      <c r="J629" s="55"/>
      <c r="K629" s="55"/>
      <c r="L629" s="55"/>
      <c r="M629" s="55"/>
      <c r="N629" s="55"/>
      <c r="O629" s="55" t="b">
        <v>0</v>
      </c>
      <c r="P629" s="55"/>
      <c r="Q629" s="55"/>
      <c r="R629" s="55"/>
      <c r="S629" s="55"/>
      <c r="T629" s="55"/>
      <c r="U629" s="64"/>
      <c r="V629" s="55"/>
      <c r="W629" s="64"/>
      <c r="X629" s="55"/>
      <c r="Y629" s="53"/>
      <c r="Z629" s="55"/>
      <c r="AA629" s="55"/>
      <c r="AB629" s="55"/>
      <c r="AC629" s="55"/>
      <c r="AD629" s="55"/>
      <c r="AE629" s="55"/>
      <c r="AF629" s="55"/>
      <c r="AG629" s="55"/>
      <c r="AH629" s="55"/>
      <c r="AI629" s="55"/>
      <c r="AJ629" s="55"/>
      <c r="AK629" s="55"/>
      <c r="AL629" s="55"/>
      <c r="AM629" s="55"/>
      <c r="AN629" s="55"/>
      <c r="AO629" s="55"/>
    </row>
    <row r="630">
      <c r="A630" s="55"/>
      <c r="B630" s="55"/>
      <c r="C630" s="53"/>
      <c r="D630" s="55"/>
      <c r="E630" s="55"/>
      <c r="F630" s="55" t="b">
        <v>0</v>
      </c>
      <c r="G630" s="55"/>
      <c r="H630" s="53"/>
      <c r="I630" s="53"/>
      <c r="J630" s="55"/>
      <c r="K630" s="55"/>
      <c r="L630" s="55"/>
      <c r="M630" s="55"/>
      <c r="N630" s="55"/>
      <c r="O630" s="55" t="b">
        <v>0</v>
      </c>
      <c r="P630" s="55"/>
      <c r="Q630" s="55"/>
      <c r="R630" s="55"/>
      <c r="S630" s="55"/>
      <c r="T630" s="55"/>
      <c r="U630" s="64"/>
      <c r="V630" s="55"/>
      <c r="W630" s="64"/>
      <c r="X630" s="55"/>
      <c r="Y630" s="53"/>
      <c r="Z630" s="55"/>
      <c r="AA630" s="55"/>
      <c r="AB630" s="55"/>
      <c r="AC630" s="55"/>
      <c r="AD630" s="55"/>
      <c r="AE630" s="55"/>
      <c r="AF630" s="55"/>
      <c r="AG630" s="55"/>
      <c r="AH630" s="55"/>
      <c r="AI630" s="55"/>
      <c r="AJ630" s="55"/>
      <c r="AK630" s="55"/>
      <c r="AL630" s="55"/>
      <c r="AM630" s="55"/>
      <c r="AN630" s="55"/>
      <c r="AO630" s="55"/>
    </row>
    <row r="631">
      <c r="A631" s="55"/>
      <c r="B631" s="55"/>
      <c r="C631" s="53"/>
      <c r="D631" s="55"/>
      <c r="E631" s="55"/>
      <c r="F631" s="55" t="b">
        <v>0</v>
      </c>
      <c r="G631" s="55"/>
      <c r="H631" s="53"/>
      <c r="I631" s="53"/>
      <c r="J631" s="55"/>
      <c r="K631" s="55"/>
      <c r="L631" s="55"/>
      <c r="M631" s="55"/>
      <c r="N631" s="55"/>
      <c r="O631" s="55" t="b">
        <v>0</v>
      </c>
      <c r="P631" s="55"/>
      <c r="Q631" s="55"/>
      <c r="R631" s="55"/>
      <c r="S631" s="55"/>
      <c r="T631" s="55"/>
      <c r="U631" s="64"/>
      <c r="V631" s="55"/>
      <c r="W631" s="64"/>
      <c r="X631" s="55"/>
      <c r="Y631" s="53"/>
      <c r="Z631" s="55"/>
      <c r="AA631" s="55"/>
      <c r="AB631" s="55"/>
      <c r="AC631" s="55"/>
      <c r="AD631" s="55"/>
      <c r="AE631" s="55"/>
      <c r="AF631" s="55"/>
      <c r="AG631" s="55"/>
      <c r="AH631" s="55"/>
      <c r="AI631" s="55"/>
      <c r="AJ631" s="55"/>
      <c r="AK631" s="55"/>
      <c r="AL631" s="55"/>
      <c r="AM631" s="55"/>
      <c r="AN631" s="55"/>
      <c r="AO631" s="55"/>
    </row>
    <row r="632">
      <c r="A632" s="55"/>
      <c r="B632" s="55"/>
      <c r="C632" s="53"/>
      <c r="D632" s="55"/>
      <c r="E632" s="55"/>
      <c r="F632" s="55" t="b">
        <v>0</v>
      </c>
      <c r="G632" s="55"/>
      <c r="H632" s="53"/>
      <c r="I632" s="53"/>
      <c r="J632" s="55"/>
      <c r="K632" s="55"/>
      <c r="L632" s="55"/>
      <c r="M632" s="55"/>
      <c r="N632" s="55"/>
      <c r="O632" s="55" t="b">
        <v>0</v>
      </c>
      <c r="P632" s="55"/>
      <c r="Q632" s="55"/>
      <c r="R632" s="55"/>
      <c r="S632" s="55"/>
      <c r="T632" s="55"/>
      <c r="U632" s="64"/>
      <c r="V632" s="55"/>
      <c r="W632" s="64"/>
      <c r="X632" s="55"/>
      <c r="Y632" s="53"/>
      <c r="Z632" s="55"/>
      <c r="AA632" s="55"/>
      <c r="AB632" s="55"/>
      <c r="AC632" s="55"/>
      <c r="AD632" s="55"/>
      <c r="AE632" s="55"/>
      <c r="AF632" s="55"/>
      <c r="AG632" s="55"/>
      <c r="AH632" s="55"/>
      <c r="AI632" s="55"/>
      <c r="AJ632" s="55"/>
      <c r="AK632" s="55"/>
      <c r="AL632" s="55"/>
      <c r="AM632" s="55"/>
      <c r="AN632" s="55"/>
      <c r="AO632" s="55"/>
    </row>
    <row r="633">
      <c r="A633" s="55"/>
      <c r="B633" s="55"/>
      <c r="C633" s="53"/>
      <c r="D633" s="55"/>
      <c r="E633" s="55"/>
      <c r="F633" s="55" t="b">
        <v>0</v>
      </c>
      <c r="G633" s="55"/>
      <c r="H633" s="53"/>
      <c r="I633" s="53"/>
      <c r="J633" s="55"/>
      <c r="K633" s="55"/>
      <c r="L633" s="55"/>
      <c r="M633" s="55"/>
      <c r="N633" s="55"/>
      <c r="O633" s="55" t="b">
        <v>0</v>
      </c>
      <c r="P633" s="55"/>
      <c r="Q633" s="55"/>
      <c r="R633" s="55"/>
      <c r="S633" s="55"/>
      <c r="T633" s="55"/>
      <c r="U633" s="64"/>
      <c r="V633" s="55"/>
      <c r="W633" s="64"/>
      <c r="X633" s="55"/>
      <c r="Y633" s="53"/>
      <c r="Z633" s="55"/>
      <c r="AA633" s="55"/>
      <c r="AB633" s="55"/>
      <c r="AC633" s="55"/>
      <c r="AD633" s="55"/>
      <c r="AE633" s="55"/>
      <c r="AF633" s="55"/>
      <c r="AG633" s="55"/>
      <c r="AH633" s="55"/>
      <c r="AI633" s="55"/>
      <c r="AJ633" s="55"/>
      <c r="AK633" s="55"/>
      <c r="AL633" s="55"/>
      <c r="AM633" s="55"/>
      <c r="AN633" s="55"/>
      <c r="AO633" s="55"/>
    </row>
    <row r="634">
      <c r="A634" s="55"/>
      <c r="B634" s="55"/>
      <c r="C634" s="53"/>
      <c r="D634" s="55"/>
      <c r="E634" s="55"/>
      <c r="F634" s="55" t="b">
        <v>0</v>
      </c>
      <c r="G634" s="55"/>
      <c r="H634" s="53"/>
      <c r="I634" s="53"/>
      <c r="J634" s="55"/>
      <c r="K634" s="55"/>
      <c r="L634" s="55"/>
      <c r="M634" s="55"/>
      <c r="N634" s="55"/>
      <c r="O634" s="55" t="b">
        <v>0</v>
      </c>
      <c r="P634" s="55"/>
      <c r="Q634" s="55"/>
      <c r="R634" s="55"/>
      <c r="S634" s="55"/>
      <c r="T634" s="55"/>
      <c r="U634" s="64"/>
      <c r="V634" s="55"/>
      <c r="W634" s="64"/>
      <c r="X634" s="55"/>
      <c r="Y634" s="53"/>
      <c r="Z634" s="55"/>
      <c r="AA634" s="55"/>
      <c r="AB634" s="55"/>
      <c r="AC634" s="55"/>
      <c r="AD634" s="55"/>
      <c r="AE634" s="55"/>
      <c r="AF634" s="55"/>
      <c r="AG634" s="55"/>
      <c r="AH634" s="55"/>
      <c r="AI634" s="55"/>
      <c r="AJ634" s="55"/>
      <c r="AK634" s="55"/>
      <c r="AL634" s="55"/>
      <c r="AM634" s="55"/>
      <c r="AN634" s="55"/>
      <c r="AO634" s="55"/>
    </row>
    <row r="635">
      <c r="A635" s="55"/>
      <c r="B635" s="55"/>
      <c r="C635" s="53"/>
      <c r="D635" s="55"/>
      <c r="E635" s="55"/>
      <c r="F635" s="55" t="b">
        <v>0</v>
      </c>
      <c r="G635" s="55"/>
      <c r="H635" s="53"/>
      <c r="I635" s="53"/>
      <c r="J635" s="55"/>
      <c r="K635" s="55"/>
      <c r="L635" s="55"/>
      <c r="M635" s="55"/>
      <c r="N635" s="55"/>
      <c r="O635" s="55" t="b">
        <v>0</v>
      </c>
      <c r="P635" s="55"/>
      <c r="Q635" s="55"/>
      <c r="R635" s="55"/>
      <c r="S635" s="55"/>
      <c r="T635" s="55"/>
      <c r="U635" s="64"/>
      <c r="V635" s="55"/>
      <c r="W635" s="64"/>
      <c r="X635" s="55"/>
      <c r="Y635" s="53"/>
      <c r="Z635" s="55"/>
      <c r="AA635" s="55"/>
      <c r="AB635" s="55"/>
      <c r="AC635" s="55"/>
      <c r="AD635" s="55"/>
      <c r="AE635" s="55"/>
      <c r="AF635" s="55"/>
      <c r="AG635" s="55"/>
      <c r="AH635" s="55"/>
      <c r="AI635" s="55"/>
      <c r="AJ635" s="55"/>
      <c r="AK635" s="55"/>
      <c r="AL635" s="55"/>
      <c r="AM635" s="55"/>
      <c r="AN635" s="55"/>
      <c r="AO635" s="55"/>
    </row>
    <row r="636">
      <c r="A636" s="55"/>
      <c r="B636" s="55"/>
      <c r="C636" s="53"/>
      <c r="D636" s="55"/>
      <c r="E636" s="55"/>
      <c r="F636" s="55" t="b">
        <v>0</v>
      </c>
      <c r="G636" s="55"/>
      <c r="H636" s="53"/>
      <c r="I636" s="53"/>
      <c r="J636" s="55"/>
      <c r="K636" s="55"/>
      <c r="L636" s="55"/>
      <c r="M636" s="55"/>
      <c r="N636" s="55"/>
      <c r="O636" s="55" t="b">
        <v>0</v>
      </c>
      <c r="P636" s="55"/>
      <c r="Q636" s="55"/>
      <c r="R636" s="55"/>
      <c r="S636" s="55"/>
      <c r="T636" s="55"/>
      <c r="U636" s="64"/>
      <c r="V636" s="55"/>
      <c r="W636" s="64"/>
      <c r="X636" s="55"/>
      <c r="Y636" s="53"/>
      <c r="Z636" s="55"/>
      <c r="AA636" s="55"/>
      <c r="AB636" s="55"/>
      <c r="AC636" s="55"/>
      <c r="AD636" s="55"/>
      <c r="AE636" s="55"/>
      <c r="AF636" s="55"/>
      <c r="AG636" s="55"/>
      <c r="AH636" s="55"/>
      <c r="AI636" s="55"/>
      <c r="AJ636" s="55"/>
      <c r="AK636" s="55"/>
      <c r="AL636" s="55"/>
      <c r="AM636" s="55"/>
      <c r="AN636" s="55"/>
      <c r="AO636" s="55"/>
    </row>
    <row r="637">
      <c r="A637" s="55"/>
      <c r="B637" s="55"/>
      <c r="C637" s="53"/>
      <c r="D637" s="55"/>
      <c r="E637" s="55"/>
      <c r="F637" s="55" t="b">
        <v>0</v>
      </c>
      <c r="G637" s="55"/>
      <c r="H637" s="53"/>
      <c r="I637" s="53"/>
      <c r="J637" s="55"/>
      <c r="K637" s="55"/>
      <c r="L637" s="55"/>
      <c r="M637" s="55"/>
      <c r="N637" s="55"/>
      <c r="O637" s="55" t="b">
        <v>0</v>
      </c>
      <c r="P637" s="55"/>
      <c r="Q637" s="55"/>
      <c r="R637" s="55"/>
      <c r="S637" s="55"/>
      <c r="T637" s="55"/>
      <c r="U637" s="64"/>
      <c r="V637" s="55"/>
      <c r="W637" s="64"/>
      <c r="X637" s="55"/>
      <c r="Y637" s="53"/>
      <c r="Z637" s="55"/>
      <c r="AA637" s="55"/>
      <c r="AB637" s="55"/>
      <c r="AC637" s="55"/>
      <c r="AD637" s="55"/>
      <c r="AE637" s="55"/>
      <c r="AF637" s="55"/>
      <c r="AG637" s="55"/>
      <c r="AH637" s="55"/>
      <c r="AI637" s="55"/>
      <c r="AJ637" s="55"/>
      <c r="AK637" s="55"/>
      <c r="AL637" s="55"/>
      <c r="AM637" s="55"/>
      <c r="AN637" s="55"/>
      <c r="AO637" s="55"/>
    </row>
    <row r="638">
      <c r="A638" s="55"/>
      <c r="B638" s="55"/>
      <c r="C638" s="53"/>
      <c r="D638" s="55"/>
      <c r="E638" s="55"/>
      <c r="F638" s="55" t="b">
        <v>0</v>
      </c>
      <c r="G638" s="55"/>
      <c r="H638" s="53"/>
      <c r="I638" s="53"/>
      <c r="J638" s="55"/>
      <c r="K638" s="55"/>
      <c r="L638" s="55"/>
      <c r="M638" s="55"/>
      <c r="N638" s="55"/>
      <c r="O638" s="55" t="b">
        <v>0</v>
      </c>
      <c r="P638" s="55"/>
      <c r="Q638" s="55"/>
      <c r="R638" s="55"/>
      <c r="S638" s="55"/>
      <c r="T638" s="55"/>
      <c r="U638" s="64"/>
      <c r="V638" s="55"/>
      <c r="W638" s="64"/>
      <c r="X638" s="55"/>
      <c r="Y638" s="53"/>
      <c r="Z638" s="55"/>
      <c r="AA638" s="55"/>
      <c r="AB638" s="55"/>
      <c r="AC638" s="55"/>
      <c r="AD638" s="55"/>
      <c r="AE638" s="55"/>
      <c r="AF638" s="55"/>
      <c r="AG638" s="55"/>
      <c r="AH638" s="55"/>
      <c r="AI638" s="55"/>
      <c r="AJ638" s="55"/>
      <c r="AK638" s="55"/>
      <c r="AL638" s="55"/>
      <c r="AM638" s="55"/>
      <c r="AN638" s="55"/>
      <c r="AO638" s="55"/>
    </row>
    <row r="639">
      <c r="A639" s="55"/>
      <c r="B639" s="55"/>
      <c r="C639" s="53"/>
      <c r="D639" s="55"/>
      <c r="E639" s="55"/>
      <c r="F639" s="55" t="b">
        <v>0</v>
      </c>
      <c r="G639" s="55"/>
      <c r="H639" s="53"/>
      <c r="I639" s="53"/>
      <c r="J639" s="55"/>
      <c r="K639" s="55"/>
      <c r="L639" s="55"/>
      <c r="M639" s="55"/>
      <c r="N639" s="55"/>
      <c r="O639" s="55" t="b">
        <v>0</v>
      </c>
      <c r="P639" s="55"/>
      <c r="Q639" s="55"/>
      <c r="R639" s="55"/>
      <c r="S639" s="55"/>
      <c r="T639" s="55"/>
      <c r="U639" s="64"/>
      <c r="V639" s="55"/>
      <c r="W639" s="64"/>
      <c r="X639" s="55"/>
      <c r="Y639" s="53"/>
      <c r="Z639" s="55"/>
      <c r="AA639" s="55"/>
      <c r="AB639" s="55"/>
      <c r="AC639" s="55"/>
      <c r="AD639" s="55"/>
      <c r="AE639" s="55"/>
      <c r="AF639" s="55"/>
      <c r="AG639" s="55"/>
      <c r="AH639" s="55"/>
      <c r="AI639" s="55"/>
      <c r="AJ639" s="55"/>
      <c r="AK639" s="55"/>
      <c r="AL639" s="55"/>
      <c r="AM639" s="55"/>
      <c r="AN639" s="55"/>
      <c r="AO639" s="55"/>
    </row>
    <row r="640">
      <c r="A640" s="55"/>
      <c r="B640" s="55"/>
      <c r="C640" s="53"/>
      <c r="D640" s="55"/>
      <c r="E640" s="55"/>
      <c r="F640" s="55" t="b">
        <v>0</v>
      </c>
      <c r="G640" s="55"/>
      <c r="H640" s="53"/>
      <c r="I640" s="53"/>
      <c r="J640" s="55"/>
      <c r="K640" s="55"/>
      <c r="L640" s="55"/>
      <c r="M640" s="55"/>
      <c r="N640" s="55"/>
      <c r="O640" s="55" t="b">
        <v>0</v>
      </c>
      <c r="P640" s="55"/>
      <c r="Q640" s="55"/>
      <c r="R640" s="55"/>
      <c r="S640" s="55"/>
      <c r="T640" s="55"/>
      <c r="U640" s="64"/>
      <c r="V640" s="55"/>
      <c r="W640" s="64"/>
      <c r="X640" s="55"/>
      <c r="Y640" s="53"/>
      <c r="Z640" s="55"/>
      <c r="AA640" s="55"/>
      <c r="AB640" s="55"/>
      <c r="AC640" s="55"/>
      <c r="AD640" s="55"/>
      <c r="AE640" s="55"/>
      <c r="AF640" s="55"/>
      <c r="AG640" s="55"/>
      <c r="AH640" s="55"/>
      <c r="AI640" s="55"/>
      <c r="AJ640" s="55"/>
      <c r="AK640" s="55"/>
      <c r="AL640" s="55"/>
      <c r="AM640" s="55"/>
      <c r="AN640" s="55"/>
      <c r="AO640" s="55"/>
    </row>
    <row r="641">
      <c r="A641" s="55"/>
      <c r="B641" s="55"/>
      <c r="C641" s="53"/>
      <c r="D641" s="55"/>
      <c r="E641" s="55"/>
      <c r="F641" s="55" t="b">
        <v>0</v>
      </c>
      <c r="G641" s="55"/>
      <c r="H641" s="53"/>
      <c r="I641" s="53"/>
      <c r="J641" s="55"/>
      <c r="K641" s="55"/>
      <c r="L641" s="55"/>
      <c r="M641" s="55"/>
      <c r="N641" s="55"/>
      <c r="O641" s="55" t="b">
        <v>0</v>
      </c>
      <c r="P641" s="55"/>
      <c r="Q641" s="55"/>
      <c r="R641" s="55"/>
      <c r="S641" s="55"/>
      <c r="T641" s="55"/>
      <c r="U641" s="64"/>
      <c r="V641" s="55"/>
      <c r="W641" s="64"/>
      <c r="X641" s="55"/>
      <c r="Y641" s="53"/>
      <c r="Z641" s="55"/>
      <c r="AA641" s="55"/>
      <c r="AB641" s="55"/>
      <c r="AC641" s="55"/>
      <c r="AD641" s="55"/>
      <c r="AE641" s="55"/>
      <c r="AF641" s="55"/>
      <c r="AG641" s="55"/>
      <c r="AH641" s="55"/>
      <c r="AI641" s="55"/>
      <c r="AJ641" s="55"/>
      <c r="AK641" s="55"/>
      <c r="AL641" s="55"/>
      <c r="AM641" s="55"/>
      <c r="AN641" s="55"/>
      <c r="AO641" s="55"/>
    </row>
    <row r="642">
      <c r="A642" s="55"/>
      <c r="B642" s="55"/>
      <c r="C642" s="53"/>
      <c r="D642" s="55"/>
      <c r="E642" s="55"/>
      <c r="F642" s="55" t="b">
        <v>0</v>
      </c>
      <c r="G642" s="55"/>
      <c r="H642" s="53"/>
      <c r="I642" s="53"/>
      <c r="J642" s="55"/>
      <c r="K642" s="55"/>
      <c r="L642" s="55"/>
      <c r="M642" s="55"/>
      <c r="N642" s="55"/>
      <c r="O642" s="55" t="b">
        <v>0</v>
      </c>
      <c r="P642" s="55"/>
      <c r="Q642" s="55"/>
      <c r="R642" s="55"/>
      <c r="S642" s="55"/>
      <c r="T642" s="55"/>
      <c r="U642" s="64"/>
      <c r="V642" s="55"/>
      <c r="W642" s="64"/>
      <c r="X642" s="55"/>
      <c r="Y642" s="53"/>
      <c r="Z642" s="55"/>
      <c r="AA642" s="55"/>
      <c r="AB642" s="55"/>
      <c r="AC642" s="55"/>
      <c r="AD642" s="55"/>
      <c r="AE642" s="55"/>
      <c r="AF642" s="55"/>
      <c r="AG642" s="55"/>
      <c r="AH642" s="55"/>
      <c r="AI642" s="55"/>
      <c r="AJ642" s="55"/>
      <c r="AK642" s="55"/>
      <c r="AL642" s="55"/>
      <c r="AM642" s="55"/>
      <c r="AN642" s="55"/>
      <c r="AO642" s="55"/>
    </row>
    <row r="643">
      <c r="A643" s="55"/>
      <c r="B643" s="55"/>
      <c r="C643" s="53"/>
      <c r="D643" s="55"/>
      <c r="E643" s="55"/>
      <c r="F643" s="55" t="b">
        <v>0</v>
      </c>
      <c r="G643" s="55"/>
      <c r="H643" s="53"/>
      <c r="I643" s="53"/>
      <c r="J643" s="55"/>
      <c r="K643" s="55"/>
      <c r="L643" s="55"/>
      <c r="M643" s="55"/>
      <c r="N643" s="55"/>
      <c r="O643" s="55" t="b">
        <v>0</v>
      </c>
      <c r="P643" s="55"/>
      <c r="Q643" s="55"/>
      <c r="R643" s="55"/>
      <c r="S643" s="55"/>
      <c r="T643" s="55"/>
      <c r="U643" s="64"/>
      <c r="V643" s="55"/>
      <c r="W643" s="64"/>
      <c r="X643" s="55"/>
      <c r="Y643" s="53"/>
      <c r="Z643" s="55"/>
      <c r="AA643" s="55"/>
      <c r="AB643" s="55"/>
      <c r="AC643" s="55"/>
      <c r="AD643" s="55"/>
      <c r="AE643" s="55"/>
      <c r="AF643" s="55"/>
      <c r="AG643" s="55"/>
      <c r="AH643" s="55"/>
      <c r="AI643" s="55"/>
      <c r="AJ643" s="55"/>
      <c r="AK643" s="55"/>
      <c r="AL643" s="55"/>
      <c r="AM643" s="55"/>
      <c r="AN643" s="55"/>
      <c r="AO643" s="55"/>
    </row>
    <row r="644">
      <c r="A644" s="55"/>
      <c r="B644" s="55"/>
      <c r="C644" s="53"/>
      <c r="D644" s="55"/>
      <c r="E644" s="55"/>
      <c r="F644" s="55" t="b">
        <v>0</v>
      </c>
      <c r="G644" s="55"/>
      <c r="H644" s="53"/>
      <c r="I644" s="53"/>
      <c r="J644" s="55"/>
      <c r="K644" s="55"/>
      <c r="L644" s="55"/>
      <c r="M644" s="55"/>
      <c r="N644" s="55"/>
      <c r="O644" s="55" t="b">
        <v>0</v>
      </c>
      <c r="P644" s="55"/>
      <c r="Q644" s="55"/>
      <c r="R644" s="55"/>
      <c r="S644" s="55"/>
      <c r="T644" s="55"/>
      <c r="U644" s="64"/>
      <c r="V644" s="55"/>
      <c r="W644" s="64"/>
      <c r="X644" s="55"/>
      <c r="Y644" s="53"/>
      <c r="Z644" s="55"/>
      <c r="AA644" s="55"/>
      <c r="AB644" s="55"/>
      <c r="AC644" s="55"/>
      <c r="AD644" s="55"/>
      <c r="AE644" s="55"/>
      <c r="AF644" s="55"/>
      <c r="AG644" s="55"/>
      <c r="AH644" s="55"/>
      <c r="AI644" s="55"/>
      <c r="AJ644" s="55"/>
      <c r="AK644" s="55"/>
      <c r="AL644" s="55"/>
      <c r="AM644" s="55"/>
      <c r="AN644" s="55"/>
      <c r="AO644" s="55"/>
    </row>
    <row r="645">
      <c r="A645" s="55"/>
      <c r="B645" s="55"/>
      <c r="C645" s="53"/>
      <c r="D645" s="55"/>
      <c r="E645" s="55"/>
      <c r="F645" s="55" t="b">
        <v>0</v>
      </c>
      <c r="G645" s="55"/>
      <c r="H645" s="53"/>
      <c r="I645" s="53"/>
      <c r="J645" s="55"/>
      <c r="K645" s="55"/>
      <c r="L645" s="55"/>
      <c r="M645" s="55"/>
      <c r="N645" s="55"/>
      <c r="O645" s="55" t="b">
        <v>0</v>
      </c>
      <c r="P645" s="55"/>
      <c r="Q645" s="55"/>
      <c r="R645" s="55"/>
      <c r="S645" s="55"/>
      <c r="T645" s="55"/>
      <c r="U645" s="64"/>
      <c r="V645" s="55"/>
      <c r="W645" s="64"/>
      <c r="X645" s="55"/>
      <c r="Y645" s="53"/>
      <c r="Z645" s="55"/>
      <c r="AA645" s="55"/>
      <c r="AB645" s="55"/>
      <c r="AC645" s="55"/>
      <c r="AD645" s="55"/>
      <c r="AE645" s="55"/>
      <c r="AF645" s="55"/>
      <c r="AG645" s="55"/>
      <c r="AH645" s="55"/>
      <c r="AI645" s="55"/>
      <c r="AJ645" s="55"/>
      <c r="AK645" s="55"/>
      <c r="AL645" s="55"/>
      <c r="AM645" s="55"/>
      <c r="AN645" s="55"/>
      <c r="AO645" s="55"/>
    </row>
    <row r="646">
      <c r="A646" s="55"/>
      <c r="B646" s="55"/>
      <c r="C646" s="53"/>
      <c r="D646" s="55"/>
      <c r="E646" s="55"/>
      <c r="F646" s="55" t="b">
        <v>0</v>
      </c>
      <c r="G646" s="55"/>
      <c r="H646" s="53"/>
      <c r="I646" s="53"/>
      <c r="J646" s="55"/>
      <c r="K646" s="55"/>
      <c r="L646" s="55"/>
      <c r="M646" s="55"/>
      <c r="N646" s="55"/>
      <c r="O646" s="55" t="b">
        <v>0</v>
      </c>
      <c r="P646" s="55"/>
      <c r="Q646" s="55"/>
      <c r="R646" s="55"/>
      <c r="S646" s="55"/>
      <c r="T646" s="55"/>
      <c r="U646" s="64"/>
      <c r="V646" s="55"/>
      <c r="W646" s="64"/>
      <c r="X646" s="55"/>
      <c r="Y646" s="53"/>
      <c r="Z646" s="55"/>
      <c r="AA646" s="55"/>
      <c r="AB646" s="55"/>
      <c r="AC646" s="55"/>
      <c r="AD646" s="55"/>
      <c r="AE646" s="55"/>
      <c r="AF646" s="55"/>
      <c r="AG646" s="55"/>
      <c r="AH646" s="55"/>
      <c r="AI646" s="55"/>
      <c r="AJ646" s="55"/>
      <c r="AK646" s="55"/>
      <c r="AL646" s="55"/>
      <c r="AM646" s="55"/>
      <c r="AN646" s="55"/>
      <c r="AO646" s="55"/>
    </row>
    <row r="647">
      <c r="A647" s="55"/>
      <c r="B647" s="55"/>
      <c r="C647" s="53"/>
      <c r="D647" s="55"/>
      <c r="E647" s="55"/>
      <c r="F647" s="55" t="b">
        <v>0</v>
      </c>
      <c r="G647" s="55"/>
      <c r="H647" s="53"/>
      <c r="I647" s="53"/>
      <c r="J647" s="55"/>
      <c r="K647" s="55"/>
      <c r="L647" s="55"/>
      <c r="M647" s="55"/>
      <c r="N647" s="55"/>
      <c r="O647" s="55" t="b">
        <v>0</v>
      </c>
      <c r="P647" s="55"/>
      <c r="Q647" s="55"/>
      <c r="R647" s="55"/>
      <c r="S647" s="55"/>
      <c r="T647" s="55"/>
      <c r="U647" s="64"/>
      <c r="V647" s="55"/>
      <c r="W647" s="64"/>
      <c r="X647" s="55"/>
      <c r="Y647" s="53"/>
      <c r="Z647" s="55"/>
      <c r="AA647" s="55"/>
      <c r="AB647" s="55"/>
      <c r="AC647" s="55"/>
      <c r="AD647" s="55"/>
      <c r="AE647" s="55"/>
      <c r="AF647" s="55"/>
      <c r="AG647" s="55"/>
      <c r="AH647" s="55"/>
      <c r="AI647" s="55"/>
      <c r="AJ647" s="55"/>
      <c r="AK647" s="55"/>
      <c r="AL647" s="55"/>
      <c r="AM647" s="55"/>
      <c r="AN647" s="55"/>
      <c r="AO647" s="55"/>
    </row>
    <row r="648">
      <c r="A648" s="55"/>
      <c r="B648" s="55"/>
      <c r="C648" s="53"/>
      <c r="D648" s="55"/>
      <c r="E648" s="55"/>
      <c r="F648" s="55" t="b">
        <v>0</v>
      </c>
      <c r="G648" s="55"/>
      <c r="H648" s="53"/>
      <c r="I648" s="53"/>
      <c r="J648" s="55"/>
      <c r="K648" s="55"/>
      <c r="L648" s="55"/>
      <c r="M648" s="55"/>
      <c r="N648" s="55"/>
      <c r="O648" s="55" t="b">
        <v>0</v>
      </c>
      <c r="P648" s="55"/>
      <c r="Q648" s="55"/>
      <c r="R648" s="55"/>
      <c r="S648" s="55"/>
      <c r="T648" s="55"/>
      <c r="U648" s="64"/>
      <c r="V648" s="55"/>
      <c r="W648" s="64"/>
      <c r="X648" s="55"/>
      <c r="Y648" s="53"/>
      <c r="Z648" s="55"/>
      <c r="AA648" s="55"/>
      <c r="AB648" s="55"/>
      <c r="AC648" s="55"/>
      <c r="AD648" s="55"/>
      <c r="AE648" s="55"/>
      <c r="AF648" s="55"/>
      <c r="AG648" s="55"/>
      <c r="AH648" s="55"/>
      <c r="AI648" s="55"/>
      <c r="AJ648" s="55"/>
      <c r="AK648" s="55"/>
      <c r="AL648" s="55"/>
      <c r="AM648" s="55"/>
      <c r="AN648" s="55"/>
      <c r="AO648" s="55"/>
    </row>
    <row r="649">
      <c r="A649" s="55"/>
      <c r="B649" s="55"/>
      <c r="C649" s="53"/>
      <c r="D649" s="55"/>
      <c r="E649" s="55"/>
      <c r="F649" s="55" t="b">
        <v>0</v>
      </c>
      <c r="G649" s="55"/>
      <c r="H649" s="53"/>
      <c r="I649" s="53"/>
      <c r="J649" s="55"/>
      <c r="K649" s="55"/>
      <c r="L649" s="55"/>
      <c r="M649" s="55"/>
      <c r="N649" s="55"/>
      <c r="O649" s="55" t="b">
        <v>0</v>
      </c>
      <c r="P649" s="55"/>
      <c r="Q649" s="55"/>
      <c r="R649" s="55"/>
      <c r="S649" s="55"/>
      <c r="T649" s="55"/>
      <c r="U649" s="64"/>
      <c r="V649" s="55"/>
      <c r="W649" s="64"/>
      <c r="X649" s="55"/>
      <c r="Y649" s="53"/>
      <c r="Z649" s="55"/>
      <c r="AA649" s="55"/>
      <c r="AB649" s="55"/>
      <c r="AC649" s="55"/>
      <c r="AD649" s="55"/>
      <c r="AE649" s="55"/>
      <c r="AF649" s="55"/>
      <c r="AG649" s="55"/>
      <c r="AH649" s="55"/>
      <c r="AI649" s="55"/>
      <c r="AJ649" s="55"/>
      <c r="AK649" s="55"/>
      <c r="AL649" s="55"/>
      <c r="AM649" s="55"/>
      <c r="AN649" s="55"/>
      <c r="AO649" s="55"/>
    </row>
    <row r="650">
      <c r="A650" s="55"/>
      <c r="B650" s="55"/>
      <c r="C650" s="53"/>
      <c r="D650" s="55"/>
      <c r="E650" s="55"/>
      <c r="F650" s="55" t="b">
        <v>0</v>
      </c>
      <c r="G650" s="55"/>
      <c r="H650" s="53"/>
      <c r="I650" s="53"/>
      <c r="J650" s="55"/>
      <c r="K650" s="55"/>
      <c r="L650" s="55"/>
      <c r="M650" s="55"/>
      <c r="N650" s="55"/>
      <c r="O650" s="55" t="b">
        <v>0</v>
      </c>
      <c r="P650" s="55"/>
      <c r="Q650" s="55"/>
      <c r="R650" s="55"/>
      <c r="S650" s="55"/>
      <c r="T650" s="55"/>
      <c r="U650" s="64"/>
      <c r="V650" s="55"/>
      <c r="W650" s="64"/>
      <c r="X650" s="55"/>
      <c r="Y650" s="53"/>
      <c r="Z650" s="55"/>
      <c r="AA650" s="55"/>
      <c r="AB650" s="55"/>
      <c r="AC650" s="55"/>
      <c r="AD650" s="55"/>
      <c r="AE650" s="55"/>
      <c r="AF650" s="55"/>
      <c r="AG650" s="55"/>
      <c r="AH650" s="55"/>
      <c r="AI650" s="55"/>
      <c r="AJ650" s="55"/>
      <c r="AK650" s="55"/>
      <c r="AL650" s="55"/>
      <c r="AM650" s="55"/>
      <c r="AN650" s="55"/>
      <c r="AO650" s="55"/>
    </row>
    <row r="651">
      <c r="A651" s="55"/>
      <c r="B651" s="55"/>
      <c r="C651" s="53"/>
      <c r="D651" s="55"/>
      <c r="E651" s="55"/>
      <c r="F651" s="55" t="b">
        <v>0</v>
      </c>
      <c r="G651" s="55"/>
      <c r="H651" s="53"/>
      <c r="I651" s="53"/>
      <c r="J651" s="55"/>
      <c r="K651" s="55"/>
      <c r="L651" s="55"/>
      <c r="M651" s="55"/>
      <c r="N651" s="55"/>
      <c r="O651" s="55" t="b">
        <v>0</v>
      </c>
      <c r="P651" s="55"/>
      <c r="Q651" s="55"/>
      <c r="R651" s="55"/>
      <c r="S651" s="55"/>
      <c r="T651" s="55"/>
      <c r="U651" s="64"/>
      <c r="V651" s="55"/>
      <c r="W651" s="64"/>
      <c r="X651" s="55"/>
      <c r="Y651" s="53"/>
      <c r="Z651" s="55"/>
      <c r="AA651" s="55"/>
      <c r="AB651" s="55"/>
      <c r="AC651" s="55"/>
      <c r="AD651" s="55"/>
      <c r="AE651" s="55"/>
      <c r="AF651" s="55"/>
      <c r="AG651" s="55"/>
      <c r="AH651" s="55"/>
      <c r="AI651" s="55"/>
      <c r="AJ651" s="55"/>
      <c r="AK651" s="55"/>
      <c r="AL651" s="55"/>
      <c r="AM651" s="55"/>
      <c r="AN651" s="55"/>
      <c r="AO651" s="55"/>
    </row>
    <row r="652">
      <c r="A652" s="55"/>
      <c r="B652" s="55"/>
      <c r="C652" s="53"/>
      <c r="D652" s="55"/>
      <c r="E652" s="55"/>
      <c r="F652" s="55" t="b">
        <v>0</v>
      </c>
      <c r="G652" s="55"/>
      <c r="H652" s="53"/>
      <c r="I652" s="53"/>
      <c r="J652" s="55"/>
      <c r="K652" s="55"/>
      <c r="L652" s="55"/>
      <c r="M652" s="55"/>
      <c r="N652" s="55"/>
      <c r="O652" s="55" t="b">
        <v>0</v>
      </c>
      <c r="P652" s="55"/>
      <c r="Q652" s="55"/>
      <c r="R652" s="55"/>
      <c r="S652" s="55"/>
      <c r="T652" s="55"/>
      <c r="U652" s="64"/>
      <c r="V652" s="55"/>
      <c r="W652" s="64"/>
      <c r="X652" s="55"/>
      <c r="Y652" s="53"/>
      <c r="Z652" s="55"/>
      <c r="AA652" s="55"/>
      <c r="AB652" s="55"/>
      <c r="AC652" s="55"/>
      <c r="AD652" s="55"/>
      <c r="AE652" s="55"/>
      <c r="AF652" s="55"/>
      <c r="AG652" s="55"/>
      <c r="AH652" s="55"/>
      <c r="AI652" s="55"/>
      <c r="AJ652" s="55"/>
      <c r="AK652" s="55"/>
      <c r="AL652" s="55"/>
      <c r="AM652" s="55"/>
      <c r="AN652" s="55"/>
      <c r="AO652" s="55"/>
    </row>
    <row r="653">
      <c r="A653" s="55"/>
      <c r="B653" s="55"/>
      <c r="C653" s="53"/>
      <c r="D653" s="55"/>
      <c r="E653" s="55"/>
      <c r="F653" s="55" t="b">
        <v>0</v>
      </c>
      <c r="G653" s="55"/>
      <c r="H653" s="53"/>
      <c r="I653" s="53"/>
      <c r="J653" s="55"/>
      <c r="K653" s="55"/>
      <c r="L653" s="55"/>
      <c r="M653" s="55"/>
      <c r="N653" s="55"/>
      <c r="O653" s="55" t="b">
        <v>0</v>
      </c>
      <c r="P653" s="55"/>
      <c r="Q653" s="55"/>
      <c r="R653" s="55"/>
      <c r="S653" s="55"/>
      <c r="T653" s="55"/>
      <c r="U653" s="64"/>
      <c r="V653" s="55"/>
      <c r="W653" s="64"/>
      <c r="X653" s="55"/>
      <c r="Y653" s="53"/>
      <c r="Z653" s="55"/>
      <c r="AA653" s="55"/>
      <c r="AB653" s="55"/>
      <c r="AC653" s="55"/>
      <c r="AD653" s="55"/>
      <c r="AE653" s="55"/>
      <c r="AF653" s="55"/>
      <c r="AG653" s="55"/>
      <c r="AH653" s="55"/>
      <c r="AI653" s="55"/>
      <c r="AJ653" s="55"/>
      <c r="AK653" s="55"/>
      <c r="AL653" s="55"/>
      <c r="AM653" s="55"/>
      <c r="AN653" s="55"/>
      <c r="AO653" s="55"/>
    </row>
    <row r="654">
      <c r="A654" s="55"/>
      <c r="B654" s="55"/>
      <c r="C654" s="53"/>
      <c r="D654" s="55"/>
      <c r="E654" s="55"/>
      <c r="F654" s="55" t="b">
        <v>0</v>
      </c>
      <c r="G654" s="55"/>
      <c r="H654" s="53"/>
      <c r="I654" s="53"/>
      <c r="J654" s="55"/>
      <c r="K654" s="55"/>
      <c r="L654" s="55"/>
      <c r="M654" s="55"/>
      <c r="N654" s="55"/>
      <c r="O654" s="55" t="b">
        <v>0</v>
      </c>
      <c r="P654" s="55"/>
      <c r="Q654" s="55"/>
      <c r="R654" s="55"/>
      <c r="S654" s="55"/>
      <c r="T654" s="55"/>
      <c r="U654" s="64"/>
      <c r="V654" s="55"/>
      <c r="W654" s="64"/>
      <c r="X654" s="55"/>
      <c r="Y654" s="53"/>
      <c r="Z654" s="55"/>
      <c r="AA654" s="55"/>
      <c r="AB654" s="55"/>
      <c r="AC654" s="55"/>
      <c r="AD654" s="55"/>
      <c r="AE654" s="55"/>
      <c r="AF654" s="55"/>
      <c r="AG654" s="55"/>
      <c r="AH654" s="55"/>
      <c r="AI654" s="55"/>
      <c r="AJ654" s="55"/>
      <c r="AK654" s="55"/>
      <c r="AL654" s="55"/>
      <c r="AM654" s="55"/>
      <c r="AN654" s="55"/>
      <c r="AO654" s="55"/>
    </row>
    <row r="655">
      <c r="A655" s="55"/>
      <c r="B655" s="55"/>
      <c r="C655" s="53"/>
      <c r="D655" s="55"/>
      <c r="E655" s="55"/>
      <c r="F655" s="55" t="b">
        <v>0</v>
      </c>
      <c r="G655" s="55"/>
      <c r="H655" s="53"/>
      <c r="I655" s="53"/>
      <c r="J655" s="55"/>
      <c r="K655" s="55"/>
      <c r="L655" s="55"/>
      <c r="M655" s="55"/>
      <c r="N655" s="55"/>
      <c r="O655" s="55" t="b">
        <v>0</v>
      </c>
      <c r="P655" s="55"/>
      <c r="Q655" s="55"/>
      <c r="R655" s="55"/>
      <c r="S655" s="55"/>
      <c r="T655" s="55"/>
      <c r="U655" s="64"/>
      <c r="V655" s="55"/>
      <c r="W655" s="64"/>
      <c r="X655" s="55"/>
      <c r="Y655" s="53"/>
      <c r="Z655" s="55"/>
      <c r="AA655" s="55"/>
      <c r="AB655" s="55"/>
      <c r="AC655" s="55"/>
      <c r="AD655" s="55"/>
      <c r="AE655" s="55"/>
      <c r="AF655" s="55"/>
      <c r="AG655" s="55"/>
      <c r="AH655" s="55"/>
      <c r="AI655" s="55"/>
      <c r="AJ655" s="55"/>
      <c r="AK655" s="55"/>
      <c r="AL655" s="55"/>
      <c r="AM655" s="55"/>
      <c r="AN655" s="55"/>
      <c r="AO655" s="55"/>
    </row>
    <row r="656">
      <c r="A656" s="55"/>
      <c r="B656" s="55"/>
      <c r="C656" s="53"/>
      <c r="D656" s="55"/>
      <c r="E656" s="55"/>
      <c r="F656" s="55" t="b">
        <v>0</v>
      </c>
      <c r="G656" s="55"/>
      <c r="H656" s="53"/>
      <c r="I656" s="53"/>
      <c r="J656" s="55"/>
      <c r="K656" s="55"/>
      <c r="L656" s="55"/>
      <c r="M656" s="55"/>
      <c r="N656" s="55"/>
      <c r="O656" s="55" t="b">
        <v>0</v>
      </c>
      <c r="P656" s="55"/>
      <c r="Q656" s="55"/>
      <c r="R656" s="55"/>
      <c r="S656" s="55"/>
      <c r="T656" s="55"/>
      <c r="U656" s="64"/>
      <c r="V656" s="55"/>
      <c r="W656" s="64"/>
      <c r="X656" s="55"/>
      <c r="Y656" s="53"/>
      <c r="Z656" s="55"/>
      <c r="AA656" s="55"/>
      <c r="AB656" s="55"/>
      <c r="AC656" s="55"/>
      <c r="AD656" s="55"/>
      <c r="AE656" s="55"/>
      <c r="AF656" s="55"/>
      <c r="AG656" s="55"/>
      <c r="AH656" s="55"/>
      <c r="AI656" s="55"/>
      <c r="AJ656" s="55"/>
      <c r="AK656" s="55"/>
      <c r="AL656" s="55"/>
      <c r="AM656" s="55"/>
      <c r="AN656" s="55"/>
      <c r="AO656" s="55"/>
    </row>
    <row r="657">
      <c r="A657" s="55"/>
      <c r="B657" s="55"/>
      <c r="C657" s="53"/>
      <c r="D657" s="55"/>
      <c r="E657" s="55"/>
      <c r="F657" s="55" t="b">
        <v>0</v>
      </c>
      <c r="G657" s="55"/>
      <c r="H657" s="53"/>
      <c r="I657" s="53"/>
      <c r="J657" s="55"/>
      <c r="K657" s="55"/>
      <c r="L657" s="55"/>
      <c r="M657" s="55"/>
      <c r="N657" s="55"/>
      <c r="O657" s="55" t="b">
        <v>0</v>
      </c>
      <c r="P657" s="55"/>
      <c r="Q657" s="55"/>
      <c r="R657" s="55"/>
      <c r="S657" s="55"/>
      <c r="T657" s="55"/>
      <c r="U657" s="64"/>
      <c r="V657" s="55"/>
      <c r="W657" s="64"/>
      <c r="X657" s="55"/>
      <c r="Y657" s="53"/>
      <c r="Z657" s="55"/>
      <c r="AA657" s="55"/>
      <c r="AB657" s="55"/>
      <c r="AC657" s="55"/>
      <c r="AD657" s="55"/>
      <c r="AE657" s="55"/>
      <c r="AF657" s="55"/>
      <c r="AG657" s="55"/>
      <c r="AH657" s="55"/>
      <c r="AI657" s="55"/>
      <c r="AJ657" s="55"/>
      <c r="AK657" s="55"/>
      <c r="AL657" s="55"/>
      <c r="AM657" s="55"/>
      <c r="AN657" s="55"/>
      <c r="AO657" s="55"/>
    </row>
    <row r="658">
      <c r="A658" s="55"/>
      <c r="B658" s="55"/>
      <c r="C658" s="53"/>
      <c r="D658" s="55"/>
      <c r="E658" s="55"/>
      <c r="F658" s="55" t="b">
        <v>0</v>
      </c>
      <c r="G658" s="55"/>
      <c r="H658" s="53"/>
      <c r="I658" s="53"/>
      <c r="J658" s="55"/>
      <c r="K658" s="55"/>
      <c r="L658" s="55"/>
      <c r="M658" s="55"/>
      <c r="N658" s="55"/>
      <c r="O658" s="55" t="b">
        <v>0</v>
      </c>
      <c r="P658" s="55"/>
      <c r="Q658" s="55"/>
      <c r="R658" s="55"/>
      <c r="S658" s="55"/>
      <c r="T658" s="55"/>
      <c r="U658" s="64"/>
      <c r="V658" s="55"/>
      <c r="W658" s="64"/>
      <c r="X658" s="55"/>
      <c r="Y658" s="53"/>
      <c r="Z658" s="55"/>
      <c r="AA658" s="55"/>
      <c r="AB658" s="55"/>
      <c r="AC658" s="55"/>
      <c r="AD658" s="55"/>
      <c r="AE658" s="55"/>
      <c r="AF658" s="55"/>
      <c r="AG658" s="55"/>
      <c r="AH658" s="55"/>
      <c r="AI658" s="55"/>
      <c r="AJ658" s="55"/>
      <c r="AK658" s="55"/>
      <c r="AL658" s="55"/>
      <c r="AM658" s="55"/>
      <c r="AN658" s="55"/>
      <c r="AO658" s="55"/>
    </row>
    <row r="659">
      <c r="A659" s="55"/>
      <c r="B659" s="55"/>
      <c r="C659" s="53"/>
      <c r="D659" s="55"/>
      <c r="E659" s="55"/>
      <c r="F659" s="55" t="b">
        <v>0</v>
      </c>
      <c r="G659" s="55"/>
      <c r="H659" s="53"/>
      <c r="I659" s="53"/>
      <c r="J659" s="55"/>
      <c r="K659" s="55"/>
      <c r="L659" s="55"/>
      <c r="M659" s="55"/>
      <c r="N659" s="55"/>
      <c r="O659" s="55" t="b">
        <v>0</v>
      </c>
      <c r="P659" s="55"/>
      <c r="Q659" s="55"/>
      <c r="R659" s="55"/>
      <c r="S659" s="55"/>
      <c r="T659" s="55"/>
      <c r="U659" s="64"/>
      <c r="V659" s="55"/>
      <c r="W659" s="64"/>
      <c r="X659" s="55"/>
      <c r="Y659" s="53"/>
      <c r="Z659" s="55"/>
      <c r="AA659" s="55"/>
      <c r="AB659" s="55"/>
      <c r="AC659" s="55"/>
      <c r="AD659" s="55"/>
      <c r="AE659" s="55"/>
      <c r="AF659" s="55"/>
      <c r="AG659" s="55"/>
      <c r="AH659" s="55"/>
      <c r="AI659" s="55"/>
      <c r="AJ659" s="55"/>
      <c r="AK659" s="55"/>
      <c r="AL659" s="55"/>
      <c r="AM659" s="55"/>
      <c r="AN659" s="55"/>
      <c r="AO659" s="55"/>
    </row>
    <row r="660">
      <c r="A660" s="55"/>
      <c r="B660" s="55"/>
      <c r="C660" s="53"/>
      <c r="D660" s="55"/>
      <c r="E660" s="55"/>
      <c r="F660" s="55" t="b">
        <v>0</v>
      </c>
      <c r="G660" s="55"/>
      <c r="H660" s="53"/>
      <c r="I660" s="53"/>
      <c r="J660" s="55"/>
      <c r="K660" s="55"/>
      <c r="L660" s="55"/>
      <c r="M660" s="55"/>
      <c r="N660" s="55"/>
      <c r="O660" s="55" t="b">
        <v>0</v>
      </c>
      <c r="P660" s="55"/>
      <c r="Q660" s="55"/>
      <c r="R660" s="55"/>
      <c r="S660" s="55"/>
      <c r="T660" s="55"/>
      <c r="U660" s="64"/>
      <c r="V660" s="55"/>
      <c r="W660" s="64"/>
      <c r="X660" s="55"/>
      <c r="Y660" s="53"/>
      <c r="Z660" s="55"/>
      <c r="AA660" s="55"/>
      <c r="AB660" s="55"/>
      <c r="AC660" s="55"/>
      <c r="AD660" s="55"/>
      <c r="AE660" s="55"/>
      <c r="AF660" s="55"/>
      <c r="AG660" s="55"/>
      <c r="AH660" s="55"/>
      <c r="AI660" s="55"/>
      <c r="AJ660" s="55"/>
      <c r="AK660" s="55"/>
      <c r="AL660" s="55"/>
      <c r="AM660" s="55"/>
      <c r="AN660" s="55"/>
      <c r="AO660" s="55"/>
    </row>
    <row r="661">
      <c r="A661" s="55"/>
      <c r="B661" s="55"/>
      <c r="C661" s="53"/>
      <c r="D661" s="55"/>
      <c r="E661" s="55"/>
      <c r="F661" s="55" t="b">
        <v>0</v>
      </c>
      <c r="G661" s="55"/>
      <c r="H661" s="53"/>
      <c r="I661" s="53"/>
      <c r="J661" s="55"/>
      <c r="K661" s="55"/>
      <c r="L661" s="55"/>
      <c r="M661" s="55"/>
      <c r="N661" s="55"/>
      <c r="O661" s="55" t="b">
        <v>0</v>
      </c>
      <c r="P661" s="55"/>
      <c r="Q661" s="55"/>
      <c r="R661" s="55"/>
      <c r="S661" s="55"/>
      <c r="T661" s="55"/>
      <c r="U661" s="64"/>
      <c r="V661" s="55"/>
      <c r="W661" s="64"/>
      <c r="X661" s="55"/>
      <c r="Y661" s="53"/>
      <c r="Z661" s="55"/>
      <c r="AA661" s="55"/>
      <c r="AB661" s="55"/>
      <c r="AC661" s="55"/>
      <c r="AD661" s="55"/>
      <c r="AE661" s="55"/>
      <c r="AF661" s="55"/>
      <c r="AG661" s="55"/>
      <c r="AH661" s="55"/>
      <c r="AI661" s="55"/>
      <c r="AJ661" s="55"/>
      <c r="AK661" s="55"/>
      <c r="AL661" s="55"/>
      <c r="AM661" s="55"/>
      <c r="AN661" s="55"/>
      <c r="AO661" s="55"/>
    </row>
    <row r="662">
      <c r="A662" s="55"/>
      <c r="B662" s="55"/>
      <c r="C662" s="53"/>
      <c r="D662" s="55"/>
      <c r="E662" s="55"/>
      <c r="F662" s="55" t="b">
        <v>0</v>
      </c>
      <c r="G662" s="55"/>
      <c r="H662" s="53"/>
      <c r="I662" s="53"/>
      <c r="J662" s="55"/>
      <c r="K662" s="55"/>
      <c r="L662" s="55"/>
      <c r="M662" s="55"/>
      <c r="N662" s="55"/>
      <c r="O662" s="55" t="b">
        <v>0</v>
      </c>
      <c r="P662" s="55"/>
      <c r="Q662" s="55"/>
      <c r="R662" s="55"/>
      <c r="S662" s="55"/>
      <c r="T662" s="55"/>
      <c r="U662" s="64"/>
      <c r="V662" s="55"/>
      <c r="W662" s="64"/>
      <c r="X662" s="55"/>
      <c r="Y662" s="53"/>
      <c r="Z662" s="55"/>
      <c r="AA662" s="55"/>
      <c r="AB662" s="55"/>
      <c r="AC662" s="55"/>
      <c r="AD662" s="55"/>
      <c r="AE662" s="55"/>
      <c r="AF662" s="55"/>
      <c r="AG662" s="55"/>
      <c r="AH662" s="55"/>
      <c r="AI662" s="55"/>
      <c r="AJ662" s="55"/>
      <c r="AK662" s="55"/>
      <c r="AL662" s="55"/>
      <c r="AM662" s="55"/>
      <c r="AN662" s="55"/>
      <c r="AO662" s="55"/>
    </row>
    <row r="663">
      <c r="A663" s="55"/>
      <c r="B663" s="55"/>
      <c r="C663" s="53"/>
      <c r="D663" s="55"/>
      <c r="E663" s="55"/>
      <c r="F663" s="55" t="b">
        <v>0</v>
      </c>
      <c r="G663" s="55"/>
      <c r="H663" s="53"/>
      <c r="I663" s="53"/>
      <c r="J663" s="55"/>
      <c r="K663" s="55"/>
      <c r="L663" s="55"/>
      <c r="M663" s="55"/>
      <c r="N663" s="55"/>
      <c r="O663" s="55" t="b">
        <v>0</v>
      </c>
      <c r="P663" s="55"/>
      <c r="Q663" s="55"/>
      <c r="R663" s="55"/>
      <c r="S663" s="55"/>
      <c r="T663" s="55"/>
      <c r="U663" s="64"/>
      <c r="V663" s="55"/>
      <c r="W663" s="64"/>
      <c r="X663" s="55"/>
      <c r="Y663" s="53"/>
      <c r="Z663" s="55"/>
      <c r="AA663" s="55"/>
      <c r="AB663" s="55"/>
      <c r="AC663" s="55"/>
      <c r="AD663" s="55"/>
      <c r="AE663" s="55"/>
      <c r="AF663" s="55"/>
      <c r="AG663" s="55"/>
      <c r="AH663" s="55"/>
      <c r="AI663" s="55"/>
      <c r="AJ663" s="55"/>
      <c r="AK663" s="55"/>
      <c r="AL663" s="55"/>
      <c r="AM663" s="55"/>
      <c r="AN663" s="55"/>
      <c r="AO663" s="55"/>
    </row>
    <row r="664">
      <c r="A664" s="55"/>
      <c r="B664" s="55"/>
      <c r="C664" s="53"/>
      <c r="D664" s="55"/>
      <c r="E664" s="55"/>
      <c r="F664" s="55" t="b">
        <v>0</v>
      </c>
      <c r="G664" s="55"/>
      <c r="H664" s="53"/>
      <c r="I664" s="53"/>
      <c r="J664" s="55"/>
      <c r="K664" s="55"/>
      <c r="L664" s="55"/>
      <c r="M664" s="55"/>
      <c r="N664" s="55"/>
      <c r="O664" s="55" t="b">
        <v>0</v>
      </c>
      <c r="P664" s="55"/>
      <c r="Q664" s="55"/>
      <c r="R664" s="55"/>
      <c r="S664" s="55"/>
      <c r="T664" s="55"/>
      <c r="U664" s="64"/>
      <c r="V664" s="55"/>
      <c r="W664" s="64"/>
      <c r="X664" s="55"/>
      <c r="Y664" s="53"/>
      <c r="Z664" s="55"/>
      <c r="AA664" s="55"/>
      <c r="AB664" s="55"/>
      <c r="AC664" s="55"/>
      <c r="AD664" s="55"/>
      <c r="AE664" s="55"/>
      <c r="AF664" s="55"/>
      <c r="AG664" s="55"/>
      <c r="AH664" s="55"/>
      <c r="AI664" s="55"/>
      <c r="AJ664" s="55"/>
      <c r="AK664" s="55"/>
      <c r="AL664" s="55"/>
      <c r="AM664" s="55"/>
      <c r="AN664" s="55"/>
      <c r="AO664" s="55"/>
    </row>
    <row r="665">
      <c r="A665" s="55"/>
      <c r="B665" s="55"/>
      <c r="C665" s="53"/>
      <c r="D665" s="55"/>
      <c r="E665" s="55"/>
      <c r="F665" s="55" t="b">
        <v>0</v>
      </c>
      <c r="G665" s="55"/>
      <c r="H665" s="53"/>
      <c r="I665" s="53"/>
      <c r="J665" s="55"/>
      <c r="K665" s="55"/>
      <c r="L665" s="55"/>
      <c r="M665" s="55"/>
      <c r="N665" s="55"/>
      <c r="O665" s="55" t="b">
        <v>0</v>
      </c>
      <c r="P665" s="55"/>
      <c r="Q665" s="55"/>
      <c r="R665" s="55"/>
      <c r="S665" s="55"/>
      <c r="T665" s="55"/>
      <c r="U665" s="64"/>
      <c r="V665" s="55"/>
      <c r="W665" s="64"/>
      <c r="X665" s="55"/>
      <c r="Y665" s="53"/>
      <c r="Z665" s="55"/>
      <c r="AA665" s="55"/>
      <c r="AB665" s="55"/>
      <c r="AC665" s="55"/>
      <c r="AD665" s="55"/>
      <c r="AE665" s="55"/>
      <c r="AF665" s="55"/>
      <c r="AG665" s="55"/>
      <c r="AH665" s="55"/>
      <c r="AI665" s="55"/>
      <c r="AJ665" s="55"/>
      <c r="AK665" s="55"/>
      <c r="AL665" s="55"/>
      <c r="AM665" s="55"/>
      <c r="AN665" s="55"/>
      <c r="AO665" s="55"/>
    </row>
    <row r="666">
      <c r="A666" s="55"/>
      <c r="B666" s="55"/>
      <c r="C666" s="53"/>
      <c r="D666" s="55"/>
      <c r="E666" s="55"/>
      <c r="F666" s="55" t="b">
        <v>0</v>
      </c>
      <c r="G666" s="55"/>
      <c r="H666" s="53"/>
      <c r="I666" s="53"/>
      <c r="J666" s="55"/>
      <c r="K666" s="55"/>
      <c r="L666" s="55"/>
      <c r="M666" s="55"/>
      <c r="N666" s="55"/>
      <c r="O666" s="55" t="b">
        <v>0</v>
      </c>
      <c r="P666" s="55"/>
      <c r="Q666" s="55"/>
      <c r="R666" s="55"/>
      <c r="S666" s="55"/>
      <c r="T666" s="55"/>
      <c r="U666" s="64"/>
      <c r="V666" s="55"/>
      <c r="W666" s="64"/>
      <c r="X666" s="55"/>
      <c r="Y666" s="53"/>
      <c r="Z666" s="55"/>
      <c r="AA666" s="55"/>
      <c r="AB666" s="55"/>
      <c r="AC666" s="55"/>
      <c r="AD666" s="55"/>
      <c r="AE666" s="55"/>
      <c r="AF666" s="55"/>
      <c r="AG666" s="55"/>
      <c r="AH666" s="55"/>
      <c r="AI666" s="55"/>
      <c r="AJ666" s="55"/>
      <c r="AK666" s="55"/>
      <c r="AL666" s="55"/>
      <c r="AM666" s="55"/>
      <c r="AN666" s="55"/>
      <c r="AO666" s="55"/>
    </row>
    <row r="667">
      <c r="A667" s="55"/>
      <c r="B667" s="55"/>
      <c r="C667" s="53"/>
      <c r="D667" s="55"/>
      <c r="E667" s="55"/>
      <c r="F667" s="55" t="b">
        <v>0</v>
      </c>
      <c r="G667" s="55"/>
      <c r="H667" s="53"/>
      <c r="I667" s="53"/>
      <c r="J667" s="55"/>
      <c r="K667" s="55"/>
      <c r="L667" s="55"/>
      <c r="M667" s="55"/>
      <c r="N667" s="55"/>
      <c r="O667" s="55" t="b">
        <v>0</v>
      </c>
      <c r="P667" s="55"/>
      <c r="Q667" s="55"/>
      <c r="R667" s="55"/>
      <c r="S667" s="55"/>
      <c r="T667" s="55"/>
      <c r="U667" s="64"/>
      <c r="V667" s="55"/>
      <c r="W667" s="64"/>
      <c r="X667" s="55"/>
      <c r="Y667" s="53"/>
      <c r="Z667" s="55"/>
      <c r="AA667" s="55"/>
      <c r="AB667" s="55"/>
      <c r="AC667" s="55"/>
      <c r="AD667" s="55"/>
      <c r="AE667" s="55"/>
      <c r="AF667" s="55"/>
      <c r="AG667" s="55"/>
      <c r="AH667" s="55"/>
      <c r="AI667" s="55"/>
      <c r="AJ667" s="55"/>
      <c r="AK667" s="55"/>
      <c r="AL667" s="55"/>
      <c r="AM667" s="55"/>
      <c r="AN667" s="55"/>
      <c r="AO667" s="55"/>
    </row>
    <row r="668">
      <c r="A668" s="55"/>
      <c r="B668" s="55"/>
      <c r="C668" s="53"/>
      <c r="D668" s="55"/>
      <c r="E668" s="55"/>
      <c r="F668" s="55" t="b">
        <v>0</v>
      </c>
      <c r="G668" s="55"/>
      <c r="H668" s="53"/>
      <c r="I668" s="53"/>
      <c r="J668" s="55"/>
      <c r="K668" s="55"/>
      <c r="L668" s="55"/>
      <c r="M668" s="55"/>
      <c r="N668" s="55"/>
      <c r="O668" s="55" t="b">
        <v>0</v>
      </c>
      <c r="P668" s="55"/>
      <c r="Q668" s="55"/>
      <c r="R668" s="55"/>
      <c r="S668" s="55"/>
      <c r="T668" s="55"/>
      <c r="U668" s="64"/>
      <c r="V668" s="55"/>
      <c r="W668" s="64"/>
      <c r="X668" s="55"/>
      <c r="Y668" s="53"/>
      <c r="Z668" s="55"/>
      <c r="AA668" s="55"/>
      <c r="AB668" s="55"/>
      <c r="AC668" s="55"/>
      <c r="AD668" s="55"/>
      <c r="AE668" s="55"/>
      <c r="AF668" s="55"/>
      <c r="AG668" s="55"/>
      <c r="AH668" s="55"/>
      <c r="AI668" s="55"/>
      <c r="AJ668" s="55"/>
      <c r="AK668" s="55"/>
      <c r="AL668" s="55"/>
      <c r="AM668" s="55"/>
      <c r="AN668" s="55"/>
      <c r="AO668" s="55"/>
    </row>
    <row r="669">
      <c r="A669" s="55"/>
      <c r="B669" s="55"/>
      <c r="C669" s="53"/>
      <c r="D669" s="55"/>
      <c r="E669" s="55"/>
      <c r="F669" s="55" t="b">
        <v>0</v>
      </c>
      <c r="G669" s="55"/>
      <c r="H669" s="53"/>
      <c r="I669" s="53"/>
      <c r="J669" s="55"/>
      <c r="K669" s="55"/>
      <c r="L669" s="55"/>
      <c r="M669" s="55"/>
      <c r="N669" s="55"/>
      <c r="O669" s="55" t="b">
        <v>0</v>
      </c>
      <c r="P669" s="55"/>
      <c r="Q669" s="55"/>
      <c r="R669" s="55"/>
      <c r="S669" s="55"/>
      <c r="T669" s="55"/>
      <c r="U669" s="64"/>
      <c r="V669" s="55"/>
      <c r="W669" s="64"/>
      <c r="X669" s="55"/>
      <c r="Y669" s="53"/>
      <c r="Z669" s="55"/>
      <c r="AA669" s="55"/>
      <c r="AB669" s="55"/>
      <c r="AC669" s="55"/>
      <c r="AD669" s="55"/>
      <c r="AE669" s="55"/>
      <c r="AF669" s="55"/>
      <c r="AG669" s="55"/>
      <c r="AH669" s="55"/>
      <c r="AI669" s="55"/>
      <c r="AJ669" s="55"/>
      <c r="AK669" s="55"/>
      <c r="AL669" s="55"/>
      <c r="AM669" s="55"/>
      <c r="AN669" s="55"/>
      <c r="AO669" s="55"/>
    </row>
    <row r="670">
      <c r="A670" s="55"/>
      <c r="B670" s="55"/>
      <c r="C670" s="53"/>
      <c r="D670" s="55"/>
      <c r="E670" s="55"/>
      <c r="F670" s="55" t="b">
        <v>0</v>
      </c>
      <c r="G670" s="55"/>
      <c r="H670" s="53"/>
      <c r="I670" s="53"/>
      <c r="J670" s="55"/>
      <c r="K670" s="55"/>
      <c r="L670" s="55"/>
      <c r="M670" s="55"/>
      <c r="N670" s="55"/>
      <c r="O670" s="55" t="b">
        <v>0</v>
      </c>
      <c r="P670" s="55"/>
      <c r="Q670" s="55"/>
      <c r="R670" s="55"/>
      <c r="S670" s="55"/>
      <c r="T670" s="55"/>
      <c r="U670" s="64"/>
      <c r="V670" s="55"/>
      <c r="W670" s="64"/>
      <c r="X670" s="55"/>
      <c r="Y670" s="53"/>
      <c r="Z670" s="55"/>
      <c r="AA670" s="55"/>
      <c r="AB670" s="55"/>
      <c r="AC670" s="55"/>
      <c r="AD670" s="55"/>
      <c r="AE670" s="55"/>
      <c r="AF670" s="55"/>
      <c r="AG670" s="55"/>
      <c r="AH670" s="55"/>
      <c r="AI670" s="55"/>
      <c r="AJ670" s="55"/>
      <c r="AK670" s="55"/>
      <c r="AL670" s="55"/>
      <c r="AM670" s="55"/>
      <c r="AN670" s="55"/>
      <c r="AO670" s="55"/>
    </row>
    <row r="671">
      <c r="A671" s="55"/>
      <c r="B671" s="55"/>
      <c r="C671" s="53"/>
      <c r="D671" s="55"/>
      <c r="E671" s="55"/>
      <c r="F671" s="55" t="b">
        <v>0</v>
      </c>
      <c r="G671" s="55"/>
      <c r="H671" s="53"/>
      <c r="I671" s="53"/>
      <c r="J671" s="55"/>
      <c r="K671" s="55"/>
      <c r="L671" s="55"/>
      <c r="M671" s="55"/>
      <c r="N671" s="55"/>
      <c r="O671" s="55" t="b">
        <v>0</v>
      </c>
      <c r="P671" s="55"/>
      <c r="Q671" s="55"/>
      <c r="R671" s="55"/>
      <c r="S671" s="55"/>
      <c r="T671" s="55"/>
      <c r="U671" s="64"/>
      <c r="V671" s="55"/>
      <c r="W671" s="64"/>
      <c r="X671" s="55"/>
      <c r="Y671" s="53"/>
      <c r="Z671" s="55"/>
      <c r="AA671" s="55"/>
      <c r="AB671" s="55"/>
      <c r="AC671" s="55"/>
      <c r="AD671" s="55"/>
      <c r="AE671" s="55"/>
      <c r="AF671" s="55"/>
      <c r="AG671" s="55"/>
      <c r="AH671" s="55"/>
      <c r="AI671" s="55"/>
      <c r="AJ671" s="55"/>
      <c r="AK671" s="55"/>
      <c r="AL671" s="55"/>
      <c r="AM671" s="55"/>
      <c r="AN671" s="55"/>
      <c r="AO671" s="55"/>
    </row>
    <row r="672">
      <c r="A672" s="55"/>
      <c r="B672" s="55"/>
      <c r="C672" s="53"/>
      <c r="D672" s="55"/>
      <c r="E672" s="55"/>
      <c r="F672" s="55" t="b">
        <v>0</v>
      </c>
      <c r="G672" s="55"/>
      <c r="H672" s="53"/>
      <c r="I672" s="53"/>
      <c r="J672" s="55"/>
      <c r="K672" s="55"/>
      <c r="L672" s="55"/>
      <c r="M672" s="55"/>
      <c r="N672" s="55"/>
      <c r="O672" s="55" t="b">
        <v>0</v>
      </c>
      <c r="P672" s="55"/>
      <c r="Q672" s="55"/>
      <c r="R672" s="55"/>
      <c r="S672" s="55"/>
      <c r="T672" s="55"/>
      <c r="U672" s="64"/>
      <c r="V672" s="55"/>
      <c r="W672" s="64"/>
      <c r="X672" s="55"/>
      <c r="Y672" s="53"/>
      <c r="Z672" s="55"/>
      <c r="AA672" s="55"/>
      <c r="AB672" s="55"/>
      <c r="AC672" s="55"/>
      <c r="AD672" s="55"/>
      <c r="AE672" s="55"/>
      <c r="AF672" s="55"/>
      <c r="AG672" s="55"/>
      <c r="AH672" s="55"/>
      <c r="AI672" s="55"/>
      <c r="AJ672" s="55"/>
      <c r="AK672" s="55"/>
      <c r="AL672" s="55"/>
      <c r="AM672" s="55"/>
      <c r="AN672" s="55"/>
      <c r="AO672" s="55"/>
    </row>
    <row r="673">
      <c r="A673" s="55"/>
      <c r="B673" s="55"/>
      <c r="C673" s="53"/>
      <c r="D673" s="55"/>
      <c r="E673" s="55"/>
      <c r="F673" s="55" t="b">
        <v>0</v>
      </c>
      <c r="G673" s="55"/>
      <c r="H673" s="53"/>
      <c r="I673" s="53"/>
      <c r="J673" s="55"/>
      <c r="K673" s="55"/>
      <c r="L673" s="55"/>
      <c r="M673" s="55"/>
      <c r="N673" s="55"/>
      <c r="O673" s="55" t="b">
        <v>0</v>
      </c>
      <c r="P673" s="55"/>
      <c r="Q673" s="55"/>
      <c r="R673" s="55"/>
      <c r="S673" s="55"/>
      <c r="T673" s="55"/>
      <c r="U673" s="64"/>
      <c r="V673" s="55"/>
      <c r="W673" s="64"/>
      <c r="X673" s="55"/>
      <c r="Y673" s="53"/>
      <c r="Z673" s="55"/>
      <c r="AA673" s="55"/>
      <c r="AB673" s="55"/>
      <c r="AC673" s="55"/>
      <c r="AD673" s="55"/>
      <c r="AE673" s="55"/>
      <c r="AF673" s="55"/>
      <c r="AG673" s="55"/>
      <c r="AH673" s="55"/>
      <c r="AI673" s="55"/>
      <c r="AJ673" s="55"/>
      <c r="AK673" s="55"/>
      <c r="AL673" s="55"/>
      <c r="AM673" s="55"/>
      <c r="AN673" s="55"/>
      <c r="AO673" s="55"/>
    </row>
    <row r="674">
      <c r="A674" s="55"/>
      <c r="B674" s="55"/>
      <c r="C674" s="53"/>
      <c r="D674" s="55"/>
      <c r="E674" s="55"/>
      <c r="F674" s="55" t="b">
        <v>0</v>
      </c>
      <c r="G674" s="55"/>
      <c r="H674" s="53"/>
      <c r="I674" s="53"/>
      <c r="J674" s="55"/>
      <c r="K674" s="55"/>
      <c r="L674" s="55"/>
      <c r="M674" s="55"/>
      <c r="N674" s="55"/>
      <c r="O674" s="55" t="b">
        <v>0</v>
      </c>
      <c r="P674" s="55"/>
      <c r="Q674" s="55"/>
      <c r="R674" s="55"/>
      <c r="S674" s="55"/>
      <c r="T674" s="55"/>
      <c r="U674" s="64"/>
      <c r="V674" s="55"/>
      <c r="W674" s="64"/>
      <c r="X674" s="55"/>
      <c r="Y674" s="53"/>
      <c r="Z674" s="55"/>
      <c r="AA674" s="55"/>
      <c r="AB674" s="55"/>
      <c r="AC674" s="55"/>
      <c r="AD674" s="55"/>
      <c r="AE674" s="55"/>
      <c r="AF674" s="55"/>
      <c r="AG674" s="55"/>
      <c r="AH674" s="55"/>
      <c r="AI674" s="55"/>
      <c r="AJ674" s="55"/>
      <c r="AK674" s="55"/>
      <c r="AL674" s="55"/>
      <c r="AM674" s="55"/>
      <c r="AN674" s="55"/>
      <c r="AO674" s="55"/>
    </row>
    <row r="675">
      <c r="A675" s="55"/>
      <c r="B675" s="55"/>
      <c r="C675" s="53"/>
      <c r="D675" s="55"/>
      <c r="E675" s="55"/>
      <c r="F675" s="55" t="b">
        <v>0</v>
      </c>
      <c r="G675" s="55"/>
      <c r="H675" s="53"/>
      <c r="I675" s="53"/>
      <c r="J675" s="55"/>
      <c r="K675" s="55"/>
      <c r="L675" s="55"/>
      <c r="M675" s="55"/>
      <c r="N675" s="55"/>
      <c r="O675" s="55" t="b">
        <v>0</v>
      </c>
      <c r="P675" s="55"/>
      <c r="Q675" s="55"/>
      <c r="R675" s="55"/>
      <c r="S675" s="55"/>
      <c r="T675" s="55"/>
      <c r="U675" s="64"/>
      <c r="V675" s="55"/>
      <c r="W675" s="64"/>
      <c r="X675" s="55"/>
      <c r="Y675" s="53"/>
      <c r="Z675" s="55"/>
      <c r="AA675" s="55"/>
      <c r="AB675" s="55"/>
      <c r="AC675" s="55"/>
      <c r="AD675" s="55"/>
      <c r="AE675" s="55"/>
      <c r="AF675" s="55"/>
      <c r="AG675" s="55"/>
      <c r="AH675" s="55"/>
      <c r="AI675" s="55"/>
      <c r="AJ675" s="55"/>
      <c r="AK675" s="55"/>
      <c r="AL675" s="55"/>
      <c r="AM675" s="55"/>
      <c r="AN675" s="55"/>
      <c r="AO675" s="55"/>
    </row>
    <row r="676">
      <c r="A676" s="55"/>
      <c r="B676" s="55"/>
      <c r="C676" s="53"/>
      <c r="D676" s="55"/>
      <c r="E676" s="55"/>
      <c r="F676" s="55" t="b">
        <v>0</v>
      </c>
      <c r="G676" s="55"/>
      <c r="H676" s="53"/>
      <c r="I676" s="53"/>
      <c r="J676" s="55"/>
      <c r="K676" s="55"/>
      <c r="L676" s="55"/>
      <c r="M676" s="55"/>
      <c r="N676" s="55"/>
      <c r="O676" s="55" t="b">
        <v>0</v>
      </c>
      <c r="P676" s="55"/>
      <c r="Q676" s="55"/>
      <c r="R676" s="55"/>
      <c r="S676" s="55"/>
      <c r="T676" s="55"/>
      <c r="U676" s="64"/>
      <c r="V676" s="55"/>
      <c r="W676" s="64"/>
      <c r="X676" s="55"/>
      <c r="Y676" s="53"/>
      <c r="Z676" s="55"/>
      <c r="AA676" s="55"/>
      <c r="AB676" s="55"/>
      <c r="AC676" s="55"/>
      <c r="AD676" s="55"/>
      <c r="AE676" s="55"/>
      <c r="AF676" s="55"/>
      <c r="AG676" s="55"/>
      <c r="AH676" s="55"/>
      <c r="AI676" s="55"/>
      <c r="AJ676" s="55"/>
      <c r="AK676" s="55"/>
      <c r="AL676" s="55"/>
      <c r="AM676" s="55"/>
      <c r="AN676" s="55"/>
      <c r="AO676" s="55"/>
    </row>
    <row r="677">
      <c r="A677" s="55"/>
      <c r="B677" s="55"/>
      <c r="C677" s="53"/>
      <c r="D677" s="55"/>
      <c r="E677" s="55"/>
      <c r="F677" s="55" t="b">
        <v>0</v>
      </c>
      <c r="G677" s="55"/>
      <c r="H677" s="53"/>
      <c r="I677" s="53"/>
      <c r="J677" s="55"/>
      <c r="K677" s="55"/>
      <c r="L677" s="55"/>
      <c r="M677" s="55"/>
      <c r="N677" s="55"/>
      <c r="O677" s="55" t="b">
        <v>0</v>
      </c>
      <c r="P677" s="55"/>
      <c r="Q677" s="55"/>
      <c r="R677" s="55"/>
      <c r="S677" s="55"/>
      <c r="T677" s="55"/>
      <c r="U677" s="64"/>
      <c r="V677" s="55"/>
      <c r="W677" s="64"/>
      <c r="X677" s="55"/>
      <c r="Y677" s="53"/>
      <c r="Z677" s="55"/>
      <c r="AA677" s="55"/>
      <c r="AB677" s="55"/>
      <c r="AC677" s="55"/>
      <c r="AD677" s="55"/>
      <c r="AE677" s="55"/>
      <c r="AF677" s="55"/>
      <c r="AG677" s="55"/>
      <c r="AH677" s="55"/>
      <c r="AI677" s="55"/>
      <c r="AJ677" s="55"/>
      <c r="AK677" s="55"/>
      <c r="AL677" s="55"/>
      <c r="AM677" s="55"/>
      <c r="AN677" s="55"/>
      <c r="AO677" s="55"/>
    </row>
    <row r="678">
      <c r="A678" s="55"/>
      <c r="B678" s="55"/>
      <c r="C678" s="53"/>
      <c r="D678" s="55"/>
      <c r="E678" s="55"/>
      <c r="F678" s="55" t="b">
        <v>0</v>
      </c>
      <c r="G678" s="55"/>
      <c r="H678" s="53"/>
      <c r="I678" s="53"/>
      <c r="J678" s="55"/>
      <c r="K678" s="55"/>
      <c r="L678" s="55"/>
      <c r="M678" s="55"/>
      <c r="N678" s="55"/>
      <c r="O678" s="55" t="b">
        <v>0</v>
      </c>
      <c r="P678" s="55"/>
      <c r="Q678" s="55"/>
      <c r="R678" s="55"/>
      <c r="S678" s="55"/>
      <c r="T678" s="55"/>
      <c r="U678" s="64"/>
      <c r="V678" s="55"/>
      <c r="W678" s="64"/>
      <c r="X678" s="55"/>
      <c r="Y678" s="53"/>
      <c r="Z678" s="55"/>
      <c r="AA678" s="55"/>
      <c r="AB678" s="55"/>
      <c r="AC678" s="55"/>
      <c r="AD678" s="55"/>
      <c r="AE678" s="55"/>
      <c r="AF678" s="55"/>
      <c r="AG678" s="55"/>
      <c r="AH678" s="55"/>
      <c r="AI678" s="55"/>
      <c r="AJ678" s="55"/>
      <c r="AK678" s="55"/>
      <c r="AL678" s="55"/>
      <c r="AM678" s="55"/>
      <c r="AN678" s="55"/>
      <c r="AO678" s="55"/>
    </row>
    <row r="679">
      <c r="A679" s="55"/>
      <c r="B679" s="55"/>
      <c r="C679" s="53"/>
      <c r="D679" s="55"/>
      <c r="E679" s="55"/>
      <c r="F679" s="55" t="b">
        <v>0</v>
      </c>
      <c r="G679" s="55"/>
      <c r="H679" s="53"/>
      <c r="I679" s="53"/>
      <c r="J679" s="55"/>
      <c r="K679" s="55"/>
      <c r="L679" s="55"/>
      <c r="M679" s="55"/>
      <c r="N679" s="55"/>
      <c r="O679" s="55" t="b">
        <v>0</v>
      </c>
      <c r="P679" s="55"/>
      <c r="Q679" s="55"/>
      <c r="R679" s="55"/>
      <c r="S679" s="55"/>
      <c r="T679" s="55"/>
      <c r="U679" s="64"/>
      <c r="V679" s="55"/>
      <c r="W679" s="64"/>
      <c r="X679" s="55"/>
      <c r="Y679" s="53"/>
      <c r="Z679" s="55"/>
      <c r="AA679" s="55"/>
      <c r="AB679" s="55"/>
      <c r="AC679" s="55"/>
      <c r="AD679" s="55"/>
      <c r="AE679" s="55"/>
      <c r="AF679" s="55"/>
      <c r="AG679" s="55"/>
      <c r="AH679" s="55"/>
      <c r="AI679" s="55"/>
      <c r="AJ679" s="55"/>
      <c r="AK679" s="55"/>
      <c r="AL679" s="55"/>
      <c r="AM679" s="55"/>
      <c r="AN679" s="55"/>
      <c r="AO679" s="55"/>
    </row>
    <row r="680">
      <c r="A680" s="55"/>
      <c r="B680" s="55"/>
      <c r="C680" s="53"/>
      <c r="D680" s="55"/>
      <c r="E680" s="55"/>
      <c r="F680" s="55" t="b">
        <v>0</v>
      </c>
      <c r="G680" s="55"/>
      <c r="H680" s="53"/>
      <c r="I680" s="53"/>
      <c r="J680" s="55"/>
      <c r="K680" s="55"/>
      <c r="L680" s="55"/>
      <c r="M680" s="55"/>
      <c r="N680" s="55"/>
      <c r="O680" s="55" t="b">
        <v>0</v>
      </c>
      <c r="P680" s="55"/>
      <c r="Q680" s="55"/>
      <c r="R680" s="55"/>
      <c r="S680" s="55"/>
      <c r="T680" s="55"/>
      <c r="U680" s="64"/>
      <c r="V680" s="55"/>
      <c r="W680" s="64"/>
      <c r="X680" s="55"/>
      <c r="Y680" s="53"/>
      <c r="Z680" s="55"/>
      <c r="AA680" s="55"/>
      <c r="AB680" s="55"/>
      <c r="AC680" s="55"/>
      <c r="AD680" s="55"/>
      <c r="AE680" s="55"/>
      <c r="AF680" s="55"/>
      <c r="AG680" s="55"/>
      <c r="AH680" s="55"/>
      <c r="AI680" s="55"/>
      <c r="AJ680" s="55"/>
      <c r="AK680" s="55"/>
      <c r="AL680" s="55"/>
      <c r="AM680" s="55"/>
      <c r="AN680" s="55"/>
      <c r="AO680" s="55"/>
    </row>
    <row r="681">
      <c r="A681" s="55"/>
      <c r="B681" s="55"/>
      <c r="C681" s="53"/>
      <c r="D681" s="55"/>
      <c r="E681" s="55"/>
      <c r="F681" s="55" t="b">
        <v>0</v>
      </c>
      <c r="G681" s="55"/>
      <c r="H681" s="53"/>
      <c r="I681" s="53"/>
      <c r="J681" s="55"/>
      <c r="K681" s="55"/>
      <c r="L681" s="55"/>
      <c r="M681" s="55"/>
      <c r="N681" s="55"/>
      <c r="O681" s="55" t="b">
        <v>0</v>
      </c>
      <c r="P681" s="55"/>
      <c r="Q681" s="55"/>
      <c r="R681" s="55"/>
      <c r="S681" s="55"/>
      <c r="T681" s="55"/>
      <c r="U681" s="64"/>
      <c r="V681" s="55"/>
      <c r="W681" s="64"/>
      <c r="X681" s="55"/>
      <c r="Y681" s="53"/>
      <c r="Z681" s="55"/>
      <c r="AA681" s="55"/>
      <c r="AB681" s="55"/>
      <c r="AC681" s="55"/>
      <c r="AD681" s="55"/>
      <c r="AE681" s="55"/>
      <c r="AF681" s="55"/>
      <c r="AG681" s="55"/>
      <c r="AH681" s="55"/>
      <c r="AI681" s="55"/>
      <c r="AJ681" s="55"/>
      <c r="AK681" s="55"/>
      <c r="AL681" s="55"/>
      <c r="AM681" s="55"/>
      <c r="AN681" s="55"/>
      <c r="AO681" s="55"/>
    </row>
    <row r="682">
      <c r="A682" s="55"/>
      <c r="B682" s="55"/>
      <c r="C682" s="53"/>
      <c r="D682" s="55"/>
      <c r="E682" s="55"/>
      <c r="F682" s="55" t="b">
        <v>0</v>
      </c>
      <c r="G682" s="55"/>
      <c r="H682" s="53"/>
      <c r="I682" s="53"/>
      <c r="J682" s="55"/>
      <c r="K682" s="55"/>
      <c r="L682" s="55"/>
      <c r="M682" s="55"/>
      <c r="N682" s="55"/>
      <c r="O682" s="55" t="b">
        <v>0</v>
      </c>
      <c r="P682" s="55"/>
      <c r="Q682" s="55"/>
      <c r="R682" s="55"/>
      <c r="S682" s="55"/>
      <c r="T682" s="55"/>
      <c r="U682" s="64"/>
      <c r="V682" s="55"/>
      <c r="W682" s="64"/>
      <c r="X682" s="55"/>
      <c r="Y682" s="53"/>
      <c r="Z682" s="55"/>
      <c r="AA682" s="55"/>
      <c r="AB682" s="55"/>
      <c r="AC682" s="55"/>
      <c r="AD682" s="55"/>
      <c r="AE682" s="55"/>
      <c r="AF682" s="55"/>
      <c r="AG682" s="55"/>
      <c r="AH682" s="55"/>
      <c r="AI682" s="55"/>
      <c r="AJ682" s="55"/>
      <c r="AK682" s="55"/>
      <c r="AL682" s="55"/>
      <c r="AM682" s="55"/>
      <c r="AN682" s="55"/>
      <c r="AO682" s="55"/>
    </row>
    <row r="683">
      <c r="A683" s="55"/>
      <c r="B683" s="55"/>
      <c r="C683" s="53"/>
      <c r="D683" s="55"/>
      <c r="E683" s="55"/>
      <c r="F683" s="55" t="b">
        <v>0</v>
      </c>
      <c r="G683" s="55"/>
      <c r="H683" s="53"/>
      <c r="I683" s="53"/>
      <c r="J683" s="55"/>
      <c r="K683" s="55"/>
      <c r="L683" s="55"/>
      <c r="M683" s="55"/>
      <c r="N683" s="55"/>
      <c r="O683" s="55" t="b">
        <v>0</v>
      </c>
      <c r="P683" s="55"/>
      <c r="Q683" s="55"/>
      <c r="R683" s="55"/>
      <c r="S683" s="55"/>
      <c r="T683" s="55"/>
      <c r="U683" s="64"/>
      <c r="V683" s="55"/>
      <c r="W683" s="64"/>
      <c r="X683" s="55"/>
      <c r="Y683" s="53"/>
      <c r="Z683" s="55"/>
      <c r="AA683" s="55"/>
      <c r="AB683" s="55"/>
      <c r="AC683" s="55"/>
      <c r="AD683" s="55"/>
      <c r="AE683" s="55"/>
      <c r="AF683" s="55"/>
      <c r="AG683" s="55"/>
      <c r="AH683" s="55"/>
      <c r="AI683" s="55"/>
      <c r="AJ683" s="55"/>
      <c r="AK683" s="55"/>
      <c r="AL683" s="55"/>
      <c r="AM683" s="55"/>
      <c r="AN683" s="55"/>
      <c r="AO683" s="55"/>
    </row>
    <row r="684">
      <c r="A684" s="55"/>
      <c r="B684" s="55"/>
      <c r="C684" s="53"/>
      <c r="D684" s="55"/>
      <c r="E684" s="55"/>
      <c r="F684" s="55" t="b">
        <v>0</v>
      </c>
      <c r="G684" s="55"/>
      <c r="H684" s="53"/>
      <c r="I684" s="53"/>
      <c r="J684" s="55"/>
      <c r="K684" s="55"/>
      <c r="L684" s="55"/>
      <c r="M684" s="55"/>
      <c r="N684" s="55"/>
      <c r="O684" s="55" t="b">
        <v>0</v>
      </c>
      <c r="P684" s="55"/>
      <c r="Q684" s="55"/>
      <c r="R684" s="55"/>
      <c r="S684" s="55"/>
      <c r="T684" s="55"/>
      <c r="U684" s="64"/>
      <c r="V684" s="55"/>
      <c r="W684" s="64"/>
      <c r="X684" s="55"/>
      <c r="Y684" s="53"/>
      <c r="Z684" s="55"/>
      <c r="AA684" s="55"/>
      <c r="AB684" s="55"/>
      <c r="AC684" s="55"/>
      <c r="AD684" s="55"/>
      <c r="AE684" s="55"/>
      <c r="AF684" s="55"/>
      <c r="AG684" s="55"/>
      <c r="AH684" s="55"/>
      <c r="AI684" s="55"/>
      <c r="AJ684" s="55"/>
      <c r="AK684" s="55"/>
      <c r="AL684" s="55"/>
      <c r="AM684" s="55"/>
      <c r="AN684" s="55"/>
      <c r="AO684" s="55"/>
    </row>
    <row r="685">
      <c r="A685" s="55"/>
      <c r="B685" s="55"/>
      <c r="C685" s="53"/>
      <c r="D685" s="55"/>
      <c r="E685" s="55"/>
      <c r="F685" s="55" t="b">
        <v>0</v>
      </c>
      <c r="G685" s="55"/>
      <c r="H685" s="53"/>
      <c r="I685" s="53"/>
      <c r="J685" s="55"/>
      <c r="K685" s="55"/>
      <c r="L685" s="55"/>
      <c r="M685" s="55"/>
      <c r="N685" s="55"/>
      <c r="O685" s="55" t="b">
        <v>0</v>
      </c>
      <c r="P685" s="55"/>
      <c r="Q685" s="55"/>
      <c r="R685" s="55"/>
      <c r="S685" s="55"/>
      <c r="T685" s="55"/>
      <c r="U685" s="64"/>
      <c r="V685" s="55"/>
      <c r="W685" s="64"/>
      <c r="X685" s="55"/>
      <c r="Y685" s="53"/>
      <c r="Z685" s="55"/>
      <c r="AA685" s="55"/>
      <c r="AB685" s="55"/>
      <c r="AC685" s="55"/>
      <c r="AD685" s="55"/>
      <c r="AE685" s="55"/>
      <c r="AF685" s="55"/>
      <c r="AG685" s="55"/>
      <c r="AH685" s="55"/>
      <c r="AI685" s="55"/>
      <c r="AJ685" s="55"/>
      <c r="AK685" s="55"/>
      <c r="AL685" s="55"/>
      <c r="AM685" s="55"/>
      <c r="AN685" s="55"/>
      <c r="AO685" s="55"/>
    </row>
    <row r="686">
      <c r="A686" s="55"/>
      <c r="B686" s="55"/>
      <c r="C686" s="53"/>
      <c r="D686" s="55"/>
      <c r="E686" s="55"/>
      <c r="F686" s="55" t="b">
        <v>0</v>
      </c>
      <c r="G686" s="55"/>
      <c r="H686" s="53"/>
      <c r="I686" s="53"/>
      <c r="J686" s="55"/>
      <c r="K686" s="55"/>
      <c r="L686" s="55"/>
      <c r="M686" s="55"/>
      <c r="N686" s="55"/>
      <c r="O686" s="55" t="b">
        <v>0</v>
      </c>
      <c r="P686" s="55"/>
      <c r="Q686" s="55"/>
      <c r="R686" s="55"/>
      <c r="S686" s="55"/>
      <c r="T686" s="55"/>
      <c r="U686" s="64"/>
      <c r="V686" s="55"/>
      <c r="W686" s="64"/>
      <c r="X686" s="55"/>
      <c r="Y686" s="53"/>
      <c r="Z686" s="55"/>
      <c r="AA686" s="55"/>
      <c r="AB686" s="55"/>
      <c r="AC686" s="55"/>
      <c r="AD686" s="55"/>
      <c r="AE686" s="55"/>
      <c r="AF686" s="55"/>
      <c r="AG686" s="55"/>
      <c r="AH686" s="55"/>
      <c r="AI686" s="55"/>
      <c r="AJ686" s="55"/>
      <c r="AK686" s="55"/>
      <c r="AL686" s="55"/>
      <c r="AM686" s="55"/>
      <c r="AN686" s="55"/>
      <c r="AO686" s="55"/>
    </row>
    <row r="687">
      <c r="A687" s="55"/>
      <c r="B687" s="55"/>
      <c r="C687" s="53"/>
      <c r="D687" s="55"/>
      <c r="E687" s="55"/>
      <c r="F687" s="55" t="b">
        <v>0</v>
      </c>
      <c r="G687" s="55"/>
      <c r="H687" s="53"/>
      <c r="I687" s="53"/>
      <c r="J687" s="55"/>
      <c r="K687" s="55"/>
      <c r="L687" s="55"/>
      <c r="M687" s="55"/>
      <c r="N687" s="55"/>
      <c r="O687" s="55" t="b">
        <v>0</v>
      </c>
      <c r="P687" s="55"/>
      <c r="Q687" s="55"/>
      <c r="R687" s="55"/>
      <c r="S687" s="55"/>
      <c r="T687" s="55"/>
      <c r="U687" s="64"/>
      <c r="V687" s="55"/>
      <c r="W687" s="64"/>
      <c r="X687" s="55"/>
      <c r="Y687" s="53"/>
      <c r="Z687" s="55"/>
      <c r="AA687" s="55"/>
      <c r="AB687" s="55"/>
      <c r="AC687" s="55"/>
      <c r="AD687" s="55"/>
      <c r="AE687" s="55"/>
      <c r="AF687" s="55"/>
      <c r="AG687" s="55"/>
      <c r="AH687" s="55"/>
      <c r="AI687" s="55"/>
      <c r="AJ687" s="55"/>
      <c r="AK687" s="55"/>
      <c r="AL687" s="55"/>
      <c r="AM687" s="55"/>
      <c r="AN687" s="55"/>
      <c r="AO687" s="55"/>
    </row>
    <row r="688">
      <c r="A688" s="55"/>
      <c r="B688" s="55"/>
      <c r="C688" s="53"/>
      <c r="D688" s="55"/>
      <c r="E688" s="55"/>
      <c r="F688" s="55" t="b">
        <v>0</v>
      </c>
      <c r="G688" s="55"/>
      <c r="H688" s="53"/>
      <c r="I688" s="53"/>
      <c r="J688" s="55"/>
      <c r="K688" s="55"/>
      <c r="L688" s="55"/>
      <c r="M688" s="55"/>
      <c r="N688" s="55"/>
      <c r="O688" s="55" t="b">
        <v>0</v>
      </c>
      <c r="P688" s="55"/>
      <c r="Q688" s="55"/>
      <c r="R688" s="55"/>
      <c r="S688" s="55"/>
      <c r="T688" s="55"/>
      <c r="U688" s="64"/>
      <c r="V688" s="55"/>
      <c r="W688" s="64"/>
      <c r="X688" s="55"/>
      <c r="Y688" s="53"/>
      <c r="Z688" s="55"/>
      <c r="AA688" s="55"/>
      <c r="AB688" s="55"/>
      <c r="AC688" s="55"/>
      <c r="AD688" s="55"/>
      <c r="AE688" s="55"/>
      <c r="AF688" s="55"/>
      <c r="AG688" s="55"/>
      <c r="AH688" s="55"/>
      <c r="AI688" s="55"/>
      <c r="AJ688" s="55"/>
      <c r="AK688" s="55"/>
      <c r="AL688" s="55"/>
      <c r="AM688" s="55"/>
      <c r="AN688" s="55"/>
      <c r="AO688" s="55"/>
    </row>
    <row r="689">
      <c r="A689" s="55"/>
      <c r="B689" s="55"/>
      <c r="C689" s="53"/>
      <c r="D689" s="55"/>
      <c r="E689" s="55"/>
      <c r="F689" s="55" t="b">
        <v>0</v>
      </c>
      <c r="G689" s="55"/>
      <c r="H689" s="53"/>
      <c r="I689" s="53"/>
      <c r="J689" s="55"/>
      <c r="K689" s="55"/>
      <c r="L689" s="55"/>
      <c r="M689" s="55"/>
      <c r="N689" s="55"/>
      <c r="O689" s="55" t="b">
        <v>0</v>
      </c>
      <c r="P689" s="55"/>
      <c r="Q689" s="55"/>
      <c r="R689" s="55"/>
      <c r="S689" s="55"/>
      <c r="T689" s="55"/>
      <c r="U689" s="64"/>
      <c r="V689" s="55"/>
      <c r="W689" s="64"/>
      <c r="X689" s="55"/>
      <c r="Y689" s="53"/>
      <c r="Z689" s="55"/>
      <c r="AA689" s="55"/>
      <c r="AB689" s="55"/>
      <c r="AC689" s="55"/>
      <c r="AD689" s="55"/>
      <c r="AE689" s="55"/>
      <c r="AF689" s="55"/>
      <c r="AG689" s="55"/>
      <c r="AH689" s="55"/>
      <c r="AI689" s="55"/>
      <c r="AJ689" s="55"/>
      <c r="AK689" s="55"/>
      <c r="AL689" s="55"/>
      <c r="AM689" s="55"/>
      <c r="AN689" s="55"/>
      <c r="AO689" s="55"/>
    </row>
    <row r="690">
      <c r="A690" s="55"/>
      <c r="B690" s="55"/>
      <c r="C690" s="53"/>
      <c r="D690" s="55"/>
      <c r="E690" s="55"/>
      <c r="F690" s="55" t="b">
        <v>0</v>
      </c>
      <c r="G690" s="55"/>
      <c r="H690" s="53"/>
      <c r="I690" s="53"/>
      <c r="J690" s="55"/>
      <c r="K690" s="55"/>
      <c r="L690" s="55"/>
      <c r="M690" s="55"/>
      <c r="N690" s="55"/>
      <c r="O690" s="55" t="b">
        <v>0</v>
      </c>
      <c r="P690" s="55"/>
      <c r="Q690" s="55"/>
      <c r="R690" s="55"/>
      <c r="S690" s="55"/>
      <c r="T690" s="55"/>
      <c r="U690" s="64"/>
      <c r="V690" s="55"/>
      <c r="W690" s="64"/>
      <c r="X690" s="55"/>
      <c r="Y690" s="53"/>
      <c r="Z690" s="55"/>
      <c r="AA690" s="55"/>
      <c r="AB690" s="55"/>
      <c r="AC690" s="55"/>
      <c r="AD690" s="55"/>
      <c r="AE690" s="55"/>
      <c r="AF690" s="55"/>
      <c r="AG690" s="55"/>
      <c r="AH690" s="55"/>
      <c r="AI690" s="55"/>
      <c r="AJ690" s="55"/>
      <c r="AK690" s="55"/>
      <c r="AL690" s="55"/>
      <c r="AM690" s="55"/>
      <c r="AN690" s="55"/>
      <c r="AO690" s="55"/>
    </row>
    <row r="691">
      <c r="A691" s="55"/>
      <c r="B691" s="55"/>
      <c r="C691" s="53"/>
      <c r="D691" s="55"/>
      <c r="E691" s="55"/>
      <c r="F691" s="55" t="b">
        <v>0</v>
      </c>
      <c r="G691" s="55"/>
      <c r="H691" s="53"/>
      <c r="I691" s="53"/>
      <c r="J691" s="55"/>
      <c r="K691" s="55"/>
      <c r="L691" s="55"/>
      <c r="M691" s="55"/>
      <c r="N691" s="55"/>
      <c r="O691" s="55" t="b">
        <v>0</v>
      </c>
      <c r="P691" s="55"/>
      <c r="Q691" s="55"/>
      <c r="R691" s="55"/>
      <c r="S691" s="55"/>
      <c r="T691" s="55"/>
      <c r="U691" s="64"/>
      <c r="V691" s="55"/>
      <c r="W691" s="64"/>
      <c r="X691" s="55"/>
      <c r="Y691" s="53"/>
      <c r="Z691" s="55"/>
      <c r="AA691" s="55"/>
      <c r="AB691" s="55"/>
      <c r="AC691" s="55"/>
      <c r="AD691" s="55"/>
      <c r="AE691" s="55"/>
      <c r="AF691" s="55"/>
      <c r="AG691" s="55"/>
      <c r="AH691" s="55"/>
      <c r="AI691" s="55"/>
      <c r="AJ691" s="55"/>
      <c r="AK691" s="55"/>
      <c r="AL691" s="55"/>
      <c r="AM691" s="55"/>
      <c r="AN691" s="55"/>
      <c r="AO691" s="55"/>
    </row>
    <row r="692">
      <c r="A692" s="55"/>
      <c r="B692" s="55"/>
      <c r="C692" s="53"/>
      <c r="D692" s="55"/>
      <c r="E692" s="55"/>
      <c r="F692" s="55" t="b">
        <v>0</v>
      </c>
      <c r="G692" s="55"/>
      <c r="H692" s="53"/>
      <c r="I692" s="53"/>
      <c r="J692" s="55"/>
      <c r="K692" s="55"/>
      <c r="L692" s="55"/>
      <c r="M692" s="55"/>
      <c r="N692" s="55"/>
      <c r="O692" s="55" t="b">
        <v>0</v>
      </c>
      <c r="P692" s="55"/>
      <c r="Q692" s="55"/>
      <c r="R692" s="55"/>
      <c r="S692" s="55"/>
      <c r="T692" s="55"/>
      <c r="U692" s="64"/>
      <c r="V692" s="55"/>
      <c r="W692" s="64"/>
      <c r="X692" s="55"/>
      <c r="Y692" s="53"/>
      <c r="Z692" s="55"/>
      <c r="AA692" s="55"/>
      <c r="AB692" s="55"/>
      <c r="AC692" s="55"/>
      <c r="AD692" s="55"/>
      <c r="AE692" s="55"/>
      <c r="AF692" s="55"/>
      <c r="AG692" s="55"/>
      <c r="AH692" s="55"/>
      <c r="AI692" s="55"/>
      <c r="AJ692" s="55"/>
      <c r="AK692" s="55"/>
      <c r="AL692" s="55"/>
      <c r="AM692" s="55"/>
      <c r="AN692" s="55"/>
      <c r="AO692" s="55"/>
    </row>
    <row r="693">
      <c r="A693" s="55"/>
      <c r="B693" s="55"/>
      <c r="C693" s="53"/>
      <c r="D693" s="55"/>
      <c r="E693" s="55"/>
      <c r="F693" s="55" t="b">
        <v>0</v>
      </c>
      <c r="G693" s="55"/>
      <c r="H693" s="53"/>
      <c r="I693" s="53"/>
      <c r="J693" s="55"/>
      <c r="K693" s="55"/>
      <c r="L693" s="55"/>
      <c r="M693" s="55"/>
      <c r="N693" s="55"/>
      <c r="O693" s="55" t="b">
        <v>0</v>
      </c>
      <c r="P693" s="55"/>
      <c r="Q693" s="55"/>
      <c r="R693" s="55"/>
      <c r="S693" s="55"/>
      <c r="T693" s="55"/>
      <c r="U693" s="64"/>
      <c r="V693" s="55"/>
      <c r="W693" s="64"/>
      <c r="X693" s="55"/>
      <c r="Y693" s="53"/>
      <c r="Z693" s="55"/>
      <c r="AA693" s="55"/>
      <c r="AB693" s="55"/>
      <c r="AC693" s="55"/>
      <c r="AD693" s="55"/>
      <c r="AE693" s="55"/>
      <c r="AF693" s="55"/>
      <c r="AG693" s="55"/>
      <c r="AH693" s="55"/>
      <c r="AI693" s="55"/>
      <c r="AJ693" s="55"/>
      <c r="AK693" s="55"/>
      <c r="AL693" s="55"/>
      <c r="AM693" s="55"/>
      <c r="AN693" s="55"/>
      <c r="AO693" s="55"/>
    </row>
    <row r="694">
      <c r="A694" s="55"/>
      <c r="B694" s="55"/>
      <c r="C694" s="53"/>
      <c r="D694" s="55"/>
      <c r="E694" s="55"/>
      <c r="F694" s="55" t="b">
        <v>0</v>
      </c>
      <c r="G694" s="55"/>
      <c r="H694" s="53"/>
      <c r="I694" s="53"/>
      <c r="J694" s="55"/>
      <c r="K694" s="55"/>
      <c r="L694" s="55"/>
      <c r="M694" s="55"/>
      <c r="N694" s="55"/>
      <c r="O694" s="55" t="b">
        <v>0</v>
      </c>
      <c r="P694" s="55"/>
      <c r="Q694" s="55"/>
      <c r="R694" s="55"/>
      <c r="S694" s="55"/>
      <c r="T694" s="55"/>
      <c r="U694" s="64"/>
      <c r="V694" s="55"/>
      <c r="W694" s="64"/>
      <c r="X694" s="55"/>
      <c r="Y694" s="53"/>
      <c r="Z694" s="55"/>
      <c r="AA694" s="55"/>
      <c r="AB694" s="55"/>
      <c r="AC694" s="55"/>
      <c r="AD694" s="55"/>
      <c r="AE694" s="55"/>
      <c r="AF694" s="55"/>
      <c r="AG694" s="55"/>
      <c r="AH694" s="55"/>
      <c r="AI694" s="55"/>
      <c r="AJ694" s="55"/>
      <c r="AK694" s="55"/>
      <c r="AL694" s="55"/>
      <c r="AM694" s="55"/>
      <c r="AN694" s="55"/>
      <c r="AO694" s="55"/>
    </row>
    <row r="695">
      <c r="A695" s="55"/>
      <c r="B695" s="55"/>
      <c r="C695" s="53"/>
      <c r="D695" s="55"/>
      <c r="E695" s="55"/>
      <c r="F695" s="55" t="b">
        <v>0</v>
      </c>
      <c r="G695" s="55"/>
      <c r="H695" s="53"/>
      <c r="I695" s="53"/>
      <c r="J695" s="55"/>
      <c r="K695" s="55"/>
      <c r="L695" s="55"/>
      <c r="M695" s="55"/>
      <c r="N695" s="55"/>
      <c r="O695" s="55" t="b">
        <v>0</v>
      </c>
      <c r="P695" s="55"/>
      <c r="Q695" s="55"/>
      <c r="R695" s="55"/>
      <c r="S695" s="55"/>
      <c r="T695" s="55"/>
      <c r="U695" s="64"/>
      <c r="V695" s="55"/>
      <c r="W695" s="64"/>
      <c r="X695" s="55"/>
      <c r="Y695" s="53"/>
      <c r="Z695" s="55"/>
      <c r="AA695" s="55"/>
      <c r="AB695" s="55"/>
      <c r="AC695" s="55"/>
      <c r="AD695" s="55"/>
      <c r="AE695" s="55"/>
      <c r="AF695" s="55"/>
      <c r="AG695" s="55"/>
      <c r="AH695" s="55"/>
      <c r="AI695" s="55"/>
      <c r="AJ695" s="55"/>
      <c r="AK695" s="55"/>
      <c r="AL695" s="55"/>
      <c r="AM695" s="55"/>
      <c r="AN695" s="55"/>
      <c r="AO695" s="55"/>
    </row>
    <row r="696">
      <c r="A696" s="55"/>
      <c r="B696" s="55"/>
      <c r="C696" s="53"/>
      <c r="D696" s="55"/>
      <c r="E696" s="55"/>
      <c r="F696" s="55" t="b">
        <v>0</v>
      </c>
      <c r="G696" s="55"/>
      <c r="H696" s="53"/>
      <c r="I696" s="53"/>
      <c r="J696" s="55"/>
      <c r="K696" s="55"/>
      <c r="L696" s="55"/>
      <c r="M696" s="55"/>
      <c r="N696" s="55"/>
      <c r="O696" s="55" t="b">
        <v>0</v>
      </c>
      <c r="P696" s="55"/>
      <c r="Q696" s="55"/>
      <c r="R696" s="55"/>
      <c r="S696" s="55"/>
      <c r="T696" s="55"/>
      <c r="U696" s="64"/>
      <c r="V696" s="55"/>
      <c r="W696" s="64"/>
      <c r="X696" s="55"/>
      <c r="Y696" s="53"/>
      <c r="Z696" s="55"/>
      <c r="AA696" s="55"/>
      <c r="AB696" s="55"/>
      <c r="AC696" s="55"/>
      <c r="AD696" s="55"/>
      <c r="AE696" s="55"/>
      <c r="AF696" s="55"/>
      <c r="AG696" s="55"/>
      <c r="AH696" s="55"/>
      <c r="AI696" s="55"/>
      <c r="AJ696" s="55"/>
      <c r="AK696" s="55"/>
      <c r="AL696" s="55"/>
      <c r="AM696" s="55"/>
      <c r="AN696" s="55"/>
      <c r="AO696" s="55"/>
    </row>
    <row r="697">
      <c r="A697" s="55"/>
      <c r="B697" s="55"/>
      <c r="C697" s="53"/>
      <c r="D697" s="55"/>
      <c r="E697" s="55"/>
      <c r="F697" s="55" t="b">
        <v>0</v>
      </c>
      <c r="G697" s="55"/>
      <c r="H697" s="53"/>
      <c r="I697" s="53"/>
      <c r="J697" s="55"/>
      <c r="K697" s="55"/>
      <c r="L697" s="55"/>
      <c r="M697" s="55"/>
      <c r="N697" s="55"/>
      <c r="O697" s="55" t="b">
        <v>0</v>
      </c>
      <c r="P697" s="55"/>
      <c r="Q697" s="55"/>
      <c r="R697" s="55"/>
      <c r="S697" s="55"/>
      <c r="T697" s="55"/>
      <c r="U697" s="64"/>
      <c r="V697" s="55"/>
      <c r="W697" s="64"/>
      <c r="X697" s="55"/>
      <c r="Y697" s="53"/>
      <c r="Z697" s="55"/>
      <c r="AA697" s="55"/>
      <c r="AB697" s="55"/>
      <c r="AC697" s="55"/>
      <c r="AD697" s="55"/>
      <c r="AE697" s="55"/>
      <c r="AF697" s="55"/>
      <c r="AG697" s="55"/>
      <c r="AH697" s="55"/>
      <c r="AI697" s="55"/>
      <c r="AJ697" s="55"/>
      <c r="AK697" s="55"/>
      <c r="AL697" s="55"/>
      <c r="AM697" s="55"/>
      <c r="AN697" s="55"/>
      <c r="AO697" s="55"/>
    </row>
    <row r="698">
      <c r="A698" s="55"/>
      <c r="B698" s="55"/>
      <c r="C698" s="53"/>
      <c r="D698" s="55"/>
      <c r="E698" s="55"/>
      <c r="F698" s="55" t="b">
        <v>0</v>
      </c>
      <c r="G698" s="55"/>
      <c r="H698" s="53"/>
      <c r="I698" s="53"/>
      <c r="J698" s="55"/>
      <c r="K698" s="55"/>
      <c r="L698" s="55"/>
      <c r="M698" s="55"/>
      <c r="N698" s="55"/>
      <c r="O698" s="55" t="b">
        <v>0</v>
      </c>
      <c r="P698" s="55"/>
      <c r="Q698" s="55"/>
      <c r="R698" s="55"/>
      <c r="S698" s="55"/>
      <c r="T698" s="55"/>
      <c r="U698" s="64"/>
      <c r="V698" s="55"/>
      <c r="W698" s="64"/>
      <c r="X698" s="55"/>
      <c r="Y698" s="53"/>
      <c r="Z698" s="55"/>
      <c r="AA698" s="55"/>
      <c r="AB698" s="55"/>
      <c r="AC698" s="55"/>
      <c r="AD698" s="55"/>
      <c r="AE698" s="55"/>
      <c r="AF698" s="55"/>
      <c r="AG698" s="55"/>
      <c r="AH698" s="55"/>
      <c r="AI698" s="55"/>
      <c r="AJ698" s="55"/>
      <c r="AK698" s="55"/>
      <c r="AL698" s="55"/>
      <c r="AM698" s="55"/>
      <c r="AN698" s="55"/>
      <c r="AO698" s="55"/>
    </row>
    <row r="699">
      <c r="A699" s="55"/>
      <c r="B699" s="55"/>
      <c r="C699" s="53"/>
      <c r="D699" s="55"/>
      <c r="E699" s="55"/>
      <c r="F699" s="55" t="b">
        <v>0</v>
      </c>
      <c r="G699" s="55"/>
      <c r="H699" s="53"/>
      <c r="I699" s="53"/>
      <c r="J699" s="55"/>
      <c r="K699" s="55"/>
      <c r="L699" s="55"/>
      <c r="M699" s="55"/>
      <c r="N699" s="55"/>
      <c r="O699" s="55" t="b">
        <v>0</v>
      </c>
      <c r="P699" s="55"/>
      <c r="Q699" s="55"/>
      <c r="R699" s="55"/>
      <c r="S699" s="55"/>
      <c r="T699" s="55"/>
      <c r="U699" s="64"/>
      <c r="V699" s="55"/>
      <c r="W699" s="64"/>
      <c r="X699" s="55"/>
      <c r="Y699" s="53"/>
      <c r="Z699" s="55"/>
      <c r="AA699" s="55"/>
      <c r="AB699" s="55"/>
      <c r="AC699" s="55"/>
      <c r="AD699" s="55"/>
      <c r="AE699" s="55"/>
      <c r="AF699" s="55"/>
      <c r="AG699" s="55"/>
      <c r="AH699" s="55"/>
      <c r="AI699" s="55"/>
      <c r="AJ699" s="55"/>
      <c r="AK699" s="55"/>
      <c r="AL699" s="55"/>
      <c r="AM699" s="55"/>
      <c r="AN699" s="55"/>
      <c r="AO699" s="55"/>
    </row>
    <row r="700">
      <c r="A700" s="55"/>
      <c r="B700" s="55"/>
      <c r="C700" s="53"/>
      <c r="D700" s="55"/>
      <c r="E700" s="55"/>
      <c r="F700" s="55" t="b">
        <v>0</v>
      </c>
      <c r="G700" s="55"/>
      <c r="H700" s="53"/>
      <c r="I700" s="53"/>
      <c r="J700" s="55"/>
      <c r="K700" s="55"/>
      <c r="L700" s="55"/>
      <c r="M700" s="55"/>
      <c r="N700" s="55"/>
      <c r="O700" s="55" t="b">
        <v>0</v>
      </c>
      <c r="P700" s="55"/>
      <c r="Q700" s="55"/>
      <c r="R700" s="55"/>
      <c r="S700" s="55"/>
      <c r="T700" s="55"/>
      <c r="U700" s="64"/>
      <c r="V700" s="55"/>
      <c r="W700" s="64"/>
      <c r="X700" s="55"/>
      <c r="Y700" s="53"/>
      <c r="Z700" s="55"/>
      <c r="AA700" s="55"/>
      <c r="AB700" s="55"/>
      <c r="AC700" s="55"/>
      <c r="AD700" s="55"/>
      <c r="AE700" s="55"/>
      <c r="AF700" s="55"/>
      <c r="AG700" s="55"/>
      <c r="AH700" s="55"/>
      <c r="AI700" s="55"/>
      <c r="AJ700" s="55"/>
      <c r="AK700" s="55"/>
      <c r="AL700" s="55"/>
      <c r="AM700" s="55"/>
      <c r="AN700" s="55"/>
      <c r="AO700" s="55"/>
    </row>
    <row r="701">
      <c r="A701" s="55"/>
      <c r="B701" s="55"/>
      <c r="C701" s="53"/>
      <c r="D701" s="55"/>
      <c r="E701" s="55"/>
      <c r="F701" s="55" t="b">
        <v>0</v>
      </c>
      <c r="G701" s="55"/>
      <c r="H701" s="53"/>
      <c r="I701" s="53"/>
      <c r="J701" s="55"/>
      <c r="K701" s="55"/>
      <c r="L701" s="55"/>
      <c r="M701" s="55"/>
      <c r="N701" s="55"/>
      <c r="O701" s="55" t="b">
        <v>0</v>
      </c>
      <c r="P701" s="55"/>
      <c r="Q701" s="55"/>
      <c r="R701" s="55"/>
      <c r="S701" s="55"/>
      <c r="T701" s="55"/>
      <c r="U701" s="64"/>
      <c r="V701" s="55"/>
      <c r="W701" s="64"/>
      <c r="X701" s="55"/>
      <c r="Y701" s="53"/>
      <c r="Z701" s="55"/>
      <c r="AA701" s="55"/>
      <c r="AB701" s="55"/>
      <c r="AC701" s="55"/>
      <c r="AD701" s="55"/>
      <c r="AE701" s="55"/>
      <c r="AF701" s="55"/>
      <c r="AG701" s="55"/>
      <c r="AH701" s="55"/>
      <c r="AI701" s="55"/>
      <c r="AJ701" s="55"/>
      <c r="AK701" s="55"/>
      <c r="AL701" s="55"/>
      <c r="AM701" s="55"/>
      <c r="AN701" s="55"/>
      <c r="AO701" s="55"/>
    </row>
    <row r="702">
      <c r="A702" s="55"/>
      <c r="B702" s="55"/>
      <c r="C702" s="53"/>
      <c r="D702" s="55"/>
      <c r="E702" s="55"/>
      <c r="F702" s="55" t="b">
        <v>0</v>
      </c>
      <c r="G702" s="55"/>
      <c r="H702" s="53"/>
      <c r="I702" s="53"/>
      <c r="J702" s="55"/>
      <c r="K702" s="55"/>
      <c r="L702" s="55"/>
      <c r="M702" s="55"/>
      <c r="N702" s="55"/>
      <c r="O702" s="55" t="b">
        <v>0</v>
      </c>
      <c r="P702" s="55"/>
      <c r="Q702" s="55"/>
      <c r="R702" s="55"/>
      <c r="S702" s="55"/>
      <c r="T702" s="55"/>
      <c r="U702" s="64"/>
      <c r="V702" s="55"/>
      <c r="W702" s="64"/>
      <c r="X702" s="55"/>
      <c r="Y702" s="53"/>
      <c r="Z702" s="55"/>
      <c r="AA702" s="55"/>
      <c r="AB702" s="55"/>
      <c r="AC702" s="55"/>
      <c r="AD702" s="55"/>
      <c r="AE702" s="55"/>
      <c r="AF702" s="55"/>
      <c r="AG702" s="55"/>
      <c r="AH702" s="55"/>
      <c r="AI702" s="55"/>
      <c r="AJ702" s="55"/>
      <c r="AK702" s="55"/>
      <c r="AL702" s="55"/>
      <c r="AM702" s="55"/>
      <c r="AN702" s="55"/>
      <c r="AO702" s="55"/>
    </row>
    <row r="703">
      <c r="A703" s="55"/>
      <c r="B703" s="55"/>
      <c r="C703" s="53"/>
      <c r="D703" s="55"/>
      <c r="E703" s="55"/>
      <c r="F703" s="55" t="b">
        <v>0</v>
      </c>
      <c r="G703" s="55"/>
      <c r="H703" s="53"/>
      <c r="I703" s="53"/>
      <c r="J703" s="55"/>
      <c r="K703" s="55"/>
      <c r="L703" s="55"/>
      <c r="M703" s="55"/>
      <c r="N703" s="55"/>
      <c r="O703" s="55" t="b">
        <v>0</v>
      </c>
      <c r="P703" s="55"/>
      <c r="Q703" s="55"/>
      <c r="R703" s="55"/>
      <c r="S703" s="55"/>
      <c r="T703" s="55"/>
      <c r="U703" s="64"/>
      <c r="V703" s="55"/>
      <c r="W703" s="64"/>
      <c r="X703" s="55"/>
      <c r="Y703" s="53"/>
      <c r="Z703" s="55"/>
      <c r="AA703" s="55"/>
      <c r="AB703" s="55"/>
      <c r="AC703" s="55"/>
      <c r="AD703" s="55"/>
      <c r="AE703" s="55"/>
      <c r="AF703" s="55"/>
      <c r="AG703" s="55"/>
      <c r="AH703" s="55"/>
      <c r="AI703" s="55"/>
      <c r="AJ703" s="55"/>
      <c r="AK703" s="55"/>
      <c r="AL703" s="55"/>
      <c r="AM703" s="55"/>
      <c r="AN703" s="55"/>
      <c r="AO703" s="55"/>
    </row>
    <row r="704">
      <c r="A704" s="55"/>
      <c r="B704" s="55"/>
      <c r="C704" s="53"/>
      <c r="D704" s="55"/>
      <c r="E704" s="55"/>
      <c r="F704" s="55" t="b">
        <v>0</v>
      </c>
      <c r="G704" s="55"/>
      <c r="H704" s="53"/>
      <c r="I704" s="53"/>
      <c r="J704" s="55"/>
      <c r="K704" s="55"/>
      <c r="L704" s="55"/>
      <c r="M704" s="55"/>
      <c r="N704" s="55"/>
      <c r="O704" s="55" t="b">
        <v>0</v>
      </c>
      <c r="P704" s="55"/>
      <c r="Q704" s="55"/>
      <c r="R704" s="55"/>
      <c r="S704" s="55"/>
      <c r="T704" s="55"/>
      <c r="U704" s="64"/>
      <c r="V704" s="55"/>
      <c r="W704" s="64"/>
      <c r="X704" s="55"/>
      <c r="Y704" s="53"/>
      <c r="Z704" s="55"/>
      <c r="AA704" s="55"/>
      <c r="AB704" s="55"/>
      <c r="AC704" s="55"/>
      <c r="AD704" s="55"/>
      <c r="AE704" s="55"/>
      <c r="AF704" s="55"/>
      <c r="AG704" s="55"/>
      <c r="AH704" s="55"/>
      <c r="AI704" s="55"/>
      <c r="AJ704" s="55"/>
      <c r="AK704" s="55"/>
      <c r="AL704" s="55"/>
      <c r="AM704" s="55"/>
      <c r="AN704" s="55"/>
      <c r="AO704" s="55"/>
    </row>
    <row r="705">
      <c r="A705" s="55"/>
      <c r="B705" s="55"/>
      <c r="C705" s="53"/>
      <c r="D705" s="55"/>
      <c r="E705" s="55"/>
      <c r="F705" s="55" t="b">
        <v>0</v>
      </c>
      <c r="G705" s="55"/>
      <c r="H705" s="53"/>
      <c r="I705" s="53"/>
      <c r="J705" s="55"/>
      <c r="K705" s="55"/>
      <c r="L705" s="55"/>
      <c r="M705" s="55"/>
      <c r="N705" s="55"/>
      <c r="O705" s="55" t="b">
        <v>0</v>
      </c>
      <c r="P705" s="55"/>
      <c r="Q705" s="55"/>
      <c r="R705" s="55"/>
      <c r="S705" s="55"/>
      <c r="T705" s="55"/>
      <c r="U705" s="64"/>
      <c r="V705" s="55"/>
      <c r="W705" s="64"/>
      <c r="X705" s="55"/>
      <c r="Y705" s="53"/>
      <c r="Z705" s="55"/>
      <c r="AA705" s="55"/>
      <c r="AB705" s="55"/>
      <c r="AC705" s="55"/>
      <c r="AD705" s="55"/>
      <c r="AE705" s="55"/>
      <c r="AF705" s="55"/>
      <c r="AG705" s="55"/>
      <c r="AH705" s="55"/>
      <c r="AI705" s="55"/>
      <c r="AJ705" s="55"/>
      <c r="AK705" s="55"/>
      <c r="AL705" s="55"/>
      <c r="AM705" s="55"/>
      <c r="AN705" s="55"/>
      <c r="AO705" s="55"/>
    </row>
    <row r="706">
      <c r="A706" s="55"/>
      <c r="B706" s="55"/>
      <c r="C706" s="53"/>
      <c r="D706" s="55"/>
      <c r="E706" s="55"/>
      <c r="F706" s="55" t="b">
        <v>0</v>
      </c>
      <c r="G706" s="55"/>
      <c r="H706" s="53"/>
      <c r="I706" s="53"/>
      <c r="J706" s="55"/>
      <c r="K706" s="55"/>
      <c r="L706" s="55"/>
      <c r="M706" s="55"/>
      <c r="N706" s="55"/>
      <c r="O706" s="55" t="b">
        <v>0</v>
      </c>
      <c r="P706" s="55"/>
      <c r="Q706" s="55"/>
      <c r="R706" s="55"/>
      <c r="S706" s="55"/>
      <c r="T706" s="55"/>
      <c r="U706" s="64"/>
      <c r="V706" s="55"/>
      <c r="W706" s="64"/>
      <c r="X706" s="55"/>
      <c r="Y706" s="53"/>
      <c r="Z706" s="55"/>
      <c r="AA706" s="55"/>
      <c r="AB706" s="55"/>
      <c r="AC706" s="55"/>
      <c r="AD706" s="55"/>
      <c r="AE706" s="55"/>
      <c r="AF706" s="55"/>
      <c r="AG706" s="55"/>
      <c r="AH706" s="55"/>
      <c r="AI706" s="55"/>
      <c r="AJ706" s="55"/>
      <c r="AK706" s="55"/>
      <c r="AL706" s="55"/>
      <c r="AM706" s="55"/>
      <c r="AN706" s="55"/>
      <c r="AO706" s="55"/>
    </row>
    <row r="707">
      <c r="A707" s="55"/>
      <c r="B707" s="55"/>
      <c r="C707" s="53"/>
      <c r="D707" s="55"/>
      <c r="E707" s="55"/>
      <c r="F707" s="55" t="b">
        <v>0</v>
      </c>
      <c r="G707" s="55"/>
      <c r="H707" s="53"/>
      <c r="I707" s="53"/>
      <c r="J707" s="55"/>
      <c r="K707" s="55"/>
      <c r="L707" s="55"/>
      <c r="M707" s="55"/>
      <c r="N707" s="55"/>
      <c r="O707" s="55" t="b">
        <v>0</v>
      </c>
      <c r="P707" s="55"/>
      <c r="Q707" s="55"/>
      <c r="R707" s="55"/>
      <c r="S707" s="55"/>
      <c r="T707" s="55"/>
      <c r="U707" s="64"/>
      <c r="V707" s="55"/>
      <c r="W707" s="64"/>
      <c r="X707" s="55"/>
      <c r="Y707" s="53"/>
      <c r="Z707" s="55"/>
      <c r="AA707" s="55"/>
      <c r="AB707" s="55"/>
      <c r="AC707" s="55"/>
      <c r="AD707" s="55"/>
      <c r="AE707" s="55"/>
      <c r="AF707" s="55"/>
      <c r="AG707" s="55"/>
      <c r="AH707" s="55"/>
      <c r="AI707" s="55"/>
      <c r="AJ707" s="55"/>
      <c r="AK707" s="55"/>
      <c r="AL707" s="55"/>
      <c r="AM707" s="55"/>
      <c r="AN707" s="55"/>
      <c r="AO707" s="55"/>
    </row>
    <row r="708">
      <c r="A708" s="55"/>
      <c r="B708" s="55"/>
      <c r="C708" s="53"/>
      <c r="D708" s="55"/>
      <c r="E708" s="55"/>
      <c r="F708" s="55" t="b">
        <v>0</v>
      </c>
      <c r="G708" s="55"/>
      <c r="H708" s="53"/>
      <c r="I708" s="53"/>
      <c r="J708" s="55"/>
      <c r="K708" s="55"/>
      <c r="L708" s="55"/>
      <c r="M708" s="55"/>
      <c r="N708" s="55"/>
      <c r="O708" s="55" t="b">
        <v>0</v>
      </c>
      <c r="P708" s="55"/>
      <c r="Q708" s="55"/>
      <c r="R708" s="55"/>
      <c r="S708" s="55"/>
      <c r="T708" s="55"/>
      <c r="U708" s="64"/>
      <c r="V708" s="55"/>
      <c r="W708" s="64"/>
      <c r="X708" s="55"/>
      <c r="Y708" s="53"/>
      <c r="Z708" s="55"/>
      <c r="AA708" s="55"/>
      <c r="AB708" s="55"/>
      <c r="AC708" s="55"/>
      <c r="AD708" s="55"/>
      <c r="AE708" s="55"/>
      <c r="AF708" s="55"/>
      <c r="AG708" s="55"/>
      <c r="AH708" s="55"/>
      <c r="AI708" s="55"/>
      <c r="AJ708" s="55"/>
      <c r="AK708" s="55"/>
      <c r="AL708" s="55"/>
      <c r="AM708" s="55"/>
      <c r="AN708" s="55"/>
      <c r="AO708" s="55"/>
    </row>
    <row r="709">
      <c r="A709" s="55"/>
      <c r="B709" s="55"/>
      <c r="C709" s="53"/>
      <c r="D709" s="55"/>
      <c r="E709" s="55"/>
      <c r="F709" s="55" t="b">
        <v>0</v>
      </c>
      <c r="G709" s="55"/>
      <c r="H709" s="53"/>
      <c r="I709" s="53"/>
      <c r="J709" s="55"/>
      <c r="K709" s="55"/>
      <c r="L709" s="55"/>
      <c r="M709" s="55"/>
      <c r="N709" s="55"/>
      <c r="O709" s="55" t="b">
        <v>0</v>
      </c>
      <c r="P709" s="55"/>
      <c r="Q709" s="55"/>
      <c r="R709" s="55"/>
      <c r="S709" s="55"/>
      <c r="T709" s="55"/>
      <c r="U709" s="64"/>
      <c r="V709" s="55"/>
      <c r="W709" s="64"/>
      <c r="X709" s="55"/>
      <c r="Y709" s="53"/>
      <c r="Z709" s="55"/>
      <c r="AA709" s="55"/>
      <c r="AB709" s="55"/>
      <c r="AC709" s="55"/>
      <c r="AD709" s="55"/>
      <c r="AE709" s="55"/>
      <c r="AF709" s="55"/>
      <c r="AG709" s="55"/>
      <c r="AH709" s="55"/>
      <c r="AI709" s="55"/>
      <c r="AJ709" s="55"/>
      <c r="AK709" s="55"/>
      <c r="AL709" s="55"/>
      <c r="AM709" s="55"/>
      <c r="AN709" s="55"/>
      <c r="AO709" s="55"/>
    </row>
    <row r="710">
      <c r="A710" s="55"/>
      <c r="B710" s="55"/>
      <c r="C710" s="53"/>
      <c r="D710" s="55"/>
      <c r="E710" s="55"/>
      <c r="F710" s="55" t="b">
        <v>0</v>
      </c>
      <c r="G710" s="55"/>
      <c r="H710" s="53"/>
      <c r="I710" s="53"/>
      <c r="J710" s="55"/>
      <c r="K710" s="55"/>
      <c r="L710" s="55"/>
      <c r="M710" s="55"/>
      <c r="N710" s="55"/>
      <c r="O710" s="55" t="b">
        <v>0</v>
      </c>
      <c r="P710" s="55"/>
      <c r="Q710" s="55"/>
      <c r="R710" s="55"/>
      <c r="S710" s="55"/>
      <c r="T710" s="55"/>
      <c r="U710" s="64"/>
      <c r="V710" s="55"/>
      <c r="W710" s="64"/>
      <c r="X710" s="55"/>
      <c r="Y710" s="53"/>
      <c r="Z710" s="55"/>
      <c r="AA710" s="55"/>
      <c r="AB710" s="55"/>
      <c r="AC710" s="55"/>
      <c r="AD710" s="55"/>
      <c r="AE710" s="55"/>
      <c r="AF710" s="55"/>
      <c r="AG710" s="55"/>
      <c r="AH710" s="55"/>
      <c r="AI710" s="55"/>
      <c r="AJ710" s="55"/>
      <c r="AK710" s="55"/>
      <c r="AL710" s="55"/>
      <c r="AM710" s="55"/>
      <c r="AN710" s="55"/>
      <c r="AO710" s="55"/>
    </row>
    <row r="711">
      <c r="A711" s="55"/>
      <c r="B711" s="55"/>
      <c r="C711" s="53"/>
      <c r="D711" s="55"/>
      <c r="E711" s="55"/>
      <c r="F711" s="55" t="b">
        <v>0</v>
      </c>
      <c r="G711" s="55"/>
      <c r="H711" s="53"/>
      <c r="I711" s="53"/>
      <c r="J711" s="55"/>
      <c r="K711" s="55"/>
      <c r="L711" s="55"/>
      <c r="M711" s="55"/>
      <c r="N711" s="55"/>
      <c r="O711" s="55" t="b">
        <v>0</v>
      </c>
      <c r="P711" s="55"/>
      <c r="Q711" s="55"/>
      <c r="R711" s="55"/>
      <c r="S711" s="55"/>
      <c r="T711" s="55"/>
      <c r="U711" s="64"/>
      <c r="V711" s="55"/>
      <c r="W711" s="64"/>
      <c r="X711" s="55"/>
      <c r="Y711" s="53"/>
      <c r="Z711" s="55"/>
      <c r="AA711" s="55"/>
      <c r="AB711" s="55"/>
      <c r="AC711" s="55"/>
      <c r="AD711" s="55"/>
      <c r="AE711" s="55"/>
      <c r="AF711" s="55"/>
      <c r="AG711" s="55"/>
      <c r="AH711" s="55"/>
      <c r="AI711" s="55"/>
      <c r="AJ711" s="55"/>
      <c r="AK711" s="55"/>
      <c r="AL711" s="55"/>
      <c r="AM711" s="55"/>
      <c r="AN711" s="55"/>
      <c r="AO711" s="55"/>
    </row>
    <row r="712">
      <c r="A712" s="55"/>
      <c r="B712" s="55"/>
      <c r="C712" s="53"/>
      <c r="D712" s="55"/>
      <c r="E712" s="55"/>
      <c r="F712" s="55" t="b">
        <v>0</v>
      </c>
      <c r="G712" s="55"/>
      <c r="H712" s="53"/>
      <c r="I712" s="53"/>
      <c r="J712" s="55"/>
      <c r="K712" s="55"/>
      <c r="L712" s="55"/>
      <c r="M712" s="55"/>
      <c r="N712" s="55"/>
      <c r="O712" s="55" t="b">
        <v>0</v>
      </c>
      <c r="P712" s="55"/>
      <c r="Q712" s="55"/>
      <c r="R712" s="55"/>
      <c r="S712" s="55"/>
      <c r="T712" s="55"/>
      <c r="U712" s="64"/>
      <c r="V712" s="55"/>
      <c r="W712" s="64"/>
      <c r="X712" s="55"/>
      <c r="Y712" s="53"/>
      <c r="Z712" s="55"/>
      <c r="AA712" s="55"/>
      <c r="AB712" s="55"/>
      <c r="AC712" s="55"/>
      <c r="AD712" s="55"/>
      <c r="AE712" s="55"/>
      <c r="AF712" s="55"/>
      <c r="AG712" s="55"/>
      <c r="AH712" s="55"/>
      <c r="AI712" s="55"/>
      <c r="AJ712" s="55"/>
      <c r="AK712" s="55"/>
      <c r="AL712" s="55"/>
      <c r="AM712" s="55"/>
      <c r="AN712" s="55"/>
      <c r="AO712" s="55"/>
    </row>
    <row r="713">
      <c r="A713" s="55"/>
      <c r="B713" s="55"/>
      <c r="C713" s="53"/>
      <c r="D713" s="55"/>
      <c r="E713" s="55"/>
      <c r="F713" s="55" t="b">
        <v>0</v>
      </c>
      <c r="G713" s="55"/>
      <c r="H713" s="53"/>
      <c r="I713" s="53"/>
      <c r="J713" s="55"/>
      <c r="K713" s="55"/>
      <c r="L713" s="55"/>
      <c r="M713" s="55"/>
      <c r="N713" s="55"/>
      <c r="O713" s="55" t="b">
        <v>0</v>
      </c>
      <c r="P713" s="55"/>
      <c r="Q713" s="55"/>
      <c r="R713" s="55"/>
      <c r="S713" s="55"/>
      <c r="T713" s="55"/>
      <c r="U713" s="64"/>
      <c r="V713" s="55"/>
      <c r="W713" s="64"/>
      <c r="X713" s="55"/>
      <c r="Y713" s="53"/>
      <c r="Z713" s="55"/>
      <c r="AA713" s="55"/>
      <c r="AB713" s="55"/>
      <c r="AC713" s="55"/>
      <c r="AD713" s="55"/>
      <c r="AE713" s="55"/>
      <c r="AF713" s="55"/>
      <c r="AG713" s="55"/>
      <c r="AH713" s="55"/>
      <c r="AI713" s="55"/>
      <c r="AJ713" s="55"/>
      <c r="AK713" s="55"/>
      <c r="AL713" s="55"/>
      <c r="AM713" s="55"/>
      <c r="AN713" s="55"/>
      <c r="AO713" s="55"/>
    </row>
    <row r="714">
      <c r="A714" s="55"/>
      <c r="B714" s="55"/>
      <c r="C714" s="53"/>
      <c r="D714" s="55"/>
      <c r="E714" s="55"/>
      <c r="F714" s="55" t="b">
        <v>0</v>
      </c>
      <c r="G714" s="55"/>
      <c r="H714" s="53"/>
      <c r="I714" s="53"/>
      <c r="J714" s="55"/>
      <c r="K714" s="55"/>
      <c r="L714" s="55"/>
      <c r="M714" s="55"/>
      <c r="N714" s="55"/>
      <c r="O714" s="55" t="b">
        <v>0</v>
      </c>
      <c r="P714" s="55"/>
      <c r="Q714" s="55"/>
      <c r="R714" s="55"/>
      <c r="S714" s="55"/>
      <c r="T714" s="55"/>
      <c r="U714" s="64"/>
      <c r="V714" s="55"/>
      <c r="W714" s="64"/>
      <c r="X714" s="55"/>
      <c r="Y714" s="53"/>
      <c r="Z714" s="55"/>
      <c r="AA714" s="55"/>
      <c r="AB714" s="55"/>
      <c r="AC714" s="55"/>
      <c r="AD714" s="55"/>
      <c r="AE714" s="55"/>
      <c r="AF714" s="55"/>
      <c r="AG714" s="55"/>
      <c r="AH714" s="55"/>
      <c r="AI714" s="55"/>
      <c r="AJ714" s="55"/>
      <c r="AK714" s="55"/>
      <c r="AL714" s="55"/>
      <c r="AM714" s="55"/>
      <c r="AN714" s="55"/>
      <c r="AO714" s="55"/>
    </row>
    <row r="715">
      <c r="A715" s="55"/>
      <c r="B715" s="55"/>
      <c r="C715" s="53"/>
      <c r="D715" s="55"/>
      <c r="E715" s="55"/>
      <c r="F715" s="55" t="b">
        <v>0</v>
      </c>
      <c r="G715" s="55"/>
      <c r="H715" s="53"/>
      <c r="I715" s="53"/>
      <c r="J715" s="55"/>
      <c r="K715" s="55"/>
      <c r="L715" s="55"/>
      <c r="M715" s="55"/>
      <c r="N715" s="55"/>
      <c r="O715" s="55" t="b">
        <v>0</v>
      </c>
      <c r="P715" s="55"/>
      <c r="Q715" s="55"/>
      <c r="R715" s="55"/>
      <c r="S715" s="55"/>
      <c r="T715" s="55"/>
      <c r="U715" s="64"/>
      <c r="V715" s="55"/>
      <c r="W715" s="64"/>
      <c r="X715" s="55"/>
      <c r="Y715" s="53"/>
      <c r="Z715" s="55"/>
      <c r="AA715" s="55"/>
      <c r="AB715" s="55"/>
      <c r="AC715" s="55"/>
      <c r="AD715" s="55"/>
      <c r="AE715" s="55"/>
      <c r="AF715" s="55"/>
      <c r="AG715" s="55"/>
      <c r="AH715" s="55"/>
      <c r="AI715" s="55"/>
      <c r="AJ715" s="55"/>
      <c r="AK715" s="55"/>
      <c r="AL715" s="55"/>
      <c r="AM715" s="55"/>
      <c r="AN715" s="55"/>
      <c r="AO715" s="55"/>
    </row>
    <row r="716">
      <c r="A716" s="55"/>
      <c r="B716" s="55"/>
      <c r="C716" s="53"/>
      <c r="D716" s="55"/>
      <c r="E716" s="55"/>
      <c r="F716" s="55" t="b">
        <v>0</v>
      </c>
      <c r="G716" s="55"/>
      <c r="H716" s="53"/>
      <c r="I716" s="53"/>
      <c r="J716" s="55"/>
      <c r="K716" s="55"/>
      <c r="L716" s="55"/>
      <c r="M716" s="55"/>
      <c r="N716" s="55"/>
      <c r="O716" s="55" t="b">
        <v>0</v>
      </c>
      <c r="P716" s="55"/>
      <c r="Q716" s="55"/>
      <c r="R716" s="55"/>
      <c r="S716" s="55"/>
      <c r="T716" s="55"/>
      <c r="U716" s="64"/>
      <c r="V716" s="55"/>
      <c r="W716" s="64"/>
      <c r="X716" s="55"/>
      <c r="Y716" s="53"/>
      <c r="Z716" s="55"/>
      <c r="AA716" s="55"/>
      <c r="AB716" s="55"/>
      <c r="AC716" s="55"/>
      <c r="AD716" s="55"/>
      <c r="AE716" s="55"/>
      <c r="AF716" s="55"/>
      <c r="AG716" s="55"/>
      <c r="AH716" s="55"/>
      <c r="AI716" s="55"/>
      <c r="AJ716" s="55"/>
      <c r="AK716" s="55"/>
      <c r="AL716" s="55"/>
      <c r="AM716" s="55"/>
      <c r="AN716" s="55"/>
      <c r="AO716" s="55"/>
    </row>
    <row r="717">
      <c r="A717" s="55"/>
      <c r="B717" s="55"/>
      <c r="C717" s="53"/>
      <c r="D717" s="55"/>
      <c r="E717" s="55"/>
      <c r="F717" s="55" t="b">
        <v>0</v>
      </c>
      <c r="G717" s="55"/>
      <c r="H717" s="53"/>
      <c r="I717" s="53"/>
      <c r="J717" s="55"/>
      <c r="K717" s="55"/>
      <c r="L717" s="55"/>
      <c r="M717" s="55"/>
      <c r="N717" s="55"/>
      <c r="O717" s="55" t="b">
        <v>0</v>
      </c>
      <c r="P717" s="55"/>
      <c r="Q717" s="55"/>
      <c r="R717" s="55"/>
      <c r="S717" s="55"/>
      <c r="T717" s="55"/>
      <c r="U717" s="64"/>
      <c r="V717" s="55"/>
      <c r="W717" s="64"/>
      <c r="X717" s="55"/>
      <c r="Y717" s="53"/>
      <c r="Z717" s="55"/>
      <c r="AA717" s="55"/>
      <c r="AB717" s="55"/>
      <c r="AC717" s="55"/>
      <c r="AD717" s="55"/>
      <c r="AE717" s="55"/>
      <c r="AF717" s="55"/>
      <c r="AG717" s="55"/>
      <c r="AH717" s="55"/>
      <c r="AI717" s="55"/>
      <c r="AJ717" s="55"/>
      <c r="AK717" s="55"/>
      <c r="AL717" s="55"/>
      <c r="AM717" s="55"/>
      <c r="AN717" s="55"/>
      <c r="AO717" s="55"/>
    </row>
    <row r="718">
      <c r="A718" s="55"/>
      <c r="B718" s="55"/>
      <c r="C718" s="53"/>
      <c r="D718" s="55"/>
      <c r="E718" s="55"/>
      <c r="F718" s="55" t="b">
        <v>0</v>
      </c>
      <c r="G718" s="55"/>
      <c r="H718" s="53"/>
      <c r="I718" s="53"/>
      <c r="J718" s="55"/>
      <c r="K718" s="55"/>
      <c r="L718" s="55"/>
      <c r="M718" s="55"/>
      <c r="N718" s="55"/>
      <c r="O718" s="55" t="b">
        <v>0</v>
      </c>
      <c r="P718" s="55"/>
      <c r="Q718" s="55"/>
      <c r="R718" s="55"/>
      <c r="S718" s="55"/>
      <c r="T718" s="55"/>
      <c r="U718" s="64"/>
      <c r="V718" s="55"/>
      <c r="W718" s="64"/>
      <c r="X718" s="55"/>
      <c r="Y718" s="53"/>
      <c r="Z718" s="55"/>
      <c r="AA718" s="55"/>
      <c r="AB718" s="55"/>
      <c r="AC718" s="55"/>
      <c r="AD718" s="55"/>
      <c r="AE718" s="55"/>
      <c r="AF718" s="55"/>
      <c r="AG718" s="55"/>
      <c r="AH718" s="55"/>
      <c r="AI718" s="55"/>
      <c r="AJ718" s="55"/>
      <c r="AK718" s="55"/>
      <c r="AL718" s="55"/>
      <c r="AM718" s="55"/>
      <c r="AN718" s="55"/>
      <c r="AO718" s="55"/>
    </row>
    <row r="719">
      <c r="A719" s="55"/>
      <c r="B719" s="55"/>
      <c r="C719" s="53"/>
      <c r="D719" s="55"/>
      <c r="E719" s="55"/>
      <c r="F719" s="55" t="b">
        <v>0</v>
      </c>
      <c r="G719" s="55"/>
      <c r="H719" s="53"/>
      <c r="I719" s="53"/>
      <c r="J719" s="55"/>
      <c r="K719" s="55"/>
      <c r="L719" s="55"/>
      <c r="M719" s="55"/>
      <c r="N719" s="55"/>
      <c r="O719" s="55" t="b">
        <v>0</v>
      </c>
      <c r="P719" s="55"/>
      <c r="Q719" s="55"/>
      <c r="R719" s="55"/>
      <c r="S719" s="55"/>
      <c r="T719" s="55"/>
      <c r="U719" s="64"/>
      <c r="V719" s="55"/>
      <c r="W719" s="64"/>
      <c r="X719" s="55"/>
      <c r="Y719" s="53"/>
      <c r="Z719" s="55"/>
      <c r="AA719" s="55"/>
      <c r="AB719" s="55"/>
      <c r="AC719" s="55"/>
      <c r="AD719" s="55"/>
      <c r="AE719" s="55"/>
      <c r="AF719" s="55"/>
      <c r="AG719" s="55"/>
      <c r="AH719" s="55"/>
      <c r="AI719" s="55"/>
      <c r="AJ719" s="55"/>
      <c r="AK719" s="55"/>
      <c r="AL719" s="55"/>
      <c r="AM719" s="55"/>
      <c r="AN719" s="55"/>
      <c r="AO719" s="55"/>
    </row>
    <row r="720">
      <c r="A720" s="55"/>
      <c r="B720" s="55"/>
      <c r="C720" s="53"/>
      <c r="D720" s="55"/>
      <c r="E720" s="55"/>
      <c r="F720" s="55" t="b">
        <v>0</v>
      </c>
      <c r="G720" s="55"/>
      <c r="H720" s="53"/>
      <c r="I720" s="53"/>
      <c r="J720" s="55"/>
      <c r="K720" s="55"/>
      <c r="L720" s="55"/>
      <c r="M720" s="55"/>
      <c r="N720" s="55"/>
      <c r="O720" s="55" t="b">
        <v>0</v>
      </c>
      <c r="P720" s="55"/>
      <c r="Q720" s="55"/>
      <c r="R720" s="55"/>
      <c r="S720" s="55"/>
      <c r="T720" s="55"/>
      <c r="U720" s="64"/>
      <c r="V720" s="55"/>
      <c r="W720" s="64"/>
      <c r="X720" s="55"/>
      <c r="Y720" s="53"/>
      <c r="Z720" s="55"/>
      <c r="AA720" s="55"/>
      <c r="AB720" s="55"/>
      <c r="AC720" s="55"/>
      <c r="AD720" s="55"/>
      <c r="AE720" s="55"/>
      <c r="AF720" s="55"/>
      <c r="AG720" s="55"/>
      <c r="AH720" s="55"/>
      <c r="AI720" s="55"/>
      <c r="AJ720" s="55"/>
      <c r="AK720" s="55"/>
      <c r="AL720" s="55"/>
      <c r="AM720" s="55"/>
      <c r="AN720" s="55"/>
      <c r="AO720" s="55"/>
    </row>
    <row r="721">
      <c r="A721" s="55"/>
      <c r="B721" s="55"/>
      <c r="C721" s="53"/>
      <c r="D721" s="55"/>
      <c r="E721" s="55"/>
      <c r="F721" s="55" t="b">
        <v>0</v>
      </c>
      <c r="G721" s="55"/>
      <c r="H721" s="53"/>
      <c r="I721" s="53"/>
      <c r="J721" s="55"/>
      <c r="K721" s="55"/>
      <c r="L721" s="55"/>
      <c r="M721" s="55"/>
      <c r="N721" s="55"/>
      <c r="O721" s="55" t="b">
        <v>0</v>
      </c>
      <c r="P721" s="55"/>
      <c r="Q721" s="55"/>
      <c r="R721" s="55"/>
      <c r="S721" s="55"/>
      <c r="T721" s="55"/>
      <c r="U721" s="64"/>
      <c r="V721" s="55"/>
      <c r="W721" s="64"/>
      <c r="X721" s="55"/>
      <c r="Y721" s="53"/>
      <c r="Z721" s="55"/>
      <c r="AA721" s="55"/>
      <c r="AB721" s="55"/>
      <c r="AC721" s="55"/>
      <c r="AD721" s="55"/>
      <c r="AE721" s="55"/>
      <c r="AF721" s="55"/>
      <c r="AG721" s="55"/>
      <c r="AH721" s="55"/>
      <c r="AI721" s="55"/>
      <c r="AJ721" s="55"/>
      <c r="AK721" s="55"/>
      <c r="AL721" s="55"/>
      <c r="AM721" s="55"/>
      <c r="AN721" s="55"/>
      <c r="AO721" s="55"/>
    </row>
    <row r="722">
      <c r="A722" s="55"/>
      <c r="B722" s="55"/>
      <c r="C722" s="53"/>
      <c r="D722" s="55"/>
      <c r="E722" s="55"/>
      <c r="F722" s="55" t="b">
        <v>0</v>
      </c>
      <c r="G722" s="55"/>
      <c r="H722" s="53"/>
      <c r="I722" s="53"/>
      <c r="J722" s="55"/>
      <c r="K722" s="55"/>
      <c r="L722" s="55"/>
      <c r="M722" s="55"/>
      <c r="N722" s="55"/>
      <c r="O722" s="55" t="b">
        <v>0</v>
      </c>
      <c r="P722" s="55"/>
      <c r="Q722" s="55"/>
      <c r="R722" s="55"/>
      <c r="S722" s="55"/>
      <c r="T722" s="55"/>
      <c r="U722" s="64"/>
      <c r="V722" s="55"/>
      <c r="W722" s="64"/>
      <c r="X722" s="55"/>
      <c r="Y722" s="53"/>
      <c r="Z722" s="55"/>
      <c r="AA722" s="55"/>
      <c r="AB722" s="55"/>
      <c r="AC722" s="55"/>
      <c r="AD722" s="55"/>
      <c r="AE722" s="55"/>
      <c r="AF722" s="55"/>
      <c r="AG722" s="55"/>
      <c r="AH722" s="55"/>
      <c r="AI722" s="55"/>
      <c r="AJ722" s="55"/>
      <c r="AK722" s="55"/>
      <c r="AL722" s="55"/>
      <c r="AM722" s="55"/>
      <c r="AN722" s="55"/>
      <c r="AO722" s="55"/>
    </row>
    <row r="723">
      <c r="A723" s="55"/>
      <c r="B723" s="55"/>
      <c r="C723" s="53"/>
      <c r="D723" s="55"/>
      <c r="E723" s="55"/>
      <c r="F723" s="55" t="b">
        <v>0</v>
      </c>
      <c r="G723" s="55"/>
      <c r="H723" s="53"/>
      <c r="I723" s="53"/>
      <c r="J723" s="55"/>
      <c r="K723" s="55"/>
      <c r="L723" s="55"/>
      <c r="M723" s="55"/>
      <c r="N723" s="55"/>
      <c r="O723" s="55" t="b">
        <v>0</v>
      </c>
      <c r="P723" s="55"/>
      <c r="Q723" s="55"/>
      <c r="R723" s="55"/>
      <c r="S723" s="55"/>
      <c r="T723" s="55"/>
      <c r="U723" s="64"/>
      <c r="V723" s="55"/>
      <c r="W723" s="64"/>
      <c r="X723" s="55"/>
      <c r="Y723" s="53"/>
      <c r="Z723" s="55"/>
      <c r="AA723" s="55"/>
      <c r="AB723" s="55"/>
      <c r="AC723" s="55"/>
      <c r="AD723" s="55"/>
      <c r="AE723" s="55"/>
      <c r="AF723" s="55"/>
      <c r="AG723" s="55"/>
      <c r="AH723" s="55"/>
      <c r="AI723" s="55"/>
      <c r="AJ723" s="55"/>
      <c r="AK723" s="55"/>
      <c r="AL723" s="55"/>
      <c r="AM723" s="55"/>
      <c r="AN723" s="55"/>
      <c r="AO723" s="55"/>
    </row>
    <row r="724">
      <c r="A724" s="55"/>
      <c r="B724" s="55"/>
      <c r="C724" s="53"/>
      <c r="D724" s="55"/>
      <c r="E724" s="55"/>
      <c r="F724" s="55" t="b">
        <v>0</v>
      </c>
      <c r="G724" s="55"/>
      <c r="H724" s="53"/>
      <c r="I724" s="53"/>
      <c r="J724" s="55"/>
      <c r="K724" s="55"/>
      <c r="L724" s="55"/>
      <c r="M724" s="55"/>
      <c r="N724" s="55"/>
      <c r="O724" s="55" t="b">
        <v>0</v>
      </c>
      <c r="P724" s="55"/>
      <c r="Q724" s="55"/>
      <c r="R724" s="55"/>
      <c r="S724" s="55"/>
      <c r="T724" s="55"/>
      <c r="U724" s="64"/>
      <c r="V724" s="55"/>
      <c r="W724" s="64"/>
      <c r="X724" s="55"/>
      <c r="Y724" s="53"/>
      <c r="Z724" s="55"/>
      <c r="AA724" s="55"/>
      <c r="AB724" s="55"/>
      <c r="AC724" s="55"/>
      <c r="AD724" s="55"/>
      <c r="AE724" s="55"/>
      <c r="AF724" s="55"/>
      <c r="AG724" s="55"/>
      <c r="AH724" s="55"/>
      <c r="AI724" s="55"/>
      <c r="AJ724" s="55"/>
      <c r="AK724" s="55"/>
      <c r="AL724" s="55"/>
      <c r="AM724" s="55"/>
      <c r="AN724" s="55"/>
      <c r="AO724" s="55"/>
    </row>
    <row r="725">
      <c r="A725" s="55"/>
      <c r="B725" s="55"/>
      <c r="C725" s="53"/>
      <c r="D725" s="55"/>
      <c r="E725" s="55"/>
      <c r="F725" s="55" t="b">
        <v>0</v>
      </c>
      <c r="G725" s="55"/>
      <c r="H725" s="53"/>
      <c r="I725" s="53"/>
      <c r="J725" s="55"/>
      <c r="K725" s="55"/>
      <c r="L725" s="55"/>
      <c r="M725" s="55"/>
      <c r="N725" s="55"/>
      <c r="O725" s="55" t="b">
        <v>0</v>
      </c>
      <c r="P725" s="55"/>
      <c r="Q725" s="55"/>
      <c r="R725" s="55"/>
      <c r="S725" s="55"/>
      <c r="T725" s="55"/>
      <c r="U725" s="64"/>
      <c r="V725" s="55"/>
      <c r="W725" s="64"/>
      <c r="X725" s="55"/>
      <c r="Y725" s="53"/>
      <c r="Z725" s="55"/>
      <c r="AA725" s="55"/>
      <c r="AB725" s="55"/>
      <c r="AC725" s="55"/>
      <c r="AD725" s="55"/>
      <c r="AE725" s="55"/>
      <c r="AF725" s="55"/>
      <c r="AG725" s="55"/>
      <c r="AH725" s="55"/>
      <c r="AI725" s="55"/>
      <c r="AJ725" s="55"/>
      <c r="AK725" s="55"/>
      <c r="AL725" s="55"/>
      <c r="AM725" s="55"/>
      <c r="AN725" s="55"/>
      <c r="AO725" s="55"/>
    </row>
    <row r="726">
      <c r="A726" s="55"/>
      <c r="B726" s="55"/>
      <c r="C726" s="53"/>
      <c r="D726" s="55"/>
      <c r="E726" s="55"/>
      <c r="F726" s="55" t="b">
        <v>0</v>
      </c>
      <c r="G726" s="55"/>
      <c r="H726" s="53"/>
      <c r="I726" s="53"/>
      <c r="J726" s="55"/>
      <c r="K726" s="55"/>
      <c r="L726" s="55"/>
      <c r="M726" s="55"/>
      <c r="N726" s="55"/>
      <c r="O726" s="55" t="b">
        <v>0</v>
      </c>
      <c r="P726" s="55"/>
      <c r="Q726" s="55"/>
      <c r="R726" s="55"/>
      <c r="S726" s="55"/>
      <c r="T726" s="55"/>
      <c r="U726" s="64"/>
      <c r="V726" s="55"/>
      <c r="W726" s="64"/>
      <c r="X726" s="55"/>
      <c r="Y726" s="53"/>
      <c r="Z726" s="55"/>
      <c r="AA726" s="55"/>
      <c r="AB726" s="55"/>
      <c r="AC726" s="55"/>
      <c r="AD726" s="55"/>
      <c r="AE726" s="55"/>
      <c r="AF726" s="55"/>
      <c r="AG726" s="55"/>
      <c r="AH726" s="55"/>
      <c r="AI726" s="55"/>
      <c r="AJ726" s="55"/>
      <c r="AK726" s="55"/>
      <c r="AL726" s="55"/>
      <c r="AM726" s="55"/>
      <c r="AN726" s="55"/>
      <c r="AO726" s="55"/>
    </row>
    <row r="727">
      <c r="A727" s="55"/>
      <c r="B727" s="55"/>
      <c r="C727" s="53"/>
      <c r="D727" s="55"/>
      <c r="E727" s="55"/>
      <c r="F727" s="55" t="b">
        <v>0</v>
      </c>
      <c r="G727" s="55"/>
      <c r="H727" s="53"/>
      <c r="I727" s="53"/>
      <c r="J727" s="55"/>
      <c r="K727" s="55"/>
      <c r="L727" s="55"/>
      <c r="M727" s="55"/>
      <c r="N727" s="55"/>
      <c r="O727" s="55" t="b">
        <v>0</v>
      </c>
      <c r="P727" s="55"/>
      <c r="Q727" s="55"/>
      <c r="R727" s="55"/>
      <c r="S727" s="55"/>
      <c r="T727" s="55"/>
      <c r="U727" s="64"/>
      <c r="V727" s="55"/>
      <c r="W727" s="64"/>
      <c r="X727" s="55"/>
      <c r="Y727" s="53"/>
      <c r="Z727" s="55"/>
      <c r="AA727" s="55"/>
      <c r="AB727" s="55"/>
      <c r="AC727" s="55"/>
      <c r="AD727" s="55"/>
      <c r="AE727" s="55"/>
      <c r="AF727" s="55"/>
      <c r="AG727" s="55"/>
      <c r="AH727" s="55"/>
      <c r="AI727" s="55"/>
      <c r="AJ727" s="55"/>
      <c r="AK727" s="55"/>
      <c r="AL727" s="55"/>
      <c r="AM727" s="55"/>
      <c r="AN727" s="55"/>
      <c r="AO727" s="55"/>
    </row>
    <row r="728">
      <c r="A728" s="55"/>
      <c r="B728" s="55"/>
      <c r="C728" s="53"/>
      <c r="D728" s="55"/>
      <c r="E728" s="55"/>
      <c r="F728" s="55" t="b">
        <v>0</v>
      </c>
      <c r="G728" s="55"/>
      <c r="H728" s="53"/>
      <c r="I728" s="53"/>
      <c r="J728" s="55"/>
      <c r="K728" s="55"/>
      <c r="L728" s="55"/>
      <c r="M728" s="55"/>
      <c r="N728" s="55"/>
      <c r="O728" s="55" t="b">
        <v>0</v>
      </c>
      <c r="P728" s="55"/>
      <c r="Q728" s="55"/>
      <c r="R728" s="55"/>
      <c r="S728" s="55"/>
      <c r="T728" s="55"/>
      <c r="U728" s="64"/>
      <c r="V728" s="55"/>
      <c r="W728" s="64"/>
      <c r="X728" s="55"/>
      <c r="Y728" s="53"/>
      <c r="Z728" s="55"/>
      <c r="AA728" s="55"/>
      <c r="AB728" s="55"/>
      <c r="AC728" s="55"/>
      <c r="AD728" s="55"/>
      <c r="AE728" s="55"/>
      <c r="AF728" s="55"/>
      <c r="AG728" s="55"/>
      <c r="AH728" s="55"/>
      <c r="AI728" s="55"/>
      <c r="AJ728" s="55"/>
      <c r="AK728" s="55"/>
      <c r="AL728" s="55"/>
      <c r="AM728" s="55"/>
      <c r="AN728" s="55"/>
      <c r="AO728" s="55"/>
    </row>
    <row r="729">
      <c r="A729" s="55"/>
      <c r="B729" s="55"/>
      <c r="C729" s="53"/>
      <c r="D729" s="55"/>
      <c r="E729" s="55"/>
      <c r="F729" s="55" t="b">
        <v>0</v>
      </c>
      <c r="G729" s="55"/>
      <c r="H729" s="53"/>
      <c r="I729" s="53"/>
      <c r="J729" s="55"/>
      <c r="K729" s="55"/>
      <c r="L729" s="55"/>
      <c r="M729" s="55"/>
      <c r="N729" s="55"/>
      <c r="O729" s="55" t="b">
        <v>0</v>
      </c>
      <c r="P729" s="55"/>
      <c r="Q729" s="55"/>
      <c r="R729" s="55"/>
      <c r="S729" s="55"/>
      <c r="T729" s="55"/>
      <c r="U729" s="64"/>
      <c r="V729" s="55"/>
      <c r="W729" s="64"/>
      <c r="X729" s="55"/>
      <c r="Y729" s="53"/>
      <c r="Z729" s="55"/>
      <c r="AA729" s="55"/>
      <c r="AB729" s="55"/>
      <c r="AC729" s="55"/>
      <c r="AD729" s="55"/>
      <c r="AE729" s="55"/>
      <c r="AF729" s="55"/>
      <c r="AG729" s="55"/>
      <c r="AH729" s="55"/>
      <c r="AI729" s="55"/>
      <c r="AJ729" s="55"/>
      <c r="AK729" s="55"/>
      <c r="AL729" s="55"/>
      <c r="AM729" s="55"/>
      <c r="AN729" s="55"/>
      <c r="AO729" s="55"/>
    </row>
    <row r="730">
      <c r="A730" s="55"/>
      <c r="B730" s="55"/>
      <c r="C730" s="53"/>
      <c r="D730" s="55"/>
      <c r="E730" s="55"/>
      <c r="F730" s="55" t="b">
        <v>0</v>
      </c>
      <c r="G730" s="55"/>
      <c r="H730" s="53"/>
      <c r="I730" s="53"/>
      <c r="J730" s="55"/>
      <c r="K730" s="55"/>
      <c r="L730" s="55"/>
      <c r="M730" s="55"/>
      <c r="N730" s="55"/>
      <c r="O730" s="55" t="b">
        <v>0</v>
      </c>
      <c r="P730" s="55"/>
      <c r="Q730" s="55"/>
      <c r="R730" s="55"/>
      <c r="S730" s="55"/>
      <c r="T730" s="55"/>
      <c r="U730" s="64"/>
      <c r="V730" s="55"/>
      <c r="W730" s="64"/>
      <c r="X730" s="55"/>
      <c r="Y730" s="53"/>
      <c r="Z730" s="55"/>
      <c r="AA730" s="55"/>
      <c r="AB730" s="55"/>
      <c r="AC730" s="55"/>
      <c r="AD730" s="55"/>
      <c r="AE730" s="55"/>
      <c r="AF730" s="55"/>
      <c r="AG730" s="55"/>
      <c r="AH730" s="55"/>
      <c r="AI730" s="55"/>
      <c r="AJ730" s="55"/>
      <c r="AK730" s="55"/>
      <c r="AL730" s="55"/>
      <c r="AM730" s="55"/>
      <c r="AN730" s="55"/>
      <c r="AO730" s="55"/>
    </row>
    <row r="731">
      <c r="A731" s="55"/>
      <c r="B731" s="55"/>
      <c r="C731" s="53"/>
      <c r="D731" s="55"/>
      <c r="E731" s="55"/>
      <c r="F731" s="55" t="b">
        <v>0</v>
      </c>
      <c r="G731" s="55"/>
      <c r="H731" s="53"/>
      <c r="I731" s="53"/>
      <c r="J731" s="55"/>
      <c r="K731" s="55"/>
      <c r="L731" s="55"/>
      <c r="M731" s="55"/>
      <c r="N731" s="55"/>
      <c r="O731" s="55" t="b">
        <v>0</v>
      </c>
      <c r="P731" s="55"/>
      <c r="Q731" s="55"/>
      <c r="R731" s="55"/>
      <c r="S731" s="55"/>
      <c r="T731" s="55"/>
      <c r="U731" s="64"/>
      <c r="V731" s="55"/>
      <c r="W731" s="64"/>
      <c r="X731" s="55"/>
      <c r="Y731" s="53"/>
      <c r="Z731" s="55"/>
      <c r="AA731" s="55"/>
      <c r="AB731" s="55"/>
      <c r="AC731" s="55"/>
      <c r="AD731" s="55"/>
      <c r="AE731" s="55"/>
      <c r="AF731" s="55"/>
      <c r="AG731" s="55"/>
      <c r="AH731" s="55"/>
      <c r="AI731" s="55"/>
      <c r="AJ731" s="55"/>
      <c r="AK731" s="55"/>
      <c r="AL731" s="55"/>
      <c r="AM731" s="55"/>
      <c r="AN731" s="55"/>
      <c r="AO731" s="55"/>
    </row>
    <row r="732">
      <c r="A732" s="55"/>
      <c r="B732" s="55"/>
      <c r="C732" s="53"/>
      <c r="D732" s="55"/>
      <c r="E732" s="55"/>
      <c r="F732" s="55" t="b">
        <v>0</v>
      </c>
      <c r="G732" s="55"/>
      <c r="H732" s="53"/>
      <c r="I732" s="53"/>
      <c r="J732" s="55"/>
      <c r="K732" s="55"/>
      <c r="L732" s="55"/>
      <c r="M732" s="55"/>
      <c r="N732" s="55"/>
      <c r="O732" s="55" t="b">
        <v>0</v>
      </c>
      <c r="P732" s="55"/>
      <c r="Q732" s="55"/>
      <c r="R732" s="55"/>
      <c r="S732" s="55"/>
      <c r="T732" s="55"/>
      <c r="U732" s="64"/>
      <c r="V732" s="55"/>
      <c r="W732" s="64"/>
      <c r="X732" s="55"/>
      <c r="Y732" s="53"/>
      <c r="Z732" s="55"/>
      <c r="AA732" s="55"/>
      <c r="AB732" s="55"/>
      <c r="AC732" s="55"/>
      <c r="AD732" s="55"/>
      <c r="AE732" s="55"/>
      <c r="AF732" s="55"/>
      <c r="AG732" s="55"/>
      <c r="AH732" s="55"/>
      <c r="AI732" s="55"/>
      <c r="AJ732" s="55"/>
      <c r="AK732" s="55"/>
      <c r="AL732" s="55"/>
      <c r="AM732" s="55"/>
      <c r="AN732" s="55"/>
      <c r="AO732" s="55"/>
    </row>
    <row r="733">
      <c r="A733" s="55"/>
      <c r="B733" s="55"/>
      <c r="C733" s="53"/>
      <c r="D733" s="55"/>
      <c r="E733" s="55"/>
      <c r="F733" s="55" t="b">
        <v>0</v>
      </c>
      <c r="G733" s="55"/>
      <c r="H733" s="53"/>
      <c r="I733" s="53"/>
      <c r="J733" s="55"/>
      <c r="K733" s="55"/>
      <c r="L733" s="55"/>
      <c r="M733" s="55"/>
      <c r="N733" s="55"/>
      <c r="O733" s="55" t="b">
        <v>0</v>
      </c>
      <c r="P733" s="55"/>
      <c r="Q733" s="55"/>
      <c r="R733" s="55"/>
      <c r="S733" s="55"/>
      <c r="T733" s="55"/>
      <c r="U733" s="64"/>
      <c r="V733" s="55"/>
      <c r="W733" s="64"/>
      <c r="X733" s="55"/>
      <c r="Y733" s="53"/>
      <c r="Z733" s="55"/>
      <c r="AA733" s="55"/>
      <c r="AB733" s="55"/>
      <c r="AC733" s="55"/>
      <c r="AD733" s="55"/>
      <c r="AE733" s="55"/>
      <c r="AF733" s="55"/>
      <c r="AG733" s="55"/>
      <c r="AH733" s="55"/>
      <c r="AI733" s="55"/>
      <c r="AJ733" s="55"/>
      <c r="AK733" s="55"/>
      <c r="AL733" s="55"/>
      <c r="AM733" s="55"/>
      <c r="AN733" s="55"/>
      <c r="AO733" s="55"/>
    </row>
    <row r="734">
      <c r="A734" s="55"/>
      <c r="B734" s="55"/>
      <c r="C734" s="53"/>
      <c r="D734" s="55"/>
      <c r="E734" s="55"/>
      <c r="F734" s="55" t="b">
        <v>0</v>
      </c>
      <c r="G734" s="55"/>
      <c r="H734" s="53"/>
      <c r="I734" s="53"/>
      <c r="J734" s="55"/>
      <c r="K734" s="55"/>
      <c r="L734" s="55"/>
      <c r="M734" s="55"/>
      <c r="N734" s="55"/>
      <c r="O734" s="55" t="b">
        <v>0</v>
      </c>
      <c r="P734" s="55"/>
      <c r="Q734" s="55"/>
      <c r="R734" s="55"/>
      <c r="S734" s="55"/>
      <c r="T734" s="55"/>
      <c r="U734" s="64"/>
      <c r="V734" s="55"/>
      <c r="W734" s="64"/>
      <c r="X734" s="55"/>
      <c r="Y734" s="53"/>
      <c r="Z734" s="55"/>
      <c r="AA734" s="55"/>
      <c r="AB734" s="55"/>
      <c r="AC734" s="55"/>
      <c r="AD734" s="55"/>
      <c r="AE734" s="55"/>
      <c r="AF734" s="55"/>
      <c r="AG734" s="55"/>
      <c r="AH734" s="55"/>
      <c r="AI734" s="55"/>
      <c r="AJ734" s="55"/>
      <c r="AK734" s="55"/>
      <c r="AL734" s="55"/>
      <c r="AM734" s="55"/>
      <c r="AN734" s="55"/>
      <c r="AO734" s="55"/>
    </row>
    <row r="735">
      <c r="A735" s="55"/>
      <c r="B735" s="55"/>
      <c r="C735" s="53"/>
      <c r="D735" s="55"/>
      <c r="E735" s="55"/>
      <c r="F735" s="55" t="b">
        <v>0</v>
      </c>
      <c r="G735" s="55"/>
      <c r="H735" s="53"/>
      <c r="I735" s="53"/>
      <c r="J735" s="55"/>
      <c r="K735" s="55"/>
      <c r="L735" s="55"/>
      <c r="M735" s="55"/>
      <c r="N735" s="55"/>
      <c r="O735" s="55" t="b">
        <v>0</v>
      </c>
      <c r="P735" s="55"/>
      <c r="Q735" s="55"/>
      <c r="R735" s="55"/>
      <c r="S735" s="55"/>
      <c r="T735" s="55"/>
      <c r="U735" s="64"/>
      <c r="V735" s="55"/>
      <c r="W735" s="64"/>
      <c r="X735" s="55"/>
      <c r="Y735" s="53"/>
      <c r="Z735" s="55"/>
      <c r="AA735" s="55"/>
      <c r="AB735" s="55"/>
      <c r="AC735" s="55"/>
      <c r="AD735" s="55"/>
      <c r="AE735" s="55"/>
      <c r="AF735" s="55"/>
      <c r="AG735" s="55"/>
      <c r="AH735" s="55"/>
      <c r="AI735" s="55"/>
      <c r="AJ735" s="55"/>
      <c r="AK735" s="55"/>
      <c r="AL735" s="55"/>
      <c r="AM735" s="55"/>
      <c r="AN735" s="55"/>
      <c r="AO735" s="55"/>
    </row>
    <row r="736">
      <c r="A736" s="55"/>
      <c r="B736" s="55"/>
      <c r="C736" s="53"/>
      <c r="D736" s="55"/>
      <c r="E736" s="55"/>
      <c r="F736" s="55" t="b">
        <v>0</v>
      </c>
      <c r="G736" s="55"/>
      <c r="H736" s="53"/>
      <c r="I736" s="53"/>
      <c r="J736" s="55"/>
      <c r="K736" s="55"/>
      <c r="L736" s="55"/>
      <c r="M736" s="55"/>
      <c r="N736" s="55"/>
      <c r="O736" s="55" t="b">
        <v>0</v>
      </c>
      <c r="P736" s="55"/>
      <c r="Q736" s="55"/>
      <c r="R736" s="55"/>
      <c r="S736" s="55"/>
      <c r="T736" s="55"/>
      <c r="U736" s="64"/>
      <c r="V736" s="55"/>
      <c r="W736" s="64"/>
      <c r="X736" s="55"/>
      <c r="Y736" s="53"/>
      <c r="Z736" s="55"/>
      <c r="AA736" s="55"/>
      <c r="AB736" s="55"/>
      <c r="AC736" s="55"/>
      <c r="AD736" s="55"/>
      <c r="AE736" s="55"/>
      <c r="AF736" s="55"/>
      <c r="AG736" s="55"/>
      <c r="AH736" s="55"/>
      <c r="AI736" s="55"/>
      <c r="AJ736" s="55"/>
      <c r="AK736" s="55"/>
      <c r="AL736" s="55"/>
      <c r="AM736" s="55"/>
      <c r="AN736" s="55"/>
      <c r="AO736" s="55"/>
    </row>
    <row r="737">
      <c r="A737" s="55"/>
      <c r="B737" s="55"/>
      <c r="C737" s="53"/>
      <c r="D737" s="55"/>
      <c r="E737" s="55"/>
      <c r="F737" s="55" t="b">
        <v>0</v>
      </c>
      <c r="G737" s="55"/>
      <c r="H737" s="53"/>
      <c r="I737" s="53"/>
      <c r="J737" s="55"/>
      <c r="K737" s="55"/>
      <c r="L737" s="55"/>
      <c r="M737" s="55"/>
      <c r="N737" s="55"/>
      <c r="O737" s="55" t="b">
        <v>0</v>
      </c>
      <c r="P737" s="55"/>
      <c r="Q737" s="55"/>
      <c r="R737" s="55"/>
      <c r="S737" s="55"/>
      <c r="T737" s="55"/>
      <c r="U737" s="64"/>
      <c r="V737" s="55"/>
      <c r="W737" s="64"/>
      <c r="X737" s="55"/>
      <c r="Y737" s="53"/>
      <c r="Z737" s="55"/>
      <c r="AA737" s="55"/>
      <c r="AB737" s="55"/>
      <c r="AC737" s="55"/>
      <c r="AD737" s="55"/>
      <c r="AE737" s="55"/>
      <c r="AF737" s="55"/>
      <c r="AG737" s="55"/>
      <c r="AH737" s="55"/>
      <c r="AI737" s="55"/>
      <c r="AJ737" s="55"/>
      <c r="AK737" s="55"/>
      <c r="AL737" s="55"/>
      <c r="AM737" s="55"/>
      <c r="AN737" s="55"/>
      <c r="AO737" s="55"/>
    </row>
    <row r="738">
      <c r="A738" s="55"/>
      <c r="B738" s="55"/>
      <c r="C738" s="53"/>
      <c r="D738" s="55"/>
      <c r="E738" s="55"/>
      <c r="F738" s="55" t="b">
        <v>0</v>
      </c>
      <c r="G738" s="55"/>
      <c r="H738" s="53"/>
      <c r="I738" s="53"/>
      <c r="J738" s="55"/>
      <c r="K738" s="55"/>
      <c r="L738" s="55"/>
      <c r="M738" s="55"/>
      <c r="N738" s="55"/>
      <c r="O738" s="55" t="b">
        <v>0</v>
      </c>
      <c r="P738" s="55"/>
      <c r="Q738" s="55"/>
      <c r="R738" s="55"/>
      <c r="S738" s="55"/>
      <c r="T738" s="55"/>
      <c r="U738" s="64"/>
      <c r="V738" s="55"/>
      <c r="W738" s="64"/>
      <c r="X738" s="55"/>
      <c r="Y738" s="53"/>
      <c r="Z738" s="55"/>
      <c r="AA738" s="55"/>
      <c r="AB738" s="55"/>
      <c r="AC738" s="55"/>
      <c r="AD738" s="55"/>
      <c r="AE738" s="55"/>
      <c r="AF738" s="55"/>
      <c r="AG738" s="55"/>
      <c r="AH738" s="55"/>
      <c r="AI738" s="55"/>
      <c r="AJ738" s="55"/>
      <c r="AK738" s="55"/>
      <c r="AL738" s="55"/>
      <c r="AM738" s="55"/>
      <c r="AN738" s="55"/>
      <c r="AO738" s="55"/>
    </row>
    <row r="739">
      <c r="A739" s="55"/>
      <c r="B739" s="55"/>
      <c r="C739" s="53"/>
      <c r="D739" s="55"/>
      <c r="E739" s="55"/>
      <c r="F739" s="55" t="b">
        <v>0</v>
      </c>
      <c r="G739" s="55"/>
      <c r="H739" s="53"/>
      <c r="I739" s="53"/>
      <c r="J739" s="55"/>
      <c r="K739" s="55"/>
      <c r="L739" s="55"/>
      <c r="M739" s="55"/>
      <c r="N739" s="55"/>
      <c r="O739" s="55" t="b">
        <v>0</v>
      </c>
      <c r="P739" s="55"/>
      <c r="Q739" s="55"/>
      <c r="R739" s="55"/>
      <c r="S739" s="55"/>
      <c r="T739" s="55"/>
      <c r="U739" s="64"/>
      <c r="V739" s="55"/>
      <c r="W739" s="64"/>
      <c r="X739" s="55"/>
      <c r="Y739" s="53"/>
      <c r="Z739" s="55"/>
      <c r="AA739" s="55"/>
      <c r="AB739" s="55"/>
      <c r="AC739" s="55"/>
      <c r="AD739" s="55"/>
      <c r="AE739" s="55"/>
      <c r="AF739" s="55"/>
      <c r="AG739" s="55"/>
      <c r="AH739" s="55"/>
      <c r="AI739" s="55"/>
      <c r="AJ739" s="55"/>
      <c r="AK739" s="55"/>
      <c r="AL739" s="55"/>
      <c r="AM739" s="55"/>
      <c r="AN739" s="55"/>
      <c r="AO739" s="55"/>
    </row>
    <row r="740">
      <c r="A740" s="55"/>
      <c r="B740" s="55"/>
      <c r="C740" s="53"/>
      <c r="D740" s="55"/>
      <c r="E740" s="55"/>
      <c r="F740" s="55" t="b">
        <v>0</v>
      </c>
      <c r="G740" s="55"/>
      <c r="H740" s="53"/>
      <c r="I740" s="53"/>
      <c r="J740" s="55"/>
      <c r="K740" s="55"/>
      <c r="L740" s="55"/>
      <c r="M740" s="55"/>
      <c r="N740" s="55"/>
      <c r="O740" s="55" t="b">
        <v>0</v>
      </c>
      <c r="P740" s="55"/>
      <c r="Q740" s="55"/>
      <c r="R740" s="55"/>
      <c r="S740" s="55"/>
      <c r="T740" s="55"/>
      <c r="U740" s="64"/>
      <c r="V740" s="55"/>
      <c r="W740" s="64"/>
      <c r="X740" s="55"/>
      <c r="Y740" s="53"/>
      <c r="Z740" s="55"/>
      <c r="AA740" s="55"/>
      <c r="AB740" s="55"/>
      <c r="AC740" s="55"/>
      <c r="AD740" s="55"/>
      <c r="AE740" s="55"/>
      <c r="AF740" s="55"/>
      <c r="AG740" s="55"/>
      <c r="AH740" s="55"/>
      <c r="AI740" s="55"/>
      <c r="AJ740" s="55"/>
      <c r="AK740" s="55"/>
      <c r="AL740" s="55"/>
      <c r="AM740" s="55"/>
      <c r="AN740" s="55"/>
      <c r="AO740" s="55"/>
    </row>
    <row r="741">
      <c r="A741" s="55"/>
      <c r="B741" s="55"/>
      <c r="C741" s="53"/>
      <c r="D741" s="55"/>
      <c r="E741" s="55"/>
      <c r="F741" s="55" t="b">
        <v>0</v>
      </c>
      <c r="G741" s="55"/>
      <c r="H741" s="53"/>
      <c r="I741" s="53"/>
      <c r="J741" s="55"/>
      <c r="K741" s="55"/>
      <c r="L741" s="55"/>
      <c r="M741" s="55"/>
      <c r="N741" s="55"/>
      <c r="O741" s="55" t="b">
        <v>0</v>
      </c>
      <c r="P741" s="55"/>
      <c r="Q741" s="55"/>
      <c r="R741" s="55"/>
      <c r="S741" s="55"/>
      <c r="T741" s="55"/>
      <c r="U741" s="64"/>
      <c r="V741" s="55"/>
      <c r="W741" s="64"/>
      <c r="X741" s="55"/>
      <c r="Y741" s="53"/>
      <c r="Z741" s="55"/>
      <c r="AA741" s="55"/>
      <c r="AB741" s="55"/>
      <c r="AC741" s="55"/>
      <c r="AD741" s="55"/>
      <c r="AE741" s="55"/>
      <c r="AF741" s="55"/>
      <c r="AG741" s="55"/>
      <c r="AH741" s="55"/>
      <c r="AI741" s="55"/>
      <c r="AJ741" s="55"/>
      <c r="AK741" s="55"/>
      <c r="AL741" s="55"/>
      <c r="AM741" s="55"/>
      <c r="AN741" s="55"/>
      <c r="AO741" s="55"/>
    </row>
    <row r="742">
      <c r="A742" s="55"/>
      <c r="B742" s="55"/>
      <c r="C742" s="53"/>
      <c r="D742" s="55"/>
      <c r="E742" s="55"/>
      <c r="F742" s="55" t="b">
        <v>0</v>
      </c>
      <c r="G742" s="55"/>
      <c r="H742" s="53"/>
      <c r="I742" s="53"/>
      <c r="J742" s="55"/>
      <c r="K742" s="55"/>
      <c r="L742" s="55"/>
      <c r="M742" s="55"/>
      <c r="N742" s="55"/>
      <c r="O742" s="55" t="b">
        <v>0</v>
      </c>
      <c r="P742" s="55"/>
      <c r="Q742" s="55"/>
      <c r="R742" s="55"/>
      <c r="S742" s="55"/>
      <c r="T742" s="55"/>
      <c r="U742" s="64"/>
      <c r="V742" s="55"/>
      <c r="W742" s="64"/>
      <c r="X742" s="55"/>
      <c r="Y742" s="53"/>
      <c r="Z742" s="55"/>
      <c r="AA742" s="55"/>
      <c r="AB742" s="55"/>
      <c r="AC742" s="55"/>
      <c r="AD742" s="55"/>
      <c r="AE742" s="55"/>
      <c r="AF742" s="55"/>
      <c r="AG742" s="55"/>
      <c r="AH742" s="55"/>
      <c r="AI742" s="55"/>
      <c r="AJ742" s="55"/>
      <c r="AK742" s="55"/>
      <c r="AL742" s="55"/>
      <c r="AM742" s="55"/>
      <c r="AN742" s="55"/>
      <c r="AO742" s="55"/>
    </row>
    <row r="743">
      <c r="A743" s="55"/>
      <c r="B743" s="55"/>
      <c r="C743" s="53"/>
      <c r="D743" s="55"/>
      <c r="E743" s="55"/>
      <c r="F743" s="55" t="b">
        <v>0</v>
      </c>
      <c r="G743" s="55"/>
      <c r="H743" s="53"/>
      <c r="I743" s="53"/>
      <c r="J743" s="55"/>
      <c r="K743" s="55"/>
      <c r="L743" s="55"/>
      <c r="M743" s="55"/>
      <c r="N743" s="55"/>
      <c r="O743" s="55" t="b">
        <v>0</v>
      </c>
      <c r="P743" s="55"/>
      <c r="Q743" s="55"/>
      <c r="R743" s="55"/>
      <c r="S743" s="55"/>
      <c r="T743" s="55"/>
      <c r="U743" s="64"/>
      <c r="V743" s="55"/>
      <c r="W743" s="64"/>
      <c r="X743" s="55"/>
      <c r="Y743" s="53"/>
      <c r="Z743" s="55"/>
      <c r="AA743" s="55"/>
      <c r="AB743" s="55"/>
      <c r="AC743" s="55"/>
      <c r="AD743" s="55"/>
      <c r="AE743" s="55"/>
      <c r="AF743" s="55"/>
      <c r="AG743" s="55"/>
      <c r="AH743" s="55"/>
      <c r="AI743" s="55"/>
      <c r="AJ743" s="55"/>
      <c r="AK743" s="55"/>
      <c r="AL743" s="55"/>
      <c r="AM743" s="55"/>
      <c r="AN743" s="55"/>
      <c r="AO743" s="55"/>
    </row>
    <row r="744">
      <c r="A744" s="55"/>
      <c r="B744" s="55"/>
      <c r="C744" s="53"/>
      <c r="D744" s="55"/>
      <c r="E744" s="55"/>
      <c r="F744" s="55" t="b">
        <v>0</v>
      </c>
      <c r="G744" s="55"/>
      <c r="H744" s="53"/>
      <c r="I744" s="53"/>
      <c r="J744" s="55"/>
      <c r="K744" s="55"/>
      <c r="L744" s="55"/>
      <c r="M744" s="55"/>
      <c r="N744" s="55"/>
      <c r="O744" s="55" t="b">
        <v>0</v>
      </c>
      <c r="P744" s="55"/>
      <c r="Q744" s="55"/>
      <c r="R744" s="55"/>
      <c r="S744" s="55"/>
      <c r="T744" s="55"/>
      <c r="U744" s="64"/>
      <c r="V744" s="55"/>
      <c r="W744" s="64"/>
      <c r="X744" s="55"/>
      <c r="Y744" s="53"/>
      <c r="Z744" s="55"/>
      <c r="AA744" s="55"/>
      <c r="AB744" s="55"/>
      <c r="AC744" s="55"/>
      <c r="AD744" s="55"/>
      <c r="AE744" s="55"/>
      <c r="AF744" s="55"/>
      <c r="AG744" s="55"/>
      <c r="AH744" s="55"/>
      <c r="AI744" s="55"/>
      <c r="AJ744" s="55"/>
      <c r="AK744" s="55"/>
      <c r="AL744" s="55"/>
      <c r="AM744" s="55"/>
      <c r="AN744" s="55"/>
      <c r="AO744" s="55"/>
    </row>
    <row r="745">
      <c r="A745" s="55"/>
      <c r="B745" s="55"/>
      <c r="C745" s="53"/>
      <c r="D745" s="55"/>
      <c r="E745" s="55"/>
      <c r="F745" s="55" t="b">
        <v>0</v>
      </c>
      <c r="G745" s="55"/>
      <c r="H745" s="53"/>
      <c r="I745" s="53"/>
      <c r="J745" s="55"/>
      <c r="K745" s="55"/>
      <c r="L745" s="55"/>
      <c r="M745" s="55"/>
      <c r="N745" s="55"/>
      <c r="O745" s="55" t="b">
        <v>0</v>
      </c>
      <c r="P745" s="55"/>
      <c r="Q745" s="55"/>
      <c r="R745" s="55"/>
      <c r="S745" s="55"/>
      <c r="T745" s="55"/>
      <c r="U745" s="64"/>
      <c r="V745" s="55"/>
      <c r="W745" s="64"/>
      <c r="X745" s="55"/>
      <c r="Y745" s="53"/>
      <c r="Z745" s="55"/>
      <c r="AA745" s="55"/>
      <c r="AB745" s="55"/>
      <c r="AC745" s="55"/>
      <c r="AD745" s="55"/>
      <c r="AE745" s="55"/>
      <c r="AF745" s="55"/>
      <c r="AG745" s="55"/>
      <c r="AH745" s="55"/>
      <c r="AI745" s="55"/>
      <c r="AJ745" s="55"/>
      <c r="AK745" s="55"/>
      <c r="AL745" s="55"/>
      <c r="AM745" s="55"/>
      <c r="AN745" s="55"/>
      <c r="AO745" s="55"/>
    </row>
    <row r="746">
      <c r="A746" s="55"/>
      <c r="B746" s="55"/>
      <c r="C746" s="53"/>
      <c r="D746" s="55"/>
      <c r="E746" s="55"/>
      <c r="F746" s="55" t="b">
        <v>0</v>
      </c>
      <c r="G746" s="55"/>
      <c r="H746" s="53"/>
      <c r="I746" s="53"/>
      <c r="J746" s="55"/>
      <c r="K746" s="55"/>
      <c r="L746" s="55"/>
      <c r="M746" s="55"/>
      <c r="N746" s="55"/>
      <c r="O746" s="55" t="b">
        <v>0</v>
      </c>
      <c r="P746" s="55"/>
      <c r="Q746" s="55"/>
      <c r="R746" s="55"/>
      <c r="S746" s="55"/>
      <c r="T746" s="55"/>
      <c r="U746" s="64"/>
      <c r="V746" s="55"/>
      <c r="W746" s="64"/>
      <c r="X746" s="55"/>
      <c r="Y746" s="53"/>
      <c r="Z746" s="55"/>
      <c r="AA746" s="55"/>
      <c r="AB746" s="55"/>
      <c r="AC746" s="55"/>
      <c r="AD746" s="55"/>
      <c r="AE746" s="55"/>
      <c r="AF746" s="55"/>
      <c r="AG746" s="55"/>
      <c r="AH746" s="55"/>
      <c r="AI746" s="55"/>
      <c r="AJ746" s="55"/>
      <c r="AK746" s="55"/>
      <c r="AL746" s="55"/>
      <c r="AM746" s="55"/>
      <c r="AN746" s="55"/>
      <c r="AO746" s="55"/>
    </row>
    <row r="747">
      <c r="A747" s="55"/>
      <c r="B747" s="55"/>
      <c r="C747" s="53"/>
      <c r="D747" s="55"/>
      <c r="E747" s="55"/>
      <c r="F747" s="55" t="b">
        <v>0</v>
      </c>
      <c r="G747" s="55"/>
      <c r="H747" s="53"/>
      <c r="I747" s="53"/>
      <c r="J747" s="55"/>
      <c r="K747" s="55"/>
      <c r="L747" s="55"/>
      <c r="M747" s="55"/>
      <c r="N747" s="55"/>
      <c r="O747" s="55" t="b">
        <v>0</v>
      </c>
      <c r="P747" s="55"/>
      <c r="Q747" s="55"/>
      <c r="R747" s="55"/>
      <c r="S747" s="55"/>
      <c r="T747" s="55"/>
      <c r="U747" s="64"/>
      <c r="V747" s="55"/>
      <c r="W747" s="64"/>
      <c r="X747" s="55"/>
      <c r="Y747" s="53"/>
      <c r="Z747" s="55"/>
      <c r="AA747" s="55"/>
      <c r="AB747" s="55"/>
      <c r="AC747" s="55"/>
      <c r="AD747" s="55"/>
      <c r="AE747" s="55"/>
      <c r="AF747" s="55"/>
      <c r="AG747" s="55"/>
      <c r="AH747" s="55"/>
      <c r="AI747" s="55"/>
      <c r="AJ747" s="55"/>
      <c r="AK747" s="55"/>
      <c r="AL747" s="55"/>
      <c r="AM747" s="55"/>
      <c r="AN747" s="55"/>
      <c r="AO747" s="55"/>
    </row>
    <row r="748">
      <c r="A748" s="55"/>
      <c r="B748" s="55"/>
      <c r="C748" s="53"/>
      <c r="D748" s="55"/>
      <c r="E748" s="55"/>
      <c r="F748" s="55" t="b">
        <v>0</v>
      </c>
      <c r="G748" s="55"/>
      <c r="H748" s="53"/>
      <c r="I748" s="53"/>
      <c r="J748" s="55"/>
      <c r="K748" s="55"/>
      <c r="L748" s="55"/>
      <c r="M748" s="55"/>
      <c r="N748" s="55"/>
      <c r="O748" s="55" t="b">
        <v>0</v>
      </c>
      <c r="P748" s="55"/>
      <c r="Q748" s="55"/>
      <c r="R748" s="55"/>
      <c r="S748" s="55"/>
      <c r="T748" s="55"/>
      <c r="U748" s="64"/>
      <c r="V748" s="55"/>
      <c r="W748" s="64"/>
      <c r="X748" s="55"/>
      <c r="Y748" s="53"/>
      <c r="Z748" s="55"/>
      <c r="AA748" s="55"/>
      <c r="AB748" s="55"/>
      <c r="AC748" s="55"/>
      <c r="AD748" s="55"/>
      <c r="AE748" s="55"/>
      <c r="AF748" s="55"/>
      <c r="AG748" s="55"/>
      <c r="AH748" s="55"/>
      <c r="AI748" s="55"/>
      <c r="AJ748" s="55"/>
      <c r="AK748" s="55"/>
      <c r="AL748" s="55"/>
      <c r="AM748" s="55"/>
      <c r="AN748" s="55"/>
      <c r="AO748" s="55"/>
    </row>
    <row r="749">
      <c r="A749" s="55"/>
      <c r="B749" s="55"/>
      <c r="C749" s="53"/>
      <c r="D749" s="55"/>
      <c r="E749" s="55"/>
      <c r="F749" s="55" t="b">
        <v>0</v>
      </c>
      <c r="G749" s="55"/>
      <c r="H749" s="53"/>
      <c r="I749" s="53"/>
      <c r="J749" s="55"/>
      <c r="K749" s="55"/>
      <c r="L749" s="55"/>
      <c r="M749" s="55"/>
      <c r="N749" s="55"/>
      <c r="O749" s="55" t="b">
        <v>0</v>
      </c>
      <c r="P749" s="55"/>
      <c r="Q749" s="55"/>
      <c r="R749" s="55"/>
      <c r="S749" s="55"/>
      <c r="T749" s="55"/>
      <c r="U749" s="64"/>
      <c r="V749" s="55"/>
      <c r="W749" s="64"/>
      <c r="X749" s="55"/>
      <c r="Y749" s="53"/>
      <c r="Z749" s="55"/>
      <c r="AA749" s="55"/>
      <c r="AB749" s="55"/>
      <c r="AC749" s="55"/>
      <c r="AD749" s="55"/>
      <c r="AE749" s="55"/>
      <c r="AF749" s="55"/>
      <c r="AG749" s="55"/>
      <c r="AH749" s="55"/>
      <c r="AI749" s="55"/>
      <c r="AJ749" s="55"/>
      <c r="AK749" s="55"/>
      <c r="AL749" s="55"/>
      <c r="AM749" s="55"/>
      <c r="AN749" s="55"/>
      <c r="AO749" s="55"/>
    </row>
    <row r="750">
      <c r="A750" s="55"/>
      <c r="B750" s="55"/>
      <c r="C750" s="53"/>
      <c r="D750" s="55"/>
      <c r="E750" s="55"/>
      <c r="F750" s="55" t="b">
        <v>0</v>
      </c>
      <c r="G750" s="55"/>
      <c r="H750" s="53"/>
      <c r="I750" s="53"/>
      <c r="J750" s="55"/>
      <c r="K750" s="55"/>
      <c r="L750" s="55"/>
      <c r="M750" s="55"/>
      <c r="N750" s="55"/>
      <c r="O750" s="55" t="b">
        <v>0</v>
      </c>
      <c r="P750" s="55"/>
      <c r="Q750" s="55"/>
      <c r="R750" s="55"/>
      <c r="S750" s="55"/>
      <c r="T750" s="55"/>
      <c r="U750" s="64"/>
      <c r="V750" s="55"/>
      <c r="W750" s="64"/>
      <c r="X750" s="55"/>
      <c r="Y750" s="53"/>
      <c r="Z750" s="55"/>
      <c r="AA750" s="55"/>
      <c r="AB750" s="55"/>
      <c r="AC750" s="55"/>
      <c r="AD750" s="55"/>
      <c r="AE750" s="55"/>
      <c r="AF750" s="55"/>
      <c r="AG750" s="55"/>
      <c r="AH750" s="55"/>
      <c r="AI750" s="55"/>
      <c r="AJ750" s="55"/>
      <c r="AK750" s="55"/>
      <c r="AL750" s="55"/>
      <c r="AM750" s="55"/>
      <c r="AN750" s="55"/>
      <c r="AO750" s="55"/>
    </row>
    <row r="751">
      <c r="A751" s="55"/>
      <c r="B751" s="55"/>
      <c r="C751" s="53"/>
      <c r="D751" s="55"/>
      <c r="E751" s="55"/>
      <c r="F751" s="55" t="b">
        <v>0</v>
      </c>
      <c r="G751" s="55"/>
      <c r="H751" s="53"/>
      <c r="I751" s="53"/>
      <c r="J751" s="55"/>
      <c r="K751" s="55"/>
      <c r="L751" s="55"/>
      <c r="M751" s="55"/>
      <c r="N751" s="55"/>
      <c r="O751" s="55" t="b">
        <v>0</v>
      </c>
      <c r="P751" s="55"/>
      <c r="Q751" s="55"/>
      <c r="R751" s="55"/>
      <c r="S751" s="55"/>
      <c r="T751" s="55"/>
      <c r="U751" s="64"/>
      <c r="V751" s="55"/>
      <c r="W751" s="64"/>
      <c r="X751" s="55"/>
      <c r="Y751" s="53"/>
      <c r="Z751" s="55"/>
      <c r="AA751" s="55"/>
      <c r="AB751" s="55"/>
      <c r="AC751" s="55"/>
      <c r="AD751" s="55"/>
      <c r="AE751" s="55"/>
      <c r="AF751" s="55"/>
      <c r="AG751" s="55"/>
      <c r="AH751" s="55"/>
      <c r="AI751" s="55"/>
      <c r="AJ751" s="55"/>
      <c r="AK751" s="55"/>
      <c r="AL751" s="55"/>
      <c r="AM751" s="55"/>
      <c r="AN751" s="55"/>
      <c r="AO751" s="55"/>
    </row>
    <row r="752">
      <c r="A752" s="55"/>
      <c r="B752" s="55"/>
      <c r="C752" s="53"/>
      <c r="D752" s="55"/>
      <c r="E752" s="55"/>
      <c r="F752" s="55" t="b">
        <v>0</v>
      </c>
      <c r="G752" s="55"/>
      <c r="H752" s="53"/>
      <c r="I752" s="53"/>
      <c r="J752" s="55"/>
      <c r="K752" s="55"/>
      <c r="L752" s="55"/>
      <c r="M752" s="55"/>
      <c r="N752" s="55"/>
      <c r="O752" s="55" t="b">
        <v>0</v>
      </c>
      <c r="P752" s="55"/>
      <c r="Q752" s="55"/>
      <c r="R752" s="55"/>
      <c r="S752" s="55"/>
      <c r="T752" s="55"/>
      <c r="U752" s="64"/>
      <c r="V752" s="55"/>
      <c r="W752" s="64"/>
      <c r="X752" s="55"/>
      <c r="Y752" s="53"/>
      <c r="Z752" s="55"/>
      <c r="AA752" s="55"/>
      <c r="AB752" s="55"/>
      <c r="AC752" s="55"/>
      <c r="AD752" s="55"/>
      <c r="AE752" s="55"/>
      <c r="AF752" s="55"/>
      <c r="AG752" s="55"/>
      <c r="AH752" s="55"/>
      <c r="AI752" s="55"/>
      <c r="AJ752" s="55"/>
      <c r="AK752" s="55"/>
      <c r="AL752" s="55"/>
      <c r="AM752" s="55"/>
      <c r="AN752" s="55"/>
      <c r="AO752" s="55"/>
    </row>
    <row r="753">
      <c r="A753" s="55"/>
      <c r="B753" s="55"/>
      <c r="C753" s="53"/>
      <c r="D753" s="55"/>
      <c r="E753" s="55"/>
      <c r="F753" s="55" t="b">
        <v>0</v>
      </c>
      <c r="G753" s="55"/>
      <c r="H753" s="53"/>
      <c r="I753" s="53"/>
      <c r="J753" s="55"/>
      <c r="K753" s="55"/>
      <c r="L753" s="55"/>
      <c r="M753" s="55"/>
      <c r="N753" s="55"/>
      <c r="O753" s="55" t="b">
        <v>0</v>
      </c>
      <c r="P753" s="55"/>
      <c r="Q753" s="55"/>
      <c r="R753" s="55"/>
      <c r="S753" s="55"/>
      <c r="T753" s="55"/>
      <c r="U753" s="64"/>
      <c r="V753" s="55"/>
      <c r="W753" s="64"/>
      <c r="X753" s="55"/>
      <c r="Y753" s="53"/>
      <c r="Z753" s="55"/>
      <c r="AA753" s="55"/>
      <c r="AB753" s="55"/>
      <c r="AC753" s="55"/>
      <c r="AD753" s="55"/>
      <c r="AE753" s="55"/>
      <c r="AF753" s="55"/>
      <c r="AG753" s="55"/>
      <c r="AH753" s="55"/>
      <c r="AI753" s="55"/>
      <c r="AJ753" s="55"/>
      <c r="AK753" s="55"/>
      <c r="AL753" s="55"/>
      <c r="AM753" s="55"/>
      <c r="AN753" s="55"/>
      <c r="AO753" s="55"/>
    </row>
    <row r="754">
      <c r="A754" s="55"/>
      <c r="B754" s="55"/>
      <c r="C754" s="53"/>
      <c r="D754" s="55"/>
      <c r="E754" s="55"/>
      <c r="F754" s="55" t="b">
        <v>0</v>
      </c>
      <c r="G754" s="55"/>
      <c r="H754" s="53"/>
      <c r="I754" s="53"/>
      <c r="J754" s="55"/>
      <c r="K754" s="55"/>
      <c r="L754" s="55"/>
      <c r="M754" s="55"/>
      <c r="N754" s="55"/>
      <c r="O754" s="55" t="b">
        <v>0</v>
      </c>
      <c r="P754" s="55"/>
      <c r="Q754" s="55"/>
      <c r="R754" s="55"/>
      <c r="S754" s="55"/>
      <c r="T754" s="55"/>
      <c r="U754" s="64"/>
      <c r="V754" s="55"/>
      <c r="W754" s="64"/>
      <c r="X754" s="55"/>
      <c r="Y754" s="53"/>
      <c r="Z754" s="55"/>
      <c r="AA754" s="55"/>
      <c r="AB754" s="55"/>
      <c r="AC754" s="55"/>
      <c r="AD754" s="55"/>
      <c r="AE754" s="55"/>
      <c r="AF754" s="55"/>
      <c r="AG754" s="55"/>
      <c r="AH754" s="55"/>
      <c r="AI754" s="55"/>
      <c r="AJ754" s="55"/>
      <c r="AK754" s="55"/>
      <c r="AL754" s="55"/>
      <c r="AM754" s="55"/>
      <c r="AN754" s="55"/>
      <c r="AO754" s="55"/>
    </row>
    <row r="755">
      <c r="A755" s="55"/>
      <c r="B755" s="55"/>
      <c r="C755" s="53"/>
      <c r="D755" s="55"/>
      <c r="E755" s="55"/>
      <c r="F755" s="55" t="b">
        <v>0</v>
      </c>
      <c r="G755" s="55"/>
      <c r="H755" s="53"/>
      <c r="I755" s="53"/>
      <c r="J755" s="55"/>
      <c r="K755" s="55"/>
      <c r="L755" s="55"/>
      <c r="M755" s="55"/>
      <c r="N755" s="55"/>
      <c r="O755" s="55" t="b">
        <v>0</v>
      </c>
      <c r="P755" s="55"/>
      <c r="Q755" s="55"/>
      <c r="R755" s="55"/>
      <c r="S755" s="55"/>
      <c r="T755" s="55"/>
      <c r="U755" s="64"/>
      <c r="V755" s="55"/>
      <c r="W755" s="64"/>
      <c r="X755" s="55"/>
      <c r="Y755" s="53"/>
      <c r="Z755" s="55"/>
      <c r="AA755" s="55"/>
      <c r="AB755" s="55"/>
      <c r="AC755" s="55"/>
      <c r="AD755" s="55"/>
      <c r="AE755" s="55"/>
      <c r="AF755" s="55"/>
      <c r="AG755" s="55"/>
      <c r="AH755" s="55"/>
      <c r="AI755" s="55"/>
      <c r="AJ755" s="55"/>
      <c r="AK755" s="55"/>
      <c r="AL755" s="55"/>
      <c r="AM755" s="55"/>
      <c r="AN755" s="55"/>
      <c r="AO755" s="55"/>
    </row>
    <row r="756">
      <c r="A756" s="55"/>
      <c r="B756" s="55"/>
      <c r="C756" s="53"/>
      <c r="D756" s="55"/>
      <c r="E756" s="55"/>
      <c r="F756" s="55" t="b">
        <v>0</v>
      </c>
      <c r="G756" s="55"/>
      <c r="H756" s="53"/>
      <c r="I756" s="53"/>
      <c r="J756" s="55"/>
      <c r="K756" s="55"/>
      <c r="L756" s="55"/>
      <c r="M756" s="55"/>
      <c r="N756" s="55"/>
      <c r="O756" s="55" t="b">
        <v>0</v>
      </c>
      <c r="P756" s="55"/>
      <c r="Q756" s="55"/>
      <c r="R756" s="55"/>
      <c r="S756" s="55"/>
      <c r="T756" s="55"/>
      <c r="U756" s="64"/>
      <c r="V756" s="55"/>
      <c r="W756" s="64"/>
      <c r="X756" s="55"/>
      <c r="Y756" s="53"/>
      <c r="Z756" s="55"/>
      <c r="AA756" s="55"/>
      <c r="AB756" s="55"/>
      <c r="AC756" s="55"/>
      <c r="AD756" s="55"/>
      <c r="AE756" s="55"/>
      <c r="AF756" s="55"/>
      <c r="AG756" s="55"/>
      <c r="AH756" s="55"/>
      <c r="AI756" s="55"/>
      <c r="AJ756" s="55"/>
      <c r="AK756" s="55"/>
      <c r="AL756" s="55"/>
      <c r="AM756" s="55"/>
      <c r="AN756" s="55"/>
      <c r="AO756" s="55"/>
    </row>
    <row r="757">
      <c r="A757" s="55"/>
      <c r="B757" s="55"/>
      <c r="C757" s="53"/>
      <c r="D757" s="55"/>
      <c r="E757" s="55"/>
      <c r="F757" s="55" t="b">
        <v>0</v>
      </c>
      <c r="G757" s="55"/>
      <c r="H757" s="53"/>
      <c r="I757" s="53"/>
      <c r="J757" s="55"/>
      <c r="K757" s="55"/>
      <c r="L757" s="55"/>
      <c r="M757" s="55"/>
      <c r="N757" s="55"/>
      <c r="O757" s="55" t="b">
        <v>0</v>
      </c>
      <c r="P757" s="55"/>
      <c r="Q757" s="55"/>
      <c r="R757" s="55"/>
      <c r="S757" s="55"/>
      <c r="T757" s="55"/>
      <c r="U757" s="64"/>
      <c r="V757" s="55"/>
      <c r="W757" s="64"/>
      <c r="X757" s="55"/>
      <c r="Y757" s="53"/>
      <c r="Z757" s="55"/>
      <c r="AA757" s="55"/>
      <c r="AB757" s="55"/>
      <c r="AC757" s="55"/>
      <c r="AD757" s="55"/>
      <c r="AE757" s="55"/>
      <c r="AF757" s="55"/>
      <c r="AG757" s="55"/>
      <c r="AH757" s="55"/>
      <c r="AI757" s="55"/>
      <c r="AJ757" s="55"/>
      <c r="AK757" s="55"/>
      <c r="AL757" s="55"/>
      <c r="AM757" s="55"/>
      <c r="AN757" s="55"/>
      <c r="AO757" s="55"/>
    </row>
    <row r="758">
      <c r="A758" s="55"/>
      <c r="B758" s="55"/>
      <c r="C758" s="53"/>
      <c r="D758" s="55"/>
      <c r="E758" s="55"/>
      <c r="F758" s="55" t="b">
        <v>0</v>
      </c>
      <c r="G758" s="55"/>
      <c r="H758" s="53"/>
      <c r="I758" s="53"/>
      <c r="J758" s="55"/>
      <c r="K758" s="55"/>
      <c r="L758" s="55"/>
      <c r="M758" s="55"/>
      <c r="N758" s="55"/>
      <c r="O758" s="55" t="b">
        <v>0</v>
      </c>
      <c r="P758" s="55"/>
      <c r="Q758" s="55"/>
      <c r="R758" s="55"/>
      <c r="S758" s="55"/>
      <c r="T758" s="55"/>
      <c r="U758" s="64"/>
      <c r="V758" s="55"/>
      <c r="W758" s="64"/>
      <c r="X758" s="55"/>
      <c r="Y758" s="53"/>
      <c r="Z758" s="55"/>
      <c r="AA758" s="55"/>
      <c r="AB758" s="55"/>
      <c r="AC758" s="55"/>
      <c r="AD758" s="55"/>
      <c r="AE758" s="55"/>
      <c r="AF758" s="55"/>
      <c r="AG758" s="55"/>
      <c r="AH758" s="55"/>
      <c r="AI758" s="55"/>
      <c r="AJ758" s="55"/>
      <c r="AK758" s="55"/>
      <c r="AL758" s="55"/>
      <c r="AM758" s="55"/>
      <c r="AN758" s="55"/>
      <c r="AO758" s="55"/>
    </row>
    <row r="759">
      <c r="A759" s="55"/>
      <c r="B759" s="55"/>
      <c r="C759" s="53"/>
      <c r="D759" s="55"/>
      <c r="E759" s="55"/>
      <c r="F759" s="55" t="b">
        <v>0</v>
      </c>
      <c r="G759" s="55"/>
      <c r="H759" s="53"/>
      <c r="I759" s="53"/>
      <c r="J759" s="55"/>
      <c r="K759" s="55"/>
      <c r="L759" s="55"/>
      <c r="M759" s="55"/>
      <c r="N759" s="55"/>
      <c r="O759" s="55" t="b">
        <v>0</v>
      </c>
      <c r="P759" s="55"/>
      <c r="Q759" s="55"/>
      <c r="R759" s="55"/>
      <c r="S759" s="55"/>
      <c r="T759" s="55"/>
      <c r="U759" s="64"/>
      <c r="V759" s="55"/>
      <c r="W759" s="64"/>
      <c r="X759" s="55"/>
      <c r="Y759" s="53"/>
      <c r="Z759" s="55"/>
      <c r="AA759" s="55"/>
      <c r="AB759" s="55"/>
      <c r="AC759" s="55"/>
      <c r="AD759" s="55"/>
      <c r="AE759" s="55"/>
      <c r="AF759" s="55"/>
      <c r="AG759" s="55"/>
      <c r="AH759" s="55"/>
      <c r="AI759" s="55"/>
      <c r="AJ759" s="55"/>
      <c r="AK759" s="55"/>
      <c r="AL759" s="55"/>
      <c r="AM759" s="55"/>
      <c r="AN759" s="55"/>
      <c r="AO759" s="55"/>
    </row>
    <row r="760">
      <c r="A760" s="55"/>
      <c r="B760" s="55"/>
      <c r="C760" s="53"/>
      <c r="D760" s="55"/>
      <c r="E760" s="55"/>
      <c r="F760" s="55" t="b">
        <v>0</v>
      </c>
      <c r="G760" s="55"/>
      <c r="H760" s="53"/>
      <c r="I760" s="53"/>
      <c r="J760" s="55"/>
      <c r="K760" s="55"/>
      <c r="L760" s="55"/>
      <c r="M760" s="55"/>
      <c r="N760" s="55"/>
      <c r="O760" s="55" t="b">
        <v>0</v>
      </c>
      <c r="P760" s="55"/>
      <c r="Q760" s="55"/>
      <c r="R760" s="55"/>
      <c r="S760" s="55"/>
      <c r="T760" s="55"/>
      <c r="U760" s="64"/>
      <c r="V760" s="55"/>
      <c r="W760" s="64"/>
      <c r="X760" s="55"/>
      <c r="Y760" s="53"/>
      <c r="Z760" s="55"/>
      <c r="AA760" s="55"/>
      <c r="AB760" s="55"/>
      <c r="AC760" s="55"/>
      <c r="AD760" s="55"/>
      <c r="AE760" s="55"/>
      <c r="AF760" s="55"/>
      <c r="AG760" s="55"/>
      <c r="AH760" s="55"/>
      <c r="AI760" s="55"/>
      <c r="AJ760" s="55"/>
      <c r="AK760" s="55"/>
      <c r="AL760" s="55"/>
      <c r="AM760" s="55"/>
      <c r="AN760" s="55"/>
      <c r="AO760" s="55"/>
    </row>
    <row r="761">
      <c r="A761" s="55"/>
      <c r="B761" s="55"/>
      <c r="C761" s="53"/>
      <c r="D761" s="55"/>
      <c r="E761" s="55"/>
      <c r="F761" s="55" t="b">
        <v>0</v>
      </c>
      <c r="G761" s="55"/>
      <c r="H761" s="53"/>
      <c r="I761" s="53"/>
      <c r="J761" s="55"/>
      <c r="K761" s="55"/>
      <c r="L761" s="55"/>
      <c r="M761" s="55"/>
      <c r="N761" s="55"/>
      <c r="O761" s="55" t="b">
        <v>0</v>
      </c>
      <c r="P761" s="55"/>
      <c r="Q761" s="55"/>
      <c r="R761" s="55"/>
      <c r="S761" s="55"/>
      <c r="T761" s="55"/>
      <c r="U761" s="64"/>
      <c r="V761" s="55"/>
      <c r="W761" s="64"/>
      <c r="X761" s="55"/>
      <c r="Y761" s="53"/>
      <c r="Z761" s="55"/>
      <c r="AA761" s="55"/>
      <c r="AB761" s="55"/>
      <c r="AC761" s="55"/>
      <c r="AD761" s="55"/>
      <c r="AE761" s="55"/>
      <c r="AF761" s="55"/>
      <c r="AG761" s="55"/>
      <c r="AH761" s="55"/>
      <c r="AI761" s="55"/>
      <c r="AJ761" s="55"/>
      <c r="AK761" s="55"/>
      <c r="AL761" s="55"/>
      <c r="AM761" s="55"/>
      <c r="AN761" s="55"/>
      <c r="AO761" s="55"/>
    </row>
    <row r="762">
      <c r="A762" s="55"/>
      <c r="B762" s="55"/>
      <c r="C762" s="53"/>
      <c r="D762" s="55"/>
      <c r="E762" s="55"/>
      <c r="F762" s="55" t="b">
        <v>0</v>
      </c>
      <c r="G762" s="55"/>
      <c r="H762" s="53"/>
      <c r="I762" s="53"/>
      <c r="J762" s="55"/>
      <c r="K762" s="55"/>
      <c r="L762" s="55"/>
      <c r="M762" s="55"/>
      <c r="N762" s="55"/>
      <c r="O762" s="55" t="b">
        <v>0</v>
      </c>
      <c r="P762" s="55"/>
      <c r="Q762" s="55"/>
      <c r="R762" s="55"/>
      <c r="S762" s="55"/>
      <c r="T762" s="55"/>
      <c r="U762" s="64"/>
      <c r="V762" s="55"/>
      <c r="W762" s="64"/>
      <c r="X762" s="55"/>
      <c r="Y762" s="53"/>
      <c r="Z762" s="55"/>
      <c r="AA762" s="55"/>
      <c r="AB762" s="55"/>
      <c r="AC762" s="55"/>
      <c r="AD762" s="55"/>
      <c r="AE762" s="55"/>
      <c r="AF762" s="55"/>
      <c r="AG762" s="55"/>
      <c r="AH762" s="55"/>
      <c r="AI762" s="55"/>
      <c r="AJ762" s="55"/>
      <c r="AK762" s="55"/>
      <c r="AL762" s="55"/>
      <c r="AM762" s="55"/>
      <c r="AN762" s="55"/>
      <c r="AO762" s="55"/>
    </row>
    <row r="763">
      <c r="A763" s="55"/>
      <c r="B763" s="55"/>
      <c r="C763" s="53"/>
      <c r="D763" s="55"/>
      <c r="E763" s="55"/>
      <c r="F763" s="55" t="b">
        <v>0</v>
      </c>
      <c r="G763" s="55"/>
      <c r="H763" s="53"/>
      <c r="I763" s="53"/>
      <c r="J763" s="55"/>
      <c r="K763" s="55"/>
      <c r="L763" s="55"/>
      <c r="M763" s="55"/>
      <c r="N763" s="55"/>
      <c r="O763" s="55" t="b">
        <v>0</v>
      </c>
      <c r="P763" s="55"/>
      <c r="Q763" s="55"/>
      <c r="R763" s="55"/>
      <c r="S763" s="55"/>
      <c r="T763" s="55"/>
      <c r="U763" s="64"/>
      <c r="V763" s="55"/>
      <c r="W763" s="64"/>
      <c r="X763" s="55"/>
      <c r="Y763" s="53"/>
      <c r="Z763" s="55"/>
      <c r="AA763" s="55"/>
      <c r="AB763" s="55"/>
      <c r="AC763" s="55"/>
      <c r="AD763" s="55"/>
      <c r="AE763" s="55"/>
      <c r="AF763" s="55"/>
      <c r="AG763" s="55"/>
      <c r="AH763" s="55"/>
      <c r="AI763" s="55"/>
      <c r="AJ763" s="55"/>
      <c r="AK763" s="55"/>
      <c r="AL763" s="55"/>
      <c r="AM763" s="55"/>
      <c r="AN763" s="55"/>
      <c r="AO763" s="55"/>
    </row>
    <row r="764">
      <c r="A764" s="55"/>
      <c r="B764" s="55"/>
      <c r="C764" s="53"/>
      <c r="D764" s="55"/>
      <c r="E764" s="55"/>
      <c r="F764" s="55" t="b">
        <v>0</v>
      </c>
      <c r="G764" s="55"/>
      <c r="H764" s="53"/>
      <c r="I764" s="53"/>
      <c r="J764" s="55"/>
      <c r="K764" s="55"/>
      <c r="L764" s="55"/>
      <c r="M764" s="55"/>
      <c r="N764" s="55"/>
      <c r="O764" s="55" t="b">
        <v>0</v>
      </c>
      <c r="P764" s="55"/>
      <c r="Q764" s="55"/>
      <c r="R764" s="55"/>
      <c r="S764" s="55"/>
      <c r="T764" s="55"/>
      <c r="U764" s="64"/>
      <c r="V764" s="55"/>
      <c r="W764" s="64"/>
      <c r="X764" s="55"/>
      <c r="Y764" s="53"/>
      <c r="Z764" s="55"/>
      <c r="AA764" s="55"/>
      <c r="AB764" s="55"/>
      <c r="AC764" s="55"/>
      <c r="AD764" s="55"/>
      <c r="AE764" s="55"/>
      <c r="AF764" s="55"/>
      <c r="AG764" s="55"/>
      <c r="AH764" s="55"/>
      <c r="AI764" s="55"/>
      <c r="AJ764" s="55"/>
      <c r="AK764" s="55"/>
      <c r="AL764" s="55"/>
      <c r="AM764" s="55"/>
      <c r="AN764" s="55"/>
      <c r="AO764" s="55"/>
    </row>
    <row r="765">
      <c r="A765" s="55"/>
      <c r="B765" s="55"/>
      <c r="C765" s="53"/>
      <c r="D765" s="55"/>
      <c r="E765" s="55"/>
      <c r="F765" s="55" t="b">
        <v>0</v>
      </c>
      <c r="G765" s="55"/>
      <c r="H765" s="53"/>
      <c r="I765" s="53"/>
      <c r="J765" s="55"/>
      <c r="K765" s="55"/>
      <c r="L765" s="55"/>
      <c r="M765" s="55"/>
      <c r="N765" s="55"/>
      <c r="O765" s="55" t="b">
        <v>0</v>
      </c>
      <c r="P765" s="55"/>
      <c r="Q765" s="55"/>
      <c r="R765" s="55"/>
      <c r="S765" s="55"/>
      <c r="T765" s="55"/>
      <c r="U765" s="64"/>
      <c r="V765" s="55"/>
      <c r="W765" s="64"/>
      <c r="X765" s="55"/>
      <c r="Y765" s="53"/>
      <c r="Z765" s="55"/>
      <c r="AA765" s="55"/>
      <c r="AB765" s="55"/>
      <c r="AC765" s="55"/>
      <c r="AD765" s="55"/>
      <c r="AE765" s="55"/>
      <c r="AF765" s="55"/>
      <c r="AG765" s="55"/>
      <c r="AH765" s="55"/>
      <c r="AI765" s="55"/>
      <c r="AJ765" s="55"/>
      <c r="AK765" s="55"/>
      <c r="AL765" s="55"/>
      <c r="AM765" s="55"/>
      <c r="AN765" s="55"/>
      <c r="AO765" s="55"/>
    </row>
    <row r="766">
      <c r="A766" s="55"/>
      <c r="B766" s="55"/>
      <c r="C766" s="53"/>
      <c r="D766" s="55"/>
      <c r="E766" s="55"/>
      <c r="F766" s="55" t="b">
        <v>0</v>
      </c>
      <c r="G766" s="55"/>
      <c r="H766" s="53"/>
      <c r="I766" s="53"/>
      <c r="J766" s="55"/>
      <c r="K766" s="55"/>
      <c r="L766" s="55"/>
      <c r="M766" s="55"/>
      <c r="N766" s="55"/>
      <c r="O766" s="55" t="b">
        <v>0</v>
      </c>
      <c r="P766" s="55"/>
      <c r="Q766" s="55"/>
      <c r="R766" s="55"/>
      <c r="S766" s="55"/>
      <c r="T766" s="55"/>
      <c r="U766" s="64"/>
      <c r="V766" s="55"/>
      <c r="W766" s="64"/>
      <c r="X766" s="55"/>
      <c r="Y766" s="53"/>
      <c r="Z766" s="55"/>
      <c r="AA766" s="55"/>
      <c r="AB766" s="55"/>
      <c r="AC766" s="55"/>
      <c r="AD766" s="55"/>
      <c r="AE766" s="55"/>
      <c r="AF766" s="55"/>
      <c r="AG766" s="55"/>
      <c r="AH766" s="55"/>
      <c r="AI766" s="55"/>
      <c r="AJ766" s="55"/>
      <c r="AK766" s="55"/>
      <c r="AL766" s="55"/>
      <c r="AM766" s="55"/>
      <c r="AN766" s="55"/>
      <c r="AO766" s="55"/>
    </row>
    <row r="767">
      <c r="A767" s="55"/>
      <c r="B767" s="55"/>
      <c r="C767" s="53"/>
      <c r="D767" s="55"/>
      <c r="E767" s="55"/>
      <c r="F767" s="55" t="b">
        <v>0</v>
      </c>
      <c r="G767" s="55"/>
      <c r="H767" s="53"/>
      <c r="I767" s="53"/>
      <c r="J767" s="55"/>
      <c r="K767" s="55"/>
      <c r="L767" s="55"/>
      <c r="M767" s="55"/>
      <c r="N767" s="55"/>
      <c r="O767" s="55" t="b">
        <v>0</v>
      </c>
      <c r="P767" s="55"/>
      <c r="Q767" s="55"/>
      <c r="R767" s="55"/>
      <c r="S767" s="55"/>
      <c r="T767" s="55"/>
      <c r="U767" s="64"/>
      <c r="V767" s="55"/>
      <c r="W767" s="64"/>
      <c r="X767" s="55"/>
      <c r="Y767" s="53"/>
      <c r="Z767" s="55"/>
      <c r="AA767" s="55"/>
      <c r="AB767" s="55"/>
      <c r="AC767" s="55"/>
      <c r="AD767" s="55"/>
      <c r="AE767" s="55"/>
      <c r="AF767" s="55"/>
      <c r="AG767" s="55"/>
      <c r="AH767" s="55"/>
      <c r="AI767" s="55"/>
      <c r="AJ767" s="55"/>
      <c r="AK767" s="55"/>
      <c r="AL767" s="55"/>
      <c r="AM767" s="55"/>
      <c r="AN767" s="55"/>
      <c r="AO767" s="55"/>
    </row>
    <row r="768">
      <c r="A768" s="55"/>
      <c r="B768" s="55"/>
      <c r="C768" s="53"/>
      <c r="D768" s="55"/>
      <c r="E768" s="55"/>
      <c r="F768" s="55" t="b">
        <v>0</v>
      </c>
      <c r="G768" s="55"/>
      <c r="H768" s="53"/>
      <c r="I768" s="53"/>
      <c r="J768" s="55"/>
      <c r="K768" s="55"/>
      <c r="L768" s="55"/>
      <c r="M768" s="55"/>
      <c r="N768" s="55"/>
      <c r="O768" s="55" t="b">
        <v>0</v>
      </c>
      <c r="P768" s="55"/>
      <c r="Q768" s="55"/>
      <c r="R768" s="55"/>
      <c r="S768" s="55"/>
      <c r="T768" s="55"/>
      <c r="U768" s="64"/>
      <c r="V768" s="55"/>
      <c r="W768" s="64"/>
      <c r="X768" s="55"/>
      <c r="Y768" s="53"/>
      <c r="Z768" s="55"/>
      <c r="AA768" s="55"/>
      <c r="AB768" s="55"/>
      <c r="AC768" s="55"/>
      <c r="AD768" s="55"/>
      <c r="AE768" s="55"/>
      <c r="AF768" s="55"/>
      <c r="AG768" s="55"/>
      <c r="AH768" s="55"/>
      <c r="AI768" s="55"/>
      <c r="AJ768" s="55"/>
      <c r="AK768" s="55"/>
      <c r="AL768" s="55"/>
      <c r="AM768" s="55"/>
      <c r="AN768" s="55"/>
      <c r="AO768" s="55"/>
    </row>
    <row r="769">
      <c r="A769" s="55"/>
      <c r="B769" s="55"/>
      <c r="C769" s="53"/>
      <c r="D769" s="55"/>
      <c r="E769" s="55"/>
      <c r="F769" s="55" t="b">
        <v>0</v>
      </c>
      <c r="G769" s="55"/>
      <c r="H769" s="53"/>
      <c r="I769" s="53"/>
      <c r="J769" s="55"/>
      <c r="K769" s="55"/>
      <c r="L769" s="55"/>
      <c r="M769" s="55"/>
      <c r="N769" s="55"/>
      <c r="O769" s="55" t="b">
        <v>0</v>
      </c>
      <c r="P769" s="55"/>
      <c r="Q769" s="55"/>
      <c r="R769" s="55"/>
      <c r="S769" s="55"/>
      <c r="T769" s="55"/>
      <c r="U769" s="64"/>
      <c r="V769" s="55"/>
      <c r="W769" s="64"/>
      <c r="X769" s="55"/>
      <c r="Y769" s="53"/>
      <c r="Z769" s="55"/>
      <c r="AA769" s="55"/>
      <c r="AB769" s="55"/>
      <c r="AC769" s="55"/>
      <c r="AD769" s="55"/>
      <c r="AE769" s="55"/>
      <c r="AF769" s="55"/>
      <c r="AG769" s="55"/>
      <c r="AH769" s="55"/>
      <c r="AI769" s="55"/>
      <c r="AJ769" s="55"/>
      <c r="AK769" s="55"/>
      <c r="AL769" s="55"/>
      <c r="AM769" s="55"/>
      <c r="AN769" s="55"/>
      <c r="AO769" s="55"/>
    </row>
    <row r="770">
      <c r="A770" s="55"/>
      <c r="B770" s="55"/>
      <c r="C770" s="53"/>
      <c r="D770" s="55"/>
      <c r="E770" s="55"/>
      <c r="F770" s="55" t="b">
        <v>0</v>
      </c>
      <c r="G770" s="55"/>
      <c r="H770" s="53"/>
      <c r="I770" s="53"/>
      <c r="J770" s="55"/>
      <c r="K770" s="55"/>
      <c r="L770" s="55"/>
      <c r="M770" s="55"/>
      <c r="N770" s="55"/>
      <c r="O770" s="55" t="b">
        <v>0</v>
      </c>
      <c r="P770" s="55"/>
      <c r="Q770" s="55"/>
      <c r="R770" s="55"/>
      <c r="S770" s="55"/>
      <c r="T770" s="55"/>
      <c r="U770" s="64"/>
      <c r="V770" s="55"/>
      <c r="W770" s="64"/>
      <c r="X770" s="55"/>
      <c r="Y770" s="53"/>
      <c r="Z770" s="55"/>
      <c r="AA770" s="55"/>
      <c r="AB770" s="55"/>
      <c r="AC770" s="55"/>
      <c r="AD770" s="55"/>
      <c r="AE770" s="55"/>
      <c r="AF770" s="55"/>
      <c r="AG770" s="55"/>
      <c r="AH770" s="55"/>
      <c r="AI770" s="55"/>
      <c r="AJ770" s="55"/>
      <c r="AK770" s="55"/>
      <c r="AL770" s="55"/>
      <c r="AM770" s="55"/>
      <c r="AN770" s="55"/>
      <c r="AO770" s="55"/>
    </row>
    <row r="771">
      <c r="A771" s="55"/>
      <c r="B771" s="55"/>
      <c r="C771" s="53"/>
      <c r="D771" s="55"/>
      <c r="E771" s="55"/>
      <c r="F771" s="55" t="b">
        <v>0</v>
      </c>
      <c r="G771" s="55"/>
      <c r="H771" s="53"/>
      <c r="I771" s="53"/>
      <c r="J771" s="55"/>
      <c r="K771" s="55"/>
      <c r="L771" s="55"/>
      <c r="M771" s="55"/>
      <c r="N771" s="55"/>
      <c r="O771" s="55" t="b">
        <v>0</v>
      </c>
      <c r="P771" s="55"/>
      <c r="Q771" s="55"/>
      <c r="R771" s="55"/>
      <c r="S771" s="55"/>
      <c r="T771" s="55"/>
      <c r="U771" s="64"/>
      <c r="V771" s="55"/>
      <c r="W771" s="64"/>
      <c r="X771" s="55"/>
      <c r="Y771" s="53"/>
      <c r="Z771" s="55"/>
      <c r="AA771" s="55"/>
      <c r="AB771" s="55"/>
      <c r="AC771" s="55"/>
      <c r="AD771" s="55"/>
      <c r="AE771" s="55"/>
      <c r="AF771" s="55"/>
      <c r="AG771" s="55"/>
      <c r="AH771" s="55"/>
      <c r="AI771" s="55"/>
      <c r="AJ771" s="55"/>
      <c r="AK771" s="55"/>
      <c r="AL771" s="55"/>
      <c r="AM771" s="55"/>
      <c r="AN771" s="55"/>
      <c r="AO771" s="55"/>
    </row>
    <row r="772">
      <c r="A772" s="55"/>
      <c r="B772" s="55"/>
      <c r="C772" s="53"/>
      <c r="D772" s="55"/>
      <c r="E772" s="55"/>
      <c r="F772" s="55" t="b">
        <v>0</v>
      </c>
      <c r="G772" s="55"/>
      <c r="H772" s="53"/>
      <c r="I772" s="53"/>
      <c r="J772" s="55"/>
      <c r="K772" s="55"/>
      <c r="L772" s="55"/>
      <c r="M772" s="55"/>
      <c r="N772" s="55"/>
      <c r="O772" s="55" t="b">
        <v>0</v>
      </c>
      <c r="P772" s="55"/>
      <c r="Q772" s="55"/>
      <c r="R772" s="55"/>
      <c r="S772" s="55"/>
      <c r="T772" s="55"/>
      <c r="U772" s="64"/>
      <c r="V772" s="55"/>
      <c r="W772" s="64"/>
      <c r="X772" s="55"/>
      <c r="Y772" s="53"/>
      <c r="Z772" s="55"/>
      <c r="AA772" s="55"/>
      <c r="AB772" s="55"/>
      <c r="AC772" s="55"/>
      <c r="AD772" s="55"/>
      <c r="AE772" s="55"/>
      <c r="AF772" s="55"/>
      <c r="AG772" s="55"/>
      <c r="AH772" s="55"/>
      <c r="AI772" s="55"/>
      <c r="AJ772" s="55"/>
      <c r="AK772" s="55"/>
      <c r="AL772" s="55"/>
      <c r="AM772" s="55"/>
      <c r="AN772" s="55"/>
      <c r="AO772" s="55"/>
    </row>
    <row r="773">
      <c r="A773" s="55"/>
      <c r="B773" s="55"/>
      <c r="C773" s="53"/>
      <c r="D773" s="55"/>
      <c r="E773" s="55"/>
      <c r="F773" s="55" t="b">
        <v>0</v>
      </c>
      <c r="G773" s="55"/>
      <c r="H773" s="53"/>
      <c r="I773" s="53"/>
      <c r="J773" s="55"/>
      <c r="K773" s="55"/>
      <c r="L773" s="55"/>
      <c r="M773" s="55"/>
      <c r="N773" s="55"/>
      <c r="O773" s="55" t="b">
        <v>0</v>
      </c>
      <c r="P773" s="55"/>
      <c r="Q773" s="55"/>
      <c r="R773" s="55"/>
      <c r="S773" s="55"/>
      <c r="T773" s="55"/>
      <c r="U773" s="64"/>
      <c r="V773" s="55"/>
      <c r="W773" s="64"/>
      <c r="X773" s="55"/>
      <c r="Y773" s="53"/>
      <c r="Z773" s="55"/>
      <c r="AA773" s="55"/>
      <c r="AB773" s="55"/>
      <c r="AC773" s="55"/>
      <c r="AD773" s="55"/>
      <c r="AE773" s="55"/>
      <c r="AF773" s="55"/>
      <c r="AG773" s="55"/>
      <c r="AH773" s="55"/>
      <c r="AI773" s="55"/>
      <c r="AJ773" s="55"/>
      <c r="AK773" s="55"/>
      <c r="AL773" s="55"/>
      <c r="AM773" s="55"/>
      <c r="AN773" s="55"/>
      <c r="AO773" s="55"/>
    </row>
    <row r="774">
      <c r="A774" s="55"/>
      <c r="B774" s="55"/>
      <c r="C774" s="53"/>
      <c r="D774" s="55"/>
      <c r="E774" s="55"/>
      <c r="F774" s="55" t="b">
        <v>0</v>
      </c>
      <c r="G774" s="55"/>
      <c r="H774" s="53"/>
      <c r="I774" s="53"/>
      <c r="J774" s="55"/>
      <c r="K774" s="55"/>
      <c r="L774" s="55"/>
      <c r="M774" s="55"/>
      <c r="N774" s="55"/>
      <c r="O774" s="55" t="b">
        <v>0</v>
      </c>
      <c r="P774" s="55"/>
      <c r="Q774" s="55"/>
      <c r="R774" s="55"/>
      <c r="S774" s="55"/>
      <c r="T774" s="55"/>
      <c r="U774" s="64"/>
      <c r="V774" s="55"/>
      <c r="W774" s="64"/>
      <c r="X774" s="55"/>
      <c r="Y774" s="53"/>
      <c r="Z774" s="55"/>
      <c r="AA774" s="55"/>
      <c r="AB774" s="55"/>
      <c r="AC774" s="55"/>
      <c r="AD774" s="55"/>
      <c r="AE774" s="55"/>
      <c r="AF774" s="55"/>
      <c r="AG774" s="55"/>
      <c r="AH774" s="55"/>
      <c r="AI774" s="55"/>
      <c r="AJ774" s="55"/>
      <c r="AK774" s="55"/>
      <c r="AL774" s="55"/>
      <c r="AM774" s="55"/>
      <c r="AN774" s="55"/>
      <c r="AO774" s="55"/>
    </row>
    <row r="775">
      <c r="A775" s="55"/>
      <c r="B775" s="55"/>
      <c r="C775" s="53"/>
      <c r="D775" s="55"/>
      <c r="E775" s="55"/>
      <c r="F775" s="55" t="b">
        <v>0</v>
      </c>
      <c r="G775" s="55"/>
      <c r="H775" s="53"/>
      <c r="I775" s="53"/>
      <c r="J775" s="55"/>
      <c r="K775" s="55"/>
      <c r="L775" s="55"/>
      <c r="M775" s="55"/>
      <c r="N775" s="55"/>
      <c r="O775" s="55" t="b">
        <v>0</v>
      </c>
      <c r="P775" s="55"/>
      <c r="Q775" s="55"/>
      <c r="R775" s="55"/>
      <c r="S775" s="55"/>
      <c r="T775" s="55"/>
      <c r="U775" s="64"/>
      <c r="V775" s="55"/>
      <c r="W775" s="64"/>
      <c r="X775" s="55"/>
      <c r="Y775" s="53"/>
      <c r="Z775" s="55"/>
      <c r="AA775" s="55"/>
      <c r="AB775" s="55"/>
      <c r="AC775" s="55"/>
      <c r="AD775" s="55"/>
      <c r="AE775" s="55"/>
      <c r="AF775" s="55"/>
      <c r="AG775" s="55"/>
      <c r="AH775" s="55"/>
      <c r="AI775" s="55"/>
      <c r="AJ775" s="55"/>
      <c r="AK775" s="55"/>
      <c r="AL775" s="55"/>
      <c r="AM775" s="55"/>
      <c r="AN775" s="55"/>
      <c r="AO775" s="55"/>
    </row>
    <row r="776">
      <c r="A776" s="55"/>
      <c r="B776" s="55"/>
      <c r="C776" s="53"/>
      <c r="D776" s="55"/>
      <c r="E776" s="55"/>
      <c r="F776" s="55" t="b">
        <v>0</v>
      </c>
      <c r="G776" s="55"/>
      <c r="H776" s="53"/>
      <c r="I776" s="53"/>
      <c r="J776" s="55"/>
      <c r="K776" s="55"/>
      <c r="L776" s="55"/>
      <c r="M776" s="55"/>
      <c r="N776" s="55"/>
      <c r="O776" s="55" t="b">
        <v>0</v>
      </c>
      <c r="P776" s="55"/>
      <c r="Q776" s="55"/>
      <c r="R776" s="55"/>
      <c r="S776" s="55"/>
      <c r="T776" s="55"/>
      <c r="U776" s="64"/>
      <c r="V776" s="55"/>
      <c r="W776" s="64"/>
      <c r="X776" s="55"/>
      <c r="Y776" s="53"/>
      <c r="Z776" s="55"/>
      <c r="AA776" s="55"/>
      <c r="AB776" s="55"/>
      <c r="AC776" s="55"/>
      <c r="AD776" s="55"/>
      <c r="AE776" s="55"/>
      <c r="AF776" s="55"/>
      <c r="AG776" s="55"/>
      <c r="AH776" s="55"/>
      <c r="AI776" s="55"/>
      <c r="AJ776" s="55"/>
      <c r="AK776" s="55"/>
      <c r="AL776" s="55"/>
      <c r="AM776" s="55"/>
      <c r="AN776" s="55"/>
      <c r="AO776" s="55"/>
    </row>
    <row r="777">
      <c r="A777" s="55"/>
      <c r="B777" s="55"/>
      <c r="C777" s="53"/>
      <c r="D777" s="55"/>
      <c r="E777" s="55"/>
      <c r="F777" s="55" t="b">
        <v>0</v>
      </c>
      <c r="G777" s="55"/>
      <c r="H777" s="53"/>
      <c r="I777" s="53"/>
      <c r="J777" s="55"/>
      <c r="K777" s="55"/>
      <c r="L777" s="55"/>
      <c r="M777" s="55"/>
      <c r="N777" s="55"/>
      <c r="O777" s="55" t="b">
        <v>0</v>
      </c>
      <c r="P777" s="55"/>
      <c r="Q777" s="55"/>
      <c r="R777" s="55"/>
      <c r="S777" s="55"/>
      <c r="T777" s="55"/>
      <c r="U777" s="64"/>
      <c r="V777" s="55"/>
      <c r="W777" s="64"/>
      <c r="X777" s="55"/>
      <c r="Y777" s="53"/>
      <c r="Z777" s="55"/>
      <c r="AA777" s="55"/>
      <c r="AB777" s="55"/>
      <c r="AC777" s="55"/>
      <c r="AD777" s="55"/>
      <c r="AE777" s="55"/>
      <c r="AF777" s="55"/>
      <c r="AG777" s="55"/>
      <c r="AH777" s="55"/>
      <c r="AI777" s="55"/>
      <c r="AJ777" s="55"/>
      <c r="AK777" s="55"/>
      <c r="AL777" s="55"/>
      <c r="AM777" s="55"/>
      <c r="AN777" s="55"/>
      <c r="AO777" s="55"/>
    </row>
    <row r="778">
      <c r="A778" s="55"/>
      <c r="B778" s="55"/>
      <c r="C778" s="53"/>
      <c r="D778" s="55"/>
      <c r="E778" s="55"/>
      <c r="F778" s="55" t="b">
        <v>0</v>
      </c>
      <c r="G778" s="55"/>
      <c r="H778" s="53"/>
      <c r="I778" s="53"/>
      <c r="J778" s="55"/>
      <c r="K778" s="55"/>
      <c r="L778" s="55"/>
      <c r="M778" s="55"/>
      <c r="N778" s="55"/>
      <c r="O778" s="55" t="b">
        <v>0</v>
      </c>
      <c r="P778" s="55"/>
      <c r="Q778" s="55"/>
      <c r="R778" s="55"/>
      <c r="S778" s="55"/>
      <c r="T778" s="55"/>
      <c r="U778" s="64"/>
      <c r="V778" s="55"/>
      <c r="W778" s="64"/>
      <c r="X778" s="55"/>
      <c r="Y778" s="53"/>
      <c r="Z778" s="55"/>
      <c r="AA778" s="55"/>
      <c r="AB778" s="55"/>
      <c r="AC778" s="55"/>
      <c r="AD778" s="55"/>
      <c r="AE778" s="55"/>
      <c r="AF778" s="55"/>
      <c r="AG778" s="55"/>
      <c r="AH778" s="55"/>
      <c r="AI778" s="55"/>
      <c r="AJ778" s="55"/>
      <c r="AK778" s="55"/>
      <c r="AL778" s="55"/>
      <c r="AM778" s="55"/>
      <c r="AN778" s="55"/>
      <c r="AO778" s="55"/>
    </row>
    <row r="779">
      <c r="A779" s="55"/>
      <c r="B779" s="55"/>
      <c r="C779" s="53"/>
      <c r="D779" s="55"/>
      <c r="E779" s="55"/>
      <c r="F779" s="55" t="b">
        <v>0</v>
      </c>
      <c r="G779" s="55"/>
      <c r="H779" s="53"/>
      <c r="I779" s="53"/>
      <c r="J779" s="55"/>
      <c r="K779" s="55"/>
      <c r="L779" s="55"/>
      <c r="M779" s="55"/>
      <c r="N779" s="55"/>
      <c r="O779" s="55" t="b">
        <v>0</v>
      </c>
      <c r="P779" s="55"/>
      <c r="Q779" s="55"/>
      <c r="R779" s="55"/>
      <c r="S779" s="55"/>
      <c r="T779" s="55"/>
      <c r="U779" s="64"/>
      <c r="V779" s="55"/>
      <c r="W779" s="64"/>
      <c r="X779" s="55"/>
      <c r="Y779" s="53"/>
      <c r="Z779" s="55"/>
      <c r="AA779" s="55"/>
      <c r="AB779" s="55"/>
      <c r="AC779" s="55"/>
      <c r="AD779" s="55"/>
      <c r="AE779" s="55"/>
      <c r="AF779" s="55"/>
      <c r="AG779" s="55"/>
      <c r="AH779" s="55"/>
      <c r="AI779" s="55"/>
      <c r="AJ779" s="55"/>
      <c r="AK779" s="55"/>
      <c r="AL779" s="55"/>
      <c r="AM779" s="55"/>
      <c r="AN779" s="55"/>
      <c r="AO779" s="55"/>
    </row>
    <row r="780">
      <c r="A780" s="55"/>
      <c r="B780" s="55"/>
      <c r="C780" s="53"/>
      <c r="D780" s="55"/>
      <c r="E780" s="55"/>
      <c r="F780" s="55" t="b">
        <v>0</v>
      </c>
      <c r="G780" s="55"/>
      <c r="H780" s="53"/>
      <c r="I780" s="53"/>
      <c r="J780" s="55"/>
      <c r="K780" s="55"/>
      <c r="L780" s="55"/>
      <c r="M780" s="55"/>
      <c r="N780" s="55"/>
      <c r="O780" s="55" t="b">
        <v>0</v>
      </c>
      <c r="P780" s="55"/>
      <c r="Q780" s="55"/>
      <c r="R780" s="55"/>
      <c r="S780" s="55"/>
      <c r="T780" s="55"/>
      <c r="U780" s="64"/>
      <c r="V780" s="55"/>
      <c r="W780" s="64"/>
      <c r="X780" s="55"/>
      <c r="Y780" s="53"/>
      <c r="Z780" s="55"/>
      <c r="AA780" s="55"/>
      <c r="AB780" s="55"/>
      <c r="AC780" s="55"/>
      <c r="AD780" s="55"/>
      <c r="AE780" s="55"/>
      <c r="AF780" s="55"/>
      <c r="AG780" s="55"/>
      <c r="AH780" s="55"/>
      <c r="AI780" s="55"/>
      <c r="AJ780" s="55"/>
      <c r="AK780" s="55"/>
      <c r="AL780" s="55"/>
      <c r="AM780" s="55"/>
      <c r="AN780" s="55"/>
      <c r="AO780" s="55"/>
    </row>
    <row r="781">
      <c r="A781" s="55"/>
      <c r="B781" s="55"/>
      <c r="C781" s="53"/>
      <c r="D781" s="55"/>
      <c r="E781" s="55"/>
      <c r="F781" s="55" t="b">
        <v>0</v>
      </c>
      <c r="G781" s="55"/>
      <c r="H781" s="53"/>
      <c r="I781" s="53"/>
      <c r="J781" s="55"/>
      <c r="K781" s="55"/>
      <c r="L781" s="55"/>
      <c r="M781" s="55"/>
      <c r="N781" s="55"/>
      <c r="O781" s="55" t="b">
        <v>0</v>
      </c>
      <c r="P781" s="55"/>
      <c r="Q781" s="55"/>
      <c r="R781" s="55"/>
      <c r="S781" s="55"/>
      <c r="T781" s="55"/>
      <c r="U781" s="64"/>
      <c r="V781" s="55"/>
      <c r="W781" s="64"/>
      <c r="X781" s="55"/>
      <c r="Y781" s="53"/>
      <c r="Z781" s="55"/>
      <c r="AA781" s="55"/>
      <c r="AB781" s="55"/>
      <c r="AC781" s="55"/>
      <c r="AD781" s="55"/>
      <c r="AE781" s="55"/>
      <c r="AF781" s="55"/>
      <c r="AG781" s="55"/>
      <c r="AH781" s="55"/>
      <c r="AI781" s="55"/>
      <c r="AJ781" s="55"/>
      <c r="AK781" s="55"/>
      <c r="AL781" s="55"/>
      <c r="AM781" s="55"/>
      <c r="AN781" s="55"/>
      <c r="AO781" s="55"/>
    </row>
    <row r="782">
      <c r="A782" s="55"/>
      <c r="B782" s="55"/>
      <c r="C782" s="53"/>
      <c r="D782" s="55"/>
      <c r="E782" s="55"/>
      <c r="F782" s="55" t="b">
        <v>0</v>
      </c>
      <c r="G782" s="55"/>
      <c r="H782" s="53"/>
      <c r="I782" s="53"/>
      <c r="J782" s="55"/>
      <c r="K782" s="55"/>
      <c r="L782" s="55"/>
      <c r="M782" s="55"/>
      <c r="N782" s="55"/>
      <c r="O782" s="55" t="b">
        <v>0</v>
      </c>
      <c r="P782" s="55"/>
      <c r="Q782" s="55"/>
      <c r="R782" s="55"/>
      <c r="S782" s="55"/>
      <c r="T782" s="55"/>
      <c r="U782" s="64"/>
      <c r="V782" s="55"/>
      <c r="W782" s="64"/>
      <c r="X782" s="55"/>
      <c r="Y782" s="53"/>
      <c r="Z782" s="55"/>
      <c r="AA782" s="55"/>
      <c r="AB782" s="55"/>
      <c r="AC782" s="55"/>
      <c r="AD782" s="55"/>
      <c r="AE782" s="55"/>
      <c r="AF782" s="55"/>
      <c r="AG782" s="55"/>
      <c r="AH782" s="55"/>
      <c r="AI782" s="55"/>
      <c r="AJ782" s="55"/>
      <c r="AK782" s="55"/>
      <c r="AL782" s="55"/>
      <c r="AM782" s="55"/>
      <c r="AN782" s="55"/>
      <c r="AO782" s="55"/>
    </row>
    <row r="783">
      <c r="A783" s="55"/>
      <c r="B783" s="55"/>
      <c r="C783" s="53"/>
      <c r="D783" s="55"/>
      <c r="E783" s="55"/>
      <c r="F783" s="55" t="b">
        <v>0</v>
      </c>
      <c r="G783" s="55"/>
      <c r="H783" s="53"/>
      <c r="I783" s="53"/>
      <c r="J783" s="55"/>
      <c r="K783" s="55"/>
      <c r="L783" s="55"/>
      <c r="M783" s="55"/>
      <c r="N783" s="55"/>
      <c r="O783" s="55" t="b">
        <v>0</v>
      </c>
      <c r="P783" s="55"/>
      <c r="Q783" s="55"/>
      <c r="R783" s="55"/>
      <c r="S783" s="55"/>
      <c r="T783" s="55"/>
      <c r="U783" s="64"/>
      <c r="V783" s="55"/>
      <c r="W783" s="64"/>
      <c r="X783" s="55"/>
      <c r="Y783" s="53"/>
      <c r="Z783" s="55"/>
      <c r="AA783" s="55"/>
      <c r="AB783" s="55"/>
      <c r="AC783" s="55"/>
      <c r="AD783" s="55"/>
      <c r="AE783" s="55"/>
      <c r="AF783" s="55"/>
      <c r="AG783" s="55"/>
      <c r="AH783" s="55"/>
      <c r="AI783" s="55"/>
      <c r="AJ783" s="55"/>
      <c r="AK783" s="55"/>
      <c r="AL783" s="55"/>
      <c r="AM783" s="55"/>
      <c r="AN783" s="55"/>
      <c r="AO783" s="55"/>
    </row>
    <row r="784">
      <c r="A784" s="55"/>
      <c r="B784" s="55"/>
      <c r="C784" s="53"/>
      <c r="D784" s="55"/>
      <c r="E784" s="55"/>
      <c r="F784" s="55" t="b">
        <v>0</v>
      </c>
      <c r="G784" s="55"/>
      <c r="H784" s="53"/>
      <c r="I784" s="53"/>
      <c r="J784" s="55"/>
      <c r="K784" s="55"/>
      <c r="L784" s="55"/>
      <c r="M784" s="55"/>
      <c r="N784" s="55"/>
      <c r="O784" s="55" t="b">
        <v>0</v>
      </c>
      <c r="P784" s="55"/>
      <c r="Q784" s="55"/>
      <c r="R784" s="55"/>
      <c r="S784" s="55"/>
      <c r="T784" s="55"/>
      <c r="U784" s="64"/>
      <c r="V784" s="55"/>
      <c r="W784" s="64"/>
      <c r="X784" s="55"/>
      <c r="Y784" s="53"/>
      <c r="Z784" s="55"/>
      <c r="AA784" s="55"/>
      <c r="AB784" s="55"/>
      <c r="AC784" s="55"/>
      <c r="AD784" s="55"/>
      <c r="AE784" s="55"/>
      <c r="AF784" s="55"/>
      <c r="AG784" s="55"/>
      <c r="AH784" s="55"/>
      <c r="AI784" s="55"/>
      <c r="AJ784" s="55"/>
      <c r="AK784" s="55"/>
      <c r="AL784" s="55"/>
      <c r="AM784" s="55"/>
      <c r="AN784" s="55"/>
      <c r="AO784" s="55"/>
    </row>
    <row r="785">
      <c r="A785" s="55"/>
      <c r="B785" s="55"/>
      <c r="C785" s="53"/>
      <c r="D785" s="55"/>
      <c r="E785" s="55"/>
      <c r="F785" s="55" t="b">
        <v>0</v>
      </c>
      <c r="G785" s="55"/>
      <c r="H785" s="53"/>
      <c r="I785" s="53"/>
      <c r="J785" s="55"/>
      <c r="K785" s="55"/>
      <c r="L785" s="55"/>
      <c r="M785" s="55"/>
      <c r="N785" s="55"/>
      <c r="O785" s="55" t="b">
        <v>0</v>
      </c>
      <c r="P785" s="55"/>
      <c r="Q785" s="55"/>
      <c r="R785" s="55"/>
      <c r="S785" s="55"/>
      <c r="T785" s="55"/>
      <c r="U785" s="64"/>
      <c r="V785" s="55"/>
      <c r="W785" s="64"/>
      <c r="X785" s="55"/>
      <c r="Y785" s="53"/>
      <c r="Z785" s="55"/>
      <c r="AA785" s="55"/>
      <c r="AB785" s="55"/>
      <c r="AC785" s="55"/>
      <c r="AD785" s="55"/>
      <c r="AE785" s="55"/>
      <c r="AF785" s="55"/>
      <c r="AG785" s="55"/>
      <c r="AH785" s="55"/>
      <c r="AI785" s="55"/>
      <c r="AJ785" s="55"/>
      <c r="AK785" s="55"/>
      <c r="AL785" s="55"/>
      <c r="AM785" s="55"/>
      <c r="AN785" s="55"/>
      <c r="AO785" s="55"/>
    </row>
    <row r="786">
      <c r="A786" s="55"/>
      <c r="B786" s="55"/>
      <c r="C786" s="53"/>
      <c r="D786" s="55"/>
      <c r="E786" s="55"/>
      <c r="F786" s="55" t="b">
        <v>0</v>
      </c>
      <c r="G786" s="55"/>
      <c r="H786" s="53"/>
      <c r="I786" s="53"/>
      <c r="J786" s="55"/>
      <c r="K786" s="55"/>
      <c r="L786" s="55"/>
      <c r="M786" s="55"/>
      <c r="N786" s="55"/>
      <c r="O786" s="55" t="b">
        <v>0</v>
      </c>
      <c r="P786" s="55"/>
      <c r="Q786" s="55"/>
      <c r="R786" s="55"/>
      <c r="S786" s="55"/>
      <c r="T786" s="55"/>
      <c r="U786" s="64"/>
      <c r="V786" s="55"/>
      <c r="W786" s="64"/>
      <c r="X786" s="55"/>
      <c r="Y786" s="53"/>
      <c r="Z786" s="55"/>
      <c r="AA786" s="55"/>
      <c r="AB786" s="55"/>
      <c r="AC786" s="55"/>
      <c r="AD786" s="55"/>
      <c r="AE786" s="55"/>
      <c r="AF786" s="55"/>
      <c r="AG786" s="55"/>
      <c r="AH786" s="55"/>
      <c r="AI786" s="55"/>
      <c r="AJ786" s="55"/>
      <c r="AK786" s="55"/>
      <c r="AL786" s="55"/>
      <c r="AM786" s="55"/>
      <c r="AN786" s="55"/>
      <c r="AO786" s="55"/>
    </row>
    <row r="787">
      <c r="A787" s="55"/>
      <c r="B787" s="55"/>
      <c r="C787" s="53"/>
      <c r="D787" s="55"/>
      <c r="E787" s="55"/>
      <c r="F787" s="55" t="b">
        <v>0</v>
      </c>
      <c r="G787" s="55"/>
      <c r="H787" s="53"/>
      <c r="I787" s="53"/>
      <c r="J787" s="55"/>
      <c r="K787" s="55"/>
      <c r="L787" s="55"/>
      <c r="M787" s="55"/>
      <c r="N787" s="55"/>
      <c r="O787" s="55" t="b">
        <v>0</v>
      </c>
      <c r="P787" s="55"/>
      <c r="Q787" s="55"/>
      <c r="R787" s="55"/>
      <c r="S787" s="55"/>
      <c r="T787" s="55"/>
      <c r="U787" s="64"/>
      <c r="V787" s="55"/>
      <c r="W787" s="64"/>
      <c r="X787" s="55"/>
      <c r="Y787" s="53"/>
      <c r="Z787" s="55"/>
      <c r="AA787" s="55"/>
      <c r="AB787" s="55"/>
      <c r="AC787" s="55"/>
      <c r="AD787" s="55"/>
      <c r="AE787" s="55"/>
      <c r="AF787" s="55"/>
      <c r="AG787" s="55"/>
      <c r="AH787" s="55"/>
      <c r="AI787" s="55"/>
      <c r="AJ787" s="55"/>
      <c r="AK787" s="55"/>
      <c r="AL787" s="55"/>
      <c r="AM787" s="55"/>
      <c r="AN787" s="55"/>
      <c r="AO787" s="55"/>
    </row>
    <row r="788">
      <c r="A788" s="55"/>
      <c r="B788" s="55"/>
      <c r="C788" s="53"/>
      <c r="D788" s="55"/>
      <c r="E788" s="55"/>
      <c r="F788" s="55" t="b">
        <v>0</v>
      </c>
      <c r="G788" s="55"/>
      <c r="H788" s="53"/>
      <c r="I788" s="53"/>
      <c r="J788" s="55"/>
      <c r="K788" s="55"/>
      <c r="L788" s="55"/>
      <c r="M788" s="55"/>
      <c r="N788" s="55"/>
      <c r="O788" s="55" t="b">
        <v>0</v>
      </c>
      <c r="P788" s="55"/>
      <c r="Q788" s="55"/>
      <c r="R788" s="55"/>
      <c r="S788" s="55"/>
      <c r="T788" s="55"/>
      <c r="U788" s="64"/>
      <c r="V788" s="55"/>
      <c r="W788" s="64"/>
      <c r="X788" s="55"/>
      <c r="Y788" s="53"/>
      <c r="Z788" s="55"/>
      <c r="AA788" s="55"/>
      <c r="AB788" s="55"/>
      <c r="AC788" s="55"/>
      <c r="AD788" s="55"/>
      <c r="AE788" s="55"/>
      <c r="AF788" s="55"/>
      <c r="AG788" s="55"/>
      <c r="AH788" s="55"/>
      <c r="AI788" s="55"/>
      <c r="AJ788" s="55"/>
      <c r="AK788" s="55"/>
      <c r="AL788" s="55"/>
      <c r="AM788" s="55"/>
      <c r="AN788" s="55"/>
      <c r="AO788" s="55"/>
    </row>
    <row r="789">
      <c r="A789" s="55"/>
      <c r="B789" s="55"/>
      <c r="C789" s="53"/>
      <c r="D789" s="55"/>
      <c r="E789" s="55"/>
      <c r="F789" s="55" t="b">
        <v>0</v>
      </c>
      <c r="G789" s="55"/>
      <c r="H789" s="53"/>
      <c r="I789" s="53"/>
      <c r="J789" s="55"/>
      <c r="K789" s="55"/>
      <c r="L789" s="55"/>
      <c r="M789" s="55"/>
      <c r="N789" s="55"/>
      <c r="O789" s="55" t="b">
        <v>0</v>
      </c>
      <c r="P789" s="55"/>
      <c r="Q789" s="55"/>
      <c r="R789" s="55"/>
      <c r="S789" s="55"/>
      <c r="T789" s="55"/>
      <c r="U789" s="64"/>
      <c r="V789" s="55"/>
      <c r="W789" s="64"/>
      <c r="X789" s="55"/>
      <c r="Y789" s="53"/>
      <c r="Z789" s="55"/>
      <c r="AA789" s="55"/>
      <c r="AB789" s="55"/>
      <c r="AC789" s="55"/>
      <c r="AD789" s="55"/>
      <c r="AE789" s="55"/>
      <c r="AF789" s="55"/>
      <c r="AG789" s="55"/>
      <c r="AH789" s="55"/>
      <c r="AI789" s="55"/>
      <c r="AJ789" s="55"/>
      <c r="AK789" s="55"/>
      <c r="AL789" s="55"/>
      <c r="AM789" s="55"/>
      <c r="AN789" s="55"/>
      <c r="AO789" s="55"/>
    </row>
    <row r="790">
      <c r="A790" s="55"/>
      <c r="B790" s="55"/>
      <c r="C790" s="53"/>
      <c r="D790" s="55"/>
      <c r="E790" s="55"/>
      <c r="F790" s="55" t="b">
        <v>0</v>
      </c>
      <c r="G790" s="55"/>
      <c r="H790" s="53"/>
      <c r="I790" s="53"/>
      <c r="J790" s="55"/>
      <c r="K790" s="55"/>
      <c r="L790" s="55"/>
      <c r="M790" s="55"/>
      <c r="N790" s="55"/>
      <c r="O790" s="55" t="b">
        <v>0</v>
      </c>
      <c r="P790" s="55"/>
      <c r="Q790" s="55"/>
      <c r="R790" s="55"/>
      <c r="S790" s="55"/>
      <c r="T790" s="55"/>
      <c r="U790" s="64"/>
      <c r="V790" s="55"/>
      <c r="W790" s="64"/>
      <c r="X790" s="55"/>
      <c r="Y790" s="53"/>
      <c r="Z790" s="55"/>
      <c r="AA790" s="55"/>
      <c r="AB790" s="55"/>
      <c r="AC790" s="55"/>
      <c r="AD790" s="55"/>
      <c r="AE790" s="55"/>
      <c r="AF790" s="55"/>
      <c r="AG790" s="55"/>
      <c r="AH790" s="55"/>
      <c r="AI790" s="55"/>
      <c r="AJ790" s="55"/>
      <c r="AK790" s="55"/>
      <c r="AL790" s="55"/>
      <c r="AM790" s="55"/>
      <c r="AN790" s="55"/>
      <c r="AO790" s="55"/>
    </row>
    <row r="791">
      <c r="A791" s="55"/>
      <c r="B791" s="55"/>
      <c r="C791" s="53"/>
      <c r="D791" s="55"/>
      <c r="E791" s="55"/>
      <c r="F791" s="55" t="b">
        <v>0</v>
      </c>
      <c r="G791" s="55"/>
      <c r="H791" s="53"/>
      <c r="I791" s="53"/>
      <c r="J791" s="55"/>
      <c r="K791" s="55"/>
      <c r="L791" s="55"/>
      <c r="M791" s="55"/>
      <c r="N791" s="55"/>
      <c r="O791" s="55" t="b">
        <v>0</v>
      </c>
      <c r="P791" s="55"/>
      <c r="Q791" s="55"/>
      <c r="R791" s="55"/>
      <c r="S791" s="55"/>
      <c r="T791" s="55"/>
      <c r="U791" s="64"/>
      <c r="V791" s="55"/>
      <c r="W791" s="64"/>
      <c r="X791" s="55"/>
      <c r="Y791" s="53"/>
      <c r="Z791" s="55"/>
      <c r="AA791" s="55"/>
      <c r="AB791" s="55"/>
      <c r="AC791" s="55"/>
      <c r="AD791" s="55"/>
      <c r="AE791" s="55"/>
      <c r="AF791" s="55"/>
      <c r="AG791" s="55"/>
      <c r="AH791" s="55"/>
      <c r="AI791" s="55"/>
      <c r="AJ791" s="55"/>
      <c r="AK791" s="55"/>
      <c r="AL791" s="55"/>
      <c r="AM791" s="55"/>
      <c r="AN791" s="55"/>
      <c r="AO791" s="55"/>
    </row>
    <row r="792">
      <c r="A792" s="55"/>
      <c r="B792" s="55"/>
      <c r="C792" s="53"/>
      <c r="D792" s="55"/>
      <c r="E792" s="55"/>
      <c r="F792" s="55" t="b">
        <v>0</v>
      </c>
      <c r="G792" s="55"/>
      <c r="H792" s="53"/>
      <c r="I792" s="53"/>
      <c r="J792" s="55"/>
      <c r="K792" s="55"/>
      <c r="L792" s="55"/>
      <c r="M792" s="55"/>
      <c r="N792" s="55"/>
      <c r="O792" s="55" t="b">
        <v>0</v>
      </c>
      <c r="P792" s="55"/>
      <c r="Q792" s="55"/>
      <c r="R792" s="55"/>
      <c r="S792" s="55"/>
      <c r="T792" s="55"/>
      <c r="U792" s="64"/>
      <c r="V792" s="55"/>
      <c r="W792" s="64"/>
      <c r="X792" s="55"/>
      <c r="Y792" s="53"/>
      <c r="Z792" s="55"/>
      <c r="AA792" s="55"/>
      <c r="AB792" s="55"/>
      <c r="AC792" s="55"/>
      <c r="AD792" s="55"/>
      <c r="AE792" s="55"/>
      <c r="AF792" s="55"/>
      <c r="AG792" s="55"/>
      <c r="AH792" s="55"/>
      <c r="AI792" s="55"/>
      <c r="AJ792" s="55"/>
      <c r="AK792" s="55"/>
      <c r="AL792" s="55"/>
      <c r="AM792" s="55"/>
      <c r="AN792" s="55"/>
      <c r="AO792" s="55"/>
    </row>
    <row r="793">
      <c r="A793" s="55"/>
      <c r="B793" s="55"/>
      <c r="C793" s="53"/>
      <c r="D793" s="55"/>
      <c r="E793" s="55"/>
      <c r="F793" s="55" t="b">
        <v>0</v>
      </c>
      <c r="G793" s="55"/>
      <c r="H793" s="53"/>
      <c r="I793" s="53"/>
      <c r="J793" s="55"/>
      <c r="K793" s="55"/>
      <c r="L793" s="55"/>
      <c r="M793" s="55"/>
      <c r="N793" s="55"/>
      <c r="O793" s="55" t="b">
        <v>0</v>
      </c>
      <c r="P793" s="55"/>
      <c r="Q793" s="55"/>
      <c r="R793" s="55"/>
      <c r="S793" s="55"/>
      <c r="T793" s="55"/>
      <c r="U793" s="64"/>
      <c r="V793" s="55"/>
      <c r="W793" s="64"/>
      <c r="X793" s="55"/>
      <c r="Y793" s="53"/>
      <c r="Z793" s="55"/>
      <c r="AA793" s="55"/>
      <c r="AB793" s="55"/>
      <c r="AC793" s="55"/>
      <c r="AD793" s="55"/>
      <c r="AE793" s="55"/>
      <c r="AF793" s="55"/>
      <c r="AG793" s="55"/>
      <c r="AH793" s="55"/>
      <c r="AI793" s="55"/>
      <c r="AJ793" s="55"/>
      <c r="AK793" s="55"/>
      <c r="AL793" s="55"/>
      <c r="AM793" s="55"/>
      <c r="AN793" s="55"/>
      <c r="AO793" s="55"/>
    </row>
    <row r="794">
      <c r="A794" s="55"/>
      <c r="B794" s="55"/>
      <c r="C794" s="53"/>
      <c r="D794" s="55"/>
      <c r="E794" s="55"/>
      <c r="F794" s="55" t="b">
        <v>0</v>
      </c>
      <c r="G794" s="55"/>
      <c r="H794" s="53"/>
      <c r="I794" s="53"/>
      <c r="J794" s="55"/>
      <c r="K794" s="55"/>
      <c r="L794" s="55"/>
      <c r="M794" s="55"/>
      <c r="N794" s="55"/>
      <c r="O794" s="55" t="b">
        <v>0</v>
      </c>
      <c r="P794" s="55"/>
      <c r="Q794" s="55"/>
      <c r="R794" s="55"/>
      <c r="S794" s="55"/>
      <c r="T794" s="55"/>
      <c r="U794" s="64"/>
      <c r="V794" s="55"/>
      <c r="W794" s="64"/>
      <c r="X794" s="55"/>
      <c r="Y794" s="53"/>
      <c r="Z794" s="55"/>
      <c r="AA794" s="55"/>
      <c r="AB794" s="55"/>
      <c r="AC794" s="55"/>
      <c r="AD794" s="55"/>
      <c r="AE794" s="55"/>
      <c r="AF794" s="55"/>
      <c r="AG794" s="55"/>
      <c r="AH794" s="55"/>
      <c r="AI794" s="55"/>
      <c r="AJ794" s="55"/>
      <c r="AK794" s="55"/>
      <c r="AL794" s="55"/>
      <c r="AM794" s="55"/>
      <c r="AN794" s="55"/>
      <c r="AO794" s="55"/>
    </row>
    <row r="795">
      <c r="A795" s="55"/>
      <c r="B795" s="55"/>
      <c r="C795" s="53"/>
      <c r="D795" s="55"/>
      <c r="E795" s="55"/>
      <c r="F795" s="55" t="b">
        <v>0</v>
      </c>
      <c r="G795" s="55"/>
      <c r="H795" s="53"/>
      <c r="I795" s="53"/>
      <c r="J795" s="55"/>
      <c r="K795" s="55"/>
      <c r="L795" s="55"/>
      <c r="M795" s="55"/>
      <c r="N795" s="55"/>
      <c r="O795" s="55" t="b">
        <v>0</v>
      </c>
      <c r="P795" s="55"/>
      <c r="Q795" s="55"/>
      <c r="R795" s="55"/>
      <c r="S795" s="55"/>
      <c r="T795" s="55"/>
      <c r="U795" s="64"/>
      <c r="V795" s="55"/>
      <c r="W795" s="64"/>
      <c r="X795" s="55"/>
      <c r="Y795" s="53"/>
      <c r="Z795" s="55"/>
      <c r="AA795" s="55"/>
      <c r="AB795" s="55"/>
      <c r="AC795" s="55"/>
      <c r="AD795" s="55"/>
      <c r="AE795" s="55"/>
      <c r="AF795" s="55"/>
      <c r="AG795" s="55"/>
      <c r="AH795" s="55"/>
      <c r="AI795" s="55"/>
      <c r="AJ795" s="55"/>
      <c r="AK795" s="55"/>
      <c r="AL795" s="55"/>
      <c r="AM795" s="55"/>
      <c r="AN795" s="55"/>
      <c r="AO795" s="55"/>
    </row>
    <row r="796">
      <c r="A796" s="55"/>
      <c r="B796" s="55"/>
      <c r="C796" s="53"/>
      <c r="D796" s="55"/>
      <c r="E796" s="55"/>
      <c r="F796" s="55" t="b">
        <v>0</v>
      </c>
      <c r="G796" s="55"/>
      <c r="H796" s="53"/>
      <c r="I796" s="53"/>
      <c r="J796" s="55"/>
      <c r="K796" s="55"/>
      <c r="L796" s="55"/>
      <c r="M796" s="55"/>
      <c r="N796" s="55"/>
      <c r="O796" s="55" t="b">
        <v>0</v>
      </c>
      <c r="P796" s="55"/>
      <c r="Q796" s="55"/>
      <c r="R796" s="55"/>
      <c r="S796" s="55"/>
      <c r="T796" s="55"/>
      <c r="U796" s="64"/>
      <c r="V796" s="55"/>
      <c r="W796" s="64"/>
      <c r="X796" s="55"/>
      <c r="Y796" s="53"/>
      <c r="Z796" s="55"/>
      <c r="AA796" s="55"/>
      <c r="AB796" s="55"/>
      <c r="AC796" s="55"/>
      <c r="AD796" s="55"/>
      <c r="AE796" s="55"/>
      <c r="AF796" s="55"/>
      <c r="AG796" s="55"/>
      <c r="AH796" s="55"/>
      <c r="AI796" s="55"/>
      <c r="AJ796" s="55"/>
      <c r="AK796" s="55"/>
      <c r="AL796" s="55"/>
      <c r="AM796" s="55"/>
      <c r="AN796" s="55"/>
      <c r="AO796" s="55"/>
    </row>
    <row r="797">
      <c r="A797" s="55"/>
      <c r="B797" s="55"/>
      <c r="C797" s="53"/>
      <c r="D797" s="55"/>
      <c r="E797" s="55"/>
      <c r="F797" s="55" t="b">
        <v>0</v>
      </c>
      <c r="G797" s="55"/>
      <c r="H797" s="53"/>
      <c r="I797" s="53"/>
      <c r="J797" s="55"/>
      <c r="K797" s="55"/>
      <c r="L797" s="55"/>
      <c r="M797" s="55"/>
      <c r="N797" s="55"/>
      <c r="O797" s="55" t="b">
        <v>0</v>
      </c>
      <c r="P797" s="55"/>
      <c r="Q797" s="55"/>
      <c r="R797" s="55"/>
      <c r="S797" s="55"/>
      <c r="T797" s="55"/>
      <c r="U797" s="64"/>
      <c r="V797" s="55"/>
      <c r="W797" s="64"/>
      <c r="X797" s="55"/>
      <c r="Y797" s="53"/>
      <c r="Z797" s="55"/>
      <c r="AA797" s="55"/>
      <c r="AB797" s="55"/>
      <c r="AC797" s="55"/>
      <c r="AD797" s="55"/>
      <c r="AE797" s="55"/>
      <c r="AF797" s="55"/>
      <c r="AG797" s="55"/>
      <c r="AH797" s="55"/>
      <c r="AI797" s="55"/>
      <c r="AJ797" s="55"/>
      <c r="AK797" s="55"/>
      <c r="AL797" s="55"/>
      <c r="AM797" s="55"/>
      <c r="AN797" s="55"/>
      <c r="AO797" s="55"/>
    </row>
    <row r="798">
      <c r="A798" s="55"/>
      <c r="B798" s="55"/>
      <c r="C798" s="53"/>
      <c r="D798" s="55"/>
      <c r="E798" s="55"/>
      <c r="F798" s="55" t="b">
        <v>0</v>
      </c>
      <c r="G798" s="55"/>
      <c r="H798" s="53"/>
      <c r="I798" s="53"/>
      <c r="J798" s="55"/>
      <c r="K798" s="55"/>
      <c r="L798" s="55"/>
      <c r="M798" s="55"/>
      <c r="N798" s="55"/>
      <c r="O798" s="55" t="b">
        <v>0</v>
      </c>
      <c r="P798" s="55"/>
      <c r="Q798" s="55"/>
      <c r="R798" s="55"/>
      <c r="S798" s="55"/>
      <c r="T798" s="55"/>
      <c r="U798" s="64"/>
      <c r="V798" s="55"/>
      <c r="W798" s="64"/>
      <c r="X798" s="55"/>
      <c r="Y798" s="53"/>
      <c r="Z798" s="55"/>
      <c r="AA798" s="55"/>
      <c r="AB798" s="55"/>
      <c r="AC798" s="55"/>
      <c r="AD798" s="55"/>
      <c r="AE798" s="55"/>
      <c r="AF798" s="55"/>
      <c r="AG798" s="55"/>
      <c r="AH798" s="55"/>
      <c r="AI798" s="55"/>
      <c r="AJ798" s="55"/>
      <c r="AK798" s="55"/>
      <c r="AL798" s="55"/>
      <c r="AM798" s="55"/>
      <c r="AN798" s="55"/>
      <c r="AO798" s="55"/>
    </row>
    <row r="799">
      <c r="A799" s="55"/>
      <c r="B799" s="55"/>
      <c r="C799" s="53"/>
      <c r="D799" s="55"/>
      <c r="E799" s="55"/>
      <c r="F799" s="55" t="b">
        <v>0</v>
      </c>
      <c r="G799" s="55"/>
      <c r="H799" s="53"/>
      <c r="I799" s="53"/>
      <c r="J799" s="55"/>
      <c r="K799" s="55"/>
      <c r="L799" s="55"/>
      <c r="M799" s="55"/>
      <c r="N799" s="55"/>
      <c r="O799" s="55" t="b">
        <v>0</v>
      </c>
      <c r="P799" s="55"/>
      <c r="Q799" s="55"/>
      <c r="R799" s="55"/>
      <c r="S799" s="55"/>
      <c r="T799" s="55"/>
      <c r="U799" s="64"/>
      <c r="V799" s="55"/>
      <c r="W799" s="64"/>
      <c r="X799" s="55"/>
      <c r="Y799" s="53"/>
      <c r="Z799" s="55"/>
      <c r="AA799" s="55"/>
      <c r="AB799" s="55"/>
      <c r="AC799" s="55"/>
      <c r="AD799" s="55"/>
      <c r="AE799" s="55"/>
      <c r="AF799" s="55"/>
      <c r="AG799" s="55"/>
      <c r="AH799" s="55"/>
      <c r="AI799" s="55"/>
      <c r="AJ799" s="55"/>
      <c r="AK799" s="55"/>
      <c r="AL799" s="55"/>
      <c r="AM799" s="55"/>
      <c r="AN799" s="55"/>
      <c r="AO799" s="55"/>
    </row>
    <row r="800">
      <c r="A800" s="55"/>
      <c r="B800" s="55"/>
      <c r="C800" s="53"/>
      <c r="D800" s="55"/>
      <c r="E800" s="55"/>
      <c r="F800" s="55" t="b">
        <v>0</v>
      </c>
      <c r="G800" s="55"/>
      <c r="H800" s="53"/>
      <c r="I800" s="53"/>
      <c r="J800" s="55"/>
      <c r="K800" s="55"/>
      <c r="L800" s="55"/>
      <c r="M800" s="55"/>
      <c r="N800" s="55"/>
      <c r="O800" s="55" t="b">
        <v>0</v>
      </c>
      <c r="P800" s="55"/>
      <c r="Q800" s="55"/>
      <c r="R800" s="55"/>
      <c r="S800" s="55"/>
      <c r="T800" s="55"/>
      <c r="U800" s="64"/>
      <c r="V800" s="55"/>
      <c r="W800" s="64"/>
      <c r="X800" s="55"/>
      <c r="Y800" s="53"/>
      <c r="Z800" s="55"/>
      <c r="AA800" s="55"/>
      <c r="AB800" s="55"/>
      <c r="AC800" s="55"/>
      <c r="AD800" s="55"/>
      <c r="AE800" s="55"/>
      <c r="AF800" s="55"/>
      <c r="AG800" s="55"/>
      <c r="AH800" s="55"/>
      <c r="AI800" s="55"/>
      <c r="AJ800" s="55"/>
      <c r="AK800" s="55"/>
      <c r="AL800" s="55"/>
      <c r="AM800" s="55"/>
      <c r="AN800" s="55"/>
      <c r="AO800" s="55"/>
    </row>
    <row r="801">
      <c r="A801" s="55"/>
      <c r="B801" s="55"/>
      <c r="C801" s="53"/>
      <c r="D801" s="55"/>
      <c r="E801" s="55"/>
      <c r="F801" s="55" t="b">
        <v>0</v>
      </c>
      <c r="G801" s="55"/>
      <c r="H801" s="53"/>
      <c r="I801" s="53"/>
      <c r="J801" s="55"/>
      <c r="K801" s="55"/>
      <c r="L801" s="55"/>
      <c r="M801" s="55"/>
      <c r="N801" s="55"/>
      <c r="O801" s="55" t="b">
        <v>0</v>
      </c>
      <c r="P801" s="55"/>
      <c r="Q801" s="55"/>
      <c r="R801" s="55"/>
      <c r="S801" s="55"/>
      <c r="T801" s="55"/>
      <c r="U801" s="64"/>
      <c r="V801" s="55"/>
      <c r="W801" s="64"/>
      <c r="X801" s="55"/>
      <c r="Y801" s="53"/>
      <c r="Z801" s="55"/>
      <c r="AA801" s="55"/>
      <c r="AB801" s="55"/>
      <c r="AC801" s="55"/>
      <c r="AD801" s="55"/>
      <c r="AE801" s="55"/>
      <c r="AF801" s="55"/>
      <c r="AG801" s="55"/>
      <c r="AH801" s="55"/>
      <c r="AI801" s="55"/>
      <c r="AJ801" s="55"/>
      <c r="AK801" s="55"/>
      <c r="AL801" s="55"/>
      <c r="AM801" s="55"/>
      <c r="AN801" s="55"/>
      <c r="AO801" s="55"/>
    </row>
    <row r="802">
      <c r="A802" s="55"/>
      <c r="B802" s="55"/>
      <c r="C802" s="53"/>
      <c r="D802" s="55"/>
      <c r="E802" s="55"/>
      <c r="F802" s="55" t="b">
        <v>0</v>
      </c>
      <c r="G802" s="55"/>
      <c r="H802" s="53"/>
      <c r="I802" s="53"/>
      <c r="J802" s="55"/>
      <c r="K802" s="55"/>
      <c r="L802" s="55"/>
      <c r="M802" s="55"/>
      <c r="N802" s="55"/>
      <c r="O802" s="55" t="b">
        <v>0</v>
      </c>
      <c r="P802" s="55"/>
      <c r="Q802" s="55"/>
      <c r="R802" s="55"/>
      <c r="S802" s="55"/>
      <c r="T802" s="55"/>
      <c r="U802" s="64"/>
      <c r="V802" s="55"/>
      <c r="W802" s="64"/>
      <c r="X802" s="55"/>
      <c r="Y802" s="53"/>
      <c r="Z802" s="55"/>
      <c r="AA802" s="55"/>
      <c r="AB802" s="55"/>
      <c r="AC802" s="55"/>
      <c r="AD802" s="55"/>
      <c r="AE802" s="55"/>
      <c r="AF802" s="55"/>
      <c r="AG802" s="55"/>
      <c r="AH802" s="55"/>
      <c r="AI802" s="55"/>
      <c r="AJ802" s="55"/>
      <c r="AK802" s="55"/>
      <c r="AL802" s="55"/>
      <c r="AM802" s="55"/>
      <c r="AN802" s="55"/>
      <c r="AO802" s="55"/>
    </row>
    <row r="803">
      <c r="A803" s="55"/>
      <c r="B803" s="55"/>
      <c r="C803" s="53"/>
      <c r="D803" s="55"/>
      <c r="E803" s="55"/>
      <c r="F803" s="55" t="b">
        <v>0</v>
      </c>
      <c r="G803" s="55"/>
      <c r="H803" s="53"/>
      <c r="I803" s="53"/>
      <c r="J803" s="55"/>
      <c r="K803" s="55"/>
      <c r="L803" s="55"/>
      <c r="M803" s="55"/>
      <c r="N803" s="55"/>
      <c r="O803" s="55" t="b">
        <v>0</v>
      </c>
      <c r="P803" s="55"/>
      <c r="Q803" s="55"/>
      <c r="R803" s="55"/>
      <c r="S803" s="55"/>
      <c r="T803" s="55"/>
      <c r="U803" s="64"/>
      <c r="V803" s="55"/>
      <c r="W803" s="64"/>
      <c r="X803" s="55"/>
      <c r="Y803" s="53"/>
      <c r="Z803" s="55"/>
      <c r="AA803" s="55"/>
      <c r="AB803" s="55"/>
      <c r="AC803" s="55"/>
      <c r="AD803" s="55"/>
      <c r="AE803" s="55"/>
      <c r="AF803" s="55"/>
      <c r="AG803" s="55"/>
      <c r="AH803" s="55"/>
      <c r="AI803" s="55"/>
      <c r="AJ803" s="55"/>
      <c r="AK803" s="55"/>
      <c r="AL803" s="55"/>
      <c r="AM803" s="55"/>
      <c r="AN803" s="55"/>
      <c r="AO803" s="55"/>
    </row>
    <row r="804">
      <c r="A804" s="55"/>
      <c r="B804" s="55"/>
      <c r="C804" s="53"/>
      <c r="D804" s="55"/>
      <c r="E804" s="55"/>
      <c r="F804" s="55" t="b">
        <v>0</v>
      </c>
      <c r="G804" s="55"/>
      <c r="H804" s="53"/>
      <c r="I804" s="53"/>
      <c r="J804" s="55"/>
      <c r="K804" s="55"/>
      <c r="L804" s="55"/>
      <c r="M804" s="55"/>
      <c r="N804" s="55"/>
      <c r="O804" s="55" t="b">
        <v>0</v>
      </c>
      <c r="P804" s="55"/>
      <c r="Q804" s="55"/>
      <c r="R804" s="55"/>
      <c r="S804" s="55"/>
      <c r="T804" s="55"/>
      <c r="U804" s="64"/>
      <c r="V804" s="55"/>
      <c r="W804" s="64"/>
      <c r="X804" s="55"/>
      <c r="Y804" s="53"/>
      <c r="Z804" s="55"/>
      <c r="AA804" s="55"/>
      <c r="AB804" s="55"/>
      <c r="AC804" s="55"/>
      <c r="AD804" s="55"/>
      <c r="AE804" s="55"/>
      <c r="AF804" s="55"/>
      <c r="AG804" s="55"/>
      <c r="AH804" s="55"/>
      <c r="AI804" s="55"/>
      <c r="AJ804" s="55"/>
      <c r="AK804" s="55"/>
      <c r="AL804" s="55"/>
      <c r="AM804" s="55"/>
      <c r="AN804" s="55"/>
      <c r="AO804" s="55"/>
    </row>
    <row r="805">
      <c r="A805" s="55"/>
      <c r="B805" s="55"/>
      <c r="C805" s="53"/>
      <c r="D805" s="55"/>
      <c r="E805" s="55"/>
      <c r="F805" s="55" t="b">
        <v>0</v>
      </c>
      <c r="G805" s="55"/>
      <c r="H805" s="53"/>
      <c r="I805" s="53"/>
      <c r="J805" s="55"/>
      <c r="K805" s="55"/>
      <c r="L805" s="55"/>
      <c r="M805" s="55"/>
      <c r="N805" s="55"/>
      <c r="O805" s="55" t="b">
        <v>0</v>
      </c>
      <c r="P805" s="55"/>
      <c r="Q805" s="55"/>
      <c r="R805" s="55"/>
      <c r="S805" s="55"/>
      <c r="T805" s="55"/>
      <c r="U805" s="64"/>
      <c r="V805" s="55"/>
      <c r="W805" s="64"/>
      <c r="X805" s="55"/>
      <c r="Y805" s="53"/>
      <c r="Z805" s="55"/>
      <c r="AA805" s="55"/>
      <c r="AB805" s="55"/>
      <c r="AC805" s="55"/>
      <c r="AD805" s="55"/>
      <c r="AE805" s="55"/>
      <c r="AF805" s="55"/>
      <c r="AG805" s="55"/>
      <c r="AH805" s="55"/>
      <c r="AI805" s="55"/>
      <c r="AJ805" s="55"/>
      <c r="AK805" s="55"/>
      <c r="AL805" s="55"/>
      <c r="AM805" s="55"/>
      <c r="AN805" s="55"/>
      <c r="AO805" s="55"/>
    </row>
    <row r="806">
      <c r="A806" s="55"/>
      <c r="B806" s="55"/>
      <c r="C806" s="53"/>
      <c r="D806" s="55"/>
      <c r="E806" s="55"/>
      <c r="F806" s="55" t="b">
        <v>0</v>
      </c>
      <c r="G806" s="55"/>
      <c r="H806" s="53"/>
      <c r="I806" s="53"/>
      <c r="J806" s="55"/>
      <c r="K806" s="55"/>
      <c r="L806" s="55"/>
      <c r="M806" s="55"/>
      <c r="N806" s="55"/>
      <c r="O806" s="55" t="b">
        <v>0</v>
      </c>
      <c r="P806" s="55"/>
      <c r="Q806" s="55"/>
      <c r="R806" s="55"/>
      <c r="S806" s="55"/>
      <c r="T806" s="55"/>
      <c r="U806" s="64"/>
      <c r="V806" s="55"/>
      <c r="W806" s="64"/>
      <c r="X806" s="55"/>
      <c r="Y806" s="53"/>
      <c r="Z806" s="55"/>
      <c r="AA806" s="55"/>
      <c r="AB806" s="55"/>
      <c r="AC806" s="55"/>
      <c r="AD806" s="55"/>
      <c r="AE806" s="55"/>
      <c r="AF806" s="55"/>
      <c r="AG806" s="55"/>
      <c r="AH806" s="55"/>
      <c r="AI806" s="55"/>
      <c r="AJ806" s="55"/>
      <c r="AK806" s="55"/>
      <c r="AL806" s="55"/>
      <c r="AM806" s="55"/>
      <c r="AN806" s="55"/>
      <c r="AO806" s="55"/>
    </row>
    <row r="807">
      <c r="A807" s="55"/>
      <c r="B807" s="55"/>
      <c r="C807" s="53"/>
      <c r="D807" s="55"/>
      <c r="E807" s="55"/>
      <c r="F807" s="55" t="b">
        <v>0</v>
      </c>
      <c r="G807" s="55"/>
      <c r="H807" s="53"/>
      <c r="I807" s="53"/>
      <c r="J807" s="55"/>
      <c r="K807" s="55"/>
      <c r="L807" s="55"/>
      <c r="M807" s="55"/>
      <c r="N807" s="55"/>
      <c r="O807" s="55" t="b">
        <v>0</v>
      </c>
      <c r="P807" s="55"/>
      <c r="Q807" s="55"/>
      <c r="R807" s="55"/>
      <c r="S807" s="55"/>
      <c r="T807" s="55"/>
      <c r="U807" s="64"/>
      <c r="V807" s="55"/>
      <c r="W807" s="64"/>
      <c r="X807" s="55"/>
      <c r="Y807" s="53"/>
      <c r="Z807" s="55"/>
      <c r="AA807" s="55"/>
      <c r="AB807" s="55"/>
      <c r="AC807" s="55"/>
      <c r="AD807" s="55"/>
      <c r="AE807" s="55"/>
      <c r="AF807" s="55"/>
      <c r="AG807" s="55"/>
      <c r="AH807" s="55"/>
      <c r="AI807" s="55"/>
      <c r="AJ807" s="55"/>
      <c r="AK807" s="55"/>
      <c r="AL807" s="55"/>
      <c r="AM807" s="55"/>
      <c r="AN807" s="55"/>
      <c r="AO807" s="55"/>
    </row>
    <row r="808">
      <c r="A808" s="55"/>
      <c r="B808" s="55"/>
      <c r="C808" s="53"/>
      <c r="D808" s="55"/>
      <c r="E808" s="55"/>
      <c r="F808" s="55" t="b">
        <v>0</v>
      </c>
      <c r="G808" s="55"/>
      <c r="H808" s="53"/>
      <c r="I808" s="53"/>
      <c r="J808" s="55"/>
      <c r="K808" s="55"/>
      <c r="L808" s="55"/>
      <c r="M808" s="55"/>
      <c r="N808" s="55"/>
      <c r="O808" s="55" t="b">
        <v>0</v>
      </c>
      <c r="P808" s="55"/>
      <c r="Q808" s="55"/>
      <c r="R808" s="55"/>
      <c r="S808" s="55"/>
      <c r="T808" s="55"/>
      <c r="U808" s="64"/>
      <c r="V808" s="55"/>
      <c r="W808" s="64"/>
      <c r="X808" s="55"/>
      <c r="Y808" s="53"/>
      <c r="Z808" s="55"/>
      <c r="AA808" s="55"/>
      <c r="AB808" s="55"/>
      <c r="AC808" s="55"/>
      <c r="AD808" s="55"/>
      <c r="AE808" s="55"/>
      <c r="AF808" s="55"/>
      <c r="AG808" s="55"/>
      <c r="AH808" s="55"/>
      <c r="AI808" s="55"/>
      <c r="AJ808" s="55"/>
      <c r="AK808" s="55"/>
      <c r="AL808" s="55"/>
      <c r="AM808" s="55"/>
      <c r="AN808" s="55"/>
      <c r="AO808" s="55"/>
    </row>
    <row r="809">
      <c r="A809" s="55"/>
      <c r="B809" s="55"/>
      <c r="C809" s="53"/>
      <c r="D809" s="55"/>
      <c r="E809" s="55"/>
      <c r="F809" s="55" t="b">
        <v>0</v>
      </c>
      <c r="G809" s="55"/>
      <c r="H809" s="53"/>
      <c r="I809" s="53"/>
      <c r="J809" s="55"/>
      <c r="K809" s="55"/>
      <c r="L809" s="55"/>
      <c r="M809" s="55"/>
      <c r="N809" s="55"/>
      <c r="O809" s="55" t="b">
        <v>0</v>
      </c>
      <c r="P809" s="55"/>
      <c r="Q809" s="55"/>
      <c r="R809" s="55"/>
      <c r="S809" s="55"/>
      <c r="T809" s="55"/>
      <c r="U809" s="64"/>
      <c r="V809" s="55"/>
      <c r="W809" s="64"/>
      <c r="X809" s="55"/>
      <c r="Y809" s="53"/>
      <c r="Z809" s="55"/>
      <c r="AA809" s="55"/>
      <c r="AB809" s="55"/>
      <c r="AC809" s="55"/>
      <c r="AD809" s="55"/>
      <c r="AE809" s="55"/>
      <c r="AF809" s="55"/>
      <c r="AG809" s="55"/>
      <c r="AH809" s="55"/>
      <c r="AI809" s="55"/>
      <c r="AJ809" s="55"/>
      <c r="AK809" s="55"/>
      <c r="AL809" s="55"/>
      <c r="AM809" s="55"/>
      <c r="AN809" s="55"/>
      <c r="AO809" s="55"/>
    </row>
    <row r="810">
      <c r="A810" s="55"/>
      <c r="B810" s="55"/>
      <c r="C810" s="53"/>
      <c r="D810" s="55"/>
      <c r="E810" s="55"/>
      <c r="F810" s="55" t="b">
        <v>0</v>
      </c>
      <c r="G810" s="55"/>
      <c r="H810" s="53"/>
      <c r="I810" s="53"/>
      <c r="J810" s="55"/>
      <c r="K810" s="55"/>
      <c r="L810" s="55"/>
      <c r="M810" s="55"/>
      <c r="N810" s="55"/>
      <c r="O810" s="55" t="b">
        <v>0</v>
      </c>
      <c r="P810" s="55"/>
      <c r="Q810" s="55"/>
      <c r="R810" s="55"/>
      <c r="S810" s="55"/>
      <c r="T810" s="55"/>
      <c r="U810" s="64"/>
      <c r="V810" s="55"/>
      <c r="W810" s="64"/>
      <c r="X810" s="55"/>
      <c r="Y810" s="53"/>
      <c r="Z810" s="55"/>
      <c r="AA810" s="55"/>
      <c r="AB810" s="55"/>
      <c r="AC810" s="55"/>
      <c r="AD810" s="55"/>
      <c r="AE810" s="55"/>
      <c r="AF810" s="55"/>
      <c r="AG810" s="55"/>
      <c r="AH810" s="55"/>
      <c r="AI810" s="55"/>
      <c r="AJ810" s="55"/>
      <c r="AK810" s="55"/>
      <c r="AL810" s="55"/>
      <c r="AM810" s="55"/>
      <c r="AN810" s="55"/>
      <c r="AO810" s="55"/>
    </row>
    <row r="811">
      <c r="A811" s="55"/>
      <c r="B811" s="55"/>
      <c r="C811" s="53"/>
      <c r="D811" s="55"/>
      <c r="E811" s="55"/>
      <c r="F811" s="55" t="b">
        <v>0</v>
      </c>
      <c r="G811" s="55"/>
      <c r="H811" s="53"/>
      <c r="I811" s="53"/>
      <c r="J811" s="55"/>
      <c r="K811" s="55"/>
      <c r="L811" s="55"/>
      <c r="M811" s="55"/>
      <c r="N811" s="55"/>
      <c r="O811" s="55" t="b">
        <v>0</v>
      </c>
      <c r="P811" s="55"/>
      <c r="Q811" s="55"/>
      <c r="R811" s="55"/>
      <c r="S811" s="55"/>
      <c r="T811" s="55"/>
      <c r="U811" s="64"/>
      <c r="V811" s="55"/>
      <c r="W811" s="64"/>
      <c r="X811" s="55"/>
      <c r="Y811" s="53"/>
      <c r="Z811" s="55"/>
      <c r="AA811" s="55"/>
      <c r="AB811" s="55"/>
      <c r="AC811" s="55"/>
      <c r="AD811" s="55"/>
      <c r="AE811" s="55"/>
      <c r="AF811" s="55"/>
      <c r="AG811" s="55"/>
      <c r="AH811" s="55"/>
      <c r="AI811" s="55"/>
      <c r="AJ811" s="55"/>
      <c r="AK811" s="55"/>
      <c r="AL811" s="55"/>
      <c r="AM811" s="55"/>
      <c r="AN811" s="55"/>
      <c r="AO811" s="55"/>
    </row>
    <row r="812">
      <c r="A812" s="55"/>
      <c r="B812" s="55"/>
      <c r="C812" s="53"/>
      <c r="D812" s="55"/>
      <c r="E812" s="55"/>
      <c r="F812" s="55" t="b">
        <v>0</v>
      </c>
      <c r="G812" s="55"/>
      <c r="H812" s="53"/>
      <c r="I812" s="53"/>
      <c r="J812" s="55"/>
      <c r="K812" s="55"/>
      <c r="L812" s="55"/>
      <c r="M812" s="55"/>
      <c r="N812" s="55"/>
      <c r="O812" s="55" t="b">
        <v>0</v>
      </c>
      <c r="P812" s="55"/>
      <c r="Q812" s="55"/>
      <c r="R812" s="55"/>
      <c r="S812" s="55"/>
      <c r="T812" s="55"/>
      <c r="U812" s="64"/>
      <c r="V812" s="55"/>
      <c r="W812" s="64"/>
      <c r="X812" s="55"/>
      <c r="Y812" s="53"/>
      <c r="Z812" s="55"/>
      <c r="AA812" s="55"/>
      <c r="AB812" s="55"/>
      <c r="AC812" s="55"/>
      <c r="AD812" s="55"/>
      <c r="AE812" s="55"/>
      <c r="AF812" s="55"/>
      <c r="AG812" s="55"/>
      <c r="AH812" s="55"/>
      <c r="AI812" s="55"/>
      <c r="AJ812" s="55"/>
      <c r="AK812" s="55"/>
      <c r="AL812" s="55"/>
      <c r="AM812" s="55"/>
      <c r="AN812" s="55"/>
      <c r="AO812" s="55"/>
    </row>
    <row r="813">
      <c r="A813" s="55"/>
      <c r="B813" s="55"/>
      <c r="C813" s="53"/>
      <c r="D813" s="55"/>
      <c r="E813" s="55"/>
      <c r="F813" s="55" t="b">
        <v>0</v>
      </c>
      <c r="G813" s="55"/>
      <c r="H813" s="53"/>
      <c r="I813" s="53"/>
      <c r="J813" s="55"/>
      <c r="K813" s="55"/>
      <c r="L813" s="55"/>
      <c r="M813" s="55"/>
      <c r="N813" s="55"/>
      <c r="O813" s="55" t="b">
        <v>0</v>
      </c>
      <c r="P813" s="55"/>
      <c r="Q813" s="55"/>
      <c r="R813" s="55"/>
      <c r="S813" s="55"/>
      <c r="T813" s="55"/>
      <c r="U813" s="64"/>
      <c r="V813" s="55"/>
      <c r="W813" s="64"/>
      <c r="X813" s="55"/>
      <c r="Y813" s="53"/>
      <c r="Z813" s="55"/>
      <c r="AA813" s="55"/>
      <c r="AB813" s="55"/>
      <c r="AC813" s="55"/>
      <c r="AD813" s="55"/>
      <c r="AE813" s="55"/>
      <c r="AF813" s="55"/>
      <c r="AG813" s="55"/>
      <c r="AH813" s="55"/>
      <c r="AI813" s="55"/>
      <c r="AJ813" s="55"/>
      <c r="AK813" s="55"/>
      <c r="AL813" s="55"/>
      <c r="AM813" s="55"/>
      <c r="AN813" s="55"/>
      <c r="AO813" s="55"/>
    </row>
    <row r="814">
      <c r="A814" s="55"/>
      <c r="B814" s="55"/>
      <c r="C814" s="53"/>
      <c r="D814" s="55"/>
      <c r="E814" s="55"/>
      <c r="F814" s="55" t="b">
        <v>0</v>
      </c>
      <c r="G814" s="55"/>
      <c r="H814" s="53"/>
      <c r="I814" s="53"/>
      <c r="J814" s="55"/>
      <c r="K814" s="55"/>
      <c r="L814" s="55"/>
      <c r="M814" s="55"/>
      <c r="N814" s="55"/>
      <c r="O814" s="55" t="b">
        <v>0</v>
      </c>
      <c r="P814" s="55"/>
      <c r="Q814" s="55"/>
      <c r="R814" s="55"/>
      <c r="S814" s="55"/>
      <c r="T814" s="55"/>
      <c r="U814" s="64"/>
      <c r="V814" s="55"/>
      <c r="W814" s="64"/>
      <c r="X814" s="55"/>
      <c r="Y814" s="53"/>
      <c r="Z814" s="55"/>
      <c r="AA814" s="55"/>
      <c r="AB814" s="55"/>
      <c r="AC814" s="55"/>
      <c r="AD814" s="55"/>
      <c r="AE814" s="55"/>
      <c r="AF814" s="55"/>
      <c r="AG814" s="55"/>
      <c r="AH814" s="55"/>
      <c r="AI814" s="55"/>
      <c r="AJ814" s="55"/>
      <c r="AK814" s="55"/>
      <c r="AL814" s="55"/>
      <c r="AM814" s="55"/>
      <c r="AN814" s="55"/>
      <c r="AO814" s="55"/>
    </row>
    <row r="815">
      <c r="A815" s="55"/>
      <c r="B815" s="55"/>
      <c r="C815" s="53"/>
      <c r="D815" s="55"/>
      <c r="E815" s="55"/>
      <c r="F815" s="55" t="b">
        <v>0</v>
      </c>
      <c r="G815" s="55"/>
      <c r="H815" s="53"/>
      <c r="I815" s="53"/>
      <c r="J815" s="55"/>
      <c r="K815" s="55"/>
      <c r="L815" s="55"/>
      <c r="M815" s="55"/>
      <c r="N815" s="55"/>
      <c r="O815" s="55" t="b">
        <v>0</v>
      </c>
      <c r="P815" s="55"/>
      <c r="Q815" s="55"/>
      <c r="R815" s="55"/>
      <c r="S815" s="55"/>
      <c r="T815" s="55"/>
      <c r="U815" s="64"/>
      <c r="V815" s="55"/>
      <c r="W815" s="64"/>
      <c r="X815" s="55"/>
      <c r="Y815" s="53"/>
      <c r="Z815" s="55"/>
      <c r="AA815" s="55"/>
      <c r="AB815" s="55"/>
      <c r="AC815" s="55"/>
      <c r="AD815" s="55"/>
      <c r="AE815" s="55"/>
      <c r="AF815" s="55"/>
      <c r="AG815" s="55"/>
      <c r="AH815" s="55"/>
      <c r="AI815" s="55"/>
      <c r="AJ815" s="55"/>
      <c r="AK815" s="55"/>
      <c r="AL815" s="55"/>
      <c r="AM815" s="55"/>
      <c r="AN815" s="55"/>
      <c r="AO815" s="55"/>
    </row>
    <row r="816">
      <c r="A816" s="55"/>
      <c r="B816" s="55"/>
      <c r="C816" s="53"/>
      <c r="D816" s="55"/>
      <c r="E816" s="55"/>
      <c r="F816" s="55" t="b">
        <v>0</v>
      </c>
      <c r="G816" s="55"/>
      <c r="H816" s="53"/>
      <c r="I816" s="53"/>
      <c r="J816" s="55"/>
      <c r="K816" s="55"/>
      <c r="L816" s="55"/>
      <c r="M816" s="55"/>
      <c r="N816" s="55"/>
      <c r="O816" s="55" t="b">
        <v>0</v>
      </c>
      <c r="P816" s="55"/>
      <c r="Q816" s="55"/>
      <c r="R816" s="55"/>
      <c r="S816" s="55"/>
      <c r="T816" s="55"/>
      <c r="U816" s="64"/>
      <c r="V816" s="55"/>
      <c r="W816" s="64"/>
      <c r="X816" s="55"/>
      <c r="Y816" s="53"/>
      <c r="Z816" s="55"/>
      <c r="AA816" s="55"/>
      <c r="AB816" s="55"/>
      <c r="AC816" s="55"/>
      <c r="AD816" s="55"/>
      <c r="AE816" s="55"/>
      <c r="AF816" s="55"/>
      <c r="AG816" s="55"/>
      <c r="AH816" s="55"/>
      <c r="AI816" s="55"/>
      <c r="AJ816" s="55"/>
      <c r="AK816" s="55"/>
      <c r="AL816" s="55"/>
      <c r="AM816" s="55"/>
      <c r="AN816" s="55"/>
      <c r="AO816" s="55"/>
    </row>
    <row r="817">
      <c r="A817" s="55"/>
      <c r="B817" s="55"/>
      <c r="C817" s="53"/>
      <c r="D817" s="55"/>
      <c r="E817" s="55"/>
      <c r="F817" s="55" t="b">
        <v>0</v>
      </c>
      <c r="G817" s="55"/>
      <c r="H817" s="53"/>
      <c r="I817" s="53"/>
      <c r="J817" s="55"/>
      <c r="K817" s="55"/>
      <c r="L817" s="55"/>
      <c r="M817" s="55"/>
      <c r="N817" s="55"/>
      <c r="O817" s="55" t="b">
        <v>0</v>
      </c>
      <c r="P817" s="55"/>
      <c r="Q817" s="55"/>
      <c r="R817" s="55"/>
      <c r="S817" s="55"/>
      <c r="T817" s="55"/>
      <c r="U817" s="64"/>
      <c r="V817" s="55"/>
      <c r="W817" s="64"/>
      <c r="X817" s="55"/>
      <c r="Y817" s="53"/>
      <c r="Z817" s="55"/>
      <c r="AA817" s="55"/>
      <c r="AB817" s="55"/>
      <c r="AC817" s="55"/>
      <c r="AD817" s="55"/>
      <c r="AE817" s="55"/>
      <c r="AF817" s="55"/>
      <c r="AG817" s="55"/>
      <c r="AH817" s="55"/>
      <c r="AI817" s="55"/>
      <c r="AJ817" s="55"/>
      <c r="AK817" s="55"/>
      <c r="AL817" s="55"/>
      <c r="AM817" s="55"/>
      <c r="AN817" s="55"/>
      <c r="AO817" s="55"/>
    </row>
    <row r="818">
      <c r="A818" s="55"/>
      <c r="B818" s="55"/>
      <c r="C818" s="53"/>
      <c r="D818" s="55"/>
      <c r="E818" s="55"/>
      <c r="F818" s="55" t="b">
        <v>0</v>
      </c>
      <c r="G818" s="55"/>
      <c r="H818" s="53"/>
      <c r="I818" s="53"/>
      <c r="J818" s="55"/>
      <c r="K818" s="55"/>
      <c r="L818" s="55"/>
      <c r="M818" s="55"/>
      <c r="N818" s="55"/>
      <c r="O818" s="55" t="b">
        <v>0</v>
      </c>
      <c r="P818" s="55"/>
      <c r="Q818" s="55"/>
      <c r="R818" s="55"/>
      <c r="S818" s="55"/>
      <c r="T818" s="55"/>
      <c r="U818" s="64"/>
      <c r="V818" s="55"/>
      <c r="W818" s="64"/>
      <c r="X818" s="55"/>
      <c r="Y818" s="53"/>
      <c r="Z818" s="55"/>
      <c r="AA818" s="55"/>
      <c r="AB818" s="55"/>
      <c r="AC818" s="55"/>
      <c r="AD818" s="55"/>
      <c r="AE818" s="55"/>
      <c r="AF818" s="55"/>
      <c r="AG818" s="55"/>
      <c r="AH818" s="55"/>
      <c r="AI818" s="55"/>
      <c r="AJ818" s="55"/>
      <c r="AK818" s="55"/>
      <c r="AL818" s="55"/>
      <c r="AM818" s="55"/>
      <c r="AN818" s="55"/>
      <c r="AO818" s="55"/>
    </row>
    <row r="819">
      <c r="A819" s="55"/>
      <c r="B819" s="55"/>
      <c r="C819" s="53"/>
      <c r="D819" s="55"/>
      <c r="E819" s="55"/>
      <c r="F819" s="55" t="b">
        <v>0</v>
      </c>
      <c r="G819" s="55"/>
      <c r="H819" s="53"/>
      <c r="I819" s="53"/>
      <c r="J819" s="55"/>
      <c r="K819" s="55"/>
      <c r="L819" s="55"/>
      <c r="M819" s="55"/>
      <c r="N819" s="55"/>
      <c r="O819" s="55" t="b">
        <v>0</v>
      </c>
      <c r="P819" s="55"/>
      <c r="Q819" s="55"/>
      <c r="R819" s="55"/>
      <c r="S819" s="55"/>
      <c r="T819" s="55"/>
      <c r="U819" s="64"/>
      <c r="V819" s="55"/>
      <c r="W819" s="64"/>
      <c r="X819" s="55"/>
      <c r="Y819" s="53"/>
      <c r="Z819" s="55"/>
      <c r="AA819" s="55"/>
      <c r="AB819" s="55"/>
      <c r="AC819" s="55"/>
      <c r="AD819" s="55"/>
      <c r="AE819" s="55"/>
      <c r="AF819" s="55"/>
      <c r="AG819" s="55"/>
      <c r="AH819" s="55"/>
      <c r="AI819" s="55"/>
      <c r="AJ819" s="55"/>
      <c r="AK819" s="55"/>
      <c r="AL819" s="55"/>
      <c r="AM819" s="55"/>
      <c r="AN819" s="55"/>
      <c r="AO819" s="55"/>
    </row>
    <row r="820">
      <c r="A820" s="55"/>
      <c r="B820" s="55"/>
      <c r="C820" s="53"/>
      <c r="D820" s="55"/>
      <c r="E820" s="55"/>
      <c r="F820" s="55" t="b">
        <v>0</v>
      </c>
      <c r="G820" s="55"/>
      <c r="H820" s="53"/>
      <c r="I820" s="53"/>
      <c r="J820" s="55"/>
      <c r="K820" s="55"/>
      <c r="L820" s="55"/>
      <c r="M820" s="55"/>
      <c r="N820" s="55"/>
      <c r="O820" s="55" t="b">
        <v>0</v>
      </c>
      <c r="P820" s="55"/>
      <c r="Q820" s="55"/>
      <c r="R820" s="55"/>
      <c r="S820" s="55"/>
      <c r="T820" s="55"/>
      <c r="U820" s="64"/>
      <c r="V820" s="55"/>
      <c r="W820" s="64"/>
      <c r="X820" s="55"/>
      <c r="Y820" s="53"/>
      <c r="Z820" s="55"/>
      <c r="AA820" s="55"/>
      <c r="AB820" s="55"/>
      <c r="AC820" s="55"/>
      <c r="AD820" s="55"/>
      <c r="AE820" s="55"/>
      <c r="AF820" s="55"/>
      <c r="AG820" s="55"/>
      <c r="AH820" s="55"/>
      <c r="AI820" s="55"/>
      <c r="AJ820" s="55"/>
      <c r="AK820" s="55"/>
      <c r="AL820" s="55"/>
      <c r="AM820" s="55"/>
      <c r="AN820" s="55"/>
      <c r="AO820" s="55"/>
    </row>
    <row r="821">
      <c r="A821" s="55"/>
      <c r="B821" s="55"/>
      <c r="C821" s="53"/>
      <c r="D821" s="55"/>
      <c r="E821" s="55"/>
      <c r="F821" s="55" t="b">
        <v>0</v>
      </c>
      <c r="G821" s="55"/>
      <c r="H821" s="53"/>
      <c r="I821" s="53"/>
      <c r="J821" s="55"/>
      <c r="K821" s="55"/>
      <c r="L821" s="55"/>
      <c r="M821" s="55"/>
      <c r="N821" s="55"/>
      <c r="O821" s="55" t="b">
        <v>0</v>
      </c>
      <c r="P821" s="55"/>
      <c r="Q821" s="55"/>
      <c r="R821" s="55"/>
      <c r="S821" s="55"/>
      <c r="T821" s="55"/>
      <c r="U821" s="64"/>
      <c r="V821" s="55"/>
      <c r="W821" s="64"/>
      <c r="X821" s="55"/>
      <c r="Y821" s="53"/>
      <c r="Z821" s="55"/>
      <c r="AA821" s="55"/>
      <c r="AB821" s="55"/>
      <c r="AC821" s="55"/>
      <c r="AD821" s="55"/>
      <c r="AE821" s="55"/>
      <c r="AF821" s="55"/>
      <c r="AG821" s="55"/>
      <c r="AH821" s="55"/>
      <c r="AI821" s="55"/>
      <c r="AJ821" s="55"/>
      <c r="AK821" s="55"/>
      <c r="AL821" s="55"/>
      <c r="AM821" s="55"/>
      <c r="AN821" s="55"/>
      <c r="AO821" s="55"/>
    </row>
    <row r="822">
      <c r="A822" s="55"/>
      <c r="B822" s="55"/>
      <c r="C822" s="53"/>
      <c r="D822" s="55"/>
      <c r="E822" s="55"/>
      <c r="F822" s="55" t="b">
        <v>0</v>
      </c>
      <c r="G822" s="55"/>
      <c r="H822" s="53"/>
      <c r="I822" s="53"/>
      <c r="J822" s="55"/>
      <c r="K822" s="55"/>
      <c r="L822" s="55"/>
      <c r="M822" s="55"/>
      <c r="N822" s="55"/>
      <c r="O822" s="55" t="b">
        <v>0</v>
      </c>
      <c r="P822" s="55"/>
      <c r="Q822" s="55"/>
      <c r="R822" s="55"/>
      <c r="S822" s="55"/>
      <c r="T822" s="55"/>
      <c r="U822" s="64"/>
      <c r="V822" s="55"/>
      <c r="W822" s="64"/>
      <c r="X822" s="55"/>
      <c r="Y822" s="53"/>
      <c r="Z822" s="55"/>
      <c r="AA822" s="55"/>
      <c r="AB822" s="55"/>
      <c r="AC822" s="55"/>
      <c r="AD822" s="55"/>
      <c r="AE822" s="55"/>
      <c r="AF822" s="55"/>
      <c r="AG822" s="55"/>
      <c r="AH822" s="55"/>
      <c r="AI822" s="55"/>
      <c r="AJ822" s="55"/>
      <c r="AK822" s="55"/>
      <c r="AL822" s="55"/>
      <c r="AM822" s="55"/>
      <c r="AN822" s="55"/>
      <c r="AO822" s="55"/>
    </row>
    <row r="823">
      <c r="A823" s="55"/>
      <c r="B823" s="55"/>
      <c r="C823" s="53"/>
      <c r="D823" s="55"/>
      <c r="E823" s="55"/>
      <c r="F823" s="55" t="b">
        <v>0</v>
      </c>
      <c r="G823" s="55"/>
      <c r="H823" s="53"/>
      <c r="I823" s="53"/>
      <c r="J823" s="55"/>
      <c r="K823" s="55"/>
      <c r="L823" s="55"/>
      <c r="M823" s="55"/>
      <c r="N823" s="55"/>
      <c r="O823" s="55" t="b">
        <v>0</v>
      </c>
      <c r="P823" s="55"/>
      <c r="Q823" s="55"/>
      <c r="R823" s="55"/>
      <c r="S823" s="55"/>
      <c r="T823" s="55"/>
      <c r="U823" s="64"/>
      <c r="V823" s="55"/>
      <c r="W823" s="64"/>
      <c r="X823" s="55"/>
      <c r="Y823" s="53"/>
      <c r="Z823" s="55"/>
      <c r="AA823" s="55"/>
      <c r="AB823" s="55"/>
      <c r="AC823" s="55"/>
      <c r="AD823" s="55"/>
      <c r="AE823" s="55"/>
      <c r="AF823" s="55"/>
      <c r="AG823" s="55"/>
      <c r="AH823" s="55"/>
      <c r="AI823" s="55"/>
      <c r="AJ823" s="55"/>
      <c r="AK823" s="55"/>
      <c r="AL823" s="55"/>
      <c r="AM823" s="55"/>
      <c r="AN823" s="55"/>
      <c r="AO823" s="55"/>
    </row>
    <row r="824">
      <c r="A824" s="55"/>
      <c r="B824" s="55"/>
      <c r="C824" s="53"/>
      <c r="D824" s="55"/>
      <c r="E824" s="55"/>
      <c r="F824" s="55" t="b">
        <v>0</v>
      </c>
      <c r="G824" s="55"/>
      <c r="H824" s="53"/>
      <c r="I824" s="53"/>
      <c r="J824" s="55"/>
      <c r="K824" s="55"/>
      <c r="L824" s="55"/>
      <c r="M824" s="55"/>
      <c r="N824" s="55"/>
      <c r="O824" s="55" t="b">
        <v>0</v>
      </c>
      <c r="P824" s="55"/>
      <c r="Q824" s="55"/>
      <c r="R824" s="55"/>
      <c r="S824" s="55"/>
      <c r="T824" s="55"/>
      <c r="U824" s="64"/>
      <c r="V824" s="55"/>
      <c r="W824" s="64"/>
      <c r="X824" s="55"/>
      <c r="Y824" s="53"/>
      <c r="Z824" s="55"/>
      <c r="AA824" s="55"/>
      <c r="AB824" s="55"/>
      <c r="AC824" s="55"/>
      <c r="AD824" s="55"/>
      <c r="AE824" s="55"/>
      <c r="AF824" s="55"/>
      <c r="AG824" s="55"/>
      <c r="AH824" s="55"/>
      <c r="AI824" s="55"/>
      <c r="AJ824" s="55"/>
      <c r="AK824" s="55"/>
      <c r="AL824" s="55"/>
      <c r="AM824" s="55"/>
      <c r="AN824" s="55"/>
      <c r="AO824" s="55"/>
    </row>
    <row r="825">
      <c r="A825" s="55"/>
      <c r="B825" s="55"/>
      <c r="C825" s="53"/>
      <c r="D825" s="55"/>
      <c r="E825" s="55"/>
      <c r="F825" s="55" t="b">
        <v>0</v>
      </c>
      <c r="G825" s="55"/>
      <c r="H825" s="53"/>
      <c r="I825" s="53"/>
      <c r="J825" s="55"/>
      <c r="K825" s="55"/>
      <c r="L825" s="55"/>
      <c r="M825" s="55"/>
      <c r="N825" s="55"/>
      <c r="O825" s="55" t="b">
        <v>0</v>
      </c>
      <c r="P825" s="55"/>
      <c r="Q825" s="55"/>
      <c r="R825" s="55"/>
      <c r="S825" s="55"/>
      <c r="T825" s="55"/>
      <c r="U825" s="64"/>
      <c r="V825" s="55"/>
      <c r="W825" s="64"/>
      <c r="X825" s="55"/>
      <c r="Y825" s="53"/>
      <c r="Z825" s="55"/>
      <c r="AA825" s="55"/>
      <c r="AB825" s="55"/>
      <c r="AC825" s="55"/>
      <c r="AD825" s="55"/>
      <c r="AE825" s="55"/>
      <c r="AF825" s="55"/>
      <c r="AG825" s="55"/>
      <c r="AH825" s="55"/>
      <c r="AI825" s="55"/>
      <c r="AJ825" s="55"/>
      <c r="AK825" s="55"/>
      <c r="AL825" s="55"/>
      <c r="AM825" s="55"/>
      <c r="AN825" s="55"/>
      <c r="AO825" s="55"/>
    </row>
    <row r="826">
      <c r="A826" s="55"/>
      <c r="B826" s="55"/>
      <c r="C826" s="53"/>
      <c r="D826" s="55"/>
      <c r="E826" s="55"/>
      <c r="F826" s="55" t="b">
        <v>0</v>
      </c>
      <c r="G826" s="55"/>
      <c r="H826" s="53"/>
      <c r="I826" s="53"/>
      <c r="J826" s="55"/>
      <c r="K826" s="55"/>
      <c r="L826" s="55"/>
      <c r="M826" s="55"/>
      <c r="N826" s="55"/>
      <c r="O826" s="55" t="b">
        <v>0</v>
      </c>
      <c r="P826" s="55"/>
      <c r="Q826" s="55"/>
      <c r="R826" s="55"/>
      <c r="S826" s="55"/>
      <c r="T826" s="55"/>
      <c r="U826" s="64"/>
      <c r="V826" s="55"/>
      <c r="W826" s="64"/>
      <c r="X826" s="55"/>
      <c r="Y826" s="53"/>
      <c r="Z826" s="55"/>
      <c r="AA826" s="55"/>
      <c r="AB826" s="55"/>
      <c r="AC826" s="55"/>
      <c r="AD826" s="55"/>
      <c r="AE826" s="55"/>
      <c r="AF826" s="55"/>
      <c r="AG826" s="55"/>
      <c r="AH826" s="55"/>
      <c r="AI826" s="55"/>
      <c r="AJ826" s="55"/>
      <c r="AK826" s="55"/>
      <c r="AL826" s="55"/>
      <c r="AM826" s="55"/>
      <c r="AN826" s="55"/>
      <c r="AO826" s="55"/>
    </row>
    <row r="827">
      <c r="A827" s="55"/>
      <c r="B827" s="55"/>
      <c r="C827" s="53"/>
      <c r="D827" s="55"/>
      <c r="E827" s="55"/>
      <c r="F827" s="55" t="b">
        <v>0</v>
      </c>
      <c r="G827" s="55"/>
      <c r="H827" s="53"/>
      <c r="I827" s="53"/>
      <c r="J827" s="55"/>
      <c r="K827" s="55"/>
      <c r="L827" s="55"/>
      <c r="M827" s="55"/>
      <c r="N827" s="55"/>
      <c r="O827" s="55" t="b">
        <v>0</v>
      </c>
      <c r="P827" s="55"/>
      <c r="Q827" s="55"/>
      <c r="R827" s="55"/>
      <c r="S827" s="55"/>
      <c r="T827" s="55"/>
      <c r="U827" s="64"/>
      <c r="V827" s="55"/>
      <c r="W827" s="64"/>
      <c r="X827" s="55"/>
      <c r="Y827" s="53"/>
      <c r="Z827" s="55"/>
      <c r="AA827" s="55"/>
      <c r="AB827" s="55"/>
      <c r="AC827" s="55"/>
      <c r="AD827" s="55"/>
      <c r="AE827" s="55"/>
      <c r="AF827" s="55"/>
      <c r="AG827" s="55"/>
      <c r="AH827" s="55"/>
      <c r="AI827" s="55"/>
      <c r="AJ827" s="55"/>
      <c r="AK827" s="55"/>
      <c r="AL827" s="55"/>
      <c r="AM827" s="55"/>
      <c r="AN827" s="55"/>
      <c r="AO827" s="55"/>
    </row>
    <row r="828">
      <c r="A828" s="55"/>
      <c r="B828" s="55"/>
      <c r="C828" s="53"/>
      <c r="D828" s="55"/>
      <c r="E828" s="55"/>
      <c r="F828" s="55" t="b">
        <v>0</v>
      </c>
      <c r="G828" s="55"/>
      <c r="H828" s="53"/>
      <c r="I828" s="53"/>
      <c r="J828" s="55"/>
      <c r="K828" s="55"/>
      <c r="L828" s="55"/>
      <c r="M828" s="55"/>
      <c r="N828" s="55"/>
      <c r="O828" s="55" t="b">
        <v>0</v>
      </c>
      <c r="P828" s="55"/>
      <c r="Q828" s="55"/>
      <c r="R828" s="55"/>
      <c r="S828" s="55"/>
      <c r="T828" s="55"/>
      <c r="U828" s="64"/>
      <c r="V828" s="55"/>
      <c r="W828" s="64"/>
      <c r="X828" s="55"/>
      <c r="Y828" s="53"/>
      <c r="Z828" s="55"/>
      <c r="AA828" s="55"/>
      <c r="AB828" s="55"/>
      <c r="AC828" s="55"/>
      <c r="AD828" s="55"/>
      <c r="AE828" s="55"/>
      <c r="AF828" s="55"/>
      <c r="AG828" s="55"/>
      <c r="AH828" s="55"/>
      <c r="AI828" s="55"/>
      <c r="AJ828" s="55"/>
      <c r="AK828" s="55"/>
      <c r="AL828" s="55"/>
      <c r="AM828" s="55"/>
      <c r="AN828" s="55"/>
      <c r="AO828" s="55"/>
    </row>
    <row r="829">
      <c r="A829" s="55"/>
      <c r="B829" s="55"/>
      <c r="C829" s="53"/>
      <c r="D829" s="55"/>
      <c r="E829" s="55"/>
      <c r="F829" s="55" t="b">
        <v>0</v>
      </c>
      <c r="G829" s="55"/>
      <c r="H829" s="53"/>
      <c r="I829" s="53"/>
      <c r="J829" s="55"/>
      <c r="K829" s="55"/>
      <c r="L829" s="55"/>
      <c r="M829" s="55"/>
      <c r="N829" s="55"/>
      <c r="O829" s="55" t="b">
        <v>0</v>
      </c>
      <c r="P829" s="55"/>
      <c r="Q829" s="55"/>
      <c r="R829" s="55"/>
      <c r="S829" s="55"/>
      <c r="T829" s="55"/>
      <c r="U829" s="64"/>
      <c r="V829" s="55"/>
      <c r="W829" s="64"/>
      <c r="X829" s="55"/>
      <c r="Y829" s="53"/>
      <c r="Z829" s="55"/>
      <c r="AA829" s="55"/>
      <c r="AB829" s="55"/>
      <c r="AC829" s="55"/>
      <c r="AD829" s="55"/>
      <c r="AE829" s="55"/>
      <c r="AF829" s="55"/>
      <c r="AG829" s="55"/>
      <c r="AH829" s="55"/>
      <c r="AI829" s="55"/>
      <c r="AJ829" s="55"/>
      <c r="AK829" s="55"/>
      <c r="AL829" s="55"/>
      <c r="AM829" s="55"/>
      <c r="AN829" s="55"/>
      <c r="AO829" s="55"/>
    </row>
    <row r="830">
      <c r="A830" s="55"/>
      <c r="B830" s="55"/>
      <c r="C830" s="53"/>
      <c r="D830" s="55"/>
      <c r="E830" s="55"/>
      <c r="F830" s="55" t="b">
        <v>0</v>
      </c>
      <c r="G830" s="55"/>
      <c r="H830" s="53"/>
      <c r="I830" s="53"/>
      <c r="J830" s="55"/>
      <c r="K830" s="55"/>
      <c r="L830" s="55"/>
      <c r="M830" s="55"/>
      <c r="N830" s="55"/>
      <c r="O830" s="55" t="b">
        <v>0</v>
      </c>
      <c r="P830" s="55"/>
      <c r="Q830" s="55"/>
      <c r="R830" s="55"/>
      <c r="S830" s="55"/>
      <c r="T830" s="55"/>
      <c r="U830" s="64"/>
      <c r="V830" s="55"/>
      <c r="W830" s="64"/>
      <c r="X830" s="55"/>
      <c r="Y830" s="53"/>
      <c r="Z830" s="55"/>
      <c r="AA830" s="55"/>
      <c r="AB830" s="55"/>
      <c r="AC830" s="55"/>
      <c r="AD830" s="55"/>
      <c r="AE830" s="55"/>
      <c r="AF830" s="55"/>
      <c r="AG830" s="55"/>
      <c r="AH830" s="55"/>
      <c r="AI830" s="55"/>
      <c r="AJ830" s="55"/>
      <c r="AK830" s="55"/>
      <c r="AL830" s="55"/>
      <c r="AM830" s="55"/>
      <c r="AN830" s="55"/>
      <c r="AO830" s="55"/>
    </row>
    <row r="831">
      <c r="A831" s="55"/>
      <c r="B831" s="55"/>
      <c r="C831" s="53"/>
      <c r="D831" s="55"/>
      <c r="E831" s="55"/>
      <c r="F831" s="55" t="b">
        <v>0</v>
      </c>
      <c r="G831" s="55"/>
      <c r="H831" s="53"/>
      <c r="I831" s="53"/>
      <c r="J831" s="55"/>
      <c r="K831" s="55"/>
      <c r="L831" s="55"/>
      <c r="M831" s="55"/>
      <c r="N831" s="55"/>
      <c r="O831" s="55" t="b">
        <v>0</v>
      </c>
      <c r="P831" s="55"/>
      <c r="Q831" s="55"/>
      <c r="R831" s="55"/>
      <c r="S831" s="55"/>
      <c r="T831" s="55"/>
      <c r="U831" s="64"/>
      <c r="V831" s="55"/>
      <c r="W831" s="64"/>
      <c r="X831" s="55"/>
      <c r="Y831" s="53"/>
      <c r="Z831" s="55"/>
      <c r="AA831" s="55"/>
      <c r="AB831" s="55"/>
      <c r="AC831" s="55"/>
      <c r="AD831" s="55"/>
      <c r="AE831" s="55"/>
      <c r="AF831" s="55"/>
      <c r="AG831" s="55"/>
      <c r="AH831" s="55"/>
      <c r="AI831" s="55"/>
      <c r="AJ831" s="55"/>
      <c r="AK831" s="55"/>
      <c r="AL831" s="55"/>
      <c r="AM831" s="55"/>
      <c r="AN831" s="55"/>
      <c r="AO831" s="55"/>
    </row>
    <row r="832">
      <c r="A832" s="55"/>
      <c r="B832" s="55"/>
      <c r="C832" s="53"/>
      <c r="D832" s="55"/>
      <c r="E832" s="55"/>
      <c r="F832" s="55" t="b">
        <v>0</v>
      </c>
      <c r="G832" s="55"/>
      <c r="H832" s="53"/>
      <c r="I832" s="53"/>
      <c r="J832" s="55"/>
      <c r="K832" s="55"/>
      <c r="L832" s="55"/>
      <c r="M832" s="55"/>
      <c r="N832" s="55"/>
      <c r="O832" s="55" t="b">
        <v>0</v>
      </c>
      <c r="P832" s="55"/>
      <c r="Q832" s="55"/>
      <c r="R832" s="55"/>
      <c r="S832" s="55"/>
      <c r="T832" s="55"/>
      <c r="U832" s="64"/>
      <c r="V832" s="55"/>
      <c r="W832" s="64"/>
      <c r="X832" s="55"/>
      <c r="Y832" s="53"/>
      <c r="Z832" s="55"/>
      <c r="AA832" s="55"/>
      <c r="AB832" s="55"/>
      <c r="AC832" s="55"/>
      <c r="AD832" s="55"/>
      <c r="AE832" s="55"/>
      <c r="AF832" s="55"/>
      <c r="AG832" s="55"/>
      <c r="AH832" s="55"/>
      <c r="AI832" s="55"/>
      <c r="AJ832" s="55"/>
      <c r="AK832" s="55"/>
      <c r="AL832" s="55"/>
      <c r="AM832" s="55"/>
      <c r="AN832" s="55"/>
      <c r="AO832" s="55"/>
    </row>
    <row r="833">
      <c r="A833" s="55"/>
      <c r="B833" s="55"/>
      <c r="C833" s="53"/>
      <c r="D833" s="55"/>
      <c r="E833" s="55"/>
      <c r="F833" s="55" t="b">
        <v>0</v>
      </c>
      <c r="G833" s="55"/>
      <c r="H833" s="53"/>
      <c r="I833" s="53"/>
      <c r="J833" s="55"/>
      <c r="K833" s="55"/>
      <c r="L833" s="55"/>
      <c r="M833" s="55"/>
      <c r="N833" s="55"/>
      <c r="O833" s="55" t="b">
        <v>0</v>
      </c>
      <c r="P833" s="55"/>
      <c r="Q833" s="55"/>
      <c r="R833" s="55"/>
      <c r="S833" s="55"/>
      <c r="T833" s="55"/>
      <c r="U833" s="64"/>
      <c r="V833" s="55"/>
      <c r="W833" s="64"/>
      <c r="X833" s="55"/>
      <c r="Y833" s="53"/>
      <c r="Z833" s="55"/>
      <c r="AA833" s="55"/>
      <c r="AB833" s="55"/>
      <c r="AC833" s="55"/>
      <c r="AD833" s="55"/>
      <c r="AE833" s="55"/>
      <c r="AF833" s="55"/>
      <c r="AG833" s="55"/>
      <c r="AH833" s="55"/>
      <c r="AI833" s="55"/>
      <c r="AJ833" s="55"/>
      <c r="AK833" s="55"/>
      <c r="AL833" s="55"/>
      <c r="AM833" s="55"/>
      <c r="AN833" s="55"/>
      <c r="AO833" s="55"/>
    </row>
    <row r="834">
      <c r="A834" s="55"/>
      <c r="B834" s="55"/>
      <c r="C834" s="53"/>
      <c r="D834" s="55"/>
      <c r="E834" s="55"/>
      <c r="F834" s="55" t="b">
        <v>0</v>
      </c>
      <c r="G834" s="55"/>
      <c r="H834" s="53"/>
      <c r="I834" s="53"/>
      <c r="J834" s="55"/>
      <c r="K834" s="55"/>
      <c r="L834" s="55"/>
      <c r="M834" s="55"/>
      <c r="N834" s="55"/>
      <c r="O834" s="55" t="b">
        <v>0</v>
      </c>
      <c r="P834" s="55"/>
      <c r="Q834" s="55"/>
      <c r="R834" s="55"/>
      <c r="S834" s="55"/>
      <c r="T834" s="55"/>
      <c r="U834" s="64"/>
      <c r="V834" s="55"/>
      <c r="W834" s="64"/>
      <c r="X834" s="55"/>
      <c r="Y834" s="53"/>
      <c r="Z834" s="55"/>
      <c r="AA834" s="55"/>
      <c r="AB834" s="55"/>
      <c r="AC834" s="55"/>
      <c r="AD834" s="55"/>
      <c r="AE834" s="55"/>
      <c r="AF834" s="55"/>
      <c r="AG834" s="55"/>
      <c r="AH834" s="55"/>
      <c r="AI834" s="55"/>
      <c r="AJ834" s="55"/>
      <c r="AK834" s="55"/>
      <c r="AL834" s="55"/>
      <c r="AM834" s="55"/>
      <c r="AN834" s="55"/>
      <c r="AO834" s="55"/>
    </row>
    <row r="835">
      <c r="A835" s="55"/>
      <c r="B835" s="55"/>
      <c r="C835" s="53"/>
      <c r="D835" s="55"/>
      <c r="E835" s="55"/>
      <c r="F835" s="55" t="b">
        <v>0</v>
      </c>
      <c r="G835" s="55"/>
      <c r="H835" s="53"/>
      <c r="I835" s="53"/>
      <c r="J835" s="55"/>
      <c r="K835" s="55"/>
      <c r="L835" s="55"/>
      <c r="M835" s="55"/>
      <c r="N835" s="55"/>
      <c r="O835" s="55" t="b">
        <v>0</v>
      </c>
      <c r="P835" s="55"/>
      <c r="Q835" s="55"/>
      <c r="R835" s="55"/>
      <c r="S835" s="55"/>
      <c r="T835" s="55"/>
      <c r="U835" s="64"/>
      <c r="V835" s="55"/>
      <c r="W835" s="64"/>
      <c r="X835" s="55"/>
      <c r="Y835" s="53"/>
      <c r="Z835" s="55"/>
      <c r="AA835" s="55"/>
      <c r="AB835" s="55"/>
      <c r="AC835" s="55"/>
      <c r="AD835" s="55"/>
      <c r="AE835" s="55"/>
      <c r="AF835" s="55"/>
      <c r="AG835" s="55"/>
      <c r="AH835" s="55"/>
      <c r="AI835" s="55"/>
      <c r="AJ835" s="55"/>
      <c r="AK835" s="55"/>
      <c r="AL835" s="55"/>
      <c r="AM835" s="55"/>
      <c r="AN835" s="55"/>
      <c r="AO835" s="55"/>
    </row>
    <row r="836">
      <c r="A836" s="55"/>
      <c r="B836" s="55"/>
      <c r="C836" s="53"/>
      <c r="D836" s="55"/>
      <c r="E836" s="55"/>
      <c r="F836" s="55" t="b">
        <v>0</v>
      </c>
      <c r="G836" s="55"/>
      <c r="H836" s="53"/>
      <c r="I836" s="53"/>
      <c r="J836" s="55"/>
      <c r="K836" s="55"/>
      <c r="L836" s="55"/>
      <c r="M836" s="55"/>
      <c r="N836" s="55"/>
      <c r="O836" s="55" t="b">
        <v>0</v>
      </c>
      <c r="P836" s="55"/>
      <c r="Q836" s="55"/>
      <c r="R836" s="55"/>
      <c r="S836" s="55"/>
      <c r="T836" s="55"/>
      <c r="U836" s="64"/>
      <c r="V836" s="55"/>
      <c r="W836" s="64"/>
      <c r="X836" s="55"/>
      <c r="Y836" s="53"/>
      <c r="Z836" s="55"/>
      <c r="AA836" s="55"/>
      <c r="AB836" s="55"/>
      <c r="AC836" s="55"/>
      <c r="AD836" s="55"/>
      <c r="AE836" s="55"/>
      <c r="AF836" s="55"/>
      <c r="AG836" s="55"/>
      <c r="AH836" s="55"/>
      <c r="AI836" s="55"/>
      <c r="AJ836" s="55"/>
      <c r="AK836" s="55"/>
      <c r="AL836" s="55"/>
      <c r="AM836" s="55"/>
      <c r="AN836" s="55"/>
      <c r="AO836" s="55"/>
    </row>
    <row r="837">
      <c r="A837" s="55"/>
      <c r="B837" s="55"/>
      <c r="C837" s="53"/>
      <c r="D837" s="55"/>
      <c r="E837" s="55"/>
      <c r="F837" s="55" t="b">
        <v>0</v>
      </c>
      <c r="G837" s="55"/>
      <c r="H837" s="53"/>
      <c r="I837" s="53"/>
      <c r="J837" s="55"/>
      <c r="K837" s="55"/>
      <c r="L837" s="55"/>
      <c r="M837" s="55"/>
      <c r="N837" s="55"/>
      <c r="O837" s="55" t="b">
        <v>0</v>
      </c>
      <c r="P837" s="55"/>
      <c r="Q837" s="55"/>
      <c r="R837" s="55"/>
      <c r="S837" s="55"/>
      <c r="T837" s="55"/>
      <c r="U837" s="64"/>
      <c r="V837" s="55"/>
      <c r="W837" s="64"/>
      <c r="X837" s="55"/>
      <c r="Y837" s="53"/>
      <c r="Z837" s="55"/>
      <c r="AA837" s="55"/>
      <c r="AB837" s="55"/>
      <c r="AC837" s="55"/>
      <c r="AD837" s="55"/>
      <c r="AE837" s="55"/>
      <c r="AF837" s="55"/>
      <c r="AG837" s="55"/>
      <c r="AH837" s="55"/>
      <c r="AI837" s="55"/>
      <c r="AJ837" s="55"/>
      <c r="AK837" s="55"/>
      <c r="AL837" s="55"/>
      <c r="AM837" s="55"/>
      <c r="AN837" s="55"/>
      <c r="AO837" s="55"/>
    </row>
    <row r="838">
      <c r="A838" s="55"/>
      <c r="B838" s="55"/>
      <c r="C838" s="53"/>
      <c r="D838" s="55"/>
      <c r="E838" s="55"/>
      <c r="F838" s="55" t="b">
        <v>0</v>
      </c>
      <c r="G838" s="55"/>
      <c r="H838" s="53"/>
      <c r="I838" s="53"/>
      <c r="J838" s="55"/>
      <c r="K838" s="55"/>
      <c r="L838" s="55"/>
      <c r="M838" s="55"/>
      <c r="N838" s="55"/>
      <c r="O838" s="55" t="b">
        <v>0</v>
      </c>
      <c r="P838" s="55"/>
      <c r="Q838" s="55"/>
      <c r="R838" s="55"/>
      <c r="S838" s="55"/>
      <c r="T838" s="55"/>
      <c r="U838" s="64"/>
      <c r="V838" s="55"/>
      <c r="W838" s="64"/>
      <c r="X838" s="55"/>
      <c r="Y838" s="53"/>
      <c r="Z838" s="55"/>
      <c r="AA838" s="55"/>
      <c r="AB838" s="55"/>
      <c r="AC838" s="55"/>
      <c r="AD838" s="55"/>
      <c r="AE838" s="55"/>
      <c r="AF838" s="55"/>
      <c r="AG838" s="55"/>
      <c r="AH838" s="55"/>
      <c r="AI838" s="55"/>
      <c r="AJ838" s="55"/>
      <c r="AK838" s="55"/>
      <c r="AL838" s="55"/>
      <c r="AM838" s="55"/>
      <c r="AN838" s="55"/>
      <c r="AO838" s="55"/>
    </row>
    <row r="839">
      <c r="A839" s="55"/>
      <c r="B839" s="55"/>
      <c r="C839" s="53"/>
      <c r="D839" s="55"/>
      <c r="E839" s="55"/>
      <c r="F839" s="55" t="b">
        <v>0</v>
      </c>
      <c r="G839" s="55"/>
      <c r="H839" s="53"/>
      <c r="I839" s="53"/>
      <c r="J839" s="55"/>
      <c r="K839" s="55"/>
      <c r="L839" s="55"/>
      <c r="M839" s="55"/>
      <c r="N839" s="55"/>
      <c r="O839" s="55" t="b">
        <v>0</v>
      </c>
      <c r="P839" s="55"/>
      <c r="Q839" s="55"/>
      <c r="R839" s="55"/>
      <c r="S839" s="55"/>
      <c r="T839" s="55"/>
      <c r="U839" s="64"/>
      <c r="V839" s="55"/>
      <c r="W839" s="64"/>
      <c r="X839" s="55"/>
      <c r="Y839" s="53"/>
      <c r="Z839" s="55"/>
      <c r="AA839" s="55"/>
      <c r="AB839" s="55"/>
      <c r="AC839" s="55"/>
      <c r="AD839" s="55"/>
      <c r="AE839" s="55"/>
      <c r="AF839" s="55"/>
      <c r="AG839" s="55"/>
      <c r="AH839" s="55"/>
      <c r="AI839" s="55"/>
      <c r="AJ839" s="55"/>
      <c r="AK839" s="55"/>
      <c r="AL839" s="55"/>
      <c r="AM839" s="55"/>
      <c r="AN839" s="55"/>
      <c r="AO839" s="55"/>
    </row>
    <row r="840">
      <c r="A840" s="55"/>
      <c r="B840" s="55"/>
      <c r="C840" s="53"/>
      <c r="D840" s="55"/>
      <c r="E840" s="55"/>
      <c r="F840" s="55" t="b">
        <v>0</v>
      </c>
      <c r="G840" s="55"/>
      <c r="H840" s="53"/>
      <c r="I840" s="53"/>
      <c r="J840" s="55"/>
      <c r="K840" s="55"/>
      <c r="L840" s="55"/>
      <c r="M840" s="55"/>
      <c r="N840" s="55"/>
      <c r="O840" s="55" t="b">
        <v>0</v>
      </c>
      <c r="P840" s="55"/>
      <c r="Q840" s="55"/>
      <c r="R840" s="55"/>
      <c r="S840" s="55"/>
      <c r="T840" s="55"/>
      <c r="U840" s="64"/>
      <c r="V840" s="55"/>
      <c r="W840" s="64"/>
      <c r="X840" s="55"/>
      <c r="Y840" s="53"/>
      <c r="Z840" s="55"/>
      <c r="AA840" s="55"/>
      <c r="AB840" s="55"/>
      <c r="AC840" s="55"/>
      <c r="AD840" s="55"/>
      <c r="AE840" s="55"/>
      <c r="AF840" s="55"/>
      <c r="AG840" s="55"/>
      <c r="AH840" s="55"/>
      <c r="AI840" s="55"/>
      <c r="AJ840" s="55"/>
      <c r="AK840" s="55"/>
      <c r="AL840" s="55"/>
      <c r="AM840" s="55"/>
      <c r="AN840" s="55"/>
      <c r="AO840" s="55"/>
    </row>
    <row r="841">
      <c r="A841" s="55"/>
      <c r="B841" s="55"/>
      <c r="C841" s="53"/>
      <c r="D841" s="55"/>
      <c r="E841" s="55"/>
      <c r="F841" s="55" t="b">
        <v>0</v>
      </c>
      <c r="G841" s="55"/>
      <c r="H841" s="53"/>
      <c r="I841" s="53"/>
      <c r="J841" s="55"/>
      <c r="K841" s="55"/>
      <c r="L841" s="55"/>
      <c r="M841" s="55"/>
      <c r="N841" s="55"/>
      <c r="O841" s="55" t="b">
        <v>0</v>
      </c>
      <c r="P841" s="55"/>
      <c r="Q841" s="55"/>
      <c r="R841" s="55"/>
      <c r="S841" s="55"/>
      <c r="T841" s="55"/>
      <c r="U841" s="64"/>
      <c r="V841" s="55"/>
      <c r="W841" s="64"/>
      <c r="X841" s="55"/>
      <c r="Y841" s="53"/>
      <c r="Z841" s="55"/>
      <c r="AA841" s="55"/>
      <c r="AB841" s="55"/>
      <c r="AC841" s="55"/>
      <c r="AD841" s="55"/>
      <c r="AE841" s="55"/>
      <c r="AF841" s="55"/>
      <c r="AG841" s="55"/>
      <c r="AH841" s="55"/>
      <c r="AI841" s="55"/>
      <c r="AJ841" s="55"/>
      <c r="AK841" s="55"/>
      <c r="AL841" s="55"/>
      <c r="AM841" s="55"/>
      <c r="AN841" s="55"/>
      <c r="AO841" s="55"/>
    </row>
    <row r="842">
      <c r="A842" s="55"/>
      <c r="B842" s="55"/>
      <c r="C842" s="53"/>
      <c r="D842" s="55"/>
      <c r="E842" s="55"/>
      <c r="F842" s="55" t="b">
        <v>0</v>
      </c>
      <c r="G842" s="55"/>
      <c r="H842" s="53"/>
      <c r="I842" s="53"/>
      <c r="J842" s="55"/>
      <c r="K842" s="55"/>
      <c r="L842" s="55"/>
      <c r="M842" s="55"/>
      <c r="N842" s="55"/>
      <c r="O842" s="55" t="b">
        <v>0</v>
      </c>
      <c r="P842" s="55"/>
      <c r="Q842" s="55"/>
      <c r="R842" s="55"/>
      <c r="S842" s="55"/>
      <c r="T842" s="55"/>
      <c r="U842" s="64"/>
      <c r="V842" s="55"/>
      <c r="W842" s="64"/>
      <c r="X842" s="55"/>
      <c r="Y842" s="53"/>
      <c r="Z842" s="55"/>
      <c r="AA842" s="55"/>
      <c r="AB842" s="55"/>
      <c r="AC842" s="55"/>
      <c r="AD842" s="55"/>
      <c r="AE842" s="55"/>
      <c r="AF842" s="55"/>
      <c r="AG842" s="55"/>
      <c r="AH842" s="55"/>
      <c r="AI842" s="55"/>
      <c r="AJ842" s="55"/>
      <c r="AK842" s="55"/>
      <c r="AL842" s="55"/>
      <c r="AM842" s="55"/>
      <c r="AN842" s="55"/>
      <c r="AO842" s="55"/>
    </row>
    <row r="843">
      <c r="A843" s="55"/>
      <c r="B843" s="55"/>
      <c r="C843" s="53"/>
      <c r="D843" s="55"/>
      <c r="E843" s="55"/>
      <c r="F843" s="55" t="b">
        <v>0</v>
      </c>
      <c r="G843" s="55"/>
      <c r="H843" s="53"/>
      <c r="I843" s="53"/>
      <c r="J843" s="55"/>
      <c r="K843" s="55"/>
      <c r="L843" s="55"/>
      <c r="M843" s="55"/>
      <c r="N843" s="55"/>
      <c r="O843" s="55" t="b">
        <v>0</v>
      </c>
      <c r="P843" s="55"/>
      <c r="Q843" s="55"/>
      <c r="R843" s="55"/>
      <c r="S843" s="55"/>
      <c r="T843" s="55"/>
      <c r="U843" s="64"/>
      <c r="V843" s="55"/>
      <c r="W843" s="64"/>
      <c r="X843" s="55"/>
      <c r="Y843" s="53"/>
      <c r="Z843" s="55"/>
      <c r="AA843" s="55"/>
      <c r="AB843" s="55"/>
      <c r="AC843" s="55"/>
      <c r="AD843" s="55"/>
      <c r="AE843" s="55"/>
      <c r="AF843" s="55"/>
      <c r="AG843" s="55"/>
      <c r="AH843" s="55"/>
      <c r="AI843" s="55"/>
      <c r="AJ843" s="55"/>
      <c r="AK843" s="55"/>
      <c r="AL843" s="55"/>
      <c r="AM843" s="55"/>
      <c r="AN843" s="55"/>
      <c r="AO843" s="55"/>
    </row>
    <row r="844">
      <c r="A844" s="55"/>
      <c r="B844" s="55"/>
      <c r="C844" s="53"/>
      <c r="D844" s="55"/>
      <c r="E844" s="55"/>
      <c r="F844" s="55" t="b">
        <v>0</v>
      </c>
      <c r="G844" s="55"/>
      <c r="H844" s="53"/>
      <c r="I844" s="53"/>
      <c r="J844" s="55"/>
      <c r="K844" s="55"/>
      <c r="L844" s="55"/>
      <c r="M844" s="55"/>
      <c r="N844" s="55"/>
      <c r="O844" s="55" t="b">
        <v>0</v>
      </c>
      <c r="P844" s="55"/>
      <c r="Q844" s="55"/>
      <c r="R844" s="55"/>
      <c r="S844" s="55"/>
      <c r="T844" s="55"/>
      <c r="U844" s="64"/>
      <c r="V844" s="55"/>
      <c r="W844" s="64"/>
      <c r="X844" s="55"/>
      <c r="Y844" s="53"/>
      <c r="Z844" s="55"/>
      <c r="AA844" s="55"/>
      <c r="AB844" s="55"/>
      <c r="AC844" s="55"/>
      <c r="AD844" s="55"/>
      <c r="AE844" s="55"/>
      <c r="AF844" s="55"/>
      <c r="AG844" s="55"/>
      <c r="AH844" s="55"/>
      <c r="AI844" s="55"/>
      <c r="AJ844" s="55"/>
      <c r="AK844" s="55"/>
      <c r="AL844" s="55"/>
      <c r="AM844" s="55"/>
      <c r="AN844" s="55"/>
      <c r="AO844" s="55"/>
    </row>
    <row r="845">
      <c r="A845" s="55"/>
      <c r="B845" s="55"/>
      <c r="C845" s="53"/>
      <c r="D845" s="55"/>
      <c r="E845" s="55"/>
      <c r="F845" s="55" t="b">
        <v>0</v>
      </c>
      <c r="G845" s="55"/>
      <c r="H845" s="53"/>
      <c r="I845" s="53"/>
      <c r="J845" s="55"/>
      <c r="K845" s="55"/>
      <c r="L845" s="55"/>
      <c r="M845" s="55"/>
      <c r="N845" s="55"/>
      <c r="O845" s="55" t="b">
        <v>0</v>
      </c>
      <c r="P845" s="55"/>
      <c r="Q845" s="55"/>
      <c r="R845" s="55"/>
      <c r="S845" s="55"/>
      <c r="T845" s="55"/>
      <c r="U845" s="64"/>
      <c r="V845" s="55"/>
      <c r="W845" s="64"/>
      <c r="X845" s="55"/>
      <c r="Y845" s="53"/>
      <c r="Z845" s="55"/>
      <c r="AA845" s="55"/>
      <c r="AB845" s="55"/>
      <c r="AC845" s="55"/>
      <c r="AD845" s="55"/>
      <c r="AE845" s="55"/>
      <c r="AF845" s="55"/>
      <c r="AG845" s="55"/>
      <c r="AH845" s="55"/>
      <c r="AI845" s="55"/>
      <c r="AJ845" s="55"/>
      <c r="AK845" s="55"/>
      <c r="AL845" s="55"/>
      <c r="AM845" s="55"/>
      <c r="AN845" s="55"/>
      <c r="AO845" s="55"/>
    </row>
    <row r="846">
      <c r="A846" s="55"/>
      <c r="B846" s="55"/>
      <c r="C846" s="53"/>
      <c r="D846" s="55"/>
      <c r="E846" s="55"/>
      <c r="F846" s="55" t="b">
        <v>0</v>
      </c>
      <c r="G846" s="55"/>
      <c r="H846" s="53"/>
      <c r="I846" s="53"/>
      <c r="J846" s="55"/>
      <c r="K846" s="55"/>
      <c r="L846" s="55"/>
      <c r="M846" s="55"/>
      <c r="N846" s="55"/>
      <c r="O846" s="55" t="b">
        <v>0</v>
      </c>
      <c r="P846" s="55"/>
      <c r="Q846" s="55"/>
      <c r="R846" s="55"/>
      <c r="S846" s="55"/>
      <c r="T846" s="55"/>
      <c r="U846" s="64"/>
      <c r="V846" s="55"/>
      <c r="W846" s="64"/>
      <c r="X846" s="55"/>
      <c r="Y846" s="53"/>
      <c r="Z846" s="55"/>
      <c r="AA846" s="55"/>
      <c r="AB846" s="55"/>
      <c r="AC846" s="55"/>
      <c r="AD846" s="55"/>
      <c r="AE846" s="55"/>
      <c r="AF846" s="55"/>
      <c r="AG846" s="55"/>
      <c r="AH846" s="55"/>
      <c r="AI846" s="55"/>
      <c r="AJ846" s="55"/>
      <c r="AK846" s="55"/>
      <c r="AL846" s="55"/>
      <c r="AM846" s="55"/>
      <c r="AN846" s="55"/>
      <c r="AO846" s="55"/>
    </row>
    <row r="847">
      <c r="A847" s="55"/>
      <c r="B847" s="55"/>
      <c r="C847" s="53"/>
      <c r="D847" s="55"/>
      <c r="E847" s="55"/>
      <c r="F847" s="55" t="b">
        <v>0</v>
      </c>
      <c r="G847" s="55"/>
      <c r="H847" s="53"/>
      <c r="I847" s="53"/>
      <c r="J847" s="55"/>
      <c r="K847" s="55"/>
      <c r="L847" s="55"/>
      <c r="M847" s="55"/>
      <c r="N847" s="55"/>
      <c r="O847" s="55" t="b">
        <v>0</v>
      </c>
      <c r="P847" s="55"/>
      <c r="Q847" s="55"/>
      <c r="R847" s="55"/>
      <c r="S847" s="55"/>
      <c r="T847" s="55"/>
      <c r="U847" s="64"/>
      <c r="V847" s="55"/>
      <c r="W847" s="64"/>
      <c r="X847" s="55"/>
      <c r="Y847" s="53"/>
      <c r="Z847" s="55"/>
      <c r="AA847" s="55"/>
      <c r="AB847" s="55"/>
      <c r="AC847" s="55"/>
      <c r="AD847" s="55"/>
      <c r="AE847" s="55"/>
      <c r="AF847" s="55"/>
      <c r="AG847" s="55"/>
      <c r="AH847" s="55"/>
      <c r="AI847" s="55"/>
      <c r="AJ847" s="55"/>
      <c r="AK847" s="55"/>
      <c r="AL847" s="55"/>
      <c r="AM847" s="55"/>
      <c r="AN847" s="55"/>
      <c r="AO847" s="55"/>
    </row>
    <row r="848">
      <c r="A848" s="55"/>
      <c r="B848" s="55"/>
      <c r="C848" s="53"/>
      <c r="D848" s="55"/>
      <c r="E848" s="55"/>
      <c r="F848" s="55" t="b">
        <v>0</v>
      </c>
      <c r="G848" s="55"/>
      <c r="H848" s="53"/>
      <c r="I848" s="53"/>
      <c r="J848" s="55"/>
      <c r="K848" s="55"/>
      <c r="L848" s="55"/>
      <c r="M848" s="55"/>
      <c r="N848" s="55"/>
      <c r="O848" s="55" t="b">
        <v>0</v>
      </c>
      <c r="P848" s="55"/>
      <c r="Q848" s="55"/>
      <c r="R848" s="55"/>
      <c r="S848" s="55"/>
      <c r="T848" s="55"/>
      <c r="U848" s="64"/>
      <c r="V848" s="55"/>
      <c r="W848" s="64"/>
      <c r="X848" s="55"/>
      <c r="Y848" s="53"/>
      <c r="Z848" s="55"/>
      <c r="AA848" s="55"/>
      <c r="AB848" s="55"/>
      <c r="AC848" s="55"/>
      <c r="AD848" s="55"/>
      <c r="AE848" s="55"/>
      <c r="AF848" s="55"/>
      <c r="AG848" s="55"/>
      <c r="AH848" s="55"/>
      <c r="AI848" s="55"/>
      <c r="AJ848" s="55"/>
      <c r="AK848" s="55"/>
      <c r="AL848" s="55"/>
      <c r="AM848" s="55"/>
      <c r="AN848" s="55"/>
      <c r="AO848" s="55"/>
    </row>
    <row r="849">
      <c r="A849" s="55"/>
      <c r="B849" s="55"/>
      <c r="C849" s="53"/>
      <c r="D849" s="55"/>
      <c r="E849" s="55"/>
      <c r="F849" s="55" t="b">
        <v>0</v>
      </c>
      <c r="G849" s="55"/>
      <c r="H849" s="53"/>
      <c r="I849" s="53"/>
      <c r="J849" s="55"/>
      <c r="K849" s="55"/>
      <c r="L849" s="55"/>
      <c r="M849" s="55"/>
      <c r="N849" s="55"/>
      <c r="O849" s="55" t="b">
        <v>0</v>
      </c>
      <c r="P849" s="55"/>
      <c r="Q849" s="55"/>
      <c r="R849" s="55"/>
      <c r="S849" s="55"/>
      <c r="T849" s="55"/>
      <c r="U849" s="64"/>
      <c r="V849" s="55"/>
      <c r="W849" s="64"/>
      <c r="X849" s="55"/>
      <c r="Y849" s="53"/>
      <c r="Z849" s="55"/>
      <c r="AA849" s="55"/>
      <c r="AB849" s="55"/>
      <c r="AC849" s="55"/>
      <c r="AD849" s="55"/>
      <c r="AE849" s="55"/>
      <c r="AF849" s="55"/>
      <c r="AG849" s="55"/>
      <c r="AH849" s="55"/>
      <c r="AI849" s="55"/>
      <c r="AJ849" s="55"/>
      <c r="AK849" s="55"/>
      <c r="AL849" s="55"/>
      <c r="AM849" s="55"/>
      <c r="AN849" s="55"/>
      <c r="AO849" s="55"/>
    </row>
    <row r="850">
      <c r="A850" s="55"/>
      <c r="B850" s="55"/>
      <c r="C850" s="53"/>
      <c r="D850" s="55"/>
      <c r="E850" s="55"/>
      <c r="F850" s="55" t="b">
        <v>0</v>
      </c>
      <c r="G850" s="55"/>
      <c r="H850" s="53"/>
      <c r="I850" s="53"/>
      <c r="J850" s="55"/>
      <c r="K850" s="55"/>
      <c r="L850" s="55"/>
      <c r="M850" s="55"/>
      <c r="N850" s="55"/>
      <c r="O850" s="55" t="b">
        <v>0</v>
      </c>
      <c r="P850" s="55"/>
      <c r="Q850" s="55"/>
      <c r="R850" s="55"/>
      <c r="S850" s="55"/>
      <c r="T850" s="55"/>
      <c r="U850" s="64"/>
      <c r="V850" s="55"/>
      <c r="W850" s="64"/>
      <c r="X850" s="55"/>
      <c r="Y850" s="53"/>
      <c r="Z850" s="55"/>
      <c r="AA850" s="55"/>
      <c r="AB850" s="55"/>
      <c r="AC850" s="55"/>
      <c r="AD850" s="55"/>
      <c r="AE850" s="55"/>
      <c r="AF850" s="55"/>
      <c r="AG850" s="55"/>
      <c r="AH850" s="55"/>
      <c r="AI850" s="55"/>
      <c r="AJ850" s="55"/>
      <c r="AK850" s="55"/>
      <c r="AL850" s="55"/>
      <c r="AM850" s="55"/>
      <c r="AN850" s="55"/>
      <c r="AO850" s="55"/>
    </row>
    <row r="851">
      <c r="A851" s="55"/>
      <c r="B851" s="55"/>
      <c r="C851" s="53"/>
      <c r="D851" s="55"/>
      <c r="E851" s="55"/>
      <c r="F851" s="55" t="b">
        <v>0</v>
      </c>
      <c r="G851" s="55"/>
      <c r="H851" s="53"/>
      <c r="I851" s="53"/>
      <c r="J851" s="55"/>
      <c r="K851" s="55"/>
      <c r="L851" s="55"/>
      <c r="M851" s="55"/>
      <c r="N851" s="55"/>
      <c r="O851" s="55" t="b">
        <v>0</v>
      </c>
      <c r="P851" s="55"/>
      <c r="Q851" s="55"/>
      <c r="R851" s="55"/>
      <c r="S851" s="55"/>
      <c r="T851" s="55"/>
      <c r="U851" s="64"/>
      <c r="V851" s="55"/>
      <c r="W851" s="64"/>
      <c r="X851" s="55"/>
      <c r="Y851" s="53"/>
      <c r="Z851" s="55"/>
      <c r="AA851" s="55"/>
      <c r="AB851" s="55"/>
      <c r="AC851" s="55"/>
      <c r="AD851" s="55"/>
      <c r="AE851" s="55"/>
      <c r="AF851" s="55"/>
      <c r="AG851" s="55"/>
      <c r="AH851" s="55"/>
      <c r="AI851" s="55"/>
      <c r="AJ851" s="55"/>
      <c r="AK851" s="55"/>
      <c r="AL851" s="55"/>
      <c r="AM851" s="55"/>
      <c r="AN851" s="55"/>
      <c r="AO851" s="55"/>
    </row>
    <row r="852">
      <c r="A852" s="55"/>
      <c r="B852" s="55"/>
      <c r="C852" s="53"/>
      <c r="D852" s="55"/>
      <c r="E852" s="55"/>
      <c r="F852" s="55" t="b">
        <v>0</v>
      </c>
      <c r="G852" s="55"/>
      <c r="H852" s="53"/>
      <c r="I852" s="53"/>
      <c r="J852" s="55"/>
      <c r="K852" s="55"/>
      <c r="L852" s="55"/>
      <c r="M852" s="55"/>
      <c r="N852" s="55"/>
      <c r="O852" s="55" t="b">
        <v>0</v>
      </c>
      <c r="P852" s="55"/>
      <c r="Q852" s="55"/>
      <c r="R852" s="55"/>
      <c r="S852" s="55"/>
      <c r="T852" s="55"/>
      <c r="U852" s="64"/>
      <c r="V852" s="55"/>
      <c r="W852" s="64"/>
      <c r="X852" s="55"/>
      <c r="Y852" s="53"/>
      <c r="Z852" s="55"/>
      <c r="AA852" s="55"/>
      <c r="AB852" s="55"/>
      <c r="AC852" s="55"/>
      <c r="AD852" s="55"/>
      <c r="AE852" s="55"/>
      <c r="AF852" s="55"/>
      <c r="AG852" s="55"/>
      <c r="AH852" s="55"/>
      <c r="AI852" s="55"/>
      <c r="AJ852" s="55"/>
      <c r="AK852" s="55"/>
      <c r="AL852" s="55"/>
      <c r="AM852" s="55"/>
      <c r="AN852" s="55"/>
      <c r="AO852" s="55"/>
    </row>
    <row r="853">
      <c r="A853" s="55"/>
      <c r="B853" s="55"/>
      <c r="C853" s="53"/>
      <c r="D853" s="55"/>
      <c r="E853" s="55"/>
      <c r="F853" s="55" t="b">
        <v>0</v>
      </c>
      <c r="G853" s="55"/>
      <c r="H853" s="53"/>
      <c r="I853" s="53"/>
      <c r="J853" s="55"/>
      <c r="K853" s="55"/>
      <c r="L853" s="55"/>
      <c r="M853" s="55"/>
      <c r="N853" s="55"/>
      <c r="O853" s="55" t="b">
        <v>0</v>
      </c>
      <c r="P853" s="55"/>
      <c r="Q853" s="55"/>
      <c r="R853" s="55"/>
      <c r="S853" s="55"/>
      <c r="T853" s="55"/>
      <c r="U853" s="64"/>
      <c r="V853" s="55"/>
      <c r="W853" s="64"/>
      <c r="X853" s="55"/>
      <c r="Y853" s="53"/>
      <c r="Z853" s="55"/>
      <c r="AA853" s="55"/>
      <c r="AB853" s="55"/>
      <c r="AC853" s="55"/>
      <c r="AD853" s="55"/>
      <c r="AE853" s="55"/>
      <c r="AF853" s="55"/>
      <c r="AG853" s="55"/>
      <c r="AH853" s="55"/>
      <c r="AI853" s="55"/>
      <c r="AJ853" s="55"/>
      <c r="AK853" s="55"/>
      <c r="AL853" s="55"/>
      <c r="AM853" s="55"/>
      <c r="AN853" s="55"/>
      <c r="AO853" s="55"/>
    </row>
    <row r="854">
      <c r="A854" s="55"/>
      <c r="B854" s="55"/>
      <c r="C854" s="53"/>
      <c r="D854" s="55"/>
      <c r="E854" s="55"/>
      <c r="F854" s="55" t="b">
        <v>0</v>
      </c>
      <c r="G854" s="55"/>
      <c r="H854" s="53"/>
      <c r="I854" s="53"/>
      <c r="J854" s="55"/>
      <c r="K854" s="55"/>
      <c r="L854" s="55"/>
      <c r="M854" s="55"/>
      <c r="N854" s="55"/>
      <c r="O854" s="55" t="b">
        <v>0</v>
      </c>
      <c r="P854" s="55"/>
      <c r="Q854" s="55"/>
      <c r="R854" s="55"/>
      <c r="S854" s="55"/>
      <c r="T854" s="55"/>
      <c r="U854" s="64"/>
      <c r="V854" s="55"/>
      <c r="W854" s="64"/>
      <c r="X854" s="55"/>
      <c r="Y854" s="53"/>
      <c r="Z854" s="55"/>
      <c r="AA854" s="55"/>
      <c r="AB854" s="55"/>
      <c r="AC854" s="55"/>
      <c r="AD854" s="55"/>
      <c r="AE854" s="55"/>
      <c r="AF854" s="55"/>
      <c r="AG854" s="55"/>
      <c r="AH854" s="55"/>
      <c r="AI854" s="55"/>
      <c r="AJ854" s="55"/>
      <c r="AK854" s="55"/>
      <c r="AL854" s="55"/>
      <c r="AM854" s="55"/>
      <c r="AN854" s="55"/>
      <c r="AO854" s="55"/>
    </row>
    <row r="855">
      <c r="A855" s="55"/>
      <c r="B855" s="55"/>
      <c r="C855" s="53"/>
      <c r="D855" s="55"/>
      <c r="E855" s="55"/>
      <c r="F855" s="55" t="b">
        <v>0</v>
      </c>
      <c r="G855" s="55"/>
      <c r="H855" s="53"/>
      <c r="I855" s="53"/>
      <c r="J855" s="55"/>
      <c r="K855" s="55"/>
      <c r="L855" s="55"/>
      <c r="M855" s="55"/>
      <c r="N855" s="55"/>
      <c r="O855" s="55" t="b">
        <v>0</v>
      </c>
      <c r="P855" s="55"/>
      <c r="Q855" s="55"/>
      <c r="R855" s="55"/>
      <c r="S855" s="55"/>
      <c r="T855" s="55"/>
      <c r="U855" s="64"/>
      <c r="V855" s="55"/>
      <c r="W855" s="64"/>
      <c r="X855" s="55"/>
      <c r="Y855" s="53"/>
      <c r="Z855" s="55"/>
      <c r="AA855" s="55"/>
      <c r="AB855" s="55"/>
      <c r="AC855" s="55"/>
      <c r="AD855" s="55"/>
      <c r="AE855" s="55"/>
      <c r="AF855" s="55"/>
      <c r="AG855" s="55"/>
      <c r="AH855" s="55"/>
      <c r="AI855" s="55"/>
      <c r="AJ855" s="55"/>
      <c r="AK855" s="55"/>
      <c r="AL855" s="55"/>
      <c r="AM855" s="55"/>
      <c r="AN855" s="55"/>
      <c r="AO855" s="55"/>
    </row>
    <row r="856">
      <c r="A856" s="55"/>
      <c r="B856" s="55"/>
      <c r="C856" s="53"/>
      <c r="D856" s="55"/>
      <c r="E856" s="55"/>
      <c r="F856" s="55" t="b">
        <v>0</v>
      </c>
      <c r="G856" s="55"/>
      <c r="H856" s="53"/>
      <c r="I856" s="53"/>
      <c r="J856" s="55"/>
      <c r="K856" s="55"/>
      <c r="L856" s="55"/>
      <c r="M856" s="55"/>
      <c r="N856" s="55"/>
      <c r="O856" s="55" t="b">
        <v>0</v>
      </c>
      <c r="P856" s="55"/>
      <c r="Q856" s="55"/>
      <c r="R856" s="55"/>
      <c r="S856" s="55"/>
      <c r="T856" s="55"/>
      <c r="U856" s="64"/>
      <c r="V856" s="55"/>
      <c r="W856" s="64"/>
      <c r="X856" s="55"/>
      <c r="Y856" s="53"/>
      <c r="Z856" s="55"/>
      <c r="AA856" s="55"/>
      <c r="AB856" s="55"/>
      <c r="AC856" s="55"/>
      <c r="AD856" s="55"/>
      <c r="AE856" s="55"/>
      <c r="AF856" s="55"/>
      <c r="AG856" s="55"/>
      <c r="AH856" s="55"/>
      <c r="AI856" s="55"/>
      <c r="AJ856" s="55"/>
      <c r="AK856" s="55"/>
      <c r="AL856" s="55"/>
      <c r="AM856" s="55"/>
      <c r="AN856" s="55"/>
      <c r="AO856" s="55"/>
    </row>
    <row r="857">
      <c r="A857" s="55"/>
      <c r="B857" s="55"/>
      <c r="C857" s="53"/>
      <c r="D857" s="55"/>
      <c r="E857" s="55"/>
      <c r="F857" s="55" t="b">
        <v>0</v>
      </c>
      <c r="G857" s="55"/>
      <c r="H857" s="53"/>
      <c r="I857" s="53"/>
      <c r="J857" s="55"/>
      <c r="K857" s="55"/>
      <c r="L857" s="55"/>
      <c r="M857" s="55"/>
      <c r="N857" s="55"/>
      <c r="O857" s="55" t="b">
        <v>0</v>
      </c>
      <c r="P857" s="55"/>
      <c r="Q857" s="55"/>
      <c r="R857" s="55"/>
      <c r="S857" s="55"/>
      <c r="T857" s="55"/>
      <c r="U857" s="64"/>
      <c r="V857" s="55"/>
      <c r="W857" s="64"/>
      <c r="X857" s="55"/>
      <c r="Y857" s="53"/>
      <c r="Z857" s="55"/>
      <c r="AA857" s="55"/>
      <c r="AB857" s="55"/>
      <c r="AC857" s="55"/>
      <c r="AD857" s="55"/>
      <c r="AE857" s="55"/>
      <c r="AF857" s="55"/>
      <c r="AG857" s="55"/>
      <c r="AH857" s="55"/>
      <c r="AI857" s="55"/>
      <c r="AJ857" s="55"/>
      <c r="AK857" s="55"/>
      <c r="AL857" s="55"/>
      <c r="AM857" s="55"/>
      <c r="AN857" s="55"/>
      <c r="AO857" s="55"/>
    </row>
    <row r="858">
      <c r="A858" s="55"/>
      <c r="B858" s="55"/>
      <c r="C858" s="53"/>
      <c r="D858" s="55"/>
      <c r="E858" s="55"/>
      <c r="F858" s="55" t="b">
        <v>0</v>
      </c>
      <c r="G858" s="55"/>
      <c r="H858" s="53"/>
      <c r="I858" s="53"/>
      <c r="J858" s="55"/>
      <c r="K858" s="55"/>
      <c r="L858" s="55"/>
      <c r="M858" s="55"/>
      <c r="N858" s="55"/>
      <c r="O858" s="55" t="b">
        <v>0</v>
      </c>
      <c r="P858" s="55"/>
      <c r="Q858" s="55"/>
      <c r="R858" s="55"/>
      <c r="S858" s="55"/>
      <c r="T858" s="55"/>
      <c r="U858" s="64"/>
      <c r="V858" s="55"/>
      <c r="W858" s="64"/>
      <c r="X858" s="55"/>
      <c r="Y858" s="53"/>
      <c r="Z858" s="55"/>
      <c r="AA858" s="55"/>
      <c r="AB858" s="55"/>
      <c r="AC858" s="55"/>
      <c r="AD858" s="55"/>
      <c r="AE858" s="55"/>
      <c r="AF858" s="55"/>
      <c r="AG858" s="55"/>
      <c r="AH858" s="55"/>
      <c r="AI858" s="55"/>
      <c r="AJ858" s="55"/>
      <c r="AK858" s="55"/>
      <c r="AL858" s="55"/>
      <c r="AM858" s="55"/>
      <c r="AN858" s="55"/>
      <c r="AO858" s="55"/>
    </row>
    <row r="859">
      <c r="A859" s="55"/>
      <c r="B859" s="55"/>
      <c r="C859" s="53"/>
      <c r="D859" s="55"/>
      <c r="E859" s="55"/>
      <c r="F859" s="55" t="b">
        <v>0</v>
      </c>
      <c r="G859" s="55"/>
      <c r="H859" s="53"/>
      <c r="I859" s="53"/>
      <c r="J859" s="55"/>
      <c r="K859" s="55"/>
      <c r="L859" s="55"/>
      <c r="M859" s="55"/>
      <c r="N859" s="55"/>
      <c r="O859" s="55" t="b">
        <v>0</v>
      </c>
      <c r="P859" s="55"/>
      <c r="Q859" s="55"/>
      <c r="R859" s="55"/>
      <c r="S859" s="55"/>
      <c r="T859" s="55"/>
      <c r="U859" s="64"/>
      <c r="V859" s="55"/>
      <c r="W859" s="64"/>
      <c r="X859" s="55"/>
      <c r="Y859" s="53"/>
      <c r="Z859" s="55"/>
      <c r="AA859" s="55"/>
      <c r="AB859" s="55"/>
      <c r="AC859" s="55"/>
      <c r="AD859" s="55"/>
      <c r="AE859" s="55"/>
      <c r="AF859" s="55"/>
      <c r="AG859" s="55"/>
      <c r="AH859" s="55"/>
      <c r="AI859" s="55"/>
      <c r="AJ859" s="55"/>
      <c r="AK859" s="55"/>
      <c r="AL859" s="55"/>
      <c r="AM859" s="55"/>
      <c r="AN859" s="55"/>
      <c r="AO859" s="55"/>
    </row>
    <row r="860">
      <c r="A860" s="55"/>
      <c r="B860" s="55"/>
      <c r="C860" s="53"/>
      <c r="D860" s="55"/>
      <c r="E860" s="55"/>
      <c r="F860" s="55" t="b">
        <v>0</v>
      </c>
      <c r="G860" s="55"/>
      <c r="H860" s="53"/>
      <c r="I860" s="53"/>
      <c r="J860" s="55"/>
      <c r="K860" s="55"/>
      <c r="L860" s="55"/>
      <c r="M860" s="55"/>
      <c r="N860" s="55"/>
      <c r="O860" s="55" t="b">
        <v>0</v>
      </c>
      <c r="P860" s="55"/>
      <c r="Q860" s="55"/>
      <c r="R860" s="55"/>
      <c r="S860" s="55"/>
      <c r="T860" s="55"/>
      <c r="U860" s="64"/>
      <c r="V860" s="55"/>
      <c r="W860" s="64"/>
      <c r="X860" s="55"/>
      <c r="Y860" s="53"/>
      <c r="Z860" s="55"/>
      <c r="AA860" s="55"/>
      <c r="AB860" s="55"/>
      <c r="AC860" s="55"/>
      <c r="AD860" s="55"/>
      <c r="AE860" s="55"/>
      <c r="AF860" s="55"/>
      <c r="AG860" s="55"/>
      <c r="AH860" s="55"/>
      <c r="AI860" s="55"/>
      <c r="AJ860" s="55"/>
      <c r="AK860" s="55"/>
      <c r="AL860" s="55"/>
      <c r="AM860" s="55"/>
      <c r="AN860" s="55"/>
      <c r="AO860" s="55"/>
    </row>
    <row r="861">
      <c r="A861" s="55"/>
      <c r="B861" s="55"/>
      <c r="C861" s="53"/>
      <c r="D861" s="55"/>
      <c r="E861" s="55"/>
      <c r="F861" s="55" t="b">
        <v>0</v>
      </c>
      <c r="G861" s="55"/>
      <c r="H861" s="53"/>
      <c r="I861" s="53"/>
      <c r="J861" s="55"/>
      <c r="K861" s="55"/>
      <c r="L861" s="55"/>
      <c r="M861" s="55"/>
      <c r="N861" s="55"/>
      <c r="O861" s="55" t="b">
        <v>0</v>
      </c>
      <c r="P861" s="55"/>
      <c r="Q861" s="55"/>
      <c r="R861" s="55"/>
      <c r="S861" s="55"/>
      <c r="T861" s="55"/>
      <c r="U861" s="64"/>
      <c r="V861" s="55"/>
      <c r="W861" s="64"/>
      <c r="X861" s="55"/>
      <c r="Y861" s="53"/>
      <c r="Z861" s="55"/>
      <c r="AA861" s="55"/>
      <c r="AB861" s="55"/>
      <c r="AC861" s="55"/>
      <c r="AD861" s="55"/>
      <c r="AE861" s="55"/>
      <c r="AF861" s="55"/>
      <c r="AG861" s="55"/>
      <c r="AH861" s="55"/>
      <c r="AI861" s="55"/>
      <c r="AJ861" s="55"/>
      <c r="AK861" s="55"/>
      <c r="AL861" s="55"/>
      <c r="AM861" s="55"/>
      <c r="AN861" s="55"/>
      <c r="AO861" s="55"/>
    </row>
    <row r="862">
      <c r="A862" s="55"/>
      <c r="B862" s="55"/>
      <c r="C862" s="53"/>
      <c r="D862" s="55"/>
      <c r="E862" s="55"/>
      <c r="F862" s="55" t="b">
        <v>0</v>
      </c>
      <c r="G862" s="55"/>
      <c r="H862" s="53"/>
      <c r="I862" s="53"/>
      <c r="J862" s="55"/>
      <c r="K862" s="55"/>
      <c r="L862" s="55"/>
      <c r="M862" s="55"/>
      <c r="N862" s="55"/>
      <c r="O862" s="55" t="b">
        <v>0</v>
      </c>
      <c r="P862" s="55"/>
      <c r="Q862" s="55"/>
      <c r="R862" s="55"/>
      <c r="S862" s="55"/>
      <c r="T862" s="55"/>
      <c r="U862" s="64"/>
      <c r="V862" s="55"/>
      <c r="W862" s="64"/>
      <c r="X862" s="55"/>
      <c r="Y862" s="53"/>
      <c r="Z862" s="55"/>
      <c r="AA862" s="55"/>
      <c r="AB862" s="55"/>
      <c r="AC862" s="55"/>
      <c r="AD862" s="55"/>
      <c r="AE862" s="55"/>
      <c r="AF862" s="55"/>
      <c r="AG862" s="55"/>
      <c r="AH862" s="55"/>
      <c r="AI862" s="55"/>
      <c r="AJ862" s="55"/>
      <c r="AK862" s="55"/>
      <c r="AL862" s="55"/>
      <c r="AM862" s="55"/>
      <c r="AN862" s="55"/>
      <c r="AO862" s="55"/>
    </row>
    <row r="863">
      <c r="A863" s="55"/>
      <c r="B863" s="55"/>
      <c r="C863" s="53"/>
      <c r="D863" s="55"/>
      <c r="E863" s="55"/>
      <c r="F863" s="55" t="b">
        <v>0</v>
      </c>
      <c r="G863" s="55"/>
      <c r="H863" s="53"/>
      <c r="I863" s="53"/>
      <c r="J863" s="55"/>
      <c r="K863" s="55"/>
      <c r="L863" s="55"/>
      <c r="M863" s="55"/>
      <c r="N863" s="55"/>
      <c r="O863" s="55" t="b">
        <v>0</v>
      </c>
      <c r="P863" s="55"/>
      <c r="Q863" s="55"/>
      <c r="R863" s="55"/>
      <c r="S863" s="55"/>
      <c r="T863" s="55"/>
      <c r="U863" s="64"/>
      <c r="V863" s="55"/>
      <c r="W863" s="64"/>
      <c r="X863" s="55"/>
      <c r="Y863" s="53"/>
      <c r="Z863" s="55"/>
      <c r="AA863" s="55"/>
      <c r="AB863" s="55"/>
      <c r="AC863" s="55"/>
      <c r="AD863" s="55"/>
      <c r="AE863" s="55"/>
      <c r="AF863" s="55"/>
      <c r="AG863" s="55"/>
      <c r="AH863" s="55"/>
      <c r="AI863" s="55"/>
      <c r="AJ863" s="55"/>
      <c r="AK863" s="55"/>
      <c r="AL863" s="55"/>
      <c r="AM863" s="55"/>
      <c r="AN863" s="55"/>
      <c r="AO863" s="55"/>
    </row>
    <row r="864">
      <c r="A864" s="55"/>
      <c r="B864" s="55"/>
      <c r="C864" s="53"/>
      <c r="D864" s="55"/>
      <c r="E864" s="55"/>
      <c r="F864" s="55" t="b">
        <v>0</v>
      </c>
      <c r="G864" s="55"/>
      <c r="H864" s="53"/>
      <c r="I864" s="53"/>
      <c r="J864" s="55"/>
      <c r="K864" s="55"/>
      <c r="L864" s="55"/>
      <c r="M864" s="55"/>
      <c r="N864" s="55"/>
      <c r="O864" s="55" t="b">
        <v>0</v>
      </c>
      <c r="P864" s="55"/>
      <c r="Q864" s="55"/>
      <c r="R864" s="55"/>
      <c r="S864" s="55"/>
      <c r="T864" s="55"/>
      <c r="U864" s="64"/>
      <c r="V864" s="55"/>
      <c r="W864" s="64"/>
      <c r="X864" s="55"/>
      <c r="Y864" s="53"/>
      <c r="Z864" s="55"/>
      <c r="AA864" s="55"/>
      <c r="AB864" s="55"/>
      <c r="AC864" s="55"/>
      <c r="AD864" s="55"/>
      <c r="AE864" s="55"/>
      <c r="AF864" s="55"/>
      <c r="AG864" s="55"/>
      <c r="AH864" s="55"/>
      <c r="AI864" s="55"/>
      <c r="AJ864" s="55"/>
      <c r="AK864" s="55"/>
      <c r="AL864" s="55"/>
      <c r="AM864" s="55"/>
      <c r="AN864" s="55"/>
      <c r="AO864" s="55"/>
    </row>
    <row r="865">
      <c r="A865" s="55"/>
      <c r="B865" s="55"/>
      <c r="C865" s="53"/>
      <c r="D865" s="55"/>
      <c r="E865" s="55"/>
      <c r="F865" s="55" t="b">
        <v>0</v>
      </c>
      <c r="G865" s="55"/>
      <c r="H865" s="53"/>
      <c r="I865" s="53"/>
      <c r="J865" s="55"/>
      <c r="K865" s="55"/>
      <c r="L865" s="55"/>
      <c r="M865" s="55"/>
      <c r="N865" s="55"/>
      <c r="O865" s="55" t="b">
        <v>0</v>
      </c>
      <c r="P865" s="55"/>
      <c r="Q865" s="55"/>
      <c r="R865" s="55"/>
      <c r="S865" s="55"/>
      <c r="T865" s="55"/>
      <c r="U865" s="64"/>
      <c r="V865" s="55"/>
      <c r="W865" s="64"/>
      <c r="X865" s="55"/>
      <c r="Y865" s="53"/>
      <c r="Z865" s="55"/>
      <c r="AA865" s="55"/>
      <c r="AB865" s="55"/>
      <c r="AC865" s="55"/>
      <c r="AD865" s="55"/>
      <c r="AE865" s="55"/>
      <c r="AF865" s="55"/>
      <c r="AG865" s="55"/>
      <c r="AH865" s="55"/>
      <c r="AI865" s="55"/>
      <c r="AJ865" s="55"/>
      <c r="AK865" s="55"/>
      <c r="AL865" s="55"/>
      <c r="AM865" s="55"/>
      <c r="AN865" s="55"/>
      <c r="AO865" s="55"/>
    </row>
    <row r="866">
      <c r="A866" s="55"/>
      <c r="B866" s="55"/>
      <c r="C866" s="53"/>
      <c r="D866" s="55"/>
      <c r="E866" s="55"/>
      <c r="F866" s="55" t="b">
        <v>0</v>
      </c>
      <c r="G866" s="55"/>
      <c r="H866" s="53"/>
      <c r="I866" s="53"/>
      <c r="J866" s="55"/>
      <c r="K866" s="55"/>
      <c r="L866" s="55"/>
      <c r="M866" s="55"/>
      <c r="N866" s="55"/>
      <c r="O866" s="55" t="b">
        <v>0</v>
      </c>
      <c r="P866" s="55"/>
      <c r="Q866" s="55"/>
      <c r="R866" s="55"/>
      <c r="S866" s="55"/>
      <c r="T866" s="55"/>
      <c r="U866" s="64"/>
      <c r="V866" s="55"/>
      <c r="W866" s="64"/>
      <c r="X866" s="55"/>
      <c r="Y866" s="53"/>
      <c r="Z866" s="55"/>
      <c r="AA866" s="55"/>
      <c r="AB866" s="55"/>
      <c r="AC866" s="55"/>
      <c r="AD866" s="55"/>
      <c r="AE866" s="55"/>
      <c r="AF866" s="55"/>
      <c r="AG866" s="55"/>
      <c r="AH866" s="55"/>
      <c r="AI866" s="55"/>
      <c r="AJ866" s="55"/>
      <c r="AK866" s="55"/>
      <c r="AL866" s="55"/>
      <c r="AM866" s="55"/>
      <c r="AN866" s="55"/>
      <c r="AO866" s="55"/>
    </row>
    <row r="867">
      <c r="A867" s="55"/>
      <c r="B867" s="55"/>
      <c r="C867" s="53"/>
      <c r="D867" s="55"/>
      <c r="E867" s="55"/>
      <c r="F867" s="55" t="b">
        <v>0</v>
      </c>
      <c r="G867" s="55"/>
      <c r="H867" s="53"/>
      <c r="I867" s="53"/>
      <c r="J867" s="55"/>
      <c r="K867" s="55"/>
      <c r="L867" s="55"/>
      <c r="M867" s="55"/>
      <c r="N867" s="55"/>
      <c r="O867" s="55" t="b">
        <v>0</v>
      </c>
      <c r="P867" s="55"/>
      <c r="Q867" s="55"/>
      <c r="R867" s="55"/>
      <c r="S867" s="55"/>
      <c r="T867" s="55"/>
      <c r="U867" s="64"/>
      <c r="V867" s="55"/>
      <c r="W867" s="64"/>
      <c r="X867" s="55"/>
      <c r="Y867" s="53"/>
      <c r="Z867" s="55"/>
      <c r="AA867" s="55"/>
      <c r="AB867" s="55"/>
      <c r="AC867" s="55"/>
      <c r="AD867" s="55"/>
      <c r="AE867" s="55"/>
      <c r="AF867" s="55"/>
      <c r="AG867" s="55"/>
      <c r="AH867" s="55"/>
      <c r="AI867" s="55"/>
      <c r="AJ867" s="55"/>
      <c r="AK867" s="55"/>
      <c r="AL867" s="55"/>
      <c r="AM867" s="55"/>
      <c r="AN867" s="55"/>
      <c r="AO867" s="55"/>
    </row>
    <row r="868">
      <c r="A868" s="55"/>
      <c r="B868" s="55"/>
      <c r="C868" s="53"/>
      <c r="D868" s="55"/>
      <c r="E868" s="55"/>
      <c r="F868" s="55" t="b">
        <v>0</v>
      </c>
      <c r="G868" s="55"/>
      <c r="H868" s="53"/>
      <c r="I868" s="53"/>
      <c r="J868" s="55"/>
      <c r="K868" s="55"/>
      <c r="L868" s="55"/>
      <c r="M868" s="55"/>
      <c r="N868" s="55"/>
      <c r="O868" s="55" t="b">
        <v>0</v>
      </c>
      <c r="P868" s="55"/>
      <c r="Q868" s="55"/>
      <c r="R868" s="55"/>
      <c r="S868" s="55"/>
      <c r="T868" s="55"/>
      <c r="U868" s="64"/>
      <c r="V868" s="55"/>
      <c r="W868" s="64"/>
      <c r="X868" s="55"/>
      <c r="Y868" s="53"/>
      <c r="Z868" s="55"/>
      <c r="AA868" s="55"/>
      <c r="AB868" s="55"/>
      <c r="AC868" s="55"/>
      <c r="AD868" s="55"/>
      <c r="AE868" s="55"/>
      <c r="AF868" s="55"/>
      <c r="AG868" s="55"/>
      <c r="AH868" s="55"/>
      <c r="AI868" s="55"/>
      <c r="AJ868" s="55"/>
      <c r="AK868" s="55"/>
      <c r="AL868" s="55"/>
      <c r="AM868" s="55"/>
      <c r="AN868" s="55"/>
      <c r="AO868" s="55"/>
    </row>
    <row r="869">
      <c r="A869" s="55"/>
      <c r="B869" s="55"/>
      <c r="C869" s="53"/>
      <c r="D869" s="55"/>
      <c r="E869" s="55"/>
      <c r="F869" s="55" t="b">
        <v>0</v>
      </c>
      <c r="G869" s="55"/>
      <c r="H869" s="53"/>
      <c r="I869" s="53"/>
      <c r="J869" s="55"/>
      <c r="K869" s="55"/>
      <c r="L869" s="55"/>
      <c r="M869" s="55"/>
      <c r="N869" s="55"/>
      <c r="O869" s="55" t="b">
        <v>0</v>
      </c>
      <c r="P869" s="55"/>
      <c r="Q869" s="55"/>
      <c r="R869" s="55"/>
      <c r="S869" s="55"/>
      <c r="T869" s="55"/>
      <c r="U869" s="64"/>
      <c r="V869" s="55"/>
      <c r="W869" s="64"/>
      <c r="X869" s="55"/>
      <c r="Y869" s="53"/>
      <c r="Z869" s="55"/>
      <c r="AA869" s="55"/>
      <c r="AB869" s="55"/>
      <c r="AC869" s="55"/>
      <c r="AD869" s="55"/>
      <c r="AE869" s="55"/>
      <c r="AF869" s="55"/>
      <c r="AG869" s="55"/>
      <c r="AH869" s="55"/>
      <c r="AI869" s="55"/>
      <c r="AJ869" s="55"/>
      <c r="AK869" s="55"/>
      <c r="AL869" s="55"/>
      <c r="AM869" s="55"/>
      <c r="AN869" s="55"/>
      <c r="AO869" s="55"/>
    </row>
    <row r="870">
      <c r="A870" s="55"/>
      <c r="B870" s="55"/>
      <c r="C870" s="53"/>
      <c r="D870" s="55"/>
      <c r="E870" s="55"/>
      <c r="F870" s="55" t="b">
        <v>0</v>
      </c>
      <c r="G870" s="55"/>
      <c r="H870" s="53"/>
      <c r="I870" s="53"/>
      <c r="J870" s="55"/>
      <c r="K870" s="55"/>
      <c r="L870" s="55"/>
      <c r="M870" s="55"/>
      <c r="N870" s="55"/>
      <c r="O870" s="55" t="b">
        <v>0</v>
      </c>
      <c r="P870" s="55"/>
      <c r="Q870" s="55"/>
      <c r="R870" s="55"/>
      <c r="S870" s="55"/>
      <c r="T870" s="55"/>
      <c r="U870" s="64"/>
      <c r="V870" s="55"/>
      <c r="W870" s="64"/>
      <c r="X870" s="55"/>
      <c r="Y870" s="53"/>
      <c r="Z870" s="55"/>
      <c r="AA870" s="55"/>
      <c r="AB870" s="55"/>
      <c r="AC870" s="55"/>
      <c r="AD870" s="55"/>
      <c r="AE870" s="55"/>
      <c r="AF870" s="55"/>
      <c r="AG870" s="55"/>
      <c r="AH870" s="55"/>
      <c r="AI870" s="55"/>
      <c r="AJ870" s="55"/>
      <c r="AK870" s="55"/>
      <c r="AL870" s="55"/>
      <c r="AM870" s="55"/>
      <c r="AN870" s="55"/>
      <c r="AO870" s="55"/>
    </row>
    <row r="871">
      <c r="A871" s="55"/>
      <c r="B871" s="55"/>
      <c r="C871" s="53"/>
      <c r="D871" s="55"/>
      <c r="E871" s="55"/>
      <c r="F871" s="55" t="b">
        <v>0</v>
      </c>
      <c r="G871" s="55"/>
      <c r="H871" s="53"/>
      <c r="I871" s="53"/>
      <c r="J871" s="55"/>
      <c r="K871" s="55"/>
      <c r="L871" s="55"/>
      <c r="M871" s="55"/>
      <c r="N871" s="55"/>
      <c r="O871" s="55" t="b">
        <v>0</v>
      </c>
      <c r="P871" s="55"/>
      <c r="Q871" s="55"/>
      <c r="R871" s="55"/>
      <c r="S871" s="55"/>
      <c r="T871" s="55"/>
      <c r="U871" s="64"/>
      <c r="V871" s="55"/>
      <c r="W871" s="64"/>
      <c r="X871" s="55"/>
      <c r="Y871" s="53"/>
      <c r="Z871" s="55"/>
      <c r="AA871" s="55"/>
      <c r="AB871" s="55"/>
      <c r="AC871" s="55"/>
      <c r="AD871" s="55"/>
      <c r="AE871" s="55"/>
      <c r="AF871" s="55"/>
      <c r="AG871" s="55"/>
      <c r="AH871" s="55"/>
      <c r="AI871" s="55"/>
      <c r="AJ871" s="55"/>
      <c r="AK871" s="55"/>
      <c r="AL871" s="55"/>
      <c r="AM871" s="55"/>
      <c r="AN871" s="55"/>
      <c r="AO871" s="55"/>
    </row>
    <row r="872">
      <c r="A872" s="55"/>
      <c r="B872" s="55"/>
      <c r="C872" s="53"/>
      <c r="D872" s="55"/>
      <c r="E872" s="55"/>
      <c r="F872" s="55" t="b">
        <v>0</v>
      </c>
      <c r="G872" s="55"/>
      <c r="H872" s="53"/>
      <c r="I872" s="53"/>
      <c r="J872" s="55"/>
      <c r="K872" s="55"/>
      <c r="L872" s="55"/>
      <c r="M872" s="55"/>
      <c r="N872" s="55"/>
      <c r="O872" s="55" t="b">
        <v>0</v>
      </c>
      <c r="P872" s="55"/>
      <c r="Q872" s="55"/>
      <c r="R872" s="55"/>
      <c r="S872" s="55"/>
      <c r="T872" s="55"/>
      <c r="U872" s="64"/>
      <c r="V872" s="55"/>
      <c r="W872" s="64"/>
      <c r="X872" s="55"/>
      <c r="Y872" s="53"/>
      <c r="Z872" s="55"/>
      <c r="AA872" s="55"/>
      <c r="AB872" s="55"/>
      <c r="AC872" s="55"/>
      <c r="AD872" s="55"/>
      <c r="AE872" s="55"/>
      <c r="AF872" s="55"/>
      <c r="AG872" s="55"/>
      <c r="AH872" s="55"/>
      <c r="AI872" s="55"/>
      <c r="AJ872" s="55"/>
      <c r="AK872" s="55"/>
      <c r="AL872" s="55"/>
      <c r="AM872" s="55"/>
      <c r="AN872" s="55"/>
      <c r="AO872" s="55"/>
    </row>
    <row r="873">
      <c r="A873" s="55"/>
      <c r="B873" s="55"/>
      <c r="C873" s="53"/>
      <c r="D873" s="55"/>
      <c r="E873" s="55"/>
      <c r="F873" s="55" t="b">
        <v>0</v>
      </c>
      <c r="G873" s="55"/>
      <c r="H873" s="53"/>
      <c r="I873" s="53"/>
      <c r="J873" s="55"/>
      <c r="K873" s="55"/>
      <c r="L873" s="55"/>
      <c r="M873" s="55"/>
      <c r="N873" s="55"/>
      <c r="O873" s="55" t="b">
        <v>0</v>
      </c>
      <c r="P873" s="55"/>
      <c r="Q873" s="55"/>
      <c r="R873" s="55"/>
      <c r="S873" s="55"/>
      <c r="T873" s="55"/>
      <c r="U873" s="64"/>
      <c r="V873" s="55"/>
      <c r="W873" s="64"/>
      <c r="X873" s="55"/>
      <c r="Y873" s="53"/>
      <c r="Z873" s="55"/>
      <c r="AA873" s="55"/>
      <c r="AB873" s="55"/>
      <c r="AC873" s="55"/>
      <c r="AD873" s="55"/>
      <c r="AE873" s="55"/>
      <c r="AF873" s="55"/>
      <c r="AG873" s="55"/>
      <c r="AH873" s="55"/>
      <c r="AI873" s="55"/>
      <c r="AJ873" s="55"/>
      <c r="AK873" s="55"/>
      <c r="AL873" s="55"/>
      <c r="AM873" s="55"/>
      <c r="AN873" s="55"/>
      <c r="AO873" s="55"/>
    </row>
    <row r="874">
      <c r="A874" s="55"/>
      <c r="B874" s="55"/>
      <c r="C874" s="53"/>
      <c r="D874" s="55"/>
      <c r="E874" s="55"/>
      <c r="F874" s="55" t="b">
        <v>0</v>
      </c>
      <c r="G874" s="55"/>
      <c r="H874" s="53"/>
      <c r="I874" s="53"/>
      <c r="J874" s="55"/>
      <c r="K874" s="55"/>
      <c r="L874" s="55"/>
      <c r="M874" s="55"/>
      <c r="N874" s="55"/>
      <c r="O874" s="55" t="b">
        <v>0</v>
      </c>
      <c r="P874" s="55"/>
      <c r="Q874" s="55"/>
      <c r="R874" s="55"/>
      <c r="S874" s="55"/>
      <c r="T874" s="55"/>
      <c r="U874" s="64"/>
      <c r="V874" s="55"/>
      <c r="W874" s="64"/>
      <c r="X874" s="55"/>
      <c r="Y874" s="53"/>
      <c r="Z874" s="55"/>
      <c r="AA874" s="55"/>
      <c r="AB874" s="55"/>
      <c r="AC874" s="55"/>
      <c r="AD874" s="55"/>
      <c r="AE874" s="55"/>
      <c r="AF874" s="55"/>
      <c r="AG874" s="55"/>
      <c r="AH874" s="55"/>
      <c r="AI874" s="55"/>
      <c r="AJ874" s="55"/>
      <c r="AK874" s="55"/>
      <c r="AL874" s="55"/>
      <c r="AM874" s="55"/>
      <c r="AN874" s="55"/>
      <c r="AO874" s="55"/>
    </row>
    <row r="875">
      <c r="A875" s="55"/>
      <c r="B875" s="55"/>
      <c r="C875" s="53"/>
      <c r="D875" s="55"/>
      <c r="E875" s="55"/>
      <c r="F875" s="55" t="b">
        <v>0</v>
      </c>
      <c r="G875" s="55"/>
      <c r="H875" s="53"/>
      <c r="I875" s="53"/>
      <c r="J875" s="55"/>
      <c r="K875" s="55"/>
      <c r="L875" s="55"/>
      <c r="M875" s="55"/>
      <c r="N875" s="55"/>
      <c r="O875" s="55" t="b">
        <v>0</v>
      </c>
      <c r="P875" s="55"/>
      <c r="Q875" s="55"/>
      <c r="R875" s="55"/>
      <c r="S875" s="55"/>
      <c r="T875" s="55"/>
      <c r="U875" s="64"/>
      <c r="V875" s="55"/>
      <c r="W875" s="64"/>
      <c r="X875" s="55"/>
      <c r="Y875" s="53"/>
      <c r="Z875" s="55"/>
      <c r="AA875" s="55"/>
      <c r="AB875" s="55"/>
      <c r="AC875" s="55"/>
      <c r="AD875" s="55"/>
      <c r="AE875" s="55"/>
      <c r="AF875" s="55"/>
      <c r="AG875" s="55"/>
      <c r="AH875" s="55"/>
      <c r="AI875" s="55"/>
      <c r="AJ875" s="55"/>
      <c r="AK875" s="55"/>
      <c r="AL875" s="55"/>
      <c r="AM875" s="55"/>
      <c r="AN875" s="55"/>
      <c r="AO875" s="55"/>
    </row>
    <row r="876">
      <c r="A876" s="55"/>
      <c r="B876" s="55"/>
      <c r="C876" s="53"/>
      <c r="D876" s="55"/>
      <c r="E876" s="55"/>
      <c r="F876" s="55" t="b">
        <v>0</v>
      </c>
      <c r="G876" s="55"/>
      <c r="H876" s="53"/>
      <c r="I876" s="53"/>
      <c r="J876" s="55"/>
      <c r="K876" s="55"/>
      <c r="L876" s="55"/>
      <c r="M876" s="55"/>
      <c r="N876" s="55"/>
      <c r="O876" s="55" t="b">
        <v>0</v>
      </c>
      <c r="P876" s="55"/>
      <c r="Q876" s="55"/>
      <c r="R876" s="55"/>
      <c r="S876" s="55"/>
      <c r="T876" s="55"/>
      <c r="U876" s="64"/>
      <c r="V876" s="55"/>
      <c r="W876" s="64"/>
      <c r="X876" s="55"/>
      <c r="Y876" s="53"/>
      <c r="Z876" s="55"/>
      <c r="AA876" s="55"/>
      <c r="AB876" s="55"/>
      <c r="AC876" s="55"/>
      <c r="AD876" s="55"/>
      <c r="AE876" s="55"/>
      <c r="AF876" s="55"/>
      <c r="AG876" s="55"/>
      <c r="AH876" s="55"/>
      <c r="AI876" s="55"/>
      <c r="AJ876" s="55"/>
      <c r="AK876" s="55"/>
      <c r="AL876" s="55"/>
      <c r="AM876" s="55"/>
      <c r="AN876" s="55"/>
      <c r="AO876" s="55"/>
    </row>
    <row r="877">
      <c r="A877" s="55"/>
      <c r="B877" s="55"/>
      <c r="C877" s="53"/>
      <c r="D877" s="55"/>
      <c r="E877" s="55"/>
      <c r="F877" s="55" t="b">
        <v>0</v>
      </c>
      <c r="G877" s="55"/>
      <c r="H877" s="53"/>
      <c r="I877" s="53"/>
      <c r="J877" s="55"/>
      <c r="K877" s="55"/>
      <c r="L877" s="55"/>
      <c r="M877" s="55"/>
      <c r="N877" s="55"/>
      <c r="O877" s="55" t="b">
        <v>0</v>
      </c>
      <c r="P877" s="55"/>
      <c r="Q877" s="55"/>
      <c r="R877" s="55"/>
      <c r="S877" s="55"/>
      <c r="T877" s="55"/>
      <c r="U877" s="64"/>
      <c r="V877" s="55"/>
      <c r="W877" s="64"/>
      <c r="X877" s="55"/>
      <c r="Y877" s="53"/>
      <c r="Z877" s="55"/>
      <c r="AA877" s="55"/>
      <c r="AB877" s="55"/>
      <c r="AC877" s="55"/>
      <c r="AD877" s="55"/>
      <c r="AE877" s="55"/>
      <c r="AF877" s="55"/>
      <c r="AG877" s="55"/>
      <c r="AH877" s="55"/>
      <c r="AI877" s="55"/>
      <c r="AJ877" s="55"/>
      <c r="AK877" s="55"/>
      <c r="AL877" s="55"/>
      <c r="AM877" s="55"/>
      <c r="AN877" s="55"/>
      <c r="AO877" s="55"/>
    </row>
    <row r="878">
      <c r="A878" s="55"/>
      <c r="B878" s="55"/>
      <c r="C878" s="53"/>
      <c r="D878" s="55"/>
      <c r="E878" s="55"/>
      <c r="F878" s="55" t="b">
        <v>0</v>
      </c>
      <c r="G878" s="55"/>
      <c r="H878" s="53"/>
      <c r="I878" s="53"/>
      <c r="J878" s="55"/>
      <c r="K878" s="55"/>
      <c r="L878" s="55"/>
      <c r="M878" s="55"/>
      <c r="N878" s="55"/>
      <c r="O878" s="55" t="b">
        <v>0</v>
      </c>
      <c r="P878" s="55"/>
      <c r="Q878" s="55"/>
      <c r="R878" s="55"/>
      <c r="S878" s="55"/>
      <c r="T878" s="55"/>
      <c r="U878" s="64"/>
      <c r="V878" s="55"/>
      <c r="W878" s="64"/>
      <c r="X878" s="55"/>
      <c r="Y878" s="53"/>
      <c r="Z878" s="55"/>
      <c r="AA878" s="55"/>
      <c r="AB878" s="55"/>
      <c r="AC878" s="55"/>
      <c r="AD878" s="55"/>
      <c r="AE878" s="55"/>
      <c r="AF878" s="55"/>
      <c r="AG878" s="55"/>
      <c r="AH878" s="55"/>
      <c r="AI878" s="55"/>
      <c r="AJ878" s="55"/>
      <c r="AK878" s="55"/>
      <c r="AL878" s="55"/>
      <c r="AM878" s="55"/>
      <c r="AN878" s="55"/>
      <c r="AO878" s="55"/>
    </row>
    <row r="879">
      <c r="A879" s="55"/>
      <c r="B879" s="55"/>
      <c r="C879" s="53"/>
      <c r="D879" s="55"/>
      <c r="E879" s="55"/>
      <c r="F879" s="55" t="b">
        <v>0</v>
      </c>
      <c r="G879" s="55"/>
      <c r="H879" s="53"/>
      <c r="I879" s="53"/>
      <c r="J879" s="55"/>
      <c r="K879" s="55"/>
      <c r="L879" s="55"/>
      <c r="M879" s="55"/>
      <c r="N879" s="55"/>
      <c r="O879" s="55" t="b">
        <v>0</v>
      </c>
      <c r="P879" s="55"/>
      <c r="Q879" s="55"/>
      <c r="R879" s="55"/>
      <c r="S879" s="55"/>
      <c r="T879" s="55"/>
      <c r="U879" s="64"/>
      <c r="V879" s="55"/>
      <c r="W879" s="64"/>
      <c r="X879" s="55"/>
      <c r="Y879" s="53"/>
      <c r="Z879" s="55"/>
      <c r="AA879" s="55"/>
      <c r="AB879" s="55"/>
      <c r="AC879" s="55"/>
      <c r="AD879" s="55"/>
      <c r="AE879" s="55"/>
      <c r="AF879" s="55"/>
      <c r="AG879" s="55"/>
      <c r="AH879" s="55"/>
      <c r="AI879" s="55"/>
      <c r="AJ879" s="55"/>
      <c r="AK879" s="55"/>
      <c r="AL879" s="55"/>
      <c r="AM879" s="55"/>
      <c r="AN879" s="55"/>
      <c r="AO879" s="55"/>
    </row>
    <row r="880">
      <c r="A880" s="55"/>
      <c r="B880" s="55"/>
      <c r="C880" s="53"/>
      <c r="D880" s="55"/>
      <c r="E880" s="55"/>
      <c r="F880" s="55" t="b">
        <v>0</v>
      </c>
      <c r="G880" s="55"/>
      <c r="H880" s="53"/>
      <c r="I880" s="53"/>
      <c r="J880" s="55"/>
      <c r="K880" s="55"/>
      <c r="L880" s="55"/>
      <c r="M880" s="55"/>
      <c r="N880" s="55"/>
      <c r="O880" s="55" t="b">
        <v>0</v>
      </c>
      <c r="P880" s="55"/>
      <c r="Q880" s="55"/>
      <c r="R880" s="55"/>
      <c r="S880" s="55"/>
      <c r="T880" s="55"/>
      <c r="U880" s="64"/>
      <c r="V880" s="55"/>
      <c r="W880" s="64"/>
      <c r="X880" s="55"/>
      <c r="Y880" s="53"/>
      <c r="Z880" s="55"/>
      <c r="AA880" s="55"/>
      <c r="AB880" s="55"/>
      <c r="AC880" s="55"/>
      <c r="AD880" s="55"/>
      <c r="AE880" s="55"/>
      <c r="AF880" s="55"/>
      <c r="AG880" s="55"/>
      <c r="AH880" s="55"/>
      <c r="AI880" s="55"/>
      <c r="AJ880" s="55"/>
      <c r="AK880" s="55"/>
      <c r="AL880" s="55"/>
      <c r="AM880" s="55"/>
      <c r="AN880" s="55"/>
      <c r="AO880" s="55"/>
    </row>
    <row r="881">
      <c r="A881" s="55"/>
      <c r="B881" s="55"/>
      <c r="C881" s="53"/>
      <c r="D881" s="55"/>
      <c r="E881" s="55"/>
      <c r="F881" s="55" t="b">
        <v>0</v>
      </c>
      <c r="G881" s="55"/>
      <c r="H881" s="53"/>
      <c r="I881" s="53"/>
      <c r="J881" s="55"/>
      <c r="K881" s="55"/>
      <c r="L881" s="55"/>
      <c r="M881" s="55"/>
      <c r="N881" s="55"/>
      <c r="O881" s="55" t="b">
        <v>0</v>
      </c>
      <c r="P881" s="55"/>
      <c r="Q881" s="55"/>
      <c r="R881" s="55"/>
      <c r="S881" s="55"/>
      <c r="T881" s="55"/>
      <c r="U881" s="64"/>
      <c r="V881" s="55"/>
      <c r="W881" s="64"/>
      <c r="X881" s="55"/>
      <c r="Y881" s="53"/>
      <c r="Z881" s="55"/>
      <c r="AA881" s="55"/>
      <c r="AB881" s="55"/>
      <c r="AC881" s="55"/>
      <c r="AD881" s="55"/>
      <c r="AE881" s="55"/>
      <c r="AF881" s="55"/>
      <c r="AG881" s="55"/>
      <c r="AH881" s="55"/>
      <c r="AI881" s="55"/>
      <c r="AJ881" s="55"/>
      <c r="AK881" s="55"/>
      <c r="AL881" s="55"/>
      <c r="AM881" s="55"/>
      <c r="AN881" s="55"/>
      <c r="AO881" s="55"/>
    </row>
    <row r="882">
      <c r="A882" s="55"/>
      <c r="B882" s="55"/>
      <c r="C882" s="53"/>
      <c r="D882" s="55"/>
      <c r="E882" s="55"/>
      <c r="F882" s="55" t="b">
        <v>0</v>
      </c>
      <c r="G882" s="55"/>
      <c r="H882" s="53"/>
      <c r="I882" s="53"/>
      <c r="J882" s="55"/>
      <c r="K882" s="55"/>
      <c r="L882" s="55"/>
      <c r="M882" s="55"/>
      <c r="N882" s="55"/>
      <c r="O882" s="55" t="b">
        <v>0</v>
      </c>
      <c r="P882" s="55"/>
      <c r="Q882" s="55"/>
      <c r="R882" s="55"/>
      <c r="S882" s="55"/>
      <c r="T882" s="55"/>
      <c r="U882" s="64"/>
      <c r="V882" s="55"/>
      <c r="W882" s="64"/>
      <c r="X882" s="55"/>
      <c r="Y882" s="53"/>
      <c r="Z882" s="55"/>
      <c r="AA882" s="55"/>
      <c r="AB882" s="55"/>
      <c r="AC882" s="55"/>
      <c r="AD882" s="55"/>
      <c r="AE882" s="55"/>
      <c r="AF882" s="55"/>
      <c r="AG882" s="55"/>
      <c r="AH882" s="55"/>
      <c r="AI882" s="55"/>
      <c r="AJ882" s="55"/>
      <c r="AK882" s="55"/>
      <c r="AL882" s="55"/>
      <c r="AM882" s="55"/>
      <c r="AN882" s="55"/>
      <c r="AO882" s="55"/>
    </row>
    <row r="883">
      <c r="A883" s="55"/>
      <c r="B883" s="55"/>
      <c r="C883" s="53"/>
      <c r="D883" s="55"/>
      <c r="E883" s="55"/>
      <c r="F883" s="55" t="b">
        <v>0</v>
      </c>
      <c r="G883" s="55"/>
      <c r="H883" s="53"/>
      <c r="I883" s="53"/>
      <c r="J883" s="55"/>
      <c r="K883" s="55"/>
      <c r="L883" s="55"/>
      <c r="M883" s="55"/>
      <c r="N883" s="55"/>
      <c r="O883" s="55" t="b">
        <v>0</v>
      </c>
      <c r="P883" s="55"/>
      <c r="Q883" s="55"/>
      <c r="R883" s="55"/>
      <c r="S883" s="55"/>
      <c r="T883" s="55"/>
      <c r="U883" s="64"/>
      <c r="V883" s="55"/>
      <c r="W883" s="64"/>
      <c r="X883" s="55"/>
      <c r="Y883" s="53"/>
      <c r="Z883" s="55"/>
      <c r="AA883" s="55"/>
      <c r="AB883" s="55"/>
      <c r="AC883" s="55"/>
      <c r="AD883" s="55"/>
      <c r="AE883" s="55"/>
      <c r="AF883" s="55"/>
      <c r="AG883" s="55"/>
      <c r="AH883" s="55"/>
      <c r="AI883" s="55"/>
      <c r="AJ883" s="55"/>
      <c r="AK883" s="55"/>
      <c r="AL883" s="55"/>
      <c r="AM883" s="55"/>
      <c r="AN883" s="55"/>
      <c r="AO883" s="55"/>
    </row>
    <row r="884">
      <c r="A884" s="55"/>
      <c r="B884" s="55"/>
      <c r="C884" s="53"/>
      <c r="D884" s="55"/>
      <c r="E884" s="55"/>
      <c r="F884" s="55" t="b">
        <v>0</v>
      </c>
      <c r="G884" s="55"/>
      <c r="H884" s="53"/>
      <c r="I884" s="53"/>
      <c r="J884" s="55"/>
      <c r="K884" s="55"/>
      <c r="L884" s="55"/>
      <c r="M884" s="55"/>
      <c r="N884" s="55"/>
      <c r="O884" s="55" t="b">
        <v>0</v>
      </c>
      <c r="P884" s="55"/>
      <c r="Q884" s="55"/>
      <c r="R884" s="55"/>
      <c r="S884" s="55"/>
      <c r="T884" s="55"/>
      <c r="U884" s="64"/>
      <c r="V884" s="55"/>
      <c r="W884" s="64"/>
      <c r="X884" s="55"/>
      <c r="Y884" s="53"/>
      <c r="Z884" s="55"/>
      <c r="AA884" s="55"/>
      <c r="AB884" s="55"/>
      <c r="AC884" s="55"/>
      <c r="AD884" s="55"/>
      <c r="AE884" s="55"/>
      <c r="AF884" s="55"/>
      <c r="AG884" s="55"/>
      <c r="AH884" s="55"/>
      <c r="AI884" s="55"/>
      <c r="AJ884" s="55"/>
      <c r="AK884" s="55"/>
      <c r="AL884" s="55"/>
      <c r="AM884" s="55"/>
      <c r="AN884" s="55"/>
      <c r="AO884" s="55"/>
    </row>
    <row r="885">
      <c r="A885" s="55"/>
      <c r="B885" s="55"/>
      <c r="C885" s="53"/>
      <c r="D885" s="55"/>
      <c r="E885" s="55"/>
      <c r="F885" s="55" t="b">
        <v>0</v>
      </c>
      <c r="G885" s="55"/>
      <c r="H885" s="53"/>
      <c r="I885" s="53"/>
      <c r="J885" s="55"/>
      <c r="K885" s="55"/>
      <c r="L885" s="55"/>
      <c r="M885" s="55"/>
      <c r="N885" s="55"/>
      <c r="O885" s="55" t="b">
        <v>0</v>
      </c>
      <c r="P885" s="55"/>
      <c r="Q885" s="55"/>
      <c r="R885" s="55"/>
      <c r="S885" s="55"/>
      <c r="T885" s="55"/>
      <c r="U885" s="64"/>
      <c r="V885" s="55"/>
      <c r="W885" s="64"/>
      <c r="X885" s="55"/>
      <c r="Y885" s="53"/>
      <c r="Z885" s="55"/>
      <c r="AA885" s="55"/>
      <c r="AB885" s="55"/>
      <c r="AC885" s="55"/>
      <c r="AD885" s="55"/>
      <c r="AE885" s="55"/>
      <c r="AF885" s="55"/>
      <c r="AG885" s="55"/>
      <c r="AH885" s="55"/>
      <c r="AI885" s="55"/>
      <c r="AJ885" s="55"/>
      <c r="AK885" s="55"/>
      <c r="AL885" s="55"/>
      <c r="AM885" s="55"/>
      <c r="AN885" s="55"/>
      <c r="AO885" s="55"/>
    </row>
    <row r="886">
      <c r="A886" s="55"/>
      <c r="B886" s="55"/>
      <c r="C886" s="53"/>
      <c r="D886" s="55"/>
      <c r="E886" s="55"/>
      <c r="F886" s="55" t="b">
        <v>0</v>
      </c>
      <c r="G886" s="55"/>
      <c r="H886" s="53"/>
      <c r="I886" s="53"/>
      <c r="J886" s="55"/>
      <c r="K886" s="55"/>
      <c r="L886" s="55"/>
      <c r="M886" s="55"/>
      <c r="N886" s="55"/>
      <c r="O886" s="55" t="b">
        <v>0</v>
      </c>
      <c r="P886" s="55"/>
      <c r="Q886" s="55"/>
      <c r="R886" s="55"/>
      <c r="S886" s="55"/>
      <c r="T886" s="55"/>
      <c r="U886" s="64"/>
      <c r="V886" s="55"/>
      <c r="W886" s="64"/>
      <c r="X886" s="55"/>
      <c r="Y886" s="53"/>
      <c r="Z886" s="55"/>
      <c r="AA886" s="55"/>
      <c r="AB886" s="55"/>
      <c r="AC886" s="55"/>
      <c r="AD886" s="55"/>
      <c r="AE886" s="55"/>
      <c r="AF886" s="55"/>
      <c r="AG886" s="55"/>
      <c r="AH886" s="55"/>
      <c r="AI886" s="55"/>
      <c r="AJ886" s="55"/>
      <c r="AK886" s="55"/>
      <c r="AL886" s="55"/>
      <c r="AM886" s="55"/>
      <c r="AN886" s="55"/>
      <c r="AO886" s="55"/>
    </row>
    <row r="887">
      <c r="A887" s="55"/>
      <c r="B887" s="55"/>
      <c r="C887" s="53"/>
      <c r="D887" s="55"/>
      <c r="E887" s="55"/>
      <c r="F887" s="55" t="b">
        <v>0</v>
      </c>
      <c r="G887" s="55"/>
      <c r="H887" s="53"/>
      <c r="I887" s="53"/>
      <c r="J887" s="55"/>
      <c r="K887" s="55"/>
      <c r="L887" s="55"/>
      <c r="M887" s="55"/>
      <c r="N887" s="55"/>
      <c r="O887" s="55" t="b">
        <v>0</v>
      </c>
      <c r="P887" s="55"/>
      <c r="Q887" s="55"/>
      <c r="R887" s="55"/>
      <c r="S887" s="55"/>
      <c r="T887" s="55"/>
      <c r="U887" s="64"/>
      <c r="V887" s="55"/>
      <c r="W887" s="64"/>
      <c r="X887" s="55"/>
      <c r="Y887" s="53"/>
      <c r="Z887" s="55"/>
      <c r="AA887" s="55"/>
      <c r="AB887" s="55"/>
      <c r="AC887" s="55"/>
      <c r="AD887" s="55"/>
      <c r="AE887" s="55"/>
      <c r="AF887" s="55"/>
      <c r="AG887" s="55"/>
      <c r="AH887" s="55"/>
      <c r="AI887" s="55"/>
      <c r="AJ887" s="55"/>
      <c r="AK887" s="55"/>
      <c r="AL887" s="55"/>
      <c r="AM887" s="55"/>
      <c r="AN887" s="55"/>
      <c r="AO887" s="55"/>
    </row>
    <row r="888">
      <c r="A888" s="55"/>
      <c r="B888" s="55"/>
      <c r="C888" s="53"/>
      <c r="D888" s="55"/>
      <c r="E888" s="55"/>
      <c r="F888" s="55" t="b">
        <v>0</v>
      </c>
      <c r="G888" s="55"/>
      <c r="H888" s="53"/>
      <c r="I888" s="53"/>
      <c r="J888" s="55"/>
      <c r="K888" s="55"/>
      <c r="L888" s="55"/>
      <c r="M888" s="55"/>
      <c r="N888" s="55"/>
      <c r="O888" s="55" t="b">
        <v>0</v>
      </c>
      <c r="P888" s="55"/>
      <c r="Q888" s="55"/>
      <c r="R888" s="55"/>
      <c r="S888" s="55"/>
      <c r="T888" s="55"/>
      <c r="U888" s="64"/>
      <c r="V888" s="55"/>
      <c r="W888" s="64"/>
      <c r="X888" s="55"/>
      <c r="Y888" s="53"/>
      <c r="Z888" s="55"/>
      <c r="AA888" s="55"/>
      <c r="AB888" s="55"/>
      <c r="AC888" s="55"/>
      <c r="AD888" s="55"/>
      <c r="AE888" s="55"/>
      <c r="AF888" s="55"/>
      <c r="AG888" s="55"/>
      <c r="AH888" s="55"/>
      <c r="AI888" s="55"/>
      <c r="AJ888" s="55"/>
      <c r="AK888" s="55"/>
      <c r="AL888" s="55"/>
      <c r="AM888" s="55"/>
      <c r="AN888" s="55"/>
      <c r="AO888" s="55"/>
    </row>
    <row r="889">
      <c r="A889" s="55"/>
      <c r="B889" s="55"/>
      <c r="C889" s="53"/>
      <c r="D889" s="55"/>
      <c r="E889" s="55"/>
      <c r="F889" s="55" t="b">
        <v>0</v>
      </c>
      <c r="G889" s="55"/>
      <c r="H889" s="53"/>
      <c r="I889" s="53"/>
      <c r="J889" s="55"/>
      <c r="K889" s="55"/>
      <c r="L889" s="55"/>
      <c r="M889" s="55"/>
      <c r="N889" s="55"/>
      <c r="O889" s="55" t="b">
        <v>0</v>
      </c>
      <c r="P889" s="55"/>
      <c r="Q889" s="55"/>
      <c r="R889" s="55"/>
      <c r="S889" s="55"/>
      <c r="T889" s="55"/>
      <c r="U889" s="64"/>
      <c r="V889" s="55"/>
      <c r="W889" s="64"/>
      <c r="X889" s="55"/>
      <c r="Y889" s="53"/>
      <c r="Z889" s="55"/>
      <c r="AA889" s="55"/>
      <c r="AB889" s="55"/>
      <c r="AC889" s="55"/>
      <c r="AD889" s="55"/>
      <c r="AE889" s="55"/>
      <c r="AF889" s="55"/>
      <c r="AG889" s="55"/>
      <c r="AH889" s="55"/>
      <c r="AI889" s="55"/>
      <c r="AJ889" s="55"/>
      <c r="AK889" s="55"/>
      <c r="AL889" s="55"/>
      <c r="AM889" s="55"/>
      <c r="AN889" s="55"/>
      <c r="AO889" s="55"/>
    </row>
    <row r="890">
      <c r="A890" s="55"/>
      <c r="B890" s="55"/>
      <c r="C890" s="53"/>
      <c r="D890" s="55"/>
      <c r="E890" s="55"/>
      <c r="F890" s="55" t="b">
        <v>0</v>
      </c>
      <c r="G890" s="55"/>
      <c r="H890" s="53"/>
      <c r="I890" s="53"/>
      <c r="J890" s="55"/>
      <c r="K890" s="55"/>
      <c r="L890" s="55"/>
      <c r="M890" s="55"/>
      <c r="N890" s="55"/>
      <c r="O890" s="55" t="b">
        <v>0</v>
      </c>
      <c r="P890" s="55"/>
      <c r="Q890" s="55"/>
      <c r="R890" s="55"/>
      <c r="S890" s="55"/>
      <c r="T890" s="55"/>
      <c r="U890" s="64"/>
      <c r="V890" s="55"/>
      <c r="W890" s="64"/>
      <c r="X890" s="55"/>
      <c r="Y890" s="53"/>
      <c r="Z890" s="55"/>
      <c r="AA890" s="55"/>
      <c r="AB890" s="55"/>
      <c r="AC890" s="55"/>
      <c r="AD890" s="55"/>
      <c r="AE890" s="55"/>
      <c r="AF890" s="55"/>
      <c r="AG890" s="55"/>
      <c r="AH890" s="55"/>
      <c r="AI890" s="55"/>
      <c r="AJ890" s="55"/>
      <c r="AK890" s="55"/>
      <c r="AL890" s="55"/>
      <c r="AM890" s="55"/>
      <c r="AN890" s="55"/>
      <c r="AO890" s="55"/>
    </row>
    <row r="891">
      <c r="A891" s="55"/>
      <c r="B891" s="55"/>
      <c r="C891" s="53"/>
      <c r="D891" s="55"/>
      <c r="E891" s="55"/>
      <c r="F891" s="55" t="b">
        <v>0</v>
      </c>
      <c r="G891" s="55"/>
      <c r="H891" s="53"/>
      <c r="I891" s="53"/>
      <c r="J891" s="55"/>
      <c r="K891" s="55"/>
      <c r="L891" s="55"/>
      <c r="M891" s="55"/>
      <c r="N891" s="55"/>
      <c r="O891" s="55" t="b">
        <v>0</v>
      </c>
      <c r="P891" s="55"/>
      <c r="Q891" s="55"/>
      <c r="R891" s="55"/>
      <c r="S891" s="55"/>
      <c r="T891" s="55"/>
      <c r="U891" s="64"/>
      <c r="V891" s="55"/>
      <c r="W891" s="64"/>
      <c r="X891" s="55"/>
      <c r="Y891" s="53"/>
      <c r="Z891" s="55"/>
      <c r="AA891" s="55"/>
      <c r="AB891" s="55"/>
      <c r="AC891" s="55"/>
      <c r="AD891" s="55"/>
      <c r="AE891" s="55"/>
      <c r="AF891" s="55"/>
      <c r="AG891" s="55"/>
      <c r="AH891" s="55"/>
      <c r="AI891" s="55"/>
      <c r="AJ891" s="55"/>
      <c r="AK891" s="55"/>
      <c r="AL891" s="55"/>
      <c r="AM891" s="55"/>
      <c r="AN891" s="55"/>
      <c r="AO891" s="55"/>
    </row>
    <row r="892">
      <c r="A892" s="55"/>
      <c r="B892" s="55"/>
      <c r="C892" s="53"/>
      <c r="D892" s="55"/>
      <c r="E892" s="55"/>
      <c r="F892" s="55" t="b">
        <v>0</v>
      </c>
      <c r="G892" s="55"/>
      <c r="H892" s="53"/>
      <c r="I892" s="53"/>
      <c r="J892" s="55"/>
      <c r="K892" s="55"/>
      <c r="L892" s="55"/>
      <c r="M892" s="55"/>
      <c r="N892" s="55"/>
      <c r="O892" s="55" t="b">
        <v>0</v>
      </c>
      <c r="P892" s="55"/>
      <c r="Q892" s="55"/>
      <c r="R892" s="55"/>
      <c r="S892" s="55"/>
      <c r="T892" s="55"/>
      <c r="U892" s="64"/>
      <c r="V892" s="55"/>
      <c r="W892" s="64"/>
      <c r="X892" s="55"/>
      <c r="Y892" s="53"/>
      <c r="Z892" s="55"/>
      <c r="AA892" s="55"/>
      <c r="AB892" s="55"/>
      <c r="AC892" s="55"/>
      <c r="AD892" s="55"/>
      <c r="AE892" s="55"/>
      <c r="AF892" s="55"/>
      <c r="AG892" s="55"/>
      <c r="AH892" s="55"/>
      <c r="AI892" s="55"/>
      <c r="AJ892" s="55"/>
      <c r="AK892" s="55"/>
      <c r="AL892" s="55"/>
      <c r="AM892" s="55"/>
      <c r="AN892" s="55"/>
      <c r="AO892" s="55"/>
    </row>
    <row r="893">
      <c r="A893" s="55"/>
      <c r="B893" s="55"/>
      <c r="C893" s="53"/>
      <c r="D893" s="55"/>
      <c r="E893" s="55"/>
      <c r="F893" s="55" t="b">
        <v>0</v>
      </c>
      <c r="G893" s="55"/>
      <c r="H893" s="53"/>
      <c r="I893" s="53"/>
      <c r="J893" s="55"/>
      <c r="K893" s="55"/>
      <c r="L893" s="55"/>
      <c r="M893" s="55"/>
      <c r="N893" s="55"/>
      <c r="O893" s="55" t="b">
        <v>0</v>
      </c>
      <c r="P893" s="55"/>
      <c r="Q893" s="55"/>
      <c r="R893" s="55"/>
      <c r="S893" s="55"/>
      <c r="T893" s="55"/>
      <c r="U893" s="64"/>
      <c r="V893" s="55"/>
      <c r="W893" s="64"/>
      <c r="X893" s="55"/>
      <c r="Y893" s="53"/>
      <c r="Z893" s="55"/>
      <c r="AA893" s="55"/>
      <c r="AB893" s="55"/>
      <c r="AC893" s="55"/>
      <c r="AD893" s="55"/>
      <c r="AE893" s="55"/>
      <c r="AF893" s="55"/>
      <c r="AG893" s="55"/>
      <c r="AH893" s="55"/>
      <c r="AI893" s="55"/>
      <c r="AJ893" s="55"/>
      <c r="AK893" s="55"/>
      <c r="AL893" s="55"/>
      <c r="AM893" s="55"/>
      <c r="AN893" s="55"/>
      <c r="AO893" s="55"/>
    </row>
    <row r="894">
      <c r="A894" s="55"/>
      <c r="B894" s="55"/>
      <c r="C894" s="53"/>
      <c r="D894" s="55"/>
      <c r="E894" s="55"/>
      <c r="F894" s="55" t="b">
        <v>0</v>
      </c>
      <c r="G894" s="55"/>
      <c r="H894" s="53"/>
      <c r="I894" s="53"/>
      <c r="J894" s="55"/>
      <c r="K894" s="55"/>
      <c r="L894" s="55"/>
      <c r="M894" s="55"/>
      <c r="N894" s="55"/>
      <c r="O894" s="55" t="b">
        <v>0</v>
      </c>
      <c r="P894" s="55"/>
      <c r="Q894" s="55"/>
      <c r="R894" s="55"/>
      <c r="S894" s="55"/>
      <c r="T894" s="55"/>
      <c r="U894" s="64"/>
      <c r="V894" s="55"/>
      <c r="W894" s="64"/>
      <c r="X894" s="55"/>
      <c r="Y894" s="53"/>
      <c r="Z894" s="55"/>
      <c r="AA894" s="55"/>
      <c r="AB894" s="55"/>
      <c r="AC894" s="55"/>
      <c r="AD894" s="55"/>
      <c r="AE894" s="55"/>
      <c r="AF894" s="55"/>
      <c r="AG894" s="55"/>
      <c r="AH894" s="55"/>
      <c r="AI894" s="55"/>
      <c r="AJ894" s="55"/>
      <c r="AK894" s="55"/>
      <c r="AL894" s="55"/>
      <c r="AM894" s="55"/>
      <c r="AN894" s="55"/>
      <c r="AO894" s="55"/>
    </row>
    <row r="895">
      <c r="A895" s="55"/>
      <c r="B895" s="55"/>
      <c r="C895" s="53"/>
      <c r="D895" s="55"/>
      <c r="E895" s="55"/>
      <c r="F895" s="55" t="b">
        <v>0</v>
      </c>
      <c r="G895" s="55"/>
      <c r="H895" s="53"/>
      <c r="I895" s="53"/>
      <c r="J895" s="55"/>
      <c r="K895" s="55"/>
      <c r="L895" s="55"/>
      <c r="M895" s="55"/>
      <c r="N895" s="55"/>
      <c r="O895" s="55" t="b">
        <v>0</v>
      </c>
      <c r="P895" s="55"/>
      <c r="Q895" s="55"/>
      <c r="R895" s="55"/>
      <c r="S895" s="55"/>
      <c r="T895" s="55"/>
      <c r="U895" s="64"/>
      <c r="V895" s="55"/>
      <c r="W895" s="64"/>
      <c r="X895" s="55"/>
      <c r="Y895" s="53"/>
      <c r="Z895" s="55"/>
      <c r="AA895" s="55"/>
      <c r="AB895" s="55"/>
      <c r="AC895" s="55"/>
      <c r="AD895" s="55"/>
      <c r="AE895" s="55"/>
      <c r="AF895" s="55"/>
      <c r="AG895" s="55"/>
      <c r="AH895" s="55"/>
      <c r="AI895" s="55"/>
      <c r="AJ895" s="55"/>
      <c r="AK895" s="55"/>
      <c r="AL895" s="55"/>
      <c r="AM895" s="55"/>
      <c r="AN895" s="55"/>
      <c r="AO895" s="55"/>
    </row>
    <row r="896">
      <c r="A896" s="55"/>
      <c r="B896" s="55"/>
      <c r="C896" s="53"/>
      <c r="D896" s="55"/>
      <c r="E896" s="55"/>
      <c r="F896" s="55" t="b">
        <v>0</v>
      </c>
      <c r="G896" s="55"/>
      <c r="H896" s="53"/>
      <c r="I896" s="53"/>
      <c r="J896" s="55"/>
      <c r="K896" s="55"/>
      <c r="L896" s="55"/>
      <c r="M896" s="55"/>
      <c r="N896" s="55"/>
      <c r="O896" s="55" t="b">
        <v>0</v>
      </c>
      <c r="P896" s="55"/>
      <c r="Q896" s="55"/>
      <c r="R896" s="55"/>
      <c r="S896" s="55"/>
      <c r="T896" s="55"/>
      <c r="U896" s="64"/>
      <c r="V896" s="55"/>
      <c r="W896" s="64"/>
      <c r="X896" s="55"/>
      <c r="Y896" s="53"/>
      <c r="Z896" s="55"/>
      <c r="AA896" s="55"/>
      <c r="AB896" s="55"/>
      <c r="AC896" s="55"/>
      <c r="AD896" s="55"/>
      <c r="AE896" s="55"/>
      <c r="AF896" s="55"/>
      <c r="AG896" s="55"/>
      <c r="AH896" s="55"/>
      <c r="AI896" s="55"/>
      <c r="AJ896" s="55"/>
      <c r="AK896" s="55"/>
      <c r="AL896" s="55"/>
      <c r="AM896" s="55"/>
      <c r="AN896" s="55"/>
      <c r="AO896" s="55"/>
    </row>
    <row r="897">
      <c r="A897" s="55"/>
      <c r="B897" s="55"/>
      <c r="C897" s="53"/>
      <c r="D897" s="55"/>
      <c r="E897" s="55"/>
      <c r="F897" s="55" t="b">
        <v>0</v>
      </c>
      <c r="G897" s="55"/>
      <c r="H897" s="53"/>
      <c r="I897" s="53"/>
      <c r="J897" s="55"/>
      <c r="K897" s="55"/>
      <c r="L897" s="55"/>
      <c r="M897" s="55"/>
      <c r="N897" s="55"/>
      <c r="O897" s="55" t="b">
        <v>0</v>
      </c>
      <c r="P897" s="55"/>
      <c r="Q897" s="55"/>
      <c r="R897" s="55"/>
      <c r="S897" s="55"/>
      <c r="T897" s="55"/>
      <c r="U897" s="64"/>
      <c r="V897" s="55"/>
      <c r="W897" s="64"/>
      <c r="X897" s="55"/>
      <c r="Y897" s="53"/>
      <c r="Z897" s="55"/>
      <c r="AA897" s="55"/>
      <c r="AB897" s="55"/>
      <c r="AC897" s="55"/>
      <c r="AD897" s="55"/>
      <c r="AE897" s="55"/>
      <c r="AF897" s="55"/>
      <c r="AG897" s="55"/>
      <c r="AH897" s="55"/>
      <c r="AI897" s="55"/>
      <c r="AJ897" s="55"/>
      <c r="AK897" s="55"/>
      <c r="AL897" s="55"/>
      <c r="AM897" s="55"/>
      <c r="AN897" s="55"/>
      <c r="AO897" s="55"/>
    </row>
    <row r="898">
      <c r="A898" s="55"/>
      <c r="B898" s="55"/>
      <c r="C898" s="53"/>
      <c r="D898" s="55"/>
      <c r="E898" s="55"/>
      <c r="F898" s="55" t="b">
        <v>0</v>
      </c>
      <c r="G898" s="55"/>
      <c r="H898" s="53"/>
      <c r="I898" s="53"/>
      <c r="J898" s="55"/>
      <c r="K898" s="55"/>
      <c r="L898" s="55"/>
      <c r="M898" s="55"/>
      <c r="N898" s="55"/>
      <c r="O898" s="55" t="b">
        <v>0</v>
      </c>
      <c r="P898" s="55"/>
      <c r="Q898" s="55"/>
      <c r="R898" s="55"/>
      <c r="S898" s="55"/>
      <c r="T898" s="55"/>
      <c r="U898" s="64"/>
      <c r="V898" s="55"/>
      <c r="W898" s="64"/>
      <c r="X898" s="55"/>
      <c r="Y898" s="53"/>
      <c r="Z898" s="55"/>
      <c r="AA898" s="55"/>
      <c r="AB898" s="55"/>
      <c r="AC898" s="55"/>
      <c r="AD898" s="55"/>
      <c r="AE898" s="55"/>
      <c r="AF898" s="55"/>
      <c r="AG898" s="55"/>
      <c r="AH898" s="55"/>
      <c r="AI898" s="55"/>
      <c r="AJ898" s="55"/>
      <c r="AK898" s="55"/>
      <c r="AL898" s="55"/>
      <c r="AM898" s="55"/>
      <c r="AN898" s="55"/>
      <c r="AO898" s="55"/>
    </row>
    <row r="899">
      <c r="A899" s="55"/>
      <c r="B899" s="55"/>
      <c r="C899" s="53"/>
      <c r="D899" s="55"/>
      <c r="E899" s="55"/>
      <c r="F899" s="55" t="b">
        <v>0</v>
      </c>
      <c r="G899" s="55"/>
      <c r="H899" s="53"/>
      <c r="I899" s="53"/>
      <c r="J899" s="55"/>
      <c r="K899" s="55"/>
      <c r="L899" s="55"/>
      <c r="M899" s="55"/>
      <c r="N899" s="55"/>
      <c r="O899" s="55" t="b">
        <v>0</v>
      </c>
      <c r="P899" s="55"/>
      <c r="Q899" s="55"/>
      <c r="R899" s="55"/>
      <c r="S899" s="55"/>
      <c r="T899" s="55"/>
      <c r="U899" s="64"/>
      <c r="V899" s="55"/>
      <c r="W899" s="64"/>
      <c r="X899" s="55"/>
      <c r="Y899" s="53"/>
      <c r="Z899" s="55"/>
      <c r="AA899" s="55"/>
      <c r="AB899" s="55"/>
      <c r="AC899" s="55"/>
      <c r="AD899" s="55"/>
      <c r="AE899" s="55"/>
      <c r="AF899" s="55"/>
      <c r="AG899" s="55"/>
      <c r="AH899" s="55"/>
      <c r="AI899" s="55"/>
      <c r="AJ899" s="55"/>
      <c r="AK899" s="55"/>
      <c r="AL899" s="55"/>
      <c r="AM899" s="55"/>
      <c r="AN899" s="55"/>
      <c r="AO899" s="55"/>
    </row>
    <row r="900">
      <c r="A900" s="55"/>
      <c r="B900" s="55"/>
      <c r="C900" s="53"/>
      <c r="D900" s="55"/>
      <c r="E900" s="55"/>
      <c r="F900" s="55" t="b">
        <v>0</v>
      </c>
      <c r="G900" s="55"/>
      <c r="H900" s="53"/>
      <c r="I900" s="53"/>
      <c r="J900" s="55"/>
      <c r="K900" s="55"/>
      <c r="L900" s="55"/>
      <c r="M900" s="55"/>
      <c r="N900" s="55"/>
      <c r="O900" s="55" t="b">
        <v>0</v>
      </c>
      <c r="P900" s="55"/>
      <c r="Q900" s="55"/>
      <c r="R900" s="55"/>
      <c r="S900" s="55"/>
      <c r="T900" s="55"/>
      <c r="U900" s="64"/>
      <c r="V900" s="55"/>
      <c r="W900" s="64"/>
      <c r="X900" s="55"/>
      <c r="Y900" s="53"/>
      <c r="Z900" s="55"/>
      <c r="AA900" s="55"/>
      <c r="AB900" s="55"/>
      <c r="AC900" s="55"/>
      <c r="AD900" s="55"/>
      <c r="AE900" s="55"/>
      <c r="AF900" s="55"/>
      <c r="AG900" s="55"/>
      <c r="AH900" s="55"/>
      <c r="AI900" s="55"/>
      <c r="AJ900" s="55"/>
      <c r="AK900" s="55"/>
      <c r="AL900" s="55"/>
      <c r="AM900" s="55"/>
      <c r="AN900" s="55"/>
      <c r="AO900" s="55"/>
    </row>
    <row r="901">
      <c r="A901" s="55"/>
      <c r="B901" s="55"/>
      <c r="C901" s="53"/>
      <c r="D901" s="55"/>
      <c r="E901" s="55"/>
      <c r="F901" s="55" t="b">
        <v>0</v>
      </c>
      <c r="G901" s="55"/>
      <c r="H901" s="53"/>
      <c r="I901" s="53"/>
      <c r="J901" s="55"/>
      <c r="K901" s="55"/>
      <c r="L901" s="55"/>
      <c r="M901" s="55"/>
      <c r="N901" s="55"/>
      <c r="O901" s="55" t="b">
        <v>0</v>
      </c>
      <c r="P901" s="55"/>
      <c r="Q901" s="55"/>
      <c r="R901" s="55"/>
      <c r="S901" s="55"/>
      <c r="T901" s="55"/>
      <c r="U901" s="64"/>
      <c r="V901" s="55"/>
      <c r="W901" s="64"/>
      <c r="X901" s="55"/>
      <c r="Y901" s="53"/>
      <c r="Z901" s="55"/>
      <c r="AA901" s="55"/>
      <c r="AB901" s="55"/>
      <c r="AC901" s="55"/>
      <c r="AD901" s="55"/>
      <c r="AE901" s="55"/>
      <c r="AF901" s="55"/>
      <c r="AG901" s="55"/>
      <c r="AH901" s="55"/>
      <c r="AI901" s="55"/>
      <c r="AJ901" s="55"/>
      <c r="AK901" s="55"/>
      <c r="AL901" s="55"/>
      <c r="AM901" s="55"/>
      <c r="AN901" s="55"/>
      <c r="AO901" s="55"/>
    </row>
    <row r="902">
      <c r="A902" s="55"/>
      <c r="B902" s="55"/>
      <c r="C902" s="53"/>
      <c r="D902" s="55"/>
      <c r="E902" s="55"/>
      <c r="F902" s="55" t="b">
        <v>0</v>
      </c>
      <c r="G902" s="55"/>
      <c r="H902" s="53"/>
      <c r="I902" s="53"/>
      <c r="J902" s="55"/>
      <c r="K902" s="55"/>
      <c r="L902" s="55"/>
      <c r="M902" s="55"/>
      <c r="N902" s="55"/>
      <c r="O902" s="55" t="b">
        <v>0</v>
      </c>
      <c r="P902" s="55"/>
      <c r="Q902" s="55"/>
      <c r="R902" s="55"/>
      <c r="S902" s="55"/>
      <c r="T902" s="55"/>
      <c r="U902" s="64"/>
      <c r="V902" s="55"/>
      <c r="W902" s="64"/>
      <c r="X902" s="55"/>
      <c r="Y902" s="53"/>
      <c r="Z902" s="55"/>
      <c r="AA902" s="55"/>
      <c r="AB902" s="55"/>
      <c r="AC902" s="55"/>
      <c r="AD902" s="55"/>
      <c r="AE902" s="55"/>
      <c r="AF902" s="55"/>
      <c r="AG902" s="55"/>
      <c r="AH902" s="55"/>
      <c r="AI902" s="55"/>
      <c r="AJ902" s="55"/>
      <c r="AK902" s="55"/>
      <c r="AL902" s="55"/>
      <c r="AM902" s="55"/>
      <c r="AN902" s="55"/>
      <c r="AO902" s="55"/>
    </row>
    <row r="903">
      <c r="A903" s="55"/>
      <c r="B903" s="55"/>
      <c r="C903" s="53"/>
      <c r="D903" s="55"/>
      <c r="E903" s="55"/>
      <c r="F903" s="55" t="b">
        <v>0</v>
      </c>
      <c r="G903" s="55"/>
      <c r="H903" s="53"/>
      <c r="I903" s="53"/>
      <c r="J903" s="55"/>
      <c r="K903" s="55"/>
      <c r="L903" s="55"/>
      <c r="M903" s="55"/>
      <c r="N903" s="55"/>
      <c r="O903" s="55" t="b">
        <v>0</v>
      </c>
      <c r="P903" s="55"/>
      <c r="Q903" s="55"/>
      <c r="R903" s="55"/>
      <c r="S903" s="55"/>
      <c r="T903" s="55"/>
      <c r="U903" s="64"/>
      <c r="V903" s="55"/>
      <c r="W903" s="64"/>
      <c r="X903" s="55"/>
      <c r="Y903" s="53"/>
      <c r="Z903" s="55"/>
      <c r="AA903" s="55"/>
      <c r="AB903" s="55"/>
      <c r="AC903" s="55"/>
      <c r="AD903" s="55"/>
      <c r="AE903" s="55"/>
      <c r="AF903" s="55"/>
      <c r="AG903" s="55"/>
      <c r="AH903" s="55"/>
      <c r="AI903" s="55"/>
      <c r="AJ903" s="55"/>
      <c r="AK903" s="55"/>
      <c r="AL903" s="55"/>
      <c r="AM903" s="55"/>
      <c r="AN903" s="55"/>
      <c r="AO903" s="55"/>
    </row>
    <row r="904">
      <c r="A904" s="55"/>
      <c r="B904" s="55"/>
      <c r="C904" s="53"/>
      <c r="D904" s="55"/>
      <c r="E904" s="55"/>
      <c r="F904" s="55" t="b">
        <v>0</v>
      </c>
      <c r="G904" s="55"/>
      <c r="H904" s="53"/>
      <c r="I904" s="53"/>
      <c r="J904" s="55"/>
      <c r="K904" s="55"/>
      <c r="L904" s="55"/>
      <c r="M904" s="55"/>
      <c r="N904" s="55"/>
      <c r="O904" s="55" t="b">
        <v>0</v>
      </c>
      <c r="P904" s="55"/>
      <c r="Q904" s="55"/>
      <c r="R904" s="55"/>
      <c r="S904" s="55"/>
      <c r="T904" s="55"/>
      <c r="U904" s="64"/>
      <c r="V904" s="55"/>
      <c r="W904" s="64"/>
      <c r="X904" s="55"/>
      <c r="Y904" s="53"/>
      <c r="Z904" s="55"/>
      <c r="AA904" s="55"/>
      <c r="AB904" s="55"/>
      <c r="AC904" s="55"/>
      <c r="AD904" s="55"/>
      <c r="AE904" s="55"/>
      <c r="AF904" s="55"/>
      <c r="AG904" s="55"/>
      <c r="AH904" s="55"/>
      <c r="AI904" s="55"/>
      <c r="AJ904" s="55"/>
      <c r="AK904" s="55"/>
      <c r="AL904" s="55"/>
      <c r="AM904" s="55"/>
      <c r="AN904" s="55"/>
      <c r="AO904" s="55"/>
    </row>
    <row r="905">
      <c r="A905" s="55"/>
      <c r="B905" s="55"/>
      <c r="C905" s="53"/>
      <c r="D905" s="55"/>
      <c r="E905" s="55"/>
      <c r="F905" s="55" t="b">
        <v>0</v>
      </c>
      <c r="G905" s="55"/>
      <c r="H905" s="53"/>
      <c r="I905" s="53"/>
      <c r="J905" s="55"/>
      <c r="K905" s="55"/>
      <c r="L905" s="55"/>
      <c r="M905" s="55"/>
      <c r="N905" s="55"/>
      <c r="O905" s="55" t="b">
        <v>0</v>
      </c>
      <c r="P905" s="55"/>
      <c r="Q905" s="55"/>
      <c r="R905" s="55"/>
      <c r="S905" s="55"/>
      <c r="T905" s="55"/>
      <c r="U905" s="64"/>
      <c r="V905" s="55"/>
      <c r="W905" s="64"/>
      <c r="X905" s="55"/>
      <c r="Y905" s="53"/>
      <c r="Z905" s="55"/>
      <c r="AA905" s="55"/>
      <c r="AB905" s="55"/>
      <c r="AC905" s="55"/>
      <c r="AD905" s="55"/>
      <c r="AE905" s="55"/>
      <c r="AF905" s="55"/>
      <c r="AG905" s="55"/>
      <c r="AH905" s="55"/>
      <c r="AI905" s="55"/>
      <c r="AJ905" s="55"/>
      <c r="AK905" s="55"/>
      <c r="AL905" s="55"/>
      <c r="AM905" s="55"/>
      <c r="AN905" s="55"/>
      <c r="AO905" s="55"/>
    </row>
    <row r="906">
      <c r="A906" s="55"/>
      <c r="B906" s="55"/>
      <c r="C906" s="53"/>
      <c r="D906" s="55"/>
      <c r="E906" s="55"/>
      <c r="F906" s="55" t="b">
        <v>0</v>
      </c>
      <c r="G906" s="55"/>
      <c r="H906" s="53"/>
      <c r="I906" s="53"/>
      <c r="J906" s="55"/>
      <c r="K906" s="55"/>
      <c r="L906" s="55"/>
      <c r="M906" s="55"/>
      <c r="N906" s="55"/>
      <c r="O906" s="55" t="b">
        <v>0</v>
      </c>
      <c r="P906" s="55"/>
      <c r="Q906" s="55"/>
      <c r="R906" s="55"/>
      <c r="S906" s="55"/>
      <c r="T906" s="55"/>
      <c r="U906" s="64"/>
      <c r="V906" s="55"/>
      <c r="W906" s="64"/>
      <c r="X906" s="55"/>
      <c r="Y906" s="53"/>
      <c r="Z906" s="55"/>
      <c r="AA906" s="55"/>
      <c r="AB906" s="55"/>
      <c r="AC906" s="55"/>
      <c r="AD906" s="55"/>
      <c r="AE906" s="55"/>
      <c r="AF906" s="55"/>
      <c r="AG906" s="55"/>
      <c r="AH906" s="55"/>
      <c r="AI906" s="55"/>
      <c r="AJ906" s="55"/>
      <c r="AK906" s="55"/>
      <c r="AL906" s="55"/>
      <c r="AM906" s="55"/>
      <c r="AN906" s="55"/>
      <c r="AO906" s="55"/>
    </row>
    <row r="907">
      <c r="A907" s="55"/>
      <c r="B907" s="55"/>
      <c r="C907" s="53"/>
      <c r="D907" s="55"/>
      <c r="E907" s="55"/>
      <c r="F907" s="55" t="b">
        <v>0</v>
      </c>
      <c r="G907" s="55"/>
      <c r="H907" s="53"/>
      <c r="I907" s="53"/>
      <c r="J907" s="55"/>
      <c r="K907" s="55"/>
      <c r="L907" s="55"/>
      <c r="M907" s="55"/>
      <c r="N907" s="55"/>
      <c r="O907" s="55" t="b">
        <v>0</v>
      </c>
      <c r="P907" s="55"/>
      <c r="Q907" s="55"/>
      <c r="R907" s="55"/>
      <c r="S907" s="55"/>
      <c r="T907" s="55"/>
      <c r="U907" s="64"/>
      <c r="V907" s="55"/>
      <c r="W907" s="64"/>
      <c r="X907" s="55"/>
      <c r="Y907" s="53"/>
      <c r="Z907" s="55"/>
      <c r="AA907" s="55"/>
      <c r="AB907" s="55"/>
      <c r="AC907" s="55"/>
      <c r="AD907" s="55"/>
      <c r="AE907" s="55"/>
      <c r="AF907" s="55"/>
      <c r="AG907" s="55"/>
      <c r="AH907" s="55"/>
      <c r="AI907" s="55"/>
      <c r="AJ907" s="55"/>
      <c r="AK907" s="55"/>
      <c r="AL907" s="55"/>
      <c r="AM907" s="55"/>
      <c r="AN907" s="55"/>
      <c r="AO907" s="55"/>
    </row>
    <row r="908">
      <c r="A908" s="55"/>
      <c r="B908" s="55"/>
      <c r="C908" s="53"/>
      <c r="D908" s="55"/>
      <c r="E908" s="55"/>
      <c r="F908" s="55" t="b">
        <v>0</v>
      </c>
      <c r="G908" s="55"/>
      <c r="H908" s="53"/>
      <c r="I908" s="53"/>
      <c r="J908" s="55"/>
      <c r="K908" s="55"/>
      <c r="L908" s="55"/>
      <c r="M908" s="55"/>
      <c r="N908" s="55"/>
      <c r="O908" s="55" t="b">
        <v>0</v>
      </c>
      <c r="P908" s="55"/>
      <c r="Q908" s="55"/>
      <c r="R908" s="55"/>
      <c r="S908" s="55"/>
      <c r="T908" s="55"/>
      <c r="U908" s="64"/>
      <c r="V908" s="55"/>
      <c r="W908" s="64"/>
      <c r="X908" s="55"/>
      <c r="Y908" s="53"/>
      <c r="Z908" s="55"/>
      <c r="AA908" s="55"/>
      <c r="AB908" s="55"/>
      <c r="AC908" s="55"/>
      <c r="AD908" s="55"/>
      <c r="AE908" s="55"/>
      <c r="AF908" s="55"/>
      <c r="AG908" s="55"/>
      <c r="AH908" s="55"/>
      <c r="AI908" s="55"/>
      <c r="AJ908" s="55"/>
      <c r="AK908" s="55"/>
      <c r="AL908" s="55"/>
      <c r="AM908" s="55"/>
      <c r="AN908" s="55"/>
      <c r="AO908" s="55"/>
    </row>
    <row r="909">
      <c r="A909" s="55"/>
      <c r="B909" s="55"/>
      <c r="C909" s="53"/>
      <c r="D909" s="55"/>
      <c r="E909" s="55"/>
      <c r="F909" s="55" t="b">
        <v>0</v>
      </c>
      <c r="G909" s="55"/>
      <c r="H909" s="53"/>
      <c r="I909" s="53"/>
      <c r="J909" s="55"/>
      <c r="K909" s="55"/>
      <c r="L909" s="55"/>
      <c r="M909" s="55"/>
      <c r="N909" s="55"/>
      <c r="O909" s="55" t="b">
        <v>0</v>
      </c>
      <c r="P909" s="55"/>
      <c r="Q909" s="55"/>
      <c r="R909" s="55"/>
      <c r="S909" s="55"/>
      <c r="T909" s="55"/>
      <c r="U909" s="64"/>
      <c r="V909" s="55"/>
      <c r="W909" s="64"/>
      <c r="X909" s="55"/>
      <c r="Y909" s="53"/>
      <c r="Z909" s="55"/>
      <c r="AA909" s="55"/>
      <c r="AB909" s="55"/>
      <c r="AC909" s="55"/>
      <c r="AD909" s="55"/>
      <c r="AE909" s="55"/>
      <c r="AF909" s="55"/>
      <c r="AG909" s="55"/>
      <c r="AH909" s="55"/>
      <c r="AI909" s="55"/>
      <c r="AJ909" s="55"/>
      <c r="AK909" s="55"/>
      <c r="AL909" s="55"/>
      <c r="AM909" s="55"/>
      <c r="AN909" s="55"/>
      <c r="AO909" s="55"/>
    </row>
    <row r="910">
      <c r="A910" s="55"/>
      <c r="B910" s="55"/>
      <c r="C910" s="53"/>
      <c r="D910" s="55"/>
      <c r="E910" s="55"/>
      <c r="F910" s="55" t="b">
        <v>0</v>
      </c>
      <c r="G910" s="55"/>
      <c r="H910" s="53"/>
      <c r="I910" s="53"/>
      <c r="J910" s="55"/>
      <c r="K910" s="55"/>
      <c r="L910" s="55"/>
      <c r="M910" s="55"/>
      <c r="N910" s="55"/>
      <c r="O910" s="55" t="b">
        <v>0</v>
      </c>
      <c r="P910" s="55"/>
      <c r="Q910" s="55"/>
      <c r="R910" s="55"/>
      <c r="S910" s="55"/>
      <c r="T910" s="55"/>
      <c r="U910" s="64"/>
      <c r="V910" s="55"/>
      <c r="W910" s="64"/>
      <c r="X910" s="55"/>
      <c r="Y910" s="53"/>
      <c r="Z910" s="55"/>
      <c r="AA910" s="55"/>
      <c r="AB910" s="55"/>
      <c r="AC910" s="55"/>
      <c r="AD910" s="55"/>
      <c r="AE910" s="55"/>
      <c r="AF910" s="55"/>
      <c r="AG910" s="55"/>
      <c r="AH910" s="55"/>
      <c r="AI910" s="55"/>
      <c r="AJ910" s="55"/>
      <c r="AK910" s="55"/>
      <c r="AL910" s="55"/>
      <c r="AM910" s="55"/>
      <c r="AN910" s="55"/>
      <c r="AO910" s="55"/>
    </row>
    <row r="911">
      <c r="A911" s="55"/>
      <c r="B911" s="55"/>
      <c r="C911" s="53"/>
      <c r="D911" s="55"/>
      <c r="E911" s="55"/>
      <c r="F911" s="55" t="b">
        <v>0</v>
      </c>
      <c r="G911" s="55"/>
      <c r="H911" s="53"/>
      <c r="I911" s="53"/>
      <c r="J911" s="55"/>
      <c r="K911" s="55"/>
      <c r="L911" s="55"/>
      <c r="M911" s="55"/>
      <c r="N911" s="55"/>
      <c r="O911" s="55" t="b">
        <v>0</v>
      </c>
      <c r="P911" s="55"/>
      <c r="Q911" s="55"/>
      <c r="R911" s="55"/>
      <c r="S911" s="55"/>
      <c r="T911" s="55"/>
      <c r="U911" s="64"/>
      <c r="V911" s="55"/>
      <c r="W911" s="64"/>
      <c r="X911" s="55"/>
      <c r="Y911" s="53"/>
      <c r="Z911" s="55"/>
      <c r="AA911" s="55"/>
      <c r="AB911" s="55"/>
      <c r="AC911" s="55"/>
      <c r="AD911" s="55"/>
      <c r="AE911" s="55"/>
      <c r="AF911" s="55"/>
      <c r="AG911" s="55"/>
      <c r="AH911" s="55"/>
      <c r="AI911" s="55"/>
      <c r="AJ911" s="55"/>
      <c r="AK911" s="55"/>
      <c r="AL911" s="55"/>
      <c r="AM911" s="55"/>
      <c r="AN911" s="55"/>
      <c r="AO911" s="55"/>
    </row>
    <row r="912">
      <c r="A912" s="55"/>
      <c r="B912" s="55"/>
      <c r="C912" s="53"/>
      <c r="D912" s="55"/>
      <c r="E912" s="55"/>
      <c r="F912" s="55" t="b">
        <v>0</v>
      </c>
      <c r="G912" s="55"/>
      <c r="H912" s="53"/>
      <c r="I912" s="53"/>
      <c r="J912" s="55"/>
      <c r="K912" s="55"/>
      <c r="L912" s="55"/>
      <c r="M912" s="55"/>
      <c r="N912" s="55"/>
      <c r="O912" s="55" t="b">
        <v>0</v>
      </c>
      <c r="P912" s="55"/>
      <c r="Q912" s="55"/>
      <c r="R912" s="55"/>
      <c r="S912" s="55"/>
      <c r="T912" s="55"/>
      <c r="U912" s="64"/>
      <c r="V912" s="55"/>
      <c r="W912" s="64"/>
      <c r="X912" s="55"/>
      <c r="Y912" s="53"/>
      <c r="Z912" s="55"/>
      <c r="AA912" s="55"/>
      <c r="AB912" s="55"/>
      <c r="AC912" s="55"/>
      <c r="AD912" s="55"/>
      <c r="AE912" s="55"/>
      <c r="AF912" s="55"/>
      <c r="AG912" s="55"/>
      <c r="AH912" s="55"/>
      <c r="AI912" s="55"/>
      <c r="AJ912" s="55"/>
      <c r="AK912" s="55"/>
      <c r="AL912" s="55"/>
      <c r="AM912" s="55"/>
      <c r="AN912" s="55"/>
      <c r="AO912" s="55"/>
    </row>
    <row r="913">
      <c r="A913" s="55"/>
      <c r="B913" s="55"/>
      <c r="C913" s="53"/>
      <c r="D913" s="55"/>
      <c r="E913" s="55"/>
      <c r="F913" s="55" t="b">
        <v>0</v>
      </c>
      <c r="G913" s="55"/>
      <c r="H913" s="53"/>
      <c r="I913" s="53"/>
      <c r="J913" s="55"/>
      <c r="K913" s="55"/>
      <c r="L913" s="55"/>
      <c r="M913" s="55"/>
      <c r="N913" s="55"/>
      <c r="O913" s="55" t="b">
        <v>0</v>
      </c>
      <c r="P913" s="55"/>
      <c r="Q913" s="55"/>
      <c r="R913" s="55"/>
      <c r="S913" s="55"/>
      <c r="T913" s="55"/>
      <c r="U913" s="64"/>
      <c r="V913" s="55"/>
      <c r="W913" s="64"/>
      <c r="X913" s="55"/>
      <c r="Y913" s="53"/>
      <c r="Z913" s="55"/>
      <c r="AA913" s="55"/>
      <c r="AB913" s="55"/>
      <c r="AC913" s="55"/>
      <c r="AD913" s="55"/>
      <c r="AE913" s="55"/>
      <c r="AF913" s="55"/>
      <c r="AG913" s="55"/>
      <c r="AH913" s="55"/>
      <c r="AI913" s="55"/>
      <c r="AJ913" s="55"/>
      <c r="AK913" s="55"/>
      <c r="AL913" s="55"/>
      <c r="AM913" s="55"/>
      <c r="AN913" s="55"/>
      <c r="AO913" s="55"/>
    </row>
    <row r="914">
      <c r="A914" s="55"/>
      <c r="B914" s="55"/>
      <c r="C914" s="53"/>
      <c r="D914" s="55"/>
      <c r="E914" s="55"/>
      <c r="F914" s="55" t="b">
        <v>0</v>
      </c>
      <c r="G914" s="55"/>
      <c r="H914" s="53"/>
      <c r="I914" s="53"/>
      <c r="J914" s="55"/>
      <c r="K914" s="55"/>
      <c r="L914" s="55"/>
      <c r="M914" s="55"/>
      <c r="N914" s="55"/>
      <c r="O914" s="55" t="b">
        <v>0</v>
      </c>
      <c r="P914" s="55"/>
      <c r="Q914" s="55"/>
      <c r="R914" s="55"/>
      <c r="S914" s="55"/>
      <c r="T914" s="55"/>
      <c r="U914" s="64"/>
      <c r="V914" s="55"/>
      <c r="W914" s="64"/>
      <c r="X914" s="55"/>
      <c r="Y914" s="53"/>
      <c r="Z914" s="55"/>
      <c r="AA914" s="55"/>
      <c r="AB914" s="55"/>
      <c r="AC914" s="55"/>
      <c r="AD914" s="55"/>
      <c r="AE914" s="55"/>
      <c r="AF914" s="55"/>
      <c r="AG914" s="55"/>
      <c r="AH914" s="55"/>
      <c r="AI914" s="55"/>
      <c r="AJ914" s="55"/>
      <c r="AK914" s="55"/>
      <c r="AL914" s="55"/>
      <c r="AM914" s="55"/>
      <c r="AN914" s="55"/>
      <c r="AO914" s="55"/>
    </row>
    <row r="915">
      <c r="A915" s="55"/>
      <c r="B915" s="55"/>
      <c r="C915" s="53"/>
      <c r="D915" s="55"/>
      <c r="E915" s="55"/>
      <c r="F915" s="55" t="b">
        <v>0</v>
      </c>
      <c r="G915" s="55"/>
      <c r="H915" s="53"/>
      <c r="I915" s="53"/>
      <c r="J915" s="55"/>
      <c r="K915" s="55"/>
      <c r="L915" s="55"/>
      <c r="M915" s="55"/>
      <c r="N915" s="55"/>
      <c r="O915" s="55" t="b">
        <v>0</v>
      </c>
      <c r="P915" s="55"/>
      <c r="Q915" s="55"/>
      <c r="R915" s="55"/>
      <c r="S915" s="55"/>
      <c r="T915" s="55"/>
      <c r="U915" s="64"/>
      <c r="V915" s="55"/>
      <c r="W915" s="64"/>
      <c r="X915" s="55"/>
      <c r="Y915" s="53"/>
      <c r="Z915" s="55"/>
      <c r="AA915" s="55"/>
      <c r="AB915" s="55"/>
      <c r="AC915" s="55"/>
      <c r="AD915" s="55"/>
      <c r="AE915" s="55"/>
      <c r="AF915" s="55"/>
      <c r="AG915" s="55"/>
      <c r="AH915" s="55"/>
      <c r="AI915" s="55"/>
      <c r="AJ915" s="55"/>
      <c r="AK915" s="55"/>
      <c r="AL915" s="55"/>
      <c r="AM915" s="55"/>
      <c r="AN915" s="55"/>
      <c r="AO915" s="55"/>
    </row>
    <row r="916">
      <c r="A916" s="55"/>
      <c r="B916" s="55"/>
      <c r="C916" s="53"/>
      <c r="D916" s="55"/>
      <c r="E916" s="55"/>
      <c r="F916" s="55" t="b">
        <v>0</v>
      </c>
      <c r="G916" s="55"/>
      <c r="H916" s="53"/>
      <c r="I916" s="53"/>
      <c r="J916" s="55"/>
      <c r="K916" s="55"/>
      <c r="L916" s="55"/>
      <c r="M916" s="55"/>
      <c r="N916" s="55"/>
      <c r="O916" s="55" t="b">
        <v>0</v>
      </c>
      <c r="P916" s="55"/>
      <c r="Q916" s="55"/>
      <c r="R916" s="55"/>
      <c r="S916" s="55"/>
      <c r="T916" s="55"/>
      <c r="U916" s="64"/>
      <c r="V916" s="55"/>
      <c r="W916" s="64"/>
      <c r="X916" s="55"/>
      <c r="Y916" s="53"/>
      <c r="Z916" s="55"/>
      <c r="AA916" s="55"/>
      <c r="AB916" s="55"/>
      <c r="AC916" s="55"/>
      <c r="AD916" s="55"/>
      <c r="AE916" s="55"/>
      <c r="AF916" s="55"/>
      <c r="AG916" s="55"/>
      <c r="AH916" s="55"/>
      <c r="AI916" s="55"/>
      <c r="AJ916" s="55"/>
      <c r="AK916" s="55"/>
      <c r="AL916" s="55"/>
      <c r="AM916" s="55"/>
      <c r="AN916" s="55"/>
      <c r="AO916" s="55"/>
    </row>
    <row r="917">
      <c r="A917" s="55"/>
      <c r="B917" s="55"/>
      <c r="C917" s="53"/>
      <c r="D917" s="55"/>
      <c r="E917" s="55"/>
      <c r="F917" s="55" t="b">
        <v>0</v>
      </c>
      <c r="G917" s="55"/>
      <c r="H917" s="53"/>
      <c r="I917" s="53"/>
      <c r="J917" s="55"/>
      <c r="K917" s="55"/>
      <c r="L917" s="55"/>
      <c r="M917" s="55"/>
      <c r="N917" s="55"/>
      <c r="O917" s="55" t="b">
        <v>0</v>
      </c>
      <c r="P917" s="55"/>
      <c r="Q917" s="55"/>
      <c r="R917" s="55"/>
      <c r="S917" s="55"/>
      <c r="T917" s="55"/>
      <c r="U917" s="64"/>
      <c r="V917" s="55"/>
      <c r="W917" s="64"/>
      <c r="X917" s="55"/>
      <c r="Y917" s="53"/>
      <c r="Z917" s="55"/>
      <c r="AA917" s="55"/>
      <c r="AB917" s="55"/>
      <c r="AC917" s="55"/>
      <c r="AD917" s="55"/>
      <c r="AE917" s="55"/>
      <c r="AF917" s="55"/>
      <c r="AG917" s="55"/>
      <c r="AH917" s="55"/>
      <c r="AI917" s="55"/>
      <c r="AJ917" s="55"/>
      <c r="AK917" s="55"/>
      <c r="AL917" s="55"/>
      <c r="AM917" s="55"/>
      <c r="AN917" s="55"/>
      <c r="AO917" s="55"/>
    </row>
    <row r="918">
      <c r="A918" s="55"/>
      <c r="B918" s="55"/>
      <c r="C918" s="53"/>
      <c r="D918" s="55"/>
      <c r="E918" s="55"/>
      <c r="F918" s="55" t="b">
        <v>0</v>
      </c>
      <c r="G918" s="55"/>
      <c r="H918" s="53"/>
      <c r="I918" s="53"/>
      <c r="J918" s="55"/>
      <c r="K918" s="55"/>
      <c r="L918" s="55"/>
      <c r="M918" s="55"/>
      <c r="N918" s="55"/>
      <c r="O918" s="55" t="b">
        <v>0</v>
      </c>
      <c r="P918" s="55"/>
      <c r="Q918" s="55"/>
      <c r="R918" s="55"/>
      <c r="S918" s="55"/>
      <c r="T918" s="55"/>
      <c r="U918" s="64"/>
      <c r="V918" s="55"/>
      <c r="W918" s="64"/>
      <c r="X918" s="55"/>
      <c r="Y918" s="53"/>
      <c r="Z918" s="55"/>
      <c r="AA918" s="55"/>
      <c r="AB918" s="55"/>
      <c r="AC918" s="55"/>
      <c r="AD918" s="55"/>
      <c r="AE918" s="55"/>
      <c r="AF918" s="55"/>
      <c r="AG918" s="55"/>
      <c r="AH918" s="55"/>
      <c r="AI918" s="55"/>
      <c r="AJ918" s="55"/>
      <c r="AK918" s="55"/>
      <c r="AL918" s="55"/>
      <c r="AM918" s="55"/>
      <c r="AN918" s="55"/>
      <c r="AO918" s="55"/>
    </row>
    <row r="919">
      <c r="A919" s="55"/>
      <c r="B919" s="55"/>
      <c r="C919" s="53"/>
      <c r="D919" s="55"/>
      <c r="E919" s="55"/>
      <c r="F919" s="55" t="b">
        <v>0</v>
      </c>
      <c r="G919" s="55"/>
      <c r="H919" s="53"/>
      <c r="I919" s="53"/>
      <c r="J919" s="55"/>
      <c r="K919" s="55"/>
      <c r="L919" s="55"/>
      <c r="M919" s="55"/>
      <c r="N919" s="55"/>
      <c r="O919" s="55" t="b">
        <v>0</v>
      </c>
      <c r="P919" s="55"/>
      <c r="Q919" s="55"/>
      <c r="R919" s="55"/>
      <c r="S919" s="55"/>
      <c r="T919" s="55"/>
      <c r="U919" s="64"/>
      <c r="V919" s="55"/>
      <c r="W919" s="64"/>
      <c r="X919" s="55"/>
      <c r="Y919" s="53"/>
      <c r="Z919" s="55"/>
      <c r="AA919" s="55"/>
      <c r="AB919" s="55"/>
      <c r="AC919" s="55"/>
      <c r="AD919" s="55"/>
      <c r="AE919" s="55"/>
      <c r="AF919" s="55"/>
      <c r="AG919" s="55"/>
      <c r="AH919" s="55"/>
      <c r="AI919" s="55"/>
      <c r="AJ919" s="55"/>
      <c r="AK919" s="55"/>
      <c r="AL919" s="55"/>
      <c r="AM919" s="55"/>
      <c r="AN919" s="55"/>
      <c r="AO919" s="55"/>
    </row>
    <row r="920">
      <c r="A920" s="55"/>
      <c r="B920" s="55"/>
      <c r="C920" s="53"/>
      <c r="D920" s="55"/>
      <c r="E920" s="55"/>
      <c r="F920" s="55" t="b">
        <v>0</v>
      </c>
      <c r="G920" s="55"/>
      <c r="H920" s="53"/>
      <c r="I920" s="53"/>
      <c r="J920" s="55"/>
      <c r="K920" s="55"/>
      <c r="L920" s="55"/>
      <c r="M920" s="55"/>
      <c r="N920" s="55"/>
      <c r="O920" s="55" t="b">
        <v>0</v>
      </c>
      <c r="P920" s="55"/>
      <c r="Q920" s="55"/>
      <c r="R920" s="55"/>
      <c r="S920" s="55"/>
      <c r="T920" s="55"/>
      <c r="U920" s="64"/>
      <c r="V920" s="55"/>
      <c r="W920" s="64"/>
      <c r="X920" s="55"/>
      <c r="Y920" s="53"/>
      <c r="Z920" s="55"/>
      <c r="AA920" s="55"/>
      <c r="AB920" s="55"/>
      <c r="AC920" s="55"/>
      <c r="AD920" s="55"/>
      <c r="AE920" s="55"/>
      <c r="AF920" s="55"/>
      <c r="AG920" s="55"/>
      <c r="AH920" s="55"/>
      <c r="AI920" s="55"/>
      <c r="AJ920" s="55"/>
      <c r="AK920" s="55"/>
      <c r="AL920" s="55"/>
      <c r="AM920" s="55"/>
      <c r="AN920" s="55"/>
      <c r="AO920" s="55"/>
    </row>
    <row r="921">
      <c r="A921" s="55"/>
      <c r="B921" s="55"/>
      <c r="C921" s="53"/>
      <c r="D921" s="55"/>
      <c r="E921" s="55"/>
      <c r="F921" s="55" t="b">
        <v>0</v>
      </c>
      <c r="G921" s="55"/>
      <c r="H921" s="53"/>
      <c r="I921" s="53"/>
      <c r="J921" s="55"/>
      <c r="K921" s="55"/>
      <c r="L921" s="55"/>
      <c r="M921" s="55"/>
      <c r="N921" s="55"/>
      <c r="O921" s="55" t="b">
        <v>0</v>
      </c>
      <c r="P921" s="55"/>
      <c r="Q921" s="55"/>
      <c r="R921" s="55"/>
      <c r="S921" s="55"/>
      <c r="T921" s="55"/>
      <c r="U921" s="64"/>
      <c r="V921" s="55"/>
      <c r="W921" s="64"/>
      <c r="X921" s="55"/>
      <c r="Y921" s="53"/>
      <c r="Z921" s="55"/>
      <c r="AA921" s="55"/>
      <c r="AB921" s="55"/>
      <c r="AC921" s="55"/>
      <c r="AD921" s="55"/>
      <c r="AE921" s="55"/>
      <c r="AF921" s="55"/>
      <c r="AG921" s="55"/>
      <c r="AH921" s="55"/>
      <c r="AI921" s="55"/>
      <c r="AJ921" s="55"/>
      <c r="AK921" s="55"/>
      <c r="AL921" s="55"/>
      <c r="AM921" s="55"/>
      <c r="AN921" s="55"/>
      <c r="AO921" s="55"/>
    </row>
    <row r="922">
      <c r="A922" s="55"/>
      <c r="B922" s="55"/>
      <c r="C922" s="53"/>
      <c r="D922" s="55"/>
      <c r="E922" s="55"/>
      <c r="F922" s="55" t="b">
        <v>0</v>
      </c>
      <c r="G922" s="55"/>
      <c r="H922" s="53"/>
      <c r="I922" s="53"/>
      <c r="J922" s="55"/>
      <c r="K922" s="55"/>
      <c r="L922" s="55"/>
      <c r="M922" s="55"/>
      <c r="N922" s="55"/>
      <c r="O922" s="55" t="b">
        <v>0</v>
      </c>
      <c r="P922" s="55"/>
      <c r="Q922" s="55"/>
      <c r="R922" s="55"/>
      <c r="S922" s="55"/>
      <c r="T922" s="55"/>
      <c r="U922" s="64"/>
      <c r="V922" s="55"/>
      <c r="W922" s="64"/>
      <c r="X922" s="55"/>
      <c r="Y922" s="53"/>
      <c r="Z922" s="55"/>
      <c r="AA922" s="55"/>
      <c r="AB922" s="55"/>
      <c r="AC922" s="55"/>
      <c r="AD922" s="55"/>
      <c r="AE922" s="55"/>
      <c r="AF922" s="55"/>
      <c r="AG922" s="55"/>
      <c r="AH922" s="55"/>
      <c r="AI922" s="55"/>
      <c r="AJ922" s="55"/>
      <c r="AK922" s="55"/>
      <c r="AL922" s="55"/>
      <c r="AM922" s="55"/>
      <c r="AN922" s="55"/>
      <c r="AO922" s="55"/>
    </row>
    <row r="923">
      <c r="A923" s="55"/>
      <c r="B923" s="55"/>
      <c r="C923" s="53"/>
      <c r="D923" s="55"/>
      <c r="E923" s="55"/>
      <c r="F923" s="55" t="b">
        <v>0</v>
      </c>
      <c r="G923" s="55"/>
      <c r="H923" s="53"/>
      <c r="I923" s="53"/>
      <c r="J923" s="55"/>
      <c r="K923" s="55"/>
      <c r="L923" s="55"/>
      <c r="M923" s="55"/>
      <c r="N923" s="55"/>
      <c r="O923" s="55" t="b">
        <v>0</v>
      </c>
      <c r="P923" s="55"/>
      <c r="Q923" s="55"/>
      <c r="R923" s="55"/>
      <c r="S923" s="55"/>
      <c r="T923" s="55"/>
      <c r="U923" s="64"/>
      <c r="V923" s="55"/>
      <c r="W923" s="64"/>
      <c r="X923" s="55"/>
      <c r="Y923" s="53"/>
      <c r="Z923" s="55"/>
      <c r="AA923" s="55"/>
      <c r="AB923" s="55"/>
      <c r="AC923" s="55"/>
      <c r="AD923" s="55"/>
      <c r="AE923" s="55"/>
      <c r="AF923" s="55"/>
      <c r="AG923" s="55"/>
      <c r="AH923" s="55"/>
      <c r="AI923" s="55"/>
      <c r="AJ923" s="55"/>
      <c r="AK923" s="55"/>
      <c r="AL923" s="55"/>
      <c r="AM923" s="55"/>
      <c r="AN923" s="55"/>
      <c r="AO923" s="55"/>
    </row>
    <row r="924">
      <c r="A924" s="55"/>
      <c r="B924" s="55"/>
      <c r="C924" s="53"/>
      <c r="D924" s="55"/>
      <c r="E924" s="55"/>
      <c r="F924" s="55" t="b">
        <v>0</v>
      </c>
      <c r="G924" s="55"/>
      <c r="H924" s="53"/>
      <c r="I924" s="53"/>
      <c r="J924" s="55"/>
      <c r="K924" s="55"/>
      <c r="L924" s="55"/>
      <c r="M924" s="55"/>
      <c r="N924" s="55"/>
      <c r="O924" s="55" t="b">
        <v>0</v>
      </c>
      <c r="P924" s="55"/>
      <c r="Q924" s="55"/>
      <c r="R924" s="55"/>
      <c r="S924" s="55"/>
      <c r="T924" s="55"/>
      <c r="U924" s="64"/>
      <c r="V924" s="55"/>
      <c r="W924" s="64"/>
      <c r="X924" s="55"/>
      <c r="Y924" s="53"/>
      <c r="Z924" s="55"/>
      <c r="AA924" s="55"/>
      <c r="AB924" s="55"/>
      <c r="AC924" s="55"/>
      <c r="AD924" s="55"/>
      <c r="AE924" s="55"/>
      <c r="AF924" s="55"/>
      <c r="AG924" s="55"/>
      <c r="AH924" s="55"/>
      <c r="AI924" s="55"/>
      <c r="AJ924" s="55"/>
      <c r="AK924" s="55"/>
      <c r="AL924" s="55"/>
      <c r="AM924" s="55"/>
      <c r="AN924" s="55"/>
      <c r="AO924" s="55"/>
    </row>
    <row r="925">
      <c r="A925" s="55"/>
      <c r="B925" s="55"/>
      <c r="C925" s="53"/>
      <c r="D925" s="55"/>
      <c r="E925" s="55"/>
      <c r="F925" s="55" t="b">
        <v>0</v>
      </c>
      <c r="G925" s="55"/>
      <c r="H925" s="53"/>
      <c r="I925" s="53"/>
      <c r="J925" s="55"/>
      <c r="K925" s="55"/>
      <c r="L925" s="55"/>
      <c r="M925" s="55"/>
      <c r="N925" s="55"/>
      <c r="O925" s="55" t="b">
        <v>0</v>
      </c>
      <c r="P925" s="55"/>
      <c r="Q925" s="55"/>
      <c r="R925" s="55"/>
      <c r="S925" s="55"/>
      <c r="T925" s="55"/>
      <c r="U925" s="64"/>
      <c r="V925" s="55"/>
      <c r="W925" s="64"/>
      <c r="X925" s="55"/>
      <c r="Y925" s="53"/>
      <c r="Z925" s="55"/>
      <c r="AA925" s="55"/>
      <c r="AB925" s="55"/>
      <c r="AC925" s="55"/>
      <c r="AD925" s="55"/>
      <c r="AE925" s="55"/>
      <c r="AF925" s="55"/>
      <c r="AG925" s="55"/>
      <c r="AH925" s="55"/>
      <c r="AI925" s="55"/>
      <c r="AJ925" s="55"/>
      <c r="AK925" s="55"/>
      <c r="AL925" s="55"/>
      <c r="AM925" s="55"/>
      <c r="AN925" s="55"/>
      <c r="AO925" s="55"/>
    </row>
    <row r="926">
      <c r="A926" s="55"/>
      <c r="B926" s="55"/>
      <c r="C926" s="53"/>
      <c r="D926" s="55"/>
      <c r="E926" s="55"/>
      <c r="F926" s="55" t="b">
        <v>0</v>
      </c>
      <c r="G926" s="55"/>
      <c r="H926" s="53"/>
      <c r="I926" s="53"/>
      <c r="J926" s="55"/>
      <c r="K926" s="55"/>
      <c r="L926" s="55"/>
      <c r="M926" s="55"/>
      <c r="N926" s="55"/>
      <c r="O926" s="55" t="b">
        <v>0</v>
      </c>
      <c r="P926" s="55"/>
      <c r="Q926" s="55"/>
      <c r="R926" s="55"/>
      <c r="S926" s="55"/>
      <c r="T926" s="55"/>
      <c r="U926" s="64"/>
      <c r="V926" s="55"/>
      <c r="W926" s="64"/>
      <c r="X926" s="55"/>
      <c r="Y926" s="53"/>
      <c r="Z926" s="55"/>
      <c r="AA926" s="55"/>
      <c r="AB926" s="55"/>
      <c r="AC926" s="55"/>
      <c r="AD926" s="55"/>
      <c r="AE926" s="55"/>
      <c r="AF926" s="55"/>
      <c r="AG926" s="55"/>
      <c r="AH926" s="55"/>
      <c r="AI926" s="55"/>
      <c r="AJ926" s="55"/>
      <c r="AK926" s="55"/>
      <c r="AL926" s="55"/>
      <c r="AM926" s="55"/>
      <c r="AN926" s="55"/>
      <c r="AO926" s="55"/>
    </row>
    <row r="927">
      <c r="A927" s="55"/>
      <c r="B927" s="55"/>
      <c r="C927" s="53"/>
      <c r="D927" s="55"/>
      <c r="E927" s="55"/>
      <c r="F927" s="55" t="b">
        <v>0</v>
      </c>
      <c r="G927" s="55"/>
      <c r="H927" s="53"/>
      <c r="I927" s="53"/>
      <c r="J927" s="55"/>
      <c r="K927" s="55"/>
      <c r="L927" s="55"/>
      <c r="M927" s="55"/>
      <c r="N927" s="55"/>
      <c r="O927" s="55" t="b">
        <v>0</v>
      </c>
      <c r="P927" s="55"/>
      <c r="Q927" s="55"/>
      <c r="R927" s="55"/>
      <c r="S927" s="55"/>
      <c r="T927" s="55"/>
      <c r="U927" s="64"/>
      <c r="V927" s="55"/>
      <c r="W927" s="64"/>
      <c r="X927" s="55"/>
      <c r="Y927" s="53"/>
      <c r="Z927" s="55"/>
      <c r="AA927" s="55"/>
      <c r="AB927" s="55"/>
      <c r="AC927" s="55"/>
      <c r="AD927" s="55"/>
      <c r="AE927" s="55"/>
      <c r="AF927" s="55"/>
      <c r="AG927" s="55"/>
      <c r="AH927" s="55"/>
      <c r="AI927" s="55"/>
      <c r="AJ927" s="55"/>
      <c r="AK927" s="55"/>
      <c r="AL927" s="55"/>
      <c r="AM927" s="55"/>
      <c r="AN927" s="55"/>
      <c r="AO927" s="55"/>
    </row>
    <row r="928">
      <c r="A928" s="55"/>
      <c r="B928" s="55"/>
      <c r="C928" s="53"/>
      <c r="D928" s="55"/>
      <c r="E928" s="55"/>
      <c r="F928" s="55" t="b">
        <v>0</v>
      </c>
      <c r="G928" s="55"/>
      <c r="H928" s="53"/>
      <c r="I928" s="53"/>
      <c r="J928" s="55"/>
      <c r="K928" s="55"/>
      <c r="L928" s="55"/>
      <c r="M928" s="55"/>
      <c r="N928" s="55"/>
      <c r="O928" s="55" t="b">
        <v>0</v>
      </c>
      <c r="P928" s="55"/>
      <c r="Q928" s="55"/>
      <c r="R928" s="55"/>
      <c r="S928" s="55"/>
      <c r="T928" s="55"/>
      <c r="U928" s="64"/>
      <c r="V928" s="55"/>
      <c r="W928" s="64"/>
      <c r="X928" s="55"/>
      <c r="Y928" s="53"/>
      <c r="Z928" s="55"/>
      <c r="AA928" s="55"/>
      <c r="AB928" s="55"/>
      <c r="AC928" s="55"/>
      <c r="AD928" s="55"/>
      <c r="AE928" s="55"/>
      <c r="AF928" s="55"/>
      <c r="AG928" s="55"/>
      <c r="AH928" s="55"/>
      <c r="AI928" s="55"/>
      <c r="AJ928" s="55"/>
      <c r="AK928" s="55"/>
      <c r="AL928" s="55"/>
      <c r="AM928" s="55"/>
      <c r="AN928" s="55"/>
      <c r="AO928" s="55"/>
    </row>
    <row r="929">
      <c r="A929" s="55"/>
      <c r="B929" s="55"/>
      <c r="C929" s="53"/>
      <c r="D929" s="55"/>
      <c r="E929" s="55"/>
      <c r="F929" s="55" t="b">
        <v>0</v>
      </c>
      <c r="G929" s="55"/>
      <c r="H929" s="53"/>
      <c r="I929" s="53"/>
      <c r="J929" s="55"/>
      <c r="K929" s="55"/>
      <c r="L929" s="55"/>
      <c r="M929" s="55"/>
      <c r="N929" s="55"/>
      <c r="O929" s="55" t="b">
        <v>0</v>
      </c>
      <c r="P929" s="55"/>
      <c r="Q929" s="55"/>
      <c r="R929" s="55"/>
      <c r="S929" s="55"/>
      <c r="T929" s="55"/>
      <c r="U929" s="64"/>
      <c r="V929" s="55"/>
      <c r="W929" s="64"/>
      <c r="X929" s="55"/>
      <c r="Y929" s="53"/>
      <c r="Z929" s="55"/>
      <c r="AA929" s="55"/>
      <c r="AB929" s="55"/>
      <c r="AC929" s="55"/>
      <c r="AD929" s="55"/>
      <c r="AE929" s="55"/>
      <c r="AF929" s="55"/>
      <c r="AG929" s="55"/>
      <c r="AH929" s="55"/>
      <c r="AI929" s="55"/>
      <c r="AJ929" s="55"/>
      <c r="AK929" s="55"/>
      <c r="AL929" s="55"/>
      <c r="AM929" s="55"/>
      <c r="AN929" s="55"/>
      <c r="AO929" s="55"/>
    </row>
    <row r="930">
      <c r="A930" s="55"/>
      <c r="B930" s="55"/>
      <c r="C930" s="53"/>
      <c r="D930" s="55"/>
      <c r="E930" s="55"/>
      <c r="F930" s="55" t="b">
        <v>0</v>
      </c>
      <c r="G930" s="55"/>
      <c r="H930" s="53"/>
      <c r="I930" s="53"/>
      <c r="J930" s="55"/>
      <c r="K930" s="55"/>
      <c r="L930" s="55"/>
      <c r="M930" s="55"/>
      <c r="N930" s="55"/>
      <c r="O930" s="55" t="b">
        <v>0</v>
      </c>
      <c r="P930" s="55"/>
      <c r="Q930" s="55"/>
      <c r="R930" s="55"/>
      <c r="S930" s="55"/>
      <c r="T930" s="55"/>
      <c r="U930" s="64"/>
      <c r="V930" s="55"/>
      <c r="W930" s="64"/>
      <c r="X930" s="55"/>
      <c r="Y930" s="53"/>
      <c r="Z930" s="55"/>
      <c r="AA930" s="55"/>
      <c r="AB930" s="55"/>
      <c r="AC930" s="55"/>
      <c r="AD930" s="55"/>
      <c r="AE930" s="55"/>
      <c r="AF930" s="55"/>
      <c r="AG930" s="55"/>
      <c r="AH930" s="55"/>
      <c r="AI930" s="55"/>
      <c r="AJ930" s="55"/>
      <c r="AK930" s="55"/>
      <c r="AL930" s="55"/>
      <c r="AM930" s="55"/>
      <c r="AN930" s="55"/>
      <c r="AO930" s="55"/>
    </row>
    <row r="931">
      <c r="A931" s="55"/>
      <c r="B931" s="55"/>
      <c r="C931" s="53"/>
      <c r="D931" s="55"/>
      <c r="E931" s="55"/>
      <c r="F931" s="55" t="b">
        <v>0</v>
      </c>
      <c r="G931" s="55"/>
      <c r="H931" s="53"/>
      <c r="I931" s="53"/>
      <c r="J931" s="55"/>
      <c r="K931" s="55"/>
      <c r="L931" s="55"/>
      <c r="M931" s="55"/>
      <c r="N931" s="55"/>
      <c r="O931" s="55" t="b">
        <v>0</v>
      </c>
      <c r="P931" s="55"/>
      <c r="Q931" s="55"/>
      <c r="R931" s="55"/>
      <c r="S931" s="55"/>
      <c r="T931" s="55"/>
      <c r="U931" s="64"/>
      <c r="V931" s="55"/>
      <c r="W931" s="64"/>
      <c r="X931" s="55"/>
      <c r="Y931" s="53"/>
      <c r="Z931" s="55"/>
      <c r="AA931" s="55"/>
      <c r="AB931" s="55"/>
      <c r="AC931" s="55"/>
      <c r="AD931" s="55"/>
      <c r="AE931" s="55"/>
      <c r="AF931" s="55"/>
      <c r="AG931" s="55"/>
      <c r="AH931" s="55"/>
      <c r="AI931" s="55"/>
      <c r="AJ931" s="55"/>
      <c r="AK931" s="55"/>
      <c r="AL931" s="55"/>
      <c r="AM931" s="55"/>
      <c r="AN931" s="55"/>
      <c r="AO931" s="55"/>
    </row>
    <row r="932">
      <c r="A932" s="55"/>
      <c r="B932" s="55"/>
      <c r="C932" s="53"/>
      <c r="D932" s="55"/>
      <c r="E932" s="55"/>
      <c r="F932" s="55" t="b">
        <v>0</v>
      </c>
      <c r="G932" s="55"/>
      <c r="H932" s="53"/>
      <c r="I932" s="53"/>
      <c r="J932" s="55"/>
      <c r="K932" s="55"/>
      <c r="L932" s="55"/>
      <c r="M932" s="55"/>
      <c r="N932" s="55"/>
      <c r="O932" s="55" t="b">
        <v>0</v>
      </c>
      <c r="P932" s="55"/>
      <c r="Q932" s="55"/>
      <c r="R932" s="55"/>
      <c r="S932" s="55"/>
      <c r="T932" s="55"/>
      <c r="U932" s="64"/>
      <c r="V932" s="55"/>
      <c r="W932" s="64"/>
      <c r="X932" s="55"/>
      <c r="Y932" s="53"/>
      <c r="Z932" s="55"/>
      <c r="AA932" s="55"/>
      <c r="AB932" s="55"/>
      <c r="AC932" s="55"/>
      <c r="AD932" s="55"/>
      <c r="AE932" s="55"/>
      <c r="AF932" s="55"/>
      <c r="AG932" s="55"/>
      <c r="AH932" s="55"/>
      <c r="AI932" s="55"/>
      <c r="AJ932" s="55"/>
      <c r="AK932" s="55"/>
      <c r="AL932" s="55"/>
      <c r="AM932" s="55"/>
      <c r="AN932" s="55"/>
      <c r="AO932" s="55"/>
    </row>
    <row r="933">
      <c r="A933" s="55"/>
      <c r="B933" s="55"/>
      <c r="C933" s="53"/>
      <c r="D933" s="55"/>
      <c r="E933" s="55"/>
      <c r="F933" s="55" t="b">
        <v>0</v>
      </c>
      <c r="G933" s="55"/>
      <c r="H933" s="53"/>
      <c r="I933" s="53"/>
      <c r="J933" s="55"/>
      <c r="K933" s="55"/>
      <c r="L933" s="55"/>
      <c r="M933" s="55"/>
      <c r="N933" s="55"/>
      <c r="O933" s="55" t="b">
        <v>0</v>
      </c>
      <c r="P933" s="55"/>
      <c r="Q933" s="55"/>
      <c r="R933" s="55"/>
      <c r="S933" s="55"/>
      <c r="T933" s="55"/>
      <c r="U933" s="64"/>
      <c r="V933" s="55"/>
      <c r="W933" s="64"/>
      <c r="X933" s="55"/>
      <c r="Y933" s="53"/>
      <c r="Z933" s="55"/>
      <c r="AA933" s="55"/>
      <c r="AB933" s="55"/>
      <c r="AC933" s="55"/>
      <c r="AD933" s="55"/>
      <c r="AE933" s="55"/>
      <c r="AF933" s="55"/>
      <c r="AG933" s="55"/>
      <c r="AH933" s="55"/>
      <c r="AI933" s="55"/>
      <c r="AJ933" s="55"/>
      <c r="AK933" s="55"/>
      <c r="AL933" s="55"/>
      <c r="AM933" s="55"/>
      <c r="AN933" s="55"/>
      <c r="AO933" s="55"/>
    </row>
    <row r="934">
      <c r="A934" s="55"/>
      <c r="B934" s="55"/>
      <c r="C934" s="53"/>
      <c r="D934" s="55"/>
      <c r="E934" s="55"/>
      <c r="F934" s="55" t="b">
        <v>0</v>
      </c>
      <c r="G934" s="55"/>
      <c r="H934" s="53"/>
      <c r="I934" s="53"/>
      <c r="J934" s="55"/>
      <c r="K934" s="55"/>
      <c r="L934" s="55"/>
      <c r="M934" s="55"/>
      <c r="N934" s="55"/>
      <c r="O934" s="55" t="b">
        <v>0</v>
      </c>
      <c r="P934" s="55"/>
      <c r="Q934" s="55"/>
      <c r="R934" s="55"/>
      <c r="S934" s="55"/>
      <c r="T934" s="55"/>
      <c r="U934" s="64"/>
      <c r="V934" s="55"/>
      <c r="W934" s="64"/>
      <c r="X934" s="55"/>
      <c r="Y934" s="53"/>
      <c r="Z934" s="55"/>
      <c r="AA934" s="55"/>
      <c r="AB934" s="55"/>
      <c r="AC934" s="55"/>
      <c r="AD934" s="55"/>
      <c r="AE934" s="55"/>
      <c r="AF934" s="55"/>
      <c r="AG934" s="55"/>
      <c r="AH934" s="55"/>
      <c r="AI934" s="55"/>
      <c r="AJ934" s="55"/>
      <c r="AK934" s="55"/>
      <c r="AL934" s="55"/>
      <c r="AM934" s="55"/>
      <c r="AN934" s="55"/>
      <c r="AO934" s="55"/>
    </row>
    <row r="935">
      <c r="A935" s="55"/>
      <c r="B935" s="55"/>
      <c r="C935" s="53"/>
      <c r="D935" s="55"/>
      <c r="E935" s="55"/>
      <c r="F935" s="55" t="b">
        <v>0</v>
      </c>
      <c r="G935" s="55"/>
      <c r="H935" s="53"/>
      <c r="I935" s="53"/>
      <c r="J935" s="55"/>
      <c r="K935" s="55"/>
      <c r="L935" s="55"/>
      <c r="M935" s="55"/>
      <c r="N935" s="55"/>
      <c r="O935" s="55" t="b">
        <v>0</v>
      </c>
      <c r="P935" s="55"/>
      <c r="Q935" s="55"/>
      <c r="R935" s="55"/>
      <c r="S935" s="55"/>
      <c r="T935" s="55"/>
      <c r="U935" s="64"/>
      <c r="V935" s="55"/>
      <c r="W935" s="64"/>
      <c r="X935" s="55"/>
      <c r="Y935" s="53"/>
      <c r="Z935" s="55"/>
      <c r="AA935" s="55"/>
      <c r="AB935" s="55"/>
      <c r="AC935" s="55"/>
      <c r="AD935" s="55"/>
      <c r="AE935" s="55"/>
      <c r="AF935" s="55"/>
      <c r="AG935" s="55"/>
      <c r="AH935" s="55"/>
      <c r="AI935" s="55"/>
      <c r="AJ935" s="55"/>
      <c r="AK935" s="55"/>
      <c r="AL935" s="55"/>
      <c r="AM935" s="55"/>
      <c r="AN935" s="55"/>
      <c r="AO935" s="55"/>
    </row>
    <row r="936">
      <c r="A936" s="55"/>
      <c r="B936" s="55"/>
      <c r="C936" s="53"/>
      <c r="D936" s="55"/>
      <c r="E936" s="55"/>
      <c r="F936" s="55" t="b">
        <v>0</v>
      </c>
      <c r="G936" s="55"/>
      <c r="H936" s="53"/>
      <c r="I936" s="53"/>
      <c r="J936" s="55"/>
      <c r="K936" s="55"/>
      <c r="L936" s="55"/>
      <c r="M936" s="55"/>
      <c r="N936" s="55"/>
      <c r="O936" s="55" t="b">
        <v>0</v>
      </c>
      <c r="P936" s="55"/>
      <c r="Q936" s="55"/>
      <c r="R936" s="55"/>
      <c r="S936" s="55"/>
      <c r="T936" s="55"/>
      <c r="U936" s="64"/>
      <c r="V936" s="55"/>
      <c r="W936" s="64"/>
      <c r="X936" s="55"/>
      <c r="Y936" s="53"/>
      <c r="Z936" s="55"/>
      <c r="AA936" s="55"/>
      <c r="AB936" s="55"/>
      <c r="AC936" s="55"/>
      <c r="AD936" s="55"/>
      <c r="AE936" s="55"/>
      <c r="AF936" s="55"/>
      <c r="AG936" s="55"/>
      <c r="AH936" s="55"/>
      <c r="AI936" s="55"/>
      <c r="AJ936" s="55"/>
      <c r="AK936" s="55"/>
      <c r="AL936" s="55"/>
      <c r="AM936" s="55"/>
      <c r="AN936" s="55"/>
      <c r="AO936" s="55"/>
    </row>
    <row r="937">
      <c r="A937" s="55"/>
      <c r="B937" s="55"/>
      <c r="C937" s="53"/>
      <c r="D937" s="55"/>
      <c r="E937" s="55"/>
      <c r="F937" s="55" t="b">
        <v>0</v>
      </c>
      <c r="G937" s="55"/>
      <c r="H937" s="53"/>
      <c r="I937" s="53"/>
      <c r="J937" s="55"/>
      <c r="K937" s="55"/>
      <c r="L937" s="55"/>
      <c r="M937" s="55"/>
      <c r="N937" s="55"/>
      <c r="O937" s="55" t="b">
        <v>0</v>
      </c>
      <c r="P937" s="55"/>
      <c r="Q937" s="55"/>
      <c r="R937" s="55"/>
      <c r="S937" s="55"/>
      <c r="T937" s="55"/>
      <c r="U937" s="64"/>
      <c r="V937" s="55"/>
      <c r="W937" s="64"/>
      <c r="X937" s="55"/>
      <c r="Y937" s="53"/>
      <c r="Z937" s="55"/>
      <c r="AA937" s="55"/>
      <c r="AB937" s="55"/>
      <c r="AC937" s="55"/>
      <c r="AD937" s="55"/>
      <c r="AE937" s="55"/>
      <c r="AF937" s="55"/>
      <c r="AG937" s="55"/>
      <c r="AH937" s="55"/>
      <c r="AI937" s="55"/>
      <c r="AJ937" s="55"/>
      <c r="AK937" s="55"/>
      <c r="AL937" s="55"/>
      <c r="AM937" s="55"/>
      <c r="AN937" s="55"/>
      <c r="AO937" s="55"/>
    </row>
    <row r="938">
      <c r="A938" s="55"/>
      <c r="B938" s="55"/>
      <c r="C938" s="53"/>
      <c r="D938" s="55"/>
      <c r="E938" s="55"/>
      <c r="F938" s="55" t="b">
        <v>0</v>
      </c>
      <c r="G938" s="55"/>
      <c r="H938" s="53"/>
      <c r="I938" s="53"/>
      <c r="J938" s="55"/>
      <c r="K938" s="55"/>
      <c r="L938" s="55"/>
      <c r="M938" s="55"/>
      <c r="N938" s="55"/>
      <c r="O938" s="55" t="b">
        <v>0</v>
      </c>
      <c r="P938" s="55"/>
      <c r="Q938" s="55"/>
      <c r="R938" s="55"/>
      <c r="S938" s="55"/>
      <c r="T938" s="55"/>
      <c r="U938" s="64"/>
      <c r="V938" s="55"/>
      <c r="W938" s="64"/>
      <c r="X938" s="55"/>
      <c r="Y938" s="53"/>
      <c r="Z938" s="55"/>
      <c r="AA938" s="55"/>
      <c r="AB938" s="55"/>
      <c r="AC938" s="55"/>
      <c r="AD938" s="55"/>
      <c r="AE938" s="55"/>
      <c r="AF938" s="55"/>
      <c r="AG938" s="55"/>
      <c r="AH938" s="55"/>
      <c r="AI938" s="55"/>
      <c r="AJ938" s="55"/>
      <c r="AK938" s="55"/>
      <c r="AL938" s="55"/>
      <c r="AM938" s="55"/>
      <c r="AN938" s="55"/>
      <c r="AO938" s="55"/>
    </row>
    <row r="939">
      <c r="A939" s="55"/>
      <c r="B939" s="55"/>
      <c r="C939" s="53"/>
      <c r="D939" s="55"/>
      <c r="E939" s="55"/>
      <c r="F939" s="55" t="b">
        <v>0</v>
      </c>
      <c r="G939" s="55"/>
      <c r="H939" s="53"/>
      <c r="I939" s="53"/>
      <c r="J939" s="55"/>
      <c r="K939" s="55"/>
      <c r="L939" s="55"/>
      <c r="M939" s="55"/>
      <c r="N939" s="55"/>
      <c r="O939" s="55" t="b">
        <v>0</v>
      </c>
      <c r="P939" s="55"/>
      <c r="Q939" s="55"/>
      <c r="R939" s="55"/>
      <c r="S939" s="55"/>
      <c r="T939" s="55"/>
      <c r="U939" s="64"/>
      <c r="V939" s="55"/>
      <c r="W939" s="64"/>
      <c r="X939" s="55"/>
      <c r="Y939" s="53"/>
      <c r="Z939" s="55"/>
      <c r="AA939" s="55"/>
      <c r="AB939" s="55"/>
      <c r="AC939" s="55"/>
      <c r="AD939" s="55"/>
      <c r="AE939" s="55"/>
      <c r="AF939" s="55"/>
      <c r="AG939" s="55"/>
      <c r="AH939" s="55"/>
      <c r="AI939" s="55"/>
      <c r="AJ939" s="55"/>
      <c r="AK939" s="55"/>
      <c r="AL939" s="55"/>
      <c r="AM939" s="55"/>
      <c r="AN939" s="55"/>
      <c r="AO939" s="55"/>
    </row>
    <row r="940">
      <c r="A940" s="55"/>
      <c r="B940" s="55"/>
      <c r="C940" s="53"/>
      <c r="D940" s="55"/>
      <c r="E940" s="55"/>
      <c r="F940" s="55" t="b">
        <v>0</v>
      </c>
      <c r="G940" s="55"/>
      <c r="H940" s="53"/>
      <c r="I940" s="53"/>
      <c r="J940" s="55"/>
      <c r="K940" s="55"/>
      <c r="L940" s="55"/>
      <c r="M940" s="55"/>
      <c r="N940" s="55"/>
      <c r="O940" s="55" t="b">
        <v>0</v>
      </c>
      <c r="P940" s="55"/>
      <c r="Q940" s="55"/>
      <c r="R940" s="55"/>
      <c r="S940" s="55"/>
      <c r="T940" s="55"/>
      <c r="U940" s="64"/>
      <c r="V940" s="55"/>
      <c r="W940" s="64"/>
      <c r="X940" s="55"/>
      <c r="Y940" s="53"/>
      <c r="Z940" s="55"/>
      <c r="AA940" s="55"/>
      <c r="AB940" s="55"/>
      <c r="AC940" s="55"/>
      <c r="AD940" s="55"/>
      <c r="AE940" s="55"/>
      <c r="AF940" s="55"/>
      <c r="AG940" s="55"/>
      <c r="AH940" s="55"/>
      <c r="AI940" s="55"/>
      <c r="AJ940" s="55"/>
      <c r="AK940" s="55"/>
      <c r="AL940" s="55"/>
      <c r="AM940" s="55"/>
      <c r="AN940" s="55"/>
      <c r="AO940" s="55"/>
    </row>
    <row r="941">
      <c r="A941" s="55"/>
      <c r="B941" s="55"/>
      <c r="C941" s="53"/>
      <c r="D941" s="55"/>
      <c r="E941" s="55"/>
      <c r="F941" s="55" t="b">
        <v>0</v>
      </c>
      <c r="G941" s="55"/>
      <c r="H941" s="53"/>
      <c r="I941" s="53"/>
      <c r="J941" s="55"/>
      <c r="K941" s="55"/>
      <c r="L941" s="55"/>
      <c r="M941" s="55"/>
      <c r="N941" s="55"/>
      <c r="O941" s="55" t="b">
        <v>0</v>
      </c>
      <c r="P941" s="55"/>
      <c r="Q941" s="55"/>
      <c r="R941" s="55"/>
      <c r="S941" s="55"/>
      <c r="T941" s="55"/>
      <c r="U941" s="64"/>
      <c r="V941" s="55"/>
      <c r="W941" s="64"/>
      <c r="X941" s="55"/>
      <c r="Y941" s="53"/>
      <c r="Z941" s="55"/>
      <c r="AA941" s="55"/>
      <c r="AB941" s="55"/>
      <c r="AC941" s="55"/>
      <c r="AD941" s="55"/>
      <c r="AE941" s="55"/>
      <c r="AF941" s="55"/>
      <c r="AG941" s="55"/>
      <c r="AH941" s="55"/>
      <c r="AI941" s="55"/>
      <c r="AJ941" s="55"/>
      <c r="AK941" s="55"/>
      <c r="AL941" s="55"/>
      <c r="AM941" s="55"/>
      <c r="AN941" s="55"/>
      <c r="AO941" s="55"/>
    </row>
    <row r="942">
      <c r="A942" s="55"/>
      <c r="B942" s="55"/>
      <c r="C942" s="53"/>
      <c r="D942" s="55"/>
      <c r="E942" s="55"/>
      <c r="F942" s="55" t="b">
        <v>0</v>
      </c>
      <c r="G942" s="55"/>
      <c r="H942" s="53"/>
      <c r="I942" s="53"/>
      <c r="J942" s="55"/>
      <c r="K942" s="55"/>
      <c r="L942" s="55"/>
      <c r="M942" s="55"/>
      <c r="N942" s="55"/>
      <c r="O942" s="55" t="b">
        <v>0</v>
      </c>
      <c r="P942" s="55"/>
      <c r="Q942" s="55"/>
      <c r="R942" s="55"/>
      <c r="S942" s="55"/>
      <c r="T942" s="55"/>
      <c r="U942" s="64"/>
      <c r="V942" s="55"/>
      <c r="W942" s="64"/>
      <c r="X942" s="55"/>
      <c r="Y942" s="53"/>
      <c r="Z942" s="55"/>
      <c r="AA942" s="55"/>
      <c r="AB942" s="55"/>
      <c r="AC942" s="55"/>
      <c r="AD942" s="55"/>
      <c r="AE942" s="55"/>
      <c r="AF942" s="55"/>
      <c r="AG942" s="55"/>
      <c r="AH942" s="55"/>
      <c r="AI942" s="55"/>
      <c r="AJ942" s="55"/>
      <c r="AK942" s="55"/>
      <c r="AL942" s="55"/>
      <c r="AM942" s="55"/>
      <c r="AN942" s="55"/>
      <c r="AO942" s="55"/>
    </row>
    <row r="943">
      <c r="A943" s="55"/>
      <c r="B943" s="55"/>
      <c r="C943" s="53"/>
      <c r="D943" s="55"/>
      <c r="E943" s="55"/>
      <c r="F943" s="55" t="b">
        <v>0</v>
      </c>
      <c r="G943" s="55"/>
      <c r="H943" s="53"/>
      <c r="I943" s="53"/>
      <c r="J943" s="55"/>
      <c r="K943" s="55"/>
      <c r="L943" s="55"/>
      <c r="M943" s="55"/>
      <c r="N943" s="55"/>
      <c r="O943" s="55" t="b">
        <v>0</v>
      </c>
      <c r="P943" s="55"/>
      <c r="Q943" s="55"/>
      <c r="R943" s="55"/>
      <c r="S943" s="55"/>
      <c r="T943" s="55"/>
      <c r="U943" s="64"/>
      <c r="V943" s="55"/>
      <c r="W943" s="64"/>
      <c r="X943" s="55"/>
      <c r="Y943" s="53"/>
      <c r="Z943" s="55"/>
      <c r="AA943" s="55"/>
      <c r="AB943" s="55"/>
      <c r="AC943" s="55"/>
      <c r="AD943" s="55"/>
      <c r="AE943" s="55"/>
      <c r="AF943" s="55"/>
      <c r="AG943" s="55"/>
      <c r="AH943" s="55"/>
      <c r="AI943" s="55"/>
      <c r="AJ943" s="55"/>
      <c r="AK943" s="55"/>
      <c r="AL943" s="55"/>
      <c r="AM943" s="55"/>
      <c r="AN943" s="55"/>
      <c r="AO943" s="55"/>
    </row>
    <row r="944">
      <c r="A944" s="55"/>
      <c r="B944" s="55"/>
      <c r="C944" s="53"/>
      <c r="D944" s="55"/>
      <c r="E944" s="55"/>
      <c r="F944" s="55" t="b">
        <v>0</v>
      </c>
      <c r="G944" s="55"/>
      <c r="H944" s="53"/>
      <c r="I944" s="53"/>
      <c r="J944" s="55"/>
      <c r="K944" s="55"/>
      <c r="L944" s="55"/>
      <c r="M944" s="55"/>
      <c r="N944" s="55"/>
      <c r="O944" s="55" t="b">
        <v>0</v>
      </c>
      <c r="P944" s="55"/>
      <c r="Q944" s="55"/>
      <c r="R944" s="55"/>
      <c r="S944" s="55"/>
      <c r="T944" s="55"/>
      <c r="U944" s="64"/>
      <c r="V944" s="55"/>
      <c r="W944" s="64"/>
      <c r="X944" s="55"/>
      <c r="Y944" s="53"/>
      <c r="Z944" s="55"/>
      <c r="AA944" s="55"/>
      <c r="AB944" s="55"/>
      <c r="AC944" s="55"/>
      <c r="AD944" s="55"/>
      <c r="AE944" s="55"/>
      <c r="AF944" s="55"/>
      <c r="AG944" s="55"/>
      <c r="AH944" s="55"/>
      <c r="AI944" s="55"/>
      <c r="AJ944" s="55"/>
      <c r="AK944" s="55"/>
      <c r="AL944" s="55"/>
      <c r="AM944" s="55"/>
      <c r="AN944" s="55"/>
      <c r="AO944" s="55"/>
    </row>
    <row r="945">
      <c r="A945" s="55"/>
      <c r="B945" s="55"/>
      <c r="C945" s="53"/>
      <c r="D945" s="55"/>
      <c r="E945" s="55"/>
      <c r="F945" s="55" t="b">
        <v>0</v>
      </c>
      <c r="G945" s="55"/>
      <c r="H945" s="53"/>
      <c r="I945" s="53"/>
      <c r="J945" s="55"/>
      <c r="K945" s="55"/>
      <c r="L945" s="55"/>
      <c r="M945" s="55"/>
      <c r="N945" s="55"/>
      <c r="O945" s="55" t="b">
        <v>0</v>
      </c>
      <c r="P945" s="55"/>
      <c r="Q945" s="55"/>
      <c r="R945" s="55"/>
      <c r="S945" s="55"/>
      <c r="T945" s="55"/>
      <c r="U945" s="64"/>
      <c r="V945" s="55"/>
      <c r="W945" s="64"/>
      <c r="X945" s="55"/>
      <c r="Y945" s="53"/>
      <c r="Z945" s="55"/>
      <c r="AA945" s="55"/>
      <c r="AB945" s="55"/>
      <c r="AC945" s="55"/>
      <c r="AD945" s="55"/>
      <c r="AE945" s="55"/>
      <c r="AF945" s="55"/>
      <c r="AG945" s="55"/>
      <c r="AH945" s="55"/>
      <c r="AI945" s="55"/>
      <c r="AJ945" s="55"/>
      <c r="AK945" s="55"/>
      <c r="AL945" s="55"/>
      <c r="AM945" s="55"/>
      <c r="AN945" s="55"/>
      <c r="AO945" s="55"/>
    </row>
    <row r="946">
      <c r="A946" s="55"/>
      <c r="B946" s="55"/>
      <c r="C946" s="53"/>
      <c r="D946" s="55"/>
      <c r="E946" s="55"/>
      <c r="F946" s="55" t="b">
        <v>0</v>
      </c>
      <c r="G946" s="55"/>
      <c r="H946" s="53"/>
      <c r="I946" s="53"/>
      <c r="J946" s="55"/>
      <c r="K946" s="55"/>
      <c r="L946" s="55"/>
      <c r="M946" s="55"/>
      <c r="N946" s="55"/>
      <c r="O946" s="55" t="b">
        <v>0</v>
      </c>
      <c r="P946" s="55"/>
      <c r="Q946" s="55"/>
      <c r="R946" s="55"/>
      <c r="S946" s="55"/>
      <c r="T946" s="55"/>
      <c r="U946" s="64"/>
      <c r="V946" s="55"/>
      <c r="W946" s="64"/>
      <c r="X946" s="55"/>
      <c r="Y946" s="53"/>
      <c r="Z946" s="55"/>
      <c r="AA946" s="55"/>
      <c r="AB946" s="55"/>
      <c r="AC946" s="55"/>
      <c r="AD946" s="55"/>
      <c r="AE946" s="55"/>
      <c r="AF946" s="55"/>
      <c r="AG946" s="55"/>
      <c r="AH946" s="55"/>
      <c r="AI946" s="55"/>
      <c r="AJ946" s="55"/>
      <c r="AK946" s="55"/>
      <c r="AL946" s="55"/>
      <c r="AM946" s="55"/>
      <c r="AN946" s="55"/>
      <c r="AO946" s="55"/>
    </row>
    <row r="947">
      <c r="A947" s="55"/>
      <c r="B947" s="55"/>
      <c r="C947" s="53"/>
      <c r="D947" s="55"/>
      <c r="E947" s="55"/>
      <c r="F947" s="55" t="b">
        <v>0</v>
      </c>
      <c r="G947" s="55"/>
      <c r="H947" s="53"/>
      <c r="I947" s="53"/>
      <c r="J947" s="55"/>
      <c r="K947" s="55"/>
      <c r="L947" s="55"/>
      <c r="M947" s="55"/>
      <c r="N947" s="55"/>
      <c r="O947" s="55" t="b">
        <v>0</v>
      </c>
      <c r="P947" s="55"/>
      <c r="Q947" s="55"/>
      <c r="R947" s="55"/>
      <c r="S947" s="55"/>
      <c r="T947" s="55"/>
      <c r="U947" s="64"/>
      <c r="V947" s="55"/>
      <c r="W947" s="64"/>
      <c r="X947" s="55"/>
      <c r="Y947" s="53"/>
      <c r="Z947" s="55"/>
      <c r="AA947" s="55"/>
      <c r="AB947" s="55"/>
      <c r="AC947" s="55"/>
      <c r="AD947" s="55"/>
      <c r="AE947" s="55"/>
      <c r="AF947" s="55"/>
      <c r="AG947" s="55"/>
      <c r="AH947" s="55"/>
      <c r="AI947" s="55"/>
      <c r="AJ947" s="55"/>
      <c r="AK947" s="55"/>
      <c r="AL947" s="55"/>
      <c r="AM947" s="55"/>
      <c r="AN947" s="55"/>
      <c r="AO947" s="55"/>
    </row>
    <row r="948">
      <c r="A948" s="55"/>
      <c r="B948" s="55"/>
      <c r="C948" s="53"/>
      <c r="D948" s="55"/>
      <c r="E948" s="55"/>
      <c r="F948" s="55" t="b">
        <v>0</v>
      </c>
      <c r="G948" s="55"/>
      <c r="H948" s="53"/>
      <c r="I948" s="53"/>
      <c r="J948" s="55"/>
      <c r="K948" s="55"/>
      <c r="L948" s="55"/>
      <c r="M948" s="55"/>
      <c r="N948" s="55"/>
      <c r="O948" s="55" t="b">
        <v>0</v>
      </c>
      <c r="P948" s="55"/>
      <c r="Q948" s="55"/>
      <c r="R948" s="55"/>
      <c r="S948" s="55"/>
      <c r="T948" s="55"/>
      <c r="U948" s="64"/>
      <c r="V948" s="55"/>
      <c r="W948" s="64"/>
      <c r="X948" s="55"/>
      <c r="Y948" s="53"/>
      <c r="Z948" s="55"/>
      <c r="AA948" s="55"/>
      <c r="AB948" s="55"/>
      <c r="AC948" s="55"/>
      <c r="AD948" s="55"/>
      <c r="AE948" s="55"/>
      <c r="AF948" s="55"/>
      <c r="AG948" s="55"/>
      <c r="AH948" s="55"/>
      <c r="AI948" s="55"/>
      <c r="AJ948" s="55"/>
      <c r="AK948" s="55"/>
      <c r="AL948" s="55"/>
      <c r="AM948" s="55"/>
      <c r="AN948" s="55"/>
      <c r="AO948" s="55"/>
    </row>
    <row r="949">
      <c r="A949" s="55"/>
      <c r="B949" s="55"/>
      <c r="C949" s="53"/>
      <c r="D949" s="55"/>
      <c r="E949" s="55"/>
      <c r="F949" s="55" t="b">
        <v>0</v>
      </c>
      <c r="G949" s="55"/>
      <c r="H949" s="53"/>
      <c r="I949" s="53"/>
      <c r="J949" s="55"/>
      <c r="K949" s="55"/>
      <c r="L949" s="55"/>
      <c r="M949" s="55"/>
      <c r="N949" s="55"/>
      <c r="O949" s="55" t="b">
        <v>0</v>
      </c>
      <c r="P949" s="55"/>
      <c r="Q949" s="55"/>
      <c r="R949" s="55"/>
      <c r="S949" s="55"/>
      <c r="T949" s="55"/>
      <c r="U949" s="64"/>
      <c r="V949" s="55"/>
      <c r="W949" s="64"/>
      <c r="X949" s="55"/>
      <c r="Y949" s="53"/>
      <c r="Z949" s="55"/>
      <c r="AA949" s="55"/>
      <c r="AB949" s="55"/>
      <c r="AC949" s="55"/>
      <c r="AD949" s="55"/>
      <c r="AE949" s="55"/>
      <c r="AF949" s="55"/>
      <c r="AG949" s="55"/>
      <c r="AH949" s="55"/>
      <c r="AI949" s="55"/>
      <c r="AJ949" s="55"/>
      <c r="AK949" s="55"/>
      <c r="AL949" s="55"/>
      <c r="AM949" s="55"/>
      <c r="AN949" s="55"/>
      <c r="AO949" s="55"/>
    </row>
    <row r="950">
      <c r="A950" s="55"/>
      <c r="B950" s="55"/>
      <c r="C950" s="53"/>
      <c r="D950" s="55"/>
      <c r="E950" s="55"/>
      <c r="F950" s="55" t="b">
        <v>0</v>
      </c>
      <c r="G950" s="55"/>
      <c r="H950" s="53"/>
      <c r="I950" s="53"/>
      <c r="J950" s="55"/>
      <c r="K950" s="55"/>
      <c r="L950" s="55"/>
      <c r="M950" s="55"/>
      <c r="N950" s="55"/>
      <c r="O950" s="55" t="b">
        <v>0</v>
      </c>
      <c r="P950" s="55"/>
      <c r="Q950" s="55"/>
      <c r="R950" s="55"/>
      <c r="S950" s="55"/>
      <c r="T950" s="55"/>
      <c r="U950" s="64"/>
      <c r="V950" s="55"/>
      <c r="W950" s="64"/>
      <c r="X950" s="55"/>
      <c r="Y950" s="53"/>
      <c r="Z950" s="55"/>
      <c r="AA950" s="55"/>
      <c r="AB950" s="55"/>
      <c r="AC950" s="55"/>
      <c r="AD950" s="55"/>
      <c r="AE950" s="55"/>
      <c r="AF950" s="55"/>
      <c r="AG950" s="55"/>
      <c r="AH950" s="55"/>
      <c r="AI950" s="55"/>
      <c r="AJ950" s="55"/>
      <c r="AK950" s="55"/>
      <c r="AL950" s="55"/>
      <c r="AM950" s="55"/>
      <c r="AN950" s="55"/>
      <c r="AO950" s="55"/>
    </row>
    <row r="951">
      <c r="A951" s="55"/>
      <c r="B951" s="55"/>
      <c r="C951" s="53"/>
      <c r="D951" s="55"/>
      <c r="E951" s="55"/>
      <c r="F951" s="55" t="b">
        <v>0</v>
      </c>
      <c r="G951" s="55"/>
      <c r="H951" s="53"/>
      <c r="I951" s="53"/>
      <c r="J951" s="55"/>
      <c r="K951" s="55"/>
      <c r="L951" s="55"/>
      <c r="M951" s="55"/>
      <c r="N951" s="55"/>
      <c r="O951" s="55" t="b">
        <v>0</v>
      </c>
      <c r="P951" s="55"/>
      <c r="Q951" s="55"/>
      <c r="R951" s="55"/>
      <c r="S951" s="55"/>
      <c r="T951" s="55"/>
      <c r="U951" s="64"/>
      <c r="V951" s="55"/>
      <c r="W951" s="64"/>
      <c r="X951" s="55"/>
      <c r="Y951" s="53"/>
      <c r="Z951" s="55"/>
      <c r="AA951" s="55"/>
      <c r="AB951" s="55"/>
      <c r="AC951" s="55"/>
      <c r="AD951" s="55"/>
      <c r="AE951" s="55"/>
      <c r="AF951" s="55"/>
      <c r="AG951" s="55"/>
      <c r="AH951" s="55"/>
      <c r="AI951" s="55"/>
      <c r="AJ951" s="55"/>
      <c r="AK951" s="55"/>
      <c r="AL951" s="55"/>
      <c r="AM951" s="55"/>
      <c r="AN951" s="55"/>
      <c r="AO951" s="55"/>
    </row>
    <row r="952">
      <c r="A952" s="55"/>
      <c r="B952" s="55"/>
      <c r="C952" s="53"/>
      <c r="D952" s="55"/>
      <c r="E952" s="55"/>
      <c r="F952" s="55" t="b">
        <v>0</v>
      </c>
      <c r="G952" s="55"/>
      <c r="H952" s="53"/>
      <c r="I952" s="53"/>
      <c r="J952" s="55"/>
      <c r="K952" s="55"/>
      <c r="L952" s="55"/>
      <c r="M952" s="55"/>
      <c r="N952" s="55"/>
      <c r="O952" s="55" t="b">
        <v>0</v>
      </c>
      <c r="P952" s="55"/>
      <c r="Q952" s="55"/>
      <c r="R952" s="55"/>
      <c r="S952" s="55"/>
      <c r="T952" s="55"/>
      <c r="U952" s="64"/>
      <c r="V952" s="55"/>
      <c r="W952" s="64"/>
      <c r="X952" s="55"/>
      <c r="Y952" s="53"/>
      <c r="Z952" s="55"/>
      <c r="AA952" s="55"/>
      <c r="AB952" s="55"/>
      <c r="AC952" s="55"/>
      <c r="AD952" s="55"/>
      <c r="AE952" s="55"/>
      <c r="AF952" s="55"/>
      <c r="AG952" s="55"/>
      <c r="AH952" s="55"/>
      <c r="AI952" s="55"/>
      <c r="AJ952" s="55"/>
      <c r="AK952" s="55"/>
      <c r="AL952" s="55"/>
      <c r="AM952" s="55"/>
      <c r="AN952" s="55"/>
      <c r="AO952" s="55"/>
    </row>
    <row r="953">
      <c r="A953" s="55"/>
      <c r="B953" s="55"/>
      <c r="C953" s="53"/>
      <c r="D953" s="55"/>
      <c r="E953" s="55"/>
      <c r="F953" s="55" t="b">
        <v>0</v>
      </c>
      <c r="G953" s="55"/>
      <c r="H953" s="53"/>
      <c r="I953" s="53"/>
      <c r="J953" s="55"/>
      <c r="K953" s="55"/>
      <c r="L953" s="55"/>
      <c r="M953" s="55"/>
      <c r="N953" s="55"/>
      <c r="O953" s="55" t="b">
        <v>0</v>
      </c>
      <c r="P953" s="55"/>
      <c r="Q953" s="55"/>
      <c r="R953" s="55"/>
      <c r="S953" s="55"/>
      <c r="T953" s="55"/>
      <c r="U953" s="64"/>
      <c r="V953" s="55"/>
      <c r="W953" s="64"/>
      <c r="X953" s="55"/>
      <c r="Y953" s="53"/>
      <c r="Z953" s="55"/>
      <c r="AA953" s="55"/>
      <c r="AB953" s="55"/>
      <c r="AC953" s="55"/>
      <c r="AD953" s="55"/>
      <c r="AE953" s="55"/>
      <c r="AF953" s="55"/>
      <c r="AG953" s="55"/>
      <c r="AH953" s="55"/>
      <c r="AI953" s="55"/>
      <c r="AJ953" s="55"/>
      <c r="AK953" s="55"/>
      <c r="AL953" s="55"/>
      <c r="AM953" s="55"/>
      <c r="AN953" s="55"/>
      <c r="AO953" s="55"/>
    </row>
    <row r="954">
      <c r="A954" s="55"/>
      <c r="B954" s="55"/>
      <c r="C954" s="53"/>
      <c r="D954" s="55"/>
      <c r="E954" s="55"/>
      <c r="F954" s="55" t="b">
        <v>0</v>
      </c>
      <c r="G954" s="55"/>
      <c r="H954" s="53"/>
      <c r="I954" s="53"/>
      <c r="J954" s="55"/>
      <c r="K954" s="55"/>
      <c r="L954" s="55"/>
      <c r="M954" s="55"/>
      <c r="N954" s="55"/>
      <c r="O954" s="55" t="b">
        <v>0</v>
      </c>
      <c r="P954" s="55"/>
      <c r="Q954" s="55"/>
      <c r="R954" s="55"/>
      <c r="S954" s="55"/>
      <c r="T954" s="55"/>
      <c r="U954" s="64"/>
      <c r="V954" s="55"/>
      <c r="W954" s="64"/>
      <c r="X954" s="55"/>
      <c r="Y954" s="53"/>
      <c r="Z954" s="55"/>
      <c r="AA954" s="55"/>
      <c r="AB954" s="55"/>
      <c r="AC954" s="55"/>
      <c r="AD954" s="55"/>
      <c r="AE954" s="55"/>
      <c r="AF954" s="55"/>
      <c r="AG954" s="55"/>
      <c r="AH954" s="55"/>
      <c r="AI954" s="55"/>
      <c r="AJ954" s="55"/>
      <c r="AK954" s="55"/>
      <c r="AL954" s="55"/>
      <c r="AM954" s="55"/>
      <c r="AN954" s="55"/>
      <c r="AO954" s="55"/>
    </row>
    <row r="955">
      <c r="A955" s="55"/>
      <c r="B955" s="55"/>
      <c r="C955" s="53"/>
      <c r="D955" s="55"/>
      <c r="E955" s="55"/>
      <c r="F955" s="55" t="b">
        <v>0</v>
      </c>
      <c r="G955" s="55"/>
      <c r="H955" s="53"/>
      <c r="I955" s="53"/>
      <c r="J955" s="55"/>
      <c r="K955" s="55"/>
      <c r="L955" s="55"/>
      <c r="M955" s="55"/>
      <c r="N955" s="55"/>
      <c r="O955" s="55" t="b">
        <v>0</v>
      </c>
      <c r="P955" s="55"/>
      <c r="Q955" s="55"/>
      <c r="R955" s="55"/>
      <c r="S955" s="55"/>
      <c r="T955" s="55"/>
      <c r="U955" s="64"/>
      <c r="V955" s="55"/>
      <c r="W955" s="64"/>
      <c r="X955" s="55"/>
      <c r="Y955" s="53"/>
      <c r="Z955" s="55"/>
      <c r="AA955" s="55"/>
      <c r="AB955" s="55"/>
      <c r="AC955" s="55"/>
      <c r="AD955" s="55"/>
      <c r="AE955" s="55"/>
      <c r="AF955" s="55"/>
      <c r="AG955" s="55"/>
      <c r="AH955" s="55"/>
      <c r="AI955" s="55"/>
      <c r="AJ955" s="55"/>
      <c r="AK955" s="55"/>
      <c r="AL955" s="55"/>
      <c r="AM955" s="55"/>
      <c r="AN955" s="55"/>
      <c r="AO955" s="55"/>
    </row>
    <row r="956">
      <c r="A956" s="55"/>
      <c r="B956" s="55"/>
      <c r="C956" s="53"/>
      <c r="D956" s="55"/>
      <c r="E956" s="55"/>
      <c r="F956" s="55" t="b">
        <v>0</v>
      </c>
      <c r="G956" s="55"/>
      <c r="H956" s="53"/>
      <c r="I956" s="53"/>
      <c r="J956" s="55"/>
      <c r="K956" s="55"/>
      <c r="L956" s="55"/>
      <c r="M956" s="55"/>
      <c r="N956" s="55"/>
      <c r="O956" s="55" t="b">
        <v>0</v>
      </c>
      <c r="P956" s="55"/>
      <c r="Q956" s="55"/>
      <c r="R956" s="55"/>
      <c r="S956" s="55"/>
      <c r="T956" s="55"/>
      <c r="U956" s="64"/>
      <c r="V956" s="55"/>
      <c r="W956" s="64"/>
      <c r="X956" s="55"/>
      <c r="Y956" s="53"/>
      <c r="Z956" s="55"/>
      <c r="AA956" s="55"/>
      <c r="AB956" s="55"/>
      <c r="AC956" s="55"/>
      <c r="AD956" s="55"/>
      <c r="AE956" s="55"/>
      <c r="AF956" s="55"/>
      <c r="AG956" s="55"/>
      <c r="AH956" s="55"/>
      <c r="AI956" s="55"/>
      <c r="AJ956" s="55"/>
      <c r="AK956" s="55"/>
      <c r="AL956" s="55"/>
      <c r="AM956" s="55"/>
      <c r="AN956" s="55"/>
      <c r="AO956" s="55"/>
    </row>
    <row r="957">
      <c r="A957" s="55"/>
      <c r="B957" s="55"/>
      <c r="C957" s="53"/>
      <c r="D957" s="55"/>
      <c r="E957" s="55"/>
      <c r="F957" s="55" t="b">
        <v>0</v>
      </c>
      <c r="G957" s="55"/>
      <c r="H957" s="53"/>
      <c r="I957" s="53"/>
      <c r="J957" s="55"/>
      <c r="K957" s="55"/>
      <c r="L957" s="55"/>
      <c r="M957" s="55"/>
      <c r="N957" s="55"/>
      <c r="O957" s="55" t="b">
        <v>0</v>
      </c>
      <c r="P957" s="55"/>
      <c r="Q957" s="55"/>
      <c r="R957" s="55"/>
      <c r="S957" s="55"/>
      <c r="T957" s="55"/>
      <c r="U957" s="64"/>
      <c r="V957" s="55"/>
      <c r="W957" s="64"/>
      <c r="X957" s="55"/>
      <c r="Y957" s="53"/>
      <c r="Z957" s="55"/>
      <c r="AA957" s="55"/>
      <c r="AB957" s="55"/>
      <c r="AC957" s="55"/>
      <c r="AD957" s="55"/>
      <c r="AE957" s="55"/>
      <c r="AF957" s="55"/>
      <c r="AG957" s="55"/>
      <c r="AH957" s="55"/>
      <c r="AI957" s="55"/>
      <c r="AJ957" s="55"/>
      <c r="AK957" s="55"/>
      <c r="AL957" s="55"/>
      <c r="AM957" s="55"/>
      <c r="AN957" s="55"/>
      <c r="AO957" s="55"/>
    </row>
    <row r="958">
      <c r="A958" s="55"/>
      <c r="B958" s="55"/>
      <c r="C958" s="53"/>
      <c r="D958" s="55"/>
      <c r="E958" s="55"/>
      <c r="F958" s="55" t="b">
        <v>0</v>
      </c>
      <c r="G958" s="55"/>
      <c r="H958" s="53"/>
      <c r="I958" s="53"/>
      <c r="J958" s="55"/>
      <c r="K958" s="55"/>
      <c r="L958" s="55"/>
      <c r="M958" s="55"/>
      <c r="N958" s="55"/>
      <c r="O958" s="55" t="b">
        <v>0</v>
      </c>
      <c r="P958" s="55"/>
      <c r="Q958" s="55"/>
      <c r="R958" s="55"/>
      <c r="S958" s="55"/>
      <c r="T958" s="55"/>
      <c r="U958" s="64"/>
      <c r="V958" s="55"/>
      <c r="W958" s="64"/>
      <c r="X958" s="55"/>
      <c r="Y958" s="53"/>
      <c r="Z958" s="55"/>
      <c r="AA958" s="55"/>
      <c r="AB958" s="55"/>
      <c r="AC958" s="55"/>
      <c r="AD958" s="55"/>
      <c r="AE958" s="55"/>
      <c r="AF958" s="55"/>
      <c r="AG958" s="55"/>
      <c r="AH958" s="55"/>
      <c r="AI958" s="55"/>
      <c r="AJ958" s="55"/>
      <c r="AK958" s="55"/>
      <c r="AL958" s="55"/>
      <c r="AM958" s="55"/>
      <c r="AN958" s="55"/>
      <c r="AO958" s="55"/>
    </row>
    <row r="959">
      <c r="A959" s="55"/>
      <c r="B959" s="55"/>
      <c r="C959" s="53"/>
      <c r="D959" s="55"/>
      <c r="E959" s="55"/>
      <c r="F959" s="55" t="b">
        <v>0</v>
      </c>
      <c r="G959" s="55"/>
      <c r="H959" s="53"/>
      <c r="I959" s="53"/>
      <c r="J959" s="55"/>
      <c r="K959" s="55"/>
      <c r="L959" s="55"/>
      <c r="M959" s="55"/>
      <c r="N959" s="55"/>
      <c r="O959" s="55" t="b">
        <v>0</v>
      </c>
      <c r="P959" s="55"/>
      <c r="Q959" s="55"/>
      <c r="R959" s="55"/>
      <c r="S959" s="55"/>
      <c r="T959" s="55"/>
      <c r="U959" s="64"/>
      <c r="V959" s="55"/>
      <c r="W959" s="64"/>
      <c r="X959" s="55"/>
      <c r="Y959" s="53"/>
      <c r="Z959" s="55"/>
      <c r="AA959" s="55"/>
      <c r="AB959" s="55"/>
      <c r="AC959" s="55"/>
      <c r="AD959" s="55"/>
      <c r="AE959" s="55"/>
      <c r="AF959" s="55"/>
      <c r="AG959" s="55"/>
      <c r="AH959" s="55"/>
      <c r="AI959" s="55"/>
      <c r="AJ959" s="55"/>
      <c r="AK959" s="55"/>
      <c r="AL959" s="55"/>
      <c r="AM959" s="55"/>
      <c r="AN959" s="55"/>
      <c r="AO959" s="55"/>
    </row>
    <row r="960">
      <c r="A960" s="55"/>
      <c r="B960" s="55"/>
      <c r="C960" s="53"/>
      <c r="D960" s="55"/>
      <c r="E960" s="55"/>
      <c r="F960" s="55" t="b">
        <v>0</v>
      </c>
      <c r="G960" s="55"/>
      <c r="H960" s="53"/>
      <c r="I960" s="53"/>
      <c r="J960" s="55"/>
      <c r="K960" s="55"/>
      <c r="L960" s="55"/>
      <c r="M960" s="55"/>
      <c r="N960" s="55"/>
      <c r="O960" s="55" t="b">
        <v>0</v>
      </c>
      <c r="P960" s="55"/>
      <c r="Q960" s="55"/>
      <c r="R960" s="55"/>
      <c r="S960" s="55"/>
      <c r="T960" s="55"/>
      <c r="U960" s="64"/>
      <c r="V960" s="55"/>
      <c r="W960" s="64"/>
      <c r="X960" s="55"/>
      <c r="Y960" s="53"/>
      <c r="Z960" s="55"/>
      <c r="AA960" s="55"/>
      <c r="AB960" s="55"/>
      <c r="AC960" s="55"/>
      <c r="AD960" s="55"/>
      <c r="AE960" s="55"/>
      <c r="AF960" s="55"/>
      <c r="AG960" s="55"/>
      <c r="AH960" s="55"/>
      <c r="AI960" s="55"/>
      <c r="AJ960" s="55"/>
      <c r="AK960" s="55"/>
      <c r="AL960" s="55"/>
      <c r="AM960" s="55"/>
      <c r="AN960" s="55"/>
      <c r="AO960" s="55"/>
    </row>
    <row r="961">
      <c r="A961" s="55"/>
      <c r="B961" s="55"/>
      <c r="C961" s="53"/>
      <c r="D961" s="55"/>
      <c r="E961" s="55"/>
      <c r="F961" s="55" t="b">
        <v>0</v>
      </c>
      <c r="G961" s="55"/>
      <c r="H961" s="53"/>
      <c r="I961" s="53"/>
      <c r="J961" s="55"/>
      <c r="K961" s="55"/>
      <c r="L961" s="55"/>
      <c r="M961" s="55"/>
      <c r="N961" s="55"/>
      <c r="O961" s="55" t="b">
        <v>0</v>
      </c>
      <c r="P961" s="55"/>
      <c r="Q961" s="55"/>
      <c r="R961" s="55"/>
      <c r="S961" s="55"/>
      <c r="T961" s="55"/>
      <c r="U961" s="64"/>
      <c r="V961" s="55"/>
      <c r="W961" s="64"/>
      <c r="X961" s="55"/>
      <c r="Y961" s="53"/>
      <c r="Z961" s="55"/>
      <c r="AA961" s="55"/>
      <c r="AB961" s="55"/>
      <c r="AC961" s="55"/>
      <c r="AD961" s="55"/>
      <c r="AE961" s="55"/>
      <c r="AF961" s="55"/>
      <c r="AG961" s="55"/>
      <c r="AH961" s="55"/>
      <c r="AI961" s="55"/>
      <c r="AJ961" s="55"/>
      <c r="AK961" s="55"/>
      <c r="AL961" s="55"/>
      <c r="AM961" s="55"/>
      <c r="AN961" s="55"/>
      <c r="AO961" s="55"/>
    </row>
    <row r="962">
      <c r="A962" s="55"/>
      <c r="B962" s="55"/>
      <c r="C962" s="53"/>
      <c r="D962" s="55"/>
      <c r="E962" s="55"/>
      <c r="F962" s="55" t="b">
        <v>0</v>
      </c>
      <c r="G962" s="55"/>
      <c r="H962" s="53"/>
      <c r="I962" s="53"/>
      <c r="J962" s="55"/>
      <c r="K962" s="55"/>
      <c r="L962" s="55"/>
      <c r="M962" s="55"/>
      <c r="N962" s="55"/>
      <c r="O962" s="55" t="b">
        <v>0</v>
      </c>
      <c r="P962" s="55"/>
      <c r="Q962" s="55"/>
      <c r="R962" s="55"/>
      <c r="S962" s="55"/>
      <c r="T962" s="55"/>
      <c r="U962" s="64"/>
      <c r="V962" s="55"/>
      <c r="W962" s="64"/>
      <c r="X962" s="55"/>
      <c r="Y962" s="53"/>
      <c r="Z962" s="55"/>
      <c r="AA962" s="55"/>
      <c r="AB962" s="55"/>
      <c r="AC962" s="55"/>
      <c r="AD962" s="55"/>
      <c r="AE962" s="55"/>
      <c r="AF962" s="55"/>
      <c r="AG962" s="55"/>
      <c r="AH962" s="55"/>
      <c r="AI962" s="55"/>
      <c r="AJ962" s="55"/>
      <c r="AK962" s="55"/>
      <c r="AL962" s="55"/>
      <c r="AM962" s="55"/>
      <c r="AN962" s="55"/>
      <c r="AO962" s="55"/>
    </row>
    <row r="963">
      <c r="A963" s="55"/>
      <c r="B963" s="55"/>
      <c r="C963" s="53"/>
      <c r="D963" s="55"/>
      <c r="E963" s="55"/>
      <c r="F963" s="55" t="b">
        <v>0</v>
      </c>
      <c r="G963" s="55"/>
      <c r="H963" s="53"/>
      <c r="I963" s="53"/>
      <c r="J963" s="55"/>
      <c r="K963" s="55"/>
      <c r="L963" s="55"/>
      <c r="M963" s="55"/>
      <c r="N963" s="55"/>
      <c r="O963" s="55" t="b">
        <v>0</v>
      </c>
      <c r="P963" s="55"/>
      <c r="Q963" s="55"/>
      <c r="R963" s="55"/>
      <c r="S963" s="55"/>
      <c r="T963" s="55"/>
      <c r="U963" s="64"/>
      <c r="V963" s="55"/>
      <c r="W963" s="64"/>
      <c r="X963" s="55"/>
      <c r="Y963" s="53"/>
      <c r="Z963" s="55"/>
      <c r="AA963" s="55"/>
      <c r="AB963" s="55"/>
      <c r="AC963" s="55"/>
      <c r="AD963" s="55"/>
      <c r="AE963" s="55"/>
      <c r="AF963" s="55"/>
      <c r="AG963" s="55"/>
      <c r="AH963" s="55"/>
      <c r="AI963" s="55"/>
      <c r="AJ963" s="55"/>
      <c r="AK963" s="55"/>
      <c r="AL963" s="55"/>
      <c r="AM963" s="55"/>
      <c r="AN963" s="55"/>
      <c r="AO963" s="55"/>
    </row>
    <row r="964">
      <c r="A964" s="55"/>
      <c r="B964" s="55"/>
      <c r="C964" s="53"/>
      <c r="D964" s="55"/>
      <c r="E964" s="55"/>
      <c r="F964" s="55" t="b">
        <v>0</v>
      </c>
      <c r="G964" s="55"/>
      <c r="H964" s="53"/>
      <c r="I964" s="53"/>
      <c r="J964" s="55"/>
      <c r="K964" s="55"/>
      <c r="L964" s="55"/>
      <c r="M964" s="55"/>
      <c r="N964" s="55"/>
      <c r="O964" s="55" t="b">
        <v>0</v>
      </c>
      <c r="P964" s="55"/>
      <c r="Q964" s="55"/>
      <c r="R964" s="55"/>
      <c r="S964" s="55"/>
      <c r="T964" s="55"/>
      <c r="U964" s="64"/>
      <c r="V964" s="55"/>
      <c r="W964" s="64"/>
      <c r="X964" s="55"/>
      <c r="Y964" s="53"/>
      <c r="Z964" s="55"/>
      <c r="AA964" s="55"/>
      <c r="AB964" s="55"/>
      <c r="AC964" s="55"/>
      <c r="AD964" s="55"/>
      <c r="AE964" s="55"/>
      <c r="AF964" s="55"/>
      <c r="AG964" s="55"/>
      <c r="AH964" s="55"/>
      <c r="AI964" s="55"/>
      <c r="AJ964" s="55"/>
      <c r="AK964" s="55"/>
      <c r="AL964" s="55"/>
      <c r="AM964" s="55"/>
      <c r="AN964" s="55"/>
      <c r="AO964" s="55"/>
    </row>
    <row r="965">
      <c r="A965" s="55"/>
      <c r="B965" s="55"/>
      <c r="C965" s="53"/>
      <c r="D965" s="55"/>
      <c r="E965" s="55"/>
      <c r="F965" s="55" t="b">
        <v>0</v>
      </c>
      <c r="G965" s="55"/>
      <c r="H965" s="53"/>
      <c r="I965" s="53"/>
      <c r="J965" s="55"/>
      <c r="K965" s="55"/>
      <c r="L965" s="55"/>
      <c r="M965" s="55"/>
      <c r="N965" s="55"/>
      <c r="O965" s="55" t="b">
        <v>0</v>
      </c>
      <c r="P965" s="55"/>
      <c r="Q965" s="55"/>
      <c r="R965" s="55"/>
      <c r="S965" s="55"/>
      <c r="T965" s="55"/>
      <c r="U965" s="64"/>
      <c r="V965" s="55"/>
      <c r="W965" s="64"/>
      <c r="X965" s="55"/>
      <c r="Y965" s="53"/>
      <c r="Z965" s="55"/>
      <c r="AA965" s="55"/>
      <c r="AB965" s="55"/>
      <c r="AC965" s="55"/>
      <c r="AD965" s="55"/>
      <c r="AE965" s="55"/>
      <c r="AF965" s="55"/>
      <c r="AG965" s="55"/>
      <c r="AH965" s="55"/>
      <c r="AI965" s="55"/>
      <c r="AJ965" s="55"/>
      <c r="AK965" s="55"/>
      <c r="AL965" s="55"/>
      <c r="AM965" s="55"/>
      <c r="AN965" s="55"/>
      <c r="AO965" s="55"/>
    </row>
    <row r="966">
      <c r="A966" s="55"/>
      <c r="B966" s="55"/>
      <c r="C966" s="53"/>
      <c r="D966" s="55"/>
      <c r="E966" s="55"/>
      <c r="F966" s="55" t="b">
        <v>0</v>
      </c>
      <c r="G966" s="55"/>
      <c r="H966" s="53"/>
      <c r="I966" s="53"/>
      <c r="J966" s="55"/>
      <c r="K966" s="55"/>
      <c r="L966" s="55"/>
      <c r="M966" s="55"/>
      <c r="N966" s="55"/>
      <c r="O966" s="55" t="b">
        <v>0</v>
      </c>
      <c r="P966" s="55"/>
      <c r="Q966" s="55"/>
      <c r="R966" s="55"/>
      <c r="S966" s="55"/>
      <c r="T966" s="55"/>
      <c r="U966" s="64"/>
      <c r="V966" s="55"/>
      <c r="W966" s="64"/>
      <c r="X966" s="55"/>
      <c r="Y966" s="53"/>
      <c r="Z966" s="55"/>
      <c r="AA966" s="55"/>
      <c r="AB966" s="55"/>
      <c r="AC966" s="55"/>
      <c r="AD966" s="55"/>
      <c r="AE966" s="55"/>
      <c r="AF966" s="55"/>
      <c r="AG966" s="55"/>
      <c r="AH966" s="55"/>
      <c r="AI966" s="55"/>
      <c r="AJ966" s="55"/>
      <c r="AK966" s="55"/>
      <c r="AL966" s="55"/>
      <c r="AM966" s="55"/>
      <c r="AN966" s="55"/>
      <c r="AO966" s="55"/>
    </row>
    <row r="967">
      <c r="A967" s="55"/>
      <c r="B967" s="55"/>
      <c r="C967" s="53"/>
      <c r="D967" s="55"/>
      <c r="E967" s="55"/>
      <c r="F967" s="55" t="b">
        <v>0</v>
      </c>
      <c r="G967" s="55"/>
      <c r="H967" s="53"/>
      <c r="I967" s="53"/>
      <c r="J967" s="55"/>
      <c r="K967" s="55"/>
      <c r="L967" s="55"/>
      <c r="M967" s="55"/>
      <c r="N967" s="55"/>
      <c r="O967" s="55" t="b">
        <v>0</v>
      </c>
      <c r="P967" s="55"/>
      <c r="Q967" s="55"/>
      <c r="R967" s="55"/>
      <c r="S967" s="55"/>
      <c r="T967" s="55"/>
      <c r="U967" s="64"/>
      <c r="V967" s="55"/>
      <c r="W967" s="64"/>
      <c r="X967" s="55"/>
      <c r="Y967" s="53"/>
      <c r="Z967" s="55"/>
      <c r="AA967" s="55"/>
      <c r="AB967" s="55"/>
      <c r="AC967" s="55"/>
      <c r="AD967" s="55"/>
      <c r="AE967" s="55"/>
      <c r="AF967" s="55"/>
      <c r="AG967" s="55"/>
      <c r="AH967" s="55"/>
      <c r="AI967" s="55"/>
      <c r="AJ967" s="55"/>
      <c r="AK967" s="55"/>
      <c r="AL967" s="55"/>
      <c r="AM967" s="55"/>
      <c r="AN967" s="55"/>
      <c r="AO967" s="55"/>
    </row>
    <row r="968">
      <c r="A968" s="55"/>
      <c r="B968" s="55"/>
      <c r="C968" s="53"/>
      <c r="D968" s="55"/>
      <c r="E968" s="55"/>
      <c r="F968" s="55" t="b">
        <v>0</v>
      </c>
      <c r="G968" s="55"/>
      <c r="H968" s="53"/>
      <c r="I968" s="53"/>
      <c r="J968" s="55"/>
      <c r="K968" s="55"/>
      <c r="L968" s="55"/>
      <c r="M968" s="55"/>
      <c r="N968" s="55"/>
      <c r="O968" s="55" t="b">
        <v>0</v>
      </c>
      <c r="P968" s="55"/>
      <c r="Q968" s="55"/>
      <c r="R968" s="55"/>
      <c r="S968" s="55"/>
      <c r="T968" s="55"/>
      <c r="U968" s="64"/>
      <c r="V968" s="55"/>
      <c r="W968" s="64"/>
      <c r="X968" s="55"/>
      <c r="Y968" s="53"/>
      <c r="Z968" s="55"/>
      <c r="AA968" s="55"/>
      <c r="AB968" s="55"/>
      <c r="AC968" s="55"/>
      <c r="AD968" s="55"/>
      <c r="AE968" s="55"/>
      <c r="AF968" s="55"/>
      <c r="AG968" s="55"/>
      <c r="AH968" s="55"/>
      <c r="AI968" s="55"/>
      <c r="AJ968" s="55"/>
      <c r="AK968" s="55"/>
      <c r="AL968" s="55"/>
      <c r="AM968" s="55"/>
      <c r="AN968" s="55"/>
      <c r="AO968" s="55"/>
    </row>
    <row r="969">
      <c r="A969" s="55"/>
      <c r="B969" s="55"/>
      <c r="C969" s="53"/>
      <c r="D969" s="55"/>
      <c r="E969" s="55"/>
      <c r="F969" s="55" t="b">
        <v>0</v>
      </c>
      <c r="G969" s="55"/>
      <c r="H969" s="53"/>
      <c r="I969" s="53"/>
      <c r="J969" s="55"/>
      <c r="K969" s="55"/>
      <c r="L969" s="55"/>
      <c r="M969" s="55"/>
      <c r="N969" s="55"/>
      <c r="O969" s="55" t="b">
        <v>0</v>
      </c>
      <c r="P969" s="55"/>
      <c r="Q969" s="55"/>
      <c r="R969" s="55"/>
      <c r="S969" s="55"/>
      <c r="T969" s="55"/>
      <c r="U969" s="64"/>
      <c r="V969" s="55"/>
      <c r="W969" s="64"/>
      <c r="X969" s="55"/>
      <c r="Y969" s="53"/>
      <c r="Z969" s="55"/>
      <c r="AA969" s="55"/>
      <c r="AB969" s="55"/>
      <c r="AC969" s="55"/>
      <c r="AD969" s="55"/>
      <c r="AE969" s="55"/>
      <c r="AF969" s="55"/>
      <c r="AG969" s="55"/>
      <c r="AH969" s="55"/>
      <c r="AI969" s="55"/>
      <c r="AJ969" s="55"/>
      <c r="AK969" s="55"/>
      <c r="AL969" s="55"/>
      <c r="AM969" s="55"/>
      <c r="AN969" s="55"/>
      <c r="AO969" s="55"/>
    </row>
    <row r="970">
      <c r="A970" s="55"/>
      <c r="B970" s="55"/>
      <c r="C970" s="53"/>
      <c r="D970" s="55"/>
      <c r="E970" s="55"/>
      <c r="F970" s="55" t="b">
        <v>0</v>
      </c>
      <c r="G970" s="55"/>
      <c r="H970" s="53"/>
      <c r="I970" s="53"/>
      <c r="J970" s="55"/>
      <c r="K970" s="55"/>
      <c r="L970" s="55"/>
      <c r="M970" s="55"/>
      <c r="N970" s="55"/>
      <c r="O970" s="55" t="b">
        <v>0</v>
      </c>
      <c r="P970" s="55"/>
      <c r="Q970" s="55"/>
      <c r="R970" s="55"/>
      <c r="S970" s="55"/>
      <c r="T970" s="55"/>
      <c r="U970" s="64"/>
      <c r="V970" s="55"/>
      <c r="W970" s="64"/>
      <c r="X970" s="55"/>
      <c r="Y970" s="53"/>
      <c r="Z970" s="55"/>
      <c r="AA970" s="55"/>
      <c r="AB970" s="55"/>
      <c r="AC970" s="55"/>
      <c r="AD970" s="55"/>
      <c r="AE970" s="55"/>
      <c r="AF970" s="55"/>
      <c r="AG970" s="55"/>
      <c r="AH970" s="55"/>
      <c r="AI970" s="55"/>
      <c r="AJ970" s="55"/>
      <c r="AK970" s="55"/>
      <c r="AL970" s="55"/>
      <c r="AM970" s="55"/>
      <c r="AN970" s="55"/>
      <c r="AO970" s="55"/>
    </row>
    <row r="971">
      <c r="A971" s="55"/>
      <c r="B971" s="55"/>
      <c r="C971" s="53"/>
      <c r="D971" s="55"/>
      <c r="E971" s="55"/>
      <c r="F971" s="55" t="b">
        <v>0</v>
      </c>
      <c r="G971" s="55"/>
      <c r="H971" s="53"/>
      <c r="I971" s="53"/>
      <c r="J971" s="55"/>
      <c r="K971" s="55"/>
      <c r="L971" s="55"/>
      <c r="M971" s="55"/>
      <c r="N971" s="55"/>
      <c r="O971" s="55" t="b">
        <v>0</v>
      </c>
      <c r="P971" s="55"/>
      <c r="Q971" s="55"/>
      <c r="R971" s="55"/>
      <c r="S971" s="55"/>
      <c r="T971" s="55"/>
      <c r="U971" s="64"/>
      <c r="V971" s="55"/>
      <c r="W971" s="64"/>
      <c r="X971" s="55"/>
      <c r="Y971" s="53"/>
      <c r="Z971" s="55"/>
      <c r="AA971" s="55"/>
      <c r="AB971" s="55"/>
      <c r="AC971" s="55"/>
      <c r="AD971" s="55"/>
      <c r="AE971" s="55"/>
      <c r="AF971" s="55"/>
      <c r="AG971" s="55"/>
      <c r="AH971" s="55"/>
      <c r="AI971" s="55"/>
      <c r="AJ971" s="55"/>
      <c r="AK971" s="55"/>
      <c r="AL971" s="55"/>
      <c r="AM971" s="55"/>
      <c r="AN971" s="55"/>
      <c r="AO971" s="55"/>
    </row>
    <row r="972">
      <c r="A972" s="55"/>
      <c r="B972" s="55"/>
      <c r="C972" s="53"/>
      <c r="D972" s="55"/>
      <c r="E972" s="55"/>
      <c r="F972" s="55" t="b">
        <v>0</v>
      </c>
      <c r="G972" s="55"/>
      <c r="H972" s="53"/>
      <c r="I972" s="53"/>
      <c r="J972" s="55"/>
      <c r="K972" s="55"/>
      <c r="L972" s="55"/>
      <c r="M972" s="55"/>
      <c r="N972" s="55"/>
      <c r="O972" s="55" t="b">
        <v>0</v>
      </c>
      <c r="P972" s="55"/>
      <c r="Q972" s="55"/>
      <c r="R972" s="55"/>
      <c r="S972" s="55"/>
      <c r="T972" s="55"/>
      <c r="U972" s="64"/>
      <c r="V972" s="55"/>
      <c r="W972" s="64"/>
      <c r="X972" s="55"/>
      <c r="Y972" s="53"/>
      <c r="Z972" s="55"/>
      <c r="AA972" s="55"/>
      <c r="AB972" s="55"/>
      <c r="AC972" s="55"/>
      <c r="AD972" s="55"/>
      <c r="AE972" s="55"/>
      <c r="AF972" s="55"/>
      <c r="AG972" s="55"/>
      <c r="AH972" s="55"/>
      <c r="AI972" s="55"/>
      <c r="AJ972" s="55"/>
      <c r="AK972" s="55"/>
      <c r="AL972" s="55"/>
      <c r="AM972" s="55"/>
      <c r="AN972" s="55"/>
      <c r="AO972" s="55"/>
    </row>
    <row r="973">
      <c r="A973" s="55"/>
      <c r="B973" s="55"/>
      <c r="C973" s="53"/>
      <c r="D973" s="55"/>
      <c r="E973" s="55"/>
      <c r="F973" s="55" t="b">
        <v>0</v>
      </c>
      <c r="G973" s="55"/>
      <c r="H973" s="53"/>
      <c r="I973" s="53"/>
      <c r="J973" s="55"/>
      <c r="K973" s="55"/>
      <c r="L973" s="55"/>
      <c r="M973" s="55"/>
      <c r="N973" s="55"/>
      <c r="O973" s="55" t="b">
        <v>0</v>
      </c>
      <c r="P973" s="55"/>
      <c r="Q973" s="55"/>
      <c r="R973" s="55"/>
      <c r="S973" s="55"/>
      <c r="T973" s="55"/>
      <c r="U973" s="64"/>
      <c r="V973" s="55"/>
      <c r="W973" s="64"/>
      <c r="X973" s="55"/>
      <c r="Y973" s="53"/>
      <c r="Z973" s="55"/>
      <c r="AA973" s="55"/>
      <c r="AB973" s="55"/>
      <c r="AC973" s="55"/>
      <c r="AD973" s="55"/>
      <c r="AE973" s="55"/>
      <c r="AF973" s="55"/>
      <c r="AG973" s="55"/>
      <c r="AH973" s="55"/>
      <c r="AI973" s="55"/>
      <c r="AJ973" s="55"/>
      <c r="AK973" s="55"/>
      <c r="AL973" s="55"/>
      <c r="AM973" s="55"/>
      <c r="AN973" s="55"/>
      <c r="AO973" s="55"/>
    </row>
    <row r="974">
      <c r="A974" s="55"/>
      <c r="B974" s="55"/>
      <c r="C974" s="53"/>
      <c r="D974" s="55"/>
      <c r="E974" s="55"/>
      <c r="F974" s="55" t="b">
        <v>0</v>
      </c>
      <c r="G974" s="55"/>
      <c r="H974" s="53"/>
      <c r="I974" s="53"/>
      <c r="J974" s="55"/>
      <c r="K974" s="55"/>
      <c r="L974" s="55"/>
      <c r="M974" s="55"/>
      <c r="N974" s="55"/>
      <c r="O974" s="55" t="b">
        <v>0</v>
      </c>
      <c r="P974" s="55"/>
      <c r="Q974" s="55"/>
      <c r="R974" s="55"/>
      <c r="S974" s="55"/>
      <c r="T974" s="55"/>
      <c r="U974" s="64"/>
      <c r="V974" s="55"/>
      <c r="W974" s="64"/>
      <c r="X974" s="55"/>
      <c r="Y974" s="53"/>
      <c r="Z974" s="55"/>
      <c r="AA974" s="55"/>
      <c r="AB974" s="55"/>
      <c r="AC974" s="55"/>
      <c r="AD974" s="55"/>
      <c r="AE974" s="55"/>
      <c r="AF974" s="55"/>
      <c r="AG974" s="55"/>
      <c r="AH974" s="55"/>
      <c r="AI974" s="55"/>
      <c r="AJ974" s="55"/>
      <c r="AK974" s="55"/>
      <c r="AL974" s="55"/>
      <c r="AM974" s="55"/>
      <c r="AN974" s="55"/>
      <c r="AO974" s="55"/>
    </row>
    <row r="975">
      <c r="A975" s="55"/>
      <c r="B975" s="55"/>
      <c r="C975" s="53"/>
      <c r="D975" s="55"/>
      <c r="E975" s="55"/>
      <c r="F975" s="55" t="b">
        <v>0</v>
      </c>
      <c r="G975" s="55"/>
      <c r="H975" s="53"/>
      <c r="I975" s="53"/>
      <c r="J975" s="55"/>
      <c r="K975" s="55"/>
      <c r="L975" s="55"/>
      <c r="M975" s="55"/>
      <c r="N975" s="55"/>
      <c r="O975" s="55" t="b">
        <v>0</v>
      </c>
      <c r="P975" s="55"/>
      <c r="Q975" s="55"/>
      <c r="R975" s="55"/>
      <c r="S975" s="55"/>
      <c r="T975" s="55"/>
      <c r="U975" s="64"/>
      <c r="V975" s="55"/>
      <c r="W975" s="64"/>
      <c r="X975" s="55"/>
      <c r="Y975" s="53"/>
      <c r="Z975" s="55"/>
      <c r="AA975" s="55"/>
      <c r="AB975" s="55"/>
      <c r="AC975" s="55"/>
      <c r="AD975" s="55"/>
      <c r="AE975" s="55"/>
      <c r="AF975" s="55"/>
      <c r="AG975" s="55"/>
      <c r="AH975" s="55"/>
      <c r="AI975" s="55"/>
      <c r="AJ975" s="55"/>
      <c r="AK975" s="55"/>
      <c r="AL975" s="55"/>
      <c r="AM975" s="55"/>
      <c r="AN975" s="55"/>
      <c r="AO975" s="55"/>
    </row>
    <row r="976">
      <c r="A976" s="55"/>
      <c r="B976" s="55"/>
      <c r="C976" s="53"/>
      <c r="D976" s="55"/>
      <c r="E976" s="55"/>
      <c r="F976" s="55" t="b">
        <v>0</v>
      </c>
      <c r="G976" s="55"/>
      <c r="H976" s="53"/>
      <c r="I976" s="53"/>
      <c r="J976" s="55"/>
      <c r="K976" s="55"/>
      <c r="L976" s="55"/>
      <c r="M976" s="55"/>
      <c r="N976" s="55"/>
      <c r="O976" s="55" t="b">
        <v>0</v>
      </c>
      <c r="P976" s="55"/>
      <c r="Q976" s="55"/>
      <c r="R976" s="55"/>
      <c r="S976" s="55"/>
      <c r="T976" s="55"/>
      <c r="U976" s="64"/>
      <c r="V976" s="55"/>
      <c r="W976" s="64"/>
      <c r="X976" s="55"/>
      <c r="Y976" s="53"/>
      <c r="Z976" s="55"/>
      <c r="AA976" s="55"/>
      <c r="AB976" s="55"/>
      <c r="AC976" s="55"/>
      <c r="AD976" s="55"/>
      <c r="AE976" s="55"/>
      <c r="AF976" s="55"/>
      <c r="AG976" s="55"/>
      <c r="AH976" s="55"/>
      <c r="AI976" s="55"/>
      <c r="AJ976" s="55"/>
      <c r="AK976" s="55"/>
      <c r="AL976" s="55"/>
      <c r="AM976" s="55"/>
      <c r="AN976" s="55"/>
      <c r="AO976" s="55"/>
    </row>
    <row r="977">
      <c r="A977" s="55"/>
      <c r="B977" s="55"/>
      <c r="C977" s="53"/>
      <c r="D977" s="55"/>
      <c r="E977" s="55"/>
      <c r="F977" s="55" t="b">
        <v>0</v>
      </c>
      <c r="G977" s="55"/>
      <c r="H977" s="53"/>
      <c r="I977" s="53"/>
      <c r="J977" s="55"/>
      <c r="K977" s="55"/>
      <c r="L977" s="55"/>
      <c r="M977" s="55"/>
      <c r="N977" s="55"/>
      <c r="O977" s="55" t="b">
        <v>0</v>
      </c>
      <c r="P977" s="55"/>
      <c r="Q977" s="55"/>
      <c r="R977" s="55"/>
      <c r="S977" s="55"/>
      <c r="T977" s="55"/>
      <c r="U977" s="64"/>
      <c r="V977" s="55"/>
      <c r="W977" s="64"/>
      <c r="X977" s="55"/>
      <c r="Y977" s="53"/>
      <c r="Z977" s="55"/>
      <c r="AA977" s="55"/>
      <c r="AB977" s="55"/>
      <c r="AC977" s="55"/>
      <c r="AD977" s="55"/>
      <c r="AE977" s="55"/>
      <c r="AF977" s="55"/>
      <c r="AG977" s="55"/>
      <c r="AH977" s="55"/>
      <c r="AI977" s="55"/>
      <c r="AJ977" s="55"/>
      <c r="AK977" s="55"/>
      <c r="AL977" s="55"/>
      <c r="AM977" s="55"/>
      <c r="AN977" s="55"/>
      <c r="AO977" s="55"/>
    </row>
    <row r="978">
      <c r="A978" s="55"/>
      <c r="B978" s="55"/>
      <c r="C978" s="53"/>
      <c r="D978" s="55"/>
      <c r="E978" s="55"/>
      <c r="F978" s="55" t="b">
        <v>0</v>
      </c>
      <c r="G978" s="55"/>
      <c r="H978" s="53"/>
      <c r="I978" s="53"/>
      <c r="J978" s="55"/>
      <c r="K978" s="55"/>
      <c r="L978" s="55"/>
      <c r="M978" s="55"/>
      <c r="N978" s="55"/>
      <c r="O978" s="55" t="b">
        <v>0</v>
      </c>
      <c r="P978" s="55"/>
      <c r="Q978" s="55"/>
      <c r="R978" s="55"/>
      <c r="S978" s="55"/>
      <c r="T978" s="55"/>
      <c r="U978" s="64"/>
      <c r="V978" s="55"/>
      <c r="W978" s="64"/>
      <c r="X978" s="55"/>
      <c r="Y978" s="53"/>
      <c r="Z978" s="55"/>
      <c r="AA978" s="55"/>
      <c r="AB978" s="55"/>
      <c r="AC978" s="55"/>
      <c r="AD978" s="55"/>
      <c r="AE978" s="55"/>
      <c r="AF978" s="55"/>
      <c r="AG978" s="55"/>
      <c r="AH978" s="55"/>
      <c r="AI978" s="55"/>
      <c r="AJ978" s="55"/>
      <c r="AK978" s="55"/>
      <c r="AL978" s="55"/>
      <c r="AM978" s="55"/>
      <c r="AN978" s="55"/>
      <c r="AO978" s="55"/>
    </row>
    <row r="979">
      <c r="A979" s="55"/>
      <c r="B979" s="55"/>
      <c r="C979" s="53"/>
      <c r="D979" s="55"/>
      <c r="E979" s="55"/>
      <c r="F979" s="55" t="b">
        <v>0</v>
      </c>
      <c r="G979" s="55"/>
      <c r="H979" s="53"/>
      <c r="I979" s="53"/>
      <c r="J979" s="55"/>
      <c r="K979" s="55"/>
      <c r="L979" s="55"/>
      <c r="M979" s="55"/>
      <c r="N979" s="55"/>
      <c r="O979" s="55" t="b">
        <v>0</v>
      </c>
      <c r="P979" s="55"/>
      <c r="Q979" s="55"/>
      <c r="R979" s="55"/>
      <c r="S979" s="55"/>
      <c r="T979" s="55"/>
      <c r="U979" s="64"/>
      <c r="V979" s="55"/>
      <c r="W979" s="64"/>
      <c r="X979" s="55"/>
      <c r="Y979" s="53"/>
      <c r="Z979" s="55"/>
      <c r="AA979" s="55"/>
      <c r="AB979" s="55"/>
      <c r="AC979" s="55"/>
      <c r="AD979" s="55"/>
      <c r="AE979" s="55"/>
      <c r="AF979" s="55"/>
      <c r="AG979" s="55"/>
      <c r="AH979" s="55"/>
      <c r="AI979" s="55"/>
      <c r="AJ979" s="55"/>
      <c r="AK979" s="55"/>
      <c r="AL979" s="55"/>
      <c r="AM979" s="55"/>
      <c r="AN979" s="55"/>
      <c r="AO979" s="55"/>
    </row>
    <row r="980">
      <c r="A980" s="55"/>
      <c r="B980" s="55"/>
      <c r="C980" s="53"/>
      <c r="D980" s="55"/>
      <c r="E980" s="55"/>
      <c r="F980" s="55" t="b">
        <v>0</v>
      </c>
      <c r="G980" s="55"/>
      <c r="H980" s="53"/>
      <c r="I980" s="53"/>
      <c r="J980" s="55"/>
      <c r="K980" s="55"/>
      <c r="L980" s="55"/>
      <c r="M980" s="55"/>
      <c r="N980" s="55"/>
      <c r="O980" s="55" t="b">
        <v>0</v>
      </c>
      <c r="P980" s="55"/>
      <c r="Q980" s="55"/>
      <c r="R980" s="55"/>
      <c r="S980" s="55"/>
      <c r="T980" s="55"/>
      <c r="U980" s="64"/>
      <c r="V980" s="55"/>
      <c r="W980" s="64"/>
      <c r="X980" s="55"/>
      <c r="Y980" s="53"/>
      <c r="Z980" s="55"/>
      <c r="AA980" s="55"/>
      <c r="AB980" s="55"/>
      <c r="AC980" s="55"/>
      <c r="AD980" s="55"/>
      <c r="AE980" s="55"/>
      <c r="AF980" s="55"/>
      <c r="AG980" s="55"/>
      <c r="AH980" s="55"/>
      <c r="AI980" s="55"/>
      <c r="AJ980" s="55"/>
      <c r="AK980" s="55"/>
      <c r="AL980" s="55"/>
      <c r="AM980" s="55"/>
      <c r="AN980" s="55"/>
      <c r="AO980" s="55"/>
    </row>
    <row r="981">
      <c r="A981" s="55"/>
      <c r="B981" s="55"/>
      <c r="C981" s="53"/>
      <c r="D981" s="55"/>
      <c r="E981" s="55"/>
      <c r="F981" s="55" t="b">
        <v>0</v>
      </c>
      <c r="G981" s="55"/>
      <c r="H981" s="53"/>
      <c r="I981" s="53"/>
      <c r="J981" s="55"/>
      <c r="K981" s="55"/>
      <c r="L981" s="55"/>
      <c r="M981" s="55"/>
      <c r="N981" s="55"/>
      <c r="O981" s="55" t="b">
        <v>0</v>
      </c>
      <c r="P981" s="55"/>
      <c r="Q981" s="55"/>
      <c r="R981" s="55"/>
      <c r="S981" s="55"/>
      <c r="T981" s="55"/>
      <c r="U981" s="64"/>
      <c r="V981" s="55"/>
      <c r="W981" s="64"/>
      <c r="X981" s="55"/>
      <c r="Y981" s="53"/>
      <c r="Z981" s="55"/>
      <c r="AA981" s="55"/>
      <c r="AB981" s="55"/>
      <c r="AC981" s="55"/>
      <c r="AD981" s="55"/>
      <c r="AE981" s="55"/>
      <c r="AF981" s="55"/>
      <c r="AG981" s="55"/>
      <c r="AH981" s="55"/>
      <c r="AI981" s="55"/>
      <c r="AJ981" s="55"/>
      <c r="AK981" s="55"/>
      <c r="AL981" s="55"/>
      <c r="AM981" s="55"/>
      <c r="AN981" s="55"/>
      <c r="AO981" s="55"/>
    </row>
    <row r="982">
      <c r="A982" s="55"/>
      <c r="B982" s="55"/>
      <c r="C982" s="53"/>
      <c r="D982" s="55"/>
      <c r="E982" s="55"/>
      <c r="F982" s="55" t="b">
        <v>0</v>
      </c>
      <c r="G982" s="55"/>
      <c r="H982" s="53"/>
      <c r="I982" s="53"/>
      <c r="J982" s="55"/>
      <c r="K982" s="55"/>
      <c r="L982" s="55"/>
      <c r="M982" s="55"/>
      <c r="N982" s="55"/>
      <c r="O982" s="55" t="b">
        <v>0</v>
      </c>
      <c r="P982" s="55"/>
      <c r="Q982" s="55"/>
      <c r="R982" s="55"/>
      <c r="S982" s="55"/>
      <c r="T982" s="55"/>
      <c r="U982" s="64"/>
      <c r="V982" s="55"/>
      <c r="W982" s="64"/>
      <c r="X982" s="55"/>
      <c r="Y982" s="53"/>
      <c r="Z982" s="55"/>
      <c r="AA982" s="55"/>
      <c r="AB982" s="55"/>
      <c r="AC982" s="55"/>
      <c r="AD982" s="55"/>
      <c r="AE982" s="55"/>
      <c r="AF982" s="55"/>
      <c r="AG982" s="55"/>
      <c r="AH982" s="55"/>
      <c r="AI982" s="55"/>
      <c r="AJ982" s="55"/>
      <c r="AK982" s="55"/>
      <c r="AL982" s="55"/>
      <c r="AM982" s="55"/>
      <c r="AN982" s="55"/>
      <c r="AO982" s="55"/>
    </row>
    <row r="983">
      <c r="A983" s="55"/>
      <c r="B983" s="55"/>
      <c r="C983" s="53"/>
      <c r="D983" s="55"/>
      <c r="E983" s="55"/>
      <c r="F983" s="55" t="b">
        <v>0</v>
      </c>
      <c r="G983" s="55"/>
      <c r="H983" s="53"/>
      <c r="I983" s="53"/>
      <c r="J983" s="55"/>
      <c r="K983" s="55"/>
      <c r="L983" s="55"/>
      <c r="M983" s="55"/>
      <c r="N983" s="55"/>
      <c r="O983" s="55" t="b">
        <v>0</v>
      </c>
      <c r="P983" s="55"/>
      <c r="Q983" s="55"/>
      <c r="R983" s="55"/>
      <c r="S983" s="55"/>
      <c r="T983" s="55"/>
      <c r="U983" s="64"/>
      <c r="V983" s="55"/>
      <c r="W983" s="64"/>
      <c r="X983" s="55"/>
      <c r="Y983" s="53"/>
      <c r="Z983" s="55"/>
      <c r="AA983" s="55"/>
      <c r="AB983" s="55"/>
      <c r="AC983" s="55"/>
      <c r="AD983" s="55"/>
      <c r="AE983" s="55"/>
      <c r="AF983" s="55"/>
      <c r="AG983" s="55"/>
      <c r="AH983" s="55"/>
      <c r="AI983" s="55"/>
      <c r="AJ983" s="55"/>
      <c r="AK983" s="55"/>
      <c r="AL983" s="55"/>
      <c r="AM983" s="55"/>
      <c r="AN983" s="55"/>
      <c r="AO983" s="55"/>
    </row>
    <row r="984">
      <c r="A984" s="55"/>
      <c r="B984" s="55"/>
      <c r="C984" s="53"/>
      <c r="D984" s="55"/>
      <c r="E984" s="55"/>
      <c r="F984" s="55" t="b">
        <v>0</v>
      </c>
      <c r="G984" s="55"/>
      <c r="H984" s="53"/>
      <c r="I984" s="53"/>
      <c r="J984" s="55"/>
      <c r="K984" s="55"/>
      <c r="L984" s="55"/>
      <c r="M984" s="55"/>
      <c r="N984" s="55"/>
      <c r="O984" s="55" t="b">
        <v>0</v>
      </c>
      <c r="P984" s="55"/>
      <c r="Q984" s="55"/>
      <c r="R984" s="55"/>
      <c r="S984" s="55"/>
      <c r="T984" s="55"/>
      <c r="U984" s="64"/>
      <c r="V984" s="55"/>
      <c r="W984" s="64"/>
      <c r="X984" s="55"/>
      <c r="Y984" s="53"/>
      <c r="Z984" s="55"/>
      <c r="AA984" s="55"/>
      <c r="AB984" s="55"/>
      <c r="AC984" s="55"/>
      <c r="AD984" s="55"/>
      <c r="AE984" s="55"/>
      <c r="AF984" s="55"/>
      <c r="AG984" s="55"/>
      <c r="AH984" s="55"/>
      <c r="AI984" s="55"/>
      <c r="AJ984" s="55"/>
      <c r="AK984" s="55"/>
      <c r="AL984" s="55"/>
      <c r="AM984" s="55"/>
      <c r="AN984" s="55"/>
      <c r="AO984" s="55"/>
    </row>
    <row r="985">
      <c r="A985" s="55"/>
      <c r="B985" s="55"/>
      <c r="C985" s="53"/>
      <c r="D985" s="55"/>
      <c r="E985" s="55"/>
      <c r="F985" s="55" t="b">
        <v>0</v>
      </c>
      <c r="G985" s="55"/>
      <c r="H985" s="53"/>
      <c r="I985" s="53"/>
      <c r="J985" s="55"/>
      <c r="K985" s="55"/>
      <c r="L985" s="55"/>
      <c r="M985" s="55"/>
      <c r="N985" s="55"/>
      <c r="O985" s="55" t="b">
        <v>0</v>
      </c>
      <c r="P985" s="55"/>
      <c r="Q985" s="55"/>
      <c r="R985" s="55"/>
      <c r="S985" s="55"/>
      <c r="T985" s="55"/>
      <c r="U985" s="64"/>
      <c r="V985" s="55"/>
      <c r="W985" s="64"/>
      <c r="X985" s="55"/>
      <c r="Y985" s="53"/>
      <c r="Z985" s="55"/>
      <c r="AA985" s="55"/>
      <c r="AB985" s="55"/>
      <c r="AC985" s="55"/>
      <c r="AD985" s="55"/>
      <c r="AE985" s="55"/>
      <c r="AF985" s="55"/>
      <c r="AG985" s="55"/>
      <c r="AH985" s="55"/>
      <c r="AI985" s="55"/>
      <c r="AJ985" s="55"/>
      <c r="AK985" s="55"/>
      <c r="AL985" s="55"/>
      <c r="AM985" s="55"/>
      <c r="AN985" s="55"/>
      <c r="AO985" s="55"/>
    </row>
    <row r="986">
      <c r="A986" s="55"/>
      <c r="B986" s="55"/>
      <c r="C986" s="53"/>
      <c r="D986" s="55"/>
      <c r="E986" s="55"/>
      <c r="F986" s="55" t="b">
        <v>0</v>
      </c>
      <c r="G986" s="55"/>
      <c r="H986" s="53"/>
      <c r="I986" s="53"/>
      <c r="J986" s="55"/>
      <c r="K986" s="55"/>
      <c r="L986" s="55"/>
      <c r="M986" s="55"/>
      <c r="N986" s="55"/>
      <c r="O986" s="55" t="b">
        <v>0</v>
      </c>
      <c r="P986" s="55"/>
      <c r="Q986" s="55"/>
      <c r="R986" s="55"/>
      <c r="S986" s="55"/>
      <c r="T986" s="55"/>
      <c r="U986" s="64"/>
      <c r="V986" s="55"/>
      <c r="W986" s="64"/>
      <c r="X986" s="55"/>
      <c r="Y986" s="53"/>
      <c r="Z986" s="55"/>
      <c r="AA986" s="55"/>
      <c r="AB986" s="55"/>
      <c r="AC986" s="55"/>
      <c r="AD986" s="55"/>
      <c r="AE986" s="55"/>
      <c r="AF986" s="55"/>
      <c r="AG986" s="55"/>
      <c r="AH986" s="55"/>
      <c r="AI986" s="55"/>
      <c r="AJ986" s="55"/>
      <c r="AK986" s="55"/>
      <c r="AL986" s="55"/>
      <c r="AM986" s="55"/>
      <c r="AN986" s="55"/>
      <c r="AO986" s="55"/>
    </row>
    <row r="987">
      <c r="A987" s="55"/>
      <c r="B987" s="55"/>
      <c r="C987" s="53"/>
      <c r="D987" s="55"/>
      <c r="E987" s="55"/>
      <c r="F987" s="55" t="b">
        <v>0</v>
      </c>
      <c r="G987" s="55"/>
      <c r="H987" s="53"/>
      <c r="I987" s="53"/>
      <c r="J987" s="55"/>
      <c r="K987" s="55"/>
      <c r="L987" s="55"/>
      <c r="M987" s="55"/>
      <c r="N987" s="55"/>
      <c r="O987" s="55" t="b">
        <v>0</v>
      </c>
      <c r="P987" s="55"/>
      <c r="Q987" s="55"/>
      <c r="R987" s="55"/>
      <c r="S987" s="55"/>
      <c r="T987" s="55"/>
      <c r="U987" s="64"/>
      <c r="V987" s="55"/>
      <c r="W987" s="64"/>
      <c r="X987" s="55"/>
      <c r="Y987" s="53"/>
      <c r="Z987" s="55"/>
      <c r="AA987" s="55"/>
      <c r="AB987" s="55"/>
      <c r="AC987" s="55"/>
      <c r="AD987" s="55"/>
      <c r="AE987" s="55"/>
      <c r="AF987" s="55"/>
      <c r="AG987" s="55"/>
      <c r="AH987" s="55"/>
      <c r="AI987" s="55"/>
      <c r="AJ987" s="55"/>
      <c r="AK987" s="55"/>
      <c r="AL987" s="55"/>
      <c r="AM987" s="55"/>
      <c r="AN987" s="55"/>
      <c r="AO987" s="55"/>
    </row>
    <row r="988">
      <c r="A988" s="55"/>
      <c r="B988" s="55"/>
      <c r="C988" s="53"/>
      <c r="D988" s="55"/>
      <c r="E988" s="55"/>
      <c r="F988" s="55" t="b">
        <v>0</v>
      </c>
      <c r="G988" s="55"/>
      <c r="H988" s="53"/>
      <c r="I988" s="53"/>
      <c r="J988" s="55"/>
      <c r="K988" s="55"/>
      <c r="L988" s="55"/>
      <c r="M988" s="55"/>
      <c r="N988" s="55"/>
      <c r="O988" s="55" t="b">
        <v>0</v>
      </c>
      <c r="P988" s="55"/>
      <c r="Q988" s="55"/>
      <c r="R988" s="55"/>
      <c r="S988" s="55"/>
      <c r="T988" s="55"/>
      <c r="U988" s="64"/>
      <c r="V988" s="55"/>
      <c r="W988" s="64"/>
      <c r="X988" s="55"/>
      <c r="Y988" s="53"/>
      <c r="Z988" s="55"/>
      <c r="AA988" s="55"/>
      <c r="AB988" s="55"/>
      <c r="AC988" s="55"/>
      <c r="AD988" s="55"/>
      <c r="AE988" s="55"/>
      <c r="AF988" s="55"/>
      <c r="AG988" s="55"/>
      <c r="AH988" s="55"/>
      <c r="AI988" s="55"/>
      <c r="AJ988" s="55"/>
      <c r="AK988" s="55"/>
      <c r="AL988" s="55"/>
      <c r="AM988" s="55"/>
      <c r="AN988" s="55"/>
      <c r="AO988" s="55"/>
    </row>
    <row r="989">
      <c r="A989" s="55"/>
      <c r="B989" s="55"/>
      <c r="C989" s="53"/>
      <c r="D989" s="55"/>
      <c r="E989" s="55"/>
      <c r="F989" s="55" t="b">
        <v>0</v>
      </c>
      <c r="G989" s="55"/>
      <c r="H989" s="53"/>
      <c r="I989" s="53"/>
      <c r="J989" s="55"/>
      <c r="K989" s="55"/>
      <c r="L989" s="55"/>
      <c r="M989" s="55"/>
      <c r="N989" s="55"/>
      <c r="O989" s="55" t="b">
        <v>0</v>
      </c>
      <c r="P989" s="55"/>
      <c r="Q989" s="55"/>
      <c r="R989" s="55"/>
      <c r="S989" s="55"/>
      <c r="T989" s="55"/>
      <c r="U989" s="64"/>
      <c r="V989" s="55"/>
      <c r="W989" s="64"/>
      <c r="X989" s="55"/>
      <c r="Y989" s="53"/>
      <c r="Z989" s="55"/>
      <c r="AA989" s="55"/>
      <c r="AB989" s="55"/>
      <c r="AC989" s="55"/>
      <c r="AD989" s="55"/>
      <c r="AE989" s="55"/>
      <c r="AF989" s="55"/>
      <c r="AG989" s="55"/>
      <c r="AH989" s="55"/>
      <c r="AI989" s="55"/>
      <c r="AJ989" s="55"/>
      <c r="AK989" s="55"/>
      <c r="AL989" s="55"/>
      <c r="AM989" s="55"/>
      <c r="AN989" s="55"/>
      <c r="AO989" s="55"/>
    </row>
  </sheetData>
  <mergeCells count="5">
    <mergeCell ref="B1:H1"/>
    <mergeCell ref="J1:K1"/>
    <mergeCell ref="L1:N1"/>
    <mergeCell ref="P1:T1"/>
    <mergeCell ref="W1:W2"/>
  </mergeCells>
  <conditionalFormatting sqref="B1:B222 B224:B989">
    <cfRule type="containsText" dxfId="0" priority="1" operator="containsText" text="Unassigned">
      <formula>NOT(ISERROR(SEARCH(("Unassigned"),(B1))))</formula>
    </cfRule>
  </conditionalFormatting>
  <dataValidations>
    <dataValidation type="list" allowBlank="1" sqref="I1:I222 I224:I989">
      <formula1>"Only,First,Second,Third,Archived"</formula1>
    </dataValidation>
    <dataValidation type="list" allowBlank="1" sqref="G3:G222 G224:G989">
      <formula1>"Actionability,Gene Disease Validity,Variant Pathogenicity,Dosage Sensitivity,Somatic Cancer,Baseline,NA"</formula1>
    </dataValidation>
    <dataValidation type="list" allowBlank="1" sqref="E3:F222 E224:F989">
      <formula1>"Yes,No"</formula1>
    </dataValidation>
    <dataValidation type="list" allowBlank="1" sqref="B3:B989">
      <formula1>"Assigned,Contacted,Follow up email,Declined,Unassigned,Unresponsive,Recontact Later"</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6.43"/>
    <col customWidth="1" min="2" max="2" width="11.14"/>
    <col customWidth="1" min="3" max="3" width="11.0"/>
    <col customWidth="1" min="4" max="4" width="21.29"/>
    <col customWidth="1" min="5" max="5" width="18.57"/>
    <col customWidth="1" min="6" max="6" width="27.86"/>
    <col customWidth="1" min="7" max="7" width="24.43"/>
    <col customWidth="1" min="8" max="8" width="32.14"/>
  </cols>
  <sheetData>
    <row r="1">
      <c r="A1" s="8" t="s">
        <v>7</v>
      </c>
      <c r="B1" s="9"/>
      <c r="C1" s="9"/>
      <c r="D1" s="9"/>
      <c r="E1" s="22"/>
      <c r="F1" s="24" t="s">
        <v>38</v>
      </c>
      <c r="G1" s="28" t="s">
        <v>41</v>
      </c>
      <c r="H1" s="24" t="s">
        <v>42</v>
      </c>
      <c r="I1" s="35"/>
      <c r="J1" s="35"/>
      <c r="K1" s="35"/>
      <c r="L1" s="35"/>
      <c r="M1" s="35"/>
      <c r="N1" s="35"/>
      <c r="O1" s="35"/>
      <c r="P1" s="35"/>
      <c r="Q1" s="35"/>
      <c r="R1" s="35"/>
      <c r="S1" s="35"/>
      <c r="T1" s="35"/>
      <c r="U1" s="35"/>
    </row>
    <row r="2">
      <c r="A2" s="41" t="s">
        <v>0</v>
      </c>
      <c r="B2" s="41" t="s">
        <v>73</v>
      </c>
      <c r="C2" s="43" t="s">
        <v>74</v>
      </c>
      <c r="D2" s="41" t="s">
        <v>76</v>
      </c>
      <c r="E2" s="43" t="s">
        <v>77</v>
      </c>
      <c r="F2" s="43" t="s">
        <v>81</v>
      </c>
      <c r="G2" s="43" t="s">
        <v>84</v>
      </c>
      <c r="H2" s="40" t="s">
        <v>85</v>
      </c>
      <c r="I2" s="37"/>
      <c r="J2" s="37"/>
      <c r="K2" s="37"/>
      <c r="L2" s="37"/>
      <c r="M2" s="37"/>
      <c r="N2" s="37"/>
      <c r="O2" s="37"/>
      <c r="P2" s="37"/>
      <c r="Q2" s="37"/>
      <c r="R2" s="37"/>
      <c r="S2" s="37"/>
      <c r="T2" s="37"/>
      <c r="U2" s="37"/>
    </row>
    <row r="3">
      <c r="A3" s="48" t="s">
        <v>108</v>
      </c>
      <c r="B3" s="49">
        <v>43570.0</v>
      </c>
      <c r="C3" s="48" t="s">
        <v>117</v>
      </c>
      <c r="D3" s="48" t="s">
        <v>122</v>
      </c>
      <c r="E3" s="51" t="s">
        <v>123</v>
      </c>
      <c r="F3" s="55" t="str">
        <f>IFERROR(__xludf.DUMMYFUNCTION("QUERY('Volunteer Survey'!B5)"),"Xiaodong Wang")</f>
        <v>Xiaodong Wang</v>
      </c>
      <c r="G3" s="48" t="str">
        <f>IFERROR(__xludf.DUMMYFUNCTION("QUERY('Volunteer Survey'!H5)"),"Comprehensive")</f>
        <v>Comprehensive</v>
      </c>
      <c r="H3" s="55" t="str">
        <f>IFERROR(__xludf.DUMMYFUNCTION("QUERY('Volunteer Survey'!I5)"),"Gene-Disease Validity")</f>
        <v>Gene-Disease Validity</v>
      </c>
      <c r="I3" s="55"/>
      <c r="J3" s="55"/>
      <c r="K3" s="55"/>
      <c r="L3" s="55"/>
      <c r="M3" s="55"/>
      <c r="N3" s="55"/>
      <c r="O3" s="55"/>
      <c r="P3" s="55"/>
      <c r="Q3" s="55"/>
      <c r="R3" s="55"/>
      <c r="S3" s="55"/>
      <c r="T3" s="55"/>
      <c r="U3" s="55"/>
    </row>
    <row r="4">
      <c r="A4" s="48" t="s">
        <v>125</v>
      </c>
      <c r="B4" s="56">
        <v>43446.0</v>
      </c>
      <c r="C4" s="48" t="s">
        <v>117</v>
      </c>
      <c r="D4" s="48" t="s">
        <v>122</v>
      </c>
      <c r="E4" s="51" t="s">
        <v>143</v>
      </c>
      <c r="F4" s="55" t="str">
        <f>IFERROR(__xludf.DUMMYFUNCTION("QUERY('Volunteer Survey'!B7)"),"Jennifer Howe")</f>
        <v>Jennifer Howe</v>
      </c>
      <c r="G4" s="48" t="str">
        <f>IFERROR(__xludf.DUMMYFUNCTION("QUERY('Volunteer Survey'!H7)"),"Comprehensive")</f>
        <v>Comprehensive</v>
      </c>
      <c r="H4" s="55" t="str">
        <f>IFERROR(__xludf.DUMMYFUNCTION("QUERY('Volunteer Survey'!I7)"),"Gene-Disease Validity")</f>
        <v>Gene-Disease Validity</v>
      </c>
      <c r="I4" s="55"/>
      <c r="J4" s="55"/>
      <c r="K4" s="55"/>
      <c r="L4" s="55"/>
      <c r="M4" s="55"/>
      <c r="N4" s="55"/>
      <c r="O4" s="55"/>
      <c r="P4" s="55"/>
      <c r="Q4" s="55"/>
      <c r="R4" s="55"/>
      <c r="S4" s="55"/>
      <c r="T4" s="55"/>
      <c r="U4" s="55"/>
    </row>
    <row r="5">
      <c r="A5" s="48" t="s">
        <v>125</v>
      </c>
      <c r="B5" s="56">
        <v>43446.0</v>
      </c>
      <c r="C5" s="48" t="s">
        <v>117</v>
      </c>
      <c r="D5" s="48" t="s">
        <v>122</v>
      </c>
      <c r="E5" s="51" t="s">
        <v>20</v>
      </c>
      <c r="F5" s="55" t="str">
        <f>IFERROR(__xludf.DUMMYFUNCTION("QUERY('Volunteer Survey'!B8)"),"Kalpana Panneerselvam")</f>
        <v>Kalpana Panneerselvam</v>
      </c>
      <c r="G5" s="48" t="str">
        <f>IFERROR(__xludf.DUMMYFUNCTION("QUERY('Volunteer Survey'!H8)"),"Comprehensive")</f>
        <v>Comprehensive</v>
      </c>
      <c r="H5" s="55" t="str">
        <f>IFERROR(__xludf.DUMMYFUNCTION("QUERY('Volunteer Survey'!I8)"),"Gene-Disease Validity")</f>
        <v>Gene-Disease Validity</v>
      </c>
      <c r="I5" s="55"/>
      <c r="J5" s="55"/>
      <c r="K5" s="55"/>
      <c r="L5" s="55"/>
      <c r="M5" s="55"/>
      <c r="N5" s="55"/>
      <c r="O5" s="55"/>
      <c r="P5" s="55"/>
      <c r="Q5" s="55"/>
      <c r="R5" s="55"/>
      <c r="S5" s="55"/>
      <c r="T5" s="55"/>
      <c r="U5" s="55"/>
    </row>
    <row r="6">
      <c r="A6" s="48" t="s">
        <v>160</v>
      </c>
      <c r="B6" s="65">
        <v>43580.0</v>
      </c>
      <c r="C6" s="48" t="s">
        <v>117</v>
      </c>
      <c r="D6" s="48" t="s">
        <v>163</v>
      </c>
      <c r="E6" s="51" t="s">
        <v>164</v>
      </c>
      <c r="F6" s="55" t="str">
        <f>IFERROR(__xludf.DUMMYFUNCTION("QUERY('Volunteer Survey'!B9)"),"Justin Schleede Phd")</f>
        <v>Justin Schleede Phd</v>
      </c>
      <c r="G6" s="48" t="str">
        <f>IFERROR(__xludf.DUMMYFUNCTION("QUERY('Volunteer Survey'!H9)"),"Comprehensive")</f>
        <v>Comprehensive</v>
      </c>
      <c r="H6" s="55" t="str">
        <f>IFERROR(__xludf.DUMMYFUNCTION("QUERY('Volunteer Survey'!I9)"),"Dosage Sensitivity")</f>
        <v>Dosage Sensitivity</v>
      </c>
      <c r="I6" s="55"/>
      <c r="J6" s="55"/>
      <c r="K6" s="55"/>
      <c r="L6" s="55"/>
      <c r="M6" s="55"/>
      <c r="N6" s="55"/>
      <c r="O6" s="55"/>
      <c r="P6" s="55"/>
      <c r="Q6" s="55"/>
      <c r="R6" s="55"/>
      <c r="S6" s="55"/>
      <c r="T6" s="55"/>
      <c r="U6" s="55"/>
    </row>
    <row r="7">
      <c r="A7" s="48" t="s">
        <v>108</v>
      </c>
      <c r="B7" s="65">
        <v>43678.0</v>
      </c>
      <c r="C7" s="48" t="s">
        <v>117</v>
      </c>
      <c r="D7" s="48" t="s">
        <v>19</v>
      </c>
      <c r="E7" s="69"/>
      <c r="F7" s="55" t="str">
        <f>IFERROR(__xludf.DUMMYFUNCTION("QUERY('Volunteer Survey'!B11)"),"Juan Carlos Diaz ")</f>
        <v>Juan Carlos Diaz </v>
      </c>
      <c r="G7" s="48" t="str">
        <f>IFERROR(__xludf.DUMMYFUNCTION("QUERY('Volunteer Survey'!H11)"),"Comprehensive")</f>
        <v>Comprehensive</v>
      </c>
      <c r="H7" s="55" t="str">
        <f>IFERROR(__xludf.DUMMYFUNCTION("QUERY('Volunteer Survey'!I11)"),"Clinical Actionability")</f>
        <v>Clinical Actionability</v>
      </c>
      <c r="I7" s="55"/>
      <c r="J7" s="55"/>
      <c r="K7" s="55"/>
      <c r="L7" s="55"/>
      <c r="M7" s="55"/>
      <c r="N7" s="55"/>
      <c r="O7" s="55"/>
      <c r="P7" s="55"/>
      <c r="Q7" s="55"/>
      <c r="R7" s="55"/>
      <c r="S7" s="55"/>
      <c r="T7" s="55"/>
      <c r="U7" s="55"/>
    </row>
    <row r="8">
      <c r="A8" s="48" t="s">
        <v>108</v>
      </c>
      <c r="B8" s="65">
        <v>43570.0</v>
      </c>
      <c r="C8" s="48" t="s">
        <v>117</v>
      </c>
      <c r="D8" s="48" t="s">
        <v>122</v>
      </c>
      <c r="E8" s="51" t="s">
        <v>173</v>
      </c>
      <c r="F8" s="55" t="str">
        <f>IFERROR(__xludf.DUMMYFUNCTION("QUERY('Volunteer Survey'!B13)"),"Tomohiko Ai")</f>
        <v>Tomohiko Ai</v>
      </c>
      <c r="G8" s="48" t="str">
        <f>IFERROR(__xludf.DUMMYFUNCTION("QUERY('Volunteer Survey'!H13)"),"Comprehensive")</f>
        <v>Comprehensive</v>
      </c>
      <c r="H8" s="55" t="str">
        <f>IFERROR(__xludf.DUMMYFUNCTION("QUERY('Volunteer Survey'!I13)"),"Gene-Disease Validity")</f>
        <v>Gene-Disease Validity</v>
      </c>
      <c r="I8" s="55"/>
      <c r="J8" s="55"/>
      <c r="K8" s="55"/>
      <c r="L8" s="55"/>
      <c r="M8" s="55"/>
      <c r="N8" s="55"/>
      <c r="O8" s="55"/>
      <c r="P8" s="55"/>
      <c r="Q8" s="55"/>
      <c r="R8" s="55"/>
      <c r="S8" s="55"/>
      <c r="T8" s="55"/>
      <c r="U8" s="55"/>
    </row>
    <row r="9">
      <c r="A9" s="48" t="s">
        <v>168</v>
      </c>
      <c r="B9" s="49">
        <v>43476.0</v>
      </c>
      <c r="C9" s="48" t="s">
        <v>117</v>
      </c>
      <c r="D9" s="48" t="s">
        <v>136</v>
      </c>
      <c r="E9" s="51" t="s">
        <v>179</v>
      </c>
      <c r="F9" s="55" t="str">
        <f>IFERROR(__xludf.DUMMYFUNCTION("QUERY('Volunteer Survey'!B14)"),"Rajavarman Kittu")</f>
        <v>Rajavarman Kittu</v>
      </c>
      <c r="G9" s="48" t="str">
        <f>IFERROR(__xludf.DUMMYFUNCTION("QUERY('Volunteer Survey'!H14)"),"Comprehensive")</f>
        <v>Comprehensive</v>
      </c>
      <c r="H9" s="48" t="s">
        <v>136</v>
      </c>
      <c r="I9" s="55"/>
      <c r="J9" s="55"/>
      <c r="K9" s="55"/>
      <c r="L9" s="55"/>
      <c r="M9" s="55"/>
      <c r="N9" s="55"/>
      <c r="O9" s="55"/>
      <c r="P9" s="55"/>
      <c r="Q9" s="55"/>
      <c r="R9" s="55"/>
      <c r="S9" s="55"/>
      <c r="T9" s="55"/>
      <c r="U9" s="55"/>
    </row>
    <row r="10">
      <c r="A10" s="48" t="s">
        <v>108</v>
      </c>
      <c r="B10" s="65">
        <v>43678.0</v>
      </c>
      <c r="C10" s="48" t="s">
        <v>117</v>
      </c>
      <c r="D10" s="48" t="s">
        <v>19</v>
      </c>
      <c r="E10" s="69"/>
      <c r="F10" s="55" t="str">
        <f>IFERROR(__xludf.DUMMYFUNCTION("QUERY('Volunteer Survey'!B15)"),"Rhea Vallente")</f>
        <v>Rhea Vallente</v>
      </c>
      <c r="G10" s="48" t="str">
        <f>IFERROR(__xludf.DUMMYFUNCTION("QUERY('Volunteer Survey'!H15)"),"Comprehensive")</f>
        <v>Comprehensive</v>
      </c>
      <c r="H10" s="55" t="str">
        <f>IFERROR(__xludf.DUMMYFUNCTION("QUERY('Volunteer Survey'!I15)"),"Clinical Actionability")</f>
        <v>Clinical Actionability</v>
      </c>
      <c r="I10" s="55"/>
      <c r="J10" s="55"/>
      <c r="K10" s="55"/>
      <c r="L10" s="55"/>
      <c r="M10" s="55"/>
      <c r="N10" s="55"/>
      <c r="O10" s="55"/>
      <c r="P10" s="55"/>
      <c r="Q10" s="55"/>
      <c r="R10" s="55"/>
      <c r="S10" s="55"/>
      <c r="T10" s="55"/>
      <c r="U10" s="55"/>
    </row>
    <row r="11">
      <c r="A11" s="48" t="s">
        <v>125</v>
      </c>
      <c r="B11" s="56">
        <v>43585.0</v>
      </c>
      <c r="C11" s="48" t="s">
        <v>117</v>
      </c>
      <c r="D11" s="48" t="s">
        <v>122</v>
      </c>
      <c r="E11" s="51" t="s">
        <v>197</v>
      </c>
      <c r="F11" s="55" t="str">
        <f>IFERROR(__xludf.DUMMYFUNCTION("QUERY('Volunteer Survey'!B16)"),"Caitlin Hale")</f>
        <v>Caitlin Hale</v>
      </c>
      <c r="G11" s="48" t="str">
        <f>IFERROR(__xludf.DUMMYFUNCTION("QUERY('Volunteer Survey'!H16)"),"Comprehensive")</f>
        <v>Comprehensive</v>
      </c>
      <c r="H11" s="55" t="str">
        <f>IFERROR(__xludf.DUMMYFUNCTION("QUERY('Volunteer Survey'!I16)"),"Gene-Disease Validity")</f>
        <v>Gene-Disease Validity</v>
      </c>
      <c r="I11" s="55"/>
      <c r="J11" s="55"/>
      <c r="K11" s="55"/>
      <c r="L11" s="55"/>
      <c r="M11" s="55"/>
      <c r="N11" s="55"/>
      <c r="O11" s="55"/>
      <c r="P11" s="55"/>
      <c r="Q11" s="55"/>
      <c r="R11" s="55"/>
      <c r="S11" s="55"/>
      <c r="T11" s="55"/>
      <c r="U11" s="55"/>
    </row>
    <row r="12">
      <c r="A12" s="48" t="s">
        <v>108</v>
      </c>
      <c r="B12" s="73">
        <v>43567.0</v>
      </c>
      <c r="C12" s="48" t="s">
        <v>117</v>
      </c>
      <c r="D12" s="48" t="s">
        <v>19</v>
      </c>
      <c r="E12" s="69" t="s">
        <v>19</v>
      </c>
      <c r="F12" s="55" t="str">
        <f>IFERROR(__xludf.DUMMYFUNCTION("QUERY('Volunteer Survey'!B17)"),"Melissa Murfin")</f>
        <v>Melissa Murfin</v>
      </c>
      <c r="G12" s="48" t="str">
        <f>IFERROR(__xludf.DUMMYFUNCTION("QUERY('Volunteer Survey'!H17)"),"Comprehensive")</f>
        <v>Comprehensive</v>
      </c>
      <c r="H12" s="55" t="str">
        <f>IFERROR(__xludf.DUMMYFUNCTION("QUERY('Volunteer Survey'!I17)"),"Clinical Actionability")</f>
        <v>Clinical Actionability</v>
      </c>
      <c r="I12" s="55"/>
      <c r="J12" s="55"/>
      <c r="K12" s="55"/>
      <c r="L12" s="55"/>
      <c r="M12" s="55"/>
      <c r="N12" s="55"/>
      <c r="O12" s="55"/>
      <c r="P12" s="55"/>
      <c r="Q12" s="55"/>
      <c r="R12" s="55"/>
      <c r="S12" s="55"/>
      <c r="T12" s="55"/>
      <c r="U12" s="55"/>
    </row>
    <row r="13">
      <c r="A13" s="48" t="s">
        <v>108</v>
      </c>
      <c r="B13" s="65">
        <v>43585.0</v>
      </c>
      <c r="C13" s="48" t="s">
        <v>117</v>
      </c>
      <c r="D13" s="48" t="s">
        <v>122</v>
      </c>
      <c r="E13" s="51" t="s">
        <v>220</v>
      </c>
      <c r="F13" s="55" t="str">
        <f>IFERROR(__xludf.DUMMYFUNCTION("QUERY('Volunteer Survey'!B18)"),"Ana León")</f>
        <v>Ana León</v>
      </c>
      <c r="G13" s="48" t="str">
        <f>IFERROR(__xludf.DUMMYFUNCTION("QUERY('Volunteer Survey'!H18)"),"Comprehensive")</f>
        <v>Comprehensive</v>
      </c>
      <c r="H13" s="55" t="str">
        <f>IFERROR(__xludf.DUMMYFUNCTION("QUERY('Volunteer Survey'!I18)"),"Gene-Disease Validity")</f>
        <v>Gene-Disease Validity</v>
      </c>
      <c r="I13" s="55"/>
      <c r="J13" s="55"/>
      <c r="K13" s="55"/>
      <c r="L13" s="55"/>
      <c r="M13" s="55"/>
      <c r="N13" s="55"/>
      <c r="O13" s="55"/>
      <c r="P13" s="55"/>
      <c r="Q13" s="55"/>
      <c r="R13" s="55"/>
      <c r="S13" s="55"/>
      <c r="T13" s="55"/>
      <c r="U13" s="55"/>
    </row>
    <row r="14">
      <c r="A14" s="48" t="s">
        <v>160</v>
      </c>
      <c r="B14" s="56">
        <v>43446.0</v>
      </c>
      <c r="C14" s="48" t="s">
        <v>117</v>
      </c>
      <c r="D14" s="48" t="s">
        <v>122</v>
      </c>
      <c r="E14" s="51" t="s">
        <v>143</v>
      </c>
      <c r="F14" s="55" t="str">
        <f>IFERROR(__xludf.DUMMYFUNCTION("QUERY('Volunteer Survey'!B19)"),"Catalina Betancur")</f>
        <v>Catalina Betancur</v>
      </c>
      <c r="G14" s="48" t="str">
        <f>IFERROR(__xludf.DUMMYFUNCTION("QUERY('Volunteer Survey'!H19)"),"Comprehensive")</f>
        <v>Comprehensive</v>
      </c>
      <c r="H14" s="55" t="str">
        <f>IFERROR(__xludf.DUMMYFUNCTION("QUERY('Volunteer Survey'!I19)"),"Gene-Disease Validity")</f>
        <v>Gene-Disease Validity</v>
      </c>
      <c r="I14" s="55"/>
      <c r="J14" s="55"/>
      <c r="K14" s="55"/>
      <c r="L14" s="55"/>
      <c r="M14" s="55"/>
      <c r="N14" s="55"/>
      <c r="O14" s="55"/>
      <c r="P14" s="55"/>
      <c r="Q14" s="55"/>
      <c r="R14" s="55"/>
      <c r="S14" s="55"/>
      <c r="T14" s="55"/>
      <c r="U14" s="55"/>
    </row>
    <row r="15">
      <c r="A15" s="48" t="s">
        <v>108</v>
      </c>
      <c r="B15" s="65">
        <v>43580.0</v>
      </c>
      <c r="C15" s="48" t="s">
        <v>117</v>
      </c>
      <c r="D15" s="48" t="s">
        <v>163</v>
      </c>
      <c r="E15" s="53"/>
      <c r="F15" s="55" t="str">
        <f>IFERROR(__xludf.DUMMYFUNCTION("QUERY('Volunteer Survey'!B21)"),"Shulin Zhang")</f>
        <v>Shulin Zhang</v>
      </c>
      <c r="G15" s="48" t="str">
        <f>IFERROR(__xludf.DUMMYFUNCTION("QUERY('Volunteer Survey'!H21)"),"Comprehensive")</f>
        <v>Comprehensive</v>
      </c>
      <c r="H15" s="55" t="str">
        <f>IFERROR(__xludf.DUMMYFUNCTION("QUERY('Volunteer Survey'!I21)"),"Dosage Sensitivity")</f>
        <v>Dosage Sensitivity</v>
      </c>
      <c r="I15" s="55"/>
      <c r="J15" s="55"/>
      <c r="K15" s="55"/>
      <c r="L15" s="55"/>
      <c r="M15" s="55"/>
      <c r="N15" s="55"/>
      <c r="O15" s="55"/>
      <c r="P15" s="55"/>
      <c r="Q15" s="55"/>
      <c r="R15" s="55"/>
      <c r="S15" s="55"/>
      <c r="T15" s="55"/>
      <c r="U15" s="55"/>
    </row>
    <row r="16">
      <c r="A16" s="48" t="s">
        <v>108</v>
      </c>
      <c r="B16" s="73">
        <v>43567.0</v>
      </c>
      <c r="C16" s="48" t="s">
        <v>117</v>
      </c>
      <c r="D16" s="48" t="s">
        <v>19</v>
      </c>
      <c r="E16" s="69"/>
      <c r="F16" s="55" t="str">
        <f>IFERROR(__xludf.DUMMYFUNCTION("QUERY('Volunteer Survey'!B22)"),"Marwan Shinawi")</f>
        <v>Marwan Shinawi</v>
      </c>
      <c r="G16" s="48" t="str">
        <f>IFERROR(__xludf.DUMMYFUNCTION("QUERY('Volunteer Survey'!H22)"),"Comprehensive")</f>
        <v>Comprehensive</v>
      </c>
      <c r="H16" s="55" t="str">
        <f>IFERROR(__xludf.DUMMYFUNCTION("QUERY('Volunteer Survey'!I22)"),"Clinical Actionability")</f>
        <v>Clinical Actionability</v>
      </c>
      <c r="I16" s="55"/>
      <c r="J16" s="55"/>
      <c r="K16" s="55"/>
      <c r="L16" s="55"/>
      <c r="M16" s="55"/>
      <c r="N16" s="55"/>
      <c r="O16" s="55"/>
      <c r="P16" s="55"/>
      <c r="Q16" s="55"/>
      <c r="R16" s="55"/>
      <c r="S16" s="55"/>
      <c r="T16" s="55"/>
      <c r="U16" s="55"/>
    </row>
    <row r="17">
      <c r="A17" s="48" t="s">
        <v>108</v>
      </c>
      <c r="B17" s="65">
        <v>43605.0</v>
      </c>
      <c r="C17" s="48" t="s">
        <v>117</v>
      </c>
      <c r="D17" s="48" t="s">
        <v>251</v>
      </c>
      <c r="E17" s="51" t="s">
        <v>252</v>
      </c>
      <c r="F17" s="55" t="str">
        <f>IFERROR(__xludf.DUMMYFUNCTION("QUERY('Volunteer Survey'!B23)"),"Adam Coovadia")</f>
        <v>Adam Coovadia</v>
      </c>
      <c r="G17" s="48" t="str">
        <f>IFERROR(__xludf.DUMMYFUNCTION("QUERY('Volunteer Survey'!H23)"),"Comprehensive")</f>
        <v>Comprehensive</v>
      </c>
      <c r="H17" s="55" t="str">
        <f>IFERROR(__xludf.DUMMYFUNCTION("QUERY('Volunteer Survey'!I23)"),"Variant Pathogenicity")</f>
        <v>Variant Pathogenicity</v>
      </c>
      <c r="I17" s="55"/>
      <c r="J17" s="55"/>
      <c r="K17" s="55"/>
      <c r="L17" s="55"/>
      <c r="M17" s="55"/>
      <c r="N17" s="55"/>
      <c r="O17" s="55"/>
      <c r="P17" s="55"/>
      <c r="Q17" s="55"/>
      <c r="R17" s="55"/>
      <c r="S17" s="55"/>
      <c r="T17" s="55"/>
      <c r="U17" s="55"/>
    </row>
    <row r="18">
      <c r="A18" s="48" t="s">
        <v>160</v>
      </c>
      <c r="B18" s="56">
        <v>43446.0</v>
      </c>
      <c r="C18" s="48" t="s">
        <v>117</v>
      </c>
      <c r="D18" s="48" t="s">
        <v>122</v>
      </c>
      <c r="E18" s="51" t="s">
        <v>20</v>
      </c>
      <c r="F18" s="55" t="str">
        <f>IFERROR(__xludf.DUMMYFUNCTION("QUERY('Volunteer Survey'!B24)"),"Volkan Okur")</f>
        <v>Volkan Okur</v>
      </c>
      <c r="G18" s="48" t="str">
        <f>IFERROR(__xludf.DUMMYFUNCTION("QUERY('Volunteer Survey'!H24)"),"Comprehensive")</f>
        <v>Comprehensive</v>
      </c>
      <c r="H18" s="55" t="str">
        <f>IFERROR(__xludf.DUMMYFUNCTION("QUERY('Volunteer Survey'!I24)"),"Gene-Disease Validity")</f>
        <v>Gene-Disease Validity</v>
      </c>
      <c r="I18" s="55"/>
      <c r="J18" s="55"/>
      <c r="K18" s="55"/>
      <c r="L18" s="55"/>
      <c r="M18" s="55"/>
      <c r="N18" s="55"/>
      <c r="O18" s="55"/>
      <c r="P18" s="55"/>
      <c r="Q18" s="55"/>
      <c r="R18" s="55"/>
      <c r="S18" s="55"/>
      <c r="T18" s="55"/>
      <c r="U18" s="55"/>
    </row>
    <row r="19">
      <c r="A19" s="48" t="s">
        <v>160</v>
      </c>
      <c r="B19" s="56">
        <v>43446.0</v>
      </c>
      <c r="C19" s="48" t="s">
        <v>117</v>
      </c>
      <c r="D19" s="48" t="s">
        <v>122</v>
      </c>
      <c r="E19" s="51" t="s">
        <v>197</v>
      </c>
      <c r="F19" s="55" t="str">
        <f>IFERROR(__xludf.DUMMYFUNCTION("QUERY('Volunteer Survey'!B25)"),"Mythily Ganapathi")</f>
        <v>Mythily Ganapathi</v>
      </c>
      <c r="G19" s="48" t="str">
        <f>IFERROR(__xludf.DUMMYFUNCTION("QUERY('Volunteer Survey'!H25)"),"Comprehensive")</f>
        <v>Comprehensive</v>
      </c>
      <c r="H19" s="55" t="str">
        <f>IFERROR(__xludf.DUMMYFUNCTION("QUERY('Volunteer Survey'!I25)"),"Gene-Disease Validity")</f>
        <v>Gene-Disease Validity</v>
      </c>
      <c r="I19" s="55"/>
      <c r="J19" s="55"/>
      <c r="K19" s="55"/>
      <c r="L19" s="55"/>
      <c r="M19" s="55"/>
      <c r="N19" s="55"/>
      <c r="O19" s="55"/>
      <c r="P19" s="55"/>
      <c r="Q19" s="55"/>
      <c r="R19" s="55"/>
      <c r="S19" s="55"/>
      <c r="T19" s="55"/>
      <c r="U19" s="55"/>
    </row>
    <row r="20">
      <c r="A20" s="48" t="s">
        <v>168</v>
      </c>
      <c r="B20" s="65">
        <v>43585.0</v>
      </c>
      <c r="C20" s="48" t="s">
        <v>117</v>
      </c>
      <c r="D20" s="48" t="s">
        <v>122</v>
      </c>
      <c r="E20" s="53"/>
      <c r="F20" s="55" t="str">
        <f>IFERROR(__xludf.DUMMYFUNCTION("QUERY('Volunteer Survey'!B26)"),"Leslie Oldfield")</f>
        <v>Leslie Oldfield</v>
      </c>
      <c r="G20" s="48" t="str">
        <f>IFERROR(__xludf.DUMMYFUNCTION("QUERY('Volunteer Survey'!H26)"),"Comprehensive")</f>
        <v>Comprehensive</v>
      </c>
      <c r="H20" s="55" t="str">
        <f>IFERROR(__xludf.DUMMYFUNCTION("QUERY('Volunteer Survey'!I26)"),"Gene-Disease Validity")</f>
        <v>Gene-Disease Validity</v>
      </c>
      <c r="I20" s="55"/>
      <c r="J20" s="55"/>
      <c r="K20" s="55"/>
      <c r="L20" s="55"/>
      <c r="M20" s="55"/>
      <c r="N20" s="55"/>
      <c r="O20" s="55"/>
      <c r="P20" s="55"/>
      <c r="Q20" s="55"/>
      <c r="R20" s="55"/>
      <c r="S20" s="55"/>
      <c r="T20" s="55"/>
      <c r="U20" s="55"/>
    </row>
    <row r="21">
      <c r="A21" s="48" t="s">
        <v>160</v>
      </c>
      <c r="B21" s="56">
        <v>43446.0</v>
      </c>
      <c r="C21" s="48" t="s">
        <v>117</v>
      </c>
      <c r="D21" s="48" t="s">
        <v>122</v>
      </c>
      <c r="E21" s="51" t="s">
        <v>287</v>
      </c>
      <c r="F21" s="55" t="str">
        <f>IFERROR(__xludf.DUMMYFUNCTION("QUERY('Volunteer Survey'!B27)"),"John Shoffner")</f>
        <v>John Shoffner</v>
      </c>
      <c r="G21" s="48" t="str">
        <f>IFERROR(__xludf.DUMMYFUNCTION("QUERY('Volunteer Survey'!H27)"),"Comprehensive")</f>
        <v>Comprehensive</v>
      </c>
      <c r="H21" s="55" t="str">
        <f>IFERROR(__xludf.DUMMYFUNCTION("QUERY('Volunteer Survey'!I27)"),"Gene-Disease Validity")</f>
        <v>Gene-Disease Validity</v>
      </c>
      <c r="I21" s="55"/>
      <c r="J21" s="55"/>
      <c r="K21" s="55"/>
      <c r="L21" s="55"/>
      <c r="M21" s="55"/>
      <c r="N21" s="55"/>
      <c r="O21" s="55"/>
      <c r="P21" s="55"/>
      <c r="Q21" s="55"/>
      <c r="R21" s="55"/>
      <c r="S21" s="55"/>
      <c r="T21" s="55"/>
      <c r="U21" s="55"/>
    </row>
    <row r="22">
      <c r="A22" s="48" t="s">
        <v>160</v>
      </c>
      <c r="B22" s="56">
        <v>43446.0</v>
      </c>
      <c r="C22" s="48" t="s">
        <v>117</v>
      </c>
      <c r="D22" s="48" t="s">
        <v>122</v>
      </c>
      <c r="E22" s="51" t="s">
        <v>287</v>
      </c>
      <c r="F22" s="55" t="str">
        <f>IFERROR(__xludf.DUMMYFUNCTION("QUERY('Volunteer Survey'!B28)"),"Isabelle Thiffault")</f>
        <v>Isabelle Thiffault</v>
      </c>
      <c r="G22" s="48" t="str">
        <f>IFERROR(__xludf.DUMMYFUNCTION("QUERY('Volunteer Survey'!H28)"),"Comprehensive")</f>
        <v>Comprehensive</v>
      </c>
      <c r="H22" s="55" t="str">
        <f>IFERROR(__xludf.DUMMYFUNCTION("QUERY('Volunteer Survey'!I28)"),"Gene-Disease Validity")</f>
        <v>Gene-Disease Validity</v>
      </c>
      <c r="I22" s="55"/>
      <c r="J22" s="55"/>
      <c r="K22" s="55"/>
      <c r="L22" s="55"/>
      <c r="M22" s="55"/>
      <c r="N22" s="55"/>
      <c r="O22" s="55"/>
      <c r="P22" s="55"/>
      <c r="Q22" s="55"/>
      <c r="R22" s="55"/>
      <c r="S22" s="55"/>
      <c r="T22" s="55"/>
      <c r="U22" s="55"/>
    </row>
    <row r="23">
      <c r="A23" s="48" t="s">
        <v>160</v>
      </c>
      <c r="B23" s="48" t="s">
        <v>291</v>
      </c>
      <c r="C23" s="48" t="s">
        <v>130</v>
      </c>
      <c r="D23" s="48" t="s">
        <v>122</v>
      </c>
      <c r="E23" s="51" t="s">
        <v>20</v>
      </c>
      <c r="F23" s="55" t="str">
        <f>IFERROR(__xludf.DUMMYFUNCTION("QUERY('Volunteer Survey'!B29)"),"Ye Cao")</f>
        <v>Ye Cao</v>
      </c>
      <c r="G23" s="48" t="str">
        <f>IFERROR(__xludf.DUMMYFUNCTION("QUERY('Volunteer Survey'!H29)"),"Comprehensive")</f>
        <v>Comprehensive</v>
      </c>
      <c r="H23" s="55" t="str">
        <f>IFERROR(__xludf.DUMMYFUNCTION("QUERY('Volunteer Survey'!I29)"),"Gene-Disease Validity")</f>
        <v>Gene-Disease Validity</v>
      </c>
      <c r="I23" s="55"/>
      <c r="J23" s="55"/>
      <c r="K23" s="55"/>
      <c r="L23" s="55"/>
      <c r="M23" s="55"/>
      <c r="N23" s="55"/>
      <c r="O23" s="55"/>
      <c r="P23" s="55"/>
      <c r="Q23" s="55"/>
      <c r="R23" s="55"/>
      <c r="S23" s="55"/>
      <c r="T23" s="55"/>
      <c r="U23" s="55"/>
    </row>
    <row r="24">
      <c r="A24" s="48" t="s">
        <v>160</v>
      </c>
      <c r="B24" s="56">
        <v>43446.0</v>
      </c>
      <c r="C24" s="48" t="s">
        <v>117</v>
      </c>
      <c r="D24" s="48" t="s">
        <v>122</v>
      </c>
      <c r="E24" s="51" t="s">
        <v>104</v>
      </c>
      <c r="F24" s="55" t="str">
        <f>IFERROR(__xludf.DUMMYFUNCTION("QUERY('Volunteer Survey'!B31)"),"Colin Ellis")</f>
        <v>Colin Ellis</v>
      </c>
      <c r="G24" s="48" t="str">
        <f>IFERROR(__xludf.DUMMYFUNCTION("QUERY('Volunteer Survey'!H31)"),"Comprehensive")</f>
        <v>Comprehensive</v>
      </c>
      <c r="H24" s="55" t="str">
        <f>IFERROR(__xludf.DUMMYFUNCTION("QUERY('Volunteer Survey'!I31)"),"Gene-Disease Validity")</f>
        <v>Gene-Disease Validity</v>
      </c>
      <c r="I24" s="55"/>
      <c r="J24" s="55"/>
      <c r="K24" s="55"/>
      <c r="L24" s="55"/>
      <c r="M24" s="55"/>
      <c r="N24" s="55"/>
      <c r="O24" s="55"/>
      <c r="P24" s="55"/>
      <c r="Q24" s="55"/>
      <c r="R24" s="55"/>
      <c r="S24" s="55"/>
      <c r="T24" s="55"/>
      <c r="U24" s="55"/>
    </row>
    <row r="25">
      <c r="A25" s="48" t="s">
        <v>125</v>
      </c>
      <c r="B25" s="56">
        <v>43446.0</v>
      </c>
      <c r="C25" s="48" t="s">
        <v>117</v>
      </c>
      <c r="D25" s="48" t="s">
        <v>122</v>
      </c>
      <c r="E25" s="51" t="s">
        <v>20</v>
      </c>
      <c r="F25" s="55" t="str">
        <f>IFERROR(__xludf.DUMMYFUNCTION("QUERY('Volunteer Survey'!B32)"),"Mansour Zamanpoor")</f>
        <v>Mansour Zamanpoor</v>
      </c>
      <c r="G25" s="48" t="str">
        <f>IFERROR(__xludf.DUMMYFUNCTION("QUERY('Volunteer Survey'!H32)"),"Comprehensive")</f>
        <v>Comprehensive</v>
      </c>
      <c r="H25" s="55" t="str">
        <f>IFERROR(__xludf.DUMMYFUNCTION("QUERY('Volunteer Survey'!I32)"),"Gene-Disease Validity")</f>
        <v>Gene-Disease Validity</v>
      </c>
      <c r="I25" s="55"/>
      <c r="J25" s="55"/>
      <c r="K25" s="55"/>
      <c r="L25" s="55"/>
      <c r="M25" s="55"/>
      <c r="N25" s="55"/>
      <c r="O25" s="55"/>
      <c r="P25" s="55"/>
      <c r="Q25" s="55"/>
      <c r="R25" s="55"/>
      <c r="S25" s="55"/>
      <c r="T25" s="55"/>
      <c r="U25" s="55"/>
    </row>
    <row r="26">
      <c r="A26" s="48" t="s">
        <v>160</v>
      </c>
      <c r="B26" s="56">
        <v>43446.0</v>
      </c>
      <c r="C26" s="48" t="s">
        <v>117</v>
      </c>
      <c r="D26" s="48" t="s">
        <v>122</v>
      </c>
      <c r="E26" s="51" t="s">
        <v>293</v>
      </c>
      <c r="F26" s="55" t="str">
        <f>IFERROR(__xludf.DUMMYFUNCTION("QUERY('Volunteer Survey'!B33)"),"Benjamin Kang")</f>
        <v>Benjamin Kang</v>
      </c>
      <c r="G26" s="48" t="str">
        <f>IFERROR(__xludf.DUMMYFUNCTION("QUERY('Volunteer Survey'!H33)"),"Comprehensive")</f>
        <v>Comprehensive</v>
      </c>
      <c r="H26" s="55" t="str">
        <f>IFERROR(__xludf.DUMMYFUNCTION("QUERY('Volunteer Survey'!I33)"),"Gene-Disease Validity")</f>
        <v>Gene-Disease Validity</v>
      </c>
      <c r="I26" s="55"/>
      <c r="J26" s="55"/>
      <c r="K26" s="55"/>
      <c r="L26" s="55"/>
      <c r="M26" s="55"/>
      <c r="N26" s="55"/>
      <c r="O26" s="55"/>
      <c r="P26" s="55"/>
      <c r="Q26" s="55"/>
      <c r="R26" s="55"/>
      <c r="S26" s="55"/>
      <c r="T26" s="55"/>
      <c r="U26" s="55"/>
    </row>
    <row r="27">
      <c r="A27" s="48" t="s">
        <v>108</v>
      </c>
      <c r="B27" s="56">
        <v>43585.0</v>
      </c>
      <c r="C27" s="48" t="s">
        <v>117</v>
      </c>
      <c r="D27" s="48" t="s">
        <v>122</v>
      </c>
      <c r="E27" s="51" t="s">
        <v>294</v>
      </c>
      <c r="F27" s="55" t="str">
        <f>IFERROR(__xludf.DUMMYFUNCTION("QUERY('Volunteer Survey'!B34)"),"Ljubica Caldovic")</f>
        <v>Ljubica Caldovic</v>
      </c>
      <c r="G27" s="48" t="str">
        <f>IFERROR(__xludf.DUMMYFUNCTION("QUERY('Volunteer Survey'!H34)"),"Comprehensive")</f>
        <v>Comprehensive</v>
      </c>
      <c r="H27" s="55" t="str">
        <f>IFERROR(__xludf.DUMMYFUNCTION("QUERY('Volunteer Survey'!I34)"),"Gene-Disease Validity")</f>
        <v>Gene-Disease Validity</v>
      </c>
      <c r="I27" s="55"/>
      <c r="J27" s="55"/>
      <c r="K27" s="55"/>
      <c r="L27" s="55"/>
      <c r="M27" s="55"/>
      <c r="N27" s="55"/>
      <c r="O27" s="55"/>
      <c r="P27" s="55"/>
      <c r="Q27" s="55"/>
      <c r="R27" s="55"/>
      <c r="S27" s="55"/>
      <c r="T27" s="55"/>
      <c r="U27" s="55"/>
    </row>
    <row r="28">
      <c r="A28" s="48" t="s">
        <v>108</v>
      </c>
      <c r="B28" s="56">
        <v>43446.0</v>
      </c>
      <c r="C28" s="48" t="s">
        <v>117</v>
      </c>
      <c r="D28" s="48" t="s">
        <v>122</v>
      </c>
      <c r="E28" s="53"/>
      <c r="F28" s="55" t="str">
        <f>IFERROR(__xludf.DUMMYFUNCTION("QUERY('Volunteer Survey'!B38)"),"Vaidehi Jobanputra")</f>
        <v>Vaidehi Jobanputra</v>
      </c>
      <c r="G28" s="48" t="str">
        <f>IFERROR(__xludf.DUMMYFUNCTION("QUERY('Volunteer Survey'!H38)"),"Comprehensive")</f>
        <v>Comprehensive</v>
      </c>
      <c r="H28" s="55" t="str">
        <f>IFERROR(__xludf.DUMMYFUNCTION("QUERY('Volunteer Survey'!I38)"),"Gene-Disease Validity")</f>
        <v>Gene-Disease Validity</v>
      </c>
      <c r="I28" s="55"/>
      <c r="J28" s="55"/>
      <c r="K28" s="55"/>
      <c r="L28" s="55"/>
      <c r="M28" s="55"/>
      <c r="N28" s="55"/>
      <c r="O28" s="55"/>
      <c r="P28" s="55"/>
      <c r="Q28" s="55"/>
      <c r="R28" s="55"/>
      <c r="S28" s="55"/>
      <c r="T28" s="55"/>
      <c r="U28" s="55"/>
    </row>
    <row r="29">
      <c r="A29" s="48" t="s">
        <v>108</v>
      </c>
      <c r="B29" s="65">
        <v>43585.0</v>
      </c>
      <c r="C29" s="48" t="s">
        <v>117</v>
      </c>
      <c r="D29" s="48" t="s">
        <v>122</v>
      </c>
      <c r="E29" s="51" t="s">
        <v>123</v>
      </c>
      <c r="F29" s="55" t="str">
        <f>IFERROR(__xludf.DUMMYFUNCTION("QUERY('Volunteer Survey'!B40)"),"Erik Thorland")</f>
        <v>Erik Thorland</v>
      </c>
      <c r="G29" s="48" t="str">
        <f>IFERROR(__xludf.DUMMYFUNCTION("QUERY('Volunteer Survey'!H40)"),"Comprehensive")</f>
        <v>Comprehensive</v>
      </c>
      <c r="H29" s="55" t="str">
        <f>IFERROR(__xludf.DUMMYFUNCTION("QUERY('Volunteer Survey'!I40)"),"Gene-Disease Validity")</f>
        <v>Gene-Disease Validity</v>
      </c>
      <c r="I29" s="55"/>
      <c r="J29" s="55"/>
      <c r="K29" s="55"/>
      <c r="L29" s="55"/>
      <c r="M29" s="55"/>
      <c r="N29" s="55"/>
      <c r="O29" s="55"/>
      <c r="P29" s="55"/>
      <c r="Q29" s="55"/>
      <c r="R29" s="55"/>
      <c r="S29" s="55"/>
      <c r="T29" s="55"/>
      <c r="U29" s="55"/>
    </row>
    <row r="30">
      <c r="A30" s="48" t="s">
        <v>160</v>
      </c>
      <c r="B30" s="56">
        <v>43446.0</v>
      </c>
      <c r="C30" s="48" t="s">
        <v>117</v>
      </c>
      <c r="D30" s="48" t="s">
        <v>122</v>
      </c>
      <c r="E30" s="51" t="s">
        <v>143</v>
      </c>
      <c r="F30" s="55" t="str">
        <f>IFERROR(__xludf.DUMMYFUNCTION("QUERY('Volunteer Survey'!B41)"),"Olivia Rennie")</f>
        <v>Olivia Rennie</v>
      </c>
      <c r="G30" s="48" t="str">
        <f>IFERROR(__xludf.DUMMYFUNCTION("QUERY('Volunteer Survey'!H41)"),"Comprehensive")</f>
        <v>Comprehensive</v>
      </c>
      <c r="H30" s="55" t="str">
        <f>IFERROR(__xludf.DUMMYFUNCTION("QUERY('Volunteer Survey'!I41)"),"Gene-Disease Validity")</f>
        <v>Gene-Disease Validity</v>
      </c>
      <c r="I30" s="55"/>
      <c r="J30" s="55"/>
      <c r="K30" s="55"/>
      <c r="L30" s="55"/>
      <c r="M30" s="55"/>
      <c r="N30" s="55"/>
      <c r="O30" s="55"/>
      <c r="P30" s="55"/>
      <c r="Q30" s="55"/>
      <c r="R30" s="55"/>
      <c r="S30" s="55"/>
      <c r="T30" s="55"/>
      <c r="U30" s="55"/>
    </row>
    <row r="31">
      <c r="A31" s="48" t="s">
        <v>125</v>
      </c>
      <c r="B31" s="56">
        <v>43446.0</v>
      </c>
      <c r="C31" s="48" t="s">
        <v>117</v>
      </c>
      <c r="D31" s="48" t="s">
        <v>122</v>
      </c>
      <c r="E31" s="51" t="s">
        <v>143</v>
      </c>
      <c r="F31" s="55" t="str">
        <f>IFERROR(__xludf.DUMMYFUNCTION("QUERY('Volunteer Survey'!B42)"),"Kira Dies")</f>
        <v>Kira Dies</v>
      </c>
      <c r="G31" s="48" t="s">
        <v>63</v>
      </c>
      <c r="H31" s="55" t="str">
        <f>IFERROR(__xludf.DUMMYFUNCTION("QUERY('Volunteer Survey'!I42)"),"Gene-Disease Validity")</f>
        <v>Gene-Disease Validity</v>
      </c>
      <c r="I31" s="55"/>
      <c r="J31" s="55"/>
      <c r="K31" s="55"/>
      <c r="L31" s="55"/>
      <c r="M31" s="55"/>
      <c r="N31" s="55"/>
      <c r="O31" s="55"/>
      <c r="P31" s="55"/>
      <c r="Q31" s="55"/>
      <c r="R31" s="55"/>
      <c r="S31" s="55"/>
      <c r="T31" s="55"/>
      <c r="U31" s="55"/>
    </row>
    <row r="32">
      <c r="A32" s="48" t="s">
        <v>160</v>
      </c>
      <c r="B32" s="73">
        <v>43341.0</v>
      </c>
      <c r="C32" s="48" t="s">
        <v>117</v>
      </c>
      <c r="D32" s="48" t="s">
        <v>122</v>
      </c>
      <c r="E32" s="80" t="s">
        <v>20</v>
      </c>
      <c r="F32" s="55" t="str">
        <f>IFERROR(__xludf.DUMMYFUNCTION("QUERY('Volunteer Survey'!B46)"),"Sainan Wei")</f>
        <v>Sainan Wei</v>
      </c>
      <c r="G32" s="48" t="str">
        <f>IFERROR(__xludf.DUMMYFUNCTION("QUERY('Volunteer Survey'!H46)"),"Comprehensive")</f>
        <v>Comprehensive</v>
      </c>
      <c r="H32" s="55" t="str">
        <f>IFERROR(__xludf.DUMMYFUNCTION("QUERY('Volunteer Survey'!I46)"),"Gene-Disease Validity")</f>
        <v>Gene-Disease Validity</v>
      </c>
      <c r="I32" s="55"/>
      <c r="J32" s="55"/>
      <c r="K32" s="55"/>
      <c r="L32" s="55"/>
      <c r="M32" s="55"/>
      <c r="N32" s="55"/>
      <c r="O32" s="55"/>
      <c r="P32" s="55"/>
      <c r="Q32" s="55"/>
      <c r="R32" s="55"/>
      <c r="S32" s="55"/>
      <c r="T32" s="55"/>
      <c r="U32" s="55"/>
    </row>
    <row r="33">
      <c r="A33" s="48" t="s">
        <v>160</v>
      </c>
      <c r="B33" s="56">
        <v>43453.0</v>
      </c>
      <c r="C33" s="48" t="s">
        <v>117</v>
      </c>
      <c r="D33" s="48" t="s">
        <v>163</v>
      </c>
      <c r="E33" s="53"/>
      <c r="F33" s="55" t="str">
        <f>IFERROR(__xludf.DUMMYFUNCTION("QUERY('Volunteer Survey'!B47)"),"Preti Jain")</f>
        <v>Preti Jain</v>
      </c>
      <c r="G33" s="48" t="str">
        <f>IFERROR(__xludf.DUMMYFUNCTION("QUERY('Volunteer Survey'!H47)"),"Comprehensive")</f>
        <v>Comprehensive</v>
      </c>
      <c r="H33" s="55" t="str">
        <f>IFERROR(__xludf.DUMMYFUNCTION("QUERY('Volunteer Survey'!I47)"),"Dosage Sensitivity")</f>
        <v>Dosage Sensitivity</v>
      </c>
      <c r="I33" s="55"/>
      <c r="J33" s="55"/>
      <c r="K33" s="55"/>
      <c r="L33" s="55"/>
      <c r="M33" s="55"/>
      <c r="N33" s="55"/>
      <c r="O33" s="55"/>
      <c r="P33" s="55"/>
      <c r="Q33" s="55"/>
      <c r="R33" s="55"/>
      <c r="S33" s="55"/>
      <c r="T33" s="55"/>
      <c r="U33" s="55"/>
    </row>
    <row r="34">
      <c r="A34" s="48" t="s">
        <v>160</v>
      </c>
      <c r="B34" s="73">
        <v>43341.0</v>
      </c>
      <c r="C34" s="48" t="s">
        <v>117</v>
      </c>
      <c r="D34" s="48" t="s">
        <v>163</v>
      </c>
      <c r="E34" s="53"/>
      <c r="F34" s="55" t="str">
        <f>IFERROR(__xludf.DUMMYFUNCTION("QUERY('Volunteer Survey'!B48)"),"Andrea Vaags")</f>
        <v>Andrea Vaags</v>
      </c>
      <c r="G34" s="48" t="str">
        <f>IFERROR(__xludf.DUMMYFUNCTION("QUERY('Volunteer Survey'!H48)"),"Comprehensive")</f>
        <v>Comprehensive</v>
      </c>
      <c r="H34" s="55" t="str">
        <f>IFERROR(__xludf.DUMMYFUNCTION("QUERY('Volunteer Survey'!I48)"),"Dosage Sensitivity")</f>
        <v>Dosage Sensitivity</v>
      </c>
      <c r="I34" s="55"/>
      <c r="J34" s="55"/>
      <c r="K34" s="55"/>
      <c r="L34" s="55"/>
      <c r="M34" s="55"/>
      <c r="N34" s="55"/>
      <c r="O34" s="55"/>
      <c r="P34" s="55"/>
      <c r="Q34" s="55"/>
      <c r="R34" s="55"/>
      <c r="S34" s="55"/>
      <c r="T34" s="55"/>
      <c r="U34" s="55"/>
    </row>
    <row r="35">
      <c r="A35" s="48" t="s">
        <v>160</v>
      </c>
      <c r="B35" s="56">
        <v>43453.0</v>
      </c>
      <c r="C35" s="48" t="s">
        <v>117</v>
      </c>
      <c r="D35" s="48" t="s">
        <v>163</v>
      </c>
      <c r="E35" s="53"/>
      <c r="F35" s="55" t="str">
        <f>IFERROR(__xludf.DUMMYFUNCTION("QUERY('Volunteer Survey'!B49)"),"George Burghel")</f>
        <v>George Burghel</v>
      </c>
      <c r="G35" s="48" t="str">
        <f>IFERROR(__xludf.DUMMYFUNCTION("QUERY('Volunteer Survey'!H49)"),"Comprehensive")</f>
        <v>Comprehensive</v>
      </c>
      <c r="H35" s="55" t="str">
        <f>IFERROR(__xludf.DUMMYFUNCTION("QUERY('Volunteer Survey'!I49)"),"Dosage Sensitivity")</f>
        <v>Dosage Sensitivity</v>
      </c>
      <c r="I35" s="55"/>
      <c r="J35" s="55"/>
      <c r="K35" s="55"/>
      <c r="L35" s="55"/>
      <c r="M35" s="55"/>
      <c r="N35" s="55"/>
      <c r="O35" s="55"/>
      <c r="P35" s="55"/>
      <c r="Q35" s="55"/>
      <c r="R35" s="55"/>
      <c r="S35" s="55"/>
      <c r="T35" s="55"/>
      <c r="U35" s="55"/>
    </row>
    <row r="36">
      <c r="A36" s="48" t="s">
        <v>160</v>
      </c>
      <c r="B36" s="56">
        <v>43453.0</v>
      </c>
      <c r="C36" s="48" t="s">
        <v>117</v>
      </c>
      <c r="D36" s="48" t="s">
        <v>163</v>
      </c>
      <c r="E36" s="51"/>
      <c r="F36" s="55" t="str">
        <f>IFERROR(__xludf.DUMMYFUNCTION("QUERY('Volunteer Survey'!B50)"),"Coumarane Mani")</f>
        <v>Coumarane Mani</v>
      </c>
      <c r="G36" s="48" t="str">
        <f>IFERROR(__xludf.DUMMYFUNCTION("QUERY('Volunteer Survey'!H50)"),"Comprehensive")</f>
        <v>Comprehensive</v>
      </c>
      <c r="H36" s="55" t="str">
        <f>IFERROR(__xludf.DUMMYFUNCTION("QUERY('Volunteer Survey'!I50)"),"Dosage Sensitivity")</f>
        <v>Dosage Sensitivity</v>
      </c>
      <c r="I36" s="55"/>
      <c r="J36" s="55"/>
      <c r="K36" s="55"/>
      <c r="L36" s="55"/>
      <c r="M36" s="55"/>
      <c r="N36" s="55"/>
      <c r="O36" s="55"/>
      <c r="P36" s="55"/>
      <c r="Q36" s="55"/>
      <c r="R36" s="55"/>
      <c r="S36" s="55"/>
      <c r="T36" s="55"/>
      <c r="U36" s="55"/>
    </row>
    <row r="37">
      <c r="A37" s="48" t="s">
        <v>160</v>
      </c>
      <c r="B37" s="56">
        <v>43453.0</v>
      </c>
      <c r="C37" s="48" t="s">
        <v>117</v>
      </c>
      <c r="D37" s="48" t="s">
        <v>163</v>
      </c>
      <c r="E37" s="53"/>
      <c r="F37" s="55" t="str">
        <f>IFERROR(__xludf.DUMMYFUNCTION("QUERY('Volunteer Survey'!B51)"),"Mahesh Iddawela")</f>
        <v>Mahesh Iddawela</v>
      </c>
      <c r="G37" s="48" t="str">
        <f>IFERROR(__xludf.DUMMYFUNCTION("QUERY('Volunteer Survey'!H51)"),"Comprehensive")</f>
        <v>Comprehensive</v>
      </c>
      <c r="H37" s="55" t="str">
        <f>IFERROR(__xludf.DUMMYFUNCTION("QUERY('Volunteer Survey'!I51)"),"Dosage Sensitivity")</f>
        <v>Dosage Sensitivity</v>
      </c>
      <c r="I37" s="55"/>
      <c r="J37" s="55"/>
      <c r="K37" s="55"/>
      <c r="L37" s="55"/>
      <c r="M37" s="55"/>
      <c r="N37" s="55"/>
      <c r="O37" s="55"/>
      <c r="P37" s="55"/>
      <c r="Q37" s="55"/>
      <c r="R37" s="55"/>
      <c r="S37" s="55"/>
      <c r="T37" s="55"/>
      <c r="U37" s="55"/>
    </row>
    <row r="38">
      <c r="A38" s="48" t="s">
        <v>160</v>
      </c>
      <c r="B38" s="56">
        <v>43453.0</v>
      </c>
      <c r="C38" s="48" t="s">
        <v>117</v>
      </c>
      <c r="D38" s="48" t="s">
        <v>163</v>
      </c>
      <c r="E38" s="51"/>
      <c r="F38" s="55" t="str">
        <f>IFERROR(__xludf.DUMMYFUNCTION("QUERY('Volunteer Survey'!B52)"),"Diogo Ventura Lovato")</f>
        <v>Diogo Ventura Lovato</v>
      </c>
      <c r="G38" s="48" t="str">
        <f>IFERROR(__xludf.DUMMYFUNCTION("QUERY('Volunteer Survey'!H52)"),"Comprehensive")</f>
        <v>Comprehensive</v>
      </c>
      <c r="H38" s="55" t="str">
        <f>IFERROR(__xludf.DUMMYFUNCTION("QUERY('Volunteer Survey'!I52)"),"Dosage Sensitivity")</f>
        <v>Dosage Sensitivity</v>
      </c>
      <c r="I38" s="55"/>
      <c r="J38" s="55"/>
      <c r="K38" s="55"/>
      <c r="L38" s="55"/>
      <c r="M38" s="55"/>
      <c r="N38" s="55"/>
      <c r="O38" s="55"/>
      <c r="P38" s="55"/>
      <c r="Q38" s="55"/>
      <c r="R38" s="55"/>
      <c r="S38" s="55"/>
      <c r="T38" s="55"/>
      <c r="U38" s="55"/>
    </row>
    <row r="39">
      <c r="A39" s="48" t="s">
        <v>168</v>
      </c>
      <c r="B39" s="49">
        <v>43476.0</v>
      </c>
      <c r="C39" s="48" t="s">
        <v>117</v>
      </c>
      <c r="D39" s="48" t="s">
        <v>136</v>
      </c>
      <c r="E39" s="51" t="s">
        <v>296</v>
      </c>
      <c r="F39" s="55" t="str">
        <f>IFERROR(__xludf.DUMMYFUNCTION("QUERY('Volunteer Survey'!B54)"),"Sameeha Shirwadkar")</f>
        <v>Sameeha Shirwadkar</v>
      </c>
      <c r="G39" s="48" t="str">
        <f>IFERROR(__xludf.DUMMYFUNCTION("QUERY('Volunteer Survey'!H54)"),"Comprehensive")</f>
        <v>Comprehensive</v>
      </c>
      <c r="H39" s="55" t="str">
        <f>IFERROR(__xludf.DUMMYFUNCTION("QUERY('Volunteer Survey'!I54)"),"Somatic Cancer")</f>
        <v>Somatic Cancer</v>
      </c>
      <c r="I39" s="55"/>
      <c r="J39" s="55"/>
      <c r="K39" s="55"/>
      <c r="L39" s="55"/>
      <c r="M39" s="55"/>
      <c r="N39" s="55"/>
      <c r="O39" s="55"/>
      <c r="P39" s="55"/>
      <c r="Q39" s="55"/>
      <c r="R39" s="55"/>
      <c r="S39" s="55"/>
      <c r="T39" s="55"/>
      <c r="U39" s="55"/>
    </row>
    <row r="40">
      <c r="A40" s="48" t="s">
        <v>168</v>
      </c>
      <c r="B40" s="49">
        <v>43476.0</v>
      </c>
      <c r="C40" s="48" t="s">
        <v>117</v>
      </c>
      <c r="D40" s="48" t="s">
        <v>136</v>
      </c>
      <c r="E40" s="51" t="s">
        <v>297</v>
      </c>
      <c r="F40" s="55" t="str">
        <f>IFERROR(__xludf.DUMMYFUNCTION("QUERY('Volunteer Survey'!B56)"),"Laura Richards")</f>
        <v>Laura Richards</v>
      </c>
      <c r="G40" s="48" t="str">
        <f>IFERROR(__xludf.DUMMYFUNCTION("QUERY('Volunteer Survey'!H56)"),"Comprehensive")</f>
        <v>Comprehensive</v>
      </c>
      <c r="H40" s="55" t="str">
        <f>IFERROR(__xludf.DUMMYFUNCTION("QUERY('Volunteer Survey'!I56)"),"Somatic Cancer")</f>
        <v>Somatic Cancer</v>
      </c>
      <c r="I40" s="55"/>
      <c r="J40" s="55"/>
      <c r="K40" s="55"/>
      <c r="L40" s="55"/>
      <c r="M40" s="55"/>
      <c r="N40" s="55"/>
      <c r="O40" s="55"/>
      <c r="P40" s="55"/>
      <c r="Q40" s="55"/>
      <c r="R40" s="55"/>
      <c r="S40" s="55"/>
      <c r="T40" s="55"/>
      <c r="U40" s="55"/>
    </row>
    <row r="41">
      <c r="A41" s="48" t="s">
        <v>125</v>
      </c>
      <c r="B41" s="49">
        <v>43476.0</v>
      </c>
      <c r="C41" s="48" t="s">
        <v>117</v>
      </c>
      <c r="D41" s="48" t="s">
        <v>136</v>
      </c>
      <c r="E41" s="51" t="s">
        <v>296</v>
      </c>
      <c r="F41" s="55" t="str">
        <f>IFERROR(__xludf.DUMMYFUNCTION("QUERY('Volunteer Survey'!B58)"),"Kaylee Barber")</f>
        <v>Kaylee Barber</v>
      </c>
      <c r="G41" s="48" t="str">
        <f>IFERROR(__xludf.DUMMYFUNCTION("QUERY('Volunteer Survey'!H58)"),"Comprehensive")</f>
        <v>Comprehensive</v>
      </c>
      <c r="H41" s="55" t="str">
        <f>IFERROR(__xludf.DUMMYFUNCTION("QUERY('Volunteer Survey'!I58)"),"Somatic Cancer")</f>
        <v>Somatic Cancer</v>
      </c>
      <c r="I41" s="55"/>
      <c r="J41" s="55"/>
      <c r="K41" s="55"/>
      <c r="L41" s="55"/>
      <c r="M41" s="55"/>
      <c r="N41" s="55"/>
      <c r="O41" s="55"/>
      <c r="P41" s="55"/>
      <c r="Q41" s="55"/>
      <c r="R41" s="55"/>
      <c r="S41" s="55"/>
      <c r="T41" s="55"/>
      <c r="U41" s="55"/>
    </row>
    <row r="42">
      <c r="A42" s="48" t="s">
        <v>160</v>
      </c>
      <c r="B42" s="49">
        <v>43476.0</v>
      </c>
      <c r="C42" s="48" t="s">
        <v>117</v>
      </c>
      <c r="D42" s="48" t="s">
        <v>136</v>
      </c>
      <c r="E42" s="51" t="s">
        <v>298</v>
      </c>
      <c r="F42" s="55" t="str">
        <f>IFERROR(__xludf.DUMMYFUNCTION("QUERY('Volunteer Survey'!B59)"),"Wan-Hsin Lin")</f>
        <v>Wan-Hsin Lin</v>
      </c>
      <c r="G42" s="48" t="str">
        <f>IFERROR(__xludf.DUMMYFUNCTION("QUERY('Volunteer Survey'!H59)"),"Comprehensive")</f>
        <v>Comprehensive</v>
      </c>
      <c r="H42" s="55" t="str">
        <f>IFERROR(__xludf.DUMMYFUNCTION("QUERY('Volunteer Survey'!I59)"),"Somatic Cancer")</f>
        <v>Somatic Cancer</v>
      </c>
      <c r="I42" s="55"/>
      <c r="J42" s="55"/>
      <c r="K42" s="55"/>
      <c r="L42" s="55"/>
      <c r="M42" s="55"/>
      <c r="N42" s="55"/>
      <c r="O42" s="55"/>
      <c r="P42" s="55"/>
      <c r="Q42" s="55"/>
      <c r="R42" s="55"/>
      <c r="S42" s="55"/>
      <c r="T42" s="55"/>
      <c r="U42" s="55"/>
    </row>
    <row r="43" ht="20.25" customHeight="1">
      <c r="A43" s="48" t="s">
        <v>168</v>
      </c>
      <c r="B43" s="49">
        <v>43476.0</v>
      </c>
      <c r="C43" s="48" t="s">
        <v>117</v>
      </c>
      <c r="D43" s="48" t="s">
        <v>136</v>
      </c>
      <c r="E43" s="51" t="s">
        <v>297</v>
      </c>
      <c r="F43" s="55" t="str">
        <f>IFERROR(__xludf.DUMMYFUNCTION("QUERY('Volunteer Survey'!B60)"),"Stefan Rentas")</f>
        <v>Stefan Rentas</v>
      </c>
      <c r="G43" s="48" t="str">
        <f>IFERROR(__xludf.DUMMYFUNCTION("QUERY('Volunteer Survey'!H60)"),"Comprehensive")</f>
        <v>Comprehensive</v>
      </c>
      <c r="H43" s="55" t="str">
        <f>IFERROR(__xludf.DUMMYFUNCTION("QUERY('Volunteer Survey'!I60)"),"Somatic Cancer")</f>
        <v>Somatic Cancer</v>
      </c>
      <c r="I43" s="55"/>
      <c r="J43" s="55"/>
      <c r="K43" s="55"/>
      <c r="L43" s="55"/>
      <c r="M43" s="55"/>
      <c r="N43" s="55"/>
      <c r="O43" s="55"/>
      <c r="P43" s="55"/>
      <c r="Q43" s="55"/>
      <c r="R43" s="55"/>
      <c r="S43" s="55"/>
      <c r="T43" s="55"/>
      <c r="U43" s="55"/>
    </row>
    <row r="44" ht="18.75" customHeight="1">
      <c r="A44" s="48" t="s">
        <v>168</v>
      </c>
      <c r="B44" s="49">
        <v>43476.0</v>
      </c>
      <c r="C44" s="48" t="s">
        <v>117</v>
      </c>
      <c r="D44" s="48" t="s">
        <v>136</v>
      </c>
      <c r="E44" s="51" t="s">
        <v>296</v>
      </c>
      <c r="F44" s="55" t="str">
        <f>IFERROR(__xludf.DUMMYFUNCTION("QUERY('Volunteer Survey'!B62)"),"Iman Haroun")</f>
        <v>Iman Haroun</v>
      </c>
      <c r="G44" s="48" t="str">
        <f>IFERROR(__xludf.DUMMYFUNCTION("QUERY('Volunteer Survey'!H62)"),"Comprehensive")</f>
        <v>Comprehensive</v>
      </c>
      <c r="H44" s="55" t="str">
        <f>IFERROR(__xludf.DUMMYFUNCTION("QUERY('Volunteer Survey'!I62)"),"Somatic Cancer")</f>
        <v>Somatic Cancer</v>
      </c>
      <c r="I44" s="55"/>
      <c r="J44" s="55"/>
      <c r="K44" s="55"/>
      <c r="L44" s="55"/>
      <c r="M44" s="55"/>
      <c r="N44" s="55"/>
      <c r="O44" s="55"/>
      <c r="P44" s="55"/>
      <c r="Q44" s="55"/>
      <c r="R44" s="55"/>
      <c r="S44" s="55"/>
      <c r="T44" s="55"/>
      <c r="U44" s="55"/>
    </row>
    <row r="45">
      <c r="A45" s="48" t="s">
        <v>168</v>
      </c>
      <c r="B45" s="65">
        <v>43605.0</v>
      </c>
      <c r="C45" s="48" t="s">
        <v>117</v>
      </c>
      <c r="D45" s="48" t="s">
        <v>251</v>
      </c>
      <c r="E45" s="53"/>
      <c r="F45" s="55" t="str">
        <f>IFERROR(__xludf.DUMMYFUNCTION("QUERY('Volunteer Survey'!B65)"),"Luke Drury")</f>
        <v>Luke Drury</v>
      </c>
      <c r="G45" s="48" t="str">
        <f>IFERROR(__xludf.DUMMYFUNCTION("QUERY('Volunteer Survey'!H65)"),"Comprehensive")</f>
        <v>Comprehensive</v>
      </c>
      <c r="H45" s="55" t="str">
        <f>IFERROR(__xludf.DUMMYFUNCTION("QUERY('Volunteer Survey'!I65)"),"Variant Pathogenicity")</f>
        <v>Variant Pathogenicity</v>
      </c>
      <c r="I45" s="55"/>
      <c r="J45" s="55"/>
      <c r="K45" s="55"/>
      <c r="L45" s="55"/>
      <c r="M45" s="55"/>
      <c r="N45" s="55"/>
      <c r="O45" s="55"/>
      <c r="P45" s="55"/>
      <c r="Q45" s="55"/>
      <c r="R45" s="55"/>
      <c r="S45" s="55"/>
      <c r="T45" s="55"/>
      <c r="U45" s="55"/>
    </row>
    <row r="46">
      <c r="A46" s="48" t="s">
        <v>160</v>
      </c>
      <c r="B46" s="65">
        <v>43605.0</v>
      </c>
      <c r="C46" s="48" t="s">
        <v>117</v>
      </c>
      <c r="D46" s="48" t="s">
        <v>251</v>
      </c>
      <c r="E46" s="51" t="s">
        <v>248</v>
      </c>
      <c r="F46" s="55" t="str">
        <f>IFERROR(__xludf.DUMMYFUNCTION("QUERY('Volunteer Survey'!B66)"),"Lynne Rosenblum")</f>
        <v>Lynne Rosenblum</v>
      </c>
      <c r="G46" s="48" t="str">
        <f>IFERROR(__xludf.DUMMYFUNCTION("QUERY('Volunteer Survey'!H66)"),"Comprehensive")</f>
        <v>Comprehensive</v>
      </c>
      <c r="H46" s="55" t="str">
        <f>IFERROR(__xludf.DUMMYFUNCTION("QUERY('Volunteer Survey'!I66)"),"Variant Pathogenicity")</f>
        <v>Variant Pathogenicity</v>
      </c>
      <c r="I46" s="55"/>
      <c r="J46" s="55"/>
      <c r="K46" s="55"/>
      <c r="L46" s="55"/>
      <c r="M46" s="55"/>
      <c r="N46" s="55"/>
      <c r="O46" s="55"/>
      <c r="P46" s="55"/>
      <c r="Q46" s="55"/>
      <c r="R46" s="55"/>
      <c r="S46" s="55"/>
      <c r="T46" s="55"/>
      <c r="U46" s="55"/>
    </row>
    <row r="47">
      <c r="A47" s="48" t="s">
        <v>160</v>
      </c>
      <c r="B47" s="65">
        <v>43605.0</v>
      </c>
      <c r="C47" s="48" t="s">
        <v>117</v>
      </c>
      <c r="D47" s="48" t="s">
        <v>251</v>
      </c>
      <c r="E47" s="51" t="s">
        <v>169</v>
      </c>
      <c r="F47" s="55" t="str">
        <f>IFERROR(__xludf.DUMMYFUNCTION("QUERY('Volunteer Survey'!B67)"),"Yang Wang")</f>
        <v>Yang Wang</v>
      </c>
      <c r="G47" s="48" t="str">
        <f>IFERROR(__xludf.DUMMYFUNCTION("QUERY('Volunteer Survey'!H67)"),"Comprehensive")</f>
        <v>Comprehensive</v>
      </c>
      <c r="H47" s="55" t="str">
        <f>IFERROR(__xludf.DUMMYFUNCTION("QUERY('Volunteer Survey'!I67)"),"Variant Pathogenicity")</f>
        <v>Variant Pathogenicity</v>
      </c>
      <c r="I47" s="55"/>
      <c r="J47" s="55"/>
      <c r="K47" s="55"/>
      <c r="L47" s="55"/>
      <c r="M47" s="55"/>
      <c r="N47" s="55"/>
      <c r="O47" s="55"/>
      <c r="P47" s="55"/>
      <c r="Q47" s="55"/>
      <c r="R47" s="55"/>
      <c r="S47" s="55"/>
      <c r="T47" s="55"/>
      <c r="U47" s="55"/>
    </row>
    <row r="48">
      <c r="A48" s="82" t="s">
        <v>108</v>
      </c>
      <c r="B48" s="83">
        <v>43446.0</v>
      </c>
      <c r="C48" s="82" t="s">
        <v>117</v>
      </c>
      <c r="D48" s="82" t="s">
        <v>122</v>
      </c>
      <c r="E48" s="84"/>
      <c r="F48" s="85" t="str">
        <f>IFERROR(__xludf.DUMMYFUNCTION("QUERY('Volunteer Survey'!B68)"),"Elaine Spector ")</f>
        <v>Elaine Spector </v>
      </c>
      <c r="G48" s="82" t="str">
        <f>IFERROR(__xludf.DUMMYFUNCTION("QUERY('Volunteer Survey'!H68)"),"Comprehensive")</f>
        <v>Comprehensive</v>
      </c>
      <c r="H48" s="85" t="str">
        <f>IFERROR(__xludf.DUMMYFUNCTION("QUERY('Volunteer Survey'!I68)"),"Gene-Disease Validity")</f>
        <v>Gene-Disease Validity</v>
      </c>
      <c r="I48" s="85"/>
      <c r="J48" s="85"/>
      <c r="K48" s="85"/>
      <c r="L48" s="85"/>
      <c r="M48" s="85"/>
      <c r="N48" s="85"/>
      <c r="O48" s="85"/>
      <c r="P48" s="85"/>
      <c r="Q48" s="85"/>
      <c r="R48" s="85"/>
      <c r="S48" s="85"/>
      <c r="T48" s="85"/>
      <c r="U48" s="85"/>
    </row>
    <row r="49">
      <c r="A49" s="48" t="s">
        <v>160</v>
      </c>
      <c r="B49" s="65">
        <v>43608.0</v>
      </c>
      <c r="C49" s="48" t="s">
        <v>117</v>
      </c>
      <c r="D49" s="48" t="s">
        <v>251</v>
      </c>
      <c r="E49" s="51" t="s">
        <v>302</v>
      </c>
      <c r="F49" s="55" t="str">
        <f>IFERROR(__xludf.DUMMYFUNCTION("QUERY('Volunteer Survey'!B72)"),"Rhonda Lassiter ")</f>
        <v>Rhonda Lassiter </v>
      </c>
      <c r="G49" s="48" t="str">
        <f>IFERROR(__xludf.DUMMYFUNCTION("QUERY('Volunteer Survey'!H72)"),"Comprehensive")</f>
        <v>Comprehensive</v>
      </c>
      <c r="H49" s="55" t="str">
        <f>IFERROR(__xludf.DUMMYFUNCTION("QUERY('Volunteer Survey'!I72)"),"Variant Pathogenicity")</f>
        <v>Variant Pathogenicity</v>
      </c>
      <c r="I49" s="55"/>
      <c r="J49" s="55"/>
      <c r="K49" s="55"/>
      <c r="L49" s="55"/>
      <c r="M49" s="55"/>
      <c r="N49" s="55"/>
      <c r="O49" s="55"/>
      <c r="P49" s="55"/>
      <c r="Q49" s="55"/>
      <c r="R49" s="55"/>
      <c r="S49" s="55"/>
      <c r="T49" s="55"/>
      <c r="U49" s="55"/>
    </row>
    <row r="50">
      <c r="A50" s="48" t="s">
        <v>108</v>
      </c>
      <c r="B50" s="65">
        <v>43608.0</v>
      </c>
      <c r="C50" s="48" t="s">
        <v>117</v>
      </c>
      <c r="D50" s="48" t="s">
        <v>251</v>
      </c>
      <c r="E50" s="51" t="s">
        <v>303</v>
      </c>
      <c r="F50" s="55" t="str">
        <f>IFERROR(__xludf.DUMMYFUNCTION("QUERY('Volunteer Survey'!B74)"),"Emma Reble ")</f>
        <v>Emma Reble </v>
      </c>
      <c r="G50" s="48" t="str">
        <f>IFERROR(__xludf.DUMMYFUNCTION("QUERY('Volunteer Survey'!H74)"),"Comprehensive")</f>
        <v>Comprehensive</v>
      </c>
      <c r="H50" s="55" t="str">
        <f>IFERROR(__xludf.DUMMYFUNCTION("QUERY('Volunteer Survey'!I74)"),"Variant Pathogenicity")</f>
        <v>Variant Pathogenicity</v>
      </c>
      <c r="I50" s="55"/>
      <c r="J50" s="55"/>
      <c r="K50" s="55"/>
      <c r="L50" s="55"/>
      <c r="M50" s="55"/>
      <c r="N50" s="55"/>
      <c r="O50" s="55"/>
      <c r="P50" s="55"/>
      <c r="Q50" s="55"/>
      <c r="R50" s="55"/>
      <c r="S50" s="55"/>
      <c r="T50" s="55"/>
      <c r="U50" s="55"/>
    </row>
    <row r="51">
      <c r="A51" s="48" t="s">
        <v>160</v>
      </c>
      <c r="B51" s="65">
        <v>43608.0</v>
      </c>
      <c r="C51" s="48" t="s">
        <v>117</v>
      </c>
      <c r="D51" s="48" t="s">
        <v>251</v>
      </c>
      <c r="E51" s="51" t="s">
        <v>304</v>
      </c>
      <c r="F51" s="55" t="str">
        <f>IFERROR(__xludf.DUMMYFUNCTION("QUERY('Volunteer Survey'!B76)"),"Qiliang Ding")</f>
        <v>Qiliang Ding</v>
      </c>
      <c r="G51" s="48" t="str">
        <f>IFERROR(__xludf.DUMMYFUNCTION("QUERY('Volunteer Survey'!H76)"),"Comprehensive")</f>
        <v>Comprehensive</v>
      </c>
      <c r="H51" s="55" t="str">
        <f>IFERROR(__xludf.DUMMYFUNCTION("QUERY('Volunteer Survey'!I76)"),"Variant Pathogenicity")</f>
        <v>Variant Pathogenicity</v>
      </c>
      <c r="I51" s="55"/>
      <c r="J51" s="55"/>
      <c r="K51" s="55"/>
      <c r="L51" s="55"/>
      <c r="M51" s="55"/>
      <c r="N51" s="55"/>
      <c r="O51" s="55"/>
      <c r="P51" s="55"/>
      <c r="Q51" s="55"/>
      <c r="R51" s="55"/>
      <c r="S51" s="55"/>
      <c r="T51" s="55"/>
      <c r="U51" s="55"/>
    </row>
    <row r="52">
      <c r="A52" s="48" t="s">
        <v>108</v>
      </c>
      <c r="B52" s="65">
        <v>43608.0</v>
      </c>
      <c r="C52" s="48" t="s">
        <v>117</v>
      </c>
      <c r="D52" s="48" t="s">
        <v>251</v>
      </c>
      <c r="E52" s="53"/>
      <c r="F52" s="55" t="str">
        <f>IFERROR(__xludf.DUMMYFUNCTION("QUERY('Volunteer Survey'!B77)"),"Amy Donahue")</f>
        <v>Amy Donahue</v>
      </c>
      <c r="G52" s="48" t="str">
        <f>IFERROR(__xludf.DUMMYFUNCTION("QUERY('Volunteer Survey'!H77)"),"Comprehensive")</f>
        <v>Comprehensive</v>
      </c>
      <c r="H52" s="55" t="str">
        <f>IFERROR(__xludf.DUMMYFUNCTION("QUERY('Volunteer Survey'!I77)"),"Variant Pathogenicity")</f>
        <v>Variant Pathogenicity</v>
      </c>
      <c r="I52" s="55"/>
      <c r="J52" s="55"/>
      <c r="K52" s="55"/>
      <c r="L52" s="55"/>
      <c r="M52" s="55"/>
      <c r="N52" s="55"/>
      <c r="O52" s="55"/>
      <c r="P52" s="55"/>
      <c r="Q52" s="55"/>
      <c r="R52" s="55"/>
      <c r="S52" s="55"/>
      <c r="T52" s="55"/>
      <c r="U52" s="55"/>
    </row>
    <row r="53">
      <c r="A53" s="48" t="s">
        <v>160</v>
      </c>
      <c r="B53" s="65">
        <v>43605.0</v>
      </c>
      <c r="C53" s="48" t="s">
        <v>117</v>
      </c>
      <c r="D53" s="48" t="s">
        <v>251</v>
      </c>
      <c r="E53" s="51" t="s">
        <v>303</v>
      </c>
      <c r="F53" s="55" t="str">
        <f>IFERROR(__xludf.DUMMYFUNCTION("QUERY('Volunteer Survey'!B78)"),"Dave Ferguson")</f>
        <v>Dave Ferguson</v>
      </c>
      <c r="G53" s="48" t="str">
        <f>IFERROR(__xludf.DUMMYFUNCTION("QUERY('Volunteer Survey'!H78)"),"Comprehensive")</f>
        <v>Comprehensive</v>
      </c>
      <c r="H53" s="55" t="str">
        <f>IFERROR(__xludf.DUMMYFUNCTION("QUERY('Volunteer Survey'!I78)"),"Variant Pathogenicity")</f>
        <v>Variant Pathogenicity</v>
      </c>
      <c r="I53" s="55"/>
      <c r="J53" s="55"/>
      <c r="K53" s="55"/>
      <c r="L53" s="55"/>
      <c r="M53" s="55"/>
      <c r="N53" s="55"/>
      <c r="O53" s="55"/>
      <c r="P53" s="55"/>
      <c r="Q53" s="55"/>
      <c r="R53" s="55"/>
      <c r="S53" s="55"/>
      <c r="T53" s="55"/>
      <c r="U53" s="55"/>
    </row>
    <row r="54">
      <c r="A54" s="48" t="s">
        <v>160</v>
      </c>
      <c r="B54" s="65">
        <v>43608.0</v>
      </c>
      <c r="C54" s="48" t="s">
        <v>117</v>
      </c>
      <c r="D54" s="48" t="s">
        <v>251</v>
      </c>
      <c r="E54" s="51" t="s">
        <v>305</v>
      </c>
      <c r="F54" s="55" t="str">
        <f>IFERROR(__xludf.DUMMYFUNCTION("QUERY('Volunteer Survey'!B82)"),"Alisdair Philp")</f>
        <v>Alisdair Philp</v>
      </c>
      <c r="G54" s="48" t="str">
        <f>IFERROR(__xludf.DUMMYFUNCTION("QUERY('Volunteer Survey'!H82)"),"Comprehensive")</f>
        <v>Comprehensive</v>
      </c>
      <c r="H54" s="55" t="str">
        <f>IFERROR(__xludf.DUMMYFUNCTION("QUERY('Volunteer Survey'!I82)"),"Variant Pathogenicity")</f>
        <v>Variant Pathogenicity</v>
      </c>
      <c r="I54" s="55"/>
      <c r="J54" s="55"/>
      <c r="K54" s="55"/>
      <c r="L54" s="55"/>
      <c r="M54" s="55"/>
      <c r="N54" s="55"/>
      <c r="O54" s="55"/>
      <c r="P54" s="55"/>
      <c r="Q54" s="55"/>
      <c r="R54" s="55"/>
      <c r="S54" s="55"/>
      <c r="T54" s="55"/>
      <c r="U54" s="55"/>
    </row>
    <row r="55">
      <c r="A55" s="48" t="s">
        <v>108</v>
      </c>
      <c r="B55" s="65">
        <v>43580.0</v>
      </c>
      <c r="C55" s="48" t="s">
        <v>117</v>
      </c>
      <c r="D55" s="48" t="s">
        <v>163</v>
      </c>
      <c r="E55" s="53"/>
      <c r="F55" s="55" t="str">
        <f>IFERROR(__xludf.DUMMYFUNCTION("QUERY('Volunteer Survey'!B91)"),"Nan Jiang")</f>
        <v>Nan Jiang</v>
      </c>
      <c r="G55" s="48" t="str">
        <f>IFERROR(__xludf.DUMMYFUNCTION("QUERY('Volunteer Survey'!H91)"),"Comprehensive")</f>
        <v>Comprehensive</v>
      </c>
      <c r="H55" s="55" t="str">
        <f>IFERROR(__xludf.DUMMYFUNCTION("QUERY('Volunteer Survey'!I91)"),"Dosage Sensitivity")</f>
        <v>Dosage Sensitivity</v>
      </c>
      <c r="I55" s="55"/>
      <c r="J55" s="55"/>
      <c r="K55" s="55"/>
      <c r="L55" s="55"/>
      <c r="M55" s="55"/>
      <c r="N55" s="55"/>
      <c r="O55" s="55"/>
      <c r="P55" s="55"/>
      <c r="Q55" s="55"/>
      <c r="R55" s="55"/>
      <c r="S55" s="55"/>
      <c r="T55" s="55"/>
      <c r="U55" s="55"/>
    </row>
    <row r="56">
      <c r="A56" s="48" t="s">
        <v>125</v>
      </c>
      <c r="B56" s="56">
        <v>43446.0</v>
      </c>
      <c r="C56" s="48" t="s">
        <v>117</v>
      </c>
      <c r="D56" s="48" t="s">
        <v>122</v>
      </c>
      <c r="E56" s="51" t="s">
        <v>143</v>
      </c>
      <c r="F56" s="55" t="str">
        <f>IFERROR(__xludf.DUMMYFUNCTION("QUERY('Volunteer Survey'!B100)"),"Ny Hoang")</f>
        <v>Ny Hoang</v>
      </c>
      <c r="G56" s="48" t="s">
        <v>63</v>
      </c>
      <c r="H56" s="55" t="str">
        <f>IFERROR(__xludf.DUMMYFUNCTION("QUERY('Volunteer Survey'!I100)"),"Gene-Disease Validity")</f>
        <v>Gene-Disease Validity</v>
      </c>
      <c r="I56" s="55"/>
      <c r="J56" s="55"/>
      <c r="K56" s="55"/>
      <c r="L56" s="55"/>
      <c r="M56" s="55"/>
      <c r="N56" s="55"/>
      <c r="O56" s="55"/>
      <c r="P56" s="55"/>
      <c r="Q56" s="55"/>
      <c r="R56" s="55"/>
      <c r="S56" s="55"/>
      <c r="T56" s="55"/>
      <c r="U56" s="55"/>
    </row>
    <row r="57">
      <c r="A57" s="48" t="s">
        <v>108</v>
      </c>
      <c r="B57" s="49">
        <v>43598.0</v>
      </c>
      <c r="C57" s="48" t="s">
        <v>117</v>
      </c>
      <c r="D57" s="48" t="s">
        <v>136</v>
      </c>
      <c r="E57" s="53"/>
      <c r="F57" s="55" t="str">
        <f>IFERROR(__xludf.DUMMYFUNCTION("QUERY('Volunteer Survey'!B102)"),"Qiuxiang Ou")</f>
        <v>Qiuxiang Ou</v>
      </c>
      <c r="G57" s="48" t="str">
        <f>IFERROR(__xludf.DUMMYFUNCTION("QUERY('Volunteer Survey'!H102)"),"Comprehensive")</f>
        <v>Comprehensive</v>
      </c>
      <c r="H57" s="55" t="str">
        <f>IFERROR(__xludf.DUMMYFUNCTION("QUERY('Volunteer Survey'!I102)"),"Somatic Cancer")</f>
        <v>Somatic Cancer</v>
      </c>
      <c r="I57" s="55"/>
      <c r="J57" s="55"/>
      <c r="K57" s="55"/>
      <c r="L57" s="55"/>
      <c r="M57" s="55"/>
      <c r="N57" s="55"/>
      <c r="O57" s="55"/>
      <c r="P57" s="55"/>
      <c r="Q57" s="55"/>
      <c r="R57" s="55"/>
      <c r="S57" s="55"/>
      <c r="T57" s="55"/>
      <c r="U57" s="55"/>
    </row>
    <row r="58">
      <c r="A58" s="48" t="s">
        <v>108</v>
      </c>
      <c r="B58" s="73">
        <v>43522.0</v>
      </c>
      <c r="C58" s="48" t="s">
        <v>117</v>
      </c>
      <c r="D58" s="48" t="s">
        <v>19</v>
      </c>
      <c r="E58" s="51" t="s">
        <v>19</v>
      </c>
      <c r="F58" s="55" t="str">
        <f>IFERROR(__xludf.DUMMYFUNCTION("QUERY('Volunteer Survey'!B103)"),"Kylin Boehler")</f>
        <v>Kylin Boehler</v>
      </c>
      <c r="G58" s="48" t="str">
        <f>IFERROR(__xludf.DUMMYFUNCTION("QUERY('Volunteer Survey'!H103)"),"Comprehensive")</f>
        <v>Comprehensive</v>
      </c>
      <c r="H58" s="55" t="str">
        <f>IFERROR(__xludf.DUMMYFUNCTION("QUERY('Volunteer Survey'!I103)"),"Clinical Actionability")</f>
        <v>Clinical Actionability</v>
      </c>
      <c r="I58" s="55"/>
      <c r="J58" s="55"/>
      <c r="K58" s="55"/>
      <c r="L58" s="55"/>
      <c r="M58" s="55"/>
      <c r="N58" s="55"/>
      <c r="O58" s="55"/>
      <c r="P58" s="55"/>
      <c r="Q58" s="55"/>
      <c r="R58" s="55"/>
      <c r="S58" s="55"/>
      <c r="T58" s="55"/>
      <c r="U58" s="55"/>
    </row>
    <row r="59">
      <c r="A59" s="48" t="s">
        <v>108</v>
      </c>
      <c r="B59" s="73">
        <v>43567.0</v>
      </c>
      <c r="C59" s="48" t="s">
        <v>117</v>
      </c>
      <c r="D59" s="48" t="s">
        <v>19</v>
      </c>
      <c r="E59" s="51"/>
      <c r="F59" s="55" t="str">
        <f>IFERROR(__xludf.DUMMYFUNCTION("QUERY('Volunteer Survey'!B105)"),"Nharimann Azima")</f>
        <v>Nharimann Azima</v>
      </c>
      <c r="G59" s="48" t="str">
        <f>IFERROR(__xludf.DUMMYFUNCTION("QUERY('Volunteer Survey'!H105)"),"Comprehensive")</f>
        <v>Comprehensive</v>
      </c>
      <c r="H59" s="55" t="str">
        <f>IFERROR(__xludf.DUMMYFUNCTION("QUERY('Volunteer Survey'!I105)"),"Clinical Actionability")</f>
        <v>Clinical Actionability</v>
      </c>
      <c r="I59" s="55"/>
      <c r="J59" s="55"/>
      <c r="K59" s="55"/>
      <c r="L59" s="55"/>
      <c r="M59" s="55"/>
      <c r="N59" s="55"/>
      <c r="O59" s="55"/>
      <c r="P59" s="55"/>
      <c r="Q59" s="55"/>
      <c r="R59" s="55"/>
      <c r="S59" s="55"/>
      <c r="T59" s="55"/>
      <c r="U59" s="55"/>
    </row>
    <row r="60">
      <c r="A60" s="48" t="s">
        <v>108</v>
      </c>
      <c r="B60" s="65">
        <v>43678.0</v>
      </c>
      <c r="C60" s="48" t="s">
        <v>117</v>
      </c>
      <c r="D60" s="48" t="s">
        <v>19</v>
      </c>
      <c r="E60" s="51" t="s">
        <v>19</v>
      </c>
      <c r="F60" s="55" t="str">
        <f>IFERROR(__xludf.DUMMYFUNCTION("QUERY('Volunteer Survey'!B106)"),"Krzysztof Szczaluba")</f>
        <v>Krzysztof Szczaluba</v>
      </c>
      <c r="G60" s="48" t="str">
        <f>IFERROR(__xludf.DUMMYFUNCTION("QUERY('Volunteer Survey'!H106)"),"Comprehensive")</f>
        <v>Comprehensive</v>
      </c>
      <c r="H60" s="55" t="str">
        <f>IFERROR(__xludf.DUMMYFUNCTION("QUERY('Volunteer Survey'!I106)"),"Clinical Actionability")</f>
        <v>Clinical Actionability</v>
      </c>
      <c r="I60" s="55"/>
      <c r="J60" s="55"/>
      <c r="K60" s="55"/>
      <c r="L60" s="55"/>
      <c r="M60" s="55"/>
      <c r="N60" s="55"/>
      <c r="O60" s="55"/>
      <c r="P60" s="55"/>
      <c r="Q60" s="55"/>
      <c r="R60" s="55"/>
      <c r="S60" s="55"/>
      <c r="T60" s="55"/>
      <c r="U60" s="55"/>
    </row>
    <row r="61">
      <c r="A61" s="48" t="s">
        <v>108</v>
      </c>
      <c r="B61" s="73">
        <v>43522.0</v>
      </c>
      <c r="C61" s="48" t="s">
        <v>117</v>
      </c>
      <c r="D61" s="48" t="s">
        <v>19</v>
      </c>
      <c r="E61" s="51" t="s">
        <v>19</v>
      </c>
      <c r="F61" s="55" t="str">
        <f>IFERROR(__xludf.DUMMYFUNCTION("QUERY('Volunteer Survey'!B108)"),"Fiona Curtis")</f>
        <v>Fiona Curtis</v>
      </c>
      <c r="G61" s="48" t="str">
        <f>IFERROR(__xludf.DUMMYFUNCTION("QUERY('Volunteer Survey'!H108)"),"Comprehensive")</f>
        <v>Comprehensive</v>
      </c>
      <c r="H61" s="55" t="str">
        <f>IFERROR(__xludf.DUMMYFUNCTION("QUERY('Volunteer Survey'!I108)"),"Clinical Actionability")</f>
        <v>Clinical Actionability</v>
      </c>
      <c r="I61" s="55"/>
      <c r="J61" s="55"/>
      <c r="K61" s="55"/>
      <c r="L61" s="55"/>
      <c r="M61" s="55"/>
      <c r="N61" s="55"/>
      <c r="O61" s="55"/>
      <c r="P61" s="55"/>
      <c r="Q61" s="55"/>
      <c r="R61" s="55"/>
      <c r="S61" s="55"/>
      <c r="T61" s="55"/>
      <c r="U61" s="55"/>
    </row>
    <row r="62">
      <c r="A62" s="48" t="s">
        <v>125</v>
      </c>
      <c r="B62" s="56">
        <v>43476.0</v>
      </c>
      <c r="C62" s="48" t="s">
        <v>117</v>
      </c>
      <c r="D62" s="48" t="s">
        <v>19</v>
      </c>
      <c r="E62" s="51" t="s">
        <v>19</v>
      </c>
      <c r="F62" s="55" t="str">
        <f>IFERROR(__xludf.DUMMYFUNCTION("QUERY('Volunteer Survey'!B110)"),"Laura Fuqua")</f>
        <v>Laura Fuqua</v>
      </c>
      <c r="G62" s="48" t="str">
        <f>IFERROR(__xludf.DUMMYFUNCTION("QUERY('Volunteer Survey'!H110)"),"Comprehensive")</f>
        <v>Comprehensive</v>
      </c>
      <c r="H62" s="48" t="str">
        <f>IFERROR(__xludf.DUMMYFUNCTION("QUERY('Volunteer Survey'!I110)"),"Somatic Cancer")</f>
        <v>Somatic Cancer</v>
      </c>
      <c r="I62" s="55"/>
      <c r="J62" s="55"/>
      <c r="K62" s="55"/>
      <c r="L62" s="55"/>
      <c r="M62" s="55"/>
      <c r="N62" s="55"/>
      <c r="O62" s="55"/>
      <c r="P62" s="55"/>
      <c r="Q62" s="55"/>
      <c r="R62" s="55"/>
      <c r="S62" s="55"/>
      <c r="T62" s="55"/>
      <c r="U62" s="55"/>
    </row>
    <row r="63">
      <c r="A63" s="48" t="s">
        <v>108</v>
      </c>
      <c r="B63" s="65">
        <v>43678.0</v>
      </c>
      <c r="C63" s="48" t="s">
        <v>117</v>
      </c>
      <c r="D63" s="48" t="s">
        <v>19</v>
      </c>
      <c r="E63" s="51"/>
      <c r="F63" s="55" t="str">
        <f>IFERROR(__xludf.DUMMYFUNCTION("QUERY('Volunteer Survey'!B112)"),"Sandra P Smieszek")</f>
        <v>Sandra P Smieszek</v>
      </c>
      <c r="G63" s="48" t="str">
        <f>IFERROR(__xludf.DUMMYFUNCTION("QUERY('Volunteer Survey'!H112)"),"Comprehensive")</f>
        <v>Comprehensive</v>
      </c>
      <c r="H63" s="55" t="str">
        <f>IFERROR(__xludf.DUMMYFUNCTION("QUERY('Volunteer Survey'!I112)"),"Clinical Actionability")</f>
        <v>Clinical Actionability</v>
      </c>
      <c r="I63" s="55"/>
      <c r="J63" s="55"/>
      <c r="K63" s="55"/>
      <c r="L63" s="55"/>
      <c r="M63" s="55"/>
      <c r="N63" s="55"/>
      <c r="O63" s="55"/>
      <c r="P63" s="55"/>
      <c r="Q63" s="55"/>
      <c r="R63" s="55"/>
      <c r="S63" s="55"/>
      <c r="T63" s="55"/>
      <c r="U63" s="55"/>
    </row>
    <row r="64">
      <c r="A64" s="48" t="s">
        <v>160</v>
      </c>
      <c r="B64" s="49">
        <v>43581.0</v>
      </c>
      <c r="C64" s="48" t="s">
        <v>117</v>
      </c>
      <c r="D64" s="48" t="s">
        <v>136</v>
      </c>
      <c r="E64" s="51" t="s">
        <v>306</v>
      </c>
      <c r="F64" s="55" t="str">
        <f>IFERROR(__xludf.DUMMYFUNCTION("QUERY('Volunteer Survey'!B116)"),"Parisa Lotfi")</f>
        <v>Parisa Lotfi</v>
      </c>
      <c r="G64" s="48" t="str">
        <f>IFERROR(__xludf.DUMMYFUNCTION("QUERY('Volunteer Survey'!H116)"),"Comprehensive")</f>
        <v>Comprehensive</v>
      </c>
      <c r="H64" s="55" t="str">
        <f>IFERROR(__xludf.DUMMYFUNCTION("QUERY('Volunteer Survey'!I116)"),"Somatic Cancer")</f>
        <v>Somatic Cancer</v>
      </c>
      <c r="I64" s="55"/>
      <c r="J64" s="55"/>
      <c r="K64" s="55"/>
      <c r="L64" s="55"/>
      <c r="M64" s="55"/>
      <c r="N64" s="55"/>
      <c r="O64" s="55"/>
      <c r="P64" s="55"/>
      <c r="Q64" s="55"/>
      <c r="R64" s="55"/>
      <c r="S64" s="55"/>
      <c r="T64" s="55"/>
      <c r="U64" s="55"/>
    </row>
    <row r="65">
      <c r="A65" s="48" t="s">
        <v>108</v>
      </c>
      <c r="B65" s="65">
        <v>43692.0</v>
      </c>
      <c r="C65" s="48" t="s">
        <v>117</v>
      </c>
      <c r="D65" s="48" t="s">
        <v>122</v>
      </c>
      <c r="E65" s="53"/>
      <c r="F65" s="55" t="str">
        <f>IFERROR(__xludf.DUMMYFUNCTION("QUERY('Volunteer Survey'!B120)"),"Szabolcs Szelinger")</f>
        <v>Szabolcs Szelinger</v>
      </c>
      <c r="G65" s="48" t="str">
        <f>IFERROR(__xludf.DUMMYFUNCTION("QUERY('Volunteer Survey'!H120)"),"Comprehensive")</f>
        <v>Comprehensive</v>
      </c>
      <c r="H65" s="55" t="str">
        <f>IFERROR(__xludf.DUMMYFUNCTION("QUERY('Volunteer Survey'!I120)"),"Gene-Disease Validity")</f>
        <v>Gene-Disease Validity</v>
      </c>
      <c r="I65" s="55"/>
      <c r="J65" s="55"/>
      <c r="K65" s="55"/>
      <c r="L65" s="55"/>
      <c r="M65" s="55"/>
      <c r="N65" s="55"/>
      <c r="O65" s="55"/>
      <c r="P65" s="55"/>
      <c r="Q65" s="55"/>
      <c r="R65" s="55"/>
      <c r="S65" s="55"/>
      <c r="T65" s="55"/>
      <c r="U65" s="55"/>
    </row>
    <row r="66">
      <c r="A66" s="48" t="s">
        <v>108</v>
      </c>
      <c r="B66" s="73">
        <v>43567.0</v>
      </c>
      <c r="C66" s="48" t="s">
        <v>117</v>
      </c>
      <c r="D66" s="48" t="s">
        <v>19</v>
      </c>
      <c r="E66" s="69" t="s">
        <v>19</v>
      </c>
      <c r="F66" s="55" t="str">
        <f>IFERROR(__xludf.DUMMYFUNCTION("QUERY('Volunteer Survey'!B122)"),"Ramesh Vaidyanathan")</f>
        <v>Ramesh Vaidyanathan</v>
      </c>
      <c r="G66" s="48" t="str">
        <f>IFERROR(__xludf.DUMMYFUNCTION("QUERY('Volunteer Survey'!H122)"),"Comprehensive")</f>
        <v>Comprehensive</v>
      </c>
      <c r="H66" s="55" t="str">
        <f>IFERROR(__xludf.DUMMYFUNCTION("QUERY('Volunteer Survey'!I122)"),"Clinical Actionability")</f>
        <v>Clinical Actionability</v>
      </c>
      <c r="I66" s="55"/>
      <c r="J66" s="55"/>
      <c r="K66" s="55"/>
      <c r="L66" s="55"/>
      <c r="M66" s="55"/>
      <c r="N66" s="55"/>
      <c r="O66" s="55"/>
      <c r="P66" s="55"/>
      <c r="Q66" s="55"/>
      <c r="R66" s="55"/>
      <c r="S66" s="55"/>
      <c r="T66" s="55"/>
      <c r="U66" s="55"/>
    </row>
    <row r="67">
      <c r="A67" s="48" t="s">
        <v>108</v>
      </c>
      <c r="B67" s="49">
        <v>43598.0</v>
      </c>
      <c r="C67" s="48" t="s">
        <v>117</v>
      </c>
      <c r="D67" s="48" t="s">
        <v>136</v>
      </c>
      <c r="E67" s="53"/>
      <c r="F67" s="55" t="str">
        <f>IFERROR(__xludf.DUMMYFUNCTION("QUERY('Volunteer Survey'!B123)"),"Ranjit Shetty")</f>
        <v>Ranjit Shetty</v>
      </c>
      <c r="G67" s="48" t="str">
        <f>IFERROR(__xludf.DUMMYFUNCTION("QUERY('Volunteer Survey'!H123)"),"Comprehensive")</f>
        <v>Comprehensive</v>
      </c>
      <c r="H67" s="55" t="str">
        <f>IFERROR(__xludf.DUMMYFUNCTION("QUERY('Volunteer Survey'!I123)"),"Somatic Cancer")</f>
        <v>Somatic Cancer</v>
      </c>
      <c r="I67" s="55"/>
      <c r="J67" s="55"/>
      <c r="K67" s="55"/>
      <c r="L67" s="55"/>
      <c r="M67" s="55"/>
      <c r="N67" s="55"/>
      <c r="O67" s="55"/>
      <c r="P67" s="55"/>
      <c r="Q67" s="55"/>
      <c r="R67" s="55"/>
      <c r="S67" s="55"/>
      <c r="T67" s="55"/>
      <c r="U67" s="55"/>
    </row>
    <row r="68">
      <c r="A68" s="48" t="s">
        <v>108</v>
      </c>
      <c r="B68" s="65">
        <v>43696.0</v>
      </c>
      <c r="C68" s="48" t="s">
        <v>117</v>
      </c>
      <c r="D68" s="48" t="s">
        <v>122</v>
      </c>
      <c r="E68" s="53"/>
      <c r="F68" s="55" t="str">
        <f>IFERROR(__xludf.DUMMYFUNCTION("QUERY('Volunteer Survey'!B124)"),"Brooke H. Miller")</f>
        <v>Brooke H. Miller</v>
      </c>
      <c r="G68" s="48" t="str">
        <f>IFERROR(__xludf.DUMMYFUNCTION("QUERY('Volunteer Survey'!H124)"),"Comprehensive")</f>
        <v>Comprehensive</v>
      </c>
      <c r="H68" s="55" t="str">
        <f>IFERROR(__xludf.DUMMYFUNCTION("QUERY('Volunteer Survey'!I124)"),"Gene-Disease Validity")</f>
        <v>Gene-Disease Validity</v>
      </c>
      <c r="I68" s="55"/>
      <c r="J68" s="55"/>
      <c r="K68" s="55"/>
      <c r="L68" s="55"/>
      <c r="M68" s="55"/>
      <c r="N68" s="55"/>
      <c r="O68" s="55"/>
      <c r="P68" s="55"/>
      <c r="Q68" s="55"/>
      <c r="R68" s="55"/>
      <c r="S68" s="55"/>
      <c r="T68" s="55"/>
      <c r="U68" s="55"/>
    </row>
    <row r="69" ht="16.5" customHeight="1">
      <c r="A69" s="48" t="s">
        <v>108</v>
      </c>
      <c r="B69" s="49">
        <v>43581.0</v>
      </c>
      <c r="C69" s="48" t="s">
        <v>117</v>
      </c>
      <c r="D69" s="48" t="s">
        <v>136</v>
      </c>
      <c r="E69" s="51" t="s">
        <v>308</v>
      </c>
      <c r="F69" s="55" t="str">
        <f>IFERROR(__xludf.DUMMYFUNCTION("QUERY('Volunteer Survey'!B127)"),"HUILING XU")</f>
        <v>HUILING XU</v>
      </c>
      <c r="G69" s="48" t="str">
        <f>IFERROR(__xludf.DUMMYFUNCTION("QUERY('Volunteer Survey'!H127)"),"Comprehensive")</f>
        <v>Comprehensive</v>
      </c>
      <c r="H69" s="55" t="str">
        <f>IFERROR(__xludf.DUMMYFUNCTION("QUERY('Volunteer Survey'!I127)"),"Somatic Cancer")</f>
        <v>Somatic Cancer</v>
      </c>
      <c r="I69" s="55"/>
      <c r="J69" s="55"/>
      <c r="K69" s="55"/>
      <c r="L69" s="55"/>
      <c r="M69" s="55"/>
      <c r="N69" s="55"/>
      <c r="O69" s="55"/>
      <c r="P69" s="55"/>
      <c r="Q69" s="55"/>
      <c r="R69" s="55"/>
      <c r="S69" s="55"/>
      <c r="T69" s="55"/>
      <c r="U69" s="55"/>
    </row>
    <row r="70">
      <c r="A70" s="48" t="s">
        <v>108</v>
      </c>
      <c r="B70" s="49">
        <v>43570.0</v>
      </c>
      <c r="C70" s="48" t="s">
        <v>117</v>
      </c>
      <c r="D70" s="48" t="s">
        <v>122</v>
      </c>
      <c r="E70" s="51" t="s">
        <v>294</v>
      </c>
      <c r="F70" s="55" t="str">
        <f>IFERROR(__xludf.DUMMYFUNCTION("QUERY('Volunteer Survey'!B128)"),"Nilufar Inamdar")</f>
        <v>Nilufar Inamdar</v>
      </c>
      <c r="G70" s="48" t="str">
        <f>IFERROR(__xludf.DUMMYFUNCTION("QUERY('Volunteer Survey'!H128)"),"Comprehensive")</f>
        <v>Comprehensive</v>
      </c>
      <c r="H70" s="55" t="str">
        <f>IFERROR(__xludf.DUMMYFUNCTION("QUERY('Volunteer Survey'!I128)"),"Gene-Disease Validity")</f>
        <v>Gene-Disease Validity</v>
      </c>
      <c r="I70" s="55"/>
      <c r="J70" s="55"/>
      <c r="K70" s="55"/>
      <c r="L70" s="55"/>
      <c r="M70" s="55"/>
      <c r="N70" s="55"/>
      <c r="O70" s="55"/>
      <c r="P70" s="55"/>
      <c r="Q70" s="55"/>
      <c r="R70" s="55"/>
      <c r="S70" s="55"/>
      <c r="T70" s="55"/>
      <c r="U70" s="55"/>
    </row>
    <row r="71">
      <c r="A71" s="48" t="s">
        <v>108</v>
      </c>
      <c r="B71" s="56">
        <v>43608.0</v>
      </c>
      <c r="C71" s="48" t="s">
        <v>117</v>
      </c>
      <c r="D71" s="48" t="s">
        <v>251</v>
      </c>
      <c r="E71" s="51" t="s">
        <v>169</v>
      </c>
      <c r="F71" s="55" t="str">
        <f>IFERROR(__xludf.DUMMYFUNCTION("QUERY('Volunteer Survey'!B129)"),"Michael McLachlan")</f>
        <v>Michael McLachlan</v>
      </c>
      <c r="G71" s="48" t="str">
        <f>IFERROR(__xludf.DUMMYFUNCTION("QUERY('Volunteer Survey'!H129)"),"Comprehensive")</f>
        <v>Comprehensive</v>
      </c>
      <c r="H71" s="55" t="str">
        <f>IFERROR(__xludf.DUMMYFUNCTION("QUERY('Volunteer Survey'!I129)"),"Variant Pathogenicity")</f>
        <v>Variant Pathogenicity</v>
      </c>
      <c r="I71" s="55"/>
      <c r="J71" s="55"/>
      <c r="K71" s="55"/>
      <c r="L71" s="55"/>
      <c r="M71" s="55"/>
      <c r="N71" s="55"/>
      <c r="O71" s="55"/>
      <c r="P71" s="55"/>
      <c r="Q71" s="55"/>
      <c r="R71" s="55"/>
      <c r="S71" s="55"/>
      <c r="T71" s="55"/>
      <c r="U71" s="55"/>
    </row>
    <row r="72">
      <c r="A72" s="48" t="s">
        <v>108</v>
      </c>
      <c r="B72" s="65">
        <v>43585.0</v>
      </c>
      <c r="C72" s="48" t="s">
        <v>117</v>
      </c>
      <c r="D72" s="48" t="s">
        <v>122</v>
      </c>
      <c r="E72" s="53"/>
      <c r="F72" s="55" t="str">
        <f>IFERROR(__xludf.DUMMYFUNCTION("QUERY('Volunteer Survey'!B132)"),"Urjit Patel")</f>
        <v>Urjit Patel</v>
      </c>
      <c r="G72" s="48" t="str">
        <f>IFERROR(__xludf.DUMMYFUNCTION("QUERY('Volunteer Survey'!H132)"),"Comprehensive")</f>
        <v>Comprehensive</v>
      </c>
      <c r="H72" s="55" t="str">
        <f>IFERROR(__xludf.DUMMYFUNCTION("QUERY('Volunteer Survey'!I132)"),"Gene-Disease Validity")</f>
        <v>Gene-Disease Validity</v>
      </c>
      <c r="I72" s="55"/>
      <c r="J72" s="55"/>
      <c r="K72" s="55"/>
      <c r="L72" s="55"/>
      <c r="M72" s="55"/>
      <c r="N72" s="55"/>
      <c r="O72" s="55"/>
      <c r="P72" s="55"/>
      <c r="Q72" s="55"/>
      <c r="R72" s="55"/>
      <c r="S72" s="55"/>
      <c r="T72" s="55"/>
      <c r="U72" s="55"/>
    </row>
    <row r="73">
      <c r="A73" s="48" t="s">
        <v>108</v>
      </c>
      <c r="B73" s="73">
        <v>43567.0</v>
      </c>
      <c r="C73" s="48" t="s">
        <v>117</v>
      </c>
      <c r="D73" s="48" t="s">
        <v>19</v>
      </c>
      <c r="E73" s="69" t="s">
        <v>19</v>
      </c>
      <c r="F73" s="55" t="str">
        <f>IFERROR(__xludf.DUMMYFUNCTION("QUERY('Volunteer Survey'!B133)"),"Lesley Northrop")</f>
        <v>Lesley Northrop</v>
      </c>
      <c r="G73" s="48" t="str">
        <f>IFERROR(__xludf.DUMMYFUNCTION("QUERY('Volunteer Survey'!H133)"),"Comprehensive")</f>
        <v>Comprehensive</v>
      </c>
      <c r="H73" s="55" t="str">
        <f>IFERROR(__xludf.DUMMYFUNCTION("QUERY('Volunteer Survey'!I133)"),"Clinical Actionability")</f>
        <v>Clinical Actionability</v>
      </c>
      <c r="I73" s="55"/>
      <c r="J73" s="55"/>
      <c r="K73" s="55"/>
      <c r="L73" s="55"/>
      <c r="M73" s="55"/>
      <c r="N73" s="55"/>
      <c r="O73" s="55"/>
      <c r="P73" s="55"/>
      <c r="Q73" s="55"/>
      <c r="R73" s="55"/>
      <c r="S73" s="55"/>
      <c r="T73" s="55"/>
      <c r="U73" s="55"/>
    </row>
    <row r="74">
      <c r="A74" s="48" t="s">
        <v>108</v>
      </c>
      <c r="B74" s="49">
        <v>43570.0</v>
      </c>
      <c r="C74" s="48" t="s">
        <v>117</v>
      </c>
      <c r="D74" s="48" t="s">
        <v>122</v>
      </c>
      <c r="E74" s="51" t="s">
        <v>123</v>
      </c>
      <c r="F74" s="55" t="str">
        <f>IFERROR(__xludf.DUMMYFUNCTION("QUERY('Volunteer Survey'!B136)"),"Angela Pickart")</f>
        <v>Angela Pickart</v>
      </c>
      <c r="G74" s="48" t="str">
        <f>IFERROR(__xludf.DUMMYFUNCTION("QUERY('Volunteer Survey'!H136)"),"Comprehensive")</f>
        <v>Comprehensive</v>
      </c>
      <c r="H74" s="55" t="str">
        <f>IFERROR(__xludf.DUMMYFUNCTION("QUERY('Volunteer Survey'!I136)"),"Gene-Disease Validity")</f>
        <v>Gene-Disease Validity</v>
      </c>
      <c r="I74" s="55"/>
      <c r="J74" s="55"/>
      <c r="K74" s="55"/>
      <c r="L74" s="55"/>
      <c r="M74" s="55"/>
      <c r="N74" s="55"/>
      <c r="O74" s="55"/>
      <c r="P74" s="55"/>
      <c r="Q74" s="55"/>
      <c r="R74" s="55"/>
      <c r="S74" s="55"/>
      <c r="T74" s="55"/>
      <c r="U74" s="55"/>
    </row>
    <row r="75">
      <c r="A75" s="48" t="s">
        <v>160</v>
      </c>
      <c r="B75" s="65">
        <v>43605.0</v>
      </c>
      <c r="C75" s="48" t="s">
        <v>117</v>
      </c>
      <c r="D75" s="48" t="s">
        <v>251</v>
      </c>
      <c r="E75" s="51" t="s">
        <v>248</v>
      </c>
      <c r="F75" s="55" t="str">
        <f>IFERROR(__xludf.DUMMYFUNCTION("QUERY('Volunteer Survey'!B137)"),"Jing Xie")</f>
        <v>Jing Xie</v>
      </c>
      <c r="G75" s="48" t="str">
        <f>IFERROR(__xludf.DUMMYFUNCTION("QUERY('Volunteer Survey'!H137)"),"Comprehensive")</f>
        <v>Comprehensive</v>
      </c>
      <c r="H75" s="55" t="str">
        <f>IFERROR(__xludf.DUMMYFUNCTION("QUERY('Volunteer Survey'!I137)"),"Variant Pathogenicity")</f>
        <v>Variant Pathogenicity</v>
      </c>
      <c r="I75" s="55"/>
      <c r="J75" s="55"/>
      <c r="K75" s="55"/>
      <c r="L75" s="55"/>
      <c r="M75" s="55"/>
      <c r="N75" s="55"/>
      <c r="O75" s="55"/>
      <c r="P75" s="55"/>
      <c r="Q75" s="55"/>
      <c r="R75" s="55"/>
      <c r="S75" s="55"/>
      <c r="T75" s="55"/>
      <c r="U75" s="55"/>
    </row>
    <row r="76">
      <c r="A76" s="48" t="s">
        <v>108</v>
      </c>
      <c r="B76" s="65">
        <v>43605.0</v>
      </c>
      <c r="C76" s="48" t="s">
        <v>117</v>
      </c>
      <c r="D76" s="48" t="s">
        <v>251</v>
      </c>
      <c r="E76" s="51" t="s">
        <v>242</v>
      </c>
      <c r="F76" s="55" t="str">
        <f>IFERROR(__xludf.DUMMYFUNCTION("QUERY('Volunteer Survey'!B139)"),"Kathryn Kronquist")</f>
        <v>Kathryn Kronquist</v>
      </c>
      <c r="G76" s="48" t="str">
        <f>IFERROR(__xludf.DUMMYFUNCTION("QUERY('Volunteer Survey'!H139)"),"Comprehensive")</f>
        <v>Comprehensive</v>
      </c>
      <c r="H76" s="55" t="str">
        <f>IFERROR(__xludf.DUMMYFUNCTION("QUERY('Volunteer Survey'!I139)"),"Variant Pathogenicity")</f>
        <v>Variant Pathogenicity</v>
      </c>
      <c r="I76" s="55"/>
      <c r="J76" s="55"/>
      <c r="K76" s="55"/>
      <c r="L76" s="55"/>
      <c r="M76" s="55"/>
      <c r="N76" s="55"/>
      <c r="O76" s="55"/>
      <c r="P76" s="55"/>
      <c r="Q76" s="55"/>
      <c r="R76" s="55"/>
      <c r="S76" s="55"/>
      <c r="T76" s="55"/>
      <c r="U76" s="55"/>
    </row>
    <row r="77">
      <c r="A77" s="48" t="s">
        <v>108</v>
      </c>
      <c r="B77" s="49">
        <v>43581.0</v>
      </c>
      <c r="C77" s="48" t="s">
        <v>117</v>
      </c>
      <c r="D77" s="48" t="s">
        <v>136</v>
      </c>
      <c r="E77" s="53"/>
      <c r="F77" s="55" t="str">
        <f>IFERROR(__xludf.DUMMYFUNCTION("QUERY('Volunteer Survey'!B141)"),"Venkataswamy Eswarachari")</f>
        <v>Venkataswamy Eswarachari</v>
      </c>
      <c r="G77" s="48" t="str">
        <f>IFERROR(__xludf.DUMMYFUNCTION("QUERY('Volunteer Survey'!H141)"),"Comprehensive")</f>
        <v>Comprehensive</v>
      </c>
      <c r="H77" s="55" t="str">
        <f>IFERROR(__xludf.DUMMYFUNCTION("QUERY('Volunteer Survey'!I141)"),"Somatic Cancer")</f>
        <v>Somatic Cancer</v>
      </c>
      <c r="I77" s="55"/>
      <c r="J77" s="55"/>
      <c r="K77" s="55"/>
      <c r="L77" s="55"/>
      <c r="M77" s="55"/>
      <c r="N77" s="55"/>
      <c r="O77" s="55"/>
      <c r="P77" s="55"/>
      <c r="Q77" s="55"/>
      <c r="R77" s="55"/>
      <c r="S77" s="55"/>
      <c r="T77" s="55"/>
      <c r="U77" s="55"/>
    </row>
    <row r="78">
      <c r="A78" s="48" t="s">
        <v>160</v>
      </c>
      <c r="B78" s="56">
        <v>43626.0</v>
      </c>
      <c r="C78" s="48" t="s">
        <v>117</v>
      </c>
      <c r="D78" s="48" t="s">
        <v>251</v>
      </c>
      <c r="E78" s="51" t="s">
        <v>252</v>
      </c>
      <c r="F78" s="55" t="str">
        <f>IFERROR(__xludf.DUMMYFUNCTION("QUERY('Volunteer Survey'!B144)"),"Barbara Vona")</f>
        <v>Barbara Vona</v>
      </c>
      <c r="G78" s="48" t="str">
        <f>IFERROR(__xludf.DUMMYFUNCTION("QUERY('Volunteer Survey'!H144)"),"Comprehensive")</f>
        <v>Comprehensive</v>
      </c>
      <c r="H78" s="55" t="str">
        <f>IFERROR(__xludf.DUMMYFUNCTION("QUERY('Volunteer Survey'!I144)"),"Variant Pathogenicity")</f>
        <v>Variant Pathogenicity</v>
      </c>
      <c r="I78" s="55"/>
      <c r="J78" s="55"/>
      <c r="K78" s="55"/>
      <c r="L78" s="55"/>
      <c r="M78" s="55"/>
      <c r="N78" s="55"/>
      <c r="O78" s="55"/>
      <c r="P78" s="55"/>
      <c r="Q78" s="55"/>
      <c r="R78" s="55"/>
      <c r="S78" s="55"/>
      <c r="T78" s="55"/>
      <c r="U78" s="55"/>
    </row>
    <row r="79">
      <c r="A79" s="48" t="s">
        <v>160</v>
      </c>
      <c r="B79" s="65">
        <v>43605.0</v>
      </c>
      <c r="C79" s="48" t="s">
        <v>117</v>
      </c>
      <c r="D79" s="48" t="s">
        <v>251</v>
      </c>
      <c r="E79" s="51" t="s">
        <v>309</v>
      </c>
      <c r="F79" s="55" t="str">
        <f>IFERROR(__xludf.DUMMYFUNCTION("QUERY('Volunteer Survey'!B145)"),"Viridiana Murillo")</f>
        <v>Viridiana Murillo</v>
      </c>
      <c r="G79" s="48" t="str">
        <f>IFERROR(__xludf.DUMMYFUNCTION("QUERY('Volunteer Survey'!H145)"),"Comprehensive")</f>
        <v>Comprehensive</v>
      </c>
      <c r="H79" s="55" t="str">
        <f>IFERROR(__xludf.DUMMYFUNCTION("QUERY('Volunteer Survey'!I145)"),"Variant Pathogenicity")</f>
        <v>Variant Pathogenicity</v>
      </c>
      <c r="I79" s="55"/>
      <c r="J79" s="55"/>
      <c r="K79" s="55"/>
      <c r="L79" s="55"/>
      <c r="M79" s="55"/>
      <c r="N79" s="55"/>
      <c r="O79" s="55"/>
      <c r="P79" s="55"/>
      <c r="Q79" s="55"/>
      <c r="R79" s="55"/>
      <c r="S79" s="55"/>
      <c r="T79" s="55"/>
      <c r="U79" s="55"/>
    </row>
    <row r="80">
      <c r="A80" s="48" t="s">
        <v>168</v>
      </c>
      <c r="B80" s="65">
        <v>43605.0</v>
      </c>
      <c r="C80" s="48" t="s">
        <v>117</v>
      </c>
      <c r="D80" s="48" t="s">
        <v>251</v>
      </c>
      <c r="E80" s="53"/>
      <c r="F80" s="55" t="str">
        <f>IFERROR(__xludf.DUMMYFUNCTION("QUERY('Volunteer Survey'!B146)"),"Sharon Suchy")</f>
        <v>Sharon Suchy</v>
      </c>
      <c r="G80" s="48" t="str">
        <f>IFERROR(__xludf.DUMMYFUNCTION("QUERY('Volunteer Survey'!H146)"),"Comprehensive")</f>
        <v>Comprehensive</v>
      </c>
      <c r="H80" s="55" t="str">
        <f>IFERROR(__xludf.DUMMYFUNCTION("QUERY('Volunteer Survey'!I146)"),"Variant Pathogenicity")</f>
        <v>Variant Pathogenicity</v>
      </c>
      <c r="I80" s="55"/>
      <c r="J80" s="55"/>
      <c r="K80" s="55"/>
      <c r="L80" s="55"/>
      <c r="M80" s="55"/>
      <c r="N80" s="55"/>
      <c r="O80" s="55"/>
      <c r="P80" s="55"/>
      <c r="Q80" s="55"/>
      <c r="R80" s="55"/>
      <c r="S80" s="55"/>
      <c r="T80" s="55"/>
      <c r="U80" s="55"/>
    </row>
    <row r="81">
      <c r="A81" s="48" t="s">
        <v>160</v>
      </c>
      <c r="B81" s="65">
        <v>43608.0</v>
      </c>
      <c r="C81" s="48" t="s">
        <v>117</v>
      </c>
      <c r="D81" s="48" t="s">
        <v>251</v>
      </c>
      <c r="E81" s="51" t="s">
        <v>310</v>
      </c>
      <c r="F81" s="55" t="str">
        <f>IFERROR(__xludf.DUMMYFUNCTION("QUERY('Volunteer Survey'!B148)"),"Theodore E. Wilson")</f>
        <v>Theodore E. Wilson</v>
      </c>
      <c r="G81" s="48" t="str">
        <f>IFERROR(__xludf.DUMMYFUNCTION("QUERY('Volunteer Survey'!H148)"),"Comprehensive")</f>
        <v>Comprehensive</v>
      </c>
      <c r="H81" s="55" t="str">
        <f>IFERROR(__xludf.DUMMYFUNCTION("QUERY('Volunteer Survey'!I148)"),"Variant Pathogenicity")</f>
        <v>Variant Pathogenicity</v>
      </c>
      <c r="I81" s="55"/>
      <c r="J81" s="55"/>
      <c r="K81" s="55"/>
      <c r="L81" s="55"/>
      <c r="M81" s="55"/>
      <c r="N81" s="55"/>
      <c r="O81" s="55"/>
      <c r="P81" s="55"/>
      <c r="Q81" s="55"/>
      <c r="R81" s="55"/>
      <c r="S81" s="55"/>
      <c r="T81" s="55"/>
      <c r="U81" s="55"/>
    </row>
    <row r="82">
      <c r="A82" s="48" t="s">
        <v>160</v>
      </c>
      <c r="B82" s="65">
        <v>43605.0</v>
      </c>
      <c r="C82" s="48" t="s">
        <v>117</v>
      </c>
      <c r="D82" s="48" t="s">
        <v>251</v>
      </c>
      <c r="E82" s="51" t="s">
        <v>248</v>
      </c>
      <c r="F82" s="55" t="str">
        <f>IFERROR(__xludf.DUMMYFUNCTION("QUERY('Volunteer Survey'!B149)"),"Christina Y Hung")</f>
        <v>Christina Y Hung</v>
      </c>
      <c r="G82" s="48" t="str">
        <f>IFERROR(__xludf.DUMMYFUNCTION("QUERY('Volunteer Survey'!H149)"),"Comprehensive")</f>
        <v>Comprehensive</v>
      </c>
      <c r="H82" s="55" t="str">
        <f>IFERROR(__xludf.DUMMYFUNCTION("QUERY('Volunteer Survey'!I149)"),"Variant Pathogenicity")</f>
        <v>Variant Pathogenicity</v>
      </c>
      <c r="I82" s="55"/>
      <c r="J82" s="55"/>
      <c r="K82" s="55"/>
      <c r="L82" s="55"/>
      <c r="M82" s="55"/>
      <c r="N82" s="55"/>
      <c r="O82" s="55"/>
      <c r="P82" s="55"/>
      <c r="Q82" s="55"/>
      <c r="R82" s="55"/>
      <c r="S82" s="55"/>
      <c r="T82" s="55"/>
      <c r="U82" s="55"/>
    </row>
    <row r="83">
      <c r="A83" s="48" t="s">
        <v>160</v>
      </c>
      <c r="B83" s="65">
        <v>43605.0</v>
      </c>
      <c r="C83" s="48" t="s">
        <v>117</v>
      </c>
      <c r="D83" s="48" t="s">
        <v>251</v>
      </c>
      <c r="E83" s="51" t="s">
        <v>302</v>
      </c>
      <c r="F83" s="55" t="str">
        <f>IFERROR(__xludf.DUMMYFUNCTION("QUERY('Volunteer Survey'!B151)"),"Junyu Zhang")</f>
        <v>Junyu Zhang</v>
      </c>
      <c r="G83" s="48" t="str">
        <f>IFERROR(__xludf.DUMMYFUNCTION("QUERY('Volunteer Survey'!H151)"),"Comprehensive")</f>
        <v>Comprehensive</v>
      </c>
      <c r="H83" s="55" t="str">
        <f>IFERROR(__xludf.DUMMYFUNCTION("QUERY('Volunteer Survey'!I151)"),"Variant Pathogenicity")</f>
        <v>Variant Pathogenicity</v>
      </c>
      <c r="I83" s="55"/>
      <c r="J83" s="55"/>
      <c r="K83" s="55"/>
      <c r="L83" s="55"/>
      <c r="M83" s="55"/>
      <c r="N83" s="55"/>
      <c r="O83" s="55"/>
      <c r="P83" s="55"/>
      <c r="Q83" s="55"/>
      <c r="R83" s="55"/>
      <c r="S83" s="55"/>
      <c r="T83" s="55"/>
      <c r="U83" s="55"/>
    </row>
    <row r="84">
      <c r="A84" s="48" t="s">
        <v>108</v>
      </c>
      <c r="B84" s="65">
        <v>43585.0</v>
      </c>
      <c r="C84" s="48" t="s">
        <v>117</v>
      </c>
      <c r="D84" s="48" t="s">
        <v>122</v>
      </c>
      <c r="E84" s="51" t="s">
        <v>220</v>
      </c>
      <c r="F84" s="55" t="str">
        <f>IFERROR(__xludf.DUMMYFUNCTION("QUERY('Volunteer Survey'!B152)"),"Jing Zhang")</f>
        <v>Jing Zhang</v>
      </c>
      <c r="G84" s="48" t="str">
        <f>IFERROR(__xludf.DUMMYFUNCTION("QUERY('Volunteer Survey'!H152)"),"Comprehensive")</f>
        <v>Comprehensive</v>
      </c>
      <c r="H84" s="55" t="str">
        <f>IFERROR(__xludf.DUMMYFUNCTION("QUERY('Volunteer Survey'!I152)"),"Gene-Disease Validity")</f>
        <v>Gene-Disease Validity</v>
      </c>
      <c r="I84" s="55"/>
      <c r="J84" s="55"/>
      <c r="K84" s="55"/>
      <c r="L84" s="55"/>
      <c r="M84" s="55"/>
      <c r="N84" s="55"/>
      <c r="O84" s="55"/>
      <c r="P84" s="55"/>
      <c r="Q84" s="55"/>
      <c r="R84" s="55"/>
      <c r="S84" s="55"/>
      <c r="T84" s="55"/>
      <c r="U84" s="55"/>
    </row>
    <row r="85">
      <c r="A85" s="48" t="s">
        <v>160</v>
      </c>
      <c r="B85" s="65">
        <v>43605.0</v>
      </c>
      <c r="C85" s="48" t="s">
        <v>117</v>
      </c>
      <c r="D85" s="48" t="s">
        <v>251</v>
      </c>
      <c r="E85" s="51" t="s">
        <v>305</v>
      </c>
      <c r="F85" s="55" t="str">
        <f>IFERROR(__xludf.DUMMYFUNCTION("QUERY('Volunteer Survey'!B154)"),"Emily Higgs")</f>
        <v>Emily Higgs</v>
      </c>
      <c r="G85" s="48" t="str">
        <f>IFERROR(__xludf.DUMMYFUNCTION("QUERY('Volunteer Survey'!H154)"),"Comprehensive")</f>
        <v>Comprehensive</v>
      </c>
      <c r="H85" s="55" t="str">
        <f>IFERROR(__xludf.DUMMYFUNCTION("QUERY('Volunteer Survey'!I154)"),"Variant Pathogenicity")</f>
        <v>Variant Pathogenicity</v>
      </c>
      <c r="I85" s="55"/>
      <c r="J85" s="55"/>
      <c r="K85" s="55"/>
      <c r="L85" s="55"/>
      <c r="M85" s="55"/>
      <c r="N85" s="55"/>
      <c r="O85" s="55"/>
      <c r="P85" s="55"/>
      <c r="Q85" s="55"/>
      <c r="R85" s="55"/>
      <c r="S85" s="55"/>
      <c r="T85" s="55"/>
      <c r="U85" s="55"/>
    </row>
    <row r="86">
      <c r="A86" s="48" t="s">
        <v>125</v>
      </c>
      <c r="B86" s="49">
        <v>43570.0</v>
      </c>
      <c r="C86" s="48" t="s">
        <v>117</v>
      </c>
      <c r="D86" s="48" t="s">
        <v>122</v>
      </c>
      <c r="E86" s="51" t="s">
        <v>220</v>
      </c>
      <c r="F86" s="55" t="str">
        <f>IFERROR(__xludf.DUMMYFUNCTION("QUERY('Volunteer Survey'!B156)"),"Samantha Chill")</f>
        <v>Samantha Chill</v>
      </c>
      <c r="G86" s="48" t="str">
        <f>IFERROR(__xludf.DUMMYFUNCTION("QUERY('Volunteer Survey'!H156)"),"Comprehensive")</f>
        <v>Comprehensive</v>
      </c>
      <c r="H86" s="55" t="str">
        <f>IFERROR(__xludf.DUMMYFUNCTION("QUERY('Volunteer Survey'!I156)"),"Gene-Disease Validity")</f>
        <v>Gene-Disease Validity</v>
      </c>
      <c r="I86" s="55"/>
      <c r="J86" s="55"/>
      <c r="K86" s="55"/>
      <c r="L86" s="55"/>
      <c r="M86" s="55"/>
      <c r="N86" s="55"/>
      <c r="O86" s="55"/>
      <c r="P86" s="55"/>
      <c r="Q86" s="55"/>
      <c r="R86" s="55"/>
      <c r="S86" s="55"/>
      <c r="T86" s="55"/>
      <c r="U86" s="55"/>
    </row>
    <row r="87">
      <c r="A87" s="48" t="s">
        <v>108</v>
      </c>
      <c r="B87" s="65">
        <v>43585.0</v>
      </c>
      <c r="C87" s="48" t="s">
        <v>117</v>
      </c>
      <c r="D87" s="48" t="s">
        <v>122</v>
      </c>
      <c r="E87" s="51" t="s">
        <v>197</v>
      </c>
      <c r="F87" s="55" t="str">
        <f>IFERROR(__xludf.DUMMYFUNCTION("QUERY('Volunteer Survey'!B158)"),"HECTOR RODRIGO MENDEZ")</f>
        <v>HECTOR RODRIGO MENDEZ</v>
      </c>
      <c r="G87" s="48" t="str">
        <f>IFERROR(__xludf.DUMMYFUNCTION("QUERY('Volunteer Survey'!H158)"),"Comprehensive")</f>
        <v>Comprehensive</v>
      </c>
      <c r="H87" s="55" t="str">
        <f>IFERROR(__xludf.DUMMYFUNCTION("QUERY('Volunteer Survey'!I158)"),"Gene-Disease Validity")</f>
        <v>Gene-Disease Validity</v>
      </c>
      <c r="I87" s="55"/>
      <c r="J87" s="55"/>
      <c r="K87" s="55"/>
      <c r="L87" s="55"/>
      <c r="M87" s="55"/>
      <c r="N87" s="55"/>
      <c r="O87" s="55"/>
      <c r="P87" s="55"/>
      <c r="Q87" s="55"/>
      <c r="R87" s="55"/>
      <c r="S87" s="55"/>
      <c r="T87" s="55"/>
      <c r="U87" s="55"/>
    </row>
    <row r="88">
      <c r="A88" s="48" t="s">
        <v>108</v>
      </c>
      <c r="B88" s="65">
        <v>43594.0</v>
      </c>
      <c r="C88" s="48" t="s">
        <v>117</v>
      </c>
      <c r="D88" s="48" t="s">
        <v>19</v>
      </c>
      <c r="E88" s="69" t="s">
        <v>19</v>
      </c>
      <c r="F88" s="55" t="str">
        <f>IFERROR(__xludf.DUMMYFUNCTION("QUERY('Volunteer Survey'!B160)"),"Karen Hanson")</f>
        <v>Karen Hanson</v>
      </c>
      <c r="G88" s="48" t="str">
        <f>IFERROR(__xludf.DUMMYFUNCTION("QUERY('Volunteer Survey'!H160)"),"Comprehensive")</f>
        <v>Comprehensive</v>
      </c>
      <c r="H88" s="55" t="str">
        <f>IFERROR(__xludf.DUMMYFUNCTION("QUERY('Volunteer Survey'!I160)"),"Clinical Actionability")</f>
        <v>Clinical Actionability</v>
      </c>
      <c r="I88" s="55"/>
      <c r="J88" s="55"/>
      <c r="K88" s="55"/>
      <c r="L88" s="55"/>
      <c r="M88" s="55"/>
      <c r="N88" s="55"/>
      <c r="O88" s="55"/>
      <c r="P88" s="55"/>
      <c r="Q88" s="55"/>
      <c r="R88" s="55"/>
      <c r="S88" s="55"/>
      <c r="T88" s="55"/>
      <c r="U88" s="55"/>
    </row>
    <row r="89">
      <c r="A89" s="48" t="s">
        <v>108</v>
      </c>
      <c r="B89" s="65">
        <v>43580.0</v>
      </c>
      <c r="C89" s="48" t="s">
        <v>117</v>
      </c>
      <c r="D89" s="48" t="s">
        <v>163</v>
      </c>
      <c r="E89" s="53"/>
      <c r="F89" s="55" t="str">
        <f>IFERROR(__xludf.DUMMYFUNCTION("QUERY('Volunteer Survey'!B162)"),"Christine Preston")</f>
        <v>Christine Preston</v>
      </c>
      <c r="G89" s="48" t="str">
        <f>IFERROR(__xludf.DUMMYFUNCTION("QUERY('Volunteer Survey'!H162)"),"Comprehensive")</f>
        <v>Comprehensive</v>
      </c>
      <c r="H89" s="55" t="str">
        <f>IFERROR(__xludf.DUMMYFUNCTION("QUERY('Volunteer Survey'!I162)"),"Dosage Sensitivity")</f>
        <v>Dosage Sensitivity</v>
      </c>
      <c r="I89" s="55"/>
      <c r="J89" s="55"/>
      <c r="K89" s="55"/>
      <c r="L89" s="55"/>
      <c r="M89" s="55"/>
      <c r="N89" s="55"/>
      <c r="O89" s="55"/>
      <c r="P89" s="55"/>
      <c r="Q89" s="55"/>
      <c r="R89" s="55"/>
      <c r="S89" s="55"/>
      <c r="T89" s="55"/>
      <c r="U89" s="55"/>
    </row>
    <row r="90">
      <c r="A90" s="48" t="s">
        <v>108</v>
      </c>
      <c r="B90" s="65">
        <v>43585.0</v>
      </c>
      <c r="C90" s="48" t="s">
        <v>117</v>
      </c>
      <c r="D90" s="48" t="s">
        <v>122</v>
      </c>
      <c r="E90" s="51" t="s">
        <v>123</v>
      </c>
      <c r="F90" s="55" t="str">
        <f>IFERROR(__xludf.DUMMYFUNCTION("QUERY('Volunteer Survey'!B165)"),"Alexander Ing")</f>
        <v>Alexander Ing</v>
      </c>
      <c r="G90" s="48" t="str">
        <f>IFERROR(__xludf.DUMMYFUNCTION("QUERY('Volunteer Survey'!H165)"),"Comprehensive")</f>
        <v>Comprehensive</v>
      </c>
      <c r="H90" s="55" t="str">
        <f>IFERROR(__xludf.DUMMYFUNCTION("QUERY('Volunteer Survey'!I165)"),"Gene-Disease Validity")</f>
        <v>Gene-Disease Validity</v>
      </c>
      <c r="I90" s="55"/>
      <c r="J90" s="55"/>
      <c r="K90" s="55"/>
      <c r="L90" s="55"/>
      <c r="M90" s="55"/>
      <c r="N90" s="55"/>
      <c r="O90" s="55"/>
      <c r="P90" s="55"/>
      <c r="Q90" s="55"/>
      <c r="R90" s="55"/>
      <c r="S90" s="55"/>
      <c r="T90" s="55"/>
      <c r="U90" s="55"/>
    </row>
    <row r="91">
      <c r="A91" s="48" t="s">
        <v>108</v>
      </c>
      <c r="B91" s="65">
        <v>43692.0</v>
      </c>
      <c r="C91" s="48" t="s">
        <v>117</v>
      </c>
      <c r="D91" s="48" t="s">
        <v>122</v>
      </c>
      <c r="E91" s="53"/>
      <c r="F91" s="55" t="str">
        <f>IFERROR(__xludf.DUMMYFUNCTION("QUERY('Volunteer Survey'!B166)"),"Jun Liao")</f>
        <v>Jun Liao</v>
      </c>
      <c r="G91" s="48" t="str">
        <f>IFERROR(__xludf.DUMMYFUNCTION("QUERY('Volunteer Survey'!H166)"),"Comprehensive")</f>
        <v>Comprehensive</v>
      </c>
      <c r="H91" s="55" t="str">
        <f>IFERROR(__xludf.DUMMYFUNCTION("QUERY('Volunteer Survey'!I166)"),"Gene-Disease Validity")</f>
        <v>Gene-Disease Validity</v>
      </c>
      <c r="I91" s="55"/>
      <c r="J91" s="55"/>
      <c r="K91" s="55"/>
      <c r="L91" s="55"/>
      <c r="M91" s="55"/>
      <c r="N91" s="55"/>
      <c r="O91" s="55"/>
      <c r="P91" s="55"/>
      <c r="Q91" s="55"/>
      <c r="R91" s="55"/>
      <c r="S91" s="55"/>
      <c r="T91" s="55"/>
      <c r="U91" s="55"/>
    </row>
    <row r="92">
      <c r="A92" s="48" t="s">
        <v>108</v>
      </c>
      <c r="B92" s="65">
        <v>43585.0</v>
      </c>
      <c r="C92" s="48" t="s">
        <v>117</v>
      </c>
      <c r="D92" s="48" t="s">
        <v>122</v>
      </c>
      <c r="E92" s="51" t="s">
        <v>123</v>
      </c>
      <c r="F92" s="55" t="str">
        <f>IFERROR(__xludf.DUMMYFUNCTION("QUERY('Volunteer Survey'!B167)"),"Maki Kaneko")</f>
        <v>Maki Kaneko</v>
      </c>
      <c r="G92" s="48" t="str">
        <f>IFERROR(__xludf.DUMMYFUNCTION("QUERY('Volunteer Survey'!H167)"),"Comprehensive")</f>
        <v>Comprehensive</v>
      </c>
      <c r="H92" s="55" t="str">
        <f>IFERROR(__xludf.DUMMYFUNCTION("QUERY('Volunteer Survey'!I167)"),"Gene-Disease Validity")</f>
        <v>Gene-Disease Validity</v>
      </c>
      <c r="I92" s="55"/>
      <c r="J92" s="55"/>
      <c r="K92" s="55"/>
      <c r="L92" s="55"/>
      <c r="M92" s="55"/>
      <c r="N92" s="55"/>
      <c r="O92" s="55"/>
      <c r="P92" s="55"/>
      <c r="Q92" s="55"/>
      <c r="R92" s="55"/>
      <c r="S92" s="55"/>
      <c r="T92" s="55"/>
      <c r="U92" s="55"/>
    </row>
    <row r="93">
      <c r="A93" s="48" t="s">
        <v>160</v>
      </c>
      <c r="B93" s="56">
        <v>43627.0</v>
      </c>
      <c r="C93" s="48" t="s">
        <v>117</v>
      </c>
      <c r="D93" s="48" t="s">
        <v>251</v>
      </c>
      <c r="E93" s="51" t="s">
        <v>311</v>
      </c>
      <c r="F93" s="55" t="str">
        <f>IFERROR(__xludf.DUMMYFUNCTION("QUERY('Volunteer Survey'!B170)"),"Suvina To")</f>
        <v>Suvina To</v>
      </c>
      <c r="G93" s="48" t="str">
        <f>IFERROR(__xludf.DUMMYFUNCTION("QUERY('Volunteer Survey'!H170)"),"Comprehensive")</f>
        <v>Comprehensive</v>
      </c>
      <c r="H93" s="55" t="str">
        <f>IFERROR(__xludf.DUMMYFUNCTION("QUERY('Volunteer Survey'!I170)"),"Variant Pathogenicity")</f>
        <v>Variant Pathogenicity</v>
      </c>
      <c r="I93" s="55"/>
      <c r="J93" s="55"/>
      <c r="K93" s="55"/>
      <c r="L93" s="55"/>
      <c r="M93" s="55"/>
      <c r="N93" s="55"/>
      <c r="O93" s="55"/>
      <c r="P93" s="55"/>
      <c r="Q93" s="55"/>
      <c r="R93" s="55"/>
      <c r="S93" s="55"/>
      <c r="T93" s="55"/>
      <c r="U93" s="55"/>
    </row>
    <row r="94">
      <c r="A94" s="48" t="s">
        <v>160</v>
      </c>
      <c r="B94" s="65">
        <v>43608.0</v>
      </c>
      <c r="C94" s="48" t="s">
        <v>117</v>
      </c>
      <c r="D94" s="48" t="s">
        <v>251</v>
      </c>
      <c r="E94" s="51" t="s">
        <v>169</v>
      </c>
      <c r="F94" s="55" t="str">
        <f>IFERROR(__xludf.DUMMYFUNCTION("QUERY('Volunteer Survey'!B171)"),"Lemuel Racacho")</f>
        <v>Lemuel Racacho</v>
      </c>
      <c r="G94" s="48" t="str">
        <f>IFERROR(__xludf.DUMMYFUNCTION("QUERY('Volunteer Survey'!H171)"),"Comprehensive")</f>
        <v>Comprehensive</v>
      </c>
      <c r="H94" s="55" t="str">
        <f>IFERROR(__xludf.DUMMYFUNCTION("QUERY('Volunteer Survey'!I171)"),"Variant Pathogenicity")</f>
        <v>Variant Pathogenicity</v>
      </c>
      <c r="I94" s="55"/>
      <c r="J94" s="55"/>
      <c r="K94" s="55"/>
      <c r="L94" s="55"/>
      <c r="M94" s="55"/>
      <c r="N94" s="55"/>
      <c r="O94" s="55"/>
      <c r="P94" s="55"/>
      <c r="Q94" s="55"/>
      <c r="R94" s="55"/>
      <c r="S94" s="55"/>
      <c r="T94" s="55"/>
      <c r="U94" s="55"/>
    </row>
    <row r="95">
      <c r="A95" s="48" t="s">
        <v>160</v>
      </c>
      <c r="B95" s="65">
        <v>43608.0</v>
      </c>
      <c r="C95" s="48" t="s">
        <v>117</v>
      </c>
      <c r="D95" s="48" t="s">
        <v>251</v>
      </c>
      <c r="E95" s="51" t="s">
        <v>312</v>
      </c>
      <c r="F95" s="55" t="str">
        <f>IFERROR(__xludf.DUMMYFUNCTION("QUERY('Volunteer Survey'!B175)"),"Samya Chakravorty")</f>
        <v>Samya Chakravorty</v>
      </c>
      <c r="G95" s="48" t="str">
        <f>IFERROR(__xludf.DUMMYFUNCTION("QUERY('Volunteer Survey'!H175)"),"Comprehensive")</f>
        <v>Comprehensive</v>
      </c>
      <c r="H95" s="55" t="str">
        <f>IFERROR(__xludf.DUMMYFUNCTION("QUERY('Volunteer Survey'!I175)"),"Variant Pathogenicity")</f>
        <v>Variant Pathogenicity</v>
      </c>
      <c r="I95" s="55"/>
      <c r="J95" s="55"/>
      <c r="K95" s="55"/>
      <c r="L95" s="55"/>
      <c r="M95" s="55"/>
      <c r="N95" s="55"/>
      <c r="O95" s="55"/>
      <c r="P95" s="55"/>
      <c r="Q95" s="55"/>
      <c r="R95" s="55"/>
      <c r="S95" s="55"/>
      <c r="T95" s="55"/>
      <c r="U95" s="55"/>
    </row>
    <row r="96">
      <c r="A96" s="48" t="s">
        <v>108</v>
      </c>
      <c r="B96" s="65">
        <v>43692.0</v>
      </c>
      <c r="C96" s="48" t="s">
        <v>117</v>
      </c>
      <c r="D96" s="48" t="s">
        <v>122</v>
      </c>
      <c r="E96" s="53"/>
      <c r="F96" s="55" t="str">
        <f>IFERROR(__xludf.DUMMYFUNCTION("QUERY('Volunteer Survey'!B178)"),"Alison Bright")</f>
        <v>Alison Bright</v>
      </c>
      <c r="G96" s="48" t="str">
        <f>IFERROR(__xludf.DUMMYFUNCTION("QUERY('Volunteer Survey'!H178)"),"Comprehensive")</f>
        <v>Comprehensive</v>
      </c>
      <c r="H96" s="55" t="str">
        <f>IFERROR(__xludf.DUMMYFUNCTION("QUERY('Volunteer Survey'!I178)"),"Gene-Disease Validity")</f>
        <v>Gene-Disease Validity</v>
      </c>
      <c r="I96" s="55"/>
      <c r="J96" s="55"/>
      <c r="K96" s="55"/>
      <c r="L96" s="55"/>
      <c r="M96" s="55"/>
      <c r="N96" s="55"/>
      <c r="O96" s="55"/>
      <c r="P96" s="55"/>
      <c r="Q96" s="55"/>
      <c r="R96" s="55"/>
      <c r="S96" s="55"/>
      <c r="T96" s="55"/>
      <c r="U96" s="55"/>
    </row>
    <row r="97">
      <c r="A97" s="48" t="s">
        <v>108</v>
      </c>
      <c r="B97" s="49">
        <v>43581.0</v>
      </c>
      <c r="C97" s="48" t="s">
        <v>117</v>
      </c>
      <c r="D97" s="48" t="s">
        <v>136</v>
      </c>
      <c r="E97" s="53"/>
      <c r="F97" s="55" t="str">
        <f>IFERROR(__xludf.DUMMYFUNCTION("QUERY('Volunteer Survey'!B181)"),"Ying Zou")</f>
        <v>Ying Zou</v>
      </c>
      <c r="G97" s="48" t="str">
        <f>IFERROR(__xludf.DUMMYFUNCTION("QUERY('Volunteer Survey'!H181)"),"Comprehensive")</f>
        <v>Comprehensive</v>
      </c>
      <c r="H97" s="55" t="str">
        <f>IFERROR(__xludf.DUMMYFUNCTION("QUERY('Volunteer Survey'!I181)"),"Somatic Cancer")</f>
        <v>Somatic Cancer</v>
      </c>
      <c r="I97" s="55"/>
      <c r="J97" s="55"/>
      <c r="K97" s="55"/>
      <c r="L97" s="55"/>
      <c r="M97" s="55"/>
      <c r="N97" s="55"/>
      <c r="O97" s="55"/>
      <c r="P97" s="55"/>
      <c r="Q97" s="55"/>
      <c r="R97" s="55"/>
      <c r="S97" s="55"/>
      <c r="T97" s="55"/>
      <c r="U97" s="55"/>
    </row>
    <row r="98">
      <c r="A98" s="48" t="s">
        <v>168</v>
      </c>
      <c r="B98" s="65">
        <v>43570.0</v>
      </c>
      <c r="C98" s="48" t="s">
        <v>117</v>
      </c>
      <c r="D98" s="48" t="s">
        <v>313</v>
      </c>
      <c r="E98" s="53"/>
      <c r="F98" s="55" t="str">
        <f>IFERROR(__xludf.DUMMYFUNCTION("QUERY('Volunteer Survey'!B182)"),"JIXIA LIU")</f>
        <v>JIXIA LIU</v>
      </c>
      <c r="G98" s="48" t="str">
        <f>IFERROR(__xludf.DUMMYFUNCTION("QUERY('Volunteer Survey'!H182)"),"Comprehensive")</f>
        <v>Comprehensive</v>
      </c>
      <c r="H98" s="55" t="str">
        <f>IFERROR(__xludf.DUMMYFUNCTION("QUERY('Volunteer Survey'!I182)"),"Gene-Disease Validity")</f>
        <v>Gene-Disease Validity</v>
      </c>
      <c r="I98" s="55"/>
      <c r="J98" s="55"/>
      <c r="K98" s="55"/>
      <c r="L98" s="55"/>
      <c r="M98" s="55"/>
      <c r="N98" s="55"/>
      <c r="O98" s="55"/>
      <c r="P98" s="55"/>
      <c r="Q98" s="55"/>
      <c r="R98" s="55"/>
      <c r="S98" s="55"/>
      <c r="T98" s="55"/>
      <c r="U98" s="55"/>
    </row>
    <row r="99" ht="18.0" customHeight="1">
      <c r="A99" s="48" t="s">
        <v>160</v>
      </c>
      <c r="B99" s="56">
        <v>43605.0</v>
      </c>
      <c r="C99" s="48" t="s">
        <v>117</v>
      </c>
      <c r="D99" s="48" t="s">
        <v>251</v>
      </c>
      <c r="E99" s="51" t="s">
        <v>314</v>
      </c>
      <c r="F99" s="55" t="str">
        <f>IFERROR(__xludf.DUMMYFUNCTION("QUERY('Volunteer Survey'!B183)"),"Catherine Driscoll")</f>
        <v>Catherine Driscoll</v>
      </c>
      <c r="G99" s="48" t="str">
        <f>IFERROR(__xludf.DUMMYFUNCTION("QUERY('Volunteer Survey'!H183)"),"Comprehensive")</f>
        <v>Comprehensive</v>
      </c>
      <c r="H99" s="55" t="str">
        <f>IFERROR(__xludf.DUMMYFUNCTION("QUERY('Volunteer Survey'!I183)"),"Variant Pathogenicity")</f>
        <v>Variant Pathogenicity</v>
      </c>
      <c r="I99" s="55"/>
      <c r="J99" s="55"/>
      <c r="K99" s="55"/>
      <c r="L99" s="55"/>
      <c r="M99" s="55"/>
      <c r="N99" s="55"/>
      <c r="O99" s="55"/>
      <c r="P99" s="55"/>
      <c r="Q99" s="55"/>
      <c r="R99" s="55"/>
      <c r="S99" s="55"/>
      <c r="T99" s="55"/>
      <c r="U99" s="55"/>
    </row>
    <row r="100" ht="17.25" customHeight="1">
      <c r="A100" s="48" t="s">
        <v>160</v>
      </c>
      <c r="B100" s="56">
        <v>43608.0</v>
      </c>
      <c r="C100" s="48" t="s">
        <v>117</v>
      </c>
      <c r="D100" s="48" t="s">
        <v>251</v>
      </c>
      <c r="E100" s="51" t="s">
        <v>302</v>
      </c>
      <c r="F100" s="55" t="str">
        <f>IFERROR(__xludf.DUMMYFUNCTION("QUERY('Volunteer Survey'!B186)"),"Ashley Marsh")</f>
        <v>Ashley Marsh</v>
      </c>
      <c r="G100" s="48" t="str">
        <f>IFERROR(__xludf.DUMMYFUNCTION("QUERY('Volunteer Survey'!H186)"),"Comprehensive")</f>
        <v>Comprehensive</v>
      </c>
      <c r="H100" s="55" t="str">
        <f>IFERROR(__xludf.DUMMYFUNCTION("QUERY('Volunteer Survey'!I186)"),"Variant Pathogenicity")</f>
        <v>Variant Pathogenicity</v>
      </c>
      <c r="I100" s="55"/>
      <c r="J100" s="55"/>
      <c r="K100" s="55"/>
      <c r="L100" s="55"/>
      <c r="M100" s="55"/>
      <c r="N100" s="55"/>
      <c r="O100" s="55"/>
      <c r="P100" s="55"/>
      <c r="Q100" s="55"/>
      <c r="R100" s="55"/>
      <c r="S100" s="55"/>
      <c r="T100" s="55"/>
      <c r="U100" s="55"/>
    </row>
    <row r="101">
      <c r="A101" s="48" t="s">
        <v>108</v>
      </c>
      <c r="B101" s="65">
        <v>43585.0</v>
      </c>
      <c r="C101" s="48" t="s">
        <v>117</v>
      </c>
      <c r="D101" s="48" t="s">
        <v>122</v>
      </c>
      <c r="E101" s="51" t="s">
        <v>311</v>
      </c>
      <c r="F101" s="55" t="str">
        <f>IFERROR(__xludf.DUMMYFUNCTION("QUERY('Volunteer Survey'!B187)"),"Kevin Colclough")</f>
        <v>Kevin Colclough</v>
      </c>
      <c r="G101" s="48" t="str">
        <f>IFERROR(__xludf.DUMMYFUNCTION("QUERY('Volunteer Survey'!H187)"),"Comprehensive")</f>
        <v>Comprehensive</v>
      </c>
      <c r="H101" s="55" t="str">
        <f>IFERROR(__xludf.DUMMYFUNCTION("QUERY('Volunteer Survey'!I187)"),"Variant Pathogenicity")</f>
        <v>Variant Pathogenicity</v>
      </c>
      <c r="I101" s="55"/>
      <c r="J101" s="55"/>
      <c r="K101" s="55"/>
      <c r="L101" s="55"/>
      <c r="M101" s="55"/>
      <c r="N101" s="55"/>
      <c r="O101" s="55"/>
      <c r="P101" s="55"/>
      <c r="Q101" s="55"/>
      <c r="R101" s="55"/>
      <c r="S101" s="55"/>
      <c r="T101" s="55"/>
      <c r="U101" s="55"/>
    </row>
    <row r="102">
      <c r="A102" s="48" t="s">
        <v>108</v>
      </c>
      <c r="B102" s="65">
        <v>43692.0</v>
      </c>
      <c r="C102" s="48" t="s">
        <v>117</v>
      </c>
      <c r="D102" s="48" t="s">
        <v>122</v>
      </c>
      <c r="E102" s="53"/>
      <c r="F102" s="55" t="str">
        <f>IFERROR(__xludf.DUMMYFUNCTION("QUERY('Volunteer Survey'!B191)"),"FEN GUO")</f>
        <v>FEN GUO</v>
      </c>
      <c r="G102" s="48" t="str">
        <f>IFERROR(__xludf.DUMMYFUNCTION("QUERY('Volunteer Survey'!H191)"),"Comprehensive")</f>
        <v>Comprehensive</v>
      </c>
      <c r="H102" s="55" t="str">
        <f>IFERROR(__xludf.DUMMYFUNCTION("QUERY('Volunteer Survey'!I191)"),"Gene-Disease Validity")</f>
        <v>Gene-Disease Validity</v>
      </c>
      <c r="I102" s="55"/>
      <c r="J102" s="55"/>
      <c r="K102" s="55"/>
      <c r="L102" s="55"/>
      <c r="M102" s="55"/>
      <c r="N102" s="55"/>
      <c r="O102" s="55"/>
      <c r="P102" s="55"/>
      <c r="Q102" s="55"/>
      <c r="R102" s="55"/>
      <c r="S102" s="55"/>
      <c r="T102" s="55"/>
      <c r="U102" s="55"/>
    </row>
    <row r="103">
      <c r="A103" s="48" t="s">
        <v>168</v>
      </c>
      <c r="B103" s="56">
        <v>43476.0</v>
      </c>
      <c r="C103" s="48" t="s">
        <v>117</v>
      </c>
      <c r="D103" s="48" t="s">
        <v>136</v>
      </c>
      <c r="E103" s="53"/>
      <c r="F103" s="55" t="str">
        <f>IFERROR(__xludf.DUMMYFUNCTION("QUERY('Volunteer Survey'!B194)"),"Lisa Dyer")</f>
        <v>Lisa Dyer</v>
      </c>
      <c r="G103" s="48" t="str">
        <f>IFERROR(__xludf.DUMMYFUNCTION("QUERY('Volunteer Survey'!H194)"),"Comprehensive")</f>
        <v>Comprehensive</v>
      </c>
      <c r="H103" s="55" t="str">
        <f>IFERROR(__xludf.DUMMYFUNCTION("QUERY('Volunteer Survey'!I194)"),"Somatic Cancer")</f>
        <v>Somatic Cancer</v>
      </c>
      <c r="I103" s="55"/>
      <c r="J103" s="55"/>
      <c r="K103" s="55"/>
      <c r="L103" s="55"/>
      <c r="M103" s="55"/>
      <c r="N103" s="55"/>
      <c r="O103" s="55"/>
      <c r="P103" s="55"/>
      <c r="Q103" s="55"/>
      <c r="R103" s="55"/>
      <c r="S103" s="55"/>
      <c r="T103" s="55"/>
      <c r="U103" s="55"/>
    </row>
    <row r="104">
      <c r="A104" s="48" t="s">
        <v>160</v>
      </c>
      <c r="B104" s="56">
        <v>43605.0</v>
      </c>
      <c r="C104" s="48" t="s">
        <v>117</v>
      </c>
      <c r="D104" s="48" t="s">
        <v>251</v>
      </c>
      <c r="E104" s="51" t="s">
        <v>305</v>
      </c>
      <c r="F104" s="55" t="str">
        <f>IFERROR(__xludf.DUMMYFUNCTION("QUERY('Volunteer Survey'!B200)"),"Olivia Rennie")</f>
        <v>Olivia Rennie</v>
      </c>
      <c r="G104" s="48" t="str">
        <f>IFERROR(__xludf.DUMMYFUNCTION("QUERY('Volunteer Survey'!H200)"),"Comprehensive")</f>
        <v>Comprehensive</v>
      </c>
      <c r="H104" s="55" t="str">
        <f>IFERROR(__xludf.DUMMYFUNCTION("QUERY('Volunteer Survey'!I200)"),"Variant Pathogenicity")</f>
        <v>Variant Pathogenicity</v>
      </c>
      <c r="I104" s="55"/>
      <c r="J104" s="55"/>
      <c r="K104" s="55"/>
      <c r="L104" s="55"/>
      <c r="M104" s="55"/>
      <c r="N104" s="55"/>
      <c r="O104" s="55"/>
      <c r="P104" s="55"/>
      <c r="Q104" s="55"/>
      <c r="R104" s="55"/>
      <c r="S104" s="55"/>
      <c r="T104" s="55"/>
      <c r="U104" s="55"/>
    </row>
    <row r="105">
      <c r="A105" s="48" t="s">
        <v>108</v>
      </c>
      <c r="B105" s="56">
        <v>43627.0</v>
      </c>
      <c r="C105" s="48" t="s">
        <v>117</v>
      </c>
      <c r="D105" s="48" t="s">
        <v>313</v>
      </c>
      <c r="E105" s="53"/>
      <c r="F105" s="55" t="str">
        <f>IFERROR(__xludf.DUMMYFUNCTION("QUERY('Volunteer Survey'!B201)"),"Aleš Maver")</f>
        <v>Aleš Maver</v>
      </c>
      <c r="G105" s="48" t="str">
        <f>IFERROR(__xludf.DUMMYFUNCTION("QUERY('Volunteer Survey'!H201)"),"Comprehensive")</f>
        <v>Comprehensive</v>
      </c>
      <c r="H105" s="55" t="str">
        <f>IFERROR(__xludf.DUMMYFUNCTION("QUERY('Volunteer Survey'!I201)"),"Variant Pathogenicity")</f>
        <v>Variant Pathogenicity</v>
      </c>
      <c r="I105" s="55"/>
      <c r="J105" s="55"/>
      <c r="K105" s="55"/>
      <c r="L105" s="55"/>
      <c r="M105" s="55"/>
      <c r="N105" s="55"/>
      <c r="O105" s="55"/>
      <c r="P105" s="55"/>
      <c r="Q105" s="55"/>
      <c r="R105" s="55"/>
      <c r="S105" s="55"/>
      <c r="T105" s="55"/>
      <c r="U105" s="55"/>
    </row>
    <row r="106">
      <c r="A106" s="48" t="s">
        <v>108</v>
      </c>
      <c r="B106" s="56">
        <v>43627.0</v>
      </c>
      <c r="C106" s="48" t="s">
        <v>117</v>
      </c>
      <c r="D106" s="48" t="s">
        <v>313</v>
      </c>
      <c r="E106" s="53"/>
      <c r="F106" s="55" t="str">
        <f>IFERROR(__xludf.DUMMYFUNCTION("QUERY('Volunteer Survey'!B205)"),"Robert Butler")</f>
        <v>Robert Butler</v>
      </c>
      <c r="G106" s="48" t="str">
        <f>IFERROR(__xludf.DUMMYFUNCTION("QUERY('Volunteer Survey'!H205)"),"Comprehensive")</f>
        <v>Comprehensive</v>
      </c>
      <c r="H106" s="55" t="str">
        <f>IFERROR(__xludf.DUMMYFUNCTION("QUERY('Volunteer Survey'!I205)"),"Variant Pathogenicity")</f>
        <v>Variant Pathogenicity</v>
      </c>
      <c r="I106" s="55"/>
      <c r="J106" s="55"/>
      <c r="K106" s="55"/>
      <c r="L106" s="55"/>
      <c r="M106" s="55"/>
      <c r="N106" s="55"/>
      <c r="O106" s="55"/>
      <c r="P106" s="55"/>
      <c r="Q106" s="55"/>
      <c r="R106" s="55"/>
      <c r="S106" s="55"/>
      <c r="T106" s="55"/>
      <c r="U106" s="55"/>
    </row>
    <row r="107">
      <c r="A107" s="48" t="s">
        <v>108</v>
      </c>
      <c r="B107" s="56">
        <v>43626.0</v>
      </c>
      <c r="C107" s="48" t="s">
        <v>117</v>
      </c>
      <c r="D107" s="48" t="s">
        <v>251</v>
      </c>
      <c r="E107" s="53"/>
      <c r="F107" s="55" t="str">
        <f>IFERROR(__xludf.DUMMYFUNCTION("QUERY('Volunteer Survey'!B206)"),"Ljubica Caldovic")</f>
        <v>Ljubica Caldovic</v>
      </c>
      <c r="G107" s="48" t="str">
        <f>IFERROR(__xludf.DUMMYFUNCTION("QUERY('Volunteer Survey'!H206)"),"Comprehensive")</f>
        <v>Comprehensive</v>
      </c>
      <c r="H107" s="55" t="str">
        <f>IFERROR(__xludf.DUMMYFUNCTION("QUERY('Volunteer Survey'!I206)"),"Variant Pathogenicity")</f>
        <v>Variant Pathogenicity</v>
      </c>
      <c r="I107" s="55"/>
      <c r="J107" s="55"/>
      <c r="K107" s="55"/>
      <c r="L107" s="55"/>
      <c r="M107" s="55"/>
      <c r="N107" s="55"/>
      <c r="O107" s="55"/>
      <c r="P107" s="55"/>
      <c r="Q107" s="55"/>
      <c r="R107" s="55"/>
      <c r="S107" s="55"/>
      <c r="T107" s="55"/>
      <c r="U107" s="55"/>
    </row>
    <row r="108">
      <c r="A108" s="48" t="s">
        <v>160</v>
      </c>
      <c r="B108" s="56">
        <v>43627.0</v>
      </c>
      <c r="C108" s="48" t="s">
        <v>117</v>
      </c>
      <c r="D108" s="48" t="s">
        <v>251</v>
      </c>
      <c r="E108" s="51" t="s">
        <v>303</v>
      </c>
      <c r="F108" s="55" t="str">
        <f>IFERROR(__xludf.DUMMYFUNCTION("QUERY('Volunteer Survey'!B207)"),"Joy Goffena")</f>
        <v>Joy Goffena</v>
      </c>
      <c r="G108" s="48" t="str">
        <f>IFERROR(__xludf.DUMMYFUNCTION("QUERY('Volunteer Survey'!H207)"),"Comprehensive")</f>
        <v>Comprehensive</v>
      </c>
      <c r="H108" s="55" t="str">
        <f>IFERROR(__xludf.DUMMYFUNCTION("QUERY('Volunteer Survey'!I207)"),"Variant Pathogenicity")</f>
        <v>Variant Pathogenicity</v>
      </c>
      <c r="I108" s="55"/>
      <c r="J108" s="55"/>
      <c r="K108" s="55"/>
      <c r="L108" s="55"/>
      <c r="M108" s="55"/>
      <c r="N108" s="55"/>
      <c r="O108" s="55"/>
      <c r="P108" s="55"/>
      <c r="Q108" s="55"/>
      <c r="R108" s="55"/>
      <c r="S108" s="55"/>
      <c r="T108" s="55"/>
      <c r="U108" s="55"/>
    </row>
    <row r="109">
      <c r="A109" s="48" t="s">
        <v>108</v>
      </c>
      <c r="B109" s="65">
        <v>43692.0</v>
      </c>
      <c r="C109" s="48" t="s">
        <v>117</v>
      </c>
      <c r="D109" s="48" t="s">
        <v>122</v>
      </c>
      <c r="E109" s="53"/>
      <c r="F109" s="55" t="str">
        <f>IFERROR(__xludf.DUMMYFUNCTION("QUERY('Volunteer Survey'!B208)"),"Amruta Phatak")</f>
        <v>Amruta Phatak</v>
      </c>
      <c r="G109" s="48" t="str">
        <f>IFERROR(__xludf.DUMMYFUNCTION("QUERY('Volunteer Survey'!H208)"),"Comprehensive")</f>
        <v>Comprehensive</v>
      </c>
      <c r="H109" s="55" t="str">
        <f>IFERROR(__xludf.DUMMYFUNCTION("QUERY('Volunteer Survey'!I208)"),"Gene-Disease Validity")</f>
        <v>Gene-Disease Validity</v>
      </c>
      <c r="I109" s="55"/>
      <c r="J109" s="55"/>
      <c r="K109" s="55"/>
      <c r="L109" s="55"/>
      <c r="M109" s="55"/>
      <c r="N109" s="55"/>
      <c r="O109" s="55"/>
      <c r="P109" s="55"/>
      <c r="Q109" s="55"/>
      <c r="R109" s="55"/>
      <c r="S109" s="55"/>
      <c r="T109" s="55"/>
      <c r="U109" s="55"/>
    </row>
    <row r="110">
      <c r="A110" s="48" t="s">
        <v>108</v>
      </c>
      <c r="B110" s="56">
        <v>43627.0</v>
      </c>
      <c r="C110" s="48" t="s">
        <v>117</v>
      </c>
      <c r="D110" s="48" t="s">
        <v>251</v>
      </c>
      <c r="E110" s="53"/>
      <c r="F110" s="55" t="str">
        <f>IFERROR(__xludf.DUMMYFUNCTION("QUERY('Volunteer Survey'!B211)"),"Abdelazeem Elhabyan ")</f>
        <v>Abdelazeem Elhabyan </v>
      </c>
      <c r="G110" s="48" t="str">
        <f>IFERROR(__xludf.DUMMYFUNCTION("QUERY('Volunteer Survey'!H211)"),"Comprehensive")</f>
        <v>Comprehensive</v>
      </c>
      <c r="H110" s="55" t="str">
        <f>IFERROR(__xludf.DUMMYFUNCTION("QUERY('Volunteer Survey'!I211)"),"Variant Pathogenicity")</f>
        <v>Variant Pathogenicity</v>
      </c>
      <c r="I110" s="55"/>
      <c r="J110" s="55"/>
      <c r="K110" s="55"/>
      <c r="L110" s="55"/>
      <c r="M110" s="55"/>
      <c r="N110" s="55"/>
      <c r="O110" s="55"/>
      <c r="P110" s="55"/>
      <c r="Q110" s="55"/>
      <c r="R110" s="55"/>
      <c r="S110" s="55"/>
      <c r="T110" s="55"/>
      <c r="U110" s="55"/>
    </row>
    <row r="111">
      <c r="A111" s="48" t="s">
        <v>108</v>
      </c>
      <c r="B111" s="56">
        <v>43627.0</v>
      </c>
      <c r="C111" s="48" t="s">
        <v>117</v>
      </c>
      <c r="D111" s="48" t="s">
        <v>251</v>
      </c>
      <c r="E111" s="53"/>
      <c r="F111" s="55" t="str">
        <f>IFERROR(__xludf.DUMMYFUNCTION("QUERY('Volunteer Survey'!B216)"),"Carolina Bustamante")</f>
        <v>Carolina Bustamante</v>
      </c>
      <c r="G111" s="48" t="str">
        <f>IFERROR(__xludf.DUMMYFUNCTION("QUERY('Volunteer Survey'!H216)"),"Comprehensive")</f>
        <v>Comprehensive</v>
      </c>
      <c r="H111" s="55" t="str">
        <f>IFERROR(__xludf.DUMMYFUNCTION("QUERY('Volunteer Survey'!I216)"),"Variant Pathogenicity")</f>
        <v>Variant Pathogenicity</v>
      </c>
      <c r="I111" s="55"/>
      <c r="J111" s="55"/>
      <c r="K111" s="55"/>
      <c r="L111" s="55"/>
      <c r="M111" s="55"/>
      <c r="N111" s="55"/>
      <c r="O111" s="55"/>
      <c r="P111" s="55"/>
      <c r="Q111" s="55"/>
      <c r="R111" s="55"/>
      <c r="S111" s="55"/>
      <c r="T111" s="55"/>
      <c r="U111" s="55"/>
    </row>
    <row r="112">
      <c r="A112" s="48" t="s">
        <v>108</v>
      </c>
      <c r="B112" s="65">
        <v>43692.0</v>
      </c>
      <c r="C112" s="48" t="s">
        <v>117</v>
      </c>
      <c r="D112" s="48" t="s">
        <v>122</v>
      </c>
      <c r="E112" s="53"/>
      <c r="F112" s="55" t="str">
        <f>IFERROR(__xludf.DUMMYFUNCTION("QUERY('Volunteer Survey'!B218)"),"Jean Davidson")</f>
        <v>Jean Davidson</v>
      </c>
      <c r="G112" s="48" t="str">
        <f>IFERROR(__xludf.DUMMYFUNCTION("QUERY('Volunteer Survey'!H218)"),"Comprehensive")</f>
        <v>Comprehensive</v>
      </c>
      <c r="H112" s="55" t="str">
        <f>IFERROR(__xludf.DUMMYFUNCTION("QUERY('Volunteer Survey'!I218)"),"Gene-Disease Validity")</f>
        <v>Gene-Disease Validity</v>
      </c>
      <c r="I112" s="55"/>
      <c r="J112" s="55"/>
      <c r="K112" s="55"/>
      <c r="L112" s="55"/>
      <c r="M112" s="55"/>
      <c r="N112" s="55"/>
      <c r="O112" s="55"/>
      <c r="P112" s="55"/>
      <c r="Q112" s="55"/>
      <c r="R112" s="55"/>
      <c r="S112" s="55"/>
      <c r="T112" s="55"/>
      <c r="U112" s="55"/>
    </row>
    <row r="113">
      <c r="A113" s="48" t="s">
        <v>108</v>
      </c>
      <c r="B113" s="56">
        <v>43626.0</v>
      </c>
      <c r="C113" s="48" t="s">
        <v>117</v>
      </c>
      <c r="D113" s="48" t="s">
        <v>313</v>
      </c>
      <c r="E113" s="53"/>
      <c r="F113" s="55" t="str">
        <f>IFERROR(__xludf.DUMMYFUNCTION("QUERY('Volunteer Survey'!B223)"),"Pamela")</f>
        <v>Pamela</v>
      </c>
      <c r="G113" s="48" t="str">
        <f>IFERROR(__xludf.DUMMYFUNCTION("QUERY('Volunteer Survey'!H223)"),"Comprehensive")</f>
        <v>Comprehensive</v>
      </c>
      <c r="H113" s="55" t="str">
        <f>IFERROR(__xludf.DUMMYFUNCTION("QUERY('Volunteer Survey'!I223)"),"Variant Pathogenicity")</f>
        <v>Variant Pathogenicity</v>
      </c>
      <c r="I113" s="55"/>
      <c r="J113" s="55"/>
      <c r="K113" s="55"/>
      <c r="L113" s="55"/>
      <c r="M113" s="55"/>
      <c r="N113" s="55"/>
      <c r="O113" s="55"/>
      <c r="P113" s="55"/>
      <c r="Q113" s="55"/>
      <c r="R113" s="55"/>
      <c r="S113" s="55"/>
      <c r="T113" s="55"/>
      <c r="U113" s="55"/>
    </row>
    <row r="114">
      <c r="A114" s="48" t="s">
        <v>108</v>
      </c>
      <c r="B114" s="65">
        <v>43692.0</v>
      </c>
      <c r="C114" s="48" t="s">
        <v>117</v>
      </c>
      <c r="D114" s="48" t="s">
        <v>122</v>
      </c>
      <c r="E114" s="53"/>
      <c r="F114" s="55" t="str">
        <f>IFERROR(__xludf.DUMMYFUNCTION("QUERY('Volunteer Survey'!B237)"),"Marc Lataillade")</f>
        <v>Marc Lataillade</v>
      </c>
      <c r="G114" s="48" t="str">
        <f>IFERROR(__xludf.DUMMYFUNCTION("QUERY('Volunteer Survey'!H237)"),"Comprehensive")</f>
        <v>Comprehensive</v>
      </c>
      <c r="H114" s="55" t="str">
        <f>IFERROR(__xludf.DUMMYFUNCTION("QUERY('Volunteer Survey'!I237)"),"Gene-Disease Validity")</f>
        <v>Gene-Disease Validity</v>
      </c>
      <c r="I114" s="55"/>
      <c r="J114" s="55"/>
      <c r="K114" s="55"/>
      <c r="L114" s="55"/>
      <c r="M114" s="55"/>
      <c r="N114" s="55"/>
      <c r="O114" s="55"/>
      <c r="P114" s="55"/>
      <c r="Q114" s="55"/>
      <c r="R114" s="55"/>
      <c r="S114" s="55"/>
      <c r="T114" s="55"/>
      <c r="U114" s="55"/>
    </row>
    <row r="115">
      <c r="A115" s="48" t="s">
        <v>160</v>
      </c>
      <c r="B115" s="65">
        <v>43719.0</v>
      </c>
      <c r="C115" s="48" t="s">
        <v>117</v>
      </c>
      <c r="D115" s="48" t="s">
        <v>136</v>
      </c>
      <c r="E115" s="51" t="s">
        <v>317</v>
      </c>
      <c r="F115" s="55" t="str">
        <f>IFERROR(__xludf.DUMMYFUNCTION("QUERY('Volunteer Survey'!B239)"),"Lori Millner")</f>
        <v>Lori Millner</v>
      </c>
      <c r="G115" s="48" t="str">
        <f>IFERROR(__xludf.DUMMYFUNCTION("QUERY('Volunteer Survey'!H239)"),"Comprehensive")</f>
        <v>Comprehensive</v>
      </c>
      <c r="H115" s="55" t="str">
        <f>IFERROR(__xludf.DUMMYFUNCTION("QUERY('Volunteer Survey'!I239)"),"Somatic Cancer")</f>
        <v>Somatic Cancer</v>
      </c>
      <c r="I115" s="55"/>
      <c r="J115" s="55"/>
      <c r="K115" s="55"/>
      <c r="L115" s="55"/>
      <c r="M115" s="55"/>
      <c r="N115" s="55"/>
      <c r="O115" s="55"/>
      <c r="P115" s="55"/>
      <c r="Q115" s="55"/>
      <c r="R115" s="55"/>
      <c r="S115" s="55"/>
      <c r="T115" s="55"/>
      <c r="U115" s="55"/>
    </row>
    <row r="116">
      <c r="A116" s="48" t="s">
        <v>108</v>
      </c>
      <c r="B116" s="65">
        <v>43692.0</v>
      </c>
      <c r="C116" s="48" t="s">
        <v>117</v>
      </c>
      <c r="D116" s="48" t="s">
        <v>122</v>
      </c>
      <c r="E116" s="53"/>
      <c r="F116" s="55" t="str">
        <f>IFERROR(__xludf.DUMMYFUNCTION("QUERY('Volunteer Survey'!B245)"),"Mayher Patel")</f>
        <v>Mayher Patel</v>
      </c>
      <c r="G116" s="48" t="str">
        <f>IFERROR(__xludf.DUMMYFUNCTION("QUERY('Volunteer Survey'!H245)"),"Comprehensive")</f>
        <v>Comprehensive</v>
      </c>
      <c r="H116" s="55" t="str">
        <f>IFERROR(__xludf.DUMMYFUNCTION("QUERY('Volunteer Survey'!I245)"),"Gene-Disease Validity")</f>
        <v>Gene-Disease Validity</v>
      </c>
      <c r="I116" s="55"/>
      <c r="J116" s="55"/>
      <c r="K116" s="55"/>
      <c r="L116" s="55"/>
      <c r="M116" s="55"/>
      <c r="N116" s="55"/>
      <c r="O116" s="55"/>
      <c r="P116" s="55"/>
      <c r="Q116" s="55"/>
      <c r="R116" s="55"/>
      <c r="S116" s="55"/>
      <c r="T116" s="55"/>
      <c r="U116" s="55"/>
    </row>
    <row r="117">
      <c r="A117" s="48" t="s">
        <v>108</v>
      </c>
      <c r="B117" s="65">
        <v>43692.0</v>
      </c>
      <c r="C117" s="48" t="s">
        <v>117</v>
      </c>
      <c r="D117" s="48" t="s">
        <v>122</v>
      </c>
      <c r="E117" s="53"/>
      <c r="F117" s="55" t="str">
        <f>IFERROR(__xludf.DUMMYFUNCTION("QUERY('Volunteer Survey'!B247)"),"Hwaida Hannoush")</f>
        <v>Hwaida Hannoush</v>
      </c>
      <c r="G117" s="48" t="str">
        <f>IFERROR(__xludf.DUMMYFUNCTION("QUERY('Volunteer Survey'!H247)"),"Comprehensive")</f>
        <v>Comprehensive</v>
      </c>
      <c r="H117" s="55" t="str">
        <f>IFERROR(__xludf.DUMMYFUNCTION("QUERY('Volunteer Survey'!I247)"),"Gene-Disease Validity")</f>
        <v>Gene-Disease Validity</v>
      </c>
      <c r="I117" s="55"/>
      <c r="J117" s="55"/>
      <c r="K117" s="55"/>
      <c r="L117" s="55"/>
      <c r="M117" s="55"/>
      <c r="N117" s="55"/>
      <c r="O117" s="55"/>
      <c r="P117" s="55"/>
      <c r="Q117" s="55"/>
      <c r="R117" s="55"/>
      <c r="S117" s="55"/>
      <c r="T117" s="55"/>
      <c r="U117" s="55"/>
    </row>
    <row r="118">
      <c r="A118" s="48" t="s">
        <v>160</v>
      </c>
      <c r="B118" s="65">
        <v>43719.0</v>
      </c>
      <c r="C118" s="48" t="s">
        <v>117</v>
      </c>
      <c r="D118" s="48" t="s">
        <v>136</v>
      </c>
      <c r="E118" s="51" t="s">
        <v>319</v>
      </c>
      <c r="F118" s="55" t="str">
        <f>IFERROR(__xludf.DUMMYFUNCTION("QUERY('Volunteer Survey'!B256)"),"Panieh Terraf")</f>
        <v>Panieh Terraf</v>
      </c>
      <c r="G118" s="48" t="str">
        <f>IFERROR(__xludf.DUMMYFUNCTION("QUERY('Volunteer Survey'!H256)"),"Comprehensive")</f>
        <v>Comprehensive</v>
      </c>
      <c r="H118" s="55" t="str">
        <f>IFERROR(__xludf.DUMMYFUNCTION("QUERY('Volunteer Survey'!I256)"),"Somatic Cancer")</f>
        <v>Somatic Cancer</v>
      </c>
      <c r="I118" s="55"/>
      <c r="J118" s="55"/>
      <c r="K118" s="55"/>
      <c r="L118" s="55"/>
      <c r="M118" s="55"/>
      <c r="N118" s="55"/>
      <c r="O118" s="55"/>
      <c r="P118" s="55"/>
      <c r="Q118" s="55"/>
      <c r="R118" s="55"/>
      <c r="S118" s="55"/>
      <c r="T118" s="55"/>
      <c r="U118" s="55"/>
    </row>
    <row r="119">
      <c r="A119" s="48" t="s">
        <v>108</v>
      </c>
      <c r="B119" s="65">
        <v>43719.0</v>
      </c>
      <c r="C119" s="48" t="s">
        <v>117</v>
      </c>
      <c r="D119" s="48" t="s">
        <v>136</v>
      </c>
      <c r="E119" s="51"/>
      <c r="F119" s="55" t="str">
        <f>IFERROR(__xludf.DUMMYFUNCTION("QUERY('Volunteer Survey'!B258)"),"Eric Kil")</f>
        <v>Eric Kil</v>
      </c>
      <c r="G119" s="48" t="str">
        <f>IFERROR(__xludf.DUMMYFUNCTION("QUERY('Volunteer Survey'!H258)"),"comprehensive")</f>
        <v>comprehensive</v>
      </c>
      <c r="H119" s="55" t="str">
        <f>IFERROR(__xludf.DUMMYFUNCTION("QUERY('Volunteer Survey'!I258)"),"Somatic Cancer")</f>
        <v>Somatic Cancer</v>
      </c>
      <c r="I119" s="55"/>
      <c r="J119" s="55"/>
      <c r="K119" s="55"/>
      <c r="L119" s="55"/>
      <c r="M119" s="55"/>
      <c r="N119" s="55"/>
      <c r="O119" s="55"/>
      <c r="P119" s="55"/>
      <c r="Q119" s="55"/>
      <c r="R119" s="55"/>
      <c r="S119" s="55"/>
      <c r="T119" s="55"/>
      <c r="U119" s="55"/>
    </row>
    <row r="120">
      <c r="A120" s="48" t="s">
        <v>160</v>
      </c>
      <c r="B120" s="65">
        <v>43719.0</v>
      </c>
      <c r="C120" s="48" t="s">
        <v>117</v>
      </c>
      <c r="D120" s="48" t="s">
        <v>136</v>
      </c>
      <c r="E120" s="51" t="s">
        <v>320</v>
      </c>
      <c r="F120" s="55" t="str">
        <f>IFERROR(__xludf.DUMMYFUNCTION("QUERY('Volunteer Survey'!B259)"),"Joseph Steward")</f>
        <v>Joseph Steward</v>
      </c>
      <c r="G120" s="48" t="str">
        <f>IFERROR(__xludf.DUMMYFUNCTION("QUERY('Volunteer Survey'!H259)"),"comprehensive")</f>
        <v>comprehensive</v>
      </c>
      <c r="H120" s="55" t="str">
        <f>IFERROR(__xludf.DUMMYFUNCTION("QUERY('Volunteer Survey'!I259)"),"Somatic Cancer")</f>
        <v>Somatic Cancer</v>
      </c>
      <c r="I120" s="55"/>
      <c r="J120" s="55"/>
      <c r="K120" s="55"/>
      <c r="L120" s="55"/>
      <c r="M120" s="55"/>
      <c r="N120" s="55"/>
      <c r="O120" s="55"/>
      <c r="P120" s="55"/>
      <c r="Q120" s="55"/>
      <c r="R120" s="55"/>
      <c r="S120" s="55"/>
      <c r="T120" s="55"/>
      <c r="U120" s="55"/>
    </row>
    <row r="121">
      <c r="A121" s="48" t="s">
        <v>108</v>
      </c>
      <c r="B121" s="65">
        <v>43692.0</v>
      </c>
      <c r="C121" s="48" t="s">
        <v>117</v>
      </c>
      <c r="D121" s="48" t="s">
        <v>122</v>
      </c>
      <c r="E121" s="53"/>
      <c r="F121" s="55" t="str">
        <f>IFERROR(__xludf.DUMMYFUNCTION("QUERY('Volunteer Survey'!B266)"),"SAILATHA RAVI")</f>
        <v>SAILATHA RAVI</v>
      </c>
      <c r="G121" s="48" t="str">
        <f>IFERROR(__xludf.DUMMYFUNCTION("QUERY('Volunteer Survey'!H266)"),"Comprehensive")</f>
        <v>Comprehensive</v>
      </c>
      <c r="H121" s="55" t="str">
        <f>IFERROR(__xludf.DUMMYFUNCTION("QUERY('Volunteer Survey'!I266)"),"Gene-Disease Validity")</f>
        <v>Gene-Disease Validity</v>
      </c>
      <c r="I121" s="55"/>
      <c r="J121" s="55"/>
      <c r="K121" s="55"/>
      <c r="L121" s="55"/>
      <c r="M121" s="55"/>
      <c r="N121" s="55"/>
      <c r="O121" s="55"/>
      <c r="P121" s="55"/>
      <c r="Q121" s="55"/>
      <c r="R121" s="55"/>
      <c r="S121" s="55"/>
      <c r="T121" s="55"/>
      <c r="U121" s="55"/>
    </row>
    <row r="122">
      <c r="A122" s="48" t="s">
        <v>160</v>
      </c>
      <c r="B122" s="56">
        <v>43719.0</v>
      </c>
      <c r="C122" s="48" t="s">
        <v>117</v>
      </c>
      <c r="D122" s="48" t="s">
        <v>136</v>
      </c>
      <c r="E122" s="51" t="s">
        <v>321</v>
      </c>
      <c r="F122" s="55" t="str">
        <f>IFERROR(__xludf.DUMMYFUNCTION("QUERY('Volunteer Survey'!B275)"),"FENGLI ZHANG")</f>
        <v>FENGLI ZHANG</v>
      </c>
      <c r="G122" s="48" t="str">
        <f>IFERROR(__xludf.DUMMYFUNCTION("QUERY('Volunteer Survey'!H275)"),"Comprehensive")</f>
        <v>Comprehensive</v>
      </c>
      <c r="H122" s="55" t="str">
        <f>IFERROR(__xludf.DUMMYFUNCTION("QUERY('Volunteer Survey'!I275)"),"Somatic Cancer")</f>
        <v>Somatic Cancer</v>
      </c>
      <c r="I122" s="55"/>
      <c r="J122" s="55"/>
      <c r="K122" s="55"/>
      <c r="L122" s="55"/>
      <c r="M122" s="55"/>
      <c r="N122" s="55"/>
      <c r="O122" s="55"/>
      <c r="P122" s="55"/>
      <c r="Q122" s="55"/>
      <c r="R122" s="55"/>
      <c r="S122" s="55"/>
      <c r="T122" s="55"/>
      <c r="U122" s="55"/>
    </row>
    <row r="123">
      <c r="A123" s="48" t="s">
        <v>108</v>
      </c>
      <c r="B123" s="56">
        <v>43626.0</v>
      </c>
      <c r="C123" s="48" t="s">
        <v>117</v>
      </c>
      <c r="D123" s="48" t="s">
        <v>251</v>
      </c>
      <c r="E123" s="53"/>
      <c r="F123" s="55" t="str">
        <f>IFERROR(__xludf.DUMMYFUNCTION("QUERY('Volunteer Survey'!B292)"),"Tomohiko Ai")</f>
        <v>Tomohiko Ai</v>
      </c>
      <c r="G123" s="48" t="str">
        <f>IFERROR(__xludf.DUMMYFUNCTION("QUERY('Volunteer Survey'!H292)"),"Comprehensive")</f>
        <v>Comprehensive</v>
      </c>
      <c r="H123" s="55" t="str">
        <f>IFERROR(__xludf.DUMMYFUNCTION("QUERY('Volunteer Survey'!I292)"),"Variant Pathogenicity")</f>
        <v>Variant Pathogenicity</v>
      </c>
      <c r="I123" s="55"/>
      <c r="J123" s="55"/>
      <c r="K123" s="55"/>
      <c r="L123" s="55"/>
      <c r="M123" s="55"/>
      <c r="N123" s="55"/>
      <c r="O123" s="55"/>
      <c r="P123" s="55"/>
      <c r="Q123" s="55"/>
      <c r="R123" s="55"/>
      <c r="S123" s="55"/>
      <c r="T123" s="55"/>
      <c r="U123" s="55"/>
    </row>
    <row r="124">
      <c r="A124" s="48" t="s">
        <v>108</v>
      </c>
      <c r="B124" s="56">
        <v>42124.0</v>
      </c>
      <c r="C124" s="48" t="s">
        <v>117</v>
      </c>
      <c r="D124" s="48" t="s">
        <v>122</v>
      </c>
      <c r="E124" s="53"/>
      <c r="F124" s="55" t="str">
        <f>IFERROR(__xludf.DUMMYFUNCTION("QUERY('Volunteer Survey'!B293)"),"Coumarane Mani")</f>
        <v>Coumarane Mani</v>
      </c>
      <c r="G124" s="48" t="str">
        <f>IFERROR(__xludf.DUMMYFUNCTION("QUERY('Volunteer Survey'!H293)"),"Comprehensive")</f>
        <v>Comprehensive</v>
      </c>
      <c r="H124" s="55" t="str">
        <f>IFERROR(__xludf.DUMMYFUNCTION("QUERY('Volunteer Survey'!I293)"),"Gene-Disease Validity")</f>
        <v>Gene-Disease Validity</v>
      </c>
      <c r="I124" s="55"/>
      <c r="J124" s="55"/>
      <c r="K124" s="55"/>
      <c r="L124" s="55"/>
      <c r="M124" s="55"/>
      <c r="N124" s="55"/>
      <c r="O124" s="55"/>
      <c r="P124" s="55"/>
      <c r="Q124" s="55"/>
      <c r="R124" s="55"/>
      <c r="S124" s="55"/>
      <c r="T124" s="55"/>
      <c r="U124" s="55"/>
    </row>
    <row r="125">
      <c r="A125" s="48" t="s">
        <v>108</v>
      </c>
      <c r="B125" s="56">
        <v>43605.0</v>
      </c>
      <c r="C125" s="48" t="s">
        <v>117</v>
      </c>
      <c r="D125" s="48" t="s">
        <v>251</v>
      </c>
      <c r="E125" s="53"/>
      <c r="F125" s="55" t="str">
        <f>IFERROR(__xludf.DUMMYFUNCTION("QUERY('Volunteer Survey'!B294)"),"Coumarane Mani")</f>
        <v>Coumarane Mani</v>
      </c>
      <c r="G125" s="48" t="str">
        <f>IFERROR(__xludf.DUMMYFUNCTION("QUERY('Volunteer Survey'!H294)"),"Comprehensive")</f>
        <v>Comprehensive</v>
      </c>
      <c r="H125" s="55" t="str">
        <f>IFERROR(__xludf.DUMMYFUNCTION("QUERY('Volunteer Survey'!I294)"),"Variant Pathogenicity")</f>
        <v>Variant Pathogenicity</v>
      </c>
      <c r="I125" s="55"/>
      <c r="J125" s="55"/>
      <c r="K125" s="55"/>
      <c r="L125" s="55"/>
      <c r="M125" s="55"/>
      <c r="N125" s="55"/>
      <c r="O125" s="55"/>
      <c r="P125" s="55"/>
      <c r="Q125" s="55"/>
      <c r="R125" s="55"/>
      <c r="S125" s="55"/>
      <c r="T125" s="55"/>
      <c r="U125" s="55"/>
    </row>
    <row r="126">
      <c r="A126" s="48" t="s">
        <v>108</v>
      </c>
      <c r="B126" s="56">
        <v>47258.0</v>
      </c>
      <c r="C126" s="48" t="s">
        <v>117</v>
      </c>
      <c r="D126" s="48" t="s">
        <v>251</v>
      </c>
      <c r="E126" s="53"/>
      <c r="F126" s="55" t="str">
        <f>IFERROR(__xludf.DUMMYFUNCTION("QUERY('Volunteer Survey'!B295)"),"Diogo Ventura Lovato")</f>
        <v>Diogo Ventura Lovato</v>
      </c>
      <c r="G126" s="48" t="str">
        <f>IFERROR(__xludf.DUMMYFUNCTION("QUERY('Volunteer Survey'!H295)"),"Comprehensive")</f>
        <v>Comprehensive</v>
      </c>
      <c r="H126" s="55" t="str">
        <f>IFERROR(__xludf.DUMMYFUNCTION("QUERY('Volunteer Survey'!I295)"),"Variant Pathogenicity")</f>
        <v>Variant Pathogenicity</v>
      </c>
      <c r="I126" s="55"/>
      <c r="J126" s="55"/>
      <c r="K126" s="55"/>
      <c r="L126" s="55"/>
      <c r="M126" s="55"/>
      <c r="N126" s="55"/>
      <c r="O126" s="55"/>
      <c r="P126" s="55"/>
      <c r="Q126" s="55"/>
      <c r="R126" s="55"/>
      <c r="S126" s="55"/>
      <c r="T126" s="55"/>
      <c r="U126" s="55"/>
    </row>
    <row r="127">
      <c r="A127" s="48" t="s">
        <v>108</v>
      </c>
      <c r="B127" s="56">
        <v>43626.0</v>
      </c>
      <c r="C127" s="48" t="s">
        <v>117</v>
      </c>
      <c r="D127" s="48" t="s">
        <v>251</v>
      </c>
      <c r="E127" s="53"/>
      <c r="F127" s="55" t="str">
        <f>IFERROR(__xludf.DUMMYFUNCTION("QUERY('Volunteer Survey'!B296)"),"Elaine Spector")</f>
        <v>Elaine Spector</v>
      </c>
      <c r="G127" s="48" t="str">
        <f>IFERROR(__xludf.DUMMYFUNCTION("QUERY('Volunteer Survey'!H296)"),"Comprehensive")</f>
        <v>Comprehensive</v>
      </c>
      <c r="H127" s="55" t="str">
        <f>IFERROR(__xludf.DUMMYFUNCTION("QUERY('Volunteer Survey'!I296)"),"Variant Pathogenicity")</f>
        <v>Variant Pathogenicity</v>
      </c>
      <c r="I127" s="55"/>
      <c r="J127" s="55"/>
      <c r="K127" s="55"/>
      <c r="L127" s="55"/>
      <c r="M127" s="55"/>
      <c r="N127" s="55"/>
      <c r="O127" s="55"/>
      <c r="P127" s="55"/>
      <c r="Q127" s="55"/>
      <c r="R127" s="55"/>
      <c r="S127" s="55"/>
      <c r="T127" s="55"/>
      <c r="U127" s="55"/>
    </row>
    <row r="128">
      <c r="A128" s="48" t="s">
        <v>108</v>
      </c>
      <c r="B128" s="56">
        <v>43608.0</v>
      </c>
      <c r="C128" s="48" t="s">
        <v>117</v>
      </c>
      <c r="D128" s="48" t="s">
        <v>251</v>
      </c>
      <c r="E128" s="51" t="s">
        <v>305</v>
      </c>
      <c r="F128" s="55" t="str">
        <f>IFERROR(__xludf.DUMMYFUNCTION("QUERY('Volunteer Survey'!B297)"),"Laura Fuqua")</f>
        <v>Laura Fuqua</v>
      </c>
      <c r="G128" s="48" t="str">
        <f>IFERROR(__xludf.DUMMYFUNCTION("QUERY('Volunteer Survey'!H297)"),"Comprehensive")</f>
        <v>Comprehensive</v>
      </c>
      <c r="H128" s="55" t="str">
        <f>IFERROR(__xludf.DUMMYFUNCTION("QUERY('Volunteer Survey'!I297)"),"Variant Pathogenicity")</f>
        <v>Variant Pathogenicity</v>
      </c>
      <c r="I128" s="55"/>
      <c r="J128" s="55"/>
      <c r="K128" s="55"/>
      <c r="L128" s="55"/>
      <c r="M128" s="55"/>
      <c r="N128" s="55"/>
      <c r="O128" s="55"/>
      <c r="P128" s="55"/>
      <c r="Q128" s="55"/>
      <c r="R128" s="55"/>
      <c r="S128" s="55"/>
      <c r="T128" s="55"/>
      <c r="U128" s="55"/>
    </row>
    <row r="129">
      <c r="A129" s="48" t="s">
        <v>322</v>
      </c>
      <c r="B129" s="55"/>
      <c r="C129" s="55"/>
      <c r="D129" s="48" t="s">
        <v>313</v>
      </c>
      <c r="E129" s="53"/>
      <c r="F129" s="55" t="str">
        <f>IFERROR(__xludf.DUMMYFUNCTION("QUERY('Volunteer Survey'!B405)"),"")</f>
        <v/>
      </c>
      <c r="G129" s="48" t="str">
        <f>IFERROR(__xludf.DUMMYFUNCTION("QUERY('Volunteer Survey'!H405)"),"")</f>
        <v/>
      </c>
      <c r="H129" s="55" t="str">
        <f>IFERROR(__xludf.DUMMYFUNCTION("QUERY('Volunteer Survey'!I405)"),"")</f>
        <v/>
      </c>
      <c r="I129" s="55"/>
      <c r="J129" s="55"/>
      <c r="K129" s="55"/>
      <c r="L129" s="55"/>
      <c r="M129" s="55"/>
      <c r="N129" s="55"/>
      <c r="O129" s="55"/>
      <c r="P129" s="55"/>
      <c r="Q129" s="55"/>
      <c r="R129" s="55"/>
      <c r="S129" s="55"/>
      <c r="T129" s="55"/>
      <c r="U129" s="55"/>
    </row>
    <row r="130">
      <c r="A130" s="48" t="s">
        <v>322</v>
      </c>
      <c r="B130" s="55"/>
      <c r="C130" s="55"/>
      <c r="D130" s="48" t="s">
        <v>313</v>
      </c>
      <c r="E130" s="53"/>
      <c r="F130" s="55" t="str">
        <f>IFERROR(__xludf.DUMMYFUNCTION("QUERY('Volunteer Survey'!B406)"),"")</f>
        <v/>
      </c>
      <c r="G130" s="48" t="str">
        <f>IFERROR(__xludf.DUMMYFUNCTION("QUERY('Volunteer Survey'!H406)"),"")</f>
        <v/>
      </c>
      <c r="H130" s="55" t="str">
        <f>IFERROR(__xludf.DUMMYFUNCTION("QUERY('Volunteer Survey'!I406)"),"")</f>
        <v/>
      </c>
      <c r="I130" s="55"/>
      <c r="J130" s="55"/>
      <c r="K130" s="55"/>
      <c r="L130" s="55"/>
      <c r="M130" s="55"/>
      <c r="N130" s="55"/>
      <c r="O130" s="55"/>
      <c r="P130" s="55"/>
      <c r="Q130" s="55"/>
      <c r="R130" s="55"/>
      <c r="S130" s="55"/>
      <c r="T130" s="55"/>
      <c r="U130" s="55"/>
    </row>
    <row r="131">
      <c r="A131" s="48" t="s">
        <v>322</v>
      </c>
      <c r="B131" s="55"/>
      <c r="C131" s="55"/>
      <c r="D131" s="48" t="s">
        <v>313</v>
      </c>
      <c r="E131" s="53"/>
      <c r="F131" s="55" t="str">
        <f>IFERROR(__xludf.DUMMYFUNCTION("QUERY('Volunteer Survey'!B407)"),"")</f>
        <v/>
      </c>
      <c r="G131" s="48" t="str">
        <f>IFERROR(__xludf.DUMMYFUNCTION("QUERY('Volunteer Survey'!H407)"),"")</f>
        <v/>
      </c>
      <c r="H131" s="55" t="str">
        <f>IFERROR(__xludf.DUMMYFUNCTION("QUERY('Volunteer Survey'!I728)"),"")</f>
        <v/>
      </c>
      <c r="I131" s="55"/>
      <c r="J131" s="55"/>
      <c r="K131" s="55"/>
      <c r="L131" s="55"/>
      <c r="M131" s="55"/>
      <c r="N131" s="55"/>
      <c r="O131" s="55"/>
      <c r="P131" s="55"/>
      <c r="Q131" s="55"/>
      <c r="R131" s="55"/>
      <c r="S131" s="55"/>
      <c r="T131" s="55"/>
      <c r="U131" s="55"/>
    </row>
    <row r="132">
      <c r="A132" s="48" t="s">
        <v>322</v>
      </c>
      <c r="B132" s="55"/>
      <c r="C132" s="55"/>
      <c r="D132" s="48" t="s">
        <v>313</v>
      </c>
      <c r="E132" s="53"/>
      <c r="F132" s="55" t="str">
        <f>IFERROR(__xludf.DUMMYFUNCTION("QUERY('Volunteer Survey'!B408)"),"")</f>
        <v/>
      </c>
      <c r="G132" s="48" t="str">
        <f>IFERROR(__xludf.DUMMYFUNCTION("QUERY('Volunteer Survey'!H408)"),"")</f>
        <v/>
      </c>
      <c r="H132" s="55" t="str">
        <f>IFERROR(__xludf.DUMMYFUNCTION("QUERY('Volunteer Survey'!I729)"),"")</f>
        <v/>
      </c>
      <c r="I132" s="55"/>
      <c r="J132" s="55"/>
      <c r="K132" s="55"/>
      <c r="L132" s="55"/>
      <c r="M132" s="55"/>
      <c r="N132" s="55"/>
      <c r="O132" s="55"/>
      <c r="P132" s="55"/>
      <c r="Q132" s="55"/>
      <c r="R132" s="55"/>
      <c r="S132" s="55"/>
      <c r="T132" s="55"/>
      <c r="U132" s="55"/>
    </row>
    <row r="133">
      <c r="A133" s="48" t="s">
        <v>322</v>
      </c>
      <c r="B133" s="55"/>
      <c r="C133" s="55"/>
      <c r="D133" s="48" t="s">
        <v>313</v>
      </c>
      <c r="E133" s="53"/>
      <c r="F133" s="55" t="str">
        <f>IFERROR(__xludf.DUMMYFUNCTION("QUERY('Volunteer Survey'!B409)"),"")</f>
        <v/>
      </c>
      <c r="G133" s="48" t="str">
        <f>IFERROR(__xludf.DUMMYFUNCTION("QUERY('Volunteer Survey'!H730)"),"")</f>
        <v/>
      </c>
      <c r="H133" s="55" t="str">
        <f>IFERROR(__xludf.DUMMYFUNCTION("QUERY('Volunteer Survey'!I730)"),"")</f>
        <v/>
      </c>
      <c r="I133" s="55"/>
      <c r="J133" s="55"/>
      <c r="K133" s="55"/>
      <c r="L133" s="55"/>
      <c r="M133" s="55"/>
      <c r="N133" s="55"/>
      <c r="O133" s="55"/>
      <c r="P133" s="55"/>
      <c r="Q133" s="55"/>
      <c r="R133" s="55"/>
      <c r="S133" s="55"/>
      <c r="T133" s="55"/>
      <c r="U133" s="55"/>
    </row>
    <row r="134">
      <c r="A134" s="48" t="s">
        <v>322</v>
      </c>
      <c r="B134" s="55"/>
      <c r="C134" s="55"/>
      <c r="D134" s="48" t="s">
        <v>313</v>
      </c>
      <c r="E134" s="53"/>
      <c r="F134" s="55" t="str">
        <f>IFERROR(__xludf.DUMMYFUNCTION("QUERY('Volunteer Survey'!B410)"),"")</f>
        <v/>
      </c>
      <c r="G134" s="48" t="str">
        <f>IFERROR(__xludf.DUMMYFUNCTION("QUERY('Volunteer Survey'!H731)"),"")</f>
        <v/>
      </c>
      <c r="H134" s="55" t="str">
        <f>IFERROR(__xludf.DUMMYFUNCTION("QUERY('Volunteer Survey'!I731)"),"")</f>
        <v/>
      </c>
      <c r="I134" s="55"/>
      <c r="J134" s="55"/>
      <c r="K134" s="55"/>
      <c r="L134" s="55"/>
      <c r="M134" s="55"/>
      <c r="N134" s="55"/>
      <c r="O134" s="55"/>
      <c r="P134" s="55"/>
      <c r="Q134" s="55"/>
      <c r="R134" s="55"/>
      <c r="S134" s="55"/>
      <c r="T134" s="55"/>
      <c r="U134" s="55"/>
    </row>
    <row r="135">
      <c r="A135" s="48" t="s">
        <v>322</v>
      </c>
      <c r="B135" s="55"/>
      <c r="C135" s="55"/>
      <c r="D135" s="48" t="s">
        <v>313</v>
      </c>
      <c r="E135" s="53"/>
      <c r="F135" s="55" t="str">
        <f>IFERROR(__xludf.DUMMYFUNCTION("QUERY('Volunteer Survey'!B411)"),"")</f>
        <v/>
      </c>
      <c r="G135" s="48" t="str">
        <f>IFERROR(__xludf.DUMMYFUNCTION("QUERY('Volunteer Survey'!H732)"),"")</f>
        <v/>
      </c>
      <c r="H135" s="55" t="str">
        <f>IFERROR(__xludf.DUMMYFUNCTION("QUERY('Volunteer Survey'!I732)"),"")</f>
        <v/>
      </c>
      <c r="I135" s="55"/>
      <c r="J135" s="55"/>
      <c r="K135" s="55"/>
      <c r="L135" s="55"/>
      <c r="M135" s="55"/>
      <c r="N135" s="55"/>
      <c r="O135" s="55"/>
      <c r="P135" s="55"/>
      <c r="Q135" s="55"/>
      <c r="R135" s="55"/>
      <c r="S135" s="55"/>
      <c r="T135" s="55"/>
      <c r="U135" s="55"/>
    </row>
    <row r="136">
      <c r="A136" s="48" t="s">
        <v>322</v>
      </c>
      <c r="B136" s="55"/>
      <c r="C136" s="55"/>
      <c r="D136" s="48" t="s">
        <v>313</v>
      </c>
      <c r="E136" s="53"/>
      <c r="F136" s="55" t="str">
        <f>IFERROR(__xludf.DUMMYFUNCTION("QUERY('Volunteer Survey'!B416)"),"")</f>
        <v/>
      </c>
      <c r="G136" s="48" t="str">
        <f>IFERROR(__xludf.DUMMYFUNCTION("QUERY('Volunteer Survey'!H733)"),"")</f>
        <v/>
      </c>
      <c r="H136" s="55" t="str">
        <f>IFERROR(__xludf.DUMMYFUNCTION("QUERY('Volunteer Survey'!I733)"),"")</f>
        <v/>
      </c>
      <c r="I136" s="55"/>
      <c r="J136" s="55"/>
      <c r="K136" s="55"/>
      <c r="L136" s="55"/>
      <c r="M136" s="55"/>
      <c r="N136" s="55"/>
      <c r="O136" s="55"/>
      <c r="P136" s="55"/>
      <c r="Q136" s="55"/>
      <c r="R136" s="55"/>
      <c r="S136" s="55"/>
      <c r="T136" s="55"/>
      <c r="U136" s="55"/>
    </row>
    <row r="137">
      <c r="A137" s="48" t="s">
        <v>322</v>
      </c>
      <c r="B137" s="55"/>
      <c r="C137" s="55"/>
      <c r="D137" s="48" t="s">
        <v>313</v>
      </c>
      <c r="E137" s="53"/>
      <c r="F137" s="55" t="str">
        <f>IFERROR(__xludf.DUMMYFUNCTION("QUERY('Volunteer Survey'!B734)"),"")</f>
        <v/>
      </c>
      <c r="G137" s="48" t="str">
        <f>IFERROR(__xludf.DUMMYFUNCTION("QUERY('Volunteer Survey'!H734)"),"")</f>
        <v/>
      </c>
      <c r="H137" s="55" t="str">
        <f>IFERROR(__xludf.DUMMYFUNCTION("QUERY('Volunteer Survey'!I734)"),"")</f>
        <v/>
      </c>
      <c r="I137" s="55"/>
      <c r="J137" s="55"/>
      <c r="K137" s="55"/>
      <c r="L137" s="55"/>
      <c r="M137" s="55"/>
      <c r="N137" s="55"/>
      <c r="O137" s="55"/>
      <c r="P137" s="55"/>
      <c r="Q137" s="55"/>
      <c r="R137" s="55"/>
      <c r="S137" s="55"/>
      <c r="T137" s="55"/>
      <c r="U137" s="55"/>
    </row>
    <row r="138">
      <c r="A138" s="48" t="s">
        <v>322</v>
      </c>
      <c r="B138" s="55"/>
      <c r="C138" s="55"/>
      <c r="D138" s="48" t="s">
        <v>313</v>
      </c>
      <c r="E138" s="53"/>
      <c r="F138" s="55" t="str">
        <f>IFERROR(__xludf.DUMMYFUNCTION("QUERY('Volunteer Survey'!B735)"),"")</f>
        <v/>
      </c>
      <c r="G138" s="48" t="str">
        <f>IFERROR(__xludf.DUMMYFUNCTION("QUERY('Volunteer Survey'!H735)"),"")</f>
        <v/>
      </c>
      <c r="H138" s="55" t="str">
        <f>IFERROR(__xludf.DUMMYFUNCTION("QUERY('Volunteer Survey'!I735)"),"")</f>
        <v/>
      </c>
      <c r="I138" s="55"/>
      <c r="J138" s="55"/>
      <c r="K138" s="55"/>
      <c r="L138" s="55"/>
      <c r="M138" s="55"/>
      <c r="N138" s="55"/>
      <c r="O138" s="55"/>
      <c r="P138" s="55"/>
      <c r="Q138" s="55"/>
      <c r="R138" s="55"/>
      <c r="S138" s="55"/>
      <c r="T138" s="55"/>
      <c r="U138" s="55"/>
    </row>
    <row r="139">
      <c r="A139" s="48" t="s">
        <v>322</v>
      </c>
      <c r="B139" s="55"/>
      <c r="C139" s="55"/>
      <c r="D139" s="48" t="s">
        <v>313</v>
      </c>
      <c r="E139" s="53"/>
      <c r="F139" s="55" t="str">
        <f>IFERROR(__xludf.DUMMYFUNCTION("QUERY('Volunteer Survey'!B736)"),"")</f>
        <v/>
      </c>
      <c r="G139" s="48" t="str">
        <f>IFERROR(__xludf.DUMMYFUNCTION("QUERY('Volunteer Survey'!H736)"),"")</f>
        <v/>
      </c>
      <c r="H139" s="55" t="str">
        <f>IFERROR(__xludf.DUMMYFUNCTION("QUERY('Volunteer Survey'!I736)"),"")</f>
        <v/>
      </c>
      <c r="I139" s="55"/>
      <c r="J139" s="55"/>
      <c r="K139" s="55"/>
      <c r="L139" s="55"/>
      <c r="M139" s="55"/>
      <c r="N139" s="55"/>
      <c r="O139" s="55"/>
      <c r="P139" s="55"/>
      <c r="Q139" s="55"/>
      <c r="R139" s="55"/>
      <c r="S139" s="55"/>
      <c r="T139" s="55"/>
      <c r="U139" s="55"/>
    </row>
    <row r="140">
      <c r="A140" s="48" t="s">
        <v>322</v>
      </c>
      <c r="B140" s="55"/>
      <c r="C140" s="55"/>
      <c r="D140" s="48" t="s">
        <v>313</v>
      </c>
      <c r="E140" s="53"/>
      <c r="F140" s="55" t="str">
        <f>IFERROR(__xludf.DUMMYFUNCTION("QUERY('Volunteer Survey'!B737)"),"")</f>
        <v/>
      </c>
      <c r="G140" s="48" t="str">
        <f>IFERROR(__xludf.DUMMYFUNCTION("QUERY('Volunteer Survey'!H737)"),"")</f>
        <v/>
      </c>
      <c r="H140" s="55" t="str">
        <f>IFERROR(__xludf.DUMMYFUNCTION("QUERY('Volunteer Survey'!I737)"),"")</f>
        <v/>
      </c>
      <c r="I140" s="55"/>
      <c r="J140" s="55"/>
      <c r="K140" s="55"/>
      <c r="L140" s="55"/>
      <c r="M140" s="55"/>
      <c r="N140" s="55"/>
      <c r="O140" s="55"/>
      <c r="P140" s="55"/>
      <c r="Q140" s="55"/>
      <c r="R140" s="55"/>
      <c r="S140" s="55"/>
      <c r="T140" s="55"/>
      <c r="U140" s="55"/>
    </row>
    <row r="141">
      <c r="A141" s="48" t="s">
        <v>322</v>
      </c>
      <c r="B141" s="55"/>
      <c r="C141" s="55"/>
      <c r="D141" s="48" t="s">
        <v>313</v>
      </c>
      <c r="E141" s="53"/>
      <c r="F141" s="55" t="str">
        <f>IFERROR(__xludf.DUMMYFUNCTION("QUERY('Volunteer Survey'!B738)"),"")</f>
        <v/>
      </c>
      <c r="G141" s="48" t="str">
        <f>IFERROR(__xludf.DUMMYFUNCTION("QUERY('Volunteer Survey'!H738)"),"")</f>
        <v/>
      </c>
      <c r="H141" s="55" t="str">
        <f>IFERROR(__xludf.DUMMYFUNCTION("QUERY('Volunteer Survey'!I738)"),"")</f>
        <v/>
      </c>
      <c r="I141" s="55"/>
      <c r="J141" s="55"/>
      <c r="K141" s="55"/>
      <c r="L141" s="55"/>
      <c r="M141" s="55"/>
      <c r="N141" s="55"/>
      <c r="O141" s="55"/>
      <c r="P141" s="55"/>
      <c r="Q141" s="55"/>
      <c r="R141" s="55"/>
      <c r="S141" s="55"/>
      <c r="T141" s="55"/>
      <c r="U141" s="55"/>
    </row>
    <row r="142">
      <c r="A142" s="48" t="s">
        <v>322</v>
      </c>
      <c r="B142" s="55"/>
      <c r="C142" s="55"/>
      <c r="D142" s="48" t="s">
        <v>313</v>
      </c>
      <c r="E142" s="53"/>
      <c r="F142" s="55" t="str">
        <f>IFERROR(__xludf.DUMMYFUNCTION("QUERY('Volunteer Survey'!B739)"),"")</f>
        <v/>
      </c>
      <c r="G142" s="48" t="str">
        <f>IFERROR(__xludf.DUMMYFUNCTION("QUERY('Volunteer Survey'!H739)"),"")</f>
        <v/>
      </c>
      <c r="H142" s="55" t="str">
        <f>IFERROR(__xludf.DUMMYFUNCTION("QUERY('Volunteer Survey'!I739)"),"")</f>
        <v/>
      </c>
      <c r="I142" s="55"/>
      <c r="J142" s="55"/>
      <c r="K142" s="55"/>
      <c r="L142" s="55"/>
      <c r="M142" s="55"/>
      <c r="N142" s="55"/>
      <c r="O142" s="55"/>
      <c r="P142" s="55"/>
      <c r="Q142" s="55"/>
      <c r="R142" s="55"/>
      <c r="S142" s="55"/>
      <c r="T142" s="55"/>
      <c r="U142" s="55"/>
    </row>
    <row r="143">
      <c r="A143" s="48" t="s">
        <v>322</v>
      </c>
      <c r="B143" s="55"/>
      <c r="C143" s="55"/>
      <c r="D143" s="48" t="s">
        <v>313</v>
      </c>
      <c r="E143" s="53"/>
      <c r="F143" s="55" t="str">
        <f>IFERROR(__xludf.DUMMYFUNCTION("QUERY('Volunteer Survey'!B740)"),"")</f>
        <v/>
      </c>
      <c r="G143" s="48" t="str">
        <f>IFERROR(__xludf.DUMMYFUNCTION("QUERY('Volunteer Survey'!H740)"),"")</f>
        <v/>
      </c>
      <c r="H143" s="55" t="str">
        <f>IFERROR(__xludf.DUMMYFUNCTION("QUERY('Volunteer Survey'!I740)"),"")</f>
        <v/>
      </c>
      <c r="I143" s="55"/>
      <c r="J143" s="55"/>
      <c r="K143" s="55"/>
      <c r="L143" s="55"/>
      <c r="M143" s="55"/>
      <c r="N143" s="55"/>
      <c r="O143" s="55"/>
      <c r="P143" s="55"/>
      <c r="Q143" s="55"/>
      <c r="R143" s="55"/>
      <c r="S143" s="55"/>
      <c r="T143" s="55"/>
      <c r="U143" s="55"/>
    </row>
    <row r="144">
      <c r="A144" s="48" t="s">
        <v>322</v>
      </c>
      <c r="B144" s="55"/>
      <c r="C144" s="55"/>
      <c r="D144" s="48" t="s">
        <v>313</v>
      </c>
      <c r="E144" s="53"/>
      <c r="F144" s="55" t="str">
        <f>IFERROR(__xludf.DUMMYFUNCTION("QUERY('Volunteer Survey'!B741)"),"")</f>
        <v/>
      </c>
      <c r="G144" s="48" t="str">
        <f>IFERROR(__xludf.DUMMYFUNCTION("QUERY('Volunteer Survey'!H741)"),"")</f>
        <v/>
      </c>
      <c r="H144" s="55" t="str">
        <f>IFERROR(__xludf.DUMMYFUNCTION("QUERY('Volunteer Survey'!I741)"),"")</f>
        <v/>
      </c>
      <c r="I144" s="55"/>
      <c r="J144" s="55"/>
      <c r="K144" s="55"/>
      <c r="L144" s="55"/>
      <c r="M144" s="55"/>
      <c r="N144" s="55"/>
      <c r="O144" s="55"/>
      <c r="P144" s="55"/>
      <c r="Q144" s="55"/>
      <c r="R144" s="55"/>
      <c r="S144" s="55"/>
      <c r="T144" s="55"/>
      <c r="U144" s="55"/>
    </row>
    <row r="145">
      <c r="A145" s="48" t="s">
        <v>322</v>
      </c>
      <c r="B145" s="55"/>
      <c r="C145" s="55"/>
      <c r="D145" s="48" t="s">
        <v>313</v>
      </c>
      <c r="E145" s="53"/>
      <c r="F145" s="55" t="str">
        <f>IFERROR(__xludf.DUMMYFUNCTION("QUERY('Volunteer Survey'!B742)"),"")</f>
        <v/>
      </c>
      <c r="G145" s="48" t="str">
        <f>IFERROR(__xludf.DUMMYFUNCTION("QUERY('Volunteer Survey'!H742)"),"")</f>
        <v/>
      </c>
      <c r="H145" s="55" t="str">
        <f>IFERROR(__xludf.DUMMYFUNCTION("QUERY('Volunteer Survey'!I742)"),"")</f>
        <v/>
      </c>
      <c r="I145" s="55"/>
      <c r="J145" s="55"/>
      <c r="K145" s="55"/>
      <c r="L145" s="55"/>
      <c r="M145" s="55"/>
      <c r="N145" s="55"/>
      <c r="O145" s="55"/>
      <c r="P145" s="55"/>
      <c r="Q145" s="55"/>
      <c r="R145" s="55"/>
      <c r="S145" s="55"/>
      <c r="T145" s="55"/>
      <c r="U145" s="55"/>
    </row>
    <row r="146">
      <c r="A146" s="48" t="s">
        <v>322</v>
      </c>
      <c r="B146" s="55"/>
      <c r="C146" s="55"/>
      <c r="D146" s="48" t="s">
        <v>313</v>
      </c>
      <c r="E146" s="53"/>
      <c r="F146" s="55" t="str">
        <f>IFERROR(__xludf.DUMMYFUNCTION("QUERY('Volunteer Survey'!B743)"),"")</f>
        <v/>
      </c>
      <c r="G146" s="48" t="str">
        <f>IFERROR(__xludf.DUMMYFUNCTION("QUERY('Volunteer Survey'!H743)"),"")</f>
        <v/>
      </c>
      <c r="H146" s="55" t="str">
        <f>IFERROR(__xludf.DUMMYFUNCTION("QUERY('Volunteer Survey'!I743)"),"")</f>
        <v/>
      </c>
      <c r="I146" s="55"/>
      <c r="J146" s="55"/>
      <c r="K146" s="55"/>
      <c r="L146" s="55"/>
      <c r="M146" s="55"/>
      <c r="N146" s="55"/>
      <c r="O146" s="55"/>
      <c r="P146" s="55"/>
      <c r="Q146" s="55"/>
      <c r="R146" s="55"/>
      <c r="S146" s="55"/>
      <c r="T146" s="55"/>
      <c r="U146" s="55"/>
    </row>
    <row r="147">
      <c r="A147" s="48" t="s">
        <v>322</v>
      </c>
      <c r="B147" s="55"/>
      <c r="C147" s="55"/>
      <c r="D147" s="48" t="s">
        <v>313</v>
      </c>
      <c r="E147" s="53"/>
      <c r="F147" s="55" t="str">
        <f>IFERROR(__xludf.DUMMYFUNCTION("QUERY('Volunteer Survey'!B744)"),"")</f>
        <v/>
      </c>
      <c r="G147" s="48" t="str">
        <f>IFERROR(__xludf.DUMMYFUNCTION("QUERY('Volunteer Survey'!H744)"),"")</f>
        <v/>
      </c>
      <c r="H147" s="55" t="str">
        <f>IFERROR(__xludf.DUMMYFUNCTION("QUERY('Volunteer Survey'!I744)"),"")</f>
        <v/>
      </c>
      <c r="I147" s="55"/>
      <c r="J147" s="55"/>
      <c r="K147" s="55"/>
      <c r="L147" s="55"/>
      <c r="M147" s="55"/>
      <c r="N147" s="55"/>
      <c r="O147" s="55"/>
      <c r="P147" s="55"/>
      <c r="Q147" s="55"/>
      <c r="R147" s="55"/>
      <c r="S147" s="55"/>
      <c r="T147" s="55"/>
      <c r="U147" s="55"/>
    </row>
    <row r="148">
      <c r="A148" s="48" t="s">
        <v>322</v>
      </c>
      <c r="B148" s="55"/>
      <c r="C148" s="55"/>
      <c r="D148" s="48" t="s">
        <v>313</v>
      </c>
      <c r="E148" s="53"/>
      <c r="F148" s="55" t="str">
        <f>IFERROR(__xludf.DUMMYFUNCTION("QUERY('Volunteer Survey'!B745)"),"")</f>
        <v/>
      </c>
      <c r="G148" s="48" t="str">
        <f>IFERROR(__xludf.DUMMYFUNCTION("QUERY('Volunteer Survey'!H745)"),"")</f>
        <v/>
      </c>
      <c r="H148" s="55" t="str">
        <f>IFERROR(__xludf.DUMMYFUNCTION("QUERY('Volunteer Survey'!I745)"),"")</f>
        <v/>
      </c>
      <c r="I148" s="55"/>
      <c r="J148" s="55"/>
      <c r="K148" s="55"/>
      <c r="L148" s="55"/>
      <c r="M148" s="55"/>
      <c r="N148" s="55"/>
      <c r="O148" s="55"/>
      <c r="P148" s="55"/>
      <c r="Q148" s="55"/>
      <c r="R148" s="55"/>
      <c r="S148" s="55"/>
      <c r="T148" s="55"/>
      <c r="U148" s="55"/>
    </row>
    <row r="149">
      <c r="A149" s="48" t="s">
        <v>322</v>
      </c>
      <c r="B149" s="55"/>
      <c r="C149" s="55"/>
      <c r="D149" s="48" t="s">
        <v>313</v>
      </c>
      <c r="E149" s="53"/>
      <c r="F149" s="55" t="str">
        <f>IFERROR(__xludf.DUMMYFUNCTION("QUERY('Volunteer Survey'!B746)"),"")</f>
        <v/>
      </c>
      <c r="G149" s="48" t="str">
        <f>IFERROR(__xludf.DUMMYFUNCTION("QUERY('Volunteer Survey'!H746)"),"")</f>
        <v/>
      </c>
      <c r="H149" s="55" t="str">
        <f>IFERROR(__xludf.DUMMYFUNCTION("QUERY('Volunteer Survey'!I746)"),"")</f>
        <v/>
      </c>
      <c r="I149" s="55"/>
      <c r="J149" s="55"/>
      <c r="K149" s="55"/>
      <c r="L149" s="55"/>
      <c r="M149" s="55"/>
      <c r="N149" s="55"/>
      <c r="O149" s="55"/>
      <c r="P149" s="55"/>
      <c r="Q149" s="55"/>
      <c r="R149" s="55"/>
      <c r="S149" s="55"/>
      <c r="T149" s="55"/>
      <c r="U149" s="55"/>
    </row>
    <row r="150">
      <c r="A150" s="48" t="s">
        <v>322</v>
      </c>
      <c r="B150" s="55"/>
      <c r="C150" s="55"/>
      <c r="D150" s="48" t="s">
        <v>313</v>
      </c>
      <c r="E150" s="53"/>
      <c r="F150" s="55" t="str">
        <f>IFERROR(__xludf.DUMMYFUNCTION("QUERY('Volunteer Survey'!B747)"),"")</f>
        <v/>
      </c>
      <c r="G150" s="48" t="str">
        <f>IFERROR(__xludf.DUMMYFUNCTION("QUERY('Volunteer Survey'!H747)"),"")</f>
        <v/>
      </c>
      <c r="H150" s="55" t="str">
        <f>IFERROR(__xludf.DUMMYFUNCTION("QUERY('Volunteer Survey'!I747)"),"")</f>
        <v/>
      </c>
      <c r="I150" s="55"/>
      <c r="J150" s="55"/>
      <c r="K150" s="55"/>
      <c r="L150" s="55"/>
      <c r="M150" s="55"/>
      <c r="N150" s="55"/>
      <c r="O150" s="55"/>
      <c r="P150" s="55"/>
      <c r="Q150" s="55"/>
      <c r="R150" s="55"/>
      <c r="S150" s="55"/>
      <c r="T150" s="55"/>
      <c r="U150" s="55"/>
    </row>
    <row r="151">
      <c r="A151" s="48" t="s">
        <v>322</v>
      </c>
      <c r="B151" s="55"/>
      <c r="C151" s="55"/>
      <c r="D151" s="48" t="s">
        <v>313</v>
      </c>
      <c r="E151" s="53"/>
      <c r="F151" s="55" t="str">
        <f>IFERROR(__xludf.DUMMYFUNCTION("QUERY('Volunteer Survey'!B748)"),"")</f>
        <v/>
      </c>
      <c r="G151" s="48" t="str">
        <f>IFERROR(__xludf.DUMMYFUNCTION("QUERY('Volunteer Survey'!H748)"),"")</f>
        <v/>
      </c>
      <c r="H151" s="55" t="str">
        <f>IFERROR(__xludf.DUMMYFUNCTION("QUERY('Volunteer Survey'!I748)"),"")</f>
        <v/>
      </c>
      <c r="I151" s="55"/>
      <c r="J151" s="55"/>
      <c r="K151" s="55"/>
      <c r="L151" s="55"/>
      <c r="M151" s="55"/>
      <c r="N151" s="55"/>
      <c r="O151" s="55"/>
      <c r="P151" s="55"/>
      <c r="Q151" s="55"/>
      <c r="R151" s="55"/>
      <c r="S151" s="55"/>
      <c r="T151" s="55"/>
      <c r="U151" s="55"/>
    </row>
    <row r="152">
      <c r="A152" s="48" t="s">
        <v>322</v>
      </c>
      <c r="B152" s="55"/>
      <c r="C152" s="55"/>
      <c r="D152" s="48" t="s">
        <v>313</v>
      </c>
      <c r="E152" s="53"/>
      <c r="F152" s="55" t="str">
        <f>IFERROR(__xludf.DUMMYFUNCTION("QUERY('Volunteer Survey'!B749)"),"")</f>
        <v/>
      </c>
      <c r="G152" s="48" t="str">
        <f>IFERROR(__xludf.DUMMYFUNCTION("QUERY('Volunteer Survey'!H749)"),"")</f>
        <v/>
      </c>
      <c r="H152" s="55" t="str">
        <f>IFERROR(__xludf.DUMMYFUNCTION("QUERY('Volunteer Survey'!I749)"),"")</f>
        <v/>
      </c>
      <c r="I152" s="55"/>
      <c r="J152" s="55"/>
      <c r="K152" s="55"/>
      <c r="L152" s="55"/>
      <c r="M152" s="55"/>
      <c r="N152" s="55"/>
      <c r="O152" s="55"/>
      <c r="P152" s="55"/>
      <c r="Q152" s="55"/>
      <c r="R152" s="55"/>
      <c r="S152" s="55"/>
      <c r="T152" s="55"/>
      <c r="U152" s="55"/>
    </row>
    <row r="153">
      <c r="A153" s="48" t="s">
        <v>322</v>
      </c>
      <c r="B153" s="55"/>
      <c r="C153" s="55"/>
      <c r="D153" s="48" t="s">
        <v>313</v>
      </c>
      <c r="E153" s="53"/>
      <c r="F153" s="55" t="str">
        <f>IFERROR(__xludf.DUMMYFUNCTION("QUERY('Volunteer Survey'!B750)"),"")</f>
        <v/>
      </c>
      <c r="G153" s="48" t="str">
        <f>IFERROR(__xludf.DUMMYFUNCTION("QUERY('Volunteer Survey'!H750)"),"")</f>
        <v/>
      </c>
      <c r="H153" s="55" t="str">
        <f>IFERROR(__xludf.DUMMYFUNCTION("QUERY('Volunteer Survey'!I750)"),"")</f>
        <v/>
      </c>
      <c r="I153" s="55"/>
      <c r="J153" s="55"/>
      <c r="K153" s="55"/>
      <c r="L153" s="55"/>
      <c r="M153" s="55"/>
      <c r="N153" s="55"/>
      <c r="O153" s="55"/>
      <c r="P153" s="55"/>
      <c r="Q153" s="55"/>
      <c r="R153" s="55"/>
      <c r="S153" s="55"/>
      <c r="T153" s="55"/>
      <c r="U153" s="55"/>
    </row>
    <row r="154">
      <c r="A154" s="48" t="s">
        <v>322</v>
      </c>
      <c r="B154" s="55"/>
      <c r="C154" s="55"/>
      <c r="D154" s="48" t="s">
        <v>313</v>
      </c>
      <c r="E154" s="53"/>
      <c r="F154" s="55" t="str">
        <f>IFERROR(__xludf.DUMMYFUNCTION("QUERY('Volunteer Survey'!B751)"),"")</f>
        <v/>
      </c>
      <c r="G154" s="48" t="str">
        <f>IFERROR(__xludf.DUMMYFUNCTION("QUERY('Volunteer Survey'!H751)"),"")</f>
        <v/>
      </c>
      <c r="H154" s="55" t="str">
        <f>IFERROR(__xludf.DUMMYFUNCTION("QUERY('Volunteer Survey'!I751)"),"")</f>
        <v/>
      </c>
      <c r="I154" s="55"/>
      <c r="J154" s="55"/>
      <c r="K154" s="55"/>
      <c r="L154" s="55"/>
      <c r="M154" s="55"/>
      <c r="N154" s="55"/>
      <c r="O154" s="55"/>
      <c r="P154" s="55"/>
      <c r="Q154" s="55"/>
      <c r="R154" s="55"/>
      <c r="S154" s="55"/>
      <c r="T154" s="55"/>
      <c r="U154" s="55"/>
    </row>
    <row r="155">
      <c r="A155" s="48" t="s">
        <v>322</v>
      </c>
      <c r="B155" s="55"/>
      <c r="C155" s="55"/>
      <c r="D155" s="48" t="s">
        <v>313</v>
      </c>
      <c r="E155" s="53"/>
      <c r="F155" s="55" t="str">
        <f>IFERROR(__xludf.DUMMYFUNCTION("QUERY('Volunteer Survey'!B752)"),"")</f>
        <v/>
      </c>
      <c r="G155" s="48" t="str">
        <f>IFERROR(__xludf.DUMMYFUNCTION("QUERY('Volunteer Survey'!H752)"),"")</f>
        <v/>
      </c>
      <c r="H155" s="55" t="str">
        <f>IFERROR(__xludf.DUMMYFUNCTION("QUERY('Volunteer Survey'!I752)"),"")</f>
        <v/>
      </c>
      <c r="I155" s="55"/>
      <c r="J155" s="55"/>
      <c r="K155" s="55"/>
      <c r="L155" s="55"/>
      <c r="M155" s="55"/>
      <c r="N155" s="55"/>
      <c r="O155" s="55"/>
      <c r="P155" s="55"/>
      <c r="Q155" s="55"/>
      <c r="R155" s="55"/>
      <c r="S155" s="55"/>
      <c r="T155" s="55"/>
      <c r="U155" s="55"/>
    </row>
    <row r="156">
      <c r="A156" s="48" t="s">
        <v>322</v>
      </c>
      <c r="B156" s="55"/>
      <c r="C156" s="55"/>
      <c r="D156" s="48" t="s">
        <v>313</v>
      </c>
      <c r="E156" s="53"/>
      <c r="F156" s="55" t="str">
        <f>IFERROR(__xludf.DUMMYFUNCTION("QUERY('Volunteer Survey'!B753)"),"")</f>
        <v/>
      </c>
      <c r="G156" s="48" t="str">
        <f>IFERROR(__xludf.DUMMYFUNCTION("QUERY('Volunteer Survey'!H753)"),"")</f>
        <v/>
      </c>
      <c r="H156" s="55" t="str">
        <f>IFERROR(__xludf.DUMMYFUNCTION("QUERY('Volunteer Survey'!I753)"),"")</f>
        <v/>
      </c>
      <c r="I156" s="55"/>
      <c r="J156" s="55"/>
      <c r="K156" s="55"/>
      <c r="L156" s="55"/>
      <c r="M156" s="55"/>
      <c r="N156" s="55"/>
      <c r="O156" s="55"/>
      <c r="P156" s="55"/>
      <c r="Q156" s="55"/>
      <c r="R156" s="55"/>
      <c r="S156" s="55"/>
      <c r="T156" s="55"/>
      <c r="U156" s="55"/>
    </row>
    <row r="157">
      <c r="A157" s="48" t="s">
        <v>322</v>
      </c>
      <c r="B157" s="55"/>
      <c r="C157" s="55"/>
      <c r="D157" s="48" t="s">
        <v>313</v>
      </c>
      <c r="E157" s="53"/>
      <c r="F157" s="55" t="str">
        <f>IFERROR(__xludf.DUMMYFUNCTION("QUERY('Volunteer Survey'!B754)"),"")</f>
        <v/>
      </c>
      <c r="G157" s="48" t="str">
        <f>IFERROR(__xludf.DUMMYFUNCTION("QUERY('Volunteer Survey'!H754)"),"")</f>
        <v/>
      </c>
      <c r="H157" s="55" t="str">
        <f>IFERROR(__xludf.DUMMYFUNCTION("QUERY('Volunteer Survey'!I754)"),"")</f>
        <v/>
      </c>
      <c r="I157" s="55"/>
      <c r="J157" s="55"/>
      <c r="K157" s="55"/>
      <c r="L157" s="55"/>
      <c r="M157" s="55"/>
      <c r="N157" s="55"/>
      <c r="O157" s="55"/>
      <c r="P157" s="55"/>
      <c r="Q157" s="55"/>
      <c r="R157" s="55"/>
      <c r="S157" s="55"/>
      <c r="T157" s="55"/>
      <c r="U157" s="55"/>
    </row>
    <row r="158">
      <c r="A158" s="48" t="s">
        <v>322</v>
      </c>
      <c r="B158" s="55"/>
      <c r="C158" s="55"/>
      <c r="D158" s="48" t="s">
        <v>313</v>
      </c>
      <c r="E158" s="53"/>
      <c r="F158" s="55" t="str">
        <f>IFERROR(__xludf.DUMMYFUNCTION("QUERY('Volunteer Survey'!B755)"),"")</f>
        <v/>
      </c>
      <c r="G158" s="48" t="str">
        <f>IFERROR(__xludf.DUMMYFUNCTION("QUERY('Volunteer Survey'!H755)"),"")</f>
        <v/>
      </c>
      <c r="H158" s="55" t="str">
        <f>IFERROR(__xludf.DUMMYFUNCTION("QUERY('Volunteer Survey'!I755)"),"")</f>
        <v/>
      </c>
      <c r="I158" s="55"/>
      <c r="J158" s="55"/>
      <c r="K158" s="55"/>
      <c r="L158" s="55"/>
      <c r="M158" s="55"/>
      <c r="N158" s="55"/>
      <c r="O158" s="55"/>
      <c r="P158" s="55"/>
      <c r="Q158" s="55"/>
      <c r="R158" s="55"/>
      <c r="S158" s="55"/>
      <c r="T158" s="55"/>
      <c r="U158" s="55"/>
    </row>
    <row r="159">
      <c r="A159" s="48" t="s">
        <v>322</v>
      </c>
      <c r="B159" s="55"/>
      <c r="C159" s="55"/>
      <c r="D159" s="48" t="s">
        <v>313</v>
      </c>
      <c r="E159" s="53"/>
      <c r="F159" s="55" t="str">
        <f>IFERROR(__xludf.DUMMYFUNCTION("QUERY('Volunteer Survey'!B756)"),"")</f>
        <v/>
      </c>
      <c r="G159" s="48" t="str">
        <f>IFERROR(__xludf.DUMMYFUNCTION("QUERY('Volunteer Survey'!H756)"),"")</f>
        <v/>
      </c>
      <c r="H159" s="55" t="str">
        <f>IFERROR(__xludf.DUMMYFUNCTION("QUERY('Volunteer Survey'!I756)"),"")</f>
        <v/>
      </c>
      <c r="I159" s="55"/>
      <c r="J159" s="55"/>
      <c r="K159" s="55"/>
      <c r="L159" s="55"/>
      <c r="M159" s="55"/>
      <c r="N159" s="55"/>
      <c r="O159" s="55"/>
      <c r="P159" s="55"/>
      <c r="Q159" s="55"/>
      <c r="R159" s="55"/>
      <c r="S159" s="55"/>
      <c r="T159" s="55"/>
      <c r="U159" s="55"/>
    </row>
    <row r="160">
      <c r="A160" s="48" t="s">
        <v>322</v>
      </c>
      <c r="B160" s="55"/>
      <c r="C160" s="55"/>
      <c r="D160" s="48" t="s">
        <v>313</v>
      </c>
      <c r="E160" s="53"/>
      <c r="F160" s="55" t="str">
        <f>IFERROR(__xludf.DUMMYFUNCTION("QUERY('Volunteer Survey'!B757)"),"")</f>
        <v/>
      </c>
      <c r="G160" s="48" t="str">
        <f>IFERROR(__xludf.DUMMYFUNCTION("QUERY('Volunteer Survey'!H757)"),"")</f>
        <v/>
      </c>
      <c r="H160" s="55" t="str">
        <f>IFERROR(__xludf.DUMMYFUNCTION("QUERY('Volunteer Survey'!I757)"),"")</f>
        <v/>
      </c>
      <c r="I160" s="55"/>
      <c r="J160" s="55"/>
      <c r="K160" s="55"/>
      <c r="L160" s="55"/>
      <c r="M160" s="55"/>
      <c r="N160" s="55"/>
      <c r="O160" s="55"/>
      <c r="P160" s="55"/>
      <c r="Q160" s="55"/>
      <c r="R160" s="55"/>
      <c r="S160" s="55"/>
      <c r="T160" s="55"/>
      <c r="U160" s="55"/>
    </row>
    <row r="161">
      <c r="A161" s="48" t="s">
        <v>322</v>
      </c>
      <c r="B161" s="55"/>
      <c r="C161" s="55"/>
      <c r="D161" s="48" t="s">
        <v>313</v>
      </c>
      <c r="E161" s="53"/>
      <c r="F161" s="55" t="str">
        <f>IFERROR(__xludf.DUMMYFUNCTION("QUERY('Volunteer Survey'!B758)"),"")</f>
        <v/>
      </c>
      <c r="G161" s="48" t="str">
        <f>IFERROR(__xludf.DUMMYFUNCTION("QUERY('Volunteer Survey'!H758)"),"")</f>
        <v/>
      </c>
      <c r="H161" s="55" t="str">
        <f>IFERROR(__xludf.DUMMYFUNCTION("QUERY('Volunteer Survey'!I758)"),"")</f>
        <v/>
      </c>
      <c r="I161" s="55"/>
      <c r="J161" s="55"/>
      <c r="K161" s="55"/>
      <c r="L161" s="55"/>
      <c r="M161" s="55"/>
      <c r="N161" s="55"/>
      <c r="O161" s="55"/>
      <c r="P161" s="55"/>
      <c r="Q161" s="55"/>
      <c r="R161" s="55"/>
      <c r="S161" s="55"/>
      <c r="T161" s="55"/>
      <c r="U161" s="55"/>
    </row>
    <row r="162">
      <c r="A162" s="48" t="s">
        <v>322</v>
      </c>
      <c r="B162" s="55"/>
      <c r="C162" s="55"/>
      <c r="D162" s="48" t="s">
        <v>313</v>
      </c>
      <c r="E162" s="53"/>
      <c r="F162" s="55" t="str">
        <f>IFERROR(__xludf.DUMMYFUNCTION("QUERY('Volunteer Survey'!B759)"),"")</f>
        <v/>
      </c>
      <c r="G162" s="48" t="str">
        <f>IFERROR(__xludf.DUMMYFUNCTION("QUERY('Volunteer Survey'!H759)"),"")</f>
        <v/>
      </c>
      <c r="H162" s="55" t="str">
        <f>IFERROR(__xludf.DUMMYFUNCTION("QUERY('Volunteer Survey'!I759)"),"")</f>
        <v/>
      </c>
      <c r="I162" s="55"/>
      <c r="J162" s="55"/>
      <c r="K162" s="55"/>
      <c r="L162" s="55"/>
      <c r="M162" s="55"/>
      <c r="N162" s="55"/>
      <c r="O162" s="55"/>
      <c r="P162" s="55"/>
      <c r="Q162" s="55"/>
      <c r="R162" s="55"/>
      <c r="S162" s="55"/>
      <c r="T162" s="55"/>
      <c r="U162" s="55"/>
    </row>
    <row r="163">
      <c r="A163" s="48" t="s">
        <v>322</v>
      </c>
      <c r="B163" s="55"/>
      <c r="C163" s="55"/>
      <c r="D163" s="48" t="s">
        <v>313</v>
      </c>
      <c r="E163" s="53"/>
      <c r="F163" s="55" t="str">
        <f>IFERROR(__xludf.DUMMYFUNCTION("QUERY('Volunteer Survey'!B760)"),"")</f>
        <v/>
      </c>
      <c r="G163" s="48" t="str">
        <f>IFERROR(__xludf.DUMMYFUNCTION("QUERY('Volunteer Survey'!H760)"),"")</f>
        <v/>
      </c>
      <c r="H163" s="55" t="str">
        <f>IFERROR(__xludf.DUMMYFUNCTION("QUERY('Volunteer Survey'!I760)"),"")</f>
        <v/>
      </c>
      <c r="I163" s="55"/>
      <c r="J163" s="55"/>
      <c r="K163" s="55"/>
      <c r="L163" s="55"/>
      <c r="M163" s="55"/>
      <c r="N163" s="55"/>
      <c r="O163" s="55"/>
      <c r="P163" s="55"/>
      <c r="Q163" s="55"/>
      <c r="R163" s="55"/>
      <c r="S163" s="55"/>
      <c r="T163" s="55"/>
      <c r="U163" s="55"/>
    </row>
    <row r="164">
      <c r="A164" s="48" t="s">
        <v>322</v>
      </c>
      <c r="B164" s="55"/>
      <c r="C164" s="55"/>
      <c r="D164" s="48" t="s">
        <v>313</v>
      </c>
      <c r="E164" s="53"/>
      <c r="F164" s="55" t="str">
        <f>IFERROR(__xludf.DUMMYFUNCTION("QUERY('Volunteer Survey'!B761)"),"")</f>
        <v/>
      </c>
      <c r="G164" s="48" t="str">
        <f>IFERROR(__xludf.DUMMYFUNCTION("QUERY('Volunteer Survey'!H761)"),"")</f>
        <v/>
      </c>
      <c r="H164" s="55" t="str">
        <f>IFERROR(__xludf.DUMMYFUNCTION("QUERY('Volunteer Survey'!I761)"),"")</f>
        <v/>
      </c>
      <c r="I164" s="55"/>
      <c r="J164" s="55"/>
      <c r="K164" s="55"/>
      <c r="L164" s="55"/>
      <c r="M164" s="55"/>
      <c r="N164" s="55"/>
      <c r="O164" s="55"/>
      <c r="P164" s="55"/>
      <c r="Q164" s="55"/>
      <c r="R164" s="55"/>
      <c r="S164" s="55"/>
      <c r="T164" s="55"/>
      <c r="U164" s="55"/>
    </row>
    <row r="165">
      <c r="A165" s="48" t="s">
        <v>322</v>
      </c>
      <c r="B165" s="55"/>
      <c r="C165" s="55"/>
      <c r="D165" s="48" t="s">
        <v>313</v>
      </c>
      <c r="E165" s="53"/>
      <c r="F165" s="55" t="str">
        <f>IFERROR(__xludf.DUMMYFUNCTION("QUERY('Volunteer Survey'!B762)"),"")</f>
        <v/>
      </c>
      <c r="G165" s="48" t="str">
        <f>IFERROR(__xludf.DUMMYFUNCTION("QUERY('Volunteer Survey'!H762)"),"")</f>
        <v/>
      </c>
      <c r="H165" s="55" t="str">
        <f>IFERROR(__xludf.DUMMYFUNCTION("QUERY('Volunteer Survey'!I762)"),"")</f>
        <v/>
      </c>
      <c r="I165" s="55"/>
      <c r="J165" s="55"/>
      <c r="K165" s="55"/>
      <c r="L165" s="55"/>
      <c r="M165" s="55"/>
      <c r="N165" s="55"/>
      <c r="O165" s="55"/>
      <c r="P165" s="55"/>
      <c r="Q165" s="55"/>
      <c r="R165" s="55"/>
      <c r="S165" s="55"/>
      <c r="T165" s="55"/>
      <c r="U165" s="55"/>
    </row>
    <row r="166">
      <c r="A166" s="48" t="s">
        <v>322</v>
      </c>
      <c r="B166" s="55"/>
      <c r="C166" s="55"/>
      <c r="D166" s="48" t="s">
        <v>313</v>
      </c>
      <c r="E166" s="53"/>
      <c r="F166" s="55" t="str">
        <f>IFERROR(__xludf.DUMMYFUNCTION("QUERY('Volunteer Survey'!B763)"),"")</f>
        <v/>
      </c>
      <c r="G166" s="48" t="str">
        <f>IFERROR(__xludf.DUMMYFUNCTION("QUERY('Volunteer Survey'!H763)"),"")</f>
        <v/>
      </c>
      <c r="H166" s="55" t="str">
        <f>IFERROR(__xludf.DUMMYFUNCTION("QUERY('Volunteer Survey'!I763)"),"")</f>
        <v/>
      </c>
      <c r="I166" s="55"/>
      <c r="J166" s="55"/>
      <c r="K166" s="55"/>
      <c r="L166" s="55"/>
      <c r="M166" s="55"/>
      <c r="N166" s="55"/>
      <c r="O166" s="55"/>
      <c r="P166" s="55"/>
      <c r="Q166" s="55"/>
      <c r="R166" s="55"/>
      <c r="S166" s="55"/>
      <c r="T166" s="55"/>
      <c r="U166" s="55"/>
    </row>
    <row r="167">
      <c r="A167" s="48" t="s">
        <v>322</v>
      </c>
      <c r="B167" s="55"/>
      <c r="C167" s="55"/>
      <c r="D167" s="48" t="s">
        <v>313</v>
      </c>
      <c r="E167" s="53"/>
      <c r="F167" s="55" t="str">
        <f>IFERROR(__xludf.DUMMYFUNCTION("QUERY('Volunteer Survey'!B764)"),"")</f>
        <v/>
      </c>
      <c r="G167" s="48" t="str">
        <f>IFERROR(__xludf.DUMMYFUNCTION("QUERY('Volunteer Survey'!H764)"),"")</f>
        <v/>
      </c>
      <c r="H167" s="55" t="str">
        <f>IFERROR(__xludf.DUMMYFUNCTION("QUERY('Volunteer Survey'!I764)"),"")</f>
        <v/>
      </c>
      <c r="I167" s="55"/>
      <c r="J167" s="55"/>
      <c r="K167" s="55"/>
      <c r="L167" s="55"/>
      <c r="M167" s="55"/>
      <c r="N167" s="55"/>
      <c r="O167" s="55"/>
      <c r="P167" s="55"/>
      <c r="Q167" s="55"/>
      <c r="R167" s="55"/>
      <c r="S167" s="55"/>
      <c r="T167" s="55"/>
      <c r="U167" s="55"/>
    </row>
    <row r="168">
      <c r="A168" s="48" t="s">
        <v>322</v>
      </c>
      <c r="B168" s="55"/>
      <c r="C168" s="55"/>
      <c r="D168" s="48" t="s">
        <v>313</v>
      </c>
      <c r="E168" s="53"/>
      <c r="F168" s="55" t="str">
        <f>IFERROR(__xludf.DUMMYFUNCTION("QUERY('Volunteer Survey'!B765)"),"")</f>
        <v/>
      </c>
      <c r="G168" s="48" t="str">
        <f>IFERROR(__xludf.DUMMYFUNCTION("QUERY('Volunteer Survey'!H765)"),"")</f>
        <v/>
      </c>
      <c r="H168" s="55" t="str">
        <f>IFERROR(__xludf.DUMMYFUNCTION("QUERY('Volunteer Survey'!I765)"),"")</f>
        <v/>
      </c>
      <c r="I168" s="55"/>
      <c r="J168" s="55"/>
      <c r="K168" s="55"/>
      <c r="L168" s="55"/>
      <c r="M168" s="55"/>
      <c r="N168" s="55"/>
      <c r="O168" s="55"/>
      <c r="P168" s="55"/>
      <c r="Q168" s="55"/>
      <c r="R168" s="55"/>
      <c r="S168" s="55"/>
      <c r="T168" s="55"/>
      <c r="U168" s="55"/>
    </row>
    <row r="169">
      <c r="A169" s="48" t="s">
        <v>322</v>
      </c>
      <c r="B169" s="55"/>
      <c r="C169" s="55"/>
      <c r="D169" s="48" t="s">
        <v>313</v>
      </c>
      <c r="E169" s="53"/>
      <c r="F169" s="55" t="str">
        <f>IFERROR(__xludf.DUMMYFUNCTION("QUERY('Volunteer Survey'!B766)"),"")</f>
        <v/>
      </c>
      <c r="G169" s="48" t="str">
        <f>IFERROR(__xludf.DUMMYFUNCTION("QUERY('Volunteer Survey'!H766)"),"")</f>
        <v/>
      </c>
      <c r="H169" s="55" t="str">
        <f>IFERROR(__xludf.DUMMYFUNCTION("QUERY('Volunteer Survey'!I766)"),"")</f>
        <v/>
      </c>
      <c r="I169" s="55"/>
      <c r="J169" s="55"/>
      <c r="K169" s="55"/>
      <c r="L169" s="55"/>
      <c r="M169" s="55"/>
      <c r="N169" s="55"/>
      <c r="O169" s="55"/>
      <c r="P169" s="55"/>
      <c r="Q169" s="55"/>
      <c r="R169" s="55"/>
      <c r="S169" s="55"/>
      <c r="T169" s="55"/>
      <c r="U169" s="55"/>
    </row>
    <row r="170">
      <c r="A170" s="48" t="s">
        <v>322</v>
      </c>
      <c r="B170" s="55"/>
      <c r="C170" s="55"/>
      <c r="D170" s="48" t="s">
        <v>313</v>
      </c>
      <c r="E170" s="53"/>
      <c r="F170" s="55" t="str">
        <f>IFERROR(__xludf.DUMMYFUNCTION("QUERY('Volunteer Survey'!B767)"),"")</f>
        <v/>
      </c>
      <c r="G170" s="48" t="str">
        <f>IFERROR(__xludf.DUMMYFUNCTION("QUERY('Volunteer Survey'!H767)"),"")</f>
        <v/>
      </c>
      <c r="H170" s="55" t="str">
        <f>IFERROR(__xludf.DUMMYFUNCTION("QUERY('Volunteer Survey'!I767)"),"")</f>
        <v/>
      </c>
      <c r="I170" s="55"/>
      <c r="J170" s="55"/>
      <c r="K170" s="55"/>
      <c r="L170" s="55"/>
      <c r="M170" s="55"/>
      <c r="N170" s="55"/>
      <c r="O170" s="55"/>
      <c r="P170" s="55"/>
      <c r="Q170" s="55"/>
      <c r="R170" s="55"/>
      <c r="S170" s="55"/>
      <c r="T170" s="55"/>
      <c r="U170" s="55"/>
    </row>
    <row r="171">
      <c r="A171" s="48" t="s">
        <v>322</v>
      </c>
      <c r="B171" s="55"/>
      <c r="C171" s="55"/>
      <c r="D171" s="48" t="s">
        <v>313</v>
      </c>
      <c r="E171" s="53"/>
      <c r="F171" s="55" t="str">
        <f>IFERROR(__xludf.DUMMYFUNCTION("QUERY('Volunteer Survey'!B768)"),"")</f>
        <v/>
      </c>
      <c r="G171" s="48" t="str">
        <f>IFERROR(__xludf.DUMMYFUNCTION("QUERY('Volunteer Survey'!H768)"),"")</f>
        <v/>
      </c>
      <c r="H171" s="55" t="str">
        <f>IFERROR(__xludf.DUMMYFUNCTION("QUERY('Volunteer Survey'!I768)"),"")</f>
        <v/>
      </c>
      <c r="I171" s="55"/>
      <c r="J171" s="55"/>
      <c r="K171" s="55"/>
      <c r="L171" s="55"/>
      <c r="M171" s="55"/>
      <c r="N171" s="55"/>
      <c r="O171" s="55"/>
      <c r="P171" s="55"/>
      <c r="Q171" s="55"/>
      <c r="R171" s="55"/>
      <c r="S171" s="55"/>
      <c r="T171" s="55"/>
      <c r="U171" s="55"/>
    </row>
    <row r="172">
      <c r="A172" s="48" t="s">
        <v>322</v>
      </c>
      <c r="B172" s="55"/>
      <c r="C172" s="55"/>
      <c r="D172" s="48" t="s">
        <v>313</v>
      </c>
      <c r="E172" s="53"/>
      <c r="F172" s="55" t="str">
        <f>IFERROR(__xludf.DUMMYFUNCTION("QUERY('Volunteer Survey'!B769)"),"")</f>
        <v/>
      </c>
      <c r="G172" s="48" t="str">
        <f>IFERROR(__xludf.DUMMYFUNCTION("QUERY('Volunteer Survey'!H769)"),"")</f>
        <v/>
      </c>
      <c r="H172" s="55" t="str">
        <f>IFERROR(__xludf.DUMMYFUNCTION("QUERY('Volunteer Survey'!I769)"),"")</f>
        <v/>
      </c>
      <c r="I172" s="55"/>
      <c r="J172" s="55"/>
      <c r="K172" s="55"/>
      <c r="L172" s="55"/>
      <c r="M172" s="55"/>
      <c r="N172" s="55"/>
      <c r="O172" s="55"/>
      <c r="P172" s="55"/>
      <c r="Q172" s="55"/>
      <c r="R172" s="55"/>
      <c r="S172" s="55"/>
      <c r="T172" s="55"/>
      <c r="U172" s="55"/>
    </row>
    <row r="173">
      <c r="A173" s="48" t="s">
        <v>322</v>
      </c>
      <c r="B173" s="55"/>
      <c r="C173" s="55"/>
      <c r="D173" s="48" t="s">
        <v>313</v>
      </c>
      <c r="E173" s="53"/>
      <c r="F173" s="55" t="str">
        <f>IFERROR(__xludf.DUMMYFUNCTION("QUERY('Volunteer Survey'!B770)"),"")</f>
        <v/>
      </c>
      <c r="G173" s="48" t="str">
        <f>IFERROR(__xludf.DUMMYFUNCTION("QUERY('Volunteer Survey'!H770)"),"")</f>
        <v/>
      </c>
      <c r="H173" s="55" t="str">
        <f>IFERROR(__xludf.DUMMYFUNCTION("QUERY('Volunteer Survey'!I770)"),"")</f>
        <v/>
      </c>
      <c r="I173" s="55"/>
      <c r="J173" s="55"/>
      <c r="K173" s="55"/>
      <c r="L173" s="55"/>
      <c r="M173" s="55"/>
      <c r="N173" s="55"/>
      <c r="O173" s="55"/>
      <c r="P173" s="55"/>
      <c r="Q173" s="55"/>
      <c r="R173" s="55"/>
      <c r="S173" s="55"/>
      <c r="T173" s="55"/>
      <c r="U173" s="55"/>
    </row>
    <row r="174">
      <c r="A174" s="48" t="s">
        <v>322</v>
      </c>
      <c r="B174" s="55"/>
      <c r="C174" s="55"/>
      <c r="D174" s="48" t="s">
        <v>313</v>
      </c>
      <c r="E174" s="53"/>
      <c r="F174" s="55" t="str">
        <f>IFERROR(__xludf.DUMMYFUNCTION("QUERY('Volunteer Survey'!B771)"),"")</f>
        <v/>
      </c>
      <c r="G174" s="48" t="str">
        <f>IFERROR(__xludf.DUMMYFUNCTION("QUERY('Volunteer Survey'!H771)"),"")</f>
        <v/>
      </c>
      <c r="H174" s="55" t="str">
        <f>IFERROR(__xludf.DUMMYFUNCTION("QUERY('Volunteer Survey'!I771)"),"")</f>
        <v/>
      </c>
      <c r="I174" s="55"/>
      <c r="J174" s="55"/>
      <c r="K174" s="55"/>
      <c r="L174" s="55"/>
      <c r="M174" s="55"/>
      <c r="N174" s="55"/>
      <c r="O174" s="55"/>
      <c r="P174" s="55"/>
      <c r="Q174" s="55"/>
      <c r="R174" s="55"/>
      <c r="S174" s="55"/>
      <c r="T174" s="55"/>
      <c r="U174" s="55"/>
    </row>
    <row r="175">
      <c r="A175" s="48" t="s">
        <v>322</v>
      </c>
      <c r="B175" s="55"/>
      <c r="C175" s="55"/>
      <c r="D175" s="48" t="s">
        <v>313</v>
      </c>
      <c r="E175" s="53"/>
      <c r="F175" s="55" t="str">
        <f>IFERROR(__xludf.DUMMYFUNCTION("QUERY('Volunteer Survey'!B772)"),"")</f>
        <v/>
      </c>
      <c r="G175" s="48" t="str">
        <f>IFERROR(__xludf.DUMMYFUNCTION("QUERY('Volunteer Survey'!H772)"),"")</f>
        <v/>
      </c>
      <c r="H175" s="55" t="str">
        <f>IFERROR(__xludf.DUMMYFUNCTION("QUERY('Volunteer Survey'!I772)"),"")</f>
        <v/>
      </c>
      <c r="I175" s="55"/>
      <c r="J175" s="55"/>
      <c r="K175" s="55"/>
      <c r="L175" s="55"/>
      <c r="M175" s="55"/>
      <c r="N175" s="55"/>
      <c r="O175" s="55"/>
      <c r="P175" s="55"/>
      <c r="Q175" s="55"/>
      <c r="R175" s="55"/>
      <c r="S175" s="55"/>
      <c r="T175" s="55"/>
      <c r="U175" s="55"/>
    </row>
    <row r="176">
      <c r="A176" s="48" t="s">
        <v>322</v>
      </c>
      <c r="B176" s="55"/>
      <c r="C176" s="55"/>
      <c r="D176" s="48" t="s">
        <v>313</v>
      </c>
      <c r="E176" s="53"/>
      <c r="F176" s="55" t="str">
        <f>IFERROR(__xludf.DUMMYFUNCTION("QUERY('Volunteer Survey'!B773)"),"")</f>
        <v/>
      </c>
      <c r="G176" s="48" t="str">
        <f>IFERROR(__xludf.DUMMYFUNCTION("QUERY('Volunteer Survey'!H773)"),"")</f>
        <v/>
      </c>
      <c r="H176" s="55" t="str">
        <f>IFERROR(__xludf.DUMMYFUNCTION("QUERY('Volunteer Survey'!I773)"),"")</f>
        <v/>
      </c>
      <c r="I176" s="55"/>
      <c r="J176" s="55"/>
      <c r="K176" s="55"/>
      <c r="L176" s="55"/>
      <c r="M176" s="55"/>
      <c r="N176" s="55"/>
      <c r="O176" s="55"/>
      <c r="P176" s="55"/>
      <c r="Q176" s="55"/>
      <c r="R176" s="55"/>
      <c r="S176" s="55"/>
      <c r="T176" s="55"/>
      <c r="U176" s="55"/>
    </row>
    <row r="177">
      <c r="A177" s="48" t="s">
        <v>322</v>
      </c>
      <c r="B177" s="55"/>
      <c r="C177" s="55"/>
      <c r="D177" s="48" t="s">
        <v>313</v>
      </c>
      <c r="E177" s="53"/>
      <c r="F177" s="55" t="str">
        <f>IFERROR(__xludf.DUMMYFUNCTION("QUERY('Volunteer Survey'!B774)"),"")</f>
        <v/>
      </c>
      <c r="G177" s="48" t="str">
        <f>IFERROR(__xludf.DUMMYFUNCTION("QUERY('Volunteer Survey'!H774)"),"")</f>
        <v/>
      </c>
      <c r="H177" s="55" t="str">
        <f>IFERROR(__xludf.DUMMYFUNCTION("QUERY('Volunteer Survey'!I774)"),"")</f>
        <v/>
      </c>
      <c r="I177" s="55"/>
      <c r="J177" s="55"/>
      <c r="K177" s="55"/>
      <c r="L177" s="55"/>
      <c r="M177" s="55"/>
      <c r="N177" s="55"/>
      <c r="O177" s="55"/>
      <c r="P177" s="55"/>
      <c r="Q177" s="55"/>
      <c r="R177" s="55"/>
      <c r="S177" s="55"/>
      <c r="T177" s="55"/>
      <c r="U177" s="55"/>
    </row>
    <row r="178">
      <c r="A178" s="48" t="s">
        <v>322</v>
      </c>
      <c r="B178" s="55"/>
      <c r="C178" s="55"/>
      <c r="D178" s="48" t="s">
        <v>313</v>
      </c>
      <c r="E178" s="53"/>
      <c r="F178" s="55" t="str">
        <f>IFERROR(__xludf.DUMMYFUNCTION("QUERY('Volunteer Survey'!B775)"),"")</f>
        <v/>
      </c>
      <c r="G178" s="48" t="str">
        <f>IFERROR(__xludf.DUMMYFUNCTION("QUERY('Volunteer Survey'!H775)"),"")</f>
        <v/>
      </c>
      <c r="H178" s="55" t="str">
        <f>IFERROR(__xludf.DUMMYFUNCTION("QUERY('Volunteer Survey'!I775)"),"")</f>
        <v/>
      </c>
      <c r="I178" s="55"/>
      <c r="J178" s="55"/>
      <c r="K178" s="55"/>
      <c r="L178" s="55"/>
      <c r="M178" s="55"/>
      <c r="N178" s="55"/>
      <c r="O178" s="55"/>
      <c r="P178" s="55"/>
      <c r="Q178" s="55"/>
      <c r="R178" s="55"/>
      <c r="S178" s="55"/>
      <c r="T178" s="55"/>
      <c r="U178" s="55"/>
    </row>
    <row r="179">
      <c r="A179" s="48" t="s">
        <v>322</v>
      </c>
      <c r="B179" s="55"/>
      <c r="C179" s="55"/>
      <c r="D179" s="48" t="s">
        <v>313</v>
      </c>
      <c r="E179" s="53"/>
      <c r="F179" s="55" t="str">
        <f>IFERROR(__xludf.DUMMYFUNCTION("QUERY('Volunteer Survey'!B776)"),"")</f>
        <v/>
      </c>
      <c r="G179" s="48" t="str">
        <f>IFERROR(__xludf.DUMMYFUNCTION("QUERY('Volunteer Survey'!H776)"),"")</f>
        <v/>
      </c>
      <c r="H179" s="55" t="str">
        <f>IFERROR(__xludf.DUMMYFUNCTION("QUERY('Volunteer Survey'!I776)"),"")</f>
        <v/>
      </c>
      <c r="I179" s="55"/>
      <c r="J179" s="55"/>
      <c r="K179" s="55"/>
      <c r="L179" s="55"/>
      <c r="M179" s="55"/>
      <c r="N179" s="55"/>
      <c r="O179" s="55"/>
      <c r="P179" s="55"/>
      <c r="Q179" s="55"/>
      <c r="R179" s="55"/>
      <c r="S179" s="55"/>
      <c r="T179" s="55"/>
      <c r="U179" s="55"/>
    </row>
    <row r="180">
      <c r="A180" s="48" t="s">
        <v>322</v>
      </c>
      <c r="B180" s="55"/>
      <c r="C180" s="55"/>
      <c r="D180" s="48" t="s">
        <v>313</v>
      </c>
      <c r="E180" s="53"/>
      <c r="F180" s="55" t="str">
        <f>IFERROR(__xludf.DUMMYFUNCTION("QUERY('Volunteer Survey'!B777)"),"")</f>
        <v/>
      </c>
      <c r="G180" s="48" t="str">
        <f>IFERROR(__xludf.DUMMYFUNCTION("QUERY('Volunteer Survey'!H777)"),"")</f>
        <v/>
      </c>
      <c r="H180" s="55" t="str">
        <f>IFERROR(__xludf.DUMMYFUNCTION("QUERY('Volunteer Survey'!I777)"),"")</f>
        <v/>
      </c>
      <c r="I180" s="55"/>
      <c r="J180" s="55"/>
      <c r="K180" s="55"/>
      <c r="L180" s="55"/>
      <c r="M180" s="55"/>
      <c r="N180" s="55"/>
      <c r="O180" s="55"/>
      <c r="P180" s="55"/>
      <c r="Q180" s="55"/>
      <c r="R180" s="55"/>
      <c r="S180" s="55"/>
      <c r="T180" s="55"/>
      <c r="U180" s="55"/>
    </row>
    <row r="181">
      <c r="A181" s="48" t="s">
        <v>322</v>
      </c>
      <c r="B181" s="55"/>
      <c r="C181" s="55"/>
      <c r="D181" s="48" t="s">
        <v>313</v>
      </c>
      <c r="E181" s="53"/>
      <c r="F181" s="55" t="str">
        <f>IFERROR(__xludf.DUMMYFUNCTION("QUERY('Volunteer Survey'!B778)"),"")</f>
        <v/>
      </c>
      <c r="G181" s="48" t="str">
        <f>IFERROR(__xludf.DUMMYFUNCTION("QUERY('Volunteer Survey'!H778)"),"")</f>
        <v/>
      </c>
      <c r="H181" s="55" t="str">
        <f>IFERROR(__xludf.DUMMYFUNCTION("QUERY('Volunteer Survey'!I778)"),"")</f>
        <v/>
      </c>
      <c r="I181" s="55"/>
      <c r="J181" s="55"/>
      <c r="K181" s="55"/>
      <c r="L181" s="55"/>
      <c r="M181" s="55"/>
      <c r="N181" s="55"/>
      <c r="O181" s="55"/>
      <c r="P181" s="55"/>
      <c r="Q181" s="55"/>
      <c r="R181" s="55"/>
      <c r="S181" s="55"/>
      <c r="T181" s="55"/>
      <c r="U181" s="55"/>
    </row>
    <row r="182">
      <c r="A182" s="48" t="s">
        <v>322</v>
      </c>
      <c r="B182" s="55"/>
      <c r="C182" s="55"/>
      <c r="D182" s="48" t="s">
        <v>313</v>
      </c>
      <c r="E182" s="53"/>
      <c r="F182" s="55" t="str">
        <f>IFERROR(__xludf.DUMMYFUNCTION("QUERY('Volunteer Survey'!B779)"),"")</f>
        <v/>
      </c>
      <c r="G182" s="48" t="str">
        <f>IFERROR(__xludf.DUMMYFUNCTION("QUERY('Volunteer Survey'!H779)"),"")</f>
        <v/>
      </c>
      <c r="H182" s="55" t="str">
        <f>IFERROR(__xludf.DUMMYFUNCTION("QUERY('Volunteer Survey'!I779)"),"")</f>
        <v/>
      </c>
      <c r="I182" s="55"/>
      <c r="J182" s="55"/>
      <c r="K182" s="55"/>
      <c r="L182" s="55"/>
      <c r="M182" s="55"/>
      <c r="N182" s="55"/>
      <c r="O182" s="55"/>
      <c r="P182" s="55"/>
      <c r="Q182" s="55"/>
      <c r="R182" s="55"/>
      <c r="S182" s="55"/>
      <c r="T182" s="55"/>
      <c r="U182" s="55"/>
    </row>
    <row r="183">
      <c r="A183" s="48" t="s">
        <v>322</v>
      </c>
      <c r="B183" s="55"/>
      <c r="C183" s="55"/>
      <c r="D183" s="48" t="s">
        <v>313</v>
      </c>
      <c r="E183" s="53"/>
      <c r="F183" s="55" t="str">
        <f>IFERROR(__xludf.DUMMYFUNCTION("QUERY('Volunteer Survey'!B780)"),"")</f>
        <v/>
      </c>
      <c r="G183" s="48" t="str">
        <f>IFERROR(__xludf.DUMMYFUNCTION("QUERY('Volunteer Survey'!H780)"),"")</f>
        <v/>
      </c>
      <c r="H183" s="55" t="str">
        <f>IFERROR(__xludf.DUMMYFUNCTION("QUERY('Volunteer Survey'!I780)"),"")</f>
        <v/>
      </c>
      <c r="I183" s="55"/>
      <c r="J183" s="55"/>
      <c r="K183" s="55"/>
      <c r="L183" s="55"/>
      <c r="M183" s="55"/>
      <c r="N183" s="55"/>
      <c r="O183" s="55"/>
      <c r="P183" s="55"/>
      <c r="Q183" s="55"/>
      <c r="R183" s="55"/>
      <c r="S183" s="55"/>
      <c r="T183" s="55"/>
      <c r="U183" s="55"/>
    </row>
    <row r="184">
      <c r="A184" s="48" t="s">
        <v>322</v>
      </c>
      <c r="B184" s="55"/>
      <c r="C184" s="55"/>
      <c r="D184" s="48" t="s">
        <v>313</v>
      </c>
      <c r="E184" s="53"/>
      <c r="F184" s="55" t="str">
        <f>IFERROR(__xludf.DUMMYFUNCTION("QUERY('Volunteer Survey'!B781)"),"")</f>
        <v/>
      </c>
      <c r="G184" s="48" t="str">
        <f>IFERROR(__xludf.DUMMYFUNCTION("QUERY('Volunteer Survey'!H781)"),"")</f>
        <v/>
      </c>
      <c r="H184" s="55" t="str">
        <f>IFERROR(__xludf.DUMMYFUNCTION("QUERY('Volunteer Survey'!I781)"),"")</f>
        <v/>
      </c>
      <c r="I184" s="55"/>
      <c r="J184" s="55"/>
      <c r="K184" s="55"/>
      <c r="L184" s="55"/>
      <c r="M184" s="55"/>
      <c r="N184" s="55"/>
      <c r="O184" s="55"/>
      <c r="P184" s="55"/>
      <c r="Q184" s="55"/>
      <c r="R184" s="55"/>
      <c r="S184" s="55"/>
      <c r="T184" s="55"/>
      <c r="U184" s="55"/>
    </row>
    <row r="185">
      <c r="A185" s="48" t="s">
        <v>322</v>
      </c>
      <c r="B185" s="55"/>
      <c r="C185" s="55"/>
      <c r="D185" s="48" t="s">
        <v>313</v>
      </c>
      <c r="E185" s="53"/>
      <c r="F185" s="55" t="str">
        <f>IFERROR(__xludf.DUMMYFUNCTION("QUERY('Volunteer Survey'!B782)"),"")</f>
        <v/>
      </c>
      <c r="G185" s="48" t="str">
        <f>IFERROR(__xludf.DUMMYFUNCTION("QUERY('Volunteer Survey'!H782)"),"")</f>
        <v/>
      </c>
      <c r="H185" s="55" t="str">
        <f>IFERROR(__xludf.DUMMYFUNCTION("QUERY('Volunteer Survey'!I782)"),"")</f>
        <v/>
      </c>
      <c r="I185" s="55"/>
      <c r="J185" s="55"/>
      <c r="K185" s="55"/>
      <c r="L185" s="55"/>
      <c r="M185" s="55"/>
      <c r="N185" s="55"/>
      <c r="O185" s="55"/>
      <c r="P185" s="55"/>
      <c r="Q185" s="55"/>
      <c r="R185" s="55"/>
      <c r="S185" s="55"/>
      <c r="T185" s="55"/>
      <c r="U185" s="55"/>
    </row>
    <row r="186">
      <c r="A186" s="48" t="s">
        <v>322</v>
      </c>
      <c r="B186" s="55"/>
      <c r="C186" s="55"/>
      <c r="D186" s="48" t="s">
        <v>313</v>
      </c>
      <c r="E186" s="53"/>
      <c r="F186" s="55" t="str">
        <f>IFERROR(__xludf.DUMMYFUNCTION("QUERY('Volunteer Survey'!B783)"),"")</f>
        <v/>
      </c>
      <c r="G186" s="48" t="str">
        <f>IFERROR(__xludf.DUMMYFUNCTION("QUERY('Volunteer Survey'!H783)"),"")</f>
        <v/>
      </c>
      <c r="H186" s="55" t="str">
        <f>IFERROR(__xludf.DUMMYFUNCTION("QUERY('Volunteer Survey'!I783)"),"")</f>
        <v/>
      </c>
      <c r="I186" s="55"/>
      <c r="J186" s="55"/>
      <c r="K186" s="55"/>
      <c r="L186" s="55"/>
      <c r="M186" s="55"/>
      <c r="N186" s="55"/>
      <c r="O186" s="55"/>
      <c r="P186" s="55"/>
      <c r="Q186" s="55"/>
      <c r="R186" s="55"/>
      <c r="S186" s="55"/>
      <c r="T186" s="55"/>
      <c r="U186" s="55"/>
    </row>
    <row r="187">
      <c r="A187" s="48" t="s">
        <v>322</v>
      </c>
      <c r="B187" s="55"/>
      <c r="C187" s="55"/>
      <c r="D187" s="48" t="s">
        <v>313</v>
      </c>
      <c r="E187" s="53"/>
      <c r="F187" s="55" t="str">
        <f>IFERROR(__xludf.DUMMYFUNCTION("QUERY('Volunteer Survey'!B784)"),"")</f>
        <v/>
      </c>
      <c r="G187" s="48" t="str">
        <f>IFERROR(__xludf.DUMMYFUNCTION("QUERY('Volunteer Survey'!H784)"),"")</f>
        <v/>
      </c>
      <c r="H187" s="55" t="str">
        <f>IFERROR(__xludf.DUMMYFUNCTION("QUERY('Volunteer Survey'!I784)"),"")</f>
        <v/>
      </c>
      <c r="I187" s="55"/>
      <c r="J187" s="55"/>
      <c r="K187" s="55"/>
      <c r="L187" s="55"/>
      <c r="M187" s="55"/>
      <c r="N187" s="55"/>
      <c r="O187" s="55"/>
      <c r="P187" s="55"/>
      <c r="Q187" s="55"/>
      <c r="R187" s="55"/>
      <c r="S187" s="55"/>
      <c r="T187" s="55"/>
      <c r="U187" s="55"/>
    </row>
    <row r="188">
      <c r="A188" s="48" t="s">
        <v>322</v>
      </c>
      <c r="B188" s="55"/>
      <c r="C188" s="55"/>
      <c r="D188" s="48" t="s">
        <v>313</v>
      </c>
      <c r="E188" s="53"/>
      <c r="F188" s="55" t="str">
        <f>IFERROR(__xludf.DUMMYFUNCTION("QUERY('Volunteer Survey'!B785)"),"")</f>
        <v/>
      </c>
      <c r="G188" s="48" t="str">
        <f>IFERROR(__xludf.DUMMYFUNCTION("QUERY('Volunteer Survey'!H785)"),"")</f>
        <v/>
      </c>
      <c r="H188" s="55" t="str">
        <f>IFERROR(__xludf.DUMMYFUNCTION("QUERY('Volunteer Survey'!I785)"),"")</f>
        <v/>
      </c>
      <c r="I188" s="55"/>
      <c r="J188" s="55"/>
      <c r="K188" s="55"/>
      <c r="L188" s="55"/>
      <c r="M188" s="55"/>
      <c r="N188" s="55"/>
      <c r="O188" s="55"/>
      <c r="P188" s="55"/>
      <c r="Q188" s="55"/>
      <c r="R188" s="55"/>
      <c r="S188" s="55"/>
      <c r="T188" s="55"/>
      <c r="U188" s="55"/>
    </row>
    <row r="189">
      <c r="A189" s="48" t="s">
        <v>322</v>
      </c>
      <c r="B189" s="55"/>
      <c r="C189" s="55"/>
      <c r="D189" s="48" t="s">
        <v>313</v>
      </c>
      <c r="E189" s="53"/>
      <c r="F189" s="55" t="str">
        <f>IFERROR(__xludf.DUMMYFUNCTION("QUERY('Volunteer Survey'!B786)"),"")</f>
        <v/>
      </c>
      <c r="G189" s="48" t="str">
        <f>IFERROR(__xludf.DUMMYFUNCTION("QUERY('Volunteer Survey'!H786)"),"")</f>
        <v/>
      </c>
      <c r="H189" s="55" t="str">
        <f>IFERROR(__xludf.DUMMYFUNCTION("QUERY('Volunteer Survey'!I786)"),"")</f>
        <v/>
      </c>
      <c r="I189" s="55"/>
      <c r="J189" s="55"/>
      <c r="K189" s="55"/>
      <c r="L189" s="55"/>
      <c r="M189" s="55"/>
      <c r="N189" s="55"/>
      <c r="O189" s="55"/>
      <c r="P189" s="55"/>
      <c r="Q189" s="55"/>
      <c r="R189" s="55"/>
      <c r="S189" s="55"/>
      <c r="T189" s="55"/>
      <c r="U189" s="55"/>
    </row>
    <row r="190">
      <c r="A190" s="48" t="s">
        <v>322</v>
      </c>
      <c r="B190" s="55"/>
      <c r="C190" s="55"/>
      <c r="D190" s="48" t="s">
        <v>313</v>
      </c>
      <c r="E190" s="53"/>
      <c r="F190" s="55" t="str">
        <f>IFERROR(__xludf.DUMMYFUNCTION("QUERY('Volunteer Survey'!B787)"),"")</f>
        <v/>
      </c>
      <c r="G190" s="48" t="str">
        <f>IFERROR(__xludf.DUMMYFUNCTION("QUERY('Volunteer Survey'!H787)"),"")</f>
        <v/>
      </c>
      <c r="H190" s="55" t="str">
        <f>IFERROR(__xludf.DUMMYFUNCTION("QUERY('Volunteer Survey'!I787)"),"")</f>
        <v/>
      </c>
      <c r="I190" s="55"/>
      <c r="J190" s="55"/>
      <c r="K190" s="55"/>
      <c r="L190" s="55"/>
      <c r="M190" s="55"/>
      <c r="N190" s="55"/>
      <c r="O190" s="55"/>
      <c r="P190" s="55"/>
      <c r="Q190" s="55"/>
      <c r="R190" s="55"/>
      <c r="S190" s="55"/>
      <c r="T190" s="55"/>
      <c r="U190" s="55"/>
    </row>
    <row r="191">
      <c r="A191" s="48" t="s">
        <v>322</v>
      </c>
      <c r="B191" s="55"/>
      <c r="C191" s="55"/>
      <c r="D191" s="48" t="s">
        <v>313</v>
      </c>
      <c r="E191" s="53"/>
      <c r="F191" s="55" t="str">
        <f>IFERROR(__xludf.DUMMYFUNCTION("QUERY('Volunteer Survey'!B788)"),"")</f>
        <v/>
      </c>
      <c r="G191" s="48" t="str">
        <f>IFERROR(__xludf.DUMMYFUNCTION("QUERY('Volunteer Survey'!H788)"),"")</f>
        <v/>
      </c>
      <c r="H191" s="55" t="str">
        <f>IFERROR(__xludf.DUMMYFUNCTION("QUERY('Volunteer Survey'!I788)"),"")</f>
        <v/>
      </c>
      <c r="I191" s="55"/>
      <c r="J191" s="55"/>
      <c r="K191" s="55"/>
      <c r="L191" s="55"/>
      <c r="M191" s="55"/>
      <c r="N191" s="55"/>
      <c r="O191" s="55"/>
      <c r="P191" s="55"/>
      <c r="Q191" s="55"/>
      <c r="R191" s="55"/>
      <c r="S191" s="55"/>
      <c r="T191" s="55"/>
      <c r="U191" s="55"/>
    </row>
    <row r="192">
      <c r="A192" s="48" t="s">
        <v>322</v>
      </c>
      <c r="B192" s="55"/>
      <c r="C192" s="55"/>
      <c r="D192" s="48" t="s">
        <v>313</v>
      </c>
      <c r="E192" s="53"/>
      <c r="F192" s="55" t="str">
        <f>IFERROR(__xludf.DUMMYFUNCTION("QUERY('Volunteer Survey'!B789)"),"")</f>
        <v/>
      </c>
      <c r="G192" s="48" t="str">
        <f>IFERROR(__xludf.DUMMYFUNCTION("QUERY('Volunteer Survey'!H789)"),"")</f>
        <v/>
      </c>
      <c r="H192" s="55" t="str">
        <f>IFERROR(__xludf.DUMMYFUNCTION("QUERY('Volunteer Survey'!I789)"),"")</f>
        <v/>
      </c>
      <c r="I192" s="55"/>
      <c r="J192" s="55"/>
      <c r="K192" s="55"/>
      <c r="L192" s="55"/>
      <c r="M192" s="55"/>
      <c r="N192" s="55"/>
      <c r="O192" s="55"/>
      <c r="P192" s="55"/>
      <c r="Q192" s="55"/>
      <c r="R192" s="55"/>
      <c r="S192" s="55"/>
      <c r="T192" s="55"/>
      <c r="U192" s="55"/>
    </row>
    <row r="193">
      <c r="A193" s="48" t="s">
        <v>322</v>
      </c>
      <c r="B193" s="55"/>
      <c r="C193" s="55"/>
      <c r="D193" s="48" t="s">
        <v>313</v>
      </c>
      <c r="E193" s="53"/>
      <c r="F193" s="55" t="str">
        <f>IFERROR(__xludf.DUMMYFUNCTION("QUERY('Volunteer Survey'!B790)"),"")</f>
        <v/>
      </c>
      <c r="G193" s="48" t="str">
        <f>IFERROR(__xludf.DUMMYFUNCTION("QUERY('Volunteer Survey'!H790)"),"")</f>
        <v/>
      </c>
      <c r="H193" s="55" t="str">
        <f>IFERROR(__xludf.DUMMYFUNCTION("QUERY('Volunteer Survey'!I790)"),"")</f>
        <v/>
      </c>
      <c r="I193" s="55"/>
      <c r="J193" s="55"/>
      <c r="K193" s="55"/>
      <c r="L193" s="55"/>
      <c r="M193" s="55"/>
      <c r="N193" s="55"/>
      <c r="O193" s="55"/>
      <c r="P193" s="55"/>
      <c r="Q193" s="55"/>
      <c r="R193" s="55"/>
      <c r="S193" s="55"/>
      <c r="T193" s="55"/>
      <c r="U193" s="55"/>
    </row>
    <row r="194">
      <c r="A194" s="48" t="s">
        <v>322</v>
      </c>
      <c r="B194" s="55"/>
      <c r="C194" s="55"/>
      <c r="D194" s="55"/>
      <c r="E194" s="53"/>
      <c r="F194" s="55" t="str">
        <f>IFERROR(__xludf.DUMMYFUNCTION("QUERY('Volunteer Survey'!B791)"),"")</f>
        <v/>
      </c>
      <c r="G194" s="48" t="str">
        <f>IFERROR(__xludf.DUMMYFUNCTION("QUERY('Volunteer Survey'!H791)"),"")</f>
        <v/>
      </c>
      <c r="H194" s="55" t="str">
        <f>IFERROR(__xludf.DUMMYFUNCTION("QUERY('Volunteer Survey'!I791)"),"")</f>
        <v/>
      </c>
      <c r="I194" s="55"/>
      <c r="J194" s="55"/>
      <c r="K194" s="55"/>
      <c r="L194" s="55"/>
      <c r="M194" s="55"/>
      <c r="N194" s="55"/>
      <c r="O194" s="55"/>
      <c r="P194" s="55"/>
      <c r="Q194" s="55"/>
      <c r="R194" s="55"/>
      <c r="S194" s="55"/>
      <c r="T194" s="55"/>
      <c r="U194" s="55"/>
    </row>
    <row r="195">
      <c r="A195" s="48" t="s">
        <v>322</v>
      </c>
      <c r="B195" s="55"/>
      <c r="C195" s="55"/>
      <c r="D195" s="55"/>
      <c r="E195" s="53"/>
      <c r="F195" s="55" t="str">
        <f>IFERROR(__xludf.DUMMYFUNCTION("QUERY('Volunteer Survey'!B792)"),"")</f>
        <v/>
      </c>
      <c r="G195" s="48" t="str">
        <f>IFERROR(__xludf.DUMMYFUNCTION("QUERY('Volunteer Survey'!H792)"),"")</f>
        <v/>
      </c>
      <c r="H195" s="55" t="str">
        <f>IFERROR(__xludf.DUMMYFUNCTION("QUERY('Volunteer Survey'!I792)"),"")</f>
        <v/>
      </c>
      <c r="I195" s="55"/>
      <c r="J195" s="55"/>
      <c r="K195" s="55"/>
      <c r="L195" s="55"/>
      <c r="M195" s="55"/>
      <c r="N195" s="55"/>
      <c r="O195" s="55"/>
      <c r="P195" s="55"/>
      <c r="Q195" s="55"/>
      <c r="R195" s="55"/>
      <c r="S195" s="55"/>
      <c r="T195" s="55"/>
      <c r="U195" s="55"/>
    </row>
    <row r="196">
      <c r="A196" s="48" t="s">
        <v>322</v>
      </c>
      <c r="B196" s="55"/>
      <c r="C196" s="55"/>
      <c r="D196" s="55"/>
      <c r="E196" s="53"/>
      <c r="F196" s="55" t="str">
        <f>IFERROR(__xludf.DUMMYFUNCTION("QUERY('Volunteer Survey'!B793)"),"")</f>
        <v/>
      </c>
      <c r="G196" s="48" t="str">
        <f>IFERROR(__xludf.DUMMYFUNCTION("QUERY('Volunteer Survey'!H793)"),"")</f>
        <v/>
      </c>
      <c r="H196" s="55" t="str">
        <f>IFERROR(__xludf.DUMMYFUNCTION("QUERY('Volunteer Survey'!I793)"),"")</f>
        <v/>
      </c>
      <c r="I196" s="55"/>
      <c r="J196" s="55"/>
      <c r="K196" s="55"/>
      <c r="L196" s="55"/>
      <c r="M196" s="55"/>
      <c r="N196" s="55"/>
      <c r="O196" s="55"/>
      <c r="P196" s="55"/>
      <c r="Q196" s="55"/>
      <c r="R196" s="55"/>
      <c r="S196" s="55"/>
      <c r="T196" s="55"/>
      <c r="U196" s="55"/>
    </row>
    <row r="197">
      <c r="A197" s="48" t="s">
        <v>322</v>
      </c>
      <c r="B197" s="55"/>
      <c r="C197" s="55"/>
      <c r="D197" s="55"/>
      <c r="E197" s="53"/>
      <c r="F197" s="55" t="str">
        <f>IFERROR(__xludf.DUMMYFUNCTION("QUERY('Volunteer Survey'!B794)"),"")</f>
        <v/>
      </c>
      <c r="G197" s="48" t="str">
        <f>IFERROR(__xludf.DUMMYFUNCTION("QUERY('Volunteer Survey'!H794)"),"")</f>
        <v/>
      </c>
      <c r="H197" s="55" t="str">
        <f>IFERROR(__xludf.DUMMYFUNCTION("QUERY('Volunteer Survey'!I794)"),"")</f>
        <v/>
      </c>
      <c r="I197" s="55"/>
      <c r="J197" s="55"/>
      <c r="K197" s="55"/>
      <c r="L197" s="55"/>
      <c r="M197" s="55"/>
      <c r="N197" s="55"/>
      <c r="O197" s="55"/>
      <c r="P197" s="55"/>
      <c r="Q197" s="55"/>
      <c r="R197" s="55"/>
      <c r="S197" s="55"/>
      <c r="T197" s="55"/>
      <c r="U197" s="55"/>
    </row>
    <row r="198">
      <c r="A198" s="48" t="s">
        <v>322</v>
      </c>
      <c r="B198" s="55"/>
      <c r="C198" s="55"/>
      <c r="D198" s="55"/>
      <c r="E198" s="53"/>
      <c r="F198" s="55" t="str">
        <f>IFERROR(__xludf.DUMMYFUNCTION("QUERY('Volunteer Survey'!B795)"),"")</f>
        <v/>
      </c>
      <c r="G198" s="48" t="str">
        <f>IFERROR(__xludf.DUMMYFUNCTION("QUERY('Volunteer Survey'!H795)"),"")</f>
        <v/>
      </c>
      <c r="H198" s="55" t="str">
        <f>IFERROR(__xludf.DUMMYFUNCTION("QUERY('Volunteer Survey'!I795)"),"")</f>
        <v/>
      </c>
      <c r="I198" s="55"/>
      <c r="J198" s="55"/>
      <c r="K198" s="55"/>
      <c r="L198" s="55"/>
      <c r="M198" s="55"/>
      <c r="N198" s="55"/>
      <c r="O198" s="55"/>
      <c r="P198" s="55"/>
      <c r="Q198" s="55"/>
      <c r="R198" s="55"/>
      <c r="S198" s="55"/>
      <c r="T198" s="55"/>
      <c r="U198" s="55"/>
    </row>
    <row r="199">
      <c r="A199" s="48" t="s">
        <v>322</v>
      </c>
      <c r="B199" s="55"/>
      <c r="C199" s="55"/>
      <c r="D199" s="55"/>
      <c r="E199" s="53"/>
      <c r="F199" s="55" t="str">
        <f>IFERROR(__xludf.DUMMYFUNCTION("QUERY('Volunteer Survey'!B796)"),"")</f>
        <v/>
      </c>
      <c r="G199" s="48" t="str">
        <f>IFERROR(__xludf.DUMMYFUNCTION("QUERY('Volunteer Survey'!H796)"),"")</f>
        <v/>
      </c>
      <c r="H199" s="55" t="str">
        <f>IFERROR(__xludf.DUMMYFUNCTION("QUERY('Volunteer Survey'!I796)"),"")</f>
        <v/>
      </c>
      <c r="I199" s="55"/>
      <c r="J199" s="55"/>
      <c r="K199" s="55"/>
      <c r="L199" s="55"/>
      <c r="M199" s="55"/>
      <c r="N199" s="55"/>
      <c r="O199" s="55"/>
      <c r="P199" s="55"/>
      <c r="Q199" s="55"/>
      <c r="R199" s="55"/>
      <c r="S199" s="55"/>
      <c r="T199" s="55"/>
      <c r="U199" s="55"/>
    </row>
    <row r="200">
      <c r="A200" s="48" t="s">
        <v>322</v>
      </c>
      <c r="B200" s="55"/>
      <c r="C200" s="55"/>
      <c r="D200" s="55"/>
      <c r="E200" s="53"/>
      <c r="F200" s="55" t="str">
        <f>IFERROR(__xludf.DUMMYFUNCTION("QUERY('Volunteer Survey'!B797)"),"")</f>
        <v/>
      </c>
      <c r="G200" s="48" t="str">
        <f>IFERROR(__xludf.DUMMYFUNCTION("QUERY('Volunteer Survey'!H797)"),"")</f>
        <v/>
      </c>
      <c r="H200" s="55" t="str">
        <f>IFERROR(__xludf.DUMMYFUNCTION("QUERY('Volunteer Survey'!I797)"),"")</f>
        <v/>
      </c>
      <c r="I200" s="55"/>
      <c r="J200" s="55"/>
      <c r="K200" s="55"/>
      <c r="L200" s="55"/>
      <c r="M200" s="55"/>
      <c r="N200" s="55"/>
      <c r="O200" s="55"/>
      <c r="P200" s="55"/>
      <c r="Q200" s="55"/>
      <c r="R200" s="55"/>
      <c r="S200" s="55"/>
      <c r="T200" s="55"/>
      <c r="U200" s="55"/>
    </row>
    <row r="201">
      <c r="A201" s="48" t="s">
        <v>322</v>
      </c>
      <c r="B201" s="55"/>
      <c r="C201" s="55"/>
      <c r="D201" s="55"/>
      <c r="E201" s="53"/>
      <c r="F201" s="55" t="str">
        <f>IFERROR(__xludf.DUMMYFUNCTION("QUERY('Volunteer Survey'!B798)"),"")</f>
        <v/>
      </c>
      <c r="G201" s="48" t="str">
        <f>IFERROR(__xludf.DUMMYFUNCTION("QUERY('Volunteer Survey'!H798)"),"")</f>
        <v/>
      </c>
      <c r="H201" s="55" t="str">
        <f>IFERROR(__xludf.DUMMYFUNCTION("QUERY('Volunteer Survey'!I798)"),"")</f>
        <v/>
      </c>
      <c r="I201" s="55"/>
      <c r="J201" s="55"/>
      <c r="K201" s="55"/>
      <c r="L201" s="55"/>
      <c r="M201" s="55"/>
      <c r="N201" s="55"/>
      <c r="O201" s="55"/>
      <c r="P201" s="55"/>
      <c r="Q201" s="55"/>
      <c r="R201" s="55"/>
      <c r="S201" s="55"/>
      <c r="T201" s="55"/>
      <c r="U201" s="55"/>
    </row>
    <row r="202">
      <c r="A202" s="48" t="s">
        <v>322</v>
      </c>
      <c r="B202" s="55"/>
      <c r="C202" s="55"/>
      <c r="D202" s="55"/>
      <c r="E202" s="53"/>
      <c r="F202" s="55" t="str">
        <f>IFERROR(__xludf.DUMMYFUNCTION("QUERY('Volunteer Survey'!B799)"),"")</f>
        <v/>
      </c>
      <c r="G202" s="48" t="str">
        <f>IFERROR(__xludf.DUMMYFUNCTION("QUERY('Volunteer Survey'!H799)"),"")</f>
        <v/>
      </c>
      <c r="H202" s="55" t="str">
        <f>IFERROR(__xludf.DUMMYFUNCTION("QUERY('Volunteer Survey'!I799)"),"")</f>
        <v/>
      </c>
      <c r="I202" s="55"/>
      <c r="J202" s="55"/>
      <c r="K202" s="55"/>
      <c r="L202" s="55"/>
      <c r="M202" s="55"/>
      <c r="N202" s="55"/>
      <c r="O202" s="55"/>
      <c r="P202" s="55"/>
      <c r="Q202" s="55"/>
      <c r="R202" s="55"/>
      <c r="S202" s="55"/>
      <c r="T202" s="55"/>
      <c r="U202" s="55"/>
    </row>
    <row r="203">
      <c r="A203" s="48" t="s">
        <v>322</v>
      </c>
      <c r="B203" s="55"/>
      <c r="C203" s="55"/>
      <c r="D203" s="55"/>
      <c r="E203" s="53"/>
      <c r="F203" s="55" t="str">
        <f>IFERROR(__xludf.DUMMYFUNCTION("QUERY('Volunteer Survey'!B800)"),"")</f>
        <v/>
      </c>
      <c r="G203" s="48" t="str">
        <f>IFERROR(__xludf.DUMMYFUNCTION("QUERY('Volunteer Survey'!H800)"),"")</f>
        <v/>
      </c>
      <c r="H203" s="55" t="str">
        <f>IFERROR(__xludf.DUMMYFUNCTION("QUERY('Volunteer Survey'!I800)"),"")</f>
        <v/>
      </c>
      <c r="I203" s="55"/>
      <c r="J203" s="55"/>
      <c r="K203" s="55"/>
      <c r="L203" s="55"/>
      <c r="M203" s="55"/>
      <c r="N203" s="55"/>
      <c r="O203" s="55"/>
      <c r="P203" s="55"/>
      <c r="Q203" s="55"/>
      <c r="R203" s="55"/>
      <c r="S203" s="55"/>
      <c r="T203" s="55"/>
      <c r="U203" s="55"/>
    </row>
    <row r="204">
      <c r="A204" s="48" t="s">
        <v>322</v>
      </c>
      <c r="B204" s="55"/>
      <c r="C204" s="55"/>
      <c r="D204" s="55"/>
      <c r="E204" s="53"/>
      <c r="F204" s="55" t="str">
        <f>IFERROR(__xludf.DUMMYFUNCTION("QUERY('Volunteer Survey'!B801)"),"")</f>
        <v/>
      </c>
      <c r="G204" s="48" t="str">
        <f>IFERROR(__xludf.DUMMYFUNCTION("QUERY('Volunteer Survey'!H801)"),"")</f>
        <v/>
      </c>
      <c r="H204" s="55" t="str">
        <f>IFERROR(__xludf.DUMMYFUNCTION("QUERY('Volunteer Survey'!I801)"),"")</f>
        <v/>
      </c>
      <c r="I204" s="55"/>
      <c r="J204" s="55"/>
      <c r="K204" s="55"/>
      <c r="L204" s="55"/>
      <c r="M204" s="55"/>
      <c r="N204" s="55"/>
      <c r="O204" s="55"/>
      <c r="P204" s="55"/>
      <c r="Q204" s="55"/>
      <c r="R204" s="55"/>
      <c r="S204" s="55"/>
      <c r="T204" s="55"/>
      <c r="U204" s="55"/>
    </row>
    <row r="205">
      <c r="A205" s="48" t="s">
        <v>322</v>
      </c>
      <c r="B205" s="55"/>
      <c r="C205" s="55"/>
      <c r="D205" s="55"/>
      <c r="E205" s="53"/>
      <c r="F205" s="55" t="str">
        <f>IFERROR(__xludf.DUMMYFUNCTION("QUERY('Volunteer Survey'!B802)"),"")</f>
        <v/>
      </c>
      <c r="G205" s="48" t="str">
        <f>IFERROR(__xludf.DUMMYFUNCTION("QUERY('Volunteer Survey'!H802)"),"")</f>
        <v/>
      </c>
      <c r="H205" s="55" t="str">
        <f>IFERROR(__xludf.DUMMYFUNCTION("QUERY('Volunteer Survey'!I802)"),"")</f>
        <v/>
      </c>
      <c r="I205" s="55"/>
      <c r="J205" s="55"/>
      <c r="K205" s="55"/>
      <c r="L205" s="55"/>
      <c r="M205" s="55"/>
      <c r="N205" s="55"/>
      <c r="O205" s="55"/>
      <c r="P205" s="55"/>
      <c r="Q205" s="55"/>
      <c r="R205" s="55"/>
      <c r="S205" s="55"/>
      <c r="T205" s="55"/>
      <c r="U205" s="55"/>
    </row>
    <row r="206">
      <c r="A206" s="48" t="s">
        <v>322</v>
      </c>
      <c r="B206" s="55"/>
      <c r="C206" s="55"/>
      <c r="D206" s="55"/>
      <c r="E206" s="53"/>
      <c r="F206" s="55" t="str">
        <f>IFERROR(__xludf.DUMMYFUNCTION("QUERY('Volunteer Survey'!B803)"),"")</f>
        <v/>
      </c>
      <c r="G206" s="48" t="str">
        <f>IFERROR(__xludf.DUMMYFUNCTION("QUERY('Volunteer Survey'!H803)"),"")</f>
        <v/>
      </c>
      <c r="H206" s="55" t="str">
        <f>IFERROR(__xludf.DUMMYFUNCTION("QUERY('Volunteer Survey'!I803)"),"")</f>
        <v/>
      </c>
      <c r="I206" s="55"/>
      <c r="J206" s="55"/>
      <c r="K206" s="55"/>
      <c r="L206" s="55"/>
      <c r="M206" s="55"/>
      <c r="N206" s="55"/>
      <c r="O206" s="55"/>
      <c r="P206" s="55"/>
      <c r="Q206" s="55"/>
      <c r="R206" s="55"/>
      <c r="S206" s="55"/>
      <c r="T206" s="55"/>
      <c r="U206" s="55"/>
    </row>
    <row r="207">
      <c r="A207" s="48" t="s">
        <v>322</v>
      </c>
      <c r="B207" s="55"/>
      <c r="C207" s="55"/>
      <c r="D207" s="55"/>
      <c r="E207" s="53"/>
      <c r="F207" s="55" t="str">
        <f>IFERROR(__xludf.DUMMYFUNCTION("QUERY('Volunteer Survey'!B804)"),"")</f>
        <v/>
      </c>
      <c r="G207" s="48" t="str">
        <f>IFERROR(__xludf.DUMMYFUNCTION("QUERY('Volunteer Survey'!H804)"),"")</f>
        <v/>
      </c>
      <c r="H207" s="55" t="str">
        <f>IFERROR(__xludf.DUMMYFUNCTION("QUERY('Volunteer Survey'!I804)"),"")</f>
        <v/>
      </c>
      <c r="I207" s="55"/>
      <c r="J207" s="55"/>
      <c r="K207" s="55"/>
      <c r="L207" s="55"/>
      <c r="M207" s="55"/>
      <c r="N207" s="55"/>
      <c r="O207" s="55"/>
      <c r="P207" s="55"/>
      <c r="Q207" s="55"/>
      <c r="R207" s="55"/>
      <c r="S207" s="55"/>
      <c r="T207" s="55"/>
      <c r="U207" s="55"/>
    </row>
    <row r="208">
      <c r="A208" s="48" t="s">
        <v>322</v>
      </c>
      <c r="B208" s="55"/>
      <c r="C208" s="55"/>
      <c r="D208" s="55"/>
      <c r="E208" s="53"/>
      <c r="F208" s="55" t="str">
        <f>IFERROR(__xludf.DUMMYFUNCTION("QUERY('Volunteer Survey'!B805)"),"")</f>
        <v/>
      </c>
      <c r="G208" s="48" t="str">
        <f>IFERROR(__xludf.DUMMYFUNCTION("QUERY('Volunteer Survey'!H805)"),"")</f>
        <v/>
      </c>
      <c r="H208" s="55" t="str">
        <f>IFERROR(__xludf.DUMMYFUNCTION("QUERY('Volunteer Survey'!I805)"),"")</f>
        <v/>
      </c>
      <c r="I208" s="55"/>
      <c r="J208" s="55"/>
      <c r="K208" s="55"/>
      <c r="L208" s="55"/>
      <c r="M208" s="55"/>
      <c r="N208" s="55"/>
      <c r="O208" s="55"/>
      <c r="P208" s="55"/>
      <c r="Q208" s="55"/>
      <c r="R208" s="55"/>
      <c r="S208" s="55"/>
      <c r="T208" s="55"/>
      <c r="U208" s="55"/>
    </row>
    <row r="209">
      <c r="A209" s="48" t="s">
        <v>322</v>
      </c>
      <c r="B209" s="55"/>
      <c r="C209" s="55"/>
      <c r="D209" s="55"/>
      <c r="E209" s="53"/>
      <c r="F209" s="55" t="str">
        <f>IFERROR(__xludf.DUMMYFUNCTION("QUERY('Volunteer Survey'!B806)"),"")</f>
        <v/>
      </c>
      <c r="G209" s="48" t="str">
        <f>IFERROR(__xludf.DUMMYFUNCTION("QUERY('Volunteer Survey'!H806)"),"")</f>
        <v/>
      </c>
      <c r="H209" s="55" t="str">
        <f>IFERROR(__xludf.DUMMYFUNCTION("QUERY('Volunteer Survey'!I806)"),"")</f>
        <v/>
      </c>
      <c r="I209" s="55"/>
      <c r="J209" s="55"/>
      <c r="K209" s="55"/>
      <c r="L209" s="55"/>
      <c r="M209" s="55"/>
      <c r="N209" s="55"/>
      <c r="O209" s="55"/>
      <c r="P209" s="55"/>
      <c r="Q209" s="55"/>
      <c r="R209" s="55"/>
      <c r="S209" s="55"/>
      <c r="T209" s="55"/>
      <c r="U209" s="55"/>
    </row>
    <row r="210">
      <c r="A210" s="48" t="s">
        <v>322</v>
      </c>
      <c r="B210" s="55"/>
      <c r="C210" s="55"/>
      <c r="D210" s="55"/>
      <c r="E210" s="53"/>
      <c r="F210" s="55" t="str">
        <f>IFERROR(__xludf.DUMMYFUNCTION("QUERY('Volunteer Survey'!B807)"),"")</f>
        <v/>
      </c>
      <c r="G210" s="48" t="str">
        <f>IFERROR(__xludf.DUMMYFUNCTION("QUERY('Volunteer Survey'!H807)"),"")</f>
        <v/>
      </c>
      <c r="H210" s="55" t="str">
        <f>IFERROR(__xludf.DUMMYFUNCTION("QUERY('Volunteer Survey'!I807)"),"")</f>
        <v/>
      </c>
      <c r="I210" s="55"/>
      <c r="J210" s="55"/>
      <c r="K210" s="55"/>
      <c r="L210" s="55"/>
      <c r="M210" s="55"/>
      <c r="N210" s="55"/>
      <c r="O210" s="55"/>
      <c r="P210" s="55"/>
      <c r="Q210" s="55"/>
      <c r="R210" s="55"/>
      <c r="S210" s="55"/>
      <c r="T210" s="55"/>
      <c r="U210" s="55"/>
    </row>
    <row r="211">
      <c r="A211" s="48" t="s">
        <v>322</v>
      </c>
      <c r="B211" s="55"/>
      <c r="C211" s="55"/>
      <c r="D211" s="55"/>
      <c r="E211" s="53"/>
      <c r="F211" s="55" t="str">
        <f>IFERROR(__xludf.DUMMYFUNCTION("QUERY('Volunteer Survey'!B808)"),"")</f>
        <v/>
      </c>
      <c r="G211" s="48" t="str">
        <f>IFERROR(__xludf.DUMMYFUNCTION("QUERY('Volunteer Survey'!H808)"),"")</f>
        <v/>
      </c>
      <c r="H211" s="55" t="str">
        <f>IFERROR(__xludf.DUMMYFUNCTION("QUERY('Volunteer Survey'!I808)"),"")</f>
        <v/>
      </c>
      <c r="I211" s="55"/>
      <c r="J211" s="55"/>
      <c r="K211" s="55"/>
      <c r="L211" s="55"/>
      <c r="M211" s="55"/>
      <c r="N211" s="55"/>
      <c r="O211" s="55"/>
      <c r="P211" s="55"/>
      <c r="Q211" s="55"/>
      <c r="R211" s="55"/>
      <c r="S211" s="55"/>
      <c r="T211" s="55"/>
      <c r="U211" s="55"/>
    </row>
    <row r="212">
      <c r="A212" s="48" t="s">
        <v>322</v>
      </c>
      <c r="B212" s="55"/>
      <c r="C212" s="55"/>
      <c r="D212" s="55"/>
      <c r="E212" s="53"/>
      <c r="F212" s="55" t="str">
        <f>IFERROR(__xludf.DUMMYFUNCTION("QUERY('Volunteer Survey'!B809)"),"")</f>
        <v/>
      </c>
      <c r="G212" s="48" t="str">
        <f>IFERROR(__xludf.DUMMYFUNCTION("QUERY('Volunteer Survey'!H809)"),"")</f>
        <v/>
      </c>
      <c r="H212" s="55" t="str">
        <f>IFERROR(__xludf.DUMMYFUNCTION("QUERY('Volunteer Survey'!I809)"),"")</f>
        <v/>
      </c>
      <c r="I212" s="55"/>
      <c r="J212" s="55"/>
      <c r="K212" s="55"/>
      <c r="L212" s="55"/>
      <c r="M212" s="55"/>
      <c r="N212" s="55"/>
      <c r="O212" s="55"/>
      <c r="P212" s="55"/>
      <c r="Q212" s="55"/>
      <c r="R212" s="55"/>
      <c r="S212" s="55"/>
      <c r="T212" s="55"/>
      <c r="U212" s="55"/>
    </row>
    <row r="213">
      <c r="A213" s="48" t="s">
        <v>322</v>
      </c>
      <c r="B213" s="55"/>
      <c r="C213" s="55"/>
      <c r="D213" s="55"/>
      <c r="E213" s="53"/>
      <c r="F213" s="55" t="str">
        <f>IFERROR(__xludf.DUMMYFUNCTION("QUERY('Volunteer Survey'!B810)"),"")</f>
        <v/>
      </c>
      <c r="G213" s="48" t="str">
        <f>IFERROR(__xludf.DUMMYFUNCTION("QUERY('Volunteer Survey'!H810)"),"")</f>
        <v/>
      </c>
      <c r="H213" s="55" t="str">
        <f>IFERROR(__xludf.DUMMYFUNCTION("QUERY('Volunteer Survey'!I810)"),"")</f>
        <v/>
      </c>
      <c r="I213" s="55"/>
      <c r="J213" s="55"/>
      <c r="K213" s="55"/>
      <c r="L213" s="55"/>
      <c r="M213" s="55"/>
      <c r="N213" s="55"/>
      <c r="O213" s="55"/>
      <c r="P213" s="55"/>
      <c r="Q213" s="55"/>
      <c r="R213" s="55"/>
      <c r="S213" s="55"/>
      <c r="T213" s="55"/>
      <c r="U213" s="55"/>
    </row>
    <row r="214">
      <c r="A214" s="48" t="s">
        <v>322</v>
      </c>
      <c r="B214" s="55"/>
      <c r="C214" s="55"/>
      <c r="D214" s="55"/>
      <c r="E214" s="53"/>
      <c r="F214" s="55" t="str">
        <f>IFERROR(__xludf.DUMMYFUNCTION("QUERY('Volunteer Survey'!B811)"),"")</f>
        <v/>
      </c>
      <c r="G214" s="48" t="str">
        <f>IFERROR(__xludf.DUMMYFUNCTION("QUERY('Volunteer Survey'!H811)"),"")</f>
        <v/>
      </c>
      <c r="H214" s="55" t="str">
        <f>IFERROR(__xludf.DUMMYFUNCTION("QUERY('Volunteer Survey'!I811)"),"")</f>
        <v/>
      </c>
      <c r="I214" s="55"/>
      <c r="J214" s="55"/>
      <c r="K214" s="55"/>
      <c r="L214" s="55"/>
      <c r="M214" s="55"/>
      <c r="N214" s="55"/>
      <c r="O214" s="55"/>
      <c r="P214" s="55"/>
      <c r="Q214" s="55"/>
      <c r="R214" s="55"/>
      <c r="S214" s="55"/>
      <c r="T214" s="55"/>
      <c r="U214" s="55"/>
    </row>
    <row r="215">
      <c r="A215" s="48" t="s">
        <v>322</v>
      </c>
      <c r="B215" s="55"/>
      <c r="C215" s="55"/>
      <c r="D215" s="55"/>
      <c r="E215" s="53"/>
      <c r="F215" s="55" t="str">
        <f>IFERROR(__xludf.DUMMYFUNCTION("QUERY('Volunteer Survey'!B812)"),"")</f>
        <v/>
      </c>
      <c r="G215" s="48" t="str">
        <f>IFERROR(__xludf.DUMMYFUNCTION("QUERY('Volunteer Survey'!H812)"),"")</f>
        <v/>
      </c>
      <c r="H215" s="55" t="str">
        <f>IFERROR(__xludf.DUMMYFUNCTION("QUERY('Volunteer Survey'!I812)"),"")</f>
        <v/>
      </c>
      <c r="I215" s="55"/>
      <c r="J215" s="55"/>
      <c r="K215" s="55"/>
      <c r="L215" s="55"/>
      <c r="M215" s="55"/>
      <c r="N215" s="55"/>
      <c r="O215" s="55"/>
      <c r="P215" s="55"/>
      <c r="Q215" s="55"/>
      <c r="R215" s="55"/>
      <c r="S215" s="55"/>
      <c r="T215" s="55"/>
      <c r="U215" s="55"/>
    </row>
    <row r="216">
      <c r="A216" s="48" t="s">
        <v>322</v>
      </c>
      <c r="B216" s="55"/>
      <c r="C216" s="55"/>
      <c r="D216" s="55"/>
      <c r="E216" s="53"/>
      <c r="F216" s="55" t="str">
        <f>IFERROR(__xludf.DUMMYFUNCTION("QUERY('Volunteer Survey'!B813)"),"")</f>
        <v/>
      </c>
      <c r="G216" s="48" t="str">
        <f>IFERROR(__xludf.DUMMYFUNCTION("QUERY('Volunteer Survey'!H813)"),"")</f>
        <v/>
      </c>
      <c r="H216" s="55" t="str">
        <f>IFERROR(__xludf.DUMMYFUNCTION("QUERY('Volunteer Survey'!I813)"),"")</f>
        <v/>
      </c>
      <c r="I216" s="55"/>
      <c r="J216" s="55"/>
      <c r="K216" s="55"/>
      <c r="L216" s="55"/>
      <c r="M216" s="55"/>
      <c r="N216" s="55"/>
      <c r="O216" s="55"/>
      <c r="P216" s="55"/>
      <c r="Q216" s="55"/>
      <c r="R216" s="55"/>
      <c r="S216" s="55"/>
      <c r="T216" s="55"/>
      <c r="U216" s="55"/>
    </row>
    <row r="217">
      <c r="A217" s="48" t="s">
        <v>322</v>
      </c>
      <c r="B217" s="55"/>
      <c r="C217" s="55"/>
      <c r="D217" s="55"/>
      <c r="E217" s="53"/>
      <c r="F217" s="55" t="str">
        <f>IFERROR(__xludf.DUMMYFUNCTION("QUERY('Volunteer Survey'!B814)"),"")</f>
        <v/>
      </c>
      <c r="G217" s="48" t="str">
        <f>IFERROR(__xludf.DUMMYFUNCTION("QUERY('Volunteer Survey'!H814)"),"")</f>
        <v/>
      </c>
      <c r="H217" s="55" t="str">
        <f>IFERROR(__xludf.DUMMYFUNCTION("QUERY('Volunteer Survey'!I814)"),"")</f>
        <v/>
      </c>
      <c r="I217" s="55"/>
      <c r="J217" s="55"/>
      <c r="K217" s="55"/>
      <c r="L217" s="55"/>
      <c r="M217" s="55"/>
      <c r="N217" s="55"/>
      <c r="O217" s="55"/>
      <c r="P217" s="55"/>
      <c r="Q217" s="55"/>
      <c r="R217" s="55"/>
      <c r="S217" s="55"/>
      <c r="T217" s="55"/>
      <c r="U217" s="55"/>
    </row>
    <row r="218">
      <c r="A218" s="48" t="s">
        <v>322</v>
      </c>
      <c r="B218" s="55"/>
      <c r="C218" s="55"/>
      <c r="D218" s="55"/>
      <c r="E218" s="53"/>
      <c r="F218" s="55" t="str">
        <f>IFERROR(__xludf.DUMMYFUNCTION("QUERY('Volunteer Survey'!B815)"),"")</f>
        <v/>
      </c>
      <c r="G218" s="48" t="str">
        <f>IFERROR(__xludf.DUMMYFUNCTION("QUERY('Volunteer Survey'!H815)"),"")</f>
        <v/>
      </c>
      <c r="H218" s="55" t="str">
        <f>IFERROR(__xludf.DUMMYFUNCTION("QUERY('Volunteer Survey'!I815)"),"")</f>
        <v/>
      </c>
      <c r="I218" s="55"/>
      <c r="J218" s="55"/>
      <c r="K218" s="55"/>
      <c r="L218" s="55"/>
      <c r="M218" s="55"/>
      <c r="N218" s="55"/>
      <c r="O218" s="55"/>
      <c r="P218" s="55"/>
      <c r="Q218" s="55"/>
      <c r="R218" s="55"/>
      <c r="S218" s="55"/>
      <c r="T218" s="55"/>
      <c r="U218" s="55"/>
    </row>
    <row r="219">
      <c r="A219" s="48" t="s">
        <v>322</v>
      </c>
      <c r="B219" s="55"/>
      <c r="C219" s="55"/>
      <c r="D219" s="55"/>
      <c r="E219" s="53"/>
      <c r="F219" s="55" t="str">
        <f>IFERROR(__xludf.DUMMYFUNCTION("QUERY('Volunteer Survey'!B816)"),"")</f>
        <v/>
      </c>
      <c r="G219" s="48" t="str">
        <f>IFERROR(__xludf.DUMMYFUNCTION("QUERY('Volunteer Survey'!H816)"),"")</f>
        <v/>
      </c>
      <c r="H219" s="55" t="str">
        <f>IFERROR(__xludf.DUMMYFUNCTION("QUERY('Volunteer Survey'!I816)"),"")</f>
        <v/>
      </c>
      <c r="I219" s="55"/>
      <c r="J219" s="55"/>
      <c r="K219" s="55"/>
      <c r="L219" s="55"/>
      <c r="M219" s="55"/>
      <c r="N219" s="55"/>
      <c r="O219" s="55"/>
      <c r="P219" s="55"/>
      <c r="Q219" s="55"/>
      <c r="R219" s="55"/>
      <c r="S219" s="55"/>
      <c r="T219" s="55"/>
      <c r="U219" s="55"/>
    </row>
    <row r="220">
      <c r="A220" s="48" t="s">
        <v>322</v>
      </c>
      <c r="B220" s="55"/>
      <c r="C220" s="55"/>
      <c r="D220" s="55"/>
      <c r="E220" s="53"/>
      <c r="F220" s="55" t="str">
        <f>IFERROR(__xludf.DUMMYFUNCTION("QUERY('Volunteer Survey'!B817)"),"")</f>
        <v/>
      </c>
      <c r="G220" s="48" t="str">
        <f>IFERROR(__xludf.DUMMYFUNCTION("QUERY('Volunteer Survey'!H817)"),"")</f>
        <v/>
      </c>
      <c r="H220" s="55" t="str">
        <f>IFERROR(__xludf.DUMMYFUNCTION("QUERY('Volunteer Survey'!I817)"),"")</f>
        <v/>
      </c>
      <c r="I220" s="55"/>
      <c r="J220" s="55"/>
      <c r="K220" s="55"/>
      <c r="L220" s="55"/>
      <c r="M220" s="55"/>
      <c r="N220" s="55"/>
      <c r="O220" s="55"/>
      <c r="P220" s="55"/>
      <c r="Q220" s="55"/>
      <c r="R220" s="55"/>
      <c r="S220" s="55"/>
      <c r="T220" s="55"/>
      <c r="U220" s="55"/>
    </row>
    <row r="221">
      <c r="A221" s="48" t="s">
        <v>322</v>
      </c>
      <c r="B221" s="55"/>
      <c r="C221" s="55"/>
      <c r="D221" s="55"/>
      <c r="E221" s="53"/>
      <c r="F221" s="55" t="str">
        <f>IFERROR(__xludf.DUMMYFUNCTION("QUERY('Volunteer Survey'!B818)"),"")</f>
        <v/>
      </c>
      <c r="G221" s="48" t="str">
        <f>IFERROR(__xludf.DUMMYFUNCTION("QUERY('Volunteer Survey'!H818)"),"")</f>
        <v/>
      </c>
      <c r="H221" s="55" t="str">
        <f>IFERROR(__xludf.DUMMYFUNCTION("QUERY('Volunteer Survey'!I818)"),"")</f>
        <v/>
      </c>
      <c r="I221" s="55"/>
      <c r="J221" s="55"/>
      <c r="K221" s="55"/>
      <c r="L221" s="55"/>
      <c r="M221" s="55"/>
      <c r="N221" s="55"/>
      <c r="O221" s="55"/>
      <c r="P221" s="55"/>
      <c r="Q221" s="55"/>
      <c r="R221" s="55"/>
      <c r="S221" s="55"/>
      <c r="T221" s="55"/>
      <c r="U221" s="55"/>
    </row>
    <row r="222">
      <c r="A222" s="48" t="s">
        <v>322</v>
      </c>
      <c r="B222" s="55"/>
      <c r="C222" s="55"/>
      <c r="D222" s="55"/>
      <c r="E222" s="53"/>
      <c r="F222" s="55" t="str">
        <f>IFERROR(__xludf.DUMMYFUNCTION("QUERY('Volunteer Survey'!B819)"),"")</f>
        <v/>
      </c>
      <c r="G222" s="48" t="str">
        <f>IFERROR(__xludf.DUMMYFUNCTION("QUERY('Volunteer Survey'!H819)"),"")</f>
        <v/>
      </c>
      <c r="H222" s="55" t="str">
        <f>IFERROR(__xludf.DUMMYFUNCTION("QUERY('Volunteer Survey'!I819)"),"")</f>
        <v/>
      </c>
      <c r="I222" s="55"/>
      <c r="J222" s="55"/>
      <c r="K222" s="55"/>
      <c r="L222" s="55"/>
      <c r="M222" s="55"/>
      <c r="N222" s="55"/>
      <c r="O222" s="55"/>
      <c r="P222" s="55"/>
      <c r="Q222" s="55"/>
      <c r="R222" s="55"/>
      <c r="S222" s="55"/>
      <c r="T222" s="55"/>
      <c r="U222" s="55"/>
    </row>
    <row r="223">
      <c r="A223" s="48" t="s">
        <v>322</v>
      </c>
      <c r="B223" s="55"/>
      <c r="C223" s="55"/>
      <c r="D223" s="55"/>
      <c r="E223" s="53"/>
      <c r="F223" s="55" t="str">
        <f>IFERROR(__xludf.DUMMYFUNCTION("QUERY('Volunteer Survey'!B820)"),"")</f>
        <v/>
      </c>
      <c r="G223" s="48" t="str">
        <f>IFERROR(__xludf.DUMMYFUNCTION("QUERY('Volunteer Survey'!H820)"),"")</f>
        <v/>
      </c>
      <c r="H223" s="55" t="str">
        <f>IFERROR(__xludf.DUMMYFUNCTION("QUERY('Volunteer Survey'!I820)"),"")</f>
        <v/>
      </c>
      <c r="I223" s="55"/>
      <c r="J223" s="55"/>
      <c r="K223" s="55"/>
      <c r="L223" s="55"/>
      <c r="M223" s="55"/>
      <c r="N223" s="55"/>
      <c r="O223" s="55"/>
      <c r="P223" s="55"/>
      <c r="Q223" s="55"/>
      <c r="R223" s="55"/>
      <c r="S223" s="55"/>
      <c r="T223" s="55"/>
      <c r="U223" s="55"/>
    </row>
    <row r="224">
      <c r="A224" s="48" t="s">
        <v>322</v>
      </c>
      <c r="B224" s="55"/>
      <c r="C224" s="55"/>
      <c r="D224" s="55"/>
      <c r="E224" s="53"/>
      <c r="F224" s="55" t="str">
        <f>IFERROR(__xludf.DUMMYFUNCTION("QUERY('Volunteer Survey'!B821)"),"")</f>
        <v/>
      </c>
      <c r="G224" s="48" t="str">
        <f>IFERROR(__xludf.DUMMYFUNCTION("QUERY('Volunteer Survey'!H821)"),"")</f>
        <v/>
      </c>
      <c r="H224" s="55" t="str">
        <f>IFERROR(__xludf.DUMMYFUNCTION("QUERY('Volunteer Survey'!I821)"),"")</f>
        <v/>
      </c>
      <c r="I224" s="55"/>
      <c r="J224" s="55"/>
      <c r="K224" s="55"/>
      <c r="L224" s="55"/>
      <c r="M224" s="55"/>
      <c r="N224" s="55"/>
      <c r="O224" s="55"/>
      <c r="P224" s="55"/>
      <c r="Q224" s="55"/>
      <c r="R224" s="55"/>
      <c r="S224" s="55"/>
      <c r="T224" s="55"/>
      <c r="U224" s="55"/>
    </row>
    <row r="225">
      <c r="A225" s="48" t="s">
        <v>322</v>
      </c>
      <c r="B225" s="55"/>
      <c r="C225" s="55"/>
      <c r="D225" s="55"/>
      <c r="E225" s="53"/>
      <c r="F225" s="55" t="str">
        <f>IFERROR(__xludf.DUMMYFUNCTION("QUERY('Volunteer Survey'!B822)"),"")</f>
        <v/>
      </c>
      <c r="G225" s="48" t="str">
        <f>IFERROR(__xludf.DUMMYFUNCTION("QUERY('Volunteer Survey'!H822)"),"")</f>
        <v/>
      </c>
      <c r="H225" s="55" t="str">
        <f>IFERROR(__xludf.DUMMYFUNCTION("QUERY('Volunteer Survey'!I822)"),"")</f>
        <v/>
      </c>
      <c r="I225" s="55"/>
      <c r="J225" s="55"/>
      <c r="K225" s="55"/>
      <c r="L225" s="55"/>
      <c r="M225" s="55"/>
      <c r="N225" s="55"/>
      <c r="O225" s="55"/>
      <c r="P225" s="55"/>
      <c r="Q225" s="55"/>
      <c r="R225" s="55"/>
      <c r="S225" s="55"/>
      <c r="T225" s="55"/>
      <c r="U225" s="55"/>
    </row>
    <row r="226">
      <c r="A226" s="48" t="s">
        <v>322</v>
      </c>
      <c r="B226" s="55"/>
      <c r="C226" s="55"/>
      <c r="D226" s="55"/>
      <c r="E226" s="53"/>
      <c r="F226" s="55" t="str">
        <f>IFERROR(__xludf.DUMMYFUNCTION("QUERY('Volunteer Survey'!B823)"),"")</f>
        <v/>
      </c>
      <c r="G226" s="48" t="str">
        <f>IFERROR(__xludf.DUMMYFUNCTION("QUERY('Volunteer Survey'!H823)"),"")</f>
        <v/>
      </c>
      <c r="H226" s="55" t="str">
        <f>IFERROR(__xludf.DUMMYFUNCTION("QUERY('Volunteer Survey'!I823)"),"")</f>
        <v/>
      </c>
      <c r="I226" s="55"/>
      <c r="J226" s="55"/>
      <c r="K226" s="55"/>
      <c r="L226" s="55"/>
      <c r="M226" s="55"/>
      <c r="N226" s="55"/>
      <c r="O226" s="55"/>
      <c r="P226" s="55"/>
      <c r="Q226" s="55"/>
      <c r="R226" s="55"/>
      <c r="S226" s="55"/>
      <c r="T226" s="55"/>
      <c r="U226" s="55"/>
    </row>
    <row r="227">
      <c r="A227" s="48" t="s">
        <v>322</v>
      </c>
      <c r="B227" s="55"/>
      <c r="C227" s="55"/>
      <c r="D227" s="55"/>
      <c r="E227" s="53"/>
      <c r="F227" s="55" t="str">
        <f>IFERROR(__xludf.DUMMYFUNCTION("QUERY('Volunteer Survey'!B824)"),"")</f>
        <v/>
      </c>
      <c r="G227" s="48" t="str">
        <f>IFERROR(__xludf.DUMMYFUNCTION("QUERY('Volunteer Survey'!H824)"),"")</f>
        <v/>
      </c>
      <c r="H227" s="55" t="str">
        <f>IFERROR(__xludf.DUMMYFUNCTION("QUERY('Volunteer Survey'!I824)"),"")</f>
        <v/>
      </c>
      <c r="I227" s="55"/>
      <c r="J227" s="55"/>
      <c r="K227" s="55"/>
      <c r="L227" s="55"/>
      <c r="M227" s="55"/>
      <c r="N227" s="55"/>
      <c r="O227" s="55"/>
      <c r="P227" s="55"/>
      <c r="Q227" s="55"/>
      <c r="R227" s="55"/>
      <c r="S227" s="55"/>
      <c r="T227" s="55"/>
      <c r="U227" s="55"/>
    </row>
    <row r="228">
      <c r="A228" s="48" t="s">
        <v>322</v>
      </c>
      <c r="B228" s="55"/>
      <c r="C228" s="55"/>
      <c r="D228" s="55"/>
      <c r="E228" s="53"/>
      <c r="F228" s="55" t="str">
        <f>IFERROR(__xludf.DUMMYFUNCTION("QUERY('Volunteer Survey'!B825)"),"")</f>
        <v/>
      </c>
      <c r="G228" s="48" t="str">
        <f>IFERROR(__xludf.DUMMYFUNCTION("QUERY('Volunteer Survey'!H825)"),"")</f>
        <v/>
      </c>
      <c r="H228" s="55" t="str">
        <f>IFERROR(__xludf.DUMMYFUNCTION("QUERY('Volunteer Survey'!I825)"),"")</f>
        <v/>
      </c>
      <c r="I228" s="55"/>
      <c r="J228" s="55"/>
      <c r="K228" s="55"/>
      <c r="L228" s="55"/>
      <c r="M228" s="55"/>
      <c r="N228" s="55"/>
      <c r="O228" s="55"/>
      <c r="P228" s="55"/>
      <c r="Q228" s="55"/>
      <c r="R228" s="55"/>
      <c r="S228" s="55"/>
      <c r="T228" s="55"/>
      <c r="U228" s="55"/>
    </row>
    <row r="229">
      <c r="A229" s="48" t="s">
        <v>322</v>
      </c>
      <c r="B229" s="55"/>
      <c r="C229" s="55"/>
      <c r="D229" s="55"/>
      <c r="E229" s="53"/>
      <c r="F229" s="55" t="str">
        <f>IFERROR(__xludf.DUMMYFUNCTION("QUERY('Volunteer Survey'!B826)"),"")</f>
        <v/>
      </c>
      <c r="G229" s="48" t="str">
        <f>IFERROR(__xludf.DUMMYFUNCTION("QUERY('Volunteer Survey'!H826)"),"")</f>
        <v/>
      </c>
      <c r="H229" s="55" t="str">
        <f>IFERROR(__xludf.DUMMYFUNCTION("QUERY('Volunteer Survey'!I826)"),"")</f>
        <v/>
      </c>
      <c r="I229" s="55"/>
      <c r="J229" s="55"/>
      <c r="K229" s="55"/>
      <c r="L229" s="55"/>
      <c r="M229" s="55"/>
      <c r="N229" s="55"/>
      <c r="O229" s="55"/>
      <c r="P229" s="55"/>
      <c r="Q229" s="55"/>
      <c r="R229" s="55"/>
      <c r="S229" s="55"/>
      <c r="T229" s="55"/>
      <c r="U229" s="55"/>
    </row>
    <row r="230">
      <c r="A230" s="48" t="s">
        <v>322</v>
      </c>
      <c r="B230" s="55"/>
      <c r="C230" s="55"/>
      <c r="D230" s="55"/>
      <c r="E230" s="53"/>
      <c r="F230" s="55" t="str">
        <f>IFERROR(__xludf.DUMMYFUNCTION("QUERY('Volunteer Survey'!B827)"),"")</f>
        <v/>
      </c>
      <c r="G230" s="48" t="str">
        <f>IFERROR(__xludf.DUMMYFUNCTION("QUERY('Volunteer Survey'!H827)"),"")</f>
        <v/>
      </c>
      <c r="H230" s="55" t="str">
        <f>IFERROR(__xludf.DUMMYFUNCTION("QUERY('Volunteer Survey'!I827)"),"")</f>
        <v/>
      </c>
      <c r="I230" s="55"/>
      <c r="J230" s="55"/>
      <c r="K230" s="55"/>
      <c r="L230" s="55"/>
      <c r="M230" s="55"/>
      <c r="N230" s="55"/>
      <c r="O230" s="55"/>
      <c r="P230" s="55"/>
      <c r="Q230" s="55"/>
      <c r="R230" s="55"/>
      <c r="S230" s="55"/>
      <c r="T230" s="55"/>
      <c r="U230" s="55"/>
    </row>
    <row r="231">
      <c r="A231" s="48" t="s">
        <v>322</v>
      </c>
      <c r="B231" s="55"/>
      <c r="C231" s="55"/>
      <c r="D231" s="55"/>
      <c r="E231" s="53"/>
      <c r="F231" s="55" t="str">
        <f>IFERROR(__xludf.DUMMYFUNCTION("QUERY('Volunteer Survey'!B828)"),"")</f>
        <v/>
      </c>
      <c r="G231" s="48" t="str">
        <f>IFERROR(__xludf.DUMMYFUNCTION("QUERY('Volunteer Survey'!H828)"),"")</f>
        <v/>
      </c>
      <c r="H231" s="55" t="str">
        <f>IFERROR(__xludf.DUMMYFUNCTION("QUERY('Volunteer Survey'!I828)"),"")</f>
        <v/>
      </c>
      <c r="I231" s="55"/>
      <c r="J231" s="55"/>
      <c r="K231" s="55"/>
      <c r="L231" s="55"/>
      <c r="M231" s="55"/>
      <c r="N231" s="55"/>
      <c r="O231" s="55"/>
      <c r="P231" s="55"/>
      <c r="Q231" s="55"/>
      <c r="R231" s="55"/>
      <c r="S231" s="55"/>
      <c r="T231" s="55"/>
      <c r="U231" s="55"/>
    </row>
    <row r="232">
      <c r="A232" s="48" t="s">
        <v>322</v>
      </c>
      <c r="B232" s="55"/>
      <c r="C232" s="55"/>
      <c r="D232" s="55"/>
      <c r="E232" s="53"/>
      <c r="F232" s="55" t="str">
        <f>IFERROR(__xludf.DUMMYFUNCTION("QUERY('Volunteer Survey'!B829)"),"")</f>
        <v/>
      </c>
      <c r="G232" s="48" t="str">
        <f>IFERROR(__xludf.DUMMYFUNCTION("QUERY('Volunteer Survey'!H829)"),"")</f>
        <v/>
      </c>
      <c r="H232" s="55" t="str">
        <f>IFERROR(__xludf.DUMMYFUNCTION("QUERY('Volunteer Survey'!I829)"),"")</f>
        <v/>
      </c>
      <c r="I232" s="55"/>
      <c r="J232" s="55"/>
      <c r="K232" s="55"/>
      <c r="L232" s="55"/>
      <c r="M232" s="55"/>
      <c r="N232" s="55"/>
      <c r="O232" s="55"/>
      <c r="P232" s="55"/>
      <c r="Q232" s="55"/>
      <c r="R232" s="55"/>
      <c r="S232" s="55"/>
      <c r="T232" s="55"/>
      <c r="U232" s="55"/>
    </row>
    <row r="233">
      <c r="A233" s="48" t="s">
        <v>322</v>
      </c>
      <c r="B233" s="55"/>
      <c r="C233" s="55"/>
      <c r="D233" s="55"/>
      <c r="E233" s="53"/>
      <c r="F233" s="55" t="str">
        <f>IFERROR(__xludf.DUMMYFUNCTION("QUERY('Volunteer Survey'!B830)"),"")</f>
        <v/>
      </c>
      <c r="G233" s="48" t="str">
        <f>IFERROR(__xludf.DUMMYFUNCTION("QUERY('Volunteer Survey'!H830)"),"")</f>
        <v/>
      </c>
      <c r="H233" s="55" t="str">
        <f>IFERROR(__xludf.DUMMYFUNCTION("QUERY('Volunteer Survey'!I830)"),"")</f>
        <v/>
      </c>
      <c r="I233" s="55"/>
      <c r="J233" s="55"/>
      <c r="K233" s="55"/>
      <c r="L233" s="55"/>
      <c r="M233" s="55"/>
      <c r="N233" s="55"/>
      <c r="O233" s="55"/>
      <c r="P233" s="55"/>
      <c r="Q233" s="55"/>
      <c r="R233" s="55"/>
      <c r="S233" s="55"/>
      <c r="T233" s="55"/>
      <c r="U233" s="55"/>
    </row>
    <row r="234">
      <c r="A234" s="48" t="s">
        <v>322</v>
      </c>
      <c r="B234" s="55"/>
      <c r="C234" s="55"/>
      <c r="D234" s="55"/>
      <c r="E234" s="53"/>
      <c r="F234" s="55" t="str">
        <f>IFERROR(__xludf.DUMMYFUNCTION("QUERY('Volunteer Survey'!B831)"),"")</f>
        <v/>
      </c>
      <c r="G234" s="48" t="str">
        <f>IFERROR(__xludf.DUMMYFUNCTION("QUERY('Volunteer Survey'!H831)"),"")</f>
        <v/>
      </c>
      <c r="H234" s="55" t="str">
        <f>IFERROR(__xludf.DUMMYFUNCTION("QUERY('Volunteer Survey'!I831)"),"")</f>
        <v/>
      </c>
      <c r="I234" s="55"/>
      <c r="J234" s="55"/>
      <c r="K234" s="55"/>
      <c r="L234" s="55"/>
      <c r="M234" s="55"/>
      <c r="N234" s="55"/>
      <c r="O234" s="55"/>
      <c r="P234" s="55"/>
      <c r="Q234" s="55"/>
      <c r="R234" s="55"/>
      <c r="S234" s="55"/>
      <c r="T234" s="55"/>
      <c r="U234" s="55"/>
    </row>
    <row r="235">
      <c r="A235" s="48" t="s">
        <v>322</v>
      </c>
      <c r="B235" s="55"/>
      <c r="C235" s="55"/>
      <c r="D235" s="55"/>
      <c r="E235" s="53"/>
      <c r="F235" s="55" t="str">
        <f>IFERROR(__xludf.DUMMYFUNCTION("QUERY('Volunteer Survey'!B832)"),"")</f>
        <v/>
      </c>
      <c r="G235" s="48" t="str">
        <f>'Volunteer Survey'!H849</f>
        <v/>
      </c>
      <c r="H235" s="55" t="str">
        <f>IFERROR(__xludf.DUMMYFUNCTION("QUERY('Volunteer Survey'!I832)"),"")</f>
        <v/>
      </c>
      <c r="I235" s="55"/>
      <c r="J235" s="55"/>
      <c r="K235" s="55"/>
      <c r="L235" s="55"/>
      <c r="M235" s="55"/>
      <c r="N235" s="55"/>
      <c r="O235" s="55"/>
      <c r="P235" s="55"/>
      <c r="Q235" s="55"/>
      <c r="R235" s="55"/>
      <c r="S235" s="55"/>
      <c r="T235" s="55"/>
      <c r="U235" s="55"/>
    </row>
    <row r="236">
      <c r="A236" s="48" t="s">
        <v>322</v>
      </c>
      <c r="B236" s="55"/>
      <c r="C236" s="55"/>
      <c r="D236" s="55"/>
      <c r="E236" s="53"/>
      <c r="F236" s="55" t="str">
        <f>IFERROR(__xludf.DUMMYFUNCTION("QUERY('Volunteer Survey'!B833)"),"")</f>
        <v/>
      </c>
      <c r="G236" s="48" t="str">
        <f>'Volunteer Survey'!H850</f>
        <v/>
      </c>
      <c r="H236" s="55" t="str">
        <f>IFERROR(__xludf.DUMMYFUNCTION("QUERY('Volunteer Survey'!I833)"),"")</f>
        <v/>
      </c>
      <c r="I236" s="55"/>
      <c r="J236" s="55"/>
      <c r="K236" s="55"/>
      <c r="L236" s="55"/>
      <c r="M236" s="55"/>
      <c r="N236" s="55"/>
      <c r="O236" s="55"/>
      <c r="P236" s="55"/>
      <c r="Q236" s="55"/>
      <c r="R236" s="55"/>
      <c r="S236" s="55"/>
      <c r="T236" s="55"/>
      <c r="U236" s="55"/>
    </row>
    <row r="237">
      <c r="A237" s="48" t="s">
        <v>322</v>
      </c>
      <c r="B237" s="55"/>
      <c r="C237" s="55"/>
      <c r="D237" s="55"/>
      <c r="E237" s="53"/>
      <c r="F237" s="55" t="str">
        <f>IFERROR(__xludf.DUMMYFUNCTION("QUERY('Volunteer Survey'!B834)"),"")</f>
        <v/>
      </c>
      <c r="G237" s="48" t="str">
        <f>'Volunteer Survey'!H851</f>
        <v/>
      </c>
      <c r="H237" s="55" t="str">
        <f>IFERROR(__xludf.DUMMYFUNCTION("QUERY('Volunteer Survey'!I834)"),"")</f>
        <v/>
      </c>
      <c r="I237" s="55"/>
      <c r="J237" s="55"/>
      <c r="K237" s="55"/>
      <c r="L237" s="55"/>
      <c r="M237" s="55"/>
      <c r="N237" s="55"/>
      <c r="O237" s="55"/>
      <c r="P237" s="55"/>
      <c r="Q237" s="55"/>
      <c r="R237" s="55"/>
      <c r="S237" s="55"/>
      <c r="T237" s="55"/>
      <c r="U237" s="55"/>
    </row>
    <row r="238">
      <c r="A238" s="48" t="s">
        <v>322</v>
      </c>
      <c r="B238" s="55"/>
      <c r="C238" s="55"/>
      <c r="D238" s="55"/>
      <c r="E238" s="53"/>
      <c r="F238" s="55" t="str">
        <f>IFERROR(__xludf.DUMMYFUNCTION("QUERY('Volunteer Survey'!B835)"),"")</f>
        <v/>
      </c>
      <c r="G238" s="48" t="str">
        <f>'Volunteer Survey'!H852</f>
        <v/>
      </c>
      <c r="H238" s="55" t="str">
        <f>IFERROR(__xludf.DUMMYFUNCTION("QUERY('Volunteer Survey'!I835)"),"")</f>
        <v/>
      </c>
      <c r="I238" s="55"/>
      <c r="J238" s="55"/>
      <c r="K238" s="55"/>
      <c r="L238" s="55"/>
      <c r="M238" s="55"/>
      <c r="N238" s="55"/>
      <c r="O238" s="55"/>
      <c r="P238" s="55"/>
      <c r="Q238" s="55"/>
      <c r="R238" s="55"/>
      <c r="S238" s="55"/>
      <c r="T238" s="55"/>
      <c r="U238" s="55"/>
    </row>
    <row r="239">
      <c r="A239" s="48" t="s">
        <v>322</v>
      </c>
      <c r="B239" s="55"/>
      <c r="C239" s="55"/>
      <c r="D239" s="55"/>
      <c r="E239" s="53"/>
      <c r="F239" s="55" t="str">
        <f>IFERROR(__xludf.DUMMYFUNCTION("QUERY('Volunteer Survey'!B836)"),"")</f>
        <v/>
      </c>
      <c r="G239" s="48" t="str">
        <f>'Volunteer Survey'!H853</f>
        <v/>
      </c>
      <c r="H239" s="55" t="str">
        <f>IFERROR(__xludf.DUMMYFUNCTION("QUERY('Volunteer Survey'!I836)"),"")</f>
        <v/>
      </c>
      <c r="I239" s="55"/>
      <c r="J239" s="55"/>
      <c r="K239" s="55"/>
      <c r="L239" s="55"/>
      <c r="M239" s="55"/>
      <c r="N239" s="55"/>
      <c r="O239" s="55"/>
      <c r="P239" s="55"/>
      <c r="Q239" s="55"/>
      <c r="R239" s="55"/>
      <c r="S239" s="55"/>
      <c r="T239" s="55"/>
      <c r="U239" s="55"/>
    </row>
    <row r="240">
      <c r="A240" s="48" t="s">
        <v>322</v>
      </c>
      <c r="B240" s="55"/>
      <c r="C240" s="55"/>
      <c r="D240" s="55"/>
      <c r="E240" s="53"/>
      <c r="F240" s="55" t="str">
        <f>IFERROR(__xludf.DUMMYFUNCTION("QUERY('Volunteer Survey'!B837)"),"")</f>
        <v/>
      </c>
      <c r="G240" s="48" t="str">
        <f>'Volunteer Survey'!H854</f>
        <v/>
      </c>
      <c r="H240" s="55" t="str">
        <f>IFERROR(__xludf.DUMMYFUNCTION("QUERY('Volunteer Survey'!I837)"),"")</f>
        <v/>
      </c>
      <c r="I240" s="55"/>
      <c r="J240" s="55"/>
      <c r="K240" s="55"/>
      <c r="L240" s="55"/>
      <c r="M240" s="55"/>
      <c r="N240" s="55"/>
      <c r="O240" s="55"/>
      <c r="P240" s="55"/>
      <c r="Q240" s="55"/>
      <c r="R240" s="55"/>
      <c r="S240" s="55"/>
      <c r="T240" s="55"/>
      <c r="U240" s="55"/>
    </row>
    <row r="241">
      <c r="A241" s="48" t="s">
        <v>322</v>
      </c>
      <c r="B241" s="55"/>
      <c r="C241" s="55"/>
      <c r="D241" s="55"/>
      <c r="E241" s="53"/>
      <c r="F241" s="55" t="str">
        <f>IFERROR(__xludf.DUMMYFUNCTION("QUERY('Volunteer Survey'!B838)"),"")</f>
        <v/>
      </c>
      <c r="G241" s="48" t="str">
        <f>'Volunteer Survey'!H855</f>
        <v/>
      </c>
      <c r="H241" s="55" t="str">
        <f>IFERROR(__xludf.DUMMYFUNCTION("QUERY('Volunteer Survey'!I838)"),"")</f>
        <v/>
      </c>
      <c r="I241" s="55"/>
      <c r="J241" s="55"/>
      <c r="K241" s="55"/>
      <c r="L241" s="55"/>
      <c r="M241" s="55"/>
      <c r="N241" s="55"/>
      <c r="O241" s="55"/>
      <c r="P241" s="55"/>
      <c r="Q241" s="55"/>
      <c r="R241" s="55"/>
      <c r="S241" s="55"/>
      <c r="T241" s="55"/>
      <c r="U241" s="55"/>
    </row>
    <row r="242">
      <c r="A242" s="48" t="s">
        <v>322</v>
      </c>
      <c r="B242" s="55"/>
      <c r="C242" s="55"/>
      <c r="D242" s="55"/>
      <c r="E242" s="53"/>
      <c r="F242" s="55" t="str">
        <f>IFERROR(__xludf.DUMMYFUNCTION("QUERY('Volunteer Survey'!B839)"),"")</f>
        <v/>
      </c>
      <c r="G242" s="48" t="str">
        <f>'Volunteer Survey'!H856</f>
        <v/>
      </c>
      <c r="H242" s="55" t="str">
        <f>IFERROR(__xludf.DUMMYFUNCTION("QUERY('Volunteer Survey'!I839)"),"")</f>
        <v/>
      </c>
      <c r="I242" s="55"/>
      <c r="J242" s="55"/>
      <c r="K242" s="55"/>
      <c r="L242" s="55"/>
      <c r="M242" s="55"/>
      <c r="N242" s="55"/>
      <c r="O242" s="55"/>
      <c r="P242" s="55"/>
      <c r="Q242" s="55"/>
      <c r="R242" s="55"/>
      <c r="S242" s="55"/>
      <c r="T242" s="55"/>
      <c r="U242" s="55"/>
    </row>
    <row r="243">
      <c r="A243" s="48" t="s">
        <v>322</v>
      </c>
      <c r="B243" s="55"/>
      <c r="C243" s="55"/>
      <c r="D243" s="55"/>
      <c r="E243" s="53"/>
      <c r="F243" s="55" t="str">
        <f>IFERROR(__xludf.DUMMYFUNCTION("QUERY('Volunteer Survey'!B840)"),"")</f>
        <v/>
      </c>
      <c r="G243" s="48" t="str">
        <f>'Volunteer Survey'!H857</f>
        <v/>
      </c>
      <c r="H243" s="55" t="str">
        <f>IFERROR(__xludf.DUMMYFUNCTION("QUERY('Volunteer Survey'!I840)"),"")</f>
        <v/>
      </c>
      <c r="I243" s="55"/>
      <c r="J243" s="55"/>
      <c r="K243" s="55"/>
      <c r="L243" s="55"/>
      <c r="M243" s="55"/>
      <c r="N243" s="55"/>
      <c r="O243" s="55"/>
      <c r="P243" s="55"/>
      <c r="Q243" s="55"/>
      <c r="R243" s="55"/>
      <c r="S243" s="55"/>
      <c r="T243" s="55"/>
      <c r="U243" s="55"/>
    </row>
    <row r="244">
      <c r="A244" s="48" t="s">
        <v>322</v>
      </c>
      <c r="B244" s="55"/>
      <c r="C244" s="55"/>
      <c r="D244" s="55"/>
      <c r="E244" s="53"/>
      <c r="F244" s="55" t="str">
        <f>IFERROR(__xludf.DUMMYFUNCTION("QUERY('Volunteer Survey'!B841)"),"")</f>
        <v/>
      </c>
      <c r="G244" s="48" t="str">
        <f>'Volunteer Survey'!H858</f>
        <v/>
      </c>
      <c r="H244" s="55" t="str">
        <f>IFERROR(__xludf.DUMMYFUNCTION("QUERY('Volunteer Survey'!I841)"),"")</f>
        <v/>
      </c>
      <c r="I244" s="55"/>
      <c r="J244" s="55"/>
      <c r="K244" s="55"/>
      <c r="L244" s="55"/>
      <c r="M244" s="55"/>
      <c r="N244" s="55"/>
      <c r="O244" s="55"/>
      <c r="P244" s="55"/>
      <c r="Q244" s="55"/>
      <c r="R244" s="55"/>
      <c r="S244" s="55"/>
      <c r="T244" s="55"/>
      <c r="U244" s="55"/>
    </row>
    <row r="245">
      <c r="A245" s="48" t="s">
        <v>322</v>
      </c>
      <c r="B245" s="55"/>
      <c r="C245" s="55"/>
      <c r="D245" s="55"/>
      <c r="E245" s="53"/>
      <c r="F245" s="55" t="str">
        <f>IFERROR(__xludf.DUMMYFUNCTION("QUERY('Volunteer Survey'!B842)"),"")</f>
        <v/>
      </c>
      <c r="G245" s="48" t="str">
        <f>'Volunteer Survey'!H859</f>
        <v/>
      </c>
      <c r="H245" s="55" t="str">
        <f>IFERROR(__xludf.DUMMYFUNCTION("QUERY('Volunteer Survey'!I842)"),"")</f>
        <v/>
      </c>
      <c r="I245" s="55"/>
      <c r="J245" s="55"/>
      <c r="K245" s="55"/>
      <c r="L245" s="55"/>
      <c r="M245" s="55"/>
      <c r="N245" s="55"/>
      <c r="O245" s="55"/>
      <c r="P245" s="55"/>
      <c r="Q245" s="55"/>
      <c r="R245" s="55"/>
      <c r="S245" s="55"/>
      <c r="T245" s="55"/>
      <c r="U245" s="55"/>
    </row>
    <row r="246">
      <c r="A246" s="48" t="s">
        <v>322</v>
      </c>
      <c r="B246" s="55"/>
      <c r="C246" s="55"/>
      <c r="D246" s="55"/>
      <c r="E246" s="53"/>
      <c r="F246" s="55" t="str">
        <f>IFERROR(__xludf.DUMMYFUNCTION("QUERY('Volunteer Survey'!B843)"),"")</f>
        <v/>
      </c>
      <c r="G246" s="48" t="str">
        <f>'Volunteer Survey'!H860</f>
        <v/>
      </c>
      <c r="H246" s="55" t="str">
        <f>IFERROR(__xludf.DUMMYFUNCTION("QUERY('Volunteer Survey'!I843)"),"")</f>
        <v/>
      </c>
      <c r="I246" s="55"/>
      <c r="J246" s="55"/>
      <c r="K246" s="55"/>
      <c r="L246" s="55"/>
      <c r="M246" s="55"/>
      <c r="N246" s="55"/>
      <c r="O246" s="55"/>
      <c r="P246" s="55"/>
      <c r="Q246" s="55"/>
      <c r="R246" s="55"/>
      <c r="S246" s="55"/>
      <c r="T246" s="55"/>
      <c r="U246" s="55"/>
    </row>
    <row r="247">
      <c r="A247" s="48" t="s">
        <v>322</v>
      </c>
      <c r="B247" s="55"/>
      <c r="C247" s="55"/>
      <c r="D247" s="55"/>
      <c r="E247" s="53"/>
      <c r="F247" s="55" t="str">
        <f>IFERROR(__xludf.DUMMYFUNCTION("QUERY('Volunteer Survey'!B844)"),"")</f>
        <v/>
      </c>
      <c r="G247" s="48" t="str">
        <f>'Volunteer Survey'!H861</f>
        <v/>
      </c>
      <c r="H247" s="55" t="str">
        <f>IFERROR(__xludf.DUMMYFUNCTION("QUERY('Volunteer Survey'!I844)"),"")</f>
        <v/>
      </c>
      <c r="I247" s="55"/>
      <c r="J247" s="55"/>
      <c r="K247" s="55"/>
      <c r="L247" s="55"/>
      <c r="M247" s="55"/>
      <c r="N247" s="55"/>
      <c r="O247" s="55"/>
      <c r="P247" s="55"/>
      <c r="Q247" s="55"/>
      <c r="R247" s="55"/>
      <c r="S247" s="55"/>
      <c r="T247" s="55"/>
      <c r="U247" s="55"/>
    </row>
    <row r="248">
      <c r="A248" s="48" t="s">
        <v>322</v>
      </c>
      <c r="B248" s="55"/>
      <c r="C248" s="55"/>
      <c r="D248" s="55"/>
      <c r="E248" s="53"/>
      <c r="F248" s="55" t="str">
        <f>IFERROR(__xludf.DUMMYFUNCTION("QUERY('Volunteer Survey'!B845)"),"")</f>
        <v/>
      </c>
      <c r="G248" s="48" t="str">
        <f>'Volunteer Survey'!H862</f>
        <v/>
      </c>
      <c r="H248" s="55" t="str">
        <f>IFERROR(__xludf.DUMMYFUNCTION("QUERY('Volunteer Survey'!I845)"),"")</f>
        <v/>
      </c>
      <c r="I248" s="55"/>
      <c r="J248" s="55"/>
      <c r="K248" s="55"/>
      <c r="L248" s="55"/>
      <c r="M248" s="55"/>
      <c r="N248" s="55"/>
      <c r="O248" s="55"/>
      <c r="P248" s="55"/>
      <c r="Q248" s="55"/>
      <c r="R248" s="55"/>
      <c r="S248" s="55"/>
      <c r="T248" s="55"/>
      <c r="U248" s="55"/>
    </row>
    <row r="249">
      <c r="A249" s="48" t="s">
        <v>322</v>
      </c>
      <c r="B249" s="55"/>
      <c r="C249" s="55"/>
      <c r="D249" s="55"/>
      <c r="E249" s="53"/>
      <c r="F249" s="55" t="str">
        <f>IFERROR(__xludf.DUMMYFUNCTION("QUERY('Volunteer Survey'!B846)"),"")</f>
        <v/>
      </c>
      <c r="G249" s="48" t="str">
        <f>'Volunteer Survey'!H863</f>
        <v/>
      </c>
      <c r="H249" s="55" t="str">
        <f>IFERROR(__xludf.DUMMYFUNCTION("QUERY('Volunteer Survey'!I846)"),"")</f>
        <v/>
      </c>
      <c r="I249" s="55"/>
      <c r="J249" s="55"/>
      <c r="K249" s="55"/>
      <c r="L249" s="55"/>
      <c r="M249" s="55"/>
      <c r="N249" s="55"/>
      <c r="O249" s="55"/>
      <c r="P249" s="55"/>
      <c r="Q249" s="55"/>
      <c r="R249" s="55"/>
      <c r="S249" s="55"/>
      <c r="T249" s="55"/>
      <c r="U249" s="55"/>
    </row>
    <row r="250">
      <c r="A250" s="48" t="s">
        <v>322</v>
      </c>
      <c r="B250" s="55"/>
      <c r="C250" s="55"/>
      <c r="D250" s="55"/>
      <c r="E250" s="53"/>
      <c r="F250" s="55" t="str">
        <f>IFERROR(__xludf.DUMMYFUNCTION("QUERY('Volunteer Survey'!B847)"),"")</f>
        <v/>
      </c>
      <c r="G250" s="48" t="str">
        <f>'Volunteer Survey'!H864</f>
        <v/>
      </c>
      <c r="H250" s="55" t="str">
        <f>IFERROR(__xludf.DUMMYFUNCTION("QUERY('Volunteer Survey'!I847)"),"")</f>
        <v/>
      </c>
      <c r="I250" s="55"/>
      <c r="J250" s="55"/>
      <c r="K250" s="55"/>
      <c r="L250" s="55"/>
      <c r="M250" s="55"/>
      <c r="N250" s="55"/>
      <c r="O250" s="55"/>
      <c r="P250" s="55"/>
      <c r="Q250" s="55"/>
      <c r="R250" s="55"/>
      <c r="S250" s="55"/>
      <c r="T250" s="55"/>
      <c r="U250" s="55"/>
    </row>
    <row r="251">
      <c r="A251" s="48" t="s">
        <v>322</v>
      </c>
      <c r="B251" s="55"/>
      <c r="C251" s="55"/>
      <c r="D251" s="55"/>
      <c r="E251" s="53"/>
      <c r="F251" s="55" t="str">
        <f>IFERROR(__xludf.DUMMYFUNCTION("QUERY('Volunteer Survey'!B848)"),"")</f>
        <v/>
      </c>
      <c r="G251" s="48" t="str">
        <f>'Volunteer Survey'!H865</f>
        <v/>
      </c>
      <c r="H251" s="55" t="str">
        <f>IFERROR(__xludf.DUMMYFUNCTION("QUERY('Volunteer Survey'!I848)"),"")</f>
        <v/>
      </c>
      <c r="I251" s="55"/>
      <c r="J251" s="55"/>
      <c r="K251" s="55"/>
      <c r="L251" s="55"/>
      <c r="M251" s="55"/>
      <c r="N251" s="55"/>
      <c r="O251" s="55"/>
      <c r="P251" s="55"/>
      <c r="Q251" s="55"/>
      <c r="R251" s="55"/>
      <c r="S251" s="55"/>
      <c r="T251" s="55"/>
      <c r="U251" s="55"/>
    </row>
    <row r="252">
      <c r="A252" s="48" t="s">
        <v>322</v>
      </c>
      <c r="B252" s="55"/>
      <c r="C252" s="55"/>
      <c r="D252" s="55"/>
      <c r="E252" s="53"/>
      <c r="F252" s="55" t="str">
        <f>'Volunteer Survey'!B865</f>
        <v/>
      </c>
      <c r="G252" s="48" t="str">
        <f>'Volunteer Survey'!H866</f>
        <v/>
      </c>
      <c r="H252" s="55" t="str">
        <f>IFERROR(__xludf.DUMMYFUNCTION("QUERY('Volunteer Survey'!I849)"),"")</f>
        <v/>
      </c>
      <c r="I252" s="55"/>
      <c r="J252" s="55"/>
      <c r="K252" s="55"/>
      <c r="L252" s="55"/>
      <c r="M252" s="55"/>
      <c r="N252" s="55"/>
      <c r="O252" s="55"/>
      <c r="P252" s="55"/>
      <c r="Q252" s="55"/>
      <c r="R252" s="55"/>
      <c r="S252" s="55"/>
      <c r="T252" s="55"/>
      <c r="U252" s="55"/>
    </row>
    <row r="253">
      <c r="A253" s="48" t="s">
        <v>322</v>
      </c>
      <c r="B253" s="55"/>
      <c r="C253" s="55"/>
      <c r="D253" s="55"/>
      <c r="E253" s="53"/>
      <c r="F253" s="55" t="str">
        <f>'Volunteer Survey'!B866</f>
        <v/>
      </c>
      <c r="G253" s="48" t="str">
        <f>'Volunteer Survey'!H867</f>
        <v/>
      </c>
      <c r="H253" s="55" t="str">
        <f>IFERROR(__xludf.DUMMYFUNCTION("QUERY('Volunteer Survey'!I850)"),"")</f>
        <v/>
      </c>
      <c r="I253" s="55"/>
      <c r="J253" s="55"/>
      <c r="K253" s="55"/>
      <c r="L253" s="55"/>
      <c r="M253" s="55"/>
      <c r="N253" s="55"/>
      <c r="O253" s="55"/>
      <c r="P253" s="55"/>
      <c r="Q253" s="55"/>
      <c r="R253" s="55"/>
      <c r="S253" s="55"/>
      <c r="T253" s="55"/>
      <c r="U253" s="55"/>
    </row>
    <row r="254">
      <c r="A254" s="48" t="s">
        <v>322</v>
      </c>
      <c r="B254" s="55"/>
      <c r="C254" s="55"/>
      <c r="D254" s="55"/>
      <c r="E254" s="53"/>
      <c r="F254" s="55" t="str">
        <f>'Volunteer Survey'!B867</f>
        <v/>
      </c>
      <c r="G254" s="48" t="str">
        <f>'Volunteer Survey'!H868</f>
        <v/>
      </c>
      <c r="H254" s="55" t="str">
        <f>IFERROR(__xludf.DUMMYFUNCTION("QUERY('Volunteer Survey'!I851)"),"")</f>
        <v/>
      </c>
      <c r="I254" s="55"/>
      <c r="J254" s="55"/>
      <c r="K254" s="55"/>
      <c r="L254" s="55"/>
      <c r="M254" s="55"/>
      <c r="N254" s="55"/>
      <c r="O254" s="55"/>
      <c r="P254" s="55"/>
      <c r="Q254" s="55"/>
      <c r="R254" s="55"/>
      <c r="S254" s="55"/>
      <c r="T254" s="55"/>
      <c r="U254" s="55"/>
    </row>
    <row r="255">
      <c r="A255" s="48" t="s">
        <v>322</v>
      </c>
      <c r="B255" s="55"/>
      <c r="C255" s="55"/>
      <c r="D255" s="55"/>
      <c r="E255" s="53"/>
      <c r="F255" s="55" t="str">
        <f>'Volunteer Survey'!B868</f>
        <v/>
      </c>
      <c r="G255" s="48" t="str">
        <f>'Volunteer Survey'!H869</f>
        <v/>
      </c>
      <c r="H255" s="55" t="str">
        <f>IFERROR(__xludf.DUMMYFUNCTION("QUERY('Volunteer Survey'!I852)"),"")</f>
        <v/>
      </c>
      <c r="I255" s="55"/>
      <c r="J255" s="55"/>
      <c r="K255" s="55"/>
      <c r="L255" s="55"/>
      <c r="M255" s="55"/>
      <c r="N255" s="55"/>
      <c r="O255" s="55"/>
      <c r="P255" s="55"/>
      <c r="Q255" s="55"/>
      <c r="R255" s="55"/>
      <c r="S255" s="55"/>
      <c r="T255" s="55"/>
      <c r="U255" s="55"/>
    </row>
    <row r="256">
      <c r="A256" s="48" t="s">
        <v>322</v>
      </c>
      <c r="B256" s="55"/>
      <c r="C256" s="55"/>
      <c r="D256" s="55"/>
      <c r="E256" s="53"/>
      <c r="F256" s="55" t="str">
        <f>'Volunteer Survey'!B869</f>
        <v/>
      </c>
      <c r="G256" s="48" t="str">
        <f>'Volunteer Survey'!H870</f>
        <v/>
      </c>
      <c r="H256" s="55" t="str">
        <f>IFERROR(__xludf.DUMMYFUNCTION("QUERY('Volunteer Survey'!I853)"),"")</f>
        <v/>
      </c>
      <c r="I256" s="55"/>
      <c r="J256" s="55"/>
      <c r="K256" s="55"/>
      <c r="L256" s="55"/>
      <c r="M256" s="55"/>
      <c r="N256" s="55"/>
      <c r="O256" s="55"/>
      <c r="P256" s="55"/>
      <c r="Q256" s="55"/>
      <c r="R256" s="55"/>
      <c r="S256" s="55"/>
      <c r="T256" s="55"/>
      <c r="U256" s="55"/>
    </row>
    <row r="257">
      <c r="A257" s="48" t="s">
        <v>322</v>
      </c>
      <c r="B257" s="55"/>
      <c r="C257" s="55"/>
      <c r="D257" s="55"/>
      <c r="E257" s="53"/>
      <c r="F257" s="55" t="str">
        <f>'Volunteer Survey'!B870</f>
        <v/>
      </c>
      <c r="G257" s="48" t="str">
        <f>'Volunteer Survey'!H871</f>
        <v/>
      </c>
      <c r="H257" s="55" t="str">
        <f>IFERROR(__xludf.DUMMYFUNCTION("QUERY('Volunteer Survey'!I854)"),"")</f>
        <v/>
      </c>
      <c r="I257" s="55"/>
      <c r="J257" s="55"/>
      <c r="K257" s="55"/>
      <c r="L257" s="55"/>
      <c r="M257" s="55"/>
      <c r="N257" s="55"/>
      <c r="O257" s="55"/>
      <c r="P257" s="55"/>
      <c r="Q257" s="55"/>
      <c r="R257" s="55"/>
      <c r="S257" s="55"/>
      <c r="T257" s="55"/>
      <c r="U257" s="55"/>
    </row>
    <row r="258">
      <c r="A258" s="48" t="s">
        <v>322</v>
      </c>
      <c r="B258" s="55"/>
      <c r="C258" s="55"/>
      <c r="D258" s="55"/>
      <c r="E258" s="53"/>
      <c r="F258" s="55" t="str">
        <f>'Volunteer Survey'!B871</f>
        <v/>
      </c>
      <c r="G258" s="48" t="str">
        <f>'Volunteer Survey'!H872</f>
        <v/>
      </c>
      <c r="H258" s="55"/>
      <c r="I258" s="55"/>
      <c r="J258" s="55"/>
      <c r="K258" s="55"/>
      <c r="L258" s="55"/>
      <c r="M258" s="55"/>
      <c r="N258" s="55"/>
      <c r="O258" s="55"/>
      <c r="P258" s="55"/>
      <c r="Q258" s="55"/>
      <c r="R258" s="55"/>
      <c r="S258" s="55"/>
      <c r="T258" s="55"/>
      <c r="U258" s="55"/>
    </row>
    <row r="259">
      <c r="A259" s="48" t="s">
        <v>322</v>
      </c>
      <c r="B259" s="55"/>
      <c r="C259" s="55"/>
      <c r="D259" s="55"/>
      <c r="E259" s="53"/>
      <c r="F259" s="55" t="str">
        <f>'Volunteer Survey'!B872</f>
        <v/>
      </c>
      <c r="G259" s="48" t="str">
        <f>'Volunteer Survey'!H873</f>
        <v/>
      </c>
      <c r="H259" s="55"/>
      <c r="I259" s="55"/>
      <c r="J259" s="55"/>
      <c r="K259" s="55"/>
      <c r="L259" s="55"/>
      <c r="M259" s="55"/>
      <c r="N259" s="55"/>
      <c r="O259" s="55"/>
      <c r="P259" s="55"/>
      <c r="Q259" s="55"/>
      <c r="R259" s="55"/>
      <c r="S259" s="55"/>
      <c r="T259" s="55"/>
      <c r="U259" s="55"/>
    </row>
    <row r="260">
      <c r="A260" s="48" t="s">
        <v>322</v>
      </c>
      <c r="B260" s="55"/>
      <c r="C260" s="55"/>
      <c r="D260" s="55"/>
      <c r="E260" s="53"/>
      <c r="F260" s="55" t="str">
        <f>'Volunteer Survey'!B873</f>
        <v/>
      </c>
      <c r="G260" s="48" t="str">
        <f>'Volunteer Survey'!H874</f>
        <v/>
      </c>
      <c r="H260" s="55"/>
      <c r="I260" s="55"/>
      <c r="J260" s="55"/>
      <c r="K260" s="55"/>
      <c r="L260" s="55"/>
      <c r="M260" s="55"/>
      <c r="N260" s="55"/>
      <c r="O260" s="55"/>
      <c r="P260" s="55"/>
      <c r="Q260" s="55"/>
      <c r="R260" s="55"/>
      <c r="S260" s="55"/>
      <c r="T260" s="55"/>
      <c r="U260" s="55"/>
    </row>
    <row r="261">
      <c r="A261" s="48" t="s">
        <v>322</v>
      </c>
      <c r="B261" s="55"/>
      <c r="C261" s="55"/>
      <c r="D261" s="55"/>
      <c r="E261" s="53"/>
      <c r="F261" s="55" t="str">
        <f>'Volunteer Survey'!B874</f>
        <v/>
      </c>
      <c r="G261" s="48" t="str">
        <f>'Volunteer Survey'!H875</f>
        <v/>
      </c>
      <c r="H261" s="55"/>
      <c r="I261" s="55"/>
      <c r="J261" s="55"/>
      <c r="K261" s="55"/>
      <c r="L261" s="55"/>
      <c r="M261" s="55"/>
      <c r="N261" s="55"/>
      <c r="O261" s="55"/>
      <c r="P261" s="55"/>
      <c r="Q261" s="55"/>
      <c r="R261" s="55"/>
      <c r="S261" s="55"/>
      <c r="T261" s="55"/>
      <c r="U261" s="55"/>
    </row>
    <row r="262">
      <c r="A262" s="48" t="s">
        <v>322</v>
      </c>
      <c r="B262" s="55"/>
      <c r="C262" s="55"/>
      <c r="D262" s="55"/>
      <c r="E262" s="53"/>
      <c r="F262" s="55" t="str">
        <f>'Volunteer Survey'!B875</f>
        <v/>
      </c>
      <c r="G262" s="48" t="str">
        <f>'Volunteer Survey'!H876</f>
        <v/>
      </c>
      <c r="H262" s="55"/>
      <c r="I262" s="55"/>
      <c r="J262" s="55"/>
      <c r="K262" s="55"/>
      <c r="L262" s="55"/>
      <c r="M262" s="55"/>
      <c r="N262" s="55"/>
      <c r="O262" s="55"/>
      <c r="P262" s="55"/>
      <c r="Q262" s="55"/>
      <c r="R262" s="55"/>
      <c r="S262" s="55"/>
      <c r="T262" s="55"/>
      <c r="U262" s="55"/>
    </row>
    <row r="263">
      <c r="A263" s="48" t="s">
        <v>322</v>
      </c>
      <c r="B263" s="55"/>
      <c r="C263" s="55"/>
      <c r="D263" s="55"/>
      <c r="E263" s="53"/>
      <c r="F263" s="55" t="str">
        <f>'Volunteer Survey'!B876</f>
        <v/>
      </c>
      <c r="G263" s="48" t="str">
        <f>'Volunteer Survey'!H877</f>
        <v/>
      </c>
      <c r="H263" s="55"/>
      <c r="I263" s="55"/>
      <c r="J263" s="55"/>
      <c r="K263" s="55"/>
      <c r="L263" s="55"/>
      <c r="M263" s="55"/>
      <c r="N263" s="55"/>
      <c r="O263" s="55"/>
      <c r="P263" s="55"/>
      <c r="Q263" s="55"/>
      <c r="R263" s="55"/>
      <c r="S263" s="55"/>
      <c r="T263" s="55"/>
      <c r="U263" s="55"/>
    </row>
    <row r="264">
      <c r="A264" s="48" t="s">
        <v>322</v>
      </c>
      <c r="B264" s="55"/>
      <c r="C264" s="55"/>
      <c r="D264" s="55"/>
      <c r="E264" s="53"/>
      <c r="F264" s="55" t="str">
        <f>'Volunteer Survey'!B877</f>
        <v/>
      </c>
      <c r="G264" s="48" t="str">
        <f>'Volunteer Survey'!H878</f>
        <v/>
      </c>
      <c r="H264" s="55"/>
      <c r="I264" s="55"/>
      <c r="J264" s="55"/>
      <c r="K264" s="55"/>
      <c r="L264" s="55"/>
      <c r="M264" s="55"/>
      <c r="N264" s="55"/>
      <c r="O264" s="55"/>
      <c r="P264" s="55"/>
      <c r="Q264" s="55"/>
      <c r="R264" s="55"/>
      <c r="S264" s="55"/>
      <c r="T264" s="55"/>
      <c r="U264" s="55"/>
    </row>
    <row r="265">
      <c r="A265" s="48" t="s">
        <v>322</v>
      </c>
      <c r="B265" s="55"/>
      <c r="C265" s="55"/>
      <c r="D265" s="55"/>
      <c r="E265" s="53"/>
      <c r="F265" s="55" t="str">
        <f>'Volunteer Survey'!B878</f>
        <v/>
      </c>
      <c r="G265" s="48" t="str">
        <f>'Volunteer Survey'!H879</f>
        <v/>
      </c>
      <c r="H265" s="55"/>
      <c r="I265" s="55"/>
      <c r="J265" s="55"/>
      <c r="K265" s="55"/>
      <c r="L265" s="55"/>
      <c r="M265" s="55"/>
      <c r="N265" s="55"/>
      <c r="O265" s="55"/>
      <c r="P265" s="55"/>
      <c r="Q265" s="55"/>
      <c r="R265" s="55"/>
      <c r="S265" s="55"/>
      <c r="T265" s="55"/>
      <c r="U265" s="55"/>
    </row>
    <row r="266">
      <c r="A266" s="48" t="s">
        <v>322</v>
      </c>
      <c r="B266" s="55"/>
      <c r="C266" s="55"/>
      <c r="D266" s="55"/>
      <c r="E266" s="53"/>
      <c r="F266" s="55" t="str">
        <f>'Volunteer Survey'!B879</f>
        <v/>
      </c>
      <c r="G266" s="48" t="str">
        <f>'Volunteer Survey'!H880</f>
        <v/>
      </c>
      <c r="H266" s="55"/>
      <c r="I266" s="55"/>
      <c r="J266" s="55"/>
      <c r="K266" s="55"/>
      <c r="L266" s="55"/>
      <c r="M266" s="55"/>
      <c r="N266" s="55"/>
      <c r="O266" s="55"/>
      <c r="P266" s="55"/>
      <c r="Q266" s="55"/>
      <c r="R266" s="55"/>
      <c r="S266" s="55"/>
      <c r="T266" s="55"/>
      <c r="U266" s="55"/>
    </row>
    <row r="267">
      <c r="A267" s="48" t="s">
        <v>322</v>
      </c>
      <c r="B267" s="55"/>
      <c r="C267" s="55"/>
      <c r="D267" s="55"/>
      <c r="E267" s="53"/>
      <c r="F267" s="55" t="str">
        <f>'Volunteer Survey'!B880</f>
        <v/>
      </c>
      <c r="G267" s="48" t="str">
        <f>'Volunteer Survey'!H881</f>
        <v/>
      </c>
      <c r="H267" s="55"/>
      <c r="I267" s="55"/>
      <c r="J267" s="55"/>
      <c r="K267" s="55"/>
      <c r="L267" s="55"/>
      <c r="M267" s="55"/>
      <c r="N267" s="55"/>
      <c r="O267" s="55"/>
      <c r="P267" s="55"/>
      <c r="Q267" s="55"/>
      <c r="R267" s="55"/>
      <c r="S267" s="55"/>
      <c r="T267" s="55"/>
      <c r="U267" s="55"/>
    </row>
    <row r="268">
      <c r="A268" s="48" t="s">
        <v>322</v>
      </c>
      <c r="B268" s="55"/>
      <c r="C268" s="55"/>
      <c r="D268" s="55"/>
      <c r="E268" s="53"/>
      <c r="F268" s="55" t="str">
        <f>'Volunteer Survey'!B881</f>
        <v/>
      </c>
      <c r="G268" s="48" t="str">
        <f>'Volunteer Survey'!H882</f>
        <v/>
      </c>
      <c r="H268" s="55"/>
      <c r="I268" s="55"/>
      <c r="J268" s="55"/>
      <c r="K268" s="55"/>
      <c r="L268" s="55"/>
      <c r="M268" s="55"/>
      <c r="N268" s="55"/>
      <c r="O268" s="55"/>
      <c r="P268" s="55"/>
      <c r="Q268" s="55"/>
      <c r="R268" s="55"/>
      <c r="S268" s="55"/>
      <c r="T268" s="55"/>
      <c r="U268" s="55"/>
    </row>
    <row r="269">
      <c r="A269" s="48" t="s">
        <v>322</v>
      </c>
      <c r="B269" s="55"/>
      <c r="C269" s="55"/>
      <c r="D269" s="55"/>
      <c r="E269" s="53"/>
      <c r="F269" s="55" t="str">
        <f>'Volunteer Survey'!B882</f>
        <v/>
      </c>
      <c r="G269" s="48" t="str">
        <f>'Volunteer Survey'!H883</f>
        <v/>
      </c>
      <c r="H269" s="55"/>
      <c r="I269" s="55"/>
      <c r="J269" s="55"/>
      <c r="K269" s="55"/>
      <c r="L269" s="55"/>
      <c r="M269" s="55"/>
      <c r="N269" s="55"/>
      <c r="O269" s="55"/>
      <c r="P269" s="55"/>
      <c r="Q269" s="55"/>
      <c r="R269" s="55"/>
      <c r="S269" s="55"/>
      <c r="T269" s="55"/>
      <c r="U269" s="55"/>
    </row>
    <row r="270">
      <c r="A270" s="48" t="s">
        <v>322</v>
      </c>
      <c r="B270" s="55"/>
      <c r="C270" s="55"/>
      <c r="D270" s="55"/>
      <c r="E270" s="53"/>
      <c r="F270" s="55" t="str">
        <f>'Volunteer Survey'!B883</f>
        <v/>
      </c>
      <c r="G270" s="48" t="str">
        <f>'Volunteer Survey'!H884</f>
        <v/>
      </c>
      <c r="H270" s="55"/>
      <c r="I270" s="55"/>
      <c r="J270" s="55"/>
      <c r="K270" s="55"/>
      <c r="L270" s="55"/>
      <c r="M270" s="55"/>
      <c r="N270" s="55"/>
      <c r="O270" s="55"/>
      <c r="P270" s="55"/>
      <c r="Q270" s="55"/>
      <c r="R270" s="55"/>
      <c r="S270" s="55"/>
      <c r="T270" s="55"/>
      <c r="U270" s="55"/>
    </row>
    <row r="271">
      <c r="A271" s="48" t="s">
        <v>322</v>
      </c>
      <c r="B271" s="55"/>
      <c r="C271" s="55"/>
      <c r="D271" s="55"/>
      <c r="E271" s="53"/>
      <c r="F271" s="55" t="str">
        <f>'Volunteer Survey'!B884</f>
        <v/>
      </c>
      <c r="G271" s="48" t="str">
        <f>'Volunteer Survey'!H885</f>
        <v/>
      </c>
      <c r="H271" s="55"/>
      <c r="I271" s="55"/>
      <c r="J271" s="55"/>
      <c r="K271" s="55"/>
      <c r="L271" s="55"/>
      <c r="M271" s="55"/>
      <c r="N271" s="55"/>
      <c r="O271" s="55"/>
      <c r="P271" s="55"/>
      <c r="Q271" s="55"/>
      <c r="R271" s="55"/>
      <c r="S271" s="55"/>
      <c r="T271" s="55"/>
      <c r="U271" s="55"/>
    </row>
    <row r="272">
      <c r="A272" s="48" t="s">
        <v>322</v>
      </c>
      <c r="B272" s="55"/>
      <c r="C272" s="55"/>
      <c r="D272" s="55"/>
      <c r="E272" s="53"/>
      <c r="F272" s="55" t="str">
        <f>'Volunteer Survey'!B885</f>
        <v/>
      </c>
      <c r="G272" s="48" t="str">
        <f>'Volunteer Survey'!H886</f>
        <v/>
      </c>
      <c r="H272" s="55"/>
      <c r="I272" s="55"/>
      <c r="J272" s="55"/>
      <c r="K272" s="55"/>
      <c r="L272" s="55"/>
      <c r="M272" s="55"/>
      <c r="N272" s="55"/>
      <c r="O272" s="55"/>
      <c r="P272" s="55"/>
      <c r="Q272" s="55"/>
      <c r="R272" s="55"/>
      <c r="S272" s="55"/>
      <c r="T272" s="55"/>
      <c r="U272" s="55"/>
    </row>
    <row r="273">
      <c r="A273" s="48" t="s">
        <v>322</v>
      </c>
      <c r="B273" s="55"/>
      <c r="C273" s="55"/>
      <c r="D273" s="55"/>
      <c r="E273" s="53"/>
      <c r="F273" s="55" t="str">
        <f>'Volunteer Survey'!B886</f>
        <v/>
      </c>
      <c r="G273" s="48" t="str">
        <f>'Volunteer Survey'!H887</f>
        <v/>
      </c>
      <c r="H273" s="55"/>
      <c r="I273" s="55"/>
      <c r="J273" s="55"/>
      <c r="K273" s="55"/>
      <c r="L273" s="55"/>
      <c r="M273" s="55"/>
      <c r="N273" s="55"/>
      <c r="O273" s="55"/>
      <c r="P273" s="55"/>
      <c r="Q273" s="55"/>
      <c r="R273" s="55"/>
      <c r="S273" s="55"/>
      <c r="T273" s="55"/>
      <c r="U273" s="55"/>
    </row>
    <row r="274">
      <c r="A274" s="48" t="s">
        <v>322</v>
      </c>
      <c r="B274" s="55"/>
      <c r="C274" s="55"/>
      <c r="D274" s="55"/>
      <c r="E274" s="53"/>
      <c r="F274" s="55" t="str">
        <f>'Volunteer Survey'!B887</f>
        <v/>
      </c>
      <c r="G274" s="48" t="str">
        <f>'Volunteer Survey'!H888</f>
        <v/>
      </c>
      <c r="H274" s="55"/>
      <c r="I274" s="55"/>
      <c r="J274" s="55"/>
      <c r="K274" s="55"/>
      <c r="L274" s="55"/>
      <c r="M274" s="55"/>
      <c r="N274" s="55"/>
      <c r="O274" s="55"/>
      <c r="P274" s="55"/>
      <c r="Q274" s="55"/>
      <c r="R274" s="55"/>
      <c r="S274" s="55"/>
      <c r="T274" s="55"/>
      <c r="U274" s="55"/>
    </row>
    <row r="275">
      <c r="A275" s="48" t="s">
        <v>322</v>
      </c>
      <c r="B275" s="55"/>
      <c r="C275" s="55"/>
      <c r="D275" s="55"/>
      <c r="E275" s="53"/>
      <c r="F275" s="55" t="str">
        <f>'Volunteer Survey'!B888</f>
        <v/>
      </c>
      <c r="G275" s="48" t="str">
        <f>'Volunteer Survey'!H889</f>
        <v/>
      </c>
      <c r="H275" s="55"/>
      <c r="I275" s="55"/>
      <c r="J275" s="55"/>
      <c r="K275" s="55"/>
      <c r="L275" s="55"/>
      <c r="M275" s="55"/>
      <c r="N275" s="55"/>
      <c r="O275" s="55"/>
      <c r="P275" s="55"/>
      <c r="Q275" s="55"/>
      <c r="R275" s="55"/>
      <c r="S275" s="55"/>
      <c r="T275" s="55"/>
      <c r="U275" s="55"/>
    </row>
    <row r="276">
      <c r="A276" s="48" t="s">
        <v>322</v>
      </c>
      <c r="B276" s="55"/>
      <c r="C276" s="55"/>
      <c r="D276" s="55"/>
      <c r="E276" s="53"/>
      <c r="F276" s="55" t="str">
        <f>'Volunteer Survey'!B889</f>
        <v/>
      </c>
      <c r="G276" s="48" t="str">
        <f>'Volunteer Survey'!H890</f>
        <v/>
      </c>
      <c r="H276" s="55"/>
      <c r="I276" s="55"/>
      <c r="J276" s="55"/>
      <c r="K276" s="55"/>
      <c r="L276" s="55"/>
      <c r="M276" s="55"/>
      <c r="N276" s="55"/>
      <c r="O276" s="55"/>
      <c r="P276" s="55"/>
      <c r="Q276" s="55"/>
      <c r="R276" s="55"/>
      <c r="S276" s="55"/>
      <c r="T276" s="55"/>
      <c r="U276" s="55"/>
    </row>
    <row r="277">
      <c r="A277" s="48" t="s">
        <v>322</v>
      </c>
      <c r="B277" s="55"/>
      <c r="C277" s="55"/>
      <c r="D277" s="55"/>
      <c r="E277" s="53"/>
      <c r="F277" s="55" t="str">
        <f>'Volunteer Survey'!B890</f>
        <v/>
      </c>
      <c r="G277" s="48" t="str">
        <f>'Volunteer Survey'!H891</f>
        <v/>
      </c>
      <c r="H277" s="55"/>
      <c r="I277" s="55"/>
      <c r="J277" s="55"/>
      <c r="K277" s="55"/>
      <c r="L277" s="55"/>
      <c r="M277" s="55"/>
      <c r="N277" s="55"/>
      <c r="O277" s="55"/>
      <c r="P277" s="55"/>
      <c r="Q277" s="55"/>
      <c r="R277" s="55"/>
      <c r="S277" s="55"/>
      <c r="T277" s="55"/>
      <c r="U277" s="55"/>
    </row>
    <row r="278">
      <c r="A278" s="48" t="s">
        <v>322</v>
      </c>
      <c r="B278" s="55"/>
      <c r="C278" s="55"/>
      <c r="D278" s="55"/>
      <c r="E278" s="53"/>
      <c r="F278" s="55" t="str">
        <f>'Volunteer Survey'!B891</f>
        <v/>
      </c>
      <c r="G278" s="48" t="str">
        <f>'Volunteer Survey'!H892</f>
        <v/>
      </c>
      <c r="H278" s="55"/>
      <c r="I278" s="55"/>
      <c r="J278" s="55"/>
      <c r="K278" s="55"/>
      <c r="L278" s="55"/>
      <c r="M278" s="55"/>
      <c r="N278" s="55"/>
      <c r="O278" s="55"/>
      <c r="P278" s="55"/>
      <c r="Q278" s="55"/>
      <c r="R278" s="55"/>
      <c r="S278" s="55"/>
      <c r="T278" s="55"/>
      <c r="U278" s="55"/>
    </row>
    <row r="279">
      <c r="A279" s="48" t="s">
        <v>322</v>
      </c>
      <c r="B279" s="55"/>
      <c r="C279" s="55"/>
      <c r="D279" s="55"/>
      <c r="E279" s="53"/>
      <c r="F279" s="55" t="str">
        <f>'Volunteer Survey'!B892</f>
        <v/>
      </c>
      <c r="G279" s="48" t="str">
        <f>'Volunteer Survey'!H893</f>
        <v/>
      </c>
      <c r="H279" s="55"/>
      <c r="I279" s="55"/>
      <c r="J279" s="55"/>
      <c r="K279" s="55"/>
      <c r="L279" s="55"/>
      <c r="M279" s="55"/>
      <c r="N279" s="55"/>
      <c r="O279" s="55"/>
      <c r="P279" s="55"/>
      <c r="Q279" s="55"/>
      <c r="R279" s="55"/>
      <c r="S279" s="55"/>
      <c r="T279" s="55"/>
      <c r="U279" s="55"/>
    </row>
    <row r="280">
      <c r="A280" s="48" t="s">
        <v>322</v>
      </c>
      <c r="B280" s="55"/>
      <c r="C280" s="55"/>
      <c r="D280" s="55"/>
      <c r="E280" s="53"/>
      <c r="F280" s="55" t="str">
        <f>'Volunteer Survey'!B893</f>
        <v/>
      </c>
      <c r="G280" s="48" t="str">
        <f>'Volunteer Survey'!H894</f>
        <v/>
      </c>
      <c r="H280" s="55"/>
      <c r="I280" s="55"/>
      <c r="J280" s="55"/>
      <c r="K280" s="55"/>
      <c r="L280" s="55"/>
      <c r="M280" s="55"/>
      <c r="N280" s="55"/>
      <c r="O280" s="55"/>
      <c r="P280" s="55"/>
      <c r="Q280" s="55"/>
      <c r="R280" s="55"/>
      <c r="S280" s="55"/>
      <c r="T280" s="55"/>
      <c r="U280" s="55"/>
    </row>
    <row r="281">
      <c r="A281" s="48" t="s">
        <v>322</v>
      </c>
      <c r="B281" s="55"/>
      <c r="C281" s="55"/>
      <c r="D281" s="55"/>
      <c r="E281" s="53"/>
      <c r="F281" s="55" t="str">
        <f>'Volunteer Survey'!B894</f>
        <v/>
      </c>
      <c r="G281" s="48" t="str">
        <f>'Volunteer Survey'!H895</f>
        <v/>
      </c>
      <c r="H281" s="55"/>
      <c r="I281" s="55"/>
      <c r="J281" s="55"/>
      <c r="K281" s="55"/>
      <c r="L281" s="55"/>
      <c r="M281" s="55"/>
      <c r="N281" s="55"/>
      <c r="O281" s="55"/>
      <c r="P281" s="55"/>
      <c r="Q281" s="55"/>
      <c r="R281" s="55"/>
      <c r="S281" s="55"/>
      <c r="T281" s="55"/>
      <c r="U281" s="55"/>
    </row>
    <row r="282">
      <c r="A282" s="48" t="s">
        <v>322</v>
      </c>
      <c r="B282" s="55"/>
      <c r="C282" s="55"/>
      <c r="D282" s="55"/>
      <c r="E282" s="53"/>
      <c r="F282" s="55" t="str">
        <f>'Volunteer Survey'!B895</f>
        <v/>
      </c>
      <c r="G282" s="48" t="str">
        <f>'Volunteer Survey'!H896</f>
        <v/>
      </c>
      <c r="H282" s="55"/>
      <c r="I282" s="55"/>
      <c r="J282" s="55"/>
      <c r="K282" s="55"/>
      <c r="L282" s="55"/>
      <c r="M282" s="55"/>
      <c r="N282" s="55"/>
      <c r="O282" s="55"/>
      <c r="P282" s="55"/>
      <c r="Q282" s="55"/>
      <c r="R282" s="55"/>
      <c r="S282" s="55"/>
      <c r="T282" s="55"/>
      <c r="U282" s="55"/>
    </row>
    <row r="283">
      <c r="A283" s="48" t="s">
        <v>322</v>
      </c>
      <c r="B283" s="55"/>
      <c r="C283" s="55"/>
      <c r="D283" s="55"/>
      <c r="E283" s="53"/>
      <c r="F283" s="55" t="str">
        <f>'Volunteer Survey'!B896</f>
        <v/>
      </c>
      <c r="G283" s="48" t="str">
        <f>'Volunteer Survey'!H897</f>
        <v/>
      </c>
      <c r="H283" s="55"/>
      <c r="I283" s="55"/>
      <c r="J283" s="55"/>
      <c r="K283" s="55"/>
      <c r="L283" s="55"/>
      <c r="M283" s="55"/>
      <c r="N283" s="55"/>
      <c r="O283" s="55"/>
      <c r="P283" s="55"/>
      <c r="Q283" s="55"/>
      <c r="R283" s="55"/>
      <c r="S283" s="55"/>
      <c r="T283" s="55"/>
      <c r="U283" s="55"/>
    </row>
    <row r="284">
      <c r="A284" s="48" t="s">
        <v>322</v>
      </c>
      <c r="B284" s="55"/>
      <c r="C284" s="55"/>
      <c r="D284" s="55"/>
      <c r="E284" s="53"/>
      <c r="F284" s="55" t="str">
        <f>'Volunteer Survey'!B897</f>
        <v/>
      </c>
      <c r="G284" s="48" t="str">
        <f>'Volunteer Survey'!H898</f>
        <v/>
      </c>
      <c r="H284" s="55"/>
      <c r="I284" s="55"/>
      <c r="J284" s="55"/>
      <c r="K284" s="55"/>
      <c r="L284" s="55"/>
      <c r="M284" s="55"/>
      <c r="N284" s="55"/>
      <c r="O284" s="55"/>
      <c r="P284" s="55"/>
      <c r="Q284" s="55"/>
      <c r="R284" s="55"/>
      <c r="S284" s="55"/>
      <c r="T284" s="55"/>
      <c r="U284" s="55"/>
    </row>
    <row r="285">
      <c r="A285" s="48" t="s">
        <v>322</v>
      </c>
      <c r="B285" s="55"/>
      <c r="C285" s="55"/>
      <c r="D285" s="55"/>
      <c r="E285" s="53"/>
      <c r="F285" s="55" t="str">
        <f>'Volunteer Survey'!B898</f>
        <v/>
      </c>
      <c r="G285" s="48" t="str">
        <f>'Volunteer Survey'!H899</f>
        <v/>
      </c>
      <c r="H285" s="55"/>
      <c r="I285" s="55"/>
      <c r="J285" s="55"/>
      <c r="K285" s="55"/>
      <c r="L285" s="55"/>
      <c r="M285" s="55"/>
      <c r="N285" s="55"/>
      <c r="O285" s="55"/>
      <c r="P285" s="55"/>
      <c r="Q285" s="55"/>
      <c r="R285" s="55"/>
      <c r="S285" s="55"/>
      <c r="T285" s="55"/>
      <c r="U285" s="55"/>
    </row>
    <row r="286">
      <c r="A286" s="48" t="s">
        <v>322</v>
      </c>
      <c r="B286" s="55"/>
      <c r="C286" s="55"/>
      <c r="D286" s="55"/>
      <c r="E286" s="53"/>
      <c r="F286" s="55" t="str">
        <f>'Volunteer Survey'!B899</f>
        <v/>
      </c>
      <c r="G286" s="48" t="str">
        <f>'Volunteer Survey'!H900</f>
        <v/>
      </c>
      <c r="H286" s="55"/>
      <c r="I286" s="55"/>
      <c r="J286" s="55"/>
      <c r="K286" s="55"/>
      <c r="L286" s="55"/>
      <c r="M286" s="55"/>
      <c r="N286" s="55"/>
      <c r="O286" s="55"/>
      <c r="P286" s="55"/>
      <c r="Q286" s="55"/>
      <c r="R286" s="55"/>
      <c r="S286" s="55"/>
      <c r="T286" s="55"/>
      <c r="U286" s="55"/>
    </row>
    <row r="287">
      <c r="A287" s="48" t="s">
        <v>322</v>
      </c>
      <c r="B287" s="55"/>
      <c r="C287" s="55"/>
      <c r="D287" s="55"/>
      <c r="E287" s="53"/>
      <c r="F287" s="55" t="str">
        <f>'Volunteer Survey'!B900</f>
        <v/>
      </c>
      <c r="G287" s="48" t="str">
        <f>'Volunteer Survey'!H901</f>
        <v/>
      </c>
      <c r="H287" s="55"/>
      <c r="I287" s="55"/>
      <c r="J287" s="55"/>
      <c r="K287" s="55"/>
      <c r="L287" s="55"/>
      <c r="M287" s="55"/>
      <c r="N287" s="55"/>
      <c r="O287" s="55"/>
      <c r="P287" s="55"/>
      <c r="Q287" s="55"/>
      <c r="R287" s="55"/>
      <c r="S287" s="55"/>
      <c r="T287" s="55"/>
      <c r="U287" s="55"/>
    </row>
    <row r="288">
      <c r="A288" s="48" t="s">
        <v>322</v>
      </c>
      <c r="B288" s="55"/>
      <c r="C288" s="55"/>
      <c r="D288" s="55"/>
      <c r="E288" s="53"/>
      <c r="F288" s="55" t="str">
        <f>'Volunteer Survey'!B901</f>
        <v/>
      </c>
      <c r="G288" s="48" t="str">
        <f>'Volunteer Survey'!H902</f>
        <v/>
      </c>
      <c r="H288" s="55"/>
      <c r="I288" s="55"/>
      <c r="J288" s="55"/>
      <c r="K288" s="55"/>
      <c r="L288" s="55"/>
      <c r="M288" s="55"/>
      <c r="N288" s="55"/>
      <c r="O288" s="55"/>
      <c r="P288" s="55"/>
      <c r="Q288" s="55"/>
      <c r="R288" s="55"/>
      <c r="S288" s="55"/>
      <c r="T288" s="55"/>
      <c r="U288" s="55"/>
    </row>
    <row r="289">
      <c r="A289" s="48" t="s">
        <v>322</v>
      </c>
      <c r="B289" s="55"/>
      <c r="C289" s="55"/>
      <c r="D289" s="55"/>
      <c r="E289" s="53"/>
      <c r="F289" s="55" t="str">
        <f>'Volunteer Survey'!B902</f>
        <v/>
      </c>
      <c r="G289" s="48" t="str">
        <f>'Volunteer Survey'!H903</f>
        <v/>
      </c>
      <c r="H289" s="55"/>
      <c r="I289" s="55"/>
      <c r="J289" s="55"/>
      <c r="K289" s="55"/>
      <c r="L289" s="55"/>
      <c r="M289" s="55"/>
      <c r="N289" s="55"/>
      <c r="O289" s="55"/>
      <c r="P289" s="55"/>
      <c r="Q289" s="55"/>
      <c r="R289" s="55"/>
      <c r="S289" s="55"/>
      <c r="T289" s="55"/>
      <c r="U289" s="55"/>
    </row>
    <row r="290">
      <c r="A290" s="48" t="s">
        <v>322</v>
      </c>
      <c r="B290" s="55"/>
      <c r="C290" s="55"/>
      <c r="D290" s="55"/>
      <c r="E290" s="53"/>
      <c r="F290" s="55" t="str">
        <f>'Volunteer Survey'!B903</f>
        <v/>
      </c>
      <c r="G290" s="48" t="str">
        <f>'Volunteer Survey'!H904</f>
        <v/>
      </c>
      <c r="H290" s="55"/>
      <c r="I290" s="55"/>
      <c r="J290" s="55"/>
      <c r="K290" s="55"/>
      <c r="L290" s="55"/>
      <c r="M290" s="55"/>
      <c r="N290" s="55"/>
      <c r="O290" s="55"/>
      <c r="P290" s="55"/>
      <c r="Q290" s="55"/>
      <c r="R290" s="55"/>
      <c r="S290" s="55"/>
      <c r="T290" s="55"/>
      <c r="U290" s="55"/>
    </row>
    <row r="291">
      <c r="A291" s="48" t="s">
        <v>322</v>
      </c>
      <c r="B291" s="55"/>
      <c r="C291" s="55"/>
      <c r="D291" s="55"/>
      <c r="E291" s="53"/>
      <c r="F291" s="55" t="str">
        <f>'Volunteer Survey'!B904</f>
        <v/>
      </c>
      <c r="G291" s="48" t="str">
        <f>'Volunteer Survey'!H905</f>
        <v/>
      </c>
      <c r="H291" s="55"/>
      <c r="I291" s="55"/>
      <c r="J291" s="55"/>
      <c r="K291" s="55"/>
      <c r="L291" s="55"/>
      <c r="M291" s="55"/>
      <c r="N291" s="55"/>
      <c r="O291" s="55"/>
      <c r="P291" s="55"/>
      <c r="Q291" s="55"/>
      <c r="R291" s="55"/>
      <c r="S291" s="55"/>
      <c r="T291" s="55"/>
      <c r="U291" s="55"/>
    </row>
    <row r="292">
      <c r="A292" s="48" t="s">
        <v>322</v>
      </c>
      <c r="B292" s="55"/>
      <c r="C292" s="55"/>
      <c r="D292" s="55"/>
      <c r="E292" s="53"/>
      <c r="F292" s="55" t="str">
        <f>'Volunteer Survey'!B905</f>
        <v/>
      </c>
      <c r="G292" s="48" t="str">
        <f>'Volunteer Survey'!H906</f>
        <v/>
      </c>
      <c r="H292" s="55"/>
      <c r="I292" s="55"/>
      <c r="J292" s="55"/>
      <c r="K292" s="55"/>
      <c r="L292" s="55"/>
      <c r="M292" s="55"/>
      <c r="N292" s="55"/>
      <c r="O292" s="55"/>
      <c r="P292" s="55"/>
      <c r="Q292" s="55"/>
      <c r="R292" s="55"/>
      <c r="S292" s="55"/>
      <c r="T292" s="55"/>
      <c r="U292" s="55"/>
    </row>
    <row r="293">
      <c r="A293" s="48" t="s">
        <v>322</v>
      </c>
      <c r="B293" s="55"/>
      <c r="C293" s="55"/>
      <c r="D293" s="55"/>
      <c r="E293" s="53"/>
      <c r="F293" s="55" t="str">
        <f>'Volunteer Survey'!B906</f>
        <v/>
      </c>
      <c r="G293" s="48" t="str">
        <f>'Volunteer Survey'!H907</f>
        <v/>
      </c>
      <c r="H293" s="55"/>
      <c r="I293" s="55"/>
      <c r="J293" s="55"/>
      <c r="K293" s="55"/>
      <c r="L293" s="55"/>
      <c r="M293" s="55"/>
      <c r="N293" s="55"/>
      <c r="O293" s="55"/>
      <c r="P293" s="55"/>
      <c r="Q293" s="55"/>
      <c r="R293" s="55"/>
      <c r="S293" s="55"/>
      <c r="T293" s="55"/>
      <c r="U293" s="55"/>
    </row>
    <row r="294">
      <c r="A294" s="48" t="s">
        <v>322</v>
      </c>
      <c r="B294" s="55"/>
      <c r="C294" s="55"/>
      <c r="D294" s="55"/>
      <c r="E294" s="53"/>
      <c r="F294" s="55" t="str">
        <f>'Volunteer Survey'!B907</f>
        <v/>
      </c>
      <c r="G294" s="48" t="str">
        <f>'Volunteer Survey'!H908</f>
        <v/>
      </c>
      <c r="H294" s="55"/>
      <c r="I294" s="55"/>
      <c r="J294" s="55"/>
      <c r="K294" s="55"/>
      <c r="L294" s="55"/>
      <c r="M294" s="55"/>
      <c r="N294" s="55"/>
      <c r="O294" s="55"/>
      <c r="P294" s="55"/>
      <c r="Q294" s="55"/>
      <c r="R294" s="55"/>
      <c r="S294" s="55"/>
      <c r="T294" s="55"/>
      <c r="U294" s="55"/>
    </row>
    <row r="295">
      <c r="A295" s="48" t="s">
        <v>322</v>
      </c>
      <c r="B295" s="55"/>
      <c r="C295" s="55"/>
      <c r="D295" s="55"/>
      <c r="E295" s="53"/>
      <c r="F295" s="55" t="str">
        <f>'Volunteer Survey'!B908</f>
        <v/>
      </c>
      <c r="G295" s="48" t="str">
        <f>'Volunteer Survey'!H909</f>
        <v/>
      </c>
      <c r="H295" s="55"/>
      <c r="I295" s="55"/>
      <c r="J295" s="55"/>
      <c r="K295" s="55"/>
      <c r="L295" s="55"/>
      <c r="M295" s="55"/>
      <c r="N295" s="55"/>
      <c r="O295" s="55"/>
      <c r="P295" s="55"/>
      <c r="Q295" s="55"/>
      <c r="R295" s="55"/>
      <c r="S295" s="55"/>
      <c r="T295" s="55"/>
      <c r="U295" s="55"/>
    </row>
    <row r="296">
      <c r="A296" s="48" t="s">
        <v>322</v>
      </c>
      <c r="B296" s="55"/>
      <c r="C296" s="55"/>
      <c r="D296" s="55"/>
      <c r="E296" s="53"/>
      <c r="F296" s="55" t="str">
        <f>'Volunteer Survey'!B909</f>
        <v/>
      </c>
      <c r="G296" s="48" t="str">
        <f>'Volunteer Survey'!H910</f>
        <v/>
      </c>
      <c r="H296" s="55"/>
      <c r="I296" s="55"/>
      <c r="J296" s="55"/>
      <c r="K296" s="55"/>
      <c r="L296" s="55"/>
      <c r="M296" s="55"/>
      <c r="N296" s="55"/>
      <c r="O296" s="55"/>
      <c r="P296" s="55"/>
      <c r="Q296" s="55"/>
      <c r="R296" s="55"/>
      <c r="S296" s="55"/>
      <c r="T296" s="55"/>
      <c r="U296" s="55"/>
    </row>
    <row r="297">
      <c r="A297" s="48" t="s">
        <v>322</v>
      </c>
      <c r="B297" s="55"/>
      <c r="C297" s="55"/>
      <c r="D297" s="55"/>
      <c r="E297" s="53"/>
      <c r="F297" s="55" t="str">
        <f>'Volunteer Survey'!B910</f>
        <v/>
      </c>
      <c r="G297" s="48" t="str">
        <f>'Volunteer Survey'!H911</f>
        <v/>
      </c>
      <c r="H297" s="55"/>
      <c r="I297" s="55"/>
      <c r="J297" s="55"/>
      <c r="K297" s="55"/>
      <c r="L297" s="55"/>
      <c r="M297" s="55"/>
      <c r="N297" s="55"/>
      <c r="O297" s="55"/>
      <c r="P297" s="55"/>
      <c r="Q297" s="55"/>
      <c r="R297" s="55"/>
      <c r="S297" s="55"/>
      <c r="T297" s="55"/>
      <c r="U297" s="55"/>
    </row>
    <row r="298">
      <c r="A298" s="48" t="s">
        <v>322</v>
      </c>
      <c r="B298" s="55"/>
      <c r="C298" s="55"/>
      <c r="D298" s="55"/>
      <c r="E298" s="53"/>
      <c r="F298" s="55" t="str">
        <f>'Volunteer Survey'!B911</f>
        <v/>
      </c>
      <c r="G298" s="48" t="str">
        <f>'Volunteer Survey'!H912</f>
        <v/>
      </c>
      <c r="H298" s="55"/>
      <c r="I298" s="55"/>
      <c r="J298" s="55"/>
      <c r="K298" s="55"/>
      <c r="L298" s="55"/>
      <c r="M298" s="55"/>
      <c r="N298" s="55"/>
      <c r="O298" s="55"/>
      <c r="P298" s="55"/>
      <c r="Q298" s="55"/>
      <c r="R298" s="55"/>
      <c r="S298" s="55"/>
      <c r="T298" s="55"/>
      <c r="U298" s="55"/>
    </row>
    <row r="299">
      <c r="A299" s="48" t="s">
        <v>322</v>
      </c>
      <c r="B299" s="55"/>
      <c r="C299" s="55"/>
      <c r="D299" s="55"/>
      <c r="E299" s="53"/>
      <c r="F299" s="55" t="str">
        <f>'Volunteer Survey'!B912</f>
        <v/>
      </c>
      <c r="G299" s="48" t="str">
        <f>'Volunteer Survey'!H913</f>
        <v/>
      </c>
      <c r="H299" s="55"/>
      <c r="I299" s="55"/>
      <c r="J299" s="55"/>
      <c r="K299" s="55"/>
      <c r="L299" s="55"/>
      <c r="M299" s="55"/>
      <c r="N299" s="55"/>
      <c r="O299" s="55"/>
      <c r="P299" s="55"/>
      <c r="Q299" s="55"/>
      <c r="R299" s="55"/>
      <c r="S299" s="55"/>
      <c r="T299" s="55"/>
      <c r="U299" s="55"/>
    </row>
    <row r="300">
      <c r="A300" s="48" t="s">
        <v>322</v>
      </c>
      <c r="B300" s="55"/>
      <c r="C300" s="55"/>
      <c r="D300" s="55"/>
      <c r="E300" s="53"/>
      <c r="F300" s="55" t="str">
        <f>'Volunteer Survey'!B913</f>
        <v/>
      </c>
      <c r="G300" s="48" t="str">
        <f>'Volunteer Survey'!H914</f>
        <v/>
      </c>
      <c r="H300" s="55"/>
      <c r="I300" s="55"/>
      <c r="J300" s="55"/>
      <c r="K300" s="55"/>
      <c r="L300" s="55"/>
      <c r="M300" s="55"/>
      <c r="N300" s="55"/>
      <c r="O300" s="55"/>
      <c r="P300" s="55"/>
      <c r="Q300" s="55"/>
      <c r="R300" s="55"/>
      <c r="S300" s="55"/>
      <c r="T300" s="55"/>
      <c r="U300" s="55"/>
    </row>
    <row r="301">
      <c r="A301" s="48" t="s">
        <v>322</v>
      </c>
      <c r="B301" s="55"/>
      <c r="C301" s="55"/>
      <c r="D301" s="55"/>
      <c r="E301" s="53"/>
      <c r="F301" s="55" t="str">
        <f>'Volunteer Survey'!B914</f>
        <v/>
      </c>
      <c r="G301" s="48" t="str">
        <f>'Volunteer Survey'!H915</f>
        <v/>
      </c>
      <c r="H301" s="55"/>
      <c r="I301" s="55"/>
      <c r="J301" s="55"/>
      <c r="K301" s="55"/>
      <c r="L301" s="55"/>
      <c r="M301" s="55"/>
      <c r="N301" s="55"/>
      <c r="O301" s="55"/>
      <c r="P301" s="55"/>
      <c r="Q301" s="55"/>
      <c r="R301" s="55"/>
      <c r="S301" s="55"/>
      <c r="T301" s="55"/>
      <c r="U301" s="55"/>
    </row>
    <row r="302">
      <c r="A302" s="48" t="s">
        <v>322</v>
      </c>
      <c r="B302" s="55"/>
      <c r="C302" s="55"/>
      <c r="D302" s="55"/>
      <c r="E302" s="53"/>
      <c r="F302" s="55" t="str">
        <f>'Volunteer Survey'!B915</f>
        <v/>
      </c>
      <c r="G302" s="48" t="str">
        <f>'Volunteer Survey'!H916</f>
        <v/>
      </c>
      <c r="H302" s="55"/>
      <c r="I302" s="55"/>
      <c r="J302" s="55"/>
      <c r="K302" s="55"/>
      <c r="L302" s="55"/>
      <c r="M302" s="55"/>
      <c r="N302" s="55"/>
      <c r="O302" s="55"/>
      <c r="P302" s="55"/>
      <c r="Q302" s="55"/>
      <c r="R302" s="55"/>
      <c r="S302" s="55"/>
      <c r="T302" s="55"/>
      <c r="U302" s="55"/>
    </row>
    <row r="303">
      <c r="A303" s="48" t="s">
        <v>322</v>
      </c>
      <c r="B303" s="55"/>
      <c r="C303" s="55"/>
      <c r="D303" s="55"/>
      <c r="E303" s="53"/>
      <c r="F303" s="55" t="str">
        <f>'Volunteer Survey'!B916</f>
        <v/>
      </c>
      <c r="G303" s="48" t="str">
        <f>'Volunteer Survey'!H917</f>
        <v/>
      </c>
      <c r="H303" s="55"/>
      <c r="I303" s="55"/>
      <c r="J303" s="55"/>
      <c r="K303" s="55"/>
      <c r="L303" s="55"/>
      <c r="M303" s="55"/>
      <c r="N303" s="55"/>
      <c r="O303" s="55"/>
      <c r="P303" s="55"/>
      <c r="Q303" s="55"/>
      <c r="R303" s="55"/>
      <c r="S303" s="55"/>
      <c r="T303" s="55"/>
      <c r="U303" s="55"/>
    </row>
    <row r="304">
      <c r="A304" s="48" t="s">
        <v>322</v>
      </c>
      <c r="B304" s="55"/>
      <c r="C304" s="55"/>
      <c r="D304" s="55"/>
      <c r="E304" s="53"/>
      <c r="F304" s="55" t="str">
        <f>'Volunteer Survey'!B917</f>
        <v/>
      </c>
      <c r="G304" s="48" t="str">
        <f>'Volunteer Survey'!H918</f>
        <v/>
      </c>
      <c r="H304" s="55"/>
      <c r="I304" s="55"/>
      <c r="J304" s="55"/>
      <c r="K304" s="55"/>
      <c r="L304" s="55"/>
      <c r="M304" s="55"/>
      <c r="N304" s="55"/>
      <c r="O304" s="55"/>
      <c r="P304" s="55"/>
      <c r="Q304" s="55"/>
      <c r="R304" s="55"/>
      <c r="S304" s="55"/>
      <c r="T304" s="55"/>
      <c r="U304" s="55"/>
    </row>
    <row r="305">
      <c r="A305" s="48" t="s">
        <v>322</v>
      </c>
      <c r="B305" s="55"/>
      <c r="C305" s="55"/>
      <c r="D305" s="55"/>
      <c r="E305" s="53"/>
      <c r="F305" s="55" t="str">
        <f>'Volunteer Survey'!B918</f>
        <v/>
      </c>
      <c r="G305" s="48" t="str">
        <f>'Volunteer Survey'!H919</f>
        <v/>
      </c>
      <c r="H305" s="55"/>
      <c r="I305" s="55"/>
      <c r="J305" s="55"/>
      <c r="K305" s="55"/>
      <c r="L305" s="55"/>
      <c r="M305" s="55"/>
      <c r="N305" s="55"/>
      <c r="O305" s="55"/>
      <c r="P305" s="55"/>
      <c r="Q305" s="55"/>
      <c r="R305" s="55"/>
      <c r="S305" s="55"/>
      <c r="T305" s="55"/>
      <c r="U305" s="55"/>
    </row>
    <row r="306">
      <c r="A306" s="48" t="s">
        <v>322</v>
      </c>
      <c r="B306" s="55"/>
      <c r="C306" s="55"/>
      <c r="D306" s="55"/>
      <c r="E306" s="53"/>
      <c r="F306" s="55" t="str">
        <f>'Volunteer Survey'!B919</f>
        <v/>
      </c>
      <c r="G306" s="48" t="str">
        <f>'Volunteer Survey'!H920</f>
        <v/>
      </c>
      <c r="H306" s="55"/>
      <c r="I306" s="55"/>
      <c r="J306" s="55"/>
      <c r="K306" s="55"/>
      <c r="L306" s="55"/>
      <c r="M306" s="55"/>
      <c r="N306" s="55"/>
      <c r="O306" s="55"/>
      <c r="P306" s="55"/>
      <c r="Q306" s="55"/>
      <c r="R306" s="55"/>
      <c r="S306" s="55"/>
      <c r="T306" s="55"/>
      <c r="U306" s="55"/>
    </row>
    <row r="307">
      <c r="A307" s="48" t="s">
        <v>322</v>
      </c>
      <c r="B307" s="55"/>
      <c r="C307" s="55"/>
      <c r="D307" s="55"/>
      <c r="E307" s="53"/>
      <c r="F307" s="55" t="str">
        <f>'Volunteer Survey'!B920</f>
        <v/>
      </c>
      <c r="G307" s="48" t="str">
        <f>'Volunteer Survey'!H921</f>
        <v/>
      </c>
      <c r="H307" s="55"/>
      <c r="I307" s="55"/>
      <c r="J307" s="55"/>
      <c r="K307" s="55"/>
      <c r="L307" s="55"/>
      <c r="M307" s="55"/>
      <c r="N307" s="55"/>
      <c r="O307" s="55"/>
      <c r="P307" s="55"/>
      <c r="Q307" s="55"/>
      <c r="R307" s="55"/>
      <c r="S307" s="55"/>
      <c r="T307" s="55"/>
      <c r="U307" s="55"/>
    </row>
    <row r="308">
      <c r="A308" s="48" t="s">
        <v>322</v>
      </c>
      <c r="B308" s="55"/>
      <c r="C308" s="55"/>
      <c r="D308" s="55"/>
      <c r="E308" s="53"/>
      <c r="F308" s="55" t="str">
        <f>'Volunteer Survey'!B921</f>
        <v/>
      </c>
      <c r="G308" s="48" t="str">
        <f>'Volunteer Survey'!H922</f>
        <v/>
      </c>
      <c r="H308" s="55"/>
      <c r="I308" s="55"/>
      <c r="J308" s="55"/>
      <c r="K308" s="55"/>
      <c r="L308" s="55"/>
      <c r="M308" s="55"/>
      <c r="N308" s="55"/>
      <c r="O308" s="55"/>
      <c r="P308" s="55"/>
      <c r="Q308" s="55"/>
      <c r="R308" s="55"/>
      <c r="S308" s="55"/>
      <c r="T308" s="55"/>
      <c r="U308" s="55"/>
    </row>
    <row r="309">
      <c r="A309" s="48" t="s">
        <v>322</v>
      </c>
      <c r="B309" s="55"/>
      <c r="C309" s="55"/>
      <c r="D309" s="55"/>
      <c r="E309" s="53"/>
      <c r="F309" s="55" t="str">
        <f>'Volunteer Survey'!B922</f>
        <v/>
      </c>
      <c r="G309" s="48" t="str">
        <f>'Volunteer Survey'!H923</f>
        <v/>
      </c>
      <c r="H309" s="55"/>
      <c r="I309" s="55"/>
      <c r="J309" s="55"/>
      <c r="K309" s="55"/>
      <c r="L309" s="55"/>
      <c r="M309" s="55"/>
      <c r="N309" s="55"/>
      <c r="O309" s="55"/>
      <c r="P309" s="55"/>
      <c r="Q309" s="55"/>
      <c r="R309" s="55"/>
      <c r="S309" s="55"/>
      <c r="T309" s="55"/>
      <c r="U309" s="55"/>
    </row>
    <row r="310">
      <c r="A310" s="48" t="s">
        <v>322</v>
      </c>
      <c r="B310" s="55"/>
      <c r="C310" s="55"/>
      <c r="D310" s="55"/>
      <c r="E310" s="53"/>
      <c r="F310" s="55" t="str">
        <f>'Volunteer Survey'!B923</f>
        <v/>
      </c>
      <c r="G310" s="48" t="str">
        <f>'Volunteer Survey'!H924</f>
        <v/>
      </c>
      <c r="H310" s="55"/>
      <c r="I310" s="55"/>
      <c r="J310" s="55"/>
      <c r="K310" s="55"/>
      <c r="L310" s="55"/>
      <c r="M310" s="55"/>
      <c r="N310" s="55"/>
      <c r="O310" s="55"/>
      <c r="P310" s="55"/>
      <c r="Q310" s="55"/>
      <c r="R310" s="55"/>
      <c r="S310" s="55"/>
      <c r="T310" s="55"/>
      <c r="U310" s="55"/>
    </row>
    <row r="311">
      <c r="A311" s="48" t="s">
        <v>322</v>
      </c>
      <c r="B311" s="55"/>
      <c r="C311" s="55"/>
      <c r="D311" s="55"/>
      <c r="E311" s="53"/>
      <c r="F311" s="55" t="str">
        <f>'Volunteer Survey'!B924</f>
        <v/>
      </c>
      <c r="G311" s="48" t="str">
        <f>'Volunteer Survey'!H925</f>
        <v/>
      </c>
      <c r="H311" s="55"/>
      <c r="I311" s="55"/>
      <c r="J311" s="55"/>
      <c r="K311" s="55"/>
      <c r="L311" s="55"/>
      <c r="M311" s="55"/>
      <c r="N311" s="55"/>
      <c r="O311" s="55"/>
      <c r="P311" s="55"/>
      <c r="Q311" s="55"/>
      <c r="R311" s="55"/>
      <c r="S311" s="55"/>
      <c r="T311" s="55"/>
      <c r="U311" s="55"/>
    </row>
    <row r="312">
      <c r="A312" s="48" t="s">
        <v>322</v>
      </c>
      <c r="B312" s="55"/>
      <c r="C312" s="55"/>
      <c r="D312" s="55"/>
      <c r="E312" s="53"/>
      <c r="F312" s="55" t="str">
        <f>'Volunteer Survey'!B925</f>
        <v/>
      </c>
      <c r="G312" s="48" t="str">
        <f>'Volunteer Survey'!H926</f>
        <v/>
      </c>
      <c r="H312" s="55"/>
      <c r="I312" s="55"/>
      <c r="J312" s="55"/>
      <c r="K312" s="55"/>
      <c r="L312" s="55"/>
      <c r="M312" s="55"/>
      <c r="N312" s="55"/>
      <c r="O312" s="55"/>
      <c r="P312" s="55"/>
      <c r="Q312" s="55"/>
      <c r="R312" s="55"/>
      <c r="S312" s="55"/>
      <c r="T312" s="55"/>
      <c r="U312" s="55"/>
    </row>
    <row r="313">
      <c r="A313" s="48" t="s">
        <v>322</v>
      </c>
      <c r="B313" s="55"/>
      <c r="C313" s="55"/>
      <c r="D313" s="55"/>
      <c r="E313" s="53"/>
      <c r="F313" s="55" t="str">
        <f>'Volunteer Survey'!B926</f>
        <v/>
      </c>
      <c r="G313" s="48" t="str">
        <f>'Volunteer Survey'!H927</f>
        <v/>
      </c>
      <c r="H313" s="55"/>
      <c r="I313" s="55"/>
      <c r="J313" s="55"/>
      <c r="K313" s="55"/>
      <c r="L313" s="55"/>
      <c r="M313" s="55"/>
      <c r="N313" s="55"/>
      <c r="O313" s="55"/>
      <c r="P313" s="55"/>
      <c r="Q313" s="55"/>
      <c r="R313" s="55"/>
      <c r="S313" s="55"/>
      <c r="T313" s="55"/>
      <c r="U313" s="55"/>
    </row>
    <row r="314">
      <c r="A314" s="48" t="s">
        <v>322</v>
      </c>
      <c r="B314" s="55"/>
      <c r="C314" s="55"/>
      <c r="D314" s="55"/>
      <c r="E314" s="53"/>
      <c r="F314" s="55" t="str">
        <f>'Volunteer Survey'!B927</f>
        <v/>
      </c>
      <c r="G314" s="48" t="str">
        <f>'Volunteer Survey'!H928</f>
        <v/>
      </c>
      <c r="H314" s="55"/>
      <c r="I314" s="55"/>
      <c r="J314" s="55"/>
      <c r="K314" s="55"/>
      <c r="L314" s="55"/>
      <c r="M314" s="55"/>
      <c r="N314" s="55"/>
      <c r="O314" s="55"/>
      <c r="P314" s="55"/>
      <c r="Q314" s="55"/>
      <c r="R314" s="55"/>
      <c r="S314" s="55"/>
      <c r="T314" s="55"/>
      <c r="U314" s="55"/>
    </row>
    <row r="315">
      <c r="A315" s="48" t="s">
        <v>322</v>
      </c>
      <c r="B315" s="55"/>
      <c r="C315" s="55"/>
      <c r="D315" s="55"/>
      <c r="E315" s="53"/>
      <c r="F315" s="55" t="str">
        <f>'Volunteer Survey'!B928</f>
        <v/>
      </c>
      <c r="G315" s="48" t="str">
        <f>'Volunteer Survey'!H929</f>
        <v/>
      </c>
      <c r="H315" s="55"/>
      <c r="I315" s="55"/>
      <c r="J315" s="55"/>
      <c r="K315" s="55"/>
      <c r="L315" s="55"/>
      <c r="M315" s="55"/>
      <c r="N315" s="55"/>
      <c r="O315" s="55"/>
      <c r="P315" s="55"/>
      <c r="Q315" s="55"/>
      <c r="R315" s="55"/>
      <c r="S315" s="55"/>
      <c r="T315" s="55"/>
      <c r="U315" s="55"/>
    </row>
    <row r="316">
      <c r="A316" s="48" t="s">
        <v>322</v>
      </c>
      <c r="B316" s="55"/>
      <c r="C316" s="55"/>
      <c r="D316" s="55"/>
      <c r="E316" s="53"/>
      <c r="F316" s="55" t="str">
        <f>'Volunteer Survey'!B929</f>
        <v/>
      </c>
      <c r="G316" s="48" t="str">
        <f>'Volunteer Survey'!H930</f>
        <v/>
      </c>
      <c r="H316" s="55"/>
      <c r="I316" s="55"/>
      <c r="J316" s="55"/>
      <c r="K316" s="55"/>
      <c r="L316" s="55"/>
      <c r="M316" s="55"/>
      <c r="N316" s="55"/>
      <c r="O316" s="55"/>
      <c r="P316" s="55"/>
      <c r="Q316" s="55"/>
      <c r="R316" s="55"/>
      <c r="S316" s="55"/>
      <c r="T316" s="55"/>
      <c r="U316" s="55"/>
    </row>
    <row r="317">
      <c r="A317" s="48" t="s">
        <v>322</v>
      </c>
      <c r="B317" s="55"/>
      <c r="C317" s="55"/>
      <c r="D317" s="55"/>
      <c r="E317" s="53"/>
      <c r="F317" s="55" t="str">
        <f>'Volunteer Survey'!B930</f>
        <v/>
      </c>
      <c r="G317" s="48" t="str">
        <f>'Volunteer Survey'!H931</f>
        <v/>
      </c>
      <c r="H317" s="55"/>
      <c r="I317" s="55"/>
      <c r="J317" s="55"/>
      <c r="K317" s="55"/>
      <c r="L317" s="55"/>
      <c r="M317" s="55"/>
      <c r="N317" s="55"/>
      <c r="O317" s="55"/>
      <c r="P317" s="55"/>
      <c r="Q317" s="55"/>
      <c r="R317" s="55"/>
      <c r="S317" s="55"/>
      <c r="T317" s="55"/>
      <c r="U317" s="55"/>
    </row>
    <row r="318">
      <c r="A318" s="48" t="s">
        <v>322</v>
      </c>
      <c r="B318" s="55"/>
      <c r="C318" s="55"/>
      <c r="D318" s="55"/>
      <c r="E318" s="53"/>
      <c r="F318" s="55" t="str">
        <f>'Volunteer Survey'!B931</f>
        <v/>
      </c>
      <c r="G318" s="48" t="str">
        <f>'Volunteer Survey'!H932</f>
        <v/>
      </c>
      <c r="H318" s="55"/>
      <c r="I318" s="55"/>
      <c r="J318" s="55"/>
      <c r="K318" s="55"/>
      <c r="L318" s="55"/>
      <c r="M318" s="55"/>
      <c r="N318" s="55"/>
      <c r="O318" s="55"/>
      <c r="P318" s="55"/>
      <c r="Q318" s="55"/>
      <c r="R318" s="55"/>
      <c r="S318" s="55"/>
      <c r="T318" s="55"/>
      <c r="U318" s="55"/>
    </row>
    <row r="319">
      <c r="A319" s="48" t="s">
        <v>322</v>
      </c>
      <c r="B319" s="55"/>
      <c r="C319" s="55"/>
      <c r="D319" s="55"/>
      <c r="E319" s="53"/>
      <c r="F319" s="55" t="str">
        <f>'Volunteer Survey'!B932</f>
        <v/>
      </c>
      <c r="G319" s="48" t="str">
        <f>'Volunteer Survey'!H933</f>
        <v/>
      </c>
      <c r="H319" s="55"/>
      <c r="I319" s="55"/>
      <c r="J319" s="55"/>
      <c r="K319" s="55"/>
      <c r="L319" s="55"/>
      <c r="M319" s="55"/>
      <c r="N319" s="55"/>
      <c r="O319" s="55"/>
      <c r="P319" s="55"/>
      <c r="Q319" s="55"/>
      <c r="R319" s="55"/>
      <c r="S319" s="55"/>
      <c r="T319" s="55"/>
      <c r="U319" s="55"/>
    </row>
    <row r="320">
      <c r="A320" s="48" t="s">
        <v>322</v>
      </c>
      <c r="B320" s="55"/>
      <c r="C320" s="55"/>
      <c r="D320" s="55"/>
      <c r="E320" s="53"/>
      <c r="F320" s="55" t="str">
        <f>'Volunteer Survey'!B933</f>
        <v/>
      </c>
      <c r="G320" s="48" t="str">
        <f>'Volunteer Survey'!H934</f>
        <v/>
      </c>
      <c r="H320" s="55"/>
      <c r="I320" s="55"/>
      <c r="J320" s="55"/>
      <c r="K320" s="55"/>
      <c r="L320" s="55"/>
      <c r="M320" s="55"/>
      <c r="N320" s="55"/>
      <c r="O320" s="55"/>
      <c r="P320" s="55"/>
      <c r="Q320" s="55"/>
      <c r="R320" s="55"/>
      <c r="S320" s="55"/>
      <c r="T320" s="55"/>
      <c r="U320" s="55"/>
    </row>
    <row r="321">
      <c r="A321" s="48" t="s">
        <v>322</v>
      </c>
      <c r="B321" s="55"/>
      <c r="C321" s="55"/>
      <c r="D321" s="55"/>
      <c r="E321" s="53"/>
      <c r="F321" s="55" t="str">
        <f>'Volunteer Survey'!B934</f>
        <v/>
      </c>
      <c r="G321" s="48" t="str">
        <f>'Volunteer Survey'!H935</f>
        <v/>
      </c>
      <c r="H321" s="55"/>
      <c r="I321" s="55"/>
      <c r="J321" s="55"/>
      <c r="K321" s="55"/>
      <c r="L321" s="55"/>
      <c r="M321" s="55"/>
      <c r="N321" s="55"/>
      <c r="O321" s="55"/>
      <c r="P321" s="55"/>
      <c r="Q321" s="55"/>
      <c r="R321" s="55"/>
      <c r="S321" s="55"/>
      <c r="T321" s="55"/>
      <c r="U321" s="55"/>
    </row>
    <row r="322">
      <c r="A322" s="48" t="s">
        <v>322</v>
      </c>
      <c r="B322" s="55"/>
      <c r="C322" s="55"/>
      <c r="D322" s="55"/>
      <c r="E322" s="53"/>
      <c r="F322" s="55" t="str">
        <f>'Volunteer Survey'!B935</f>
        <v/>
      </c>
      <c r="G322" s="48" t="str">
        <f>'Volunteer Survey'!H936</f>
        <v/>
      </c>
      <c r="H322" s="55"/>
      <c r="I322" s="55"/>
      <c r="J322" s="55"/>
      <c r="K322" s="55"/>
      <c r="L322" s="55"/>
      <c r="M322" s="55"/>
      <c r="N322" s="55"/>
      <c r="O322" s="55"/>
      <c r="P322" s="55"/>
      <c r="Q322" s="55"/>
      <c r="R322" s="55"/>
      <c r="S322" s="55"/>
      <c r="T322" s="55"/>
      <c r="U322" s="55"/>
    </row>
    <row r="323">
      <c r="A323" s="48" t="s">
        <v>322</v>
      </c>
      <c r="B323" s="55"/>
      <c r="C323" s="55"/>
      <c r="D323" s="55"/>
      <c r="E323" s="53"/>
      <c r="F323" s="55" t="str">
        <f>'Volunteer Survey'!B936</f>
        <v/>
      </c>
      <c r="G323" s="48" t="str">
        <f>'Volunteer Survey'!H937</f>
        <v/>
      </c>
      <c r="H323" s="55"/>
      <c r="I323" s="55"/>
      <c r="J323" s="55"/>
      <c r="K323" s="55"/>
      <c r="L323" s="55"/>
      <c r="M323" s="55"/>
      <c r="N323" s="55"/>
      <c r="O323" s="55"/>
      <c r="P323" s="55"/>
      <c r="Q323" s="55"/>
      <c r="R323" s="55"/>
      <c r="S323" s="55"/>
      <c r="T323" s="55"/>
      <c r="U323" s="55"/>
    </row>
    <row r="324">
      <c r="A324" s="48" t="s">
        <v>322</v>
      </c>
      <c r="B324" s="55"/>
      <c r="C324" s="55"/>
      <c r="D324" s="55"/>
      <c r="E324" s="53"/>
      <c r="F324" s="55" t="str">
        <f>'Volunteer Survey'!B937</f>
        <v/>
      </c>
      <c r="G324" s="48" t="str">
        <f>'Volunteer Survey'!H938</f>
        <v/>
      </c>
      <c r="H324" s="55"/>
      <c r="I324" s="55"/>
      <c r="J324" s="55"/>
      <c r="K324" s="55"/>
      <c r="L324" s="55"/>
      <c r="M324" s="55"/>
      <c r="N324" s="55"/>
      <c r="O324" s="55"/>
      <c r="P324" s="55"/>
      <c r="Q324" s="55"/>
      <c r="R324" s="55"/>
      <c r="S324" s="55"/>
      <c r="T324" s="55"/>
      <c r="U324" s="55"/>
    </row>
    <row r="325">
      <c r="A325" s="48" t="s">
        <v>322</v>
      </c>
      <c r="B325" s="55"/>
      <c r="C325" s="55"/>
      <c r="D325" s="55"/>
      <c r="E325" s="53"/>
      <c r="F325" s="55" t="str">
        <f>'Volunteer Survey'!B938</f>
        <v/>
      </c>
      <c r="G325" s="48" t="str">
        <f>'Volunteer Survey'!H939</f>
        <v/>
      </c>
      <c r="H325" s="55"/>
      <c r="I325" s="55"/>
      <c r="J325" s="55"/>
      <c r="K325" s="55"/>
      <c r="L325" s="55"/>
      <c r="M325" s="55"/>
      <c r="N325" s="55"/>
      <c r="O325" s="55"/>
      <c r="P325" s="55"/>
      <c r="Q325" s="55"/>
      <c r="R325" s="55"/>
      <c r="S325" s="55"/>
      <c r="T325" s="55"/>
      <c r="U325" s="55"/>
    </row>
    <row r="326">
      <c r="A326" s="48" t="s">
        <v>322</v>
      </c>
      <c r="B326" s="55"/>
      <c r="C326" s="55"/>
      <c r="D326" s="55"/>
      <c r="E326" s="53"/>
      <c r="F326" s="55" t="str">
        <f>'Volunteer Survey'!B939</f>
        <v/>
      </c>
      <c r="G326" s="48" t="str">
        <f>'Volunteer Survey'!H940</f>
        <v/>
      </c>
      <c r="H326" s="55"/>
      <c r="I326" s="55"/>
      <c r="J326" s="55"/>
      <c r="K326" s="55"/>
      <c r="L326" s="55"/>
      <c r="M326" s="55"/>
      <c r="N326" s="55"/>
      <c r="O326" s="55"/>
      <c r="P326" s="55"/>
      <c r="Q326" s="55"/>
      <c r="R326" s="55"/>
      <c r="S326" s="55"/>
      <c r="T326" s="55"/>
      <c r="U326" s="55"/>
    </row>
    <row r="327">
      <c r="A327" s="48" t="s">
        <v>322</v>
      </c>
      <c r="B327" s="55"/>
      <c r="C327" s="55"/>
      <c r="D327" s="55"/>
      <c r="E327" s="53"/>
      <c r="F327" s="55" t="str">
        <f>'Volunteer Survey'!B940</f>
        <v/>
      </c>
      <c r="G327" s="48" t="str">
        <f>'Volunteer Survey'!H941</f>
        <v/>
      </c>
      <c r="H327" s="55"/>
      <c r="I327" s="55"/>
      <c r="J327" s="55"/>
      <c r="K327" s="55"/>
      <c r="L327" s="55"/>
      <c r="M327" s="55"/>
      <c r="N327" s="55"/>
      <c r="O327" s="55"/>
      <c r="P327" s="55"/>
      <c r="Q327" s="55"/>
      <c r="R327" s="55"/>
      <c r="S327" s="55"/>
      <c r="T327" s="55"/>
      <c r="U327" s="55"/>
    </row>
    <row r="328">
      <c r="A328" s="48" t="s">
        <v>322</v>
      </c>
      <c r="B328" s="55"/>
      <c r="C328" s="55"/>
      <c r="D328" s="55"/>
      <c r="E328" s="53"/>
      <c r="F328" s="55" t="str">
        <f>'Volunteer Survey'!B941</f>
        <v/>
      </c>
      <c r="G328" s="48" t="str">
        <f>'Volunteer Survey'!H942</f>
        <v/>
      </c>
      <c r="H328" s="55"/>
      <c r="I328" s="55"/>
      <c r="J328" s="55"/>
      <c r="K328" s="55"/>
      <c r="L328" s="55"/>
      <c r="M328" s="55"/>
      <c r="N328" s="55"/>
      <c r="O328" s="55"/>
      <c r="P328" s="55"/>
      <c r="Q328" s="55"/>
      <c r="R328" s="55"/>
      <c r="S328" s="55"/>
      <c r="T328" s="55"/>
      <c r="U328" s="55"/>
    </row>
    <row r="329">
      <c r="A329" s="48" t="s">
        <v>322</v>
      </c>
      <c r="B329" s="55"/>
      <c r="C329" s="55"/>
      <c r="D329" s="55"/>
      <c r="E329" s="53"/>
      <c r="F329" s="55" t="str">
        <f>'Volunteer Survey'!B942</f>
        <v/>
      </c>
      <c r="G329" s="48" t="str">
        <f>'Volunteer Survey'!H943</f>
        <v/>
      </c>
      <c r="H329" s="55"/>
      <c r="I329" s="55"/>
      <c r="J329" s="55"/>
      <c r="K329" s="55"/>
      <c r="L329" s="55"/>
      <c r="M329" s="55"/>
      <c r="N329" s="55"/>
      <c r="O329" s="55"/>
      <c r="P329" s="55"/>
      <c r="Q329" s="55"/>
      <c r="R329" s="55"/>
      <c r="S329" s="55"/>
      <c r="T329" s="55"/>
      <c r="U329" s="55"/>
    </row>
    <row r="330">
      <c r="A330" s="48" t="s">
        <v>322</v>
      </c>
      <c r="B330" s="55"/>
      <c r="C330" s="55"/>
      <c r="D330" s="55"/>
      <c r="E330" s="53"/>
      <c r="F330" s="55" t="str">
        <f>'Volunteer Survey'!B943</f>
        <v/>
      </c>
      <c r="G330" s="48" t="str">
        <f>'Volunteer Survey'!H944</f>
        <v/>
      </c>
      <c r="H330" s="55"/>
      <c r="I330" s="55"/>
      <c r="J330" s="55"/>
      <c r="K330" s="55"/>
      <c r="L330" s="55"/>
      <c r="M330" s="55"/>
      <c r="N330" s="55"/>
      <c r="O330" s="55"/>
      <c r="P330" s="55"/>
      <c r="Q330" s="55"/>
      <c r="R330" s="55"/>
      <c r="S330" s="55"/>
      <c r="T330" s="55"/>
      <c r="U330" s="55"/>
    </row>
    <row r="331">
      <c r="A331" s="48" t="s">
        <v>322</v>
      </c>
      <c r="B331" s="55"/>
      <c r="C331" s="55"/>
      <c r="D331" s="55"/>
      <c r="E331" s="53"/>
      <c r="F331" s="55" t="str">
        <f>'Volunteer Survey'!B944</f>
        <v/>
      </c>
      <c r="G331" s="48" t="str">
        <f>'Volunteer Survey'!H945</f>
        <v/>
      </c>
      <c r="H331" s="55"/>
      <c r="I331" s="55"/>
      <c r="J331" s="55"/>
      <c r="K331" s="55"/>
      <c r="L331" s="55"/>
      <c r="M331" s="55"/>
      <c r="N331" s="55"/>
      <c r="O331" s="55"/>
      <c r="P331" s="55"/>
      <c r="Q331" s="55"/>
      <c r="R331" s="55"/>
      <c r="S331" s="55"/>
      <c r="T331" s="55"/>
      <c r="U331" s="55"/>
    </row>
    <row r="332">
      <c r="A332" s="55"/>
      <c r="B332" s="55"/>
      <c r="C332" s="55"/>
      <c r="D332" s="55"/>
      <c r="E332" s="53"/>
      <c r="F332" s="55" t="str">
        <f>'Volunteer Survey'!B945</f>
        <v/>
      </c>
      <c r="G332" s="48" t="str">
        <f>'Volunteer Survey'!H946</f>
        <v/>
      </c>
      <c r="H332" s="55"/>
      <c r="I332" s="55"/>
      <c r="J332" s="55"/>
      <c r="K332" s="55"/>
      <c r="L332" s="55"/>
      <c r="M332" s="55"/>
      <c r="N332" s="55"/>
      <c r="O332" s="55"/>
      <c r="P332" s="55"/>
      <c r="Q332" s="55"/>
      <c r="R332" s="55"/>
      <c r="S332" s="55"/>
      <c r="T332" s="55"/>
      <c r="U332" s="55"/>
    </row>
    <row r="333">
      <c r="A333" s="55"/>
      <c r="B333" s="55"/>
      <c r="C333" s="55"/>
      <c r="D333" s="55"/>
      <c r="E333" s="53"/>
      <c r="F333" s="55" t="str">
        <f>'Volunteer Survey'!B946</f>
        <v/>
      </c>
      <c r="G333" s="48" t="str">
        <f>'Volunteer Survey'!H947</f>
        <v/>
      </c>
      <c r="H333" s="55"/>
      <c r="I333" s="55"/>
      <c r="J333" s="55"/>
      <c r="K333" s="55"/>
      <c r="L333" s="55"/>
      <c r="M333" s="55"/>
      <c r="N333" s="55"/>
      <c r="O333" s="55"/>
      <c r="P333" s="55"/>
      <c r="Q333" s="55"/>
      <c r="R333" s="55"/>
      <c r="S333" s="55"/>
      <c r="T333" s="55"/>
      <c r="U333" s="55"/>
    </row>
    <row r="334">
      <c r="A334" s="55"/>
      <c r="B334" s="55"/>
      <c r="C334" s="55"/>
      <c r="D334" s="55"/>
      <c r="E334" s="53"/>
      <c r="F334" s="55" t="str">
        <f>'Volunteer Survey'!B947</f>
        <v/>
      </c>
      <c r="G334" s="48" t="str">
        <f>'Volunteer Survey'!H948</f>
        <v/>
      </c>
      <c r="H334" s="55"/>
      <c r="I334" s="55"/>
      <c r="J334" s="55"/>
      <c r="K334" s="55"/>
      <c r="L334" s="55"/>
      <c r="M334" s="55"/>
      <c r="N334" s="55"/>
      <c r="O334" s="55"/>
      <c r="P334" s="55"/>
      <c r="Q334" s="55"/>
      <c r="R334" s="55"/>
      <c r="S334" s="55"/>
      <c r="T334" s="55"/>
      <c r="U334" s="55"/>
    </row>
    <row r="335">
      <c r="A335" s="55"/>
      <c r="B335" s="55"/>
      <c r="C335" s="55"/>
      <c r="D335" s="55"/>
      <c r="E335" s="53"/>
      <c r="F335" s="55" t="str">
        <f>'Volunteer Survey'!B948</f>
        <v/>
      </c>
      <c r="G335" s="48" t="str">
        <f>'Volunteer Survey'!H949</f>
        <v/>
      </c>
      <c r="H335" s="55"/>
      <c r="I335" s="55"/>
      <c r="J335" s="55"/>
      <c r="K335" s="55"/>
      <c r="L335" s="55"/>
      <c r="M335" s="55"/>
      <c r="N335" s="55"/>
      <c r="O335" s="55"/>
      <c r="P335" s="55"/>
      <c r="Q335" s="55"/>
      <c r="R335" s="55"/>
      <c r="S335" s="55"/>
      <c r="T335" s="55"/>
      <c r="U335" s="55"/>
    </row>
    <row r="336">
      <c r="A336" s="55"/>
      <c r="B336" s="55"/>
      <c r="C336" s="55"/>
      <c r="D336" s="55"/>
      <c r="E336" s="53"/>
      <c r="F336" s="55" t="str">
        <f>'Volunteer Survey'!B949</f>
        <v/>
      </c>
      <c r="G336" s="48" t="str">
        <f>'Volunteer Survey'!H950</f>
        <v/>
      </c>
      <c r="H336" s="55"/>
      <c r="I336" s="55"/>
      <c r="J336" s="55"/>
      <c r="K336" s="55"/>
      <c r="L336" s="55"/>
      <c r="M336" s="55"/>
      <c r="N336" s="55"/>
      <c r="O336" s="55"/>
      <c r="P336" s="55"/>
      <c r="Q336" s="55"/>
      <c r="R336" s="55"/>
      <c r="S336" s="55"/>
      <c r="T336" s="55"/>
      <c r="U336" s="55"/>
    </row>
    <row r="337">
      <c r="A337" s="55"/>
      <c r="B337" s="55"/>
      <c r="C337" s="55"/>
      <c r="D337" s="55"/>
      <c r="E337" s="53"/>
      <c r="F337" s="55" t="str">
        <f>'Volunteer Survey'!B950</f>
        <v/>
      </c>
      <c r="G337" s="48" t="str">
        <f>'Volunteer Survey'!H951</f>
        <v/>
      </c>
      <c r="H337" s="55"/>
      <c r="I337" s="55"/>
      <c r="J337" s="55"/>
      <c r="K337" s="55"/>
      <c r="L337" s="55"/>
      <c r="M337" s="55"/>
      <c r="N337" s="55"/>
      <c r="O337" s="55"/>
      <c r="P337" s="55"/>
      <c r="Q337" s="55"/>
      <c r="R337" s="55"/>
      <c r="S337" s="55"/>
      <c r="T337" s="55"/>
      <c r="U337" s="55"/>
    </row>
    <row r="338">
      <c r="A338" s="55"/>
      <c r="B338" s="55"/>
      <c r="C338" s="55"/>
      <c r="D338" s="55"/>
      <c r="E338" s="53"/>
      <c r="F338" s="55" t="str">
        <f>'Volunteer Survey'!B951</f>
        <v/>
      </c>
      <c r="G338" s="48" t="str">
        <f>'Volunteer Survey'!H952</f>
        <v/>
      </c>
      <c r="H338" s="55"/>
      <c r="I338" s="55"/>
      <c r="J338" s="55"/>
      <c r="K338" s="55"/>
      <c r="L338" s="55"/>
      <c r="M338" s="55"/>
      <c r="N338" s="55"/>
      <c r="O338" s="55"/>
      <c r="P338" s="55"/>
      <c r="Q338" s="55"/>
      <c r="R338" s="55"/>
      <c r="S338" s="55"/>
      <c r="T338" s="55"/>
      <c r="U338" s="55"/>
    </row>
    <row r="339">
      <c r="A339" s="55"/>
      <c r="B339" s="55"/>
      <c r="C339" s="55"/>
      <c r="D339" s="55"/>
      <c r="E339" s="53"/>
      <c r="F339" s="55" t="str">
        <f>'Volunteer Survey'!B952</f>
        <v/>
      </c>
      <c r="G339" s="48" t="str">
        <f>'Volunteer Survey'!H953</f>
        <v/>
      </c>
      <c r="H339" s="55"/>
      <c r="I339" s="55"/>
      <c r="J339" s="55"/>
      <c r="K339" s="55"/>
      <c r="L339" s="55"/>
      <c r="M339" s="55"/>
      <c r="N339" s="55"/>
      <c r="O339" s="55"/>
      <c r="P339" s="55"/>
      <c r="Q339" s="55"/>
      <c r="R339" s="55"/>
      <c r="S339" s="55"/>
      <c r="T339" s="55"/>
      <c r="U339" s="55"/>
    </row>
    <row r="340">
      <c r="A340" s="55"/>
      <c r="B340" s="55"/>
      <c r="C340" s="55"/>
      <c r="D340" s="55"/>
      <c r="E340" s="53"/>
      <c r="F340" s="55" t="str">
        <f>'Volunteer Survey'!B953</f>
        <v/>
      </c>
      <c r="G340" s="48" t="str">
        <f>'Volunteer Survey'!H954</f>
        <v/>
      </c>
      <c r="H340" s="55"/>
      <c r="I340" s="55"/>
      <c r="J340" s="55"/>
      <c r="K340" s="55"/>
      <c r="L340" s="55"/>
      <c r="M340" s="55"/>
      <c r="N340" s="55"/>
      <c r="O340" s="55"/>
      <c r="P340" s="55"/>
      <c r="Q340" s="55"/>
      <c r="R340" s="55"/>
      <c r="S340" s="55"/>
      <c r="T340" s="55"/>
      <c r="U340" s="55"/>
    </row>
    <row r="341">
      <c r="A341" s="55"/>
      <c r="B341" s="55"/>
      <c r="C341" s="55"/>
      <c r="D341" s="55"/>
      <c r="E341" s="53"/>
      <c r="F341" s="55" t="str">
        <f>'Volunteer Survey'!B954</f>
        <v/>
      </c>
      <c r="G341" s="48" t="str">
        <f>'Volunteer Survey'!H955</f>
        <v/>
      </c>
      <c r="H341" s="55"/>
      <c r="I341" s="55"/>
      <c r="J341" s="55"/>
      <c r="K341" s="55"/>
      <c r="L341" s="55"/>
      <c r="M341" s="55"/>
      <c r="N341" s="55"/>
      <c r="O341" s="55"/>
      <c r="P341" s="55"/>
      <c r="Q341" s="55"/>
      <c r="R341" s="55"/>
      <c r="S341" s="55"/>
      <c r="T341" s="55"/>
      <c r="U341" s="55"/>
    </row>
    <row r="342">
      <c r="A342" s="55"/>
      <c r="B342" s="55"/>
      <c r="C342" s="55"/>
      <c r="D342" s="55"/>
      <c r="E342" s="53"/>
      <c r="F342" s="55" t="str">
        <f>'Volunteer Survey'!B955</f>
        <v/>
      </c>
      <c r="G342" s="48" t="str">
        <f>'Volunteer Survey'!H956</f>
        <v/>
      </c>
      <c r="H342" s="55"/>
      <c r="I342" s="55"/>
      <c r="J342" s="55"/>
      <c r="K342" s="55"/>
      <c r="L342" s="55"/>
      <c r="M342" s="55"/>
      <c r="N342" s="55"/>
      <c r="O342" s="55"/>
      <c r="P342" s="55"/>
      <c r="Q342" s="55"/>
      <c r="R342" s="55"/>
      <c r="S342" s="55"/>
      <c r="T342" s="55"/>
      <c r="U342" s="55"/>
    </row>
    <row r="343">
      <c r="A343" s="55"/>
      <c r="B343" s="55"/>
      <c r="C343" s="55"/>
      <c r="D343" s="55"/>
      <c r="E343" s="53"/>
      <c r="F343" s="55" t="str">
        <f>'Volunteer Survey'!B956</f>
        <v/>
      </c>
      <c r="G343" s="48" t="str">
        <f>'Volunteer Survey'!H957</f>
        <v/>
      </c>
      <c r="H343" s="55"/>
      <c r="I343" s="55"/>
      <c r="J343" s="55"/>
      <c r="K343" s="55"/>
      <c r="L343" s="55"/>
      <c r="M343" s="55"/>
      <c r="N343" s="55"/>
      <c r="O343" s="55"/>
      <c r="P343" s="55"/>
      <c r="Q343" s="55"/>
      <c r="R343" s="55"/>
      <c r="S343" s="55"/>
      <c r="T343" s="55"/>
      <c r="U343" s="55"/>
    </row>
    <row r="344">
      <c r="A344" s="55"/>
      <c r="B344" s="55"/>
      <c r="C344" s="55"/>
      <c r="D344" s="55"/>
      <c r="E344" s="53"/>
      <c r="F344" s="55" t="str">
        <f>'Volunteer Survey'!B957</f>
        <v/>
      </c>
      <c r="G344" s="48" t="str">
        <f>'Volunteer Survey'!H958</f>
        <v/>
      </c>
      <c r="H344" s="55"/>
      <c r="I344" s="55"/>
      <c r="J344" s="55"/>
      <c r="K344" s="55"/>
      <c r="L344" s="55"/>
      <c r="M344" s="55"/>
      <c r="N344" s="55"/>
      <c r="O344" s="55"/>
      <c r="P344" s="55"/>
      <c r="Q344" s="55"/>
      <c r="R344" s="55"/>
      <c r="S344" s="55"/>
      <c r="T344" s="55"/>
      <c r="U344" s="55"/>
    </row>
    <row r="345">
      <c r="A345" s="55"/>
      <c r="B345" s="55"/>
      <c r="C345" s="55"/>
      <c r="D345" s="55"/>
      <c r="E345" s="53"/>
      <c r="F345" s="55" t="str">
        <f>'Volunteer Survey'!B958</f>
        <v/>
      </c>
      <c r="G345" s="48" t="str">
        <f>'Volunteer Survey'!H959</f>
        <v/>
      </c>
      <c r="H345" s="55"/>
      <c r="I345" s="55"/>
      <c r="J345" s="55"/>
      <c r="K345" s="55"/>
      <c r="L345" s="55"/>
      <c r="M345" s="55"/>
      <c r="N345" s="55"/>
      <c r="O345" s="55"/>
      <c r="P345" s="55"/>
      <c r="Q345" s="55"/>
      <c r="R345" s="55"/>
      <c r="S345" s="55"/>
      <c r="T345" s="55"/>
      <c r="U345" s="55"/>
    </row>
    <row r="346">
      <c r="A346" s="55"/>
      <c r="B346" s="55"/>
      <c r="C346" s="55"/>
      <c r="D346" s="55"/>
      <c r="E346" s="53"/>
      <c r="F346" s="55" t="str">
        <f>'Volunteer Survey'!B959</f>
        <v/>
      </c>
      <c r="G346" s="48" t="str">
        <f>'Volunteer Survey'!H960</f>
        <v/>
      </c>
      <c r="H346" s="55"/>
      <c r="I346" s="55"/>
      <c r="J346" s="55"/>
      <c r="K346" s="55"/>
      <c r="L346" s="55"/>
      <c r="M346" s="55"/>
      <c r="N346" s="55"/>
      <c r="O346" s="55"/>
      <c r="P346" s="55"/>
      <c r="Q346" s="55"/>
      <c r="R346" s="55"/>
      <c r="S346" s="55"/>
      <c r="T346" s="55"/>
      <c r="U346" s="55"/>
    </row>
    <row r="347">
      <c r="A347" s="55"/>
      <c r="B347" s="55"/>
      <c r="C347" s="55"/>
      <c r="D347" s="55"/>
      <c r="E347" s="53"/>
      <c r="F347" s="55" t="str">
        <f>'Volunteer Survey'!B960</f>
        <v/>
      </c>
      <c r="G347" s="48" t="str">
        <f>'Volunteer Survey'!H961</f>
        <v/>
      </c>
      <c r="H347" s="55"/>
      <c r="I347" s="55"/>
      <c r="J347" s="55"/>
      <c r="K347" s="55"/>
      <c r="L347" s="55"/>
      <c r="M347" s="55"/>
      <c r="N347" s="55"/>
      <c r="O347" s="55"/>
      <c r="P347" s="55"/>
      <c r="Q347" s="55"/>
      <c r="R347" s="55"/>
      <c r="S347" s="55"/>
      <c r="T347" s="55"/>
      <c r="U347" s="55"/>
    </row>
    <row r="348">
      <c r="A348" s="55"/>
      <c r="B348" s="55"/>
      <c r="C348" s="55"/>
      <c r="D348" s="55"/>
      <c r="E348" s="53"/>
      <c r="F348" s="55" t="str">
        <f>'Volunteer Survey'!B961</f>
        <v/>
      </c>
      <c r="G348" s="48" t="str">
        <f>'Volunteer Survey'!H962</f>
        <v/>
      </c>
      <c r="H348" s="55"/>
      <c r="I348" s="55"/>
      <c r="J348" s="55"/>
      <c r="K348" s="55"/>
      <c r="L348" s="55"/>
      <c r="M348" s="55"/>
      <c r="N348" s="55"/>
      <c r="O348" s="55"/>
      <c r="P348" s="55"/>
      <c r="Q348" s="55"/>
      <c r="R348" s="55"/>
      <c r="S348" s="55"/>
      <c r="T348" s="55"/>
      <c r="U348" s="55"/>
    </row>
    <row r="349">
      <c r="A349" s="55"/>
      <c r="B349" s="55"/>
      <c r="C349" s="55"/>
      <c r="D349" s="55"/>
      <c r="E349" s="53"/>
      <c r="F349" s="55" t="str">
        <f>'Volunteer Survey'!B962</f>
        <v/>
      </c>
      <c r="G349" s="48" t="str">
        <f>'Volunteer Survey'!H963</f>
        <v/>
      </c>
      <c r="H349" s="55"/>
      <c r="I349" s="55"/>
      <c r="J349" s="55"/>
      <c r="K349" s="55"/>
      <c r="L349" s="55"/>
      <c r="M349" s="55"/>
      <c r="N349" s="55"/>
      <c r="O349" s="55"/>
      <c r="P349" s="55"/>
      <c r="Q349" s="55"/>
      <c r="R349" s="55"/>
      <c r="S349" s="55"/>
      <c r="T349" s="55"/>
      <c r="U349" s="55"/>
    </row>
    <row r="350">
      <c r="A350" s="55"/>
      <c r="B350" s="55"/>
      <c r="C350" s="55"/>
      <c r="D350" s="55"/>
      <c r="E350" s="53"/>
      <c r="F350" s="55" t="str">
        <f>'Volunteer Survey'!B963</f>
        <v/>
      </c>
      <c r="G350" s="48" t="str">
        <f>'Volunteer Survey'!H964</f>
        <v/>
      </c>
      <c r="H350" s="55"/>
      <c r="I350" s="55"/>
      <c r="J350" s="55"/>
      <c r="K350" s="55"/>
      <c r="L350" s="55"/>
      <c r="M350" s="55"/>
      <c r="N350" s="55"/>
      <c r="O350" s="55"/>
      <c r="P350" s="55"/>
      <c r="Q350" s="55"/>
      <c r="R350" s="55"/>
      <c r="S350" s="55"/>
      <c r="T350" s="55"/>
      <c r="U350" s="55"/>
    </row>
    <row r="351">
      <c r="A351" s="55"/>
      <c r="B351" s="55"/>
      <c r="C351" s="55"/>
      <c r="D351" s="55"/>
      <c r="E351" s="53"/>
      <c r="F351" s="55" t="str">
        <f>'Volunteer Survey'!B964</f>
        <v/>
      </c>
      <c r="G351" s="48" t="str">
        <f>'Volunteer Survey'!H965</f>
        <v/>
      </c>
      <c r="H351" s="55"/>
      <c r="I351" s="55"/>
      <c r="J351" s="55"/>
      <c r="K351" s="55"/>
      <c r="L351" s="55"/>
      <c r="M351" s="55"/>
      <c r="N351" s="55"/>
      <c r="O351" s="55"/>
      <c r="P351" s="55"/>
      <c r="Q351" s="55"/>
      <c r="R351" s="55"/>
      <c r="S351" s="55"/>
      <c r="T351" s="55"/>
      <c r="U351" s="55"/>
    </row>
    <row r="352">
      <c r="A352" s="55"/>
      <c r="B352" s="55"/>
      <c r="C352" s="55"/>
      <c r="D352" s="55"/>
      <c r="E352" s="53"/>
      <c r="F352" s="55" t="str">
        <f>'Volunteer Survey'!B965</f>
        <v/>
      </c>
      <c r="G352" s="48" t="str">
        <f>'Volunteer Survey'!H966</f>
        <v/>
      </c>
      <c r="H352" s="55"/>
      <c r="I352" s="55"/>
      <c r="J352" s="55"/>
      <c r="K352" s="55"/>
      <c r="L352" s="55"/>
      <c r="M352" s="55"/>
      <c r="N352" s="55"/>
      <c r="O352" s="55"/>
      <c r="P352" s="55"/>
      <c r="Q352" s="55"/>
      <c r="R352" s="55"/>
      <c r="S352" s="55"/>
      <c r="T352" s="55"/>
      <c r="U352" s="55"/>
    </row>
    <row r="353">
      <c r="A353" s="55"/>
      <c r="B353" s="55"/>
      <c r="C353" s="55"/>
      <c r="D353" s="55"/>
      <c r="E353" s="53"/>
      <c r="F353" s="55" t="str">
        <f>'Volunteer Survey'!B966</f>
        <v/>
      </c>
      <c r="G353" s="55" t="b">
        <v>0</v>
      </c>
      <c r="H353" s="55"/>
      <c r="I353" s="55"/>
      <c r="J353" s="55"/>
      <c r="K353" s="55"/>
      <c r="L353" s="55"/>
      <c r="M353" s="55"/>
      <c r="N353" s="55"/>
      <c r="O353" s="55"/>
      <c r="P353" s="55"/>
      <c r="Q353" s="55"/>
      <c r="R353" s="55"/>
      <c r="S353" s="55"/>
      <c r="T353" s="55"/>
      <c r="U353" s="55"/>
    </row>
    <row r="354">
      <c r="A354" s="55"/>
      <c r="B354" s="55"/>
      <c r="C354" s="55"/>
      <c r="D354" s="55"/>
      <c r="E354" s="53"/>
      <c r="F354" s="55" t="str">
        <f>'Volunteer Survey'!B967</f>
        <v/>
      </c>
      <c r="G354" s="55" t="b">
        <v>0</v>
      </c>
      <c r="H354" s="55"/>
      <c r="I354" s="55"/>
      <c r="J354" s="55"/>
      <c r="K354" s="55"/>
      <c r="L354" s="55"/>
      <c r="M354" s="55"/>
      <c r="N354" s="55"/>
      <c r="O354" s="55"/>
      <c r="P354" s="55"/>
      <c r="Q354" s="55"/>
      <c r="R354" s="55"/>
      <c r="S354" s="55"/>
      <c r="T354" s="55"/>
      <c r="U354" s="55"/>
    </row>
    <row r="355">
      <c r="A355" s="55"/>
      <c r="B355" s="55"/>
      <c r="C355" s="55"/>
      <c r="D355" s="55"/>
      <c r="E355" s="53"/>
      <c r="F355" s="55" t="str">
        <f>'Volunteer Survey'!B968</f>
        <v/>
      </c>
      <c r="G355" s="55" t="b">
        <v>0</v>
      </c>
      <c r="H355" s="55"/>
      <c r="I355" s="55"/>
      <c r="J355" s="55"/>
      <c r="K355" s="55"/>
      <c r="L355" s="55"/>
      <c r="M355" s="55"/>
      <c r="N355" s="55"/>
      <c r="O355" s="55"/>
      <c r="P355" s="55"/>
      <c r="Q355" s="55"/>
      <c r="R355" s="55"/>
      <c r="S355" s="55"/>
      <c r="T355" s="55"/>
      <c r="U355" s="55"/>
    </row>
    <row r="356">
      <c r="A356" s="55"/>
      <c r="B356" s="55"/>
      <c r="C356" s="55"/>
      <c r="D356" s="55"/>
      <c r="E356" s="53"/>
      <c r="F356" s="55" t="str">
        <f>'Volunteer Survey'!B969</f>
        <v/>
      </c>
      <c r="G356" s="55" t="b">
        <v>0</v>
      </c>
      <c r="H356" s="55"/>
      <c r="I356" s="55"/>
      <c r="J356" s="55"/>
      <c r="K356" s="55"/>
      <c r="L356" s="55"/>
      <c r="M356" s="55"/>
      <c r="N356" s="55"/>
      <c r="O356" s="55"/>
      <c r="P356" s="55"/>
      <c r="Q356" s="55"/>
      <c r="R356" s="55"/>
      <c r="S356" s="55"/>
      <c r="T356" s="55"/>
      <c r="U356" s="55"/>
    </row>
    <row r="357">
      <c r="A357" s="55"/>
      <c r="B357" s="55"/>
      <c r="C357" s="55"/>
      <c r="D357" s="55"/>
      <c r="E357" s="53"/>
      <c r="F357" s="55" t="str">
        <f>'Volunteer Survey'!B970</f>
        <v/>
      </c>
      <c r="G357" s="55" t="b">
        <v>0</v>
      </c>
      <c r="H357" s="55"/>
      <c r="I357" s="55"/>
      <c r="J357" s="55"/>
      <c r="K357" s="55"/>
      <c r="L357" s="55"/>
      <c r="M357" s="55"/>
      <c r="N357" s="55"/>
      <c r="O357" s="55"/>
      <c r="P357" s="55"/>
      <c r="Q357" s="55"/>
      <c r="R357" s="55"/>
      <c r="S357" s="55"/>
      <c r="T357" s="55"/>
      <c r="U357" s="55"/>
    </row>
    <row r="358">
      <c r="A358" s="55"/>
      <c r="B358" s="55"/>
      <c r="C358" s="55"/>
      <c r="D358" s="55"/>
      <c r="E358" s="53"/>
      <c r="F358" s="55" t="str">
        <f>'Volunteer Survey'!B971</f>
        <v/>
      </c>
      <c r="G358" s="55" t="b">
        <v>0</v>
      </c>
      <c r="H358" s="55"/>
      <c r="I358" s="55"/>
      <c r="J358" s="55"/>
      <c r="K358" s="55"/>
      <c r="L358" s="55"/>
      <c r="M358" s="55"/>
      <c r="N358" s="55"/>
      <c r="O358" s="55"/>
      <c r="P358" s="55"/>
      <c r="Q358" s="55"/>
      <c r="R358" s="55"/>
      <c r="S358" s="55"/>
      <c r="T358" s="55"/>
      <c r="U358" s="55"/>
    </row>
    <row r="359">
      <c r="A359" s="55"/>
      <c r="B359" s="55"/>
      <c r="C359" s="55"/>
      <c r="D359" s="55"/>
      <c r="E359" s="53"/>
      <c r="F359" s="55" t="str">
        <f>'Volunteer Survey'!B972</f>
        <v/>
      </c>
      <c r="G359" s="55" t="b">
        <v>0</v>
      </c>
      <c r="H359" s="55"/>
      <c r="I359" s="55"/>
      <c r="J359" s="55"/>
      <c r="K359" s="55"/>
      <c r="L359" s="55"/>
      <c r="M359" s="55"/>
      <c r="N359" s="55"/>
      <c r="O359" s="55"/>
      <c r="P359" s="55"/>
      <c r="Q359" s="55"/>
      <c r="R359" s="55"/>
      <c r="S359" s="55"/>
      <c r="T359" s="55"/>
      <c r="U359" s="55"/>
    </row>
    <row r="360">
      <c r="A360" s="55"/>
      <c r="B360" s="55"/>
      <c r="C360" s="55"/>
      <c r="D360" s="55"/>
      <c r="E360" s="53"/>
      <c r="F360" s="55" t="str">
        <f>'Volunteer Survey'!B973</f>
        <v/>
      </c>
      <c r="G360" s="55" t="b">
        <v>0</v>
      </c>
      <c r="H360" s="55"/>
      <c r="I360" s="55"/>
      <c r="J360" s="55"/>
      <c r="K360" s="55"/>
      <c r="L360" s="55"/>
      <c r="M360" s="55"/>
      <c r="N360" s="55"/>
      <c r="O360" s="55"/>
      <c r="P360" s="55"/>
      <c r="Q360" s="55"/>
      <c r="R360" s="55"/>
      <c r="S360" s="55"/>
      <c r="T360" s="55"/>
      <c r="U360" s="55"/>
    </row>
    <row r="361">
      <c r="A361" s="55"/>
      <c r="B361" s="55"/>
      <c r="C361" s="55"/>
      <c r="D361" s="55"/>
      <c r="E361" s="53"/>
      <c r="F361" s="55" t="str">
        <f>'Volunteer Survey'!B974</f>
        <v/>
      </c>
      <c r="G361" s="55" t="b">
        <v>0</v>
      </c>
      <c r="H361" s="55"/>
      <c r="I361" s="55"/>
      <c r="J361" s="55"/>
      <c r="K361" s="55"/>
      <c r="L361" s="55"/>
      <c r="M361" s="55"/>
      <c r="N361" s="55"/>
      <c r="O361" s="55"/>
      <c r="P361" s="55"/>
      <c r="Q361" s="55"/>
      <c r="R361" s="55"/>
      <c r="S361" s="55"/>
      <c r="T361" s="55"/>
      <c r="U361" s="55"/>
    </row>
    <row r="362">
      <c r="A362" s="55"/>
      <c r="B362" s="55"/>
      <c r="C362" s="55"/>
      <c r="D362" s="55"/>
      <c r="E362" s="53"/>
      <c r="F362" s="55" t="str">
        <f>'Volunteer Survey'!B975</f>
        <v/>
      </c>
      <c r="G362" s="55" t="b">
        <v>0</v>
      </c>
      <c r="H362" s="55"/>
      <c r="I362" s="55"/>
      <c r="J362" s="55"/>
      <c r="K362" s="55"/>
      <c r="L362" s="55"/>
      <c r="M362" s="55"/>
      <c r="N362" s="55"/>
      <c r="O362" s="55"/>
      <c r="P362" s="55"/>
      <c r="Q362" s="55"/>
      <c r="R362" s="55"/>
      <c r="S362" s="55"/>
      <c r="T362" s="55"/>
      <c r="U362" s="55"/>
    </row>
    <row r="363">
      <c r="A363" s="55"/>
      <c r="B363" s="55"/>
      <c r="C363" s="55"/>
      <c r="D363" s="55"/>
      <c r="E363" s="53"/>
      <c r="F363" s="55" t="str">
        <f>'Volunteer Survey'!B976</f>
        <v/>
      </c>
      <c r="G363" s="55" t="b">
        <v>0</v>
      </c>
      <c r="H363" s="55"/>
      <c r="I363" s="55"/>
      <c r="J363" s="55"/>
      <c r="K363" s="55"/>
      <c r="L363" s="55"/>
      <c r="M363" s="55"/>
      <c r="N363" s="55"/>
      <c r="O363" s="55"/>
      <c r="P363" s="55"/>
      <c r="Q363" s="55"/>
      <c r="R363" s="55"/>
      <c r="S363" s="55"/>
      <c r="T363" s="55"/>
      <c r="U363" s="55"/>
    </row>
    <row r="364">
      <c r="A364" s="55"/>
      <c r="B364" s="55"/>
      <c r="C364" s="55"/>
      <c r="D364" s="55"/>
      <c r="E364" s="53"/>
      <c r="F364" s="55" t="str">
        <f>'Volunteer Survey'!B977</f>
        <v/>
      </c>
      <c r="G364" s="55" t="b">
        <v>0</v>
      </c>
      <c r="H364" s="55"/>
      <c r="I364" s="55"/>
      <c r="J364" s="55"/>
      <c r="K364" s="55"/>
      <c r="L364" s="55"/>
      <c r="M364" s="55"/>
      <c r="N364" s="55"/>
      <c r="O364" s="55"/>
      <c r="P364" s="55"/>
      <c r="Q364" s="55"/>
      <c r="R364" s="55"/>
      <c r="S364" s="55"/>
      <c r="T364" s="55"/>
      <c r="U364" s="55"/>
    </row>
    <row r="365">
      <c r="A365" s="55"/>
      <c r="B365" s="55"/>
      <c r="C365" s="55"/>
      <c r="D365" s="55"/>
      <c r="E365" s="53"/>
      <c r="F365" s="55" t="str">
        <f>'Volunteer Survey'!B978</f>
        <v/>
      </c>
      <c r="G365" s="55" t="b">
        <v>0</v>
      </c>
      <c r="H365" s="55"/>
      <c r="I365" s="55"/>
      <c r="J365" s="55"/>
      <c r="K365" s="55"/>
      <c r="L365" s="55"/>
      <c r="M365" s="55"/>
      <c r="N365" s="55"/>
      <c r="O365" s="55"/>
      <c r="P365" s="55"/>
      <c r="Q365" s="55"/>
      <c r="R365" s="55"/>
      <c r="S365" s="55"/>
      <c r="T365" s="55"/>
      <c r="U365" s="55"/>
    </row>
    <row r="366">
      <c r="A366" s="55"/>
      <c r="B366" s="55"/>
      <c r="C366" s="55"/>
      <c r="D366" s="55"/>
      <c r="E366" s="53"/>
      <c r="F366" s="55" t="str">
        <f>'Volunteer Survey'!B979</f>
        <v/>
      </c>
      <c r="G366" s="55" t="b">
        <v>0</v>
      </c>
      <c r="H366" s="55"/>
      <c r="I366" s="55"/>
      <c r="J366" s="55"/>
      <c r="K366" s="55"/>
      <c r="L366" s="55"/>
      <c r="M366" s="55"/>
      <c r="N366" s="55"/>
      <c r="O366" s="55"/>
      <c r="P366" s="55"/>
      <c r="Q366" s="55"/>
      <c r="R366" s="55"/>
      <c r="S366" s="55"/>
      <c r="T366" s="55"/>
      <c r="U366" s="55"/>
    </row>
    <row r="367">
      <c r="A367" s="55"/>
      <c r="B367" s="55"/>
      <c r="C367" s="55"/>
      <c r="D367" s="55"/>
      <c r="E367" s="53"/>
      <c r="F367" s="55" t="str">
        <f>'Volunteer Survey'!B980</f>
        <v/>
      </c>
      <c r="G367" s="55" t="b">
        <v>0</v>
      </c>
      <c r="H367" s="55"/>
      <c r="I367" s="55"/>
      <c r="J367" s="55"/>
      <c r="K367" s="55"/>
      <c r="L367" s="55"/>
      <c r="M367" s="55"/>
      <c r="N367" s="55"/>
      <c r="O367" s="55"/>
      <c r="P367" s="55"/>
      <c r="Q367" s="55"/>
      <c r="R367" s="55"/>
      <c r="S367" s="55"/>
      <c r="T367" s="55"/>
      <c r="U367" s="55"/>
    </row>
    <row r="368">
      <c r="A368" s="55"/>
      <c r="B368" s="55"/>
      <c r="C368" s="55"/>
      <c r="D368" s="55"/>
      <c r="E368" s="53"/>
      <c r="F368" s="55" t="str">
        <f>'Volunteer Survey'!B981</f>
        <v/>
      </c>
      <c r="G368" s="55" t="b">
        <v>0</v>
      </c>
      <c r="H368" s="55"/>
      <c r="I368" s="55"/>
      <c r="J368" s="55"/>
      <c r="K368" s="55"/>
      <c r="L368" s="55"/>
      <c r="M368" s="55"/>
      <c r="N368" s="55"/>
      <c r="O368" s="55"/>
      <c r="P368" s="55"/>
      <c r="Q368" s="55"/>
      <c r="R368" s="55"/>
      <c r="S368" s="55"/>
      <c r="T368" s="55"/>
      <c r="U368" s="55"/>
    </row>
    <row r="369">
      <c r="A369" s="55"/>
      <c r="B369" s="55"/>
      <c r="C369" s="55"/>
      <c r="D369" s="55"/>
      <c r="E369" s="53"/>
      <c r="F369" s="55" t="str">
        <f>'Volunteer Survey'!B982</f>
        <v/>
      </c>
      <c r="G369" s="55" t="b">
        <v>0</v>
      </c>
      <c r="H369" s="55"/>
      <c r="I369" s="55"/>
      <c r="J369" s="55"/>
      <c r="K369" s="55"/>
      <c r="L369" s="55"/>
      <c r="M369" s="55"/>
      <c r="N369" s="55"/>
      <c r="O369" s="55"/>
      <c r="P369" s="55"/>
      <c r="Q369" s="55"/>
      <c r="R369" s="55"/>
      <c r="S369" s="55"/>
      <c r="T369" s="55"/>
      <c r="U369" s="55"/>
    </row>
    <row r="370">
      <c r="A370" s="55"/>
      <c r="B370" s="55"/>
      <c r="C370" s="55"/>
      <c r="D370" s="55"/>
      <c r="E370" s="53"/>
      <c r="F370" s="55" t="str">
        <f>'Volunteer Survey'!B983</f>
        <v/>
      </c>
      <c r="G370" s="55" t="b">
        <v>0</v>
      </c>
      <c r="H370" s="55"/>
      <c r="I370" s="55"/>
      <c r="J370" s="55"/>
      <c r="K370" s="55"/>
      <c r="L370" s="55"/>
      <c r="M370" s="55"/>
      <c r="N370" s="55"/>
      <c r="O370" s="55"/>
      <c r="P370" s="55"/>
      <c r="Q370" s="55"/>
      <c r="R370" s="55"/>
      <c r="S370" s="55"/>
      <c r="T370" s="55"/>
      <c r="U370" s="55"/>
    </row>
    <row r="371">
      <c r="A371" s="55"/>
      <c r="B371" s="55"/>
      <c r="C371" s="55"/>
      <c r="D371" s="55"/>
      <c r="E371" s="53"/>
      <c r="F371" s="55" t="str">
        <f>'Volunteer Survey'!B984</f>
        <v/>
      </c>
      <c r="G371" s="55" t="b">
        <v>0</v>
      </c>
      <c r="H371" s="55"/>
      <c r="I371" s="55"/>
      <c r="J371" s="55"/>
      <c r="K371" s="55"/>
      <c r="L371" s="55"/>
      <c r="M371" s="55"/>
      <c r="N371" s="55"/>
      <c r="O371" s="55"/>
      <c r="P371" s="55"/>
      <c r="Q371" s="55"/>
      <c r="R371" s="55"/>
      <c r="S371" s="55"/>
      <c r="T371" s="55"/>
      <c r="U371" s="55"/>
    </row>
    <row r="372">
      <c r="A372" s="55"/>
      <c r="B372" s="55"/>
      <c r="C372" s="55"/>
      <c r="D372" s="55"/>
      <c r="E372" s="53"/>
      <c r="F372" s="55" t="str">
        <f>'Volunteer Survey'!B985</f>
        <v/>
      </c>
      <c r="G372" s="55" t="b">
        <v>0</v>
      </c>
      <c r="H372" s="55"/>
      <c r="I372" s="55"/>
      <c r="J372" s="55"/>
      <c r="K372" s="55"/>
      <c r="L372" s="55"/>
      <c r="M372" s="55"/>
      <c r="N372" s="55"/>
      <c r="O372" s="55"/>
      <c r="P372" s="55"/>
      <c r="Q372" s="55"/>
      <c r="R372" s="55"/>
      <c r="S372" s="55"/>
      <c r="T372" s="55"/>
      <c r="U372" s="55"/>
    </row>
    <row r="373">
      <c r="A373" s="55"/>
      <c r="B373" s="55"/>
      <c r="C373" s="55"/>
      <c r="D373" s="55"/>
      <c r="E373" s="53"/>
      <c r="F373" s="55" t="str">
        <f>'Volunteer Survey'!B986</f>
        <v/>
      </c>
      <c r="G373" s="55" t="b">
        <v>0</v>
      </c>
      <c r="H373" s="55"/>
      <c r="I373" s="55"/>
      <c r="J373" s="55"/>
      <c r="K373" s="55"/>
      <c r="L373" s="55"/>
      <c r="M373" s="55"/>
      <c r="N373" s="55"/>
      <c r="O373" s="55"/>
      <c r="P373" s="55"/>
      <c r="Q373" s="55"/>
      <c r="R373" s="55"/>
      <c r="S373" s="55"/>
      <c r="T373" s="55"/>
      <c r="U373" s="55"/>
    </row>
    <row r="374">
      <c r="A374" s="55"/>
      <c r="B374" s="55"/>
      <c r="C374" s="55"/>
      <c r="D374" s="55"/>
      <c r="E374" s="53"/>
      <c r="F374" s="55" t="str">
        <f>'Volunteer Survey'!B987</f>
        <v/>
      </c>
      <c r="G374" s="55" t="b">
        <v>0</v>
      </c>
      <c r="H374" s="55"/>
      <c r="I374" s="55"/>
      <c r="J374" s="55"/>
      <c r="K374" s="55"/>
      <c r="L374" s="55"/>
      <c r="M374" s="55"/>
      <c r="N374" s="55"/>
      <c r="O374" s="55"/>
      <c r="P374" s="55"/>
      <c r="Q374" s="55"/>
      <c r="R374" s="55"/>
      <c r="S374" s="55"/>
      <c r="T374" s="55"/>
      <c r="U374" s="55"/>
    </row>
    <row r="375">
      <c r="A375" s="55"/>
      <c r="B375" s="55"/>
      <c r="C375" s="55"/>
      <c r="D375" s="55"/>
      <c r="E375" s="53"/>
      <c r="F375" s="55" t="str">
        <f>'Volunteer Survey'!B988</f>
        <v/>
      </c>
      <c r="G375" s="55" t="b">
        <v>0</v>
      </c>
      <c r="H375" s="55"/>
      <c r="I375" s="55"/>
      <c r="J375" s="55"/>
      <c r="K375" s="55"/>
      <c r="L375" s="55"/>
      <c r="M375" s="55"/>
      <c r="N375" s="55"/>
      <c r="O375" s="55"/>
      <c r="P375" s="55"/>
      <c r="Q375" s="55"/>
      <c r="R375" s="55"/>
      <c r="S375" s="55"/>
      <c r="T375" s="55"/>
      <c r="U375" s="55"/>
    </row>
    <row r="376">
      <c r="A376" s="55"/>
      <c r="B376" s="55"/>
      <c r="C376" s="55"/>
      <c r="D376" s="55"/>
      <c r="E376" s="53"/>
      <c r="F376" s="55" t="str">
        <f>'Volunteer Survey'!B989</f>
        <v/>
      </c>
      <c r="G376" s="55" t="b">
        <v>0</v>
      </c>
      <c r="H376" s="55"/>
      <c r="I376" s="55"/>
      <c r="J376" s="55"/>
      <c r="K376" s="55"/>
      <c r="L376" s="55"/>
      <c r="M376" s="55"/>
      <c r="N376" s="55"/>
      <c r="O376" s="55"/>
      <c r="P376" s="55"/>
      <c r="Q376" s="55"/>
      <c r="R376" s="55"/>
      <c r="S376" s="55"/>
      <c r="T376" s="55"/>
      <c r="U376" s="55"/>
    </row>
    <row r="377">
      <c r="A377" s="55"/>
      <c r="B377" s="55"/>
      <c r="C377" s="55"/>
      <c r="D377" s="55"/>
      <c r="E377" s="53"/>
      <c r="F377" s="55" t="str">
        <f>'Volunteer Survey'!B990</f>
        <v/>
      </c>
      <c r="G377" s="55" t="b">
        <v>0</v>
      </c>
      <c r="H377" s="55"/>
      <c r="I377" s="55"/>
      <c r="J377" s="55"/>
      <c r="K377" s="55"/>
      <c r="L377" s="55"/>
      <c r="M377" s="55"/>
      <c r="N377" s="55"/>
      <c r="O377" s="55"/>
      <c r="P377" s="55"/>
      <c r="Q377" s="55"/>
      <c r="R377" s="55"/>
      <c r="S377" s="55"/>
      <c r="T377" s="55"/>
      <c r="U377" s="55"/>
    </row>
    <row r="378">
      <c r="A378" s="55"/>
      <c r="B378" s="55"/>
      <c r="C378" s="55"/>
      <c r="D378" s="55"/>
      <c r="E378" s="53"/>
      <c r="F378" s="55" t="str">
        <f>'Volunteer Survey'!B991</f>
        <v/>
      </c>
      <c r="G378" s="55" t="b">
        <v>0</v>
      </c>
      <c r="H378" s="55"/>
      <c r="I378" s="55"/>
      <c r="J378" s="55"/>
      <c r="K378" s="55"/>
      <c r="L378" s="55"/>
      <c r="M378" s="55"/>
      <c r="N378" s="55"/>
      <c r="O378" s="55"/>
      <c r="P378" s="55"/>
      <c r="Q378" s="55"/>
      <c r="R378" s="55"/>
      <c r="S378" s="55"/>
      <c r="T378" s="55"/>
      <c r="U378" s="55"/>
    </row>
    <row r="379">
      <c r="A379" s="55"/>
      <c r="B379" s="55"/>
      <c r="C379" s="55"/>
      <c r="D379" s="55"/>
      <c r="E379" s="53"/>
      <c r="F379" s="55" t="str">
        <f>'Volunteer Survey'!B992</f>
        <v/>
      </c>
      <c r="G379" s="55" t="b">
        <v>0</v>
      </c>
      <c r="H379" s="55"/>
      <c r="I379" s="55"/>
      <c r="J379" s="55"/>
      <c r="K379" s="55"/>
      <c r="L379" s="55"/>
      <c r="M379" s="55"/>
      <c r="N379" s="55"/>
      <c r="O379" s="55"/>
      <c r="P379" s="55"/>
      <c r="Q379" s="55"/>
      <c r="R379" s="55"/>
      <c r="S379" s="55"/>
      <c r="T379" s="55"/>
      <c r="U379" s="55"/>
    </row>
    <row r="380">
      <c r="A380" s="55"/>
      <c r="B380" s="55"/>
      <c r="C380" s="55"/>
      <c r="D380" s="55"/>
      <c r="E380" s="53"/>
      <c r="F380" s="55" t="str">
        <f>'Volunteer Survey'!B993</f>
        <v/>
      </c>
      <c r="G380" s="55" t="b">
        <v>0</v>
      </c>
      <c r="H380" s="55"/>
      <c r="I380" s="55"/>
      <c r="J380" s="55"/>
      <c r="K380" s="55"/>
      <c r="L380" s="55"/>
      <c r="M380" s="55"/>
      <c r="N380" s="55"/>
      <c r="O380" s="55"/>
      <c r="P380" s="55"/>
      <c r="Q380" s="55"/>
      <c r="R380" s="55"/>
      <c r="S380" s="55"/>
      <c r="T380" s="55"/>
      <c r="U380" s="55"/>
    </row>
    <row r="381">
      <c r="A381" s="55"/>
      <c r="B381" s="55"/>
      <c r="C381" s="55"/>
      <c r="D381" s="55"/>
      <c r="E381" s="53"/>
      <c r="F381" s="55" t="str">
        <f>'Volunteer Survey'!B994</f>
        <v/>
      </c>
      <c r="G381" s="55" t="b">
        <v>0</v>
      </c>
      <c r="H381" s="55"/>
      <c r="I381" s="55"/>
      <c r="J381" s="55"/>
      <c r="K381" s="55"/>
      <c r="L381" s="55"/>
      <c r="M381" s="55"/>
      <c r="N381" s="55"/>
      <c r="O381" s="55"/>
      <c r="P381" s="55"/>
      <c r="Q381" s="55"/>
      <c r="R381" s="55"/>
      <c r="S381" s="55"/>
      <c r="T381" s="55"/>
      <c r="U381" s="55"/>
    </row>
    <row r="382">
      <c r="A382" s="55"/>
      <c r="B382" s="55"/>
      <c r="C382" s="55"/>
      <c r="D382" s="55"/>
      <c r="E382" s="53"/>
      <c r="F382" s="55" t="str">
        <f>'Volunteer Survey'!B995</f>
        <v/>
      </c>
      <c r="G382" s="55" t="b">
        <v>0</v>
      </c>
      <c r="H382" s="55"/>
      <c r="I382" s="55"/>
      <c r="J382" s="55"/>
      <c r="K382" s="55"/>
      <c r="L382" s="55"/>
      <c r="M382" s="55"/>
      <c r="N382" s="55"/>
      <c r="O382" s="55"/>
      <c r="P382" s="55"/>
      <c r="Q382" s="55"/>
      <c r="R382" s="55"/>
      <c r="S382" s="55"/>
      <c r="T382" s="55"/>
      <c r="U382" s="55"/>
    </row>
    <row r="383">
      <c r="A383" s="55"/>
      <c r="B383" s="55"/>
      <c r="C383" s="55"/>
      <c r="D383" s="55"/>
      <c r="E383" s="53"/>
      <c r="F383" s="55" t="str">
        <f>'Volunteer Survey'!B996</f>
        <v/>
      </c>
      <c r="G383" s="55" t="b">
        <v>0</v>
      </c>
      <c r="H383" s="55"/>
      <c r="I383" s="55"/>
      <c r="J383" s="55"/>
      <c r="K383" s="55"/>
      <c r="L383" s="55"/>
      <c r="M383" s="55"/>
      <c r="N383" s="55"/>
      <c r="O383" s="55"/>
      <c r="P383" s="55"/>
      <c r="Q383" s="55"/>
      <c r="R383" s="55"/>
      <c r="S383" s="55"/>
      <c r="T383" s="55"/>
      <c r="U383" s="55"/>
    </row>
    <row r="384">
      <c r="A384" s="55"/>
      <c r="B384" s="55"/>
      <c r="C384" s="55"/>
      <c r="D384" s="55"/>
      <c r="E384" s="53"/>
      <c r="F384" s="55" t="str">
        <f>'Volunteer Survey'!B997</f>
        <v/>
      </c>
      <c r="G384" s="55" t="b">
        <v>0</v>
      </c>
      <c r="H384" s="55"/>
      <c r="I384" s="55"/>
      <c r="J384" s="55"/>
      <c r="K384" s="55"/>
      <c r="L384" s="55"/>
      <c r="M384" s="55"/>
      <c r="N384" s="55"/>
      <c r="O384" s="55"/>
      <c r="P384" s="55"/>
      <c r="Q384" s="55"/>
      <c r="R384" s="55"/>
      <c r="S384" s="55"/>
      <c r="T384" s="55"/>
      <c r="U384" s="55"/>
    </row>
    <row r="385">
      <c r="A385" s="55"/>
      <c r="B385" s="55"/>
      <c r="C385" s="55"/>
      <c r="D385" s="55"/>
      <c r="E385" s="53"/>
      <c r="F385" s="55" t="str">
        <f>'Volunteer Survey'!B998</f>
        <v/>
      </c>
      <c r="G385" s="55" t="b">
        <v>0</v>
      </c>
      <c r="H385" s="55"/>
      <c r="I385" s="55"/>
      <c r="J385" s="55"/>
      <c r="K385" s="55"/>
      <c r="L385" s="55"/>
      <c r="M385" s="55"/>
      <c r="N385" s="55"/>
      <c r="O385" s="55"/>
      <c r="P385" s="55"/>
      <c r="Q385" s="55"/>
      <c r="R385" s="55"/>
      <c r="S385" s="55"/>
      <c r="T385" s="55"/>
      <c r="U385" s="55"/>
    </row>
    <row r="386">
      <c r="A386" s="55"/>
      <c r="B386" s="55"/>
      <c r="C386" s="55"/>
      <c r="D386" s="55"/>
      <c r="E386" s="53"/>
      <c r="F386" s="55" t="str">
        <f>'Volunteer Survey'!B999</f>
        <v/>
      </c>
      <c r="G386" s="55" t="b">
        <v>0</v>
      </c>
      <c r="H386" s="55"/>
      <c r="I386" s="55"/>
      <c r="J386" s="55"/>
      <c r="K386" s="55"/>
      <c r="L386" s="55"/>
      <c r="M386" s="55"/>
      <c r="N386" s="55"/>
      <c r="O386" s="55"/>
      <c r="P386" s="55"/>
      <c r="Q386" s="55"/>
      <c r="R386" s="55"/>
      <c r="S386" s="55"/>
      <c r="T386" s="55"/>
      <c r="U386" s="55"/>
    </row>
    <row r="387">
      <c r="A387" s="55"/>
      <c r="B387" s="55"/>
      <c r="C387" s="55"/>
      <c r="D387" s="55"/>
      <c r="E387" s="53"/>
      <c r="F387" s="55" t="str">
        <f>'Volunteer Survey'!B1000</f>
        <v/>
      </c>
      <c r="G387" s="55" t="b">
        <v>0</v>
      </c>
      <c r="H387" s="55"/>
      <c r="I387" s="55"/>
      <c r="J387" s="55"/>
      <c r="K387" s="55"/>
      <c r="L387" s="55"/>
      <c r="M387" s="55"/>
      <c r="N387" s="55"/>
      <c r="O387" s="55"/>
      <c r="P387" s="55"/>
      <c r="Q387" s="55"/>
      <c r="R387" s="55"/>
      <c r="S387" s="55"/>
      <c r="T387" s="55"/>
      <c r="U387" s="55"/>
    </row>
    <row r="388">
      <c r="A388" s="55"/>
      <c r="B388" s="55"/>
      <c r="C388" s="55"/>
      <c r="D388" s="55"/>
      <c r="E388" s="53"/>
      <c r="F388" s="55" t="str">
        <f>'Volunteer Survey'!B1001</f>
        <v/>
      </c>
      <c r="G388" s="55" t="b">
        <v>0</v>
      </c>
      <c r="H388" s="55"/>
      <c r="I388" s="55"/>
      <c r="J388" s="55"/>
      <c r="K388" s="55"/>
      <c r="L388" s="55"/>
      <c r="M388" s="55"/>
      <c r="N388" s="55"/>
      <c r="O388" s="55"/>
      <c r="P388" s="55"/>
      <c r="Q388" s="55"/>
      <c r="R388" s="55"/>
      <c r="S388" s="55"/>
      <c r="T388" s="55"/>
      <c r="U388" s="55"/>
    </row>
    <row r="389">
      <c r="A389" s="55"/>
      <c r="B389" s="55"/>
      <c r="C389" s="55"/>
      <c r="D389" s="55"/>
      <c r="E389" s="53"/>
      <c r="F389" s="55" t="str">
        <f>'Volunteer Survey'!B1002</f>
        <v/>
      </c>
      <c r="G389" s="55" t="b">
        <v>0</v>
      </c>
      <c r="H389" s="55"/>
      <c r="I389" s="55"/>
      <c r="J389" s="55"/>
      <c r="K389" s="55"/>
      <c r="L389" s="55"/>
      <c r="M389" s="55"/>
      <c r="N389" s="55"/>
      <c r="O389" s="55"/>
      <c r="P389" s="55"/>
      <c r="Q389" s="55"/>
      <c r="R389" s="55"/>
      <c r="S389" s="55"/>
      <c r="T389" s="55"/>
      <c r="U389" s="55"/>
    </row>
    <row r="390">
      <c r="A390" s="55"/>
      <c r="B390" s="55"/>
      <c r="C390" s="55"/>
      <c r="D390" s="55"/>
      <c r="E390" s="53"/>
      <c r="F390" s="55"/>
      <c r="G390" s="55" t="b">
        <v>0</v>
      </c>
      <c r="H390" s="55"/>
      <c r="I390" s="55"/>
      <c r="J390" s="55"/>
      <c r="K390" s="55"/>
      <c r="L390" s="55"/>
      <c r="M390" s="55"/>
      <c r="N390" s="55"/>
      <c r="O390" s="55"/>
      <c r="P390" s="55"/>
      <c r="Q390" s="55"/>
      <c r="R390" s="55"/>
      <c r="S390" s="55"/>
      <c r="T390" s="55"/>
      <c r="U390" s="55"/>
    </row>
    <row r="391">
      <c r="A391" s="55"/>
      <c r="B391" s="55"/>
      <c r="C391" s="55"/>
      <c r="D391" s="55"/>
      <c r="E391" s="53"/>
      <c r="F391" s="55"/>
      <c r="G391" s="55" t="b">
        <v>0</v>
      </c>
      <c r="H391" s="55"/>
      <c r="I391" s="55"/>
      <c r="J391" s="55"/>
      <c r="K391" s="55"/>
      <c r="L391" s="55"/>
      <c r="M391" s="55"/>
      <c r="N391" s="55"/>
      <c r="O391" s="55"/>
      <c r="P391" s="55"/>
      <c r="Q391" s="55"/>
      <c r="R391" s="55"/>
      <c r="S391" s="55"/>
      <c r="T391" s="55"/>
      <c r="U391" s="55"/>
    </row>
    <row r="392">
      <c r="A392" s="55"/>
      <c r="B392" s="55"/>
      <c r="C392" s="55"/>
      <c r="D392" s="55"/>
      <c r="E392" s="53"/>
      <c r="F392" s="55"/>
      <c r="G392" s="55" t="b">
        <v>0</v>
      </c>
      <c r="H392" s="55"/>
      <c r="I392" s="55"/>
      <c r="J392" s="55"/>
      <c r="K392" s="55"/>
      <c r="L392" s="55"/>
      <c r="M392" s="55"/>
      <c r="N392" s="55"/>
      <c r="O392" s="55"/>
      <c r="P392" s="55"/>
      <c r="Q392" s="55"/>
      <c r="R392" s="55"/>
      <c r="S392" s="55"/>
      <c r="T392" s="55"/>
      <c r="U392" s="55"/>
    </row>
    <row r="393">
      <c r="A393" s="55"/>
      <c r="B393" s="55"/>
      <c r="C393" s="55"/>
      <c r="D393" s="55"/>
      <c r="E393" s="53"/>
      <c r="F393" s="55"/>
      <c r="G393" s="55" t="b">
        <v>0</v>
      </c>
      <c r="H393" s="55"/>
      <c r="I393" s="55"/>
      <c r="J393" s="55"/>
      <c r="K393" s="55"/>
      <c r="L393" s="55"/>
      <c r="M393" s="55"/>
      <c r="N393" s="55"/>
      <c r="O393" s="55"/>
      <c r="P393" s="55"/>
      <c r="Q393" s="55"/>
      <c r="R393" s="55"/>
      <c r="S393" s="55"/>
      <c r="T393" s="55"/>
      <c r="U393" s="55"/>
    </row>
    <row r="394">
      <c r="A394" s="55"/>
      <c r="B394" s="55"/>
      <c r="C394" s="55"/>
      <c r="D394" s="55"/>
      <c r="E394" s="53"/>
      <c r="F394" s="55"/>
      <c r="G394" s="55" t="b">
        <v>0</v>
      </c>
      <c r="H394" s="55"/>
      <c r="I394" s="55"/>
      <c r="J394" s="55"/>
      <c r="K394" s="55"/>
      <c r="L394" s="55"/>
      <c r="M394" s="55"/>
      <c r="N394" s="55"/>
      <c r="O394" s="55"/>
      <c r="P394" s="55"/>
      <c r="Q394" s="55"/>
      <c r="R394" s="55"/>
      <c r="S394" s="55"/>
      <c r="T394" s="55"/>
      <c r="U394" s="55"/>
    </row>
    <row r="395">
      <c r="A395" s="55"/>
      <c r="B395" s="55"/>
      <c r="C395" s="55"/>
      <c r="D395" s="55"/>
      <c r="E395" s="53"/>
      <c r="F395" s="55"/>
      <c r="G395" s="55" t="b">
        <v>0</v>
      </c>
      <c r="H395" s="55"/>
      <c r="I395" s="55"/>
      <c r="J395" s="55"/>
      <c r="K395" s="55"/>
      <c r="L395" s="55"/>
      <c r="M395" s="55"/>
      <c r="N395" s="55"/>
      <c r="O395" s="55"/>
      <c r="P395" s="55"/>
      <c r="Q395" s="55"/>
      <c r="R395" s="55"/>
      <c r="S395" s="55"/>
      <c r="T395" s="55"/>
      <c r="U395" s="55"/>
    </row>
    <row r="396">
      <c r="A396" s="55"/>
      <c r="B396" s="55"/>
      <c r="C396" s="55"/>
      <c r="D396" s="55"/>
      <c r="E396" s="53"/>
      <c r="F396" s="55"/>
      <c r="G396" s="55" t="b">
        <v>0</v>
      </c>
      <c r="H396" s="55"/>
      <c r="I396" s="55"/>
      <c r="J396" s="55"/>
      <c r="K396" s="55"/>
      <c r="L396" s="55"/>
      <c r="M396" s="55"/>
      <c r="N396" s="55"/>
      <c r="O396" s="55"/>
      <c r="P396" s="55"/>
      <c r="Q396" s="55"/>
      <c r="R396" s="55"/>
      <c r="S396" s="55"/>
      <c r="T396" s="55"/>
      <c r="U396" s="55"/>
    </row>
    <row r="397">
      <c r="A397" s="55"/>
      <c r="B397" s="55"/>
      <c r="C397" s="55"/>
      <c r="D397" s="55"/>
      <c r="E397" s="53"/>
      <c r="F397" s="55"/>
      <c r="G397" s="55" t="b">
        <v>0</v>
      </c>
      <c r="H397" s="55"/>
      <c r="I397" s="55"/>
      <c r="J397" s="55"/>
      <c r="K397" s="55"/>
      <c r="L397" s="55"/>
      <c r="M397" s="55"/>
      <c r="N397" s="55"/>
      <c r="O397" s="55"/>
      <c r="P397" s="55"/>
      <c r="Q397" s="55"/>
      <c r="R397" s="55"/>
      <c r="S397" s="55"/>
      <c r="T397" s="55"/>
      <c r="U397" s="55"/>
    </row>
    <row r="398">
      <c r="A398" s="55"/>
      <c r="B398" s="55"/>
      <c r="C398" s="55"/>
      <c r="D398" s="55"/>
      <c r="E398" s="53"/>
      <c r="F398" s="55"/>
      <c r="G398" s="55" t="b">
        <v>0</v>
      </c>
      <c r="H398" s="55"/>
      <c r="I398" s="55"/>
      <c r="J398" s="55"/>
      <c r="K398" s="55"/>
      <c r="L398" s="55"/>
      <c r="M398" s="55"/>
      <c r="N398" s="55"/>
      <c r="O398" s="55"/>
      <c r="P398" s="55"/>
      <c r="Q398" s="55"/>
      <c r="R398" s="55"/>
      <c r="S398" s="55"/>
      <c r="T398" s="55"/>
      <c r="U398" s="55"/>
    </row>
    <row r="399">
      <c r="A399" s="55"/>
      <c r="B399" s="55"/>
      <c r="C399" s="55"/>
      <c r="D399" s="55"/>
      <c r="E399" s="53"/>
      <c r="F399" s="55"/>
      <c r="G399" s="55" t="b">
        <v>0</v>
      </c>
      <c r="H399" s="55"/>
      <c r="I399" s="55"/>
      <c r="J399" s="55"/>
      <c r="K399" s="55"/>
      <c r="L399" s="55"/>
      <c r="M399" s="55"/>
      <c r="N399" s="55"/>
      <c r="O399" s="55"/>
      <c r="P399" s="55"/>
      <c r="Q399" s="55"/>
      <c r="R399" s="55"/>
      <c r="S399" s="55"/>
      <c r="T399" s="55"/>
      <c r="U399" s="55"/>
    </row>
    <row r="400">
      <c r="A400" s="55"/>
      <c r="B400" s="55"/>
      <c r="C400" s="55"/>
      <c r="D400" s="55"/>
      <c r="E400" s="53"/>
      <c r="F400" s="55"/>
      <c r="G400" s="55" t="b">
        <v>0</v>
      </c>
      <c r="H400" s="55"/>
      <c r="I400" s="55"/>
      <c r="J400" s="55"/>
      <c r="K400" s="55"/>
      <c r="L400" s="55"/>
      <c r="M400" s="55"/>
      <c r="N400" s="55"/>
      <c r="O400" s="55"/>
      <c r="P400" s="55"/>
      <c r="Q400" s="55"/>
      <c r="R400" s="55"/>
      <c r="S400" s="55"/>
      <c r="T400" s="55"/>
      <c r="U400" s="55"/>
    </row>
    <row r="401">
      <c r="A401" s="55"/>
      <c r="B401" s="55"/>
      <c r="C401" s="55"/>
      <c r="D401" s="55"/>
      <c r="E401" s="53"/>
      <c r="F401" s="55"/>
      <c r="G401" s="55" t="b">
        <v>0</v>
      </c>
      <c r="H401" s="55"/>
      <c r="I401" s="55"/>
      <c r="J401" s="55"/>
      <c r="K401" s="55"/>
      <c r="L401" s="55"/>
      <c r="M401" s="55"/>
      <c r="N401" s="55"/>
      <c r="O401" s="55"/>
      <c r="P401" s="55"/>
      <c r="Q401" s="55"/>
      <c r="R401" s="55"/>
      <c r="S401" s="55"/>
      <c r="T401" s="55"/>
      <c r="U401" s="55"/>
    </row>
    <row r="402">
      <c r="A402" s="55"/>
      <c r="B402" s="55"/>
      <c r="C402" s="55"/>
      <c r="D402" s="55"/>
      <c r="E402" s="53"/>
      <c r="F402" s="55"/>
      <c r="G402" s="55" t="b">
        <v>0</v>
      </c>
      <c r="H402" s="55"/>
      <c r="I402" s="55"/>
      <c r="J402" s="55"/>
      <c r="K402" s="55"/>
      <c r="L402" s="55"/>
      <c r="M402" s="55"/>
      <c r="N402" s="55"/>
      <c r="O402" s="55"/>
      <c r="P402" s="55"/>
      <c r="Q402" s="55"/>
      <c r="R402" s="55"/>
      <c r="S402" s="55"/>
      <c r="T402" s="55"/>
      <c r="U402" s="55"/>
    </row>
    <row r="403">
      <c r="A403" s="55"/>
      <c r="B403" s="55"/>
      <c r="C403" s="55"/>
      <c r="D403" s="55"/>
      <c r="E403" s="53"/>
      <c r="F403" s="55"/>
      <c r="G403" s="55" t="b">
        <v>0</v>
      </c>
      <c r="H403" s="55"/>
      <c r="I403" s="55"/>
      <c r="J403" s="55"/>
      <c r="K403" s="55"/>
      <c r="L403" s="55"/>
      <c r="M403" s="55"/>
      <c r="N403" s="55"/>
      <c r="O403" s="55"/>
      <c r="P403" s="55"/>
      <c r="Q403" s="55"/>
      <c r="R403" s="55"/>
      <c r="S403" s="55"/>
      <c r="T403" s="55"/>
      <c r="U403" s="55"/>
    </row>
    <row r="404">
      <c r="A404" s="55"/>
      <c r="B404" s="55"/>
      <c r="C404" s="55"/>
      <c r="D404" s="55"/>
      <c r="E404" s="53"/>
      <c r="F404" s="55"/>
      <c r="G404" s="55" t="b">
        <v>0</v>
      </c>
      <c r="H404" s="55"/>
      <c r="I404" s="55"/>
      <c r="J404" s="55"/>
      <c r="K404" s="55"/>
      <c r="L404" s="55"/>
      <c r="M404" s="55"/>
      <c r="N404" s="55"/>
      <c r="O404" s="55"/>
      <c r="P404" s="55"/>
      <c r="Q404" s="55"/>
      <c r="R404" s="55"/>
      <c r="S404" s="55"/>
      <c r="T404" s="55"/>
      <c r="U404" s="55"/>
    </row>
    <row r="405">
      <c r="A405" s="55"/>
      <c r="B405" s="55"/>
      <c r="C405" s="55"/>
      <c r="D405" s="55"/>
      <c r="E405" s="53"/>
      <c r="F405" s="55"/>
      <c r="G405" s="55" t="b">
        <v>0</v>
      </c>
      <c r="H405" s="55"/>
      <c r="I405" s="55"/>
      <c r="J405" s="55"/>
      <c r="K405" s="55"/>
      <c r="L405" s="55"/>
      <c r="M405" s="55"/>
      <c r="N405" s="55"/>
      <c r="O405" s="55"/>
      <c r="P405" s="55"/>
      <c r="Q405" s="55"/>
      <c r="R405" s="55"/>
      <c r="S405" s="55"/>
      <c r="T405" s="55"/>
      <c r="U405" s="55"/>
    </row>
    <row r="406">
      <c r="A406" s="55"/>
      <c r="B406" s="55"/>
      <c r="C406" s="55"/>
      <c r="D406" s="55"/>
      <c r="E406" s="53"/>
      <c r="F406" s="55"/>
      <c r="G406" s="55" t="b">
        <v>0</v>
      </c>
      <c r="H406" s="55"/>
      <c r="I406" s="55"/>
      <c r="J406" s="55"/>
      <c r="K406" s="55"/>
      <c r="L406" s="55"/>
      <c r="M406" s="55"/>
      <c r="N406" s="55"/>
      <c r="O406" s="55"/>
      <c r="P406" s="55"/>
      <c r="Q406" s="55"/>
      <c r="R406" s="55"/>
      <c r="S406" s="55"/>
      <c r="T406" s="55"/>
      <c r="U406" s="55"/>
    </row>
    <row r="407">
      <c r="A407" s="55"/>
      <c r="B407" s="55"/>
      <c r="C407" s="55"/>
      <c r="D407" s="55"/>
      <c r="E407" s="53"/>
      <c r="F407" s="55"/>
      <c r="G407" s="55" t="b">
        <v>0</v>
      </c>
      <c r="H407" s="55"/>
      <c r="I407" s="55"/>
      <c r="J407" s="55"/>
      <c r="K407" s="55"/>
      <c r="L407" s="55"/>
      <c r="M407" s="55"/>
      <c r="N407" s="55"/>
      <c r="O407" s="55"/>
      <c r="P407" s="55"/>
      <c r="Q407" s="55"/>
      <c r="R407" s="55"/>
      <c r="S407" s="55"/>
      <c r="T407" s="55"/>
      <c r="U407" s="55"/>
    </row>
    <row r="408">
      <c r="A408" s="55"/>
      <c r="B408" s="55"/>
      <c r="C408" s="55"/>
      <c r="D408" s="55"/>
      <c r="E408" s="53"/>
      <c r="F408" s="55"/>
      <c r="G408" s="55" t="b">
        <v>0</v>
      </c>
      <c r="H408" s="55"/>
      <c r="I408" s="55"/>
      <c r="J408" s="55"/>
      <c r="K408" s="55"/>
      <c r="L408" s="55"/>
      <c r="M408" s="55"/>
      <c r="N408" s="55"/>
      <c r="O408" s="55"/>
      <c r="P408" s="55"/>
      <c r="Q408" s="55"/>
      <c r="R408" s="55"/>
      <c r="S408" s="55"/>
      <c r="T408" s="55"/>
      <c r="U408" s="55"/>
    </row>
    <row r="409">
      <c r="A409" s="55"/>
      <c r="B409" s="55"/>
      <c r="C409" s="55"/>
      <c r="D409" s="55"/>
      <c r="E409" s="53"/>
      <c r="F409" s="55"/>
      <c r="G409" s="55" t="b">
        <v>0</v>
      </c>
      <c r="H409" s="55"/>
      <c r="I409" s="55"/>
      <c r="J409" s="55"/>
      <c r="K409" s="55"/>
      <c r="L409" s="55"/>
      <c r="M409" s="55"/>
      <c r="N409" s="55"/>
      <c r="O409" s="55"/>
      <c r="P409" s="55"/>
      <c r="Q409" s="55"/>
      <c r="R409" s="55"/>
      <c r="S409" s="55"/>
      <c r="T409" s="55"/>
      <c r="U409" s="55"/>
    </row>
    <row r="410">
      <c r="A410" s="55"/>
      <c r="B410" s="55"/>
      <c r="C410" s="55"/>
      <c r="D410" s="55"/>
      <c r="E410" s="53"/>
      <c r="F410" s="55"/>
      <c r="G410" s="55" t="b">
        <v>0</v>
      </c>
      <c r="H410" s="55"/>
      <c r="I410" s="55"/>
      <c r="J410" s="55"/>
      <c r="K410" s="55"/>
      <c r="L410" s="55"/>
      <c r="M410" s="55"/>
      <c r="N410" s="55"/>
      <c r="O410" s="55"/>
      <c r="P410" s="55"/>
      <c r="Q410" s="55"/>
      <c r="R410" s="55"/>
      <c r="S410" s="55"/>
      <c r="T410" s="55"/>
      <c r="U410" s="55"/>
    </row>
    <row r="411">
      <c r="A411" s="55"/>
      <c r="B411" s="55"/>
      <c r="C411" s="55"/>
      <c r="D411" s="55"/>
      <c r="E411" s="53"/>
      <c r="F411" s="55"/>
      <c r="G411" s="55" t="b">
        <v>0</v>
      </c>
      <c r="H411" s="55"/>
      <c r="I411" s="55"/>
      <c r="J411" s="55"/>
      <c r="K411" s="55"/>
      <c r="L411" s="55"/>
      <c r="M411" s="55"/>
      <c r="N411" s="55"/>
      <c r="O411" s="55"/>
      <c r="P411" s="55"/>
      <c r="Q411" s="55"/>
      <c r="R411" s="55"/>
      <c r="S411" s="55"/>
      <c r="T411" s="55"/>
      <c r="U411" s="55"/>
    </row>
    <row r="412">
      <c r="A412" s="55"/>
      <c r="B412" s="55"/>
      <c r="C412" s="55"/>
      <c r="D412" s="55"/>
      <c r="E412" s="53"/>
      <c r="F412" s="55"/>
      <c r="G412" s="55" t="b">
        <v>0</v>
      </c>
      <c r="H412" s="55"/>
      <c r="I412" s="55"/>
      <c r="J412" s="55"/>
      <c r="K412" s="55"/>
      <c r="L412" s="55"/>
      <c r="M412" s="55"/>
      <c r="N412" s="55"/>
      <c r="O412" s="55"/>
      <c r="P412" s="55"/>
      <c r="Q412" s="55"/>
      <c r="R412" s="55"/>
      <c r="S412" s="55"/>
      <c r="T412" s="55"/>
      <c r="U412" s="55"/>
    </row>
    <row r="413">
      <c r="A413" s="55"/>
      <c r="B413" s="55"/>
      <c r="C413" s="55"/>
      <c r="D413" s="55"/>
      <c r="E413" s="53"/>
      <c r="F413" s="55"/>
      <c r="G413" s="55" t="b">
        <v>0</v>
      </c>
      <c r="H413" s="55"/>
      <c r="I413" s="55"/>
      <c r="J413" s="55"/>
      <c r="K413" s="55"/>
      <c r="L413" s="55"/>
      <c r="M413" s="55"/>
      <c r="N413" s="55"/>
      <c r="O413" s="55"/>
      <c r="P413" s="55"/>
      <c r="Q413" s="55"/>
      <c r="R413" s="55"/>
      <c r="S413" s="55"/>
      <c r="T413" s="55"/>
      <c r="U413" s="55"/>
    </row>
    <row r="414">
      <c r="A414" s="55"/>
      <c r="B414" s="55"/>
      <c r="C414" s="55"/>
      <c r="D414" s="55"/>
      <c r="E414" s="53"/>
      <c r="F414" s="55"/>
      <c r="G414" s="55" t="b">
        <v>0</v>
      </c>
      <c r="H414" s="55"/>
      <c r="I414" s="55"/>
      <c r="J414" s="55"/>
      <c r="K414" s="55"/>
      <c r="L414" s="55"/>
      <c r="M414" s="55"/>
      <c r="N414" s="55"/>
      <c r="O414" s="55"/>
      <c r="P414" s="55"/>
      <c r="Q414" s="55"/>
      <c r="R414" s="55"/>
      <c r="S414" s="55"/>
      <c r="T414" s="55"/>
      <c r="U414" s="55"/>
    </row>
    <row r="415">
      <c r="A415" s="55"/>
      <c r="B415" s="55"/>
      <c r="C415" s="55"/>
      <c r="D415" s="55"/>
      <c r="E415" s="53"/>
      <c r="F415" s="55"/>
      <c r="G415" s="55" t="b">
        <v>0</v>
      </c>
      <c r="H415" s="55"/>
      <c r="I415" s="55"/>
      <c r="J415" s="55"/>
      <c r="K415" s="55"/>
      <c r="L415" s="55"/>
      <c r="M415" s="55"/>
      <c r="N415" s="55"/>
      <c r="O415" s="55"/>
      <c r="P415" s="55"/>
      <c r="Q415" s="55"/>
      <c r="R415" s="55"/>
      <c r="S415" s="55"/>
      <c r="T415" s="55"/>
      <c r="U415" s="55"/>
    </row>
    <row r="416">
      <c r="A416" s="55"/>
      <c r="B416" s="55"/>
      <c r="C416" s="55"/>
      <c r="D416" s="55"/>
      <c r="E416" s="53"/>
      <c r="F416" s="55"/>
      <c r="G416" s="55" t="b">
        <v>0</v>
      </c>
      <c r="H416" s="55"/>
      <c r="I416" s="55"/>
      <c r="J416" s="55"/>
      <c r="K416" s="55"/>
      <c r="L416" s="55"/>
      <c r="M416" s="55"/>
      <c r="N416" s="55"/>
      <c r="O416" s="55"/>
      <c r="P416" s="55"/>
      <c r="Q416" s="55"/>
      <c r="R416" s="55"/>
      <c r="S416" s="55"/>
      <c r="T416" s="55"/>
      <c r="U416" s="55"/>
    </row>
    <row r="417">
      <c r="A417" s="55"/>
      <c r="B417" s="55"/>
      <c r="C417" s="55"/>
      <c r="D417" s="55"/>
      <c r="E417" s="53"/>
      <c r="F417" s="55"/>
      <c r="G417" s="55" t="b">
        <v>0</v>
      </c>
      <c r="H417" s="55"/>
      <c r="I417" s="55"/>
      <c r="J417" s="55"/>
      <c r="K417" s="55"/>
      <c r="L417" s="55"/>
      <c r="M417" s="55"/>
      <c r="N417" s="55"/>
      <c r="O417" s="55"/>
      <c r="P417" s="55"/>
      <c r="Q417" s="55"/>
      <c r="R417" s="55"/>
      <c r="S417" s="55"/>
      <c r="T417" s="55"/>
      <c r="U417" s="55"/>
    </row>
    <row r="418">
      <c r="A418" s="55"/>
      <c r="B418" s="55"/>
      <c r="C418" s="55"/>
      <c r="D418" s="55"/>
      <c r="E418" s="53"/>
      <c r="F418" s="55"/>
      <c r="G418" s="55" t="b">
        <v>0</v>
      </c>
      <c r="H418" s="55"/>
      <c r="I418" s="55"/>
      <c r="J418" s="55"/>
      <c r="K418" s="55"/>
      <c r="L418" s="55"/>
      <c r="M418" s="55"/>
      <c r="N418" s="55"/>
      <c r="O418" s="55"/>
      <c r="P418" s="55"/>
      <c r="Q418" s="55"/>
      <c r="R418" s="55"/>
      <c r="S418" s="55"/>
      <c r="T418" s="55"/>
      <c r="U418" s="55"/>
    </row>
    <row r="419">
      <c r="A419" s="55"/>
      <c r="B419" s="55"/>
      <c r="C419" s="55"/>
      <c r="D419" s="55"/>
      <c r="E419" s="53"/>
      <c r="F419" s="55"/>
      <c r="G419" s="55" t="b">
        <v>0</v>
      </c>
      <c r="H419" s="55"/>
      <c r="I419" s="55"/>
      <c r="J419" s="55"/>
      <c r="K419" s="55"/>
      <c r="L419" s="55"/>
      <c r="M419" s="55"/>
      <c r="N419" s="55"/>
      <c r="O419" s="55"/>
      <c r="P419" s="55"/>
      <c r="Q419" s="55"/>
      <c r="R419" s="55"/>
      <c r="S419" s="55"/>
      <c r="T419" s="55"/>
      <c r="U419" s="55"/>
    </row>
    <row r="420">
      <c r="A420" s="55"/>
      <c r="B420" s="55"/>
      <c r="C420" s="55"/>
      <c r="D420" s="55"/>
      <c r="E420" s="53"/>
      <c r="F420" s="55"/>
      <c r="G420" s="55" t="b">
        <v>0</v>
      </c>
      <c r="H420" s="55"/>
      <c r="I420" s="55"/>
      <c r="J420" s="55"/>
      <c r="K420" s="55"/>
      <c r="L420" s="55"/>
      <c r="M420" s="55"/>
      <c r="N420" s="55"/>
      <c r="O420" s="55"/>
      <c r="P420" s="55"/>
      <c r="Q420" s="55"/>
      <c r="R420" s="55"/>
      <c r="S420" s="55"/>
      <c r="T420" s="55"/>
      <c r="U420" s="55"/>
    </row>
    <row r="421">
      <c r="A421" s="55"/>
      <c r="B421" s="55"/>
      <c r="C421" s="55"/>
      <c r="D421" s="55"/>
      <c r="E421" s="53"/>
      <c r="F421" s="55"/>
      <c r="G421" s="55" t="b">
        <v>0</v>
      </c>
      <c r="H421" s="55"/>
      <c r="I421" s="55"/>
      <c r="J421" s="55"/>
      <c r="K421" s="55"/>
      <c r="L421" s="55"/>
      <c r="M421" s="55"/>
      <c r="N421" s="55"/>
      <c r="O421" s="55"/>
      <c r="P421" s="55"/>
      <c r="Q421" s="55"/>
      <c r="R421" s="55"/>
      <c r="S421" s="55"/>
      <c r="T421" s="55"/>
      <c r="U421" s="55"/>
    </row>
    <row r="422">
      <c r="A422" s="55"/>
      <c r="B422" s="55"/>
      <c r="C422" s="55"/>
      <c r="D422" s="55"/>
      <c r="E422" s="53"/>
      <c r="F422" s="55"/>
      <c r="G422" s="55" t="b">
        <v>0</v>
      </c>
      <c r="H422" s="55"/>
      <c r="I422" s="55"/>
      <c r="J422" s="55"/>
      <c r="K422" s="55"/>
      <c r="L422" s="55"/>
      <c r="M422" s="55"/>
      <c r="N422" s="55"/>
      <c r="O422" s="55"/>
      <c r="P422" s="55"/>
      <c r="Q422" s="55"/>
      <c r="R422" s="55"/>
      <c r="S422" s="55"/>
      <c r="T422" s="55"/>
      <c r="U422" s="55"/>
    </row>
    <row r="423">
      <c r="A423" s="55"/>
      <c r="B423" s="55"/>
      <c r="C423" s="55"/>
      <c r="D423" s="55"/>
      <c r="E423" s="53"/>
      <c r="F423" s="55"/>
      <c r="G423" s="55" t="b">
        <v>0</v>
      </c>
      <c r="H423" s="55"/>
      <c r="I423" s="55"/>
      <c r="J423" s="55"/>
      <c r="K423" s="55"/>
      <c r="L423" s="55"/>
      <c r="M423" s="55"/>
      <c r="N423" s="55"/>
      <c r="O423" s="55"/>
      <c r="P423" s="55"/>
      <c r="Q423" s="55"/>
      <c r="R423" s="55"/>
      <c r="S423" s="55"/>
      <c r="T423" s="55"/>
      <c r="U423" s="55"/>
    </row>
    <row r="424">
      <c r="A424" s="55"/>
      <c r="B424" s="55"/>
      <c r="C424" s="55"/>
      <c r="D424" s="55"/>
      <c r="E424" s="53"/>
      <c r="F424" s="55"/>
      <c r="G424" s="55" t="b">
        <v>0</v>
      </c>
      <c r="H424" s="55"/>
      <c r="I424" s="55"/>
      <c r="J424" s="55"/>
      <c r="K424" s="55"/>
      <c r="L424" s="55"/>
      <c r="M424" s="55"/>
      <c r="N424" s="55"/>
      <c r="O424" s="55"/>
      <c r="P424" s="55"/>
      <c r="Q424" s="55"/>
      <c r="R424" s="55"/>
      <c r="S424" s="55"/>
      <c r="T424" s="55"/>
      <c r="U424" s="55"/>
    </row>
    <row r="425">
      <c r="A425" s="55"/>
      <c r="B425" s="55"/>
      <c r="C425" s="55"/>
      <c r="D425" s="55"/>
      <c r="E425" s="53"/>
      <c r="F425" s="55"/>
      <c r="G425" s="55" t="b">
        <v>0</v>
      </c>
      <c r="H425" s="55"/>
      <c r="I425" s="55"/>
      <c r="J425" s="55"/>
      <c r="K425" s="55"/>
      <c r="L425" s="55"/>
      <c r="M425" s="55"/>
      <c r="N425" s="55"/>
      <c r="O425" s="55"/>
      <c r="P425" s="55"/>
      <c r="Q425" s="55"/>
      <c r="R425" s="55"/>
      <c r="S425" s="55"/>
      <c r="T425" s="55"/>
      <c r="U425" s="55"/>
    </row>
    <row r="426">
      <c r="A426" s="55"/>
      <c r="B426" s="55"/>
      <c r="C426" s="55"/>
      <c r="D426" s="55"/>
      <c r="E426" s="53"/>
      <c r="F426" s="55"/>
      <c r="G426" s="55" t="b">
        <v>0</v>
      </c>
      <c r="H426" s="55"/>
      <c r="I426" s="55"/>
      <c r="J426" s="55"/>
      <c r="K426" s="55"/>
      <c r="L426" s="55"/>
      <c r="M426" s="55"/>
      <c r="N426" s="55"/>
      <c r="O426" s="55"/>
      <c r="P426" s="55"/>
      <c r="Q426" s="55"/>
      <c r="R426" s="55"/>
      <c r="S426" s="55"/>
      <c r="T426" s="55"/>
      <c r="U426" s="55"/>
    </row>
    <row r="427">
      <c r="A427" s="55"/>
      <c r="B427" s="55"/>
      <c r="C427" s="55"/>
      <c r="D427" s="55"/>
      <c r="E427" s="53"/>
      <c r="F427" s="55"/>
      <c r="G427" s="55" t="b">
        <v>0</v>
      </c>
      <c r="H427" s="55"/>
      <c r="I427" s="55"/>
      <c r="J427" s="55"/>
      <c r="K427" s="55"/>
      <c r="L427" s="55"/>
      <c r="M427" s="55"/>
      <c r="N427" s="55"/>
      <c r="O427" s="55"/>
      <c r="P427" s="55"/>
      <c r="Q427" s="55"/>
      <c r="R427" s="55"/>
      <c r="S427" s="55"/>
      <c r="T427" s="55"/>
      <c r="U427" s="55"/>
    </row>
    <row r="428">
      <c r="A428" s="55"/>
      <c r="B428" s="55"/>
      <c r="C428" s="55"/>
      <c r="D428" s="55"/>
      <c r="E428" s="53"/>
      <c r="F428" s="55"/>
      <c r="G428" s="55" t="b">
        <v>0</v>
      </c>
      <c r="H428" s="55"/>
      <c r="I428" s="55"/>
      <c r="J428" s="55"/>
      <c r="K428" s="55"/>
      <c r="L428" s="55"/>
      <c r="M428" s="55"/>
      <c r="N428" s="55"/>
      <c r="O428" s="55"/>
      <c r="P428" s="55"/>
      <c r="Q428" s="55"/>
      <c r="R428" s="55"/>
      <c r="S428" s="55"/>
      <c r="T428" s="55"/>
      <c r="U428" s="55"/>
    </row>
    <row r="429">
      <c r="A429" s="55"/>
      <c r="B429" s="55"/>
      <c r="C429" s="55"/>
      <c r="D429" s="55"/>
      <c r="E429" s="53"/>
      <c r="F429" s="55"/>
      <c r="G429" s="55" t="b">
        <v>0</v>
      </c>
      <c r="H429" s="55"/>
      <c r="I429" s="55"/>
      <c r="J429" s="55"/>
      <c r="K429" s="55"/>
      <c r="L429" s="55"/>
      <c r="M429" s="55"/>
      <c r="N429" s="55"/>
      <c r="O429" s="55"/>
      <c r="P429" s="55"/>
      <c r="Q429" s="55"/>
      <c r="R429" s="55"/>
      <c r="S429" s="55"/>
      <c r="T429" s="55"/>
      <c r="U429" s="55"/>
    </row>
    <row r="430">
      <c r="A430" s="55"/>
      <c r="B430" s="55"/>
      <c r="C430" s="55"/>
      <c r="D430" s="55"/>
      <c r="E430" s="53"/>
      <c r="F430" s="55"/>
      <c r="G430" s="55" t="b">
        <v>0</v>
      </c>
      <c r="H430" s="55"/>
      <c r="I430" s="55"/>
      <c r="J430" s="55"/>
      <c r="K430" s="55"/>
      <c r="L430" s="55"/>
      <c r="M430" s="55"/>
      <c r="N430" s="55"/>
      <c r="O430" s="55"/>
      <c r="P430" s="55"/>
      <c r="Q430" s="55"/>
      <c r="R430" s="55"/>
      <c r="S430" s="55"/>
      <c r="T430" s="55"/>
      <c r="U430" s="55"/>
    </row>
    <row r="431">
      <c r="A431" s="55"/>
      <c r="B431" s="55"/>
      <c r="C431" s="55"/>
      <c r="D431" s="55"/>
      <c r="E431" s="53"/>
      <c r="F431" s="55"/>
      <c r="G431" s="55" t="b">
        <v>0</v>
      </c>
      <c r="H431" s="55"/>
      <c r="I431" s="55"/>
      <c r="J431" s="55"/>
      <c r="K431" s="55"/>
      <c r="L431" s="55"/>
      <c r="M431" s="55"/>
      <c r="N431" s="55"/>
      <c r="O431" s="55"/>
      <c r="P431" s="55"/>
      <c r="Q431" s="55"/>
      <c r="R431" s="55"/>
      <c r="S431" s="55"/>
      <c r="T431" s="55"/>
      <c r="U431" s="55"/>
    </row>
    <row r="432">
      <c r="A432" s="55"/>
      <c r="B432" s="55"/>
      <c r="C432" s="55"/>
      <c r="D432" s="55"/>
      <c r="E432" s="53"/>
      <c r="F432" s="55"/>
      <c r="G432" s="55" t="b">
        <v>0</v>
      </c>
      <c r="H432" s="55"/>
      <c r="I432" s="55"/>
      <c r="J432" s="55"/>
      <c r="K432" s="55"/>
      <c r="L432" s="55"/>
      <c r="M432" s="55"/>
      <c r="N432" s="55"/>
      <c r="O432" s="55"/>
      <c r="P432" s="55"/>
      <c r="Q432" s="55"/>
      <c r="R432" s="55"/>
      <c r="S432" s="55"/>
      <c r="T432" s="55"/>
      <c r="U432" s="55"/>
    </row>
    <row r="433">
      <c r="A433" s="55"/>
      <c r="B433" s="55"/>
      <c r="C433" s="55"/>
      <c r="D433" s="55"/>
      <c r="E433" s="53"/>
      <c r="F433" s="55"/>
      <c r="G433" s="55" t="b">
        <v>0</v>
      </c>
      <c r="H433" s="55"/>
      <c r="I433" s="55"/>
      <c r="J433" s="55"/>
      <c r="K433" s="55"/>
      <c r="L433" s="55"/>
      <c r="M433" s="55"/>
      <c r="N433" s="55"/>
      <c r="O433" s="55"/>
      <c r="P433" s="55"/>
      <c r="Q433" s="55"/>
      <c r="R433" s="55"/>
      <c r="S433" s="55"/>
      <c r="T433" s="55"/>
      <c r="U433" s="55"/>
    </row>
    <row r="434">
      <c r="A434" s="55"/>
      <c r="B434" s="55"/>
      <c r="C434" s="55"/>
      <c r="D434" s="55"/>
      <c r="E434" s="53"/>
      <c r="F434" s="55"/>
      <c r="G434" s="55" t="b">
        <v>0</v>
      </c>
      <c r="H434" s="55"/>
      <c r="I434" s="55"/>
      <c r="J434" s="55"/>
      <c r="K434" s="55"/>
      <c r="L434" s="55"/>
      <c r="M434" s="55"/>
      <c r="N434" s="55"/>
      <c r="O434" s="55"/>
      <c r="P434" s="55"/>
      <c r="Q434" s="55"/>
      <c r="R434" s="55"/>
      <c r="S434" s="55"/>
      <c r="T434" s="55"/>
      <c r="U434" s="55"/>
    </row>
    <row r="435">
      <c r="A435" s="55"/>
      <c r="B435" s="55"/>
      <c r="C435" s="55"/>
      <c r="D435" s="55"/>
      <c r="E435" s="53"/>
      <c r="F435" s="55"/>
      <c r="G435" s="55" t="b">
        <v>0</v>
      </c>
      <c r="H435" s="55"/>
      <c r="I435" s="55"/>
      <c r="J435" s="55"/>
      <c r="K435" s="55"/>
      <c r="L435" s="55"/>
      <c r="M435" s="55"/>
      <c r="N435" s="55"/>
      <c r="O435" s="55"/>
      <c r="P435" s="55"/>
      <c r="Q435" s="55"/>
      <c r="R435" s="55"/>
      <c r="S435" s="55"/>
      <c r="T435" s="55"/>
      <c r="U435" s="55"/>
    </row>
    <row r="436">
      <c r="A436" s="55"/>
      <c r="B436" s="55"/>
      <c r="C436" s="55"/>
      <c r="D436" s="55"/>
      <c r="E436" s="53"/>
      <c r="F436" s="55"/>
      <c r="G436" s="55" t="b">
        <v>0</v>
      </c>
      <c r="H436" s="55"/>
      <c r="I436" s="55"/>
      <c r="J436" s="55"/>
      <c r="K436" s="55"/>
      <c r="L436" s="55"/>
      <c r="M436" s="55"/>
      <c r="N436" s="55"/>
      <c r="O436" s="55"/>
      <c r="P436" s="55"/>
      <c r="Q436" s="55"/>
      <c r="R436" s="55"/>
      <c r="S436" s="55"/>
      <c r="T436" s="55"/>
      <c r="U436" s="55"/>
    </row>
    <row r="437">
      <c r="A437" s="55"/>
      <c r="B437" s="55"/>
      <c r="C437" s="55"/>
      <c r="D437" s="55"/>
      <c r="E437" s="53"/>
      <c r="F437" s="55"/>
      <c r="G437" s="55" t="b">
        <v>0</v>
      </c>
      <c r="H437" s="55"/>
      <c r="I437" s="55"/>
      <c r="J437" s="55"/>
      <c r="K437" s="55"/>
      <c r="L437" s="55"/>
      <c r="M437" s="55"/>
      <c r="N437" s="55"/>
      <c r="O437" s="55"/>
      <c r="P437" s="55"/>
      <c r="Q437" s="55"/>
      <c r="R437" s="55"/>
      <c r="S437" s="55"/>
      <c r="T437" s="55"/>
      <c r="U437" s="55"/>
    </row>
    <row r="438">
      <c r="A438" s="55"/>
      <c r="B438" s="55"/>
      <c r="C438" s="55"/>
      <c r="D438" s="55"/>
      <c r="E438" s="53"/>
      <c r="F438" s="55"/>
      <c r="G438" s="55" t="b">
        <v>0</v>
      </c>
      <c r="H438" s="55"/>
      <c r="I438" s="55"/>
      <c r="J438" s="55"/>
      <c r="K438" s="55"/>
      <c r="L438" s="55"/>
      <c r="M438" s="55"/>
      <c r="N438" s="55"/>
      <c r="O438" s="55"/>
      <c r="P438" s="55"/>
      <c r="Q438" s="55"/>
      <c r="R438" s="55"/>
      <c r="S438" s="55"/>
      <c r="T438" s="55"/>
      <c r="U438" s="55"/>
    </row>
    <row r="439">
      <c r="A439" s="55"/>
      <c r="B439" s="55"/>
      <c r="C439" s="55"/>
      <c r="D439" s="55"/>
      <c r="E439" s="53"/>
      <c r="F439" s="55"/>
      <c r="G439" s="55" t="b">
        <v>0</v>
      </c>
      <c r="H439" s="55"/>
      <c r="I439" s="55"/>
      <c r="J439" s="55"/>
      <c r="K439" s="55"/>
      <c r="L439" s="55"/>
      <c r="M439" s="55"/>
      <c r="N439" s="55"/>
      <c r="O439" s="55"/>
      <c r="P439" s="55"/>
      <c r="Q439" s="55"/>
      <c r="R439" s="55"/>
      <c r="S439" s="55"/>
      <c r="T439" s="55"/>
      <c r="U439" s="55"/>
    </row>
    <row r="440">
      <c r="A440" s="55"/>
      <c r="B440" s="55"/>
      <c r="C440" s="55"/>
      <c r="D440" s="55"/>
      <c r="E440" s="53"/>
      <c r="F440" s="55"/>
      <c r="G440" s="55" t="b">
        <v>0</v>
      </c>
      <c r="H440" s="55"/>
      <c r="I440" s="55"/>
      <c r="J440" s="55"/>
      <c r="K440" s="55"/>
      <c r="L440" s="55"/>
      <c r="M440" s="55"/>
      <c r="N440" s="55"/>
      <c r="O440" s="55"/>
      <c r="P440" s="55"/>
      <c r="Q440" s="55"/>
      <c r="R440" s="55"/>
      <c r="S440" s="55"/>
      <c r="T440" s="55"/>
      <c r="U440" s="55"/>
    </row>
    <row r="441">
      <c r="A441" s="55"/>
      <c r="B441" s="55"/>
      <c r="C441" s="55"/>
      <c r="D441" s="55"/>
      <c r="E441" s="53"/>
      <c r="F441" s="55"/>
      <c r="G441" s="55" t="b">
        <v>0</v>
      </c>
      <c r="H441" s="55"/>
      <c r="I441" s="55"/>
      <c r="J441" s="55"/>
      <c r="K441" s="55"/>
      <c r="L441" s="55"/>
      <c r="M441" s="55"/>
      <c r="N441" s="55"/>
      <c r="O441" s="55"/>
      <c r="P441" s="55"/>
      <c r="Q441" s="55"/>
      <c r="R441" s="55"/>
      <c r="S441" s="55"/>
      <c r="T441" s="55"/>
      <c r="U441" s="55"/>
    </row>
    <row r="442">
      <c r="A442" s="55"/>
      <c r="B442" s="55"/>
      <c r="C442" s="55"/>
      <c r="D442" s="55"/>
      <c r="E442" s="53"/>
      <c r="F442" s="55"/>
      <c r="G442" s="55" t="b">
        <v>0</v>
      </c>
      <c r="H442" s="55"/>
      <c r="I442" s="55"/>
      <c r="J442" s="55"/>
      <c r="K442" s="55"/>
      <c r="L442" s="55"/>
      <c r="M442" s="55"/>
      <c r="N442" s="55"/>
      <c r="O442" s="55"/>
      <c r="P442" s="55"/>
      <c r="Q442" s="55"/>
      <c r="R442" s="55"/>
      <c r="S442" s="55"/>
      <c r="T442" s="55"/>
      <c r="U442" s="55"/>
    </row>
    <row r="443">
      <c r="A443" s="55"/>
      <c r="B443" s="55"/>
      <c r="C443" s="55"/>
      <c r="D443" s="55"/>
      <c r="E443" s="53"/>
      <c r="F443" s="55"/>
      <c r="G443" s="55" t="b">
        <v>0</v>
      </c>
      <c r="H443" s="55"/>
      <c r="I443" s="55"/>
      <c r="J443" s="55"/>
      <c r="K443" s="55"/>
      <c r="L443" s="55"/>
      <c r="M443" s="55"/>
      <c r="N443" s="55"/>
      <c r="O443" s="55"/>
      <c r="P443" s="55"/>
      <c r="Q443" s="55"/>
      <c r="R443" s="55"/>
      <c r="S443" s="55"/>
      <c r="T443" s="55"/>
      <c r="U443" s="55"/>
    </row>
    <row r="444">
      <c r="A444" s="55"/>
      <c r="B444" s="55"/>
      <c r="C444" s="55"/>
      <c r="D444" s="55"/>
      <c r="E444" s="53"/>
      <c r="F444" s="55"/>
      <c r="G444" s="55" t="b">
        <v>0</v>
      </c>
      <c r="H444" s="55"/>
      <c r="I444" s="55"/>
      <c r="J444" s="55"/>
      <c r="K444" s="55"/>
      <c r="L444" s="55"/>
      <c r="M444" s="55"/>
      <c r="N444" s="55"/>
      <c r="O444" s="55"/>
      <c r="P444" s="55"/>
      <c r="Q444" s="55"/>
      <c r="R444" s="55"/>
      <c r="S444" s="55"/>
      <c r="T444" s="55"/>
      <c r="U444" s="55"/>
    </row>
    <row r="445">
      <c r="A445" s="55"/>
      <c r="B445" s="55"/>
      <c r="C445" s="55"/>
      <c r="D445" s="55"/>
      <c r="E445" s="53"/>
      <c r="F445" s="55"/>
      <c r="G445" s="55" t="b">
        <v>0</v>
      </c>
      <c r="H445" s="55"/>
      <c r="I445" s="55"/>
      <c r="J445" s="55"/>
      <c r="K445" s="55"/>
      <c r="L445" s="55"/>
      <c r="M445" s="55"/>
      <c r="N445" s="55"/>
      <c r="O445" s="55"/>
      <c r="P445" s="55"/>
      <c r="Q445" s="55"/>
      <c r="R445" s="55"/>
      <c r="S445" s="55"/>
      <c r="T445" s="55"/>
      <c r="U445" s="55"/>
    </row>
    <row r="446">
      <c r="A446" s="55"/>
      <c r="B446" s="55"/>
      <c r="C446" s="55"/>
      <c r="D446" s="55"/>
      <c r="E446" s="53"/>
      <c r="F446" s="55"/>
      <c r="G446" s="55" t="b">
        <v>0</v>
      </c>
      <c r="H446" s="55"/>
      <c r="I446" s="55"/>
      <c r="J446" s="55"/>
      <c r="K446" s="55"/>
      <c r="L446" s="55"/>
      <c r="M446" s="55"/>
      <c r="N446" s="55"/>
      <c r="O446" s="55"/>
      <c r="P446" s="55"/>
      <c r="Q446" s="55"/>
      <c r="R446" s="55"/>
      <c r="S446" s="55"/>
      <c r="T446" s="55"/>
      <c r="U446" s="55"/>
    </row>
    <row r="447">
      <c r="A447" s="55"/>
      <c r="B447" s="55"/>
      <c r="C447" s="55"/>
      <c r="D447" s="55"/>
      <c r="E447" s="53"/>
      <c r="F447" s="55"/>
      <c r="G447" s="55" t="b">
        <v>0</v>
      </c>
      <c r="H447" s="55"/>
      <c r="I447" s="55"/>
      <c r="J447" s="55"/>
      <c r="K447" s="55"/>
      <c r="L447" s="55"/>
      <c r="M447" s="55"/>
      <c r="N447" s="55"/>
      <c r="O447" s="55"/>
      <c r="P447" s="55"/>
      <c r="Q447" s="55"/>
      <c r="R447" s="55"/>
      <c r="S447" s="55"/>
      <c r="T447" s="55"/>
      <c r="U447" s="55"/>
    </row>
    <row r="448">
      <c r="A448" s="55"/>
      <c r="B448" s="55"/>
      <c r="C448" s="55"/>
      <c r="D448" s="55"/>
      <c r="E448" s="53"/>
      <c r="F448" s="55"/>
      <c r="G448" s="55" t="b">
        <v>0</v>
      </c>
      <c r="H448" s="55"/>
      <c r="I448" s="55"/>
      <c r="J448" s="55"/>
      <c r="K448" s="55"/>
      <c r="L448" s="55"/>
      <c r="M448" s="55"/>
      <c r="N448" s="55"/>
      <c r="O448" s="55"/>
      <c r="P448" s="55"/>
      <c r="Q448" s="55"/>
      <c r="R448" s="55"/>
      <c r="S448" s="55"/>
      <c r="T448" s="55"/>
      <c r="U448" s="55"/>
    </row>
    <row r="449">
      <c r="A449" s="55"/>
      <c r="B449" s="55"/>
      <c r="C449" s="55"/>
      <c r="D449" s="55"/>
      <c r="E449" s="53"/>
      <c r="F449" s="55"/>
      <c r="G449" s="55" t="b">
        <v>0</v>
      </c>
      <c r="H449" s="55"/>
      <c r="I449" s="55"/>
      <c r="J449" s="55"/>
      <c r="K449" s="55"/>
      <c r="L449" s="55"/>
      <c r="M449" s="55"/>
      <c r="N449" s="55"/>
      <c r="O449" s="55"/>
      <c r="P449" s="55"/>
      <c r="Q449" s="55"/>
      <c r="R449" s="55"/>
      <c r="S449" s="55"/>
      <c r="T449" s="55"/>
      <c r="U449" s="55"/>
    </row>
    <row r="450">
      <c r="A450" s="55"/>
      <c r="B450" s="55"/>
      <c r="C450" s="55"/>
      <c r="D450" s="55"/>
      <c r="E450" s="53"/>
      <c r="F450" s="55"/>
      <c r="G450" s="55" t="b">
        <v>0</v>
      </c>
      <c r="H450" s="55"/>
      <c r="I450" s="55"/>
      <c r="J450" s="55"/>
      <c r="K450" s="55"/>
      <c r="L450" s="55"/>
      <c r="M450" s="55"/>
      <c r="N450" s="55"/>
      <c r="O450" s="55"/>
      <c r="P450" s="55"/>
      <c r="Q450" s="55"/>
      <c r="R450" s="55"/>
      <c r="S450" s="55"/>
      <c r="T450" s="55"/>
      <c r="U450" s="55"/>
    </row>
    <row r="451">
      <c r="A451" s="55"/>
      <c r="B451" s="55"/>
      <c r="C451" s="55"/>
      <c r="D451" s="55"/>
      <c r="E451" s="53"/>
      <c r="F451" s="55"/>
      <c r="G451" s="55" t="b">
        <v>0</v>
      </c>
      <c r="H451" s="55"/>
      <c r="I451" s="55"/>
      <c r="J451" s="55"/>
      <c r="K451" s="55"/>
      <c r="L451" s="55"/>
      <c r="M451" s="55"/>
      <c r="N451" s="55"/>
      <c r="O451" s="55"/>
      <c r="P451" s="55"/>
      <c r="Q451" s="55"/>
      <c r="R451" s="55"/>
      <c r="S451" s="55"/>
      <c r="T451" s="55"/>
      <c r="U451" s="55"/>
    </row>
    <row r="452">
      <c r="A452" s="55"/>
      <c r="B452" s="55"/>
      <c r="C452" s="55"/>
      <c r="D452" s="55"/>
      <c r="E452" s="53"/>
      <c r="F452" s="55"/>
      <c r="G452" s="55" t="b">
        <v>0</v>
      </c>
      <c r="H452" s="55"/>
      <c r="I452" s="55"/>
      <c r="J452" s="55"/>
      <c r="K452" s="55"/>
      <c r="L452" s="55"/>
      <c r="M452" s="55"/>
      <c r="N452" s="55"/>
      <c r="O452" s="55"/>
      <c r="P452" s="55"/>
      <c r="Q452" s="55"/>
      <c r="R452" s="55"/>
      <c r="S452" s="55"/>
      <c r="T452" s="55"/>
      <c r="U452" s="55"/>
    </row>
    <row r="453">
      <c r="A453" s="55"/>
      <c r="B453" s="55"/>
      <c r="C453" s="55"/>
      <c r="D453" s="55"/>
      <c r="E453" s="53"/>
      <c r="F453" s="55"/>
      <c r="G453" s="55" t="b">
        <v>0</v>
      </c>
      <c r="H453" s="55"/>
      <c r="I453" s="55"/>
      <c r="J453" s="55"/>
      <c r="K453" s="55"/>
      <c r="L453" s="55"/>
      <c r="M453" s="55"/>
      <c r="N453" s="55"/>
      <c r="O453" s="55"/>
      <c r="P453" s="55"/>
      <c r="Q453" s="55"/>
      <c r="R453" s="55"/>
      <c r="S453" s="55"/>
      <c r="T453" s="55"/>
      <c r="U453" s="55"/>
    </row>
    <row r="454">
      <c r="A454" s="55"/>
      <c r="B454" s="55"/>
      <c r="C454" s="55"/>
      <c r="D454" s="55"/>
      <c r="E454" s="53"/>
      <c r="F454" s="55"/>
      <c r="G454" s="55" t="b">
        <v>0</v>
      </c>
      <c r="H454" s="55"/>
      <c r="I454" s="55"/>
      <c r="J454" s="55"/>
      <c r="K454" s="55"/>
      <c r="L454" s="55"/>
      <c r="M454" s="55"/>
      <c r="N454" s="55"/>
      <c r="O454" s="55"/>
      <c r="P454" s="55"/>
      <c r="Q454" s="55"/>
      <c r="R454" s="55"/>
      <c r="S454" s="55"/>
      <c r="T454" s="55"/>
      <c r="U454" s="55"/>
    </row>
    <row r="455">
      <c r="A455" s="55"/>
      <c r="B455" s="55"/>
      <c r="C455" s="55"/>
      <c r="D455" s="55"/>
      <c r="E455" s="53"/>
      <c r="F455" s="55"/>
      <c r="G455" s="55" t="b">
        <v>0</v>
      </c>
      <c r="H455" s="55"/>
      <c r="I455" s="55"/>
      <c r="J455" s="55"/>
      <c r="K455" s="55"/>
      <c r="L455" s="55"/>
      <c r="M455" s="55"/>
      <c r="N455" s="55"/>
      <c r="O455" s="55"/>
      <c r="P455" s="55"/>
      <c r="Q455" s="55"/>
      <c r="R455" s="55"/>
      <c r="S455" s="55"/>
      <c r="T455" s="55"/>
      <c r="U455" s="55"/>
    </row>
    <row r="456">
      <c r="A456" s="55"/>
      <c r="B456" s="55"/>
      <c r="C456" s="55"/>
      <c r="D456" s="55"/>
      <c r="E456" s="53"/>
      <c r="F456" s="55"/>
      <c r="G456" s="55" t="b">
        <v>0</v>
      </c>
      <c r="H456" s="55"/>
      <c r="I456" s="55"/>
      <c r="J456" s="55"/>
      <c r="K456" s="55"/>
      <c r="L456" s="55"/>
      <c r="M456" s="55"/>
      <c r="N456" s="55"/>
      <c r="O456" s="55"/>
      <c r="P456" s="55"/>
      <c r="Q456" s="55"/>
      <c r="R456" s="55"/>
      <c r="S456" s="55"/>
      <c r="T456" s="55"/>
      <c r="U456" s="55"/>
    </row>
    <row r="457">
      <c r="A457" s="55"/>
      <c r="B457" s="55"/>
      <c r="C457" s="55"/>
      <c r="D457" s="55"/>
      <c r="E457" s="53"/>
      <c r="F457" s="55"/>
      <c r="G457" s="55" t="b">
        <v>0</v>
      </c>
      <c r="H457" s="55"/>
      <c r="I457" s="55"/>
      <c r="J457" s="55"/>
      <c r="K457" s="55"/>
      <c r="L457" s="55"/>
      <c r="M457" s="55"/>
      <c r="N457" s="55"/>
      <c r="O457" s="55"/>
      <c r="P457" s="55"/>
      <c r="Q457" s="55"/>
      <c r="R457" s="55"/>
      <c r="S457" s="55"/>
      <c r="T457" s="55"/>
      <c r="U457" s="55"/>
    </row>
    <row r="458">
      <c r="A458" s="55"/>
      <c r="B458" s="55"/>
      <c r="C458" s="55"/>
      <c r="D458" s="55"/>
      <c r="E458" s="53"/>
      <c r="F458" s="55"/>
      <c r="G458" s="55" t="b">
        <v>0</v>
      </c>
      <c r="H458" s="55"/>
      <c r="I458" s="55"/>
      <c r="J458" s="55"/>
      <c r="K458" s="55"/>
      <c r="L458" s="55"/>
      <c r="M458" s="55"/>
      <c r="N458" s="55"/>
      <c r="O458" s="55"/>
      <c r="P458" s="55"/>
      <c r="Q458" s="55"/>
      <c r="R458" s="55"/>
      <c r="S458" s="55"/>
      <c r="T458" s="55"/>
      <c r="U458" s="55"/>
    </row>
    <row r="459">
      <c r="A459" s="55"/>
      <c r="B459" s="55"/>
      <c r="C459" s="55"/>
      <c r="D459" s="55"/>
      <c r="E459" s="53"/>
      <c r="F459" s="55"/>
      <c r="G459" s="55" t="b">
        <v>0</v>
      </c>
      <c r="H459" s="55"/>
      <c r="I459" s="55"/>
      <c r="J459" s="55"/>
      <c r="K459" s="55"/>
      <c r="L459" s="55"/>
      <c r="M459" s="55"/>
      <c r="N459" s="55"/>
      <c r="O459" s="55"/>
      <c r="P459" s="55"/>
      <c r="Q459" s="55"/>
      <c r="R459" s="55"/>
      <c r="S459" s="55"/>
      <c r="T459" s="55"/>
      <c r="U459" s="55"/>
    </row>
    <row r="460">
      <c r="A460" s="55"/>
      <c r="B460" s="55"/>
      <c r="C460" s="55"/>
      <c r="D460" s="55"/>
      <c r="E460" s="53"/>
      <c r="F460" s="55"/>
      <c r="G460" s="55" t="b">
        <v>0</v>
      </c>
      <c r="H460" s="55"/>
      <c r="I460" s="55"/>
      <c r="J460" s="55"/>
      <c r="K460" s="55"/>
      <c r="L460" s="55"/>
      <c r="M460" s="55"/>
      <c r="N460" s="55"/>
      <c r="O460" s="55"/>
      <c r="P460" s="55"/>
      <c r="Q460" s="55"/>
      <c r="R460" s="55"/>
      <c r="S460" s="55"/>
      <c r="T460" s="55"/>
      <c r="U460" s="55"/>
    </row>
    <row r="461">
      <c r="A461" s="55"/>
      <c r="B461" s="55"/>
      <c r="C461" s="55"/>
      <c r="D461" s="55"/>
      <c r="E461" s="53"/>
      <c r="F461" s="55"/>
      <c r="G461" s="55" t="b">
        <v>0</v>
      </c>
      <c r="H461" s="55"/>
      <c r="I461" s="55"/>
      <c r="J461" s="55"/>
      <c r="K461" s="55"/>
      <c r="L461" s="55"/>
      <c r="M461" s="55"/>
      <c r="N461" s="55"/>
      <c r="O461" s="55"/>
      <c r="P461" s="55"/>
      <c r="Q461" s="55"/>
      <c r="R461" s="55"/>
      <c r="S461" s="55"/>
      <c r="T461" s="55"/>
      <c r="U461" s="55"/>
    </row>
    <row r="462">
      <c r="A462" s="55"/>
      <c r="B462" s="55"/>
      <c r="C462" s="55"/>
      <c r="D462" s="55"/>
      <c r="E462" s="53"/>
      <c r="F462" s="55"/>
      <c r="G462" s="55" t="b">
        <v>0</v>
      </c>
      <c r="H462" s="55"/>
      <c r="I462" s="55"/>
      <c r="J462" s="55"/>
      <c r="K462" s="55"/>
      <c r="L462" s="55"/>
      <c r="M462" s="55"/>
      <c r="N462" s="55"/>
      <c r="O462" s="55"/>
      <c r="P462" s="55"/>
      <c r="Q462" s="55"/>
      <c r="R462" s="55"/>
      <c r="S462" s="55"/>
      <c r="T462" s="55"/>
      <c r="U462" s="55"/>
    </row>
    <row r="463">
      <c r="A463" s="55"/>
      <c r="B463" s="55"/>
      <c r="C463" s="55"/>
      <c r="D463" s="55"/>
      <c r="E463" s="53"/>
      <c r="F463" s="55"/>
      <c r="G463" s="55" t="b">
        <v>0</v>
      </c>
      <c r="H463" s="55"/>
      <c r="I463" s="55"/>
      <c r="J463" s="55"/>
      <c r="K463" s="55"/>
      <c r="L463" s="55"/>
      <c r="M463" s="55"/>
      <c r="N463" s="55"/>
      <c r="O463" s="55"/>
      <c r="P463" s="55"/>
      <c r="Q463" s="55"/>
      <c r="R463" s="55"/>
      <c r="S463" s="55"/>
      <c r="T463" s="55"/>
      <c r="U463" s="55"/>
    </row>
    <row r="464">
      <c r="A464" s="55"/>
      <c r="B464" s="55"/>
      <c r="C464" s="55"/>
      <c r="D464" s="55"/>
      <c r="E464" s="53"/>
      <c r="F464" s="55"/>
      <c r="G464" s="55" t="b">
        <v>0</v>
      </c>
      <c r="H464" s="55"/>
      <c r="I464" s="55"/>
      <c r="J464" s="55"/>
      <c r="K464" s="55"/>
      <c r="L464" s="55"/>
      <c r="M464" s="55"/>
      <c r="N464" s="55"/>
      <c r="O464" s="55"/>
      <c r="P464" s="55"/>
      <c r="Q464" s="55"/>
      <c r="R464" s="55"/>
      <c r="S464" s="55"/>
      <c r="T464" s="55"/>
      <c r="U464" s="55"/>
    </row>
    <row r="465">
      <c r="A465" s="55"/>
      <c r="B465" s="55"/>
      <c r="C465" s="55"/>
      <c r="D465" s="55"/>
      <c r="E465" s="53"/>
      <c r="F465" s="55"/>
      <c r="G465" s="55" t="b">
        <v>0</v>
      </c>
      <c r="H465" s="55"/>
      <c r="I465" s="55"/>
      <c r="J465" s="55"/>
      <c r="K465" s="55"/>
      <c r="L465" s="55"/>
      <c r="M465" s="55"/>
      <c r="N465" s="55"/>
      <c r="O465" s="55"/>
      <c r="P465" s="55"/>
      <c r="Q465" s="55"/>
      <c r="R465" s="55"/>
      <c r="S465" s="55"/>
      <c r="T465" s="55"/>
      <c r="U465" s="55"/>
    </row>
    <row r="466">
      <c r="A466" s="55"/>
      <c r="B466" s="55"/>
      <c r="C466" s="55"/>
      <c r="D466" s="55"/>
      <c r="E466" s="53"/>
      <c r="F466" s="55"/>
      <c r="G466" s="55" t="b">
        <v>0</v>
      </c>
      <c r="H466" s="55"/>
      <c r="I466" s="55"/>
      <c r="J466" s="55"/>
      <c r="K466" s="55"/>
      <c r="L466" s="55"/>
      <c r="M466" s="55"/>
      <c r="N466" s="55"/>
      <c r="O466" s="55"/>
      <c r="P466" s="55"/>
      <c r="Q466" s="55"/>
      <c r="R466" s="55"/>
      <c r="S466" s="55"/>
      <c r="T466" s="55"/>
      <c r="U466" s="55"/>
    </row>
    <row r="467">
      <c r="A467" s="55"/>
      <c r="B467" s="55"/>
      <c r="C467" s="55"/>
      <c r="D467" s="55"/>
      <c r="E467" s="53"/>
      <c r="F467" s="55"/>
      <c r="G467" s="55" t="b">
        <v>0</v>
      </c>
      <c r="H467" s="55"/>
      <c r="I467" s="55"/>
      <c r="J467" s="55"/>
      <c r="K467" s="55"/>
      <c r="L467" s="55"/>
      <c r="M467" s="55"/>
      <c r="N467" s="55"/>
      <c r="O467" s="55"/>
      <c r="P467" s="55"/>
      <c r="Q467" s="55"/>
      <c r="R467" s="55"/>
      <c r="S467" s="55"/>
      <c r="T467" s="55"/>
      <c r="U467" s="55"/>
    </row>
    <row r="468">
      <c r="A468" s="55"/>
      <c r="B468" s="55"/>
      <c r="C468" s="55"/>
      <c r="D468" s="55"/>
      <c r="E468" s="53"/>
      <c r="F468" s="55"/>
      <c r="G468" s="55" t="b">
        <v>0</v>
      </c>
      <c r="H468" s="55"/>
      <c r="I468" s="55"/>
      <c r="J468" s="55"/>
      <c r="K468" s="55"/>
      <c r="L468" s="55"/>
      <c r="M468" s="55"/>
      <c r="N468" s="55"/>
      <c r="O468" s="55"/>
      <c r="P468" s="55"/>
      <c r="Q468" s="55"/>
      <c r="R468" s="55"/>
      <c r="S468" s="55"/>
      <c r="T468" s="55"/>
      <c r="U468" s="55"/>
    </row>
    <row r="469">
      <c r="A469" s="55"/>
      <c r="B469" s="55"/>
      <c r="C469" s="55"/>
      <c r="D469" s="55"/>
      <c r="E469" s="53"/>
      <c r="F469" s="55"/>
      <c r="G469" s="55" t="b">
        <v>0</v>
      </c>
      <c r="H469" s="55"/>
      <c r="I469" s="55"/>
      <c r="J469" s="55"/>
      <c r="K469" s="55"/>
      <c r="L469" s="55"/>
      <c r="M469" s="55"/>
      <c r="N469" s="55"/>
      <c r="O469" s="55"/>
      <c r="P469" s="55"/>
      <c r="Q469" s="55"/>
      <c r="R469" s="55"/>
      <c r="S469" s="55"/>
      <c r="T469" s="55"/>
      <c r="U469" s="55"/>
    </row>
    <row r="470">
      <c r="A470" s="55"/>
      <c r="B470" s="55"/>
      <c r="C470" s="55"/>
      <c r="D470" s="55"/>
      <c r="E470" s="53"/>
      <c r="F470" s="55"/>
      <c r="G470" s="55" t="b">
        <v>0</v>
      </c>
      <c r="H470" s="55"/>
      <c r="I470" s="55"/>
      <c r="J470" s="55"/>
      <c r="K470" s="55"/>
      <c r="L470" s="55"/>
      <c r="M470" s="55"/>
      <c r="N470" s="55"/>
      <c r="O470" s="55"/>
      <c r="P470" s="55"/>
      <c r="Q470" s="55"/>
      <c r="R470" s="55"/>
      <c r="S470" s="55"/>
      <c r="T470" s="55"/>
      <c r="U470" s="55"/>
    </row>
    <row r="471">
      <c r="A471" s="55"/>
      <c r="B471" s="55"/>
      <c r="C471" s="55"/>
      <c r="D471" s="55"/>
      <c r="E471" s="53"/>
      <c r="F471" s="55"/>
      <c r="G471" s="55" t="b">
        <v>0</v>
      </c>
      <c r="H471" s="55"/>
      <c r="I471" s="55"/>
      <c r="J471" s="55"/>
      <c r="K471" s="55"/>
      <c r="L471" s="55"/>
      <c r="M471" s="55"/>
      <c r="N471" s="55"/>
      <c r="O471" s="55"/>
      <c r="P471" s="55"/>
      <c r="Q471" s="55"/>
      <c r="R471" s="55"/>
      <c r="S471" s="55"/>
      <c r="T471" s="55"/>
      <c r="U471" s="55"/>
    </row>
    <row r="472">
      <c r="A472" s="55"/>
      <c r="B472" s="55"/>
      <c r="C472" s="55"/>
      <c r="D472" s="55"/>
      <c r="E472" s="53"/>
      <c r="F472" s="55"/>
      <c r="G472" s="55" t="b">
        <v>0</v>
      </c>
      <c r="H472" s="55"/>
      <c r="I472" s="55"/>
      <c r="J472" s="55"/>
      <c r="K472" s="55"/>
      <c r="L472" s="55"/>
      <c r="M472" s="55"/>
      <c r="N472" s="55"/>
      <c r="O472" s="55"/>
      <c r="P472" s="55"/>
      <c r="Q472" s="55"/>
      <c r="R472" s="55"/>
      <c r="S472" s="55"/>
      <c r="T472" s="55"/>
      <c r="U472" s="55"/>
    </row>
    <row r="473">
      <c r="A473" s="55"/>
      <c r="B473" s="55"/>
      <c r="C473" s="55"/>
      <c r="D473" s="55"/>
      <c r="E473" s="53"/>
      <c r="F473" s="55"/>
      <c r="G473" s="55" t="b">
        <v>0</v>
      </c>
      <c r="H473" s="55"/>
      <c r="I473" s="55"/>
      <c r="J473" s="55"/>
      <c r="K473" s="55"/>
      <c r="L473" s="55"/>
      <c r="M473" s="55"/>
      <c r="N473" s="55"/>
      <c r="O473" s="55"/>
      <c r="P473" s="55"/>
      <c r="Q473" s="55"/>
      <c r="R473" s="55"/>
      <c r="S473" s="55"/>
      <c r="T473" s="55"/>
      <c r="U473" s="55"/>
    </row>
    <row r="474">
      <c r="A474" s="55"/>
      <c r="B474" s="55"/>
      <c r="C474" s="55"/>
      <c r="D474" s="55"/>
      <c r="E474" s="53"/>
      <c r="F474" s="55"/>
      <c r="G474" s="55" t="b">
        <v>0</v>
      </c>
      <c r="H474" s="55"/>
      <c r="I474" s="55"/>
      <c r="J474" s="55"/>
      <c r="K474" s="55"/>
      <c r="L474" s="55"/>
      <c r="M474" s="55"/>
      <c r="N474" s="55"/>
      <c r="O474" s="55"/>
      <c r="P474" s="55"/>
      <c r="Q474" s="55"/>
      <c r="R474" s="55"/>
      <c r="S474" s="55"/>
      <c r="T474" s="55"/>
      <c r="U474" s="55"/>
    </row>
    <row r="475">
      <c r="A475" s="55"/>
      <c r="B475" s="55"/>
      <c r="C475" s="55"/>
      <c r="D475" s="55"/>
      <c r="E475" s="53"/>
      <c r="F475" s="55"/>
      <c r="G475" s="55" t="b">
        <v>0</v>
      </c>
      <c r="H475" s="55"/>
      <c r="I475" s="55"/>
      <c r="J475" s="55"/>
      <c r="K475" s="55"/>
      <c r="L475" s="55"/>
      <c r="M475" s="55"/>
      <c r="N475" s="55"/>
      <c r="O475" s="55"/>
      <c r="P475" s="55"/>
      <c r="Q475" s="55"/>
      <c r="R475" s="55"/>
      <c r="S475" s="55"/>
      <c r="T475" s="55"/>
      <c r="U475" s="55"/>
    </row>
    <row r="476">
      <c r="A476" s="55"/>
      <c r="B476" s="55"/>
      <c r="C476" s="55"/>
      <c r="D476" s="55"/>
      <c r="E476" s="53"/>
      <c r="F476" s="55"/>
      <c r="G476" s="55" t="b">
        <v>0</v>
      </c>
      <c r="H476" s="55"/>
      <c r="I476" s="55"/>
      <c r="J476" s="55"/>
      <c r="K476" s="55"/>
      <c r="L476" s="55"/>
      <c r="M476" s="55"/>
      <c r="N476" s="55"/>
      <c r="O476" s="55"/>
      <c r="P476" s="55"/>
      <c r="Q476" s="55"/>
      <c r="R476" s="55"/>
      <c r="S476" s="55"/>
      <c r="T476" s="55"/>
      <c r="U476" s="55"/>
    </row>
    <row r="477">
      <c r="A477" s="55"/>
      <c r="B477" s="55"/>
      <c r="C477" s="55"/>
      <c r="D477" s="55"/>
      <c r="E477" s="53"/>
      <c r="F477" s="55"/>
      <c r="G477" s="55" t="b">
        <v>0</v>
      </c>
      <c r="H477" s="55"/>
      <c r="I477" s="55"/>
      <c r="J477" s="55"/>
      <c r="K477" s="55"/>
      <c r="L477" s="55"/>
      <c r="M477" s="55"/>
      <c r="N477" s="55"/>
      <c r="O477" s="55"/>
      <c r="P477" s="55"/>
      <c r="Q477" s="55"/>
      <c r="R477" s="55"/>
      <c r="S477" s="55"/>
      <c r="T477" s="55"/>
      <c r="U477" s="55"/>
    </row>
    <row r="478">
      <c r="A478" s="55"/>
      <c r="B478" s="55"/>
      <c r="C478" s="55"/>
      <c r="D478" s="55"/>
      <c r="E478" s="53"/>
      <c r="F478" s="55"/>
      <c r="G478" s="55" t="b">
        <v>0</v>
      </c>
      <c r="H478" s="55"/>
      <c r="I478" s="55"/>
      <c r="J478" s="55"/>
      <c r="K478" s="55"/>
      <c r="L478" s="55"/>
      <c r="M478" s="55"/>
      <c r="N478" s="55"/>
      <c r="O478" s="55"/>
      <c r="P478" s="55"/>
      <c r="Q478" s="55"/>
      <c r="R478" s="55"/>
      <c r="S478" s="55"/>
      <c r="T478" s="55"/>
      <c r="U478" s="55"/>
    </row>
    <row r="479">
      <c r="A479" s="55"/>
      <c r="B479" s="55"/>
      <c r="C479" s="55"/>
      <c r="D479" s="55"/>
      <c r="E479" s="53"/>
      <c r="F479" s="55"/>
      <c r="G479" s="55" t="b">
        <v>0</v>
      </c>
      <c r="H479" s="55"/>
      <c r="I479" s="55"/>
      <c r="J479" s="55"/>
      <c r="K479" s="55"/>
      <c r="L479" s="55"/>
      <c r="M479" s="55"/>
      <c r="N479" s="55"/>
      <c r="O479" s="55"/>
      <c r="P479" s="55"/>
      <c r="Q479" s="55"/>
      <c r="R479" s="55"/>
      <c r="S479" s="55"/>
      <c r="T479" s="55"/>
      <c r="U479" s="55"/>
    </row>
    <row r="480">
      <c r="A480" s="55"/>
      <c r="B480" s="55"/>
      <c r="C480" s="55"/>
      <c r="D480" s="55"/>
      <c r="E480" s="53"/>
      <c r="F480" s="55"/>
      <c r="G480" s="55" t="b">
        <v>0</v>
      </c>
      <c r="H480" s="55"/>
      <c r="I480" s="55"/>
      <c r="J480" s="55"/>
      <c r="K480" s="55"/>
      <c r="L480" s="55"/>
      <c r="M480" s="55"/>
      <c r="N480" s="55"/>
      <c r="O480" s="55"/>
      <c r="P480" s="55"/>
      <c r="Q480" s="55"/>
      <c r="R480" s="55"/>
      <c r="S480" s="55"/>
      <c r="T480" s="55"/>
      <c r="U480" s="55"/>
    </row>
    <row r="481">
      <c r="A481" s="55"/>
      <c r="B481" s="55"/>
      <c r="C481" s="55"/>
      <c r="D481" s="55"/>
      <c r="E481" s="53"/>
      <c r="F481" s="55"/>
      <c r="G481" s="55" t="b">
        <v>0</v>
      </c>
      <c r="H481" s="55"/>
      <c r="I481" s="55"/>
      <c r="J481" s="55"/>
      <c r="K481" s="55"/>
      <c r="L481" s="55"/>
      <c r="M481" s="55"/>
      <c r="N481" s="55"/>
      <c r="O481" s="55"/>
      <c r="P481" s="55"/>
      <c r="Q481" s="55"/>
      <c r="R481" s="55"/>
      <c r="S481" s="55"/>
      <c r="T481" s="55"/>
      <c r="U481" s="55"/>
    </row>
    <row r="482">
      <c r="A482" s="55"/>
      <c r="B482" s="55"/>
      <c r="C482" s="55"/>
      <c r="D482" s="55"/>
      <c r="E482" s="53"/>
      <c r="F482" s="55"/>
      <c r="G482" s="55" t="b">
        <v>0</v>
      </c>
      <c r="H482" s="55"/>
      <c r="I482" s="55"/>
      <c r="J482" s="55"/>
      <c r="K482" s="55"/>
      <c r="L482" s="55"/>
      <c r="M482" s="55"/>
      <c r="N482" s="55"/>
      <c r="O482" s="55"/>
      <c r="P482" s="55"/>
      <c r="Q482" s="55"/>
      <c r="R482" s="55"/>
      <c r="S482" s="55"/>
      <c r="T482" s="55"/>
      <c r="U482" s="55"/>
    </row>
    <row r="483">
      <c r="A483" s="55"/>
      <c r="B483" s="55"/>
      <c r="C483" s="55"/>
      <c r="D483" s="55"/>
      <c r="E483" s="53"/>
      <c r="F483" s="55"/>
      <c r="G483" s="55" t="b">
        <v>0</v>
      </c>
      <c r="H483" s="55"/>
      <c r="I483" s="55"/>
      <c r="J483" s="55"/>
      <c r="K483" s="55"/>
      <c r="L483" s="55"/>
      <c r="M483" s="55"/>
      <c r="N483" s="55"/>
      <c r="O483" s="55"/>
      <c r="P483" s="55"/>
      <c r="Q483" s="55"/>
      <c r="R483" s="55"/>
      <c r="S483" s="55"/>
      <c r="T483" s="55"/>
      <c r="U483" s="55"/>
    </row>
    <row r="484">
      <c r="A484" s="55"/>
      <c r="B484" s="55"/>
      <c r="C484" s="55"/>
      <c r="D484" s="55"/>
      <c r="E484" s="53"/>
      <c r="F484" s="55"/>
      <c r="G484" s="55" t="b">
        <v>0</v>
      </c>
      <c r="H484" s="55"/>
      <c r="I484" s="55"/>
      <c r="J484" s="55"/>
      <c r="K484" s="55"/>
      <c r="L484" s="55"/>
      <c r="M484" s="55"/>
      <c r="N484" s="55"/>
      <c r="O484" s="55"/>
      <c r="P484" s="55"/>
      <c r="Q484" s="55"/>
      <c r="R484" s="55"/>
      <c r="S484" s="55"/>
      <c r="T484" s="55"/>
      <c r="U484" s="55"/>
    </row>
    <row r="485">
      <c r="A485" s="55"/>
      <c r="B485" s="55"/>
      <c r="C485" s="55"/>
      <c r="D485" s="55"/>
      <c r="E485" s="53"/>
      <c r="F485" s="55"/>
      <c r="G485" s="55" t="b">
        <v>0</v>
      </c>
      <c r="H485" s="55"/>
      <c r="I485" s="55"/>
      <c r="J485" s="55"/>
      <c r="K485" s="55"/>
      <c r="L485" s="55"/>
      <c r="M485" s="55"/>
      <c r="N485" s="55"/>
      <c r="O485" s="55"/>
      <c r="P485" s="55"/>
      <c r="Q485" s="55"/>
      <c r="R485" s="55"/>
      <c r="S485" s="55"/>
      <c r="T485" s="55"/>
      <c r="U485" s="55"/>
    </row>
    <row r="486">
      <c r="A486" s="55"/>
      <c r="B486" s="55"/>
      <c r="C486" s="55"/>
      <c r="D486" s="55"/>
      <c r="E486" s="53"/>
      <c r="F486" s="55"/>
      <c r="G486" s="55" t="b">
        <v>0</v>
      </c>
      <c r="H486" s="55"/>
      <c r="I486" s="55"/>
      <c r="J486" s="55"/>
      <c r="K486" s="55"/>
      <c r="L486" s="55"/>
      <c r="M486" s="55"/>
      <c r="N486" s="55"/>
      <c r="O486" s="55"/>
      <c r="P486" s="55"/>
      <c r="Q486" s="55"/>
      <c r="R486" s="55"/>
      <c r="S486" s="55"/>
      <c r="T486" s="55"/>
      <c r="U486" s="55"/>
    </row>
    <row r="487">
      <c r="A487" s="55"/>
      <c r="B487" s="55"/>
      <c r="C487" s="55"/>
      <c r="D487" s="55"/>
      <c r="E487" s="53"/>
      <c r="F487" s="55"/>
      <c r="G487" s="55" t="b">
        <v>0</v>
      </c>
      <c r="H487" s="55"/>
      <c r="I487" s="55"/>
      <c r="J487" s="55"/>
      <c r="K487" s="55"/>
      <c r="L487" s="55"/>
      <c r="M487" s="55"/>
      <c r="N487" s="55"/>
      <c r="O487" s="55"/>
      <c r="P487" s="55"/>
      <c r="Q487" s="55"/>
      <c r="R487" s="55"/>
      <c r="S487" s="55"/>
      <c r="T487" s="55"/>
      <c r="U487" s="55"/>
    </row>
    <row r="488">
      <c r="A488" s="55"/>
      <c r="B488" s="55"/>
      <c r="C488" s="55"/>
      <c r="D488" s="55"/>
      <c r="E488" s="53"/>
      <c r="F488" s="55"/>
      <c r="G488" s="55" t="b">
        <v>0</v>
      </c>
      <c r="H488" s="55"/>
      <c r="I488" s="55"/>
      <c r="J488" s="55"/>
      <c r="K488" s="55"/>
      <c r="L488" s="55"/>
      <c r="M488" s="55"/>
      <c r="N488" s="55"/>
      <c r="O488" s="55"/>
      <c r="P488" s="55"/>
      <c r="Q488" s="55"/>
      <c r="R488" s="55"/>
      <c r="S488" s="55"/>
      <c r="T488" s="55"/>
      <c r="U488" s="55"/>
    </row>
    <row r="489">
      <c r="A489" s="55"/>
      <c r="B489" s="55"/>
      <c r="C489" s="55"/>
      <c r="D489" s="55"/>
      <c r="E489" s="53"/>
      <c r="F489" s="55"/>
      <c r="G489" s="55" t="b">
        <v>0</v>
      </c>
      <c r="H489" s="55"/>
      <c r="I489" s="55"/>
      <c r="J489" s="55"/>
      <c r="K489" s="55"/>
      <c r="L489" s="55"/>
      <c r="M489" s="55"/>
      <c r="N489" s="55"/>
      <c r="O489" s="55"/>
      <c r="P489" s="55"/>
      <c r="Q489" s="55"/>
      <c r="R489" s="55"/>
      <c r="S489" s="55"/>
      <c r="T489" s="55"/>
      <c r="U489" s="55"/>
    </row>
    <row r="490">
      <c r="A490" s="55"/>
      <c r="B490" s="55"/>
      <c r="C490" s="55"/>
      <c r="D490" s="55"/>
      <c r="E490" s="53"/>
      <c r="F490" s="55"/>
      <c r="G490" s="55" t="b">
        <v>0</v>
      </c>
      <c r="H490" s="55"/>
      <c r="I490" s="55"/>
      <c r="J490" s="55"/>
      <c r="K490" s="55"/>
      <c r="L490" s="55"/>
      <c r="M490" s="55"/>
      <c r="N490" s="55"/>
      <c r="O490" s="55"/>
      <c r="P490" s="55"/>
      <c r="Q490" s="55"/>
      <c r="R490" s="55"/>
      <c r="S490" s="55"/>
      <c r="T490" s="55"/>
      <c r="U490" s="55"/>
    </row>
    <row r="491">
      <c r="A491" s="55"/>
      <c r="B491" s="55"/>
      <c r="C491" s="55"/>
      <c r="D491" s="55"/>
      <c r="E491" s="53"/>
      <c r="F491" s="55"/>
      <c r="G491" s="55" t="b">
        <v>0</v>
      </c>
      <c r="H491" s="55"/>
      <c r="I491" s="55"/>
      <c r="J491" s="55"/>
      <c r="K491" s="55"/>
      <c r="L491" s="55"/>
      <c r="M491" s="55"/>
      <c r="N491" s="55"/>
      <c r="O491" s="55"/>
      <c r="P491" s="55"/>
      <c r="Q491" s="55"/>
      <c r="R491" s="55"/>
      <c r="S491" s="55"/>
      <c r="T491" s="55"/>
      <c r="U491" s="55"/>
    </row>
    <row r="492">
      <c r="A492" s="55"/>
      <c r="B492" s="55"/>
      <c r="C492" s="55"/>
      <c r="D492" s="55"/>
      <c r="E492" s="53"/>
      <c r="F492" s="55"/>
      <c r="G492" s="55" t="b">
        <v>0</v>
      </c>
      <c r="H492" s="55"/>
      <c r="I492" s="55"/>
      <c r="J492" s="55"/>
      <c r="K492" s="55"/>
      <c r="L492" s="55"/>
      <c r="M492" s="55"/>
      <c r="N492" s="55"/>
      <c r="O492" s="55"/>
      <c r="P492" s="55"/>
      <c r="Q492" s="55"/>
      <c r="R492" s="55"/>
      <c r="S492" s="55"/>
      <c r="T492" s="55"/>
      <c r="U492" s="55"/>
    </row>
    <row r="493">
      <c r="A493" s="55"/>
      <c r="B493" s="55"/>
      <c r="C493" s="55"/>
      <c r="D493" s="55"/>
      <c r="E493" s="53"/>
      <c r="F493" s="55"/>
      <c r="G493" s="55" t="b">
        <v>0</v>
      </c>
      <c r="H493" s="55"/>
      <c r="I493" s="55"/>
      <c r="J493" s="55"/>
      <c r="K493" s="55"/>
      <c r="L493" s="55"/>
      <c r="M493" s="55"/>
      <c r="N493" s="55"/>
      <c r="O493" s="55"/>
      <c r="P493" s="55"/>
      <c r="Q493" s="55"/>
      <c r="R493" s="55"/>
      <c r="S493" s="55"/>
      <c r="T493" s="55"/>
      <c r="U493" s="55"/>
    </row>
    <row r="494">
      <c r="A494" s="55"/>
      <c r="B494" s="55"/>
      <c r="C494" s="55"/>
      <c r="D494" s="55"/>
      <c r="E494" s="53"/>
      <c r="F494" s="55"/>
      <c r="G494" s="55" t="b">
        <v>0</v>
      </c>
      <c r="H494" s="55"/>
      <c r="I494" s="55"/>
      <c r="J494" s="55"/>
      <c r="K494" s="55"/>
      <c r="L494" s="55"/>
      <c r="M494" s="55"/>
      <c r="N494" s="55"/>
      <c r="O494" s="55"/>
      <c r="P494" s="55"/>
      <c r="Q494" s="55"/>
      <c r="R494" s="55"/>
      <c r="S494" s="55"/>
      <c r="T494" s="55"/>
      <c r="U494" s="55"/>
    </row>
    <row r="495">
      <c r="A495" s="55"/>
      <c r="B495" s="55"/>
      <c r="C495" s="55"/>
      <c r="D495" s="55"/>
      <c r="E495" s="53"/>
      <c r="F495" s="55"/>
      <c r="G495" s="55" t="b">
        <v>0</v>
      </c>
      <c r="H495" s="55"/>
      <c r="I495" s="55"/>
      <c r="J495" s="55"/>
      <c r="K495" s="55"/>
      <c r="L495" s="55"/>
      <c r="M495" s="55"/>
      <c r="N495" s="55"/>
      <c r="O495" s="55"/>
      <c r="P495" s="55"/>
      <c r="Q495" s="55"/>
      <c r="R495" s="55"/>
      <c r="S495" s="55"/>
      <c r="T495" s="55"/>
      <c r="U495" s="55"/>
    </row>
    <row r="496">
      <c r="A496" s="55"/>
      <c r="B496" s="55"/>
      <c r="C496" s="55"/>
      <c r="D496" s="55"/>
      <c r="E496" s="53"/>
      <c r="F496" s="55"/>
      <c r="G496" s="55" t="b">
        <v>0</v>
      </c>
      <c r="H496" s="55"/>
      <c r="I496" s="55"/>
      <c r="J496" s="55"/>
      <c r="K496" s="55"/>
      <c r="L496" s="55"/>
      <c r="M496" s="55"/>
      <c r="N496" s="55"/>
      <c r="O496" s="55"/>
      <c r="P496" s="55"/>
      <c r="Q496" s="55"/>
      <c r="R496" s="55"/>
      <c r="S496" s="55"/>
      <c r="T496" s="55"/>
      <c r="U496" s="55"/>
    </row>
    <row r="497">
      <c r="A497" s="55"/>
      <c r="B497" s="55"/>
      <c r="C497" s="55"/>
      <c r="D497" s="55"/>
      <c r="E497" s="53"/>
      <c r="F497" s="55"/>
      <c r="G497" s="55" t="b">
        <v>0</v>
      </c>
      <c r="H497" s="55"/>
      <c r="I497" s="55"/>
      <c r="J497" s="55"/>
      <c r="K497" s="55"/>
      <c r="L497" s="55"/>
      <c r="M497" s="55"/>
      <c r="N497" s="55"/>
      <c r="O497" s="55"/>
      <c r="P497" s="55"/>
      <c r="Q497" s="55"/>
      <c r="R497" s="55"/>
      <c r="S497" s="55"/>
      <c r="T497" s="55"/>
      <c r="U497" s="55"/>
    </row>
    <row r="498">
      <c r="A498" s="55"/>
      <c r="B498" s="55"/>
      <c r="C498" s="55"/>
      <c r="D498" s="55"/>
      <c r="E498" s="53"/>
      <c r="F498" s="55"/>
      <c r="G498" s="55" t="b">
        <v>0</v>
      </c>
      <c r="H498" s="55"/>
      <c r="I498" s="55"/>
      <c r="J498" s="55"/>
      <c r="K498" s="55"/>
      <c r="L498" s="55"/>
      <c r="M498" s="55"/>
      <c r="N498" s="55"/>
      <c r="O498" s="55"/>
      <c r="P498" s="55"/>
      <c r="Q498" s="55"/>
      <c r="R498" s="55"/>
      <c r="S498" s="55"/>
      <c r="T498" s="55"/>
      <c r="U498" s="55"/>
    </row>
    <row r="499">
      <c r="A499" s="55"/>
      <c r="B499" s="55"/>
      <c r="C499" s="55"/>
      <c r="D499" s="55"/>
      <c r="E499" s="53"/>
      <c r="F499" s="55"/>
      <c r="G499" s="55" t="b">
        <v>0</v>
      </c>
      <c r="H499" s="55"/>
      <c r="I499" s="55"/>
      <c r="J499" s="55"/>
      <c r="K499" s="55"/>
      <c r="L499" s="55"/>
      <c r="M499" s="55"/>
      <c r="N499" s="55"/>
      <c r="O499" s="55"/>
      <c r="P499" s="55"/>
      <c r="Q499" s="55"/>
      <c r="R499" s="55"/>
      <c r="S499" s="55"/>
      <c r="T499" s="55"/>
      <c r="U499" s="55"/>
    </row>
    <row r="500">
      <c r="A500" s="55"/>
      <c r="B500" s="55"/>
      <c r="C500" s="55"/>
      <c r="D500" s="55"/>
      <c r="E500" s="53"/>
      <c r="F500" s="55"/>
      <c r="G500" s="55" t="b">
        <v>0</v>
      </c>
      <c r="H500" s="55"/>
      <c r="I500" s="55"/>
      <c r="J500" s="55"/>
      <c r="K500" s="55"/>
      <c r="L500" s="55"/>
      <c r="M500" s="55"/>
      <c r="N500" s="55"/>
      <c r="O500" s="55"/>
      <c r="P500" s="55"/>
      <c r="Q500" s="55"/>
      <c r="R500" s="55"/>
      <c r="S500" s="55"/>
      <c r="T500" s="55"/>
      <c r="U500" s="55"/>
    </row>
    <row r="501">
      <c r="A501" s="55"/>
      <c r="B501" s="55"/>
      <c r="C501" s="55"/>
      <c r="D501" s="55"/>
      <c r="E501" s="53"/>
      <c r="F501" s="55"/>
      <c r="G501" s="55" t="b">
        <v>0</v>
      </c>
      <c r="H501" s="55"/>
      <c r="I501" s="55"/>
      <c r="J501" s="55"/>
      <c r="K501" s="55"/>
      <c r="L501" s="55"/>
      <c r="M501" s="55"/>
      <c r="N501" s="55"/>
      <c r="O501" s="55"/>
      <c r="P501" s="55"/>
      <c r="Q501" s="55"/>
      <c r="R501" s="55"/>
      <c r="S501" s="55"/>
      <c r="T501" s="55"/>
      <c r="U501" s="55"/>
    </row>
    <row r="502">
      <c r="A502" s="55"/>
      <c r="B502" s="55"/>
      <c r="C502" s="55"/>
      <c r="D502" s="55"/>
      <c r="E502" s="53"/>
      <c r="F502" s="55"/>
      <c r="G502" s="55" t="b">
        <v>0</v>
      </c>
      <c r="H502" s="55"/>
      <c r="I502" s="55"/>
      <c r="J502" s="55"/>
      <c r="K502" s="55"/>
      <c r="L502" s="55"/>
      <c r="M502" s="55"/>
      <c r="N502" s="55"/>
      <c r="O502" s="55"/>
      <c r="P502" s="55"/>
      <c r="Q502" s="55"/>
      <c r="R502" s="55"/>
      <c r="S502" s="55"/>
      <c r="T502" s="55"/>
      <c r="U502" s="55"/>
    </row>
    <row r="503">
      <c r="A503" s="55"/>
      <c r="B503" s="55"/>
      <c r="C503" s="55"/>
      <c r="D503" s="55"/>
      <c r="E503" s="53"/>
      <c r="F503" s="55"/>
      <c r="G503" s="55" t="b">
        <v>0</v>
      </c>
      <c r="H503" s="55"/>
      <c r="I503" s="55"/>
      <c r="J503" s="55"/>
      <c r="K503" s="55"/>
      <c r="L503" s="55"/>
      <c r="M503" s="55"/>
      <c r="N503" s="55"/>
      <c r="O503" s="55"/>
      <c r="P503" s="55"/>
      <c r="Q503" s="55"/>
      <c r="R503" s="55"/>
      <c r="S503" s="55"/>
      <c r="T503" s="55"/>
      <c r="U503" s="55"/>
    </row>
    <row r="504">
      <c r="A504" s="55"/>
      <c r="B504" s="55"/>
      <c r="C504" s="55"/>
      <c r="D504" s="55"/>
      <c r="E504" s="53"/>
      <c r="F504" s="55"/>
      <c r="G504" s="55" t="b">
        <v>0</v>
      </c>
      <c r="H504" s="55"/>
      <c r="I504" s="55"/>
      <c r="J504" s="55"/>
      <c r="K504" s="55"/>
      <c r="L504" s="55"/>
      <c r="M504" s="55"/>
      <c r="N504" s="55"/>
      <c r="O504" s="55"/>
      <c r="P504" s="55"/>
      <c r="Q504" s="55"/>
      <c r="R504" s="55"/>
      <c r="S504" s="55"/>
      <c r="T504" s="55"/>
      <c r="U504" s="55"/>
    </row>
    <row r="505">
      <c r="A505" s="55"/>
      <c r="B505" s="55"/>
      <c r="C505" s="55"/>
      <c r="D505" s="55"/>
      <c r="E505" s="53"/>
      <c r="F505" s="55"/>
      <c r="G505" s="55" t="b">
        <v>0</v>
      </c>
      <c r="H505" s="55"/>
      <c r="I505" s="55"/>
      <c r="J505" s="55"/>
      <c r="K505" s="55"/>
      <c r="L505" s="55"/>
      <c r="M505" s="55"/>
      <c r="N505" s="55"/>
      <c r="O505" s="55"/>
      <c r="P505" s="55"/>
      <c r="Q505" s="55"/>
      <c r="R505" s="55"/>
      <c r="S505" s="55"/>
      <c r="T505" s="55"/>
      <c r="U505" s="55"/>
    </row>
    <row r="506">
      <c r="A506" s="55"/>
      <c r="B506" s="55"/>
      <c r="C506" s="55"/>
      <c r="D506" s="55"/>
      <c r="E506" s="53"/>
      <c r="F506" s="55"/>
      <c r="G506" s="55" t="b">
        <v>0</v>
      </c>
      <c r="H506" s="55"/>
      <c r="I506" s="55"/>
      <c r="J506" s="55"/>
      <c r="K506" s="55"/>
      <c r="L506" s="55"/>
      <c r="M506" s="55"/>
      <c r="N506" s="55"/>
      <c r="O506" s="55"/>
      <c r="P506" s="55"/>
      <c r="Q506" s="55"/>
      <c r="R506" s="55"/>
      <c r="S506" s="55"/>
      <c r="T506" s="55"/>
      <c r="U506" s="55"/>
    </row>
    <row r="507">
      <c r="A507" s="55"/>
      <c r="B507" s="55"/>
      <c r="C507" s="55"/>
      <c r="D507" s="55"/>
      <c r="E507" s="53"/>
      <c r="F507" s="55"/>
      <c r="G507" s="55" t="b">
        <v>0</v>
      </c>
      <c r="H507" s="55"/>
      <c r="I507" s="55"/>
      <c r="J507" s="55"/>
      <c r="K507" s="55"/>
      <c r="L507" s="55"/>
      <c r="M507" s="55"/>
      <c r="N507" s="55"/>
      <c r="O507" s="55"/>
      <c r="P507" s="55"/>
      <c r="Q507" s="55"/>
      <c r="R507" s="55"/>
      <c r="S507" s="55"/>
      <c r="T507" s="55"/>
      <c r="U507" s="55"/>
    </row>
    <row r="508">
      <c r="A508" s="55"/>
      <c r="B508" s="55"/>
      <c r="C508" s="55"/>
      <c r="D508" s="55"/>
      <c r="E508" s="53"/>
      <c r="F508" s="55"/>
      <c r="G508" s="55" t="b">
        <v>0</v>
      </c>
      <c r="H508" s="55"/>
      <c r="I508" s="55"/>
      <c r="J508" s="55"/>
      <c r="K508" s="55"/>
      <c r="L508" s="55"/>
      <c r="M508" s="55"/>
      <c r="N508" s="55"/>
      <c r="O508" s="55"/>
      <c r="P508" s="55"/>
      <c r="Q508" s="55"/>
      <c r="R508" s="55"/>
      <c r="S508" s="55"/>
      <c r="T508" s="55"/>
      <c r="U508" s="55"/>
    </row>
    <row r="509">
      <c r="A509" s="55"/>
      <c r="B509" s="55"/>
      <c r="C509" s="55"/>
      <c r="D509" s="55"/>
      <c r="E509" s="53"/>
      <c r="F509" s="55"/>
      <c r="G509" s="55" t="b">
        <v>0</v>
      </c>
      <c r="H509" s="55"/>
      <c r="I509" s="55"/>
      <c r="J509" s="55"/>
      <c r="K509" s="55"/>
      <c r="L509" s="55"/>
      <c r="M509" s="55"/>
      <c r="N509" s="55"/>
      <c r="O509" s="55"/>
      <c r="P509" s="55"/>
      <c r="Q509" s="55"/>
      <c r="R509" s="55"/>
      <c r="S509" s="55"/>
      <c r="T509" s="55"/>
      <c r="U509" s="55"/>
    </row>
    <row r="510">
      <c r="A510" s="55"/>
      <c r="B510" s="55"/>
      <c r="C510" s="55"/>
      <c r="D510" s="55"/>
      <c r="E510" s="53"/>
      <c r="F510" s="55"/>
      <c r="G510" s="55" t="b">
        <v>0</v>
      </c>
      <c r="H510" s="55"/>
      <c r="I510" s="55"/>
      <c r="J510" s="55"/>
      <c r="K510" s="55"/>
      <c r="L510" s="55"/>
      <c r="M510" s="55"/>
      <c r="N510" s="55"/>
      <c r="O510" s="55"/>
      <c r="P510" s="55"/>
      <c r="Q510" s="55"/>
      <c r="R510" s="55"/>
      <c r="S510" s="55"/>
      <c r="T510" s="55"/>
      <c r="U510" s="55"/>
    </row>
    <row r="511">
      <c r="A511" s="55"/>
      <c r="B511" s="55"/>
      <c r="C511" s="55"/>
      <c r="D511" s="55"/>
      <c r="E511" s="53"/>
      <c r="F511" s="55"/>
      <c r="G511" s="55" t="b">
        <v>0</v>
      </c>
      <c r="H511" s="55"/>
      <c r="I511" s="55"/>
      <c r="J511" s="55"/>
      <c r="K511" s="55"/>
      <c r="L511" s="55"/>
      <c r="M511" s="55"/>
      <c r="N511" s="55"/>
      <c r="O511" s="55"/>
      <c r="P511" s="55"/>
      <c r="Q511" s="55"/>
      <c r="R511" s="55"/>
      <c r="S511" s="55"/>
      <c r="T511" s="55"/>
      <c r="U511" s="55"/>
    </row>
    <row r="512">
      <c r="A512" s="55"/>
      <c r="B512" s="55"/>
      <c r="C512" s="55"/>
      <c r="D512" s="55"/>
      <c r="E512" s="53"/>
      <c r="F512" s="55"/>
      <c r="G512" s="55" t="b">
        <v>0</v>
      </c>
      <c r="H512" s="55"/>
      <c r="I512" s="55"/>
      <c r="J512" s="55"/>
      <c r="K512" s="55"/>
      <c r="L512" s="55"/>
      <c r="M512" s="55"/>
      <c r="N512" s="55"/>
      <c r="O512" s="55"/>
      <c r="P512" s="55"/>
      <c r="Q512" s="55"/>
      <c r="R512" s="55"/>
      <c r="S512" s="55"/>
      <c r="T512" s="55"/>
      <c r="U512" s="55"/>
    </row>
    <row r="513">
      <c r="A513" s="55"/>
      <c r="B513" s="55"/>
      <c r="C513" s="55"/>
      <c r="D513" s="55"/>
      <c r="E513" s="53"/>
      <c r="F513" s="55"/>
      <c r="G513" s="55" t="b">
        <v>0</v>
      </c>
      <c r="H513" s="55"/>
      <c r="I513" s="55"/>
      <c r="J513" s="55"/>
      <c r="K513" s="55"/>
      <c r="L513" s="55"/>
      <c r="M513" s="55"/>
      <c r="N513" s="55"/>
      <c r="O513" s="55"/>
      <c r="P513" s="55"/>
      <c r="Q513" s="55"/>
      <c r="R513" s="55"/>
      <c r="S513" s="55"/>
      <c r="T513" s="55"/>
      <c r="U513" s="55"/>
    </row>
    <row r="514">
      <c r="A514" s="55"/>
      <c r="B514" s="55"/>
      <c r="C514" s="55"/>
      <c r="D514" s="55"/>
      <c r="E514" s="53"/>
      <c r="F514" s="55"/>
      <c r="G514" s="55" t="b">
        <v>0</v>
      </c>
      <c r="H514" s="55"/>
      <c r="I514" s="55"/>
      <c r="J514" s="55"/>
      <c r="K514" s="55"/>
      <c r="L514" s="55"/>
      <c r="M514" s="55"/>
      <c r="N514" s="55"/>
      <c r="O514" s="55"/>
      <c r="P514" s="55"/>
      <c r="Q514" s="55"/>
      <c r="R514" s="55"/>
      <c r="S514" s="55"/>
      <c r="T514" s="55"/>
      <c r="U514" s="55"/>
    </row>
    <row r="515">
      <c r="A515" s="55"/>
      <c r="B515" s="55"/>
      <c r="C515" s="55"/>
      <c r="D515" s="55"/>
      <c r="E515" s="53"/>
      <c r="F515" s="55"/>
      <c r="G515" s="55" t="b">
        <v>0</v>
      </c>
      <c r="H515" s="55"/>
      <c r="I515" s="55"/>
      <c r="J515" s="55"/>
      <c r="K515" s="55"/>
      <c r="L515" s="55"/>
      <c r="M515" s="55"/>
      <c r="N515" s="55"/>
      <c r="O515" s="55"/>
      <c r="P515" s="55"/>
      <c r="Q515" s="55"/>
      <c r="R515" s="55"/>
      <c r="S515" s="55"/>
      <c r="T515" s="55"/>
      <c r="U515" s="55"/>
    </row>
    <row r="516">
      <c r="A516" s="55"/>
      <c r="B516" s="55"/>
      <c r="C516" s="55"/>
      <c r="D516" s="55"/>
      <c r="E516" s="53"/>
      <c r="F516" s="55"/>
      <c r="G516" s="55" t="b">
        <v>0</v>
      </c>
      <c r="H516" s="55"/>
      <c r="I516" s="55"/>
      <c r="J516" s="55"/>
      <c r="K516" s="55"/>
      <c r="L516" s="55"/>
      <c r="M516" s="55"/>
      <c r="N516" s="55"/>
      <c r="O516" s="55"/>
      <c r="P516" s="55"/>
      <c r="Q516" s="55"/>
      <c r="R516" s="55"/>
      <c r="S516" s="55"/>
      <c r="T516" s="55"/>
      <c r="U516" s="55"/>
    </row>
    <row r="517">
      <c r="A517" s="55"/>
      <c r="B517" s="55"/>
      <c r="C517" s="55"/>
      <c r="D517" s="55"/>
      <c r="E517" s="53"/>
      <c r="F517" s="55"/>
      <c r="G517" s="55" t="b">
        <v>0</v>
      </c>
      <c r="H517" s="55"/>
      <c r="I517" s="55"/>
      <c r="J517" s="55"/>
      <c r="K517" s="55"/>
      <c r="L517" s="55"/>
      <c r="M517" s="55"/>
      <c r="N517" s="55"/>
      <c r="O517" s="55"/>
      <c r="P517" s="55"/>
      <c r="Q517" s="55"/>
      <c r="R517" s="55"/>
      <c r="S517" s="55"/>
      <c r="T517" s="55"/>
      <c r="U517" s="55"/>
    </row>
    <row r="518">
      <c r="A518" s="55"/>
      <c r="B518" s="55"/>
      <c r="C518" s="55"/>
      <c r="D518" s="55"/>
      <c r="E518" s="53"/>
      <c r="F518" s="55"/>
      <c r="G518" s="55" t="b">
        <v>0</v>
      </c>
      <c r="H518" s="55"/>
      <c r="I518" s="55"/>
      <c r="J518" s="55"/>
      <c r="K518" s="55"/>
      <c r="L518" s="55"/>
      <c r="M518" s="55"/>
      <c r="N518" s="55"/>
      <c r="O518" s="55"/>
      <c r="P518" s="55"/>
      <c r="Q518" s="55"/>
      <c r="R518" s="55"/>
      <c r="S518" s="55"/>
      <c r="T518" s="55"/>
      <c r="U518" s="55"/>
    </row>
    <row r="519">
      <c r="A519" s="55"/>
      <c r="B519" s="55"/>
      <c r="C519" s="55"/>
      <c r="D519" s="55"/>
      <c r="E519" s="53"/>
      <c r="F519" s="55"/>
      <c r="G519" s="55" t="b">
        <v>0</v>
      </c>
      <c r="H519" s="55"/>
      <c r="I519" s="55"/>
      <c r="J519" s="55"/>
      <c r="K519" s="55"/>
      <c r="L519" s="55"/>
      <c r="M519" s="55"/>
      <c r="N519" s="55"/>
      <c r="O519" s="55"/>
      <c r="P519" s="55"/>
      <c r="Q519" s="55"/>
      <c r="R519" s="55"/>
      <c r="S519" s="55"/>
      <c r="T519" s="55"/>
      <c r="U519" s="55"/>
    </row>
    <row r="520">
      <c r="A520" s="55"/>
      <c r="B520" s="55"/>
      <c r="C520" s="55"/>
      <c r="D520" s="55"/>
      <c r="E520" s="53"/>
      <c r="F520" s="55"/>
      <c r="G520" s="55" t="b">
        <v>0</v>
      </c>
      <c r="H520" s="55"/>
      <c r="I520" s="55"/>
      <c r="J520" s="55"/>
      <c r="K520" s="55"/>
      <c r="L520" s="55"/>
      <c r="M520" s="55"/>
      <c r="N520" s="55"/>
      <c r="O520" s="55"/>
      <c r="P520" s="55"/>
      <c r="Q520" s="55"/>
      <c r="R520" s="55"/>
      <c r="S520" s="55"/>
      <c r="T520" s="55"/>
      <c r="U520" s="55"/>
    </row>
    <row r="521">
      <c r="A521" s="55"/>
      <c r="B521" s="55"/>
      <c r="C521" s="55"/>
      <c r="D521" s="55"/>
      <c r="E521" s="53"/>
      <c r="F521" s="55"/>
      <c r="G521" s="55" t="b">
        <v>0</v>
      </c>
      <c r="H521" s="55"/>
      <c r="I521" s="55"/>
      <c r="J521" s="55"/>
      <c r="K521" s="55"/>
      <c r="L521" s="55"/>
      <c r="M521" s="55"/>
      <c r="N521" s="55"/>
      <c r="O521" s="55"/>
      <c r="P521" s="55"/>
      <c r="Q521" s="55"/>
      <c r="R521" s="55"/>
      <c r="S521" s="55"/>
      <c r="T521" s="55"/>
      <c r="U521" s="55"/>
    </row>
    <row r="522">
      <c r="A522" s="55"/>
      <c r="B522" s="55"/>
      <c r="C522" s="55"/>
      <c r="D522" s="55"/>
      <c r="E522" s="53"/>
      <c r="F522" s="55"/>
      <c r="G522" s="55" t="b">
        <v>0</v>
      </c>
      <c r="H522" s="55"/>
      <c r="I522" s="55"/>
      <c r="J522" s="55"/>
      <c r="K522" s="55"/>
      <c r="L522" s="55"/>
      <c r="M522" s="55"/>
      <c r="N522" s="55"/>
      <c r="O522" s="55"/>
      <c r="P522" s="55"/>
      <c r="Q522" s="55"/>
      <c r="R522" s="55"/>
      <c r="S522" s="55"/>
      <c r="T522" s="55"/>
      <c r="U522" s="55"/>
    </row>
    <row r="523">
      <c r="A523" s="55"/>
      <c r="B523" s="55"/>
      <c r="C523" s="55"/>
      <c r="D523" s="55"/>
      <c r="E523" s="53"/>
      <c r="F523" s="55"/>
      <c r="G523" s="55" t="b">
        <v>0</v>
      </c>
      <c r="H523" s="55"/>
      <c r="I523" s="55"/>
      <c r="J523" s="55"/>
      <c r="K523" s="55"/>
      <c r="L523" s="55"/>
      <c r="M523" s="55"/>
      <c r="N523" s="55"/>
      <c r="O523" s="55"/>
      <c r="P523" s="55"/>
      <c r="Q523" s="55"/>
      <c r="R523" s="55"/>
      <c r="S523" s="55"/>
      <c r="T523" s="55"/>
      <c r="U523" s="55"/>
    </row>
    <row r="524">
      <c r="A524" s="55"/>
      <c r="B524" s="55"/>
      <c r="C524" s="55"/>
      <c r="D524" s="55"/>
      <c r="E524" s="53"/>
      <c r="F524" s="55"/>
      <c r="G524" s="55" t="b">
        <v>0</v>
      </c>
      <c r="H524" s="55"/>
      <c r="I524" s="55"/>
      <c r="J524" s="55"/>
      <c r="K524" s="55"/>
      <c r="L524" s="55"/>
      <c r="M524" s="55"/>
      <c r="N524" s="55"/>
      <c r="O524" s="55"/>
      <c r="P524" s="55"/>
      <c r="Q524" s="55"/>
      <c r="R524" s="55"/>
      <c r="S524" s="55"/>
      <c r="T524" s="55"/>
      <c r="U524" s="55"/>
    </row>
    <row r="525">
      <c r="A525" s="55"/>
      <c r="B525" s="55"/>
      <c r="C525" s="55"/>
      <c r="D525" s="55"/>
      <c r="E525" s="53"/>
      <c r="F525" s="55"/>
      <c r="G525" s="55" t="b">
        <v>0</v>
      </c>
      <c r="H525" s="55"/>
      <c r="I525" s="55"/>
      <c r="J525" s="55"/>
      <c r="K525" s="55"/>
      <c r="L525" s="55"/>
      <c r="M525" s="55"/>
      <c r="N525" s="55"/>
      <c r="O525" s="55"/>
      <c r="P525" s="55"/>
      <c r="Q525" s="55"/>
      <c r="R525" s="55"/>
      <c r="S525" s="55"/>
      <c r="T525" s="55"/>
      <c r="U525" s="55"/>
    </row>
    <row r="526">
      <c r="A526" s="55"/>
      <c r="B526" s="55"/>
      <c r="C526" s="55"/>
      <c r="D526" s="55"/>
      <c r="E526" s="53"/>
      <c r="F526" s="55"/>
      <c r="G526" s="55" t="b">
        <v>0</v>
      </c>
      <c r="H526" s="55"/>
      <c r="I526" s="55"/>
      <c r="J526" s="55"/>
      <c r="K526" s="55"/>
      <c r="L526" s="55"/>
      <c r="M526" s="55"/>
      <c r="N526" s="55"/>
      <c r="O526" s="55"/>
      <c r="P526" s="55"/>
      <c r="Q526" s="55"/>
      <c r="R526" s="55"/>
      <c r="S526" s="55"/>
      <c r="T526" s="55"/>
      <c r="U526" s="55"/>
    </row>
    <row r="527">
      <c r="A527" s="55"/>
      <c r="B527" s="55"/>
      <c r="C527" s="55"/>
      <c r="D527" s="55"/>
      <c r="E527" s="53"/>
      <c r="F527" s="55"/>
      <c r="G527" s="55" t="b">
        <v>0</v>
      </c>
      <c r="H527" s="55"/>
      <c r="I527" s="55"/>
      <c r="J527" s="55"/>
      <c r="K527" s="55"/>
      <c r="L527" s="55"/>
      <c r="M527" s="55"/>
      <c r="N527" s="55"/>
      <c r="O527" s="55"/>
      <c r="P527" s="55"/>
      <c r="Q527" s="55"/>
      <c r="R527" s="55"/>
      <c r="S527" s="55"/>
      <c r="T527" s="55"/>
      <c r="U527" s="55"/>
    </row>
    <row r="528">
      <c r="A528" s="55"/>
      <c r="B528" s="55"/>
      <c r="C528" s="55"/>
      <c r="D528" s="55"/>
      <c r="E528" s="53"/>
      <c r="F528" s="55"/>
      <c r="G528" s="55" t="b">
        <v>0</v>
      </c>
      <c r="H528" s="55"/>
      <c r="I528" s="55"/>
      <c r="J528" s="55"/>
      <c r="K528" s="55"/>
      <c r="L528" s="55"/>
      <c r="M528" s="55"/>
      <c r="N528" s="55"/>
      <c r="O528" s="55"/>
      <c r="P528" s="55"/>
      <c r="Q528" s="55"/>
      <c r="R528" s="55"/>
      <c r="S528" s="55"/>
      <c r="T528" s="55"/>
      <c r="U528" s="55"/>
    </row>
    <row r="529">
      <c r="A529" s="55"/>
      <c r="B529" s="55"/>
      <c r="C529" s="55"/>
      <c r="D529" s="55"/>
      <c r="E529" s="53"/>
      <c r="F529" s="55"/>
      <c r="G529" s="55" t="b">
        <v>0</v>
      </c>
      <c r="H529" s="55"/>
      <c r="I529" s="55"/>
      <c r="J529" s="55"/>
      <c r="K529" s="55"/>
      <c r="L529" s="55"/>
      <c r="M529" s="55"/>
      <c r="N529" s="55"/>
      <c r="O529" s="55"/>
      <c r="P529" s="55"/>
      <c r="Q529" s="55"/>
      <c r="R529" s="55"/>
      <c r="S529" s="55"/>
      <c r="T529" s="55"/>
      <c r="U529" s="55"/>
    </row>
    <row r="530">
      <c r="A530" s="55"/>
      <c r="B530" s="55"/>
      <c r="C530" s="55"/>
      <c r="D530" s="55"/>
      <c r="E530" s="53"/>
      <c r="F530" s="55"/>
      <c r="G530" s="55" t="b">
        <v>0</v>
      </c>
      <c r="H530" s="55"/>
      <c r="I530" s="55"/>
      <c r="J530" s="55"/>
      <c r="K530" s="55"/>
      <c r="L530" s="55"/>
      <c r="M530" s="55"/>
      <c r="N530" s="55"/>
      <c r="O530" s="55"/>
      <c r="P530" s="55"/>
      <c r="Q530" s="55"/>
      <c r="R530" s="55"/>
      <c r="S530" s="55"/>
      <c r="T530" s="55"/>
      <c r="U530" s="55"/>
    </row>
    <row r="531">
      <c r="A531" s="55"/>
      <c r="B531" s="55"/>
      <c r="C531" s="55"/>
      <c r="D531" s="55"/>
      <c r="E531" s="53"/>
      <c r="F531" s="55"/>
      <c r="G531" s="55" t="b">
        <v>0</v>
      </c>
      <c r="H531" s="55"/>
      <c r="I531" s="55"/>
      <c r="J531" s="55"/>
      <c r="K531" s="55"/>
      <c r="L531" s="55"/>
      <c r="M531" s="55"/>
      <c r="N531" s="55"/>
      <c r="O531" s="55"/>
      <c r="P531" s="55"/>
      <c r="Q531" s="55"/>
      <c r="R531" s="55"/>
      <c r="S531" s="55"/>
      <c r="T531" s="55"/>
      <c r="U531" s="55"/>
    </row>
    <row r="532">
      <c r="A532" s="55"/>
      <c r="B532" s="55"/>
      <c r="C532" s="55"/>
      <c r="D532" s="55"/>
      <c r="E532" s="53"/>
      <c r="F532" s="55"/>
      <c r="G532" s="55" t="b">
        <v>0</v>
      </c>
      <c r="H532" s="55"/>
      <c r="I532" s="55"/>
      <c r="J532" s="55"/>
      <c r="K532" s="55"/>
      <c r="L532" s="55"/>
      <c r="M532" s="55"/>
      <c r="N532" s="55"/>
      <c r="O532" s="55"/>
      <c r="P532" s="55"/>
      <c r="Q532" s="55"/>
      <c r="R532" s="55"/>
      <c r="S532" s="55"/>
      <c r="T532" s="55"/>
      <c r="U532" s="55"/>
    </row>
    <row r="533">
      <c r="A533" s="55"/>
      <c r="B533" s="55"/>
      <c r="C533" s="55"/>
      <c r="D533" s="55"/>
      <c r="E533" s="53"/>
      <c r="F533" s="55"/>
      <c r="G533" s="55" t="b">
        <v>0</v>
      </c>
      <c r="H533" s="55"/>
      <c r="I533" s="55"/>
      <c r="J533" s="55"/>
      <c r="K533" s="55"/>
      <c r="L533" s="55"/>
      <c r="M533" s="55"/>
      <c r="N533" s="55"/>
      <c r="O533" s="55"/>
      <c r="P533" s="55"/>
      <c r="Q533" s="55"/>
      <c r="R533" s="55"/>
      <c r="S533" s="55"/>
      <c r="T533" s="55"/>
      <c r="U533" s="55"/>
    </row>
    <row r="534">
      <c r="A534" s="55"/>
      <c r="B534" s="55"/>
      <c r="C534" s="55"/>
      <c r="D534" s="55"/>
      <c r="E534" s="53"/>
      <c r="F534" s="55"/>
      <c r="G534" s="55" t="b">
        <v>0</v>
      </c>
      <c r="H534" s="55"/>
      <c r="I534" s="55"/>
      <c r="J534" s="55"/>
      <c r="K534" s="55"/>
      <c r="L534" s="55"/>
      <c r="M534" s="55"/>
      <c r="N534" s="55"/>
      <c r="O534" s="55"/>
      <c r="P534" s="55"/>
      <c r="Q534" s="55"/>
      <c r="R534" s="55"/>
      <c r="S534" s="55"/>
      <c r="T534" s="55"/>
      <c r="U534" s="55"/>
    </row>
    <row r="535">
      <c r="A535" s="55"/>
      <c r="B535" s="55"/>
      <c r="C535" s="55"/>
      <c r="D535" s="55"/>
      <c r="E535" s="53"/>
      <c r="F535" s="55"/>
      <c r="G535" s="55" t="b">
        <v>0</v>
      </c>
      <c r="H535" s="55"/>
      <c r="I535" s="55"/>
      <c r="J535" s="55"/>
      <c r="K535" s="55"/>
      <c r="L535" s="55"/>
      <c r="M535" s="55"/>
      <c r="N535" s="55"/>
      <c r="O535" s="55"/>
      <c r="P535" s="55"/>
      <c r="Q535" s="55"/>
      <c r="R535" s="55"/>
      <c r="S535" s="55"/>
      <c r="T535" s="55"/>
      <c r="U535" s="55"/>
    </row>
    <row r="536">
      <c r="A536" s="55"/>
      <c r="B536" s="55"/>
      <c r="C536" s="55"/>
      <c r="D536" s="55"/>
      <c r="E536" s="53"/>
      <c r="F536" s="55"/>
      <c r="G536" s="55" t="b">
        <v>0</v>
      </c>
      <c r="H536" s="55"/>
      <c r="I536" s="55"/>
      <c r="J536" s="55"/>
      <c r="K536" s="55"/>
      <c r="L536" s="55"/>
      <c r="M536" s="55"/>
      <c r="N536" s="55"/>
      <c r="O536" s="55"/>
      <c r="P536" s="55"/>
      <c r="Q536" s="55"/>
      <c r="R536" s="55"/>
      <c r="S536" s="55"/>
      <c r="T536" s="55"/>
      <c r="U536" s="55"/>
    </row>
    <row r="537">
      <c r="A537" s="55"/>
      <c r="B537" s="55"/>
      <c r="C537" s="55"/>
      <c r="D537" s="55"/>
      <c r="E537" s="53"/>
      <c r="F537" s="55"/>
      <c r="G537" s="55" t="b">
        <v>0</v>
      </c>
      <c r="H537" s="55"/>
      <c r="I537" s="55"/>
      <c r="J537" s="55"/>
      <c r="K537" s="55"/>
      <c r="L537" s="55"/>
      <c r="M537" s="55"/>
      <c r="N537" s="55"/>
      <c r="O537" s="55"/>
      <c r="P537" s="55"/>
      <c r="Q537" s="55"/>
      <c r="R537" s="55"/>
      <c r="S537" s="55"/>
      <c r="T537" s="55"/>
      <c r="U537" s="55"/>
    </row>
    <row r="538">
      <c r="A538" s="55"/>
      <c r="B538" s="55"/>
      <c r="C538" s="55"/>
      <c r="D538" s="55"/>
      <c r="E538" s="53"/>
      <c r="F538" s="55"/>
      <c r="G538" s="55" t="b">
        <v>0</v>
      </c>
      <c r="H538" s="55"/>
      <c r="I538" s="55"/>
      <c r="J538" s="55"/>
      <c r="K538" s="55"/>
      <c r="L538" s="55"/>
      <c r="M538" s="55"/>
      <c r="N538" s="55"/>
      <c r="O538" s="55"/>
      <c r="P538" s="55"/>
      <c r="Q538" s="55"/>
      <c r="R538" s="55"/>
      <c r="S538" s="55"/>
      <c r="T538" s="55"/>
      <c r="U538" s="55"/>
    </row>
    <row r="539">
      <c r="A539" s="55"/>
      <c r="B539" s="55"/>
      <c r="C539" s="55"/>
      <c r="D539" s="55"/>
      <c r="E539" s="53"/>
      <c r="F539" s="55"/>
      <c r="G539" s="55" t="b">
        <v>0</v>
      </c>
      <c r="H539" s="55"/>
      <c r="I539" s="55"/>
      <c r="J539" s="55"/>
      <c r="K539" s="55"/>
      <c r="L539" s="55"/>
      <c r="M539" s="55"/>
      <c r="N539" s="55"/>
      <c r="O539" s="55"/>
      <c r="P539" s="55"/>
      <c r="Q539" s="55"/>
      <c r="R539" s="55"/>
      <c r="S539" s="55"/>
      <c r="T539" s="55"/>
      <c r="U539" s="55"/>
    </row>
    <row r="540">
      <c r="A540" s="55"/>
      <c r="B540" s="55"/>
      <c r="C540" s="55"/>
      <c r="D540" s="55"/>
      <c r="E540" s="53"/>
      <c r="F540" s="55"/>
      <c r="G540" s="55" t="b">
        <v>0</v>
      </c>
      <c r="H540" s="55"/>
      <c r="I540" s="55"/>
      <c r="J540" s="55"/>
      <c r="K540" s="55"/>
      <c r="L540" s="55"/>
      <c r="M540" s="55"/>
      <c r="N540" s="55"/>
      <c r="O540" s="55"/>
      <c r="P540" s="55"/>
      <c r="Q540" s="55"/>
      <c r="R540" s="55"/>
      <c r="S540" s="55"/>
      <c r="T540" s="55"/>
      <c r="U540" s="55"/>
    </row>
    <row r="541">
      <c r="A541" s="55"/>
      <c r="B541" s="55"/>
      <c r="C541" s="55"/>
      <c r="D541" s="55"/>
      <c r="E541" s="53"/>
      <c r="F541" s="55"/>
      <c r="G541" s="55" t="b">
        <v>0</v>
      </c>
      <c r="H541" s="55"/>
      <c r="I541" s="55"/>
      <c r="J541" s="55"/>
      <c r="K541" s="55"/>
      <c r="L541" s="55"/>
      <c r="M541" s="55"/>
      <c r="N541" s="55"/>
      <c r="O541" s="55"/>
      <c r="P541" s="55"/>
      <c r="Q541" s="55"/>
      <c r="R541" s="55"/>
      <c r="S541" s="55"/>
      <c r="T541" s="55"/>
      <c r="U541" s="55"/>
    </row>
    <row r="542">
      <c r="A542" s="55"/>
      <c r="B542" s="55"/>
      <c r="C542" s="55"/>
      <c r="D542" s="55"/>
      <c r="E542" s="53"/>
      <c r="F542" s="55"/>
      <c r="G542" s="55" t="b">
        <v>0</v>
      </c>
      <c r="H542" s="55"/>
      <c r="I542" s="55"/>
      <c r="J542" s="55"/>
      <c r="K542" s="55"/>
      <c r="L542" s="55"/>
      <c r="M542" s="55"/>
      <c r="N542" s="55"/>
      <c r="O542" s="55"/>
      <c r="P542" s="55"/>
      <c r="Q542" s="55"/>
      <c r="R542" s="55"/>
      <c r="S542" s="55"/>
      <c r="T542" s="55"/>
      <c r="U542" s="55"/>
    </row>
    <row r="543">
      <c r="A543" s="55"/>
      <c r="B543" s="55"/>
      <c r="C543" s="55"/>
      <c r="D543" s="55"/>
      <c r="E543" s="53"/>
      <c r="F543" s="55"/>
      <c r="G543" s="55" t="b">
        <v>0</v>
      </c>
      <c r="H543" s="55"/>
      <c r="I543" s="55"/>
      <c r="J543" s="55"/>
      <c r="K543" s="55"/>
      <c r="L543" s="55"/>
      <c r="M543" s="55"/>
      <c r="N543" s="55"/>
      <c r="O543" s="55"/>
      <c r="P543" s="55"/>
      <c r="Q543" s="55"/>
      <c r="R543" s="55"/>
      <c r="S543" s="55"/>
      <c r="T543" s="55"/>
      <c r="U543" s="55"/>
    </row>
    <row r="544">
      <c r="A544" s="55"/>
      <c r="B544" s="55"/>
      <c r="C544" s="55"/>
      <c r="D544" s="55"/>
      <c r="E544" s="53"/>
      <c r="F544" s="55"/>
      <c r="G544" s="55" t="b">
        <v>0</v>
      </c>
      <c r="H544" s="55"/>
      <c r="I544" s="55"/>
      <c r="J544" s="55"/>
      <c r="K544" s="55"/>
      <c r="L544" s="55"/>
      <c r="M544" s="55"/>
      <c r="N544" s="55"/>
      <c r="O544" s="55"/>
      <c r="P544" s="55"/>
      <c r="Q544" s="55"/>
      <c r="R544" s="55"/>
      <c r="S544" s="55"/>
      <c r="T544" s="55"/>
      <c r="U544" s="55"/>
    </row>
    <row r="545">
      <c r="A545" s="55"/>
      <c r="B545" s="55"/>
      <c r="C545" s="55"/>
      <c r="D545" s="55"/>
      <c r="E545" s="53"/>
      <c r="F545" s="55"/>
      <c r="G545" s="55" t="b">
        <v>0</v>
      </c>
      <c r="H545" s="55"/>
      <c r="I545" s="55"/>
      <c r="J545" s="55"/>
      <c r="K545" s="55"/>
      <c r="L545" s="55"/>
      <c r="M545" s="55"/>
      <c r="N545" s="55"/>
      <c r="O545" s="55"/>
      <c r="P545" s="55"/>
      <c r="Q545" s="55"/>
      <c r="R545" s="55"/>
      <c r="S545" s="55"/>
      <c r="T545" s="55"/>
      <c r="U545" s="55"/>
    </row>
    <row r="546">
      <c r="A546" s="55"/>
      <c r="B546" s="55"/>
      <c r="C546" s="55"/>
      <c r="D546" s="55"/>
      <c r="E546" s="53"/>
      <c r="F546" s="55"/>
      <c r="G546" s="55" t="b">
        <v>0</v>
      </c>
      <c r="H546" s="55"/>
      <c r="I546" s="55"/>
      <c r="J546" s="55"/>
      <c r="K546" s="55"/>
      <c r="L546" s="55"/>
      <c r="M546" s="55"/>
      <c r="N546" s="55"/>
      <c r="O546" s="55"/>
      <c r="P546" s="55"/>
      <c r="Q546" s="55"/>
      <c r="R546" s="55"/>
      <c r="S546" s="55"/>
      <c r="T546" s="55"/>
      <c r="U546" s="55"/>
    </row>
    <row r="547">
      <c r="A547" s="55"/>
      <c r="B547" s="55"/>
      <c r="C547" s="55"/>
      <c r="D547" s="55"/>
      <c r="E547" s="53"/>
      <c r="F547" s="55"/>
      <c r="G547" s="55" t="b">
        <v>0</v>
      </c>
      <c r="H547" s="55"/>
      <c r="I547" s="55"/>
      <c r="J547" s="55"/>
      <c r="K547" s="55"/>
      <c r="L547" s="55"/>
      <c r="M547" s="55"/>
      <c r="N547" s="55"/>
      <c r="O547" s="55"/>
      <c r="P547" s="55"/>
      <c r="Q547" s="55"/>
      <c r="R547" s="55"/>
      <c r="S547" s="55"/>
      <c r="T547" s="55"/>
      <c r="U547" s="55"/>
    </row>
    <row r="548">
      <c r="A548" s="55"/>
      <c r="B548" s="55"/>
      <c r="C548" s="55"/>
      <c r="D548" s="55"/>
      <c r="E548" s="53"/>
      <c r="F548" s="55"/>
      <c r="G548" s="55" t="b">
        <v>0</v>
      </c>
      <c r="H548" s="55"/>
      <c r="I548" s="55"/>
      <c r="J548" s="55"/>
      <c r="K548" s="55"/>
      <c r="L548" s="55"/>
      <c r="M548" s="55"/>
      <c r="N548" s="55"/>
      <c r="O548" s="55"/>
      <c r="P548" s="55"/>
      <c r="Q548" s="55"/>
      <c r="R548" s="55"/>
      <c r="S548" s="55"/>
      <c r="T548" s="55"/>
      <c r="U548" s="55"/>
    </row>
    <row r="549">
      <c r="A549" s="55"/>
      <c r="B549" s="55"/>
      <c r="C549" s="55"/>
      <c r="D549" s="55"/>
      <c r="E549" s="53"/>
      <c r="F549" s="55"/>
      <c r="G549" s="55" t="b">
        <v>0</v>
      </c>
      <c r="H549" s="55"/>
      <c r="I549" s="55"/>
      <c r="J549" s="55"/>
      <c r="K549" s="55"/>
      <c r="L549" s="55"/>
      <c r="M549" s="55"/>
      <c r="N549" s="55"/>
      <c r="O549" s="55"/>
      <c r="P549" s="55"/>
      <c r="Q549" s="55"/>
      <c r="R549" s="55"/>
      <c r="S549" s="55"/>
      <c r="T549" s="55"/>
      <c r="U549" s="55"/>
    </row>
    <row r="550">
      <c r="A550" s="55"/>
      <c r="B550" s="55"/>
      <c r="C550" s="55"/>
      <c r="D550" s="55"/>
      <c r="E550" s="53"/>
      <c r="F550" s="55"/>
      <c r="G550" s="55" t="b">
        <v>0</v>
      </c>
      <c r="H550" s="55"/>
      <c r="I550" s="55"/>
      <c r="J550" s="55"/>
      <c r="K550" s="55"/>
      <c r="L550" s="55"/>
      <c r="M550" s="55"/>
      <c r="N550" s="55"/>
      <c r="O550" s="55"/>
      <c r="P550" s="55"/>
      <c r="Q550" s="55"/>
      <c r="R550" s="55"/>
      <c r="S550" s="55"/>
      <c r="T550" s="55"/>
      <c r="U550" s="55"/>
    </row>
    <row r="551">
      <c r="A551" s="55"/>
      <c r="B551" s="55"/>
      <c r="C551" s="55"/>
      <c r="D551" s="55"/>
      <c r="E551" s="53"/>
      <c r="F551" s="55"/>
      <c r="G551" s="55" t="b">
        <v>0</v>
      </c>
      <c r="H551" s="55"/>
      <c r="I551" s="55"/>
      <c r="J551" s="55"/>
      <c r="K551" s="55"/>
      <c r="L551" s="55"/>
      <c r="M551" s="55"/>
      <c r="N551" s="55"/>
      <c r="O551" s="55"/>
      <c r="P551" s="55"/>
      <c r="Q551" s="55"/>
      <c r="R551" s="55"/>
      <c r="S551" s="55"/>
      <c r="T551" s="55"/>
      <c r="U551" s="55"/>
    </row>
    <row r="552">
      <c r="A552" s="55"/>
      <c r="B552" s="55"/>
      <c r="C552" s="55"/>
      <c r="D552" s="55"/>
      <c r="E552" s="53"/>
      <c r="F552" s="55"/>
      <c r="G552" s="55" t="b">
        <v>0</v>
      </c>
      <c r="H552" s="55"/>
      <c r="I552" s="55"/>
      <c r="J552" s="55"/>
      <c r="K552" s="55"/>
      <c r="L552" s="55"/>
      <c r="M552" s="55"/>
      <c r="N552" s="55"/>
      <c r="O552" s="55"/>
      <c r="P552" s="55"/>
      <c r="Q552" s="55"/>
      <c r="R552" s="55"/>
      <c r="S552" s="55"/>
      <c r="T552" s="55"/>
      <c r="U552" s="55"/>
    </row>
    <row r="553">
      <c r="A553" s="55"/>
      <c r="B553" s="55"/>
      <c r="C553" s="55"/>
      <c r="D553" s="55"/>
      <c r="E553" s="53"/>
      <c r="F553" s="55"/>
      <c r="G553" s="55" t="b">
        <v>0</v>
      </c>
      <c r="H553" s="55"/>
      <c r="I553" s="55"/>
      <c r="J553" s="55"/>
      <c r="K553" s="55"/>
      <c r="L553" s="55"/>
      <c r="M553" s="55"/>
      <c r="N553" s="55"/>
      <c r="O553" s="55"/>
      <c r="P553" s="55"/>
      <c r="Q553" s="55"/>
      <c r="R553" s="55"/>
      <c r="S553" s="55"/>
      <c r="T553" s="55"/>
      <c r="U553" s="55"/>
    </row>
    <row r="554">
      <c r="A554" s="55"/>
      <c r="B554" s="55"/>
      <c r="C554" s="55"/>
      <c r="D554" s="55"/>
      <c r="E554" s="53"/>
      <c r="F554" s="55"/>
      <c r="G554" s="55" t="b">
        <v>0</v>
      </c>
      <c r="H554" s="55"/>
      <c r="I554" s="55"/>
      <c r="J554" s="55"/>
      <c r="K554" s="55"/>
      <c r="L554" s="55"/>
      <c r="M554" s="55"/>
      <c r="N554" s="55"/>
      <c r="O554" s="55"/>
      <c r="P554" s="55"/>
      <c r="Q554" s="55"/>
      <c r="R554" s="55"/>
      <c r="S554" s="55"/>
      <c r="T554" s="55"/>
      <c r="U554" s="55"/>
    </row>
    <row r="555">
      <c r="A555" s="55"/>
      <c r="B555" s="55"/>
      <c r="C555" s="55"/>
      <c r="D555" s="55"/>
      <c r="E555" s="53"/>
      <c r="F555" s="55"/>
      <c r="G555" s="55" t="b">
        <v>0</v>
      </c>
      <c r="H555" s="55"/>
      <c r="I555" s="55"/>
      <c r="J555" s="55"/>
      <c r="K555" s="55"/>
      <c r="L555" s="55"/>
      <c r="M555" s="55"/>
      <c r="N555" s="55"/>
      <c r="O555" s="55"/>
      <c r="P555" s="55"/>
      <c r="Q555" s="55"/>
      <c r="R555" s="55"/>
      <c r="S555" s="55"/>
      <c r="T555" s="55"/>
      <c r="U555" s="55"/>
    </row>
    <row r="556">
      <c r="A556" s="55"/>
      <c r="B556" s="55"/>
      <c r="C556" s="55"/>
      <c r="D556" s="55"/>
      <c r="E556" s="53"/>
      <c r="F556" s="55"/>
      <c r="G556" s="55" t="b">
        <v>0</v>
      </c>
      <c r="H556" s="55"/>
      <c r="I556" s="55"/>
      <c r="J556" s="55"/>
      <c r="K556" s="55"/>
      <c r="L556" s="55"/>
      <c r="M556" s="55"/>
      <c r="N556" s="55"/>
      <c r="O556" s="55"/>
      <c r="P556" s="55"/>
      <c r="Q556" s="55"/>
      <c r="R556" s="55"/>
      <c r="S556" s="55"/>
      <c r="T556" s="55"/>
      <c r="U556" s="55"/>
    </row>
    <row r="557">
      <c r="A557" s="55"/>
      <c r="B557" s="55"/>
      <c r="C557" s="55"/>
      <c r="D557" s="55"/>
      <c r="E557" s="53"/>
      <c r="F557" s="55"/>
      <c r="G557" s="55" t="b">
        <v>0</v>
      </c>
      <c r="H557" s="55"/>
      <c r="I557" s="55"/>
      <c r="J557" s="55"/>
      <c r="K557" s="55"/>
      <c r="L557" s="55"/>
      <c r="M557" s="55"/>
      <c r="N557" s="55"/>
      <c r="O557" s="55"/>
      <c r="P557" s="55"/>
      <c r="Q557" s="55"/>
      <c r="R557" s="55"/>
      <c r="S557" s="55"/>
      <c r="T557" s="55"/>
      <c r="U557" s="55"/>
    </row>
    <row r="558">
      <c r="A558" s="55"/>
      <c r="B558" s="55"/>
      <c r="C558" s="55"/>
      <c r="D558" s="55"/>
      <c r="E558" s="53"/>
      <c r="F558" s="55"/>
      <c r="G558" s="55" t="b">
        <v>0</v>
      </c>
      <c r="H558" s="55"/>
      <c r="I558" s="55"/>
      <c r="J558" s="55"/>
      <c r="K558" s="55"/>
      <c r="L558" s="55"/>
      <c r="M558" s="55"/>
      <c r="N558" s="55"/>
      <c r="O558" s="55"/>
      <c r="P558" s="55"/>
      <c r="Q558" s="55"/>
      <c r="R558" s="55"/>
      <c r="S558" s="55"/>
      <c r="T558" s="55"/>
      <c r="U558" s="55"/>
    </row>
    <row r="559">
      <c r="A559" s="55"/>
      <c r="B559" s="55"/>
      <c r="C559" s="55"/>
      <c r="D559" s="55"/>
      <c r="E559" s="53"/>
      <c r="F559" s="55"/>
      <c r="G559" s="55" t="b">
        <v>0</v>
      </c>
      <c r="H559" s="55"/>
      <c r="I559" s="55"/>
      <c r="J559" s="55"/>
      <c r="K559" s="55"/>
      <c r="L559" s="55"/>
      <c r="M559" s="55"/>
      <c r="N559" s="55"/>
      <c r="O559" s="55"/>
      <c r="P559" s="55"/>
      <c r="Q559" s="55"/>
      <c r="R559" s="55"/>
      <c r="S559" s="55"/>
      <c r="T559" s="55"/>
      <c r="U559" s="55"/>
    </row>
    <row r="560">
      <c r="A560" s="55"/>
      <c r="B560" s="55"/>
      <c r="C560" s="55"/>
      <c r="D560" s="55"/>
      <c r="E560" s="53"/>
      <c r="F560" s="55"/>
      <c r="G560" s="55" t="b">
        <v>0</v>
      </c>
      <c r="H560" s="55"/>
      <c r="I560" s="55"/>
      <c r="J560" s="55"/>
      <c r="K560" s="55"/>
      <c r="L560" s="55"/>
      <c r="M560" s="55"/>
      <c r="N560" s="55"/>
      <c r="O560" s="55"/>
      <c r="P560" s="55"/>
      <c r="Q560" s="55"/>
      <c r="R560" s="55"/>
      <c r="S560" s="55"/>
      <c r="T560" s="55"/>
      <c r="U560" s="55"/>
    </row>
    <row r="561">
      <c r="A561" s="55"/>
      <c r="B561" s="55"/>
      <c r="C561" s="55"/>
      <c r="D561" s="55"/>
      <c r="E561" s="53"/>
      <c r="F561" s="55"/>
      <c r="G561" s="55" t="b">
        <v>0</v>
      </c>
      <c r="H561" s="55"/>
      <c r="I561" s="55"/>
      <c r="J561" s="55"/>
      <c r="K561" s="55"/>
      <c r="L561" s="55"/>
      <c r="M561" s="55"/>
      <c r="N561" s="55"/>
      <c r="O561" s="55"/>
      <c r="P561" s="55"/>
      <c r="Q561" s="55"/>
      <c r="R561" s="55"/>
      <c r="S561" s="55"/>
      <c r="T561" s="55"/>
      <c r="U561" s="55"/>
    </row>
    <row r="562">
      <c r="A562" s="55"/>
      <c r="B562" s="55"/>
      <c r="C562" s="55"/>
      <c r="D562" s="55"/>
      <c r="E562" s="53"/>
      <c r="F562" s="55"/>
      <c r="G562" s="55" t="b">
        <v>0</v>
      </c>
      <c r="H562" s="55"/>
      <c r="I562" s="55"/>
      <c r="J562" s="55"/>
      <c r="K562" s="55"/>
      <c r="L562" s="55"/>
      <c r="M562" s="55"/>
      <c r="N562" s="55"/>
      <c r="O562" s="55"/>
      <c r="P562" s="55"/>
      <c r="Q562" s="55"/>
      <c r="R562" s="55"/>
      <c r="S562" s="55"/>
      <c r="T562" s="55"/>
      <c r="U562" s="55"/>
    </row>
    <row r="563">
      <c r="A563" s="55"/>
      <c r="B563" s="55"/>
      <c r="C563" s="55"/>
      <c r="D563" s="55"/>
      <c r="E563" s="53"/>
      <c r="F563" s="55"/>
      <c r="G563" s="55" t="b">
        <v>0</v>
      </c>
      <c r="H563" s="55"/>
      <c r="I563" s="55"/>
      <c r="J563" s="55"/>
      <c r="K563" s="55"/>
      <c r="L563" s="55"/>
      <c r="M563" s="55"/>
      <c r="N563" s="55"/>
      <c r="O563" s="55"/>
      <c r="P563" s="55"/>
      <c r="Q563" s="55"/>
      <c r="R563" s="55"/>
      <c r="S563" s="55"/>
      <c r="T563" s="55"/>
      <c r="U563" s="55"/>
    </row>
    <row r="564">
      <c r="A564" s="55"/>
      <c r="B564" s="55"/>
      <c r="C564" s="55"/>
      <c r="D564" s="55"/>
      <c r="E564" s="53"/>
      <c r="F564" s="55"/>
      <c r="G564" s="55" t="b">
        <v>0</v>
      </c>
      <c r="H564" s="55"/>
      <c r="I564" s="55"/>
      <c r="J564" s="55"/>
      <c r="K564" s="55"/>
      <c r="L564" s="55"/>
      <c r="M564" s="55"/>
      <c r="N564" s="55"/>
      <c r="O564" s="55"/>
      <c r="P564" s="55"/>
      <c r="Q564" s="55"/>
      <c r="R564" s="55"/>
      <c r="S564" s="55"/>
      <c r="T564" s="55"/>
      <c r="U564" s="55"/>
    </row>
    <row r="565">
      <c r="A565" s="55"/>
      <c r="B565" s="55"/>
      <c r="C565" s="55"/>
      <c r="D565" s="55"/>
      <c r="E565" s="53"/>
      <c r="F565" s="55"/>
      <c r="G565" s="55" t="b">
        <v>0</v>
      </c>
      <c r="H565" s="55"/>
      <c r="I565" s="55"/>
      <c r="J565" s="55"/>
      <c r="K565" s="55"/>
      <c r="L565" s="55"/>
      <c r="M565" s="55"/>
      <c r="N565" s="55"/>
      <c r="O565" s="55"/>
      <c r="P565" s="55"/>
      <c r="Q565" s="55"/>
      <c r="R565" s="55"/>
      <c r="S565" s="55"/>
      <c r="T565" s="55"/>
      <c r="U565" s="55"/>
    </row>
    <row r="566">
      <c r="A566" s="55"/>
      <c r="B566" s="55"/>
      <c r="C566" s="55"/>
      <c r="D566" s="55"/>
      <c r="E566" s="53"/>
      <c r="F566" s="55"/>
      <c r="G566" s="55" t="b">
        <v>0</v>
      </c>
      <c r="H566" s="55"/>
      <c r="I566" s="55"/>
      <c r="J566" s="55"/>
      <c r="K566" s="55"/>
      <c r="L566" s="55"/>
      <c r="M566" s="55"/>
      <c r="N566" s="55"/>
      <c r="O566" s="55"/>
      <c r="P566" s="55"/>
      <c r="Q566" s="55"/>
      <c r="R566" s="55"/>
      <c r="S566" s="55"/>
      <c r="T566" s="55"/>
      <c r="U566" s="55"/>
    </row>
    <row r="567">
      <c r="A567" s="55"/>
      <c r="B567" s="55"/>
      <c r="C567" s="55"/>
      <c r="D567" s="55"/>
      <c r="E567" s="53"/>
      <c r="F567" s="55"/>
      <c r="G567" s="55" t="b">
        <v>0</v>
      </c>
      <c r="H567" s="55"/>
      <c r="I567" s="55"/>
      <c r="J567" s="55"/>
      <c r="K567" s="55"/>
      <c r="L567" s="55"/>
      <c r="M567" s="55"/>
      <c r="N567" s="55"/>
      <c r="O567" s="55"/>
      <c r="P567" s="55"/>
      <c r="Q567" s="55"/>
      <c r="R567" s="55"/>
      <c r="S567" s="55"/>
      <c r="T567" s="55"/>
      <c r="U567" s="55"/>
    </row>
    <row r="568">
      <c r="A568" s="55"/>
      <c r="B568" s="55"/>
      <c r="C568" s="55"/>
      <c r="D568" s="55"/>
      <c r="E568" s="53"/>
      <c r="F568" s="55"/>
      <c r="G568" s="55" t="b">
        <v>0</v>
      </c>
      <c r="H568" s="55"/>
      <c r="I568" s="55"/>
      <c r="J568" s="55"/>
      <c r="K568" s="55"/>
      <c r="L568" s="55"/>
      <c r="M568" s="55"/>
      <c r="N568" s="55"/>
      <c r="O568" s="55"/>
      <c r="P568" s="55"/>
      <c r="Q568" s="55"/>
      <c r="R568" s="55"/>
      <c r="S568" s="55"/>
      <c r="T568" s="55"/>
      <c r="U568" s="55"/>
    </row>
    <row r="569">
      <c r="A569" s="55"/>
      <c r="B569" s="55"/>
      <c r="C569" s="55"/>
      <c r="D569" s="55"/>
      <c r="E569" s="53"/>
      <c r="F569" s="55"/>
      <c r="G569" s="55" t="b">
        <v>0</v>
      </c>
      <c r="H569" s="55"/>
      <c r="I569" s="55"/>
      <c r="J569" s="55"/>
      <c r="K569" s="55"/>
      <c r="L569" s="55"/>
      <c r="M569" s="55"/>
      <c r="N569" s="55"/>
      <c r="O569" s="55"/>
      <c r="P569" s="55"/>
      <c r="Q569" s="55"/>
      <c r="R569" s="55"/>
      <c r="S569" s="55"/>
      <c r="T569" s="55"/>
      <c r="U569" s="55"/>
    </row>
    <row r="570">
      <c r="A570" s="55"/>
      <c r="B570" s="55"/>
      <c r="C570" s="55"/>
      <c r="D570" s="55"/>
      <c r="E570" s="53"/>
      <c r="F570" s="55"/>
      <c r="G570" s="55" t="b">
        <v>0</v>
      </c>
      <c r="H570" s="55"/>
      <c r="I570" s="55"/>
      <c r="J570" s="55"/>
      <c r="K570" s="55"/>
      <c r="L570" s="55"/>
      <c r="M570" s="55"/>
      <c r="N570" s="55"/>
      <c r="O570" s="55"/>
      <c r="P570" s="55"/>
      <c r="Q570" s="55"/>
      <c r="R570" s="55"/>
      <c r="S570" s="55"/>
      <c r="T570" s="55"/>
      <c r="U570" s="55"/>
    </row>
    <row r="571">
      <c r="A571" s="55"/>
      <c r="B571" s="55"/>
      <c r="C571" s="55"/>
      <c r="D571" s="55"/>
      <c r="E571" s="53"/>
      <c r="F571" s="55"/>
      <c r="G571" s="55" t="b">
        <v>0</v>
      </c>
      <c r="H571" s="55"/>
      <c r="I571" s="55"/>
      <c r="J571" s="55"/>
      <c r="K571" s="55"/>
      <c r="L571" s="55"/>
      <c r="M571" s="55"/>
      <c r="N571" s="55"/>
      <c r="O571" s="55"/>
      <c r="P571" s="55"/>
      <c r="Q571" s="55"/>
      <c r="R571" s="55"/>
      <c r="S571" s="55"/>
      <c r="T571" s="55"/>
      <c r="U571" s="55"/>
    </row>
    <row r="572">
      <c r="A572" s="55"/>
      <c r="B572" s="55"/>
      <c r="C572" s="55"/>
      <c r="D572" s="55"/>
      <c r="E572" s="53"/>
      <c r="F572" s="55"/>
      <c r="G572" s="55" t="b">
        <v>0</v>
      </c>
      <c r="H572" s="55"/>
      <c r="I572" s="55"/>
      <c r="J572" s="55"/>
      <c r="K572" s="55"/>
      <c r="L572" s="55"/>
      <c r="M572" s="55"/>
      <c r="N572" s="55"/>
      <c r="O572" s="55"/>
      <c r="P572" s="55"/>
      <c r="Q572" s="55"/>
      <c r="R572" s="55"/>
      <c r="S572" s="55"/>
      <c r="T572" s="55"/>
      <c r="U572" s="55"/>
    </row>
    <row r="573">
      <c r="A573" s="55"/>
      <c r="B573" s="55"/>
      <c r="C573" s="55"/>
      <c r="D573" s="55"/>
      <c r="E573" s="53"/>
      <c r="F573" s="55"/>
      <c r="G573" s="55" t="b">
        <v>0</v>
      </c>
      <c r="H573" s="55"/>
      <c r="I573" s="55"/>
      <c r="J573" s="55"/>
      <c r="K573" s="55"/>
      <c r="L573" s="55"/>
      <c r="M573" s="55"/>
      <c r="N573" s="55"/>
      <c r="O573" s="55"/>
      <c r="P573" s="55"/>
      <c r="Q573" s="55"/>
      <c r="R573" s="55"/>
      <c r="S573" s="55"/>
      <c r="T573" s="55"/>
      <c r="U573" s="55"/>
    </row>
    <row r="574">
      <c r="A574" s="55"/>
      <c r="B574" s="55"/>
      <c r="C574" s="55"/>
      <c r="D574" s="55"/>
      <c r="E574" s="53"/>
      <c r="F574" s="55"/>
      <c r="G574" s="55" t="b">
        <v>0</v>
      </c>
      <c r="H574" s="55"/>
      <c r="I574" s="55"/>
      <c r="J574" s="55"/>
      <c r="K574" s="55"/>
      <c r="L574" s="55"/>
      <c r="M574" s="55"/>
      <c r="N574" s="55"/>
      <c r="O574" s="55"/>
      <c r="P574" s="55"/>
      <c r="Q574" s="55"/>
      <c r="R574" s="55"/>
      <c r="S574" s="55"/>
      <c r="T574" s="55"/>
      <c r="U574" s="55"/>
    </row>
    <row r="575">
      <c r="A575" s="55"/>
      <c r="B575" s="55"/>
      <c r="C575" s="55"/>
      <c r="D575" s="55"/>
      <c r="E575" s="53"/>
      <c r="F575" s="55"/>
      <c r="G575" s="55" t="b">
        <v>0</v>
      </c>
      <c r="H575" s="55"/>
      <c r="I575" s="55"/>
      <c r="J575" s="55"/>
      <c r="K575" s="55"/>
      <c r="L575" s="55"/>
      <c r="M575" s="55"/>
      <c r="N575" s="55"/>
      <c r="O575" s="55"/>
      <c r="P575" s="55"/>
      <c r="Q575" s="55"/>
      <c r="R575" s="55"/>
      <c r="S575" s="55"/>
      <c r="T575" s="55"/>
      <c r="U575" s="55"/>
    </row>
    <row r="576">
      <c r="A576" s="55"/>
      <c r="B576" s="55"/>
      <c r="C576" s="55"/>
      <c r="D576" s="55"/>
      <c r="E576" s="53"/>
      <c r="F576" s="55"/>
      <c r="G576" s="55" t="b">
        <v>0</v>
      </c>
      <c r="H576" s="55"/>
      <c r="I576" s="55"/>
      <c r="J576" s="55"/>
      <c r="K576" s="55"/>
      <c r="L576" s="55"/>
      <c r="M576" s="55"/>
      <c r="N576" s="55"/>
      <c r="O576" s="55"/>
      <c r="P576" s="55"/>
      <c r="Q576" s="55"/>
      <c r="R576" s="55"/>
      <c r="S576" s="55"/>
      <c r="T576" s="55"/>
      <c r="U576" s="55"/>
    </row>
    <row r="577">
      <c r="A577" s="55"/>
      <c r="B577" s="55"/>
      <c r="C577" s="55"/>
      <c r="D577" s="55"/>
      <c r="E577" s="53"/>
      <c r="F577" s="55"/>
      <c r="G577" s="55" t="b">
        <v>0</v>
      </c>
      <c r="H577" s="55"/>
      <c r="I577" s="55"/>
      <c r="J577" s="55"/>
      <c r="K577" s="55"/>
      <c r="L577" s="55"/>
      <c r="M577" s="55"/>
      <c r="N577" s="55"/>
      <c r="O577" s="55"/>
      <c r="P577" s="55"/>
      <c r="Q577" s="55"/>
      <c r="R577" s="55"/>
      <c r="S577" s="55"/>
      <c r="T577" s="55"/>
      <c r="U577" s="55"/>
    </row>
    <row r="578">
      <c r="A578" s="55"/>
      <c r="B578" s="55"/>
      <c r="C578" s="55"/>
      <c r="D578" s="55"/>
      <c r="E578" s="53"/>
      <c r="F578" s="55"/>
      <c r="G578" s="55" t="b">
        <v>0</v>
      </c>
      <c r="H578" s="55"/>
      <c r="I578" s="55"/>
      <c r="J578" s="55"/>
      <c r="K578" s="55"/>
      <c r="L578" s="55"/>
      <c r="M578" s="55"/>
      <c r="N578" s="55"/>
      <c r="O578" s="55"/>
      <c r="P578" s="55"/>
      <c r="Q578" s="55"/>
      <c r="R578" s="55"/>
      <c r="S578" s="55"/>
      <c r="T578" s="55"/>
      <c r="U578" s="55"/>
    </row>
    <row r="579">
      <c r="A579" s="55"/>
      <c r="B579" s="55"/>
      <c r="C579" s="55"/>
      <c r="D579" s="55"/>
      <c r="E579" s="53"/>
      <c r="F579" s="55"/>
      <c r="G579" s="55" t="b">
        <v>0</v>
      </c>
      <c r="H579" s="55"/>
      <c r="I579" s="55"/>
      <c r="J579" s="55"/>
      <c r="K579" s="55"/>
      <c r="L579" s="55"/>
      <c r="M579" s="55"/>
      <c r="N579" s="55"/>
      <c r="O579" s="55"/>
      <c r="P579" s="55"/>
      <c r="Q579" s="55"/>
      <c r="R579" s="55"/>
      <c r="S579" s="55"/>
      <c r="T579" s="55"/>
      <c r="U579" s="55"/>
    </row>
    <row r="580">
      <c r="A580" s="55"/>
      <c r="B580" s="55"/>
      <c r="C580" s="55"/>
      <c r="D580" s="55"/>
      <c r="E580" s="53"/>
      <c r="F580" s="55"/>
      <c r="G580" s="55" t="b">
        <v>0</v>
      </c>
      <c r="H580" s="55"/>
      <c r="I580" s="55"/>
      <c r="J580" s="55"/>
      <c r="K580" s="55"/>
      <c r="L580" s="55"/>
      <c r="M580" s="55"/>
      <c r="N580" s="55"/>
      <c r="O580" s="55"/>
      <c r="P580" s="55"/>
      <c r="Q580" s="55"/>
      <c r="R580" s="55"/>
      <c r="S580" s="55"/>
      <c r="T580" s="55"/>
      <c r="U580" s="55"/>
    </row>
    <row r="581">
      <c r="A581" s="55"/>
      <c r="B581" s="55"/>
      <c r="C581" s="55"/>
      <c r="D581" s="55"/>
      <c r="E581" s="53"/>
      <c r="F581" s="55"/>
      <c r="G581" s="55" t="b">
        <v>0</v>
      </c>
      <c r="H581" s="55"/>
      <c r="I581" s="55"/>
      <c r="J581" s="55"/>
      <c r="K581" s="55"/>
      <c r="L581" s="55"/>
      <c r="M581" s="55"/>
      <c r="N581" s="55"/>
      <c r="O581" s="55"/>
      <c r="P581" s="55"/>
      <c r="Q581" s="55"/>
      <c r="R581" s="55"/>
      <c r="S581" s="55"/>
      <c r="T581" s="55"/>
      <c r="U581" s="55"/>
    </row>
    <row r="582">
      <c r="A582" s="55"/>
      <c r="B582" s="55"/>
      <c r="C582" s="55"/>
      <c r="D582" s="55"/>
      <c r="E582" s="53"/>
      <c r="F582" s="55"/>
      <c r="G582" s="55" t="b">
        <v>0</v>
      </c>
      <c r="H582" s="55"/>
      <c r="I582" s="55"/>
      <c r="J582" s="55"/>
      <c r="K582" s="55"/>
      <c r="L582" s="55"/>
      <c r="M582" s="55"/>
      <c r="N582" s="55"/>
      <c r="O582" s="55"/>
      <c r="P582" s="55"/>
      <c r="Q582" s="55"/>
      <c r="R582" s="55"/>
      <c r="S582" s="55"/>
      <c r="T582" s="55"/>
      <c r="U582" s="55"/>
    </row>
    <row r="583">
      <c r="A583" s="55"/>
      <c r="B583" s="55"/>
      <c r="C583" s="55"/>
      <c r="D583" s="55"/>
      <c r="E583" s="53"/>
      <c r="F583" s="55"/>
      <c r="G583" s="55" t="b">
        <v>0</v>
      </c>
      <c r="H583" s="55"/>
      <c r="I583" s="55"/>
      <c r="J583" s="55"/>
      <c r="K583" s="55"/>
      <c r="L583" s="55"/>
      <c r="M583" s="55"/>
      <c r="N583" s="55"/>
      <c r="O583" s="55"/>
      <c r="P583" s="55"/>
      <c r="Q583" s="55"/>
      <c r="R583" s="55"/>
      <c r="S583" s="55"/>
      <c r="T583" s="55"/>
      <c r="U583" s="55"/>
    </row>
    <row r="584">
      <c r="A584" s="55"/>
      <c r="B584" s="55"/>
      <c r="C584" s="55"/>
      <c r="D584" s="55"/>
      <c r="E584" s="53"/>
      <c r="F584" s="55"/>
      <c r="G584" s="55" t="b">
        <v>0</v>
      </c>
      <c r="H584" s="55"/>
      <c r="I584" s="55"/>
      <c r="J584" s="55"/>
      <c r="K584" s="55"/>
      <c r="L584" s="55"/>
      <c r="M584" s="55"/>
      <c r="N584" s="55"/>
      <c r="O584" s="55"/>
      <c r="P584" s="55"/>
      <c r="Q584" s="55"/>
      <c r="R584" s="55"/>
      <c r="S584" s="55"/>
      <c r="T584" s="55"/>
      <c r="U584" s="55"/>
    </row>
    <row r="585">
      <c r="A585" s="55"/>
      <c r="B585" s="55"/>
      <c r="C585" s="55"/>
      <c r="D585" s="55"/>
      <c r="E585" s="53"/>
      <c r="F585" s="55"/>
      <c r="G585" s="55" t="b">
        <v>0</v>
      </c>
      <c r="H585" s="55"/>
      <c r="I585" s="55"/>
      <c r="J585" s="55"/>
      <c r="K585" s="55"/>
      <c r="L585" s="55"/>
      <c r="M585" s="55"/>
      <c r="N585" s="55"/>
      <c r="O585" s="55"/>
      <c r="P585" s="55"/>
      <c r="Q585" s="55"/>
      <c r="R585" s="55"/>
      <c r="S585" s="55"/>
      <c r="T585" s="55"/>
      <c r="U585" s="55"/>
    </row>
    <row r="586">
      <c r="A586" s="55"/>
      <c r="B586" s="55"/>
      <c r="C586" s="55"/>
      <c r="D586" s="55"/>
      <c r="E586" s="53"/>
      <c r="F586" s="55"/>
      <c r="G586" s="55" t="b">
        <v>0</v>
      </c>
      <c r="H586" s="55"/>
      <c r="I586" s="55"/>
      <c r="J586" s="55"/>
      <c r="K586" s="55"/>
      <c r="L586" s="55"/>
      <c r="M586" s="55"/>
      <c r="N586" s="55"/>
      <c r="O586" s="55"/>
      <c r="P586" s="55"/>
      <c r="Q586" s="55"/>
      <c r="R586" s="55"/>
      <c r="S586" s="55"/>
      <c r="T586" s="55"/>
      <c r="U586" s="55"/>
    </row>
    <row r="587">
      <c r="A587" s="55"/>
      <c r="B587" s="55"/>
      <c r="C587" s="55"/>
      <c r="D587" s="55"/>
      <c r="E587" s="53"/>
      <c r="F587" s="55"/>
      <c r="G587" s="55" t="b">
        <v>0</v>
      </c>
      <c r="H587" s="55"/>
      <c r="I587" s="55"/>
      <c r="J587" s="55"/>
      <c r="K587" s="55"/>
      <c r="L587" s="55"/>
      <c r="M587" s="55"/>
      <c r="N587" s="55"/>
      <c r="O587" s="55"/>
      <c r="P587" s="55"/>
      <c r="Q587" s="55"/>
      <c r="R587" s="55"/>
      <c r="S587" s="55"/>
      <c r="T587" s="55"/>
      <c r="U587" s="55"/>
    </row>
    <row r="588">
      <c r="A588" s="55"/>
      <c r="B588" s="55"/>
      <c r="C588" s="55"/>
      <c r="D588" s="55"/>
      <c r="E588" s="53"/>
      <c r="F588" s="55"/>
      <c r="G588" s="55" t="b">
        <v>0</v>
      </c>
      <c r="H588" s="55"/>
      <c r="I588" s="55"/>
      <c r="J588" s="55"/>
      <c r="K588" s="55"/>
      <c r="L588" s="55"/>
      <c r="M588" s="55"/>
      <c r="N588" s="55"/>
      <c r="O588" s="55"/>
      <c r="P588" s="55"/>
      <c r="Q588" s="55"/>
      <c r="R588" s="55"/>
      <c r="S588" s="55"/>
      <c r="T588" s="55"/>
      <c r="U588" s="55"/>
    </row>
    <row r="589">
      <c r="A589" s="55"/>
      <c r="B589" s="55"/>
      <c r="C589" s="55"/>
      <c r="D589" s="55"/>
      <c r="E589" s="53"/>
      <c r="F589" s="55"/>
      <c r="G589" s="55" t="b">
        <v>0</v>
      </c>
      <c r="H589" s="55"/>
      <c r="I589" s="55"/>
      <c r="J589" s="55"/>
      <c r="K589" s="55"/>
      <c r="L589" s="55"/>
      <c r="M589" s="55"/>
      <c r="N589" s="55"/>
      <c r="O589" s="55"/>
      <c r="P589" s="55"/>
      <c r="Q589" s="55"/>
      <c r="R589" s="55"/>
      <c r="S589" s="55"/>
      <c r="T589" s="55"/>
      <c r="U589" s="55"/>
    </row>
    <row r="590">
      <c r="A590" s="55"/>
      <c r="B590" s="55"/>
      <c r="C590" s="55"/>
      <c r="D590" s="55"/>
      <c r="E590" s="53"/>
      <c r="F590" s="55"/>
      <c r="G590" s="55" t="b">
        <v>0</v>
      </c>
      <c r="H590" s="55"/>
      <c r="I590" s="55"/>
      <c r="J590" s="55"/>
      <c r="K590" s="55"/>
      <c r="L590" s="55"/>
      <c r="M590" s="55"/>
      <c r="N590" s="55"/>
      <c r="O590" s="55"/>
      <c r="P590" s="55"/>
      <c r="Q590" s="55"/>
      <c r="R590" s="55"/>
      <c r="S590" s="55"/>
      <c r="T590" s="55"/>
      <c r="U590" s="55"/>
    </row>
    <row r="591">
      <c r="A591" s="55"/>
      <c r="B591" s="55"/>
      <c r="C591" s="55"/>
      <c r="D591" s="55"/>
      <c r="E591" s="53"/>
      <c r="F591" s="55"/>
      <c r="G591" s="55" t="b">
        <v>0</v>
      </c>
      <c r="H591" s="55"/>
      <c r="I591" s="55"/>
      <c r="J591" s="55"/>
      <c r="K591" s="55"/>
      <c r="L591" s="55"/>
      <c r="M591" s="55"/>
      <c r="N591" s="55"/>
      <c r="O591" s="55"/>
      <c r="P591" s="55"/>
      <c r="Q591" s="55"/>
      <c r="R591" s="55"/>
      <c r="S591" s="55"/>
      <c r="T591" s="55"/>
      <c r="U591" s="55"/>
    </row>
    <row r="592">
      <c r="A592" s="55"/>
      <c r="B592" s="55"/>
      <c r="C592" s="55"/>
      <c r="D592" s="55"/>
      <c r="E592" s="53"/>
      <c r="F592" s="55"/>
      <c r="G592" s="55" t="b">
        <v>0</v>
      </c>
      <c r="H592" s="55"/>
      <c r="I592" s="55"/>
      <c r="J592" s="55"/>
      <c r="K592" s="55"/>
      <c r="L592" s="55"/>
      <c r="M592" s="55"/>
      <c r="N592" s="55"/>
      <c r="O592" s="55"/>
      <c r="P592" s="55"/>
      <c r="Q592" s="55"/>
      <c r="R592" s="55"/>
      <c r="S592" s="55"/>
      <c r="T592" s="55"/>
      <c r="U592" s="55"/>
    </row>
    <row r="593">
      <c r="A593" s="55"/>
      <c r="B593" s="55"/>
      <c r="C593" s="55"/>
      <c r="D593" s="55"/>
      <c r="E593" s="53"/>
      <c r="F593" s="55"/>
      <c r="G593" s="55" t="b">
        <v>0</v>
      </c>
      <c r="H593" s="55"/>
      <c r="I593" s="55"/>
      <c r="J593" s="55"/>
      <c r="K593" s="55"/>
      <c r="L593" s="55"/>
      <c r="M593" s="55"/>
      <c r="N593" s="55"/>
      <c r="O593" s="55"/>
      <c r="P593" s="55"/>
      <c r="Q593" s="55"/>
      <c r="R593" s="55"/>
      <c r="S593" s="55"/>
      <c r="T593" s="55"/>
      <c r="U593" s="55"/>
    </row>
    <row r="594">
      <c r="A594" s="55"/>
      <c r="B594" s="55"/>
      <c r="C594" s="55"/>
      <c r="D594" s="55"/>
      <c r="E594" s="53"/>
      <c r="F594" s="55"/>
      <c r="G594" s="55" t="b">
        <v>0</v>
      </c>
      <c r="H594" s="55"/>
      <c r="I594" s="55"/>
      <c r="J594" s="55"/>
      <c r="K594" s="55"/>
      <c r="L594" s="55"/>
      <c r="M594" s="55"/>
      <c r="N594" s="55"/>
      <c r="O594" s="55"/>
      <c r="P594" s="55"/>
      <c r="Q594" s="55"/>
      <c r="R594" s="55"/>
      <c r="S594" s="55"/>
      <c r="T594" s="55"/>
      <c r="U594" s="55"/>
    </row>
    <row r="595">
      <c r="A595" s="55"/>
      <c r="B595" s="55"/>
      <c r="C595" s="55"/>
      <c r="D595" s="55"/>
      <c r="E595" s="53"/>
      <c r="F595" s="55"/>
      <c r="G595" s="55" t="b">
        <v>0</v>
      </c>
      <c r="H595" s="55"/>
      <c r="I595" s="55"/>
      <c r="J595" s="55"/>
      <c r="K595" s="55"/>
      <c r="L595" s="55"/>
      <c r="M595" s="55"/>
      <c r="N595" s="55"/>
      <c r="O595" s="55"/>
      <c r="P595" s="55"/>
      <c r="Q595" s="55"/>
      <c r="R595" s="55"/>
      <c r="S595" s="55"/>
      <c r="T595" s="55"/>
      <c r="U595" s="55"/>
    </row>
    <row r="596">
      <c r="A596" s="55"/>
      <c r="B596" s="55"/>
      <c r="C596" s="55"/>
      <c r="D596" s="55"/>
      <c r="E596" s="53"/>
      <c r="F596" s="55"/>
      <c r="G596" s="55" t="b">
        <v>0</v>
      </c>
      <c r="H596" s="55"/>
      <c r="I596" s="55"/>
      <c r="J596" s="55"/>
      <c r="K596" s="55"/>
      <c r="L596" s="55"/>
      <c r="M596" s="55"/>
      <c r="N596" s="55"/>
      <c r="O596" s="55"/>
      <c r="P596" s="55"/>
      <c r="Q596" s="55"/>
      <c r="R596" s="55"/>
      <c r="S596" s="55"/>
      <c r="T596" s="55"/>
      <c r="U596" s="55"/>
    </row>
    <row r="597">
      <c r="A597" s="55"/>
      <c r="B597" s="55"/>
      <c r="C597" s="55"/>
      <c r="D597" s="55"/>
      <c r="E597" s="53"/>
      <c r="F597" s="55"/>
      <c r="G597" s="55" t="b">
        <v>0</v>
      </c>
      <c r="H597" s="55"/>
      <c r="I597" s="55"/>
      <c r="J597" s="55"/>
      <c r="K597" s="55"/>
      <c r="L597" s="55"/>
      <c r="M597" s="55"/>
      <c r="N597" s="55"/>
      <c r="O597" s="55"/>
      <c r="P597" s="55"/>
      <c r="Q597" s="55"/>
      <c r="R597" s="55"/>
      <c r="S597" s="55"/>
      <c r="T597" s="55"/>
      <c r="U597" s="55"/>
    </row>
    <row r="598">
      <c r="A598" s="55"/>
      <c r="B598" s="55"/>
      <c r="C598" s="55"/>
      <c r="D598" s="55"/>
      <c r="E598" s="53"/>
      <c r="F598" s="55"/>
      <c r="G598" s="55" t="b">
        <v>0</v>
      </c>
      <c r="H598" s="55"/>
      <c r="I598" s="55"/>
      <c r="J598" s="55"/>
      <c r="K598" s="55"/>
      <c r="L598" s="55"/>
      <c r="M598" s="55"/>
      <c r="N598" s="55"/>
      <c r="O598" s="55"/>
      <c r="P598" s="55"/>
      <c r="Q598" s="55"/>
      <c r="R598" s="55"/>
      <c r="S598" s="55"/>
      <c r="T598" s="55"/>
      <c r="U598" s="55"/>
    </row>
    <row r="599">
      <c r="A599" s="55"/>
      <c r="B599" s="55"/>
      <c r="C599" s="55"/>
      <c r="D599" s="55"/>
      <c r="E599" s="53"/>
      <c r="F599" s="55"/>
      <c r="G599" s="55" t="b">
        <v>0</v>
      </c>
      <c r="H599" s="55"/>
      <c r="I599" s="55"/>
      <c r="J599" s="55"/>
      <c r="K599" s="55"/>
      <c r="L599" s="55"/>
      <c r="M599" s="55"/>
      <c r="N599" s="55"/>
      <c r="O599" s="55"/>
      <c r="P599" s="55"/>
      <c r="Q599" s="55"/>
      <c r="R599" s="55"/>
      <c r="S599" s="55"/>
      <c r="T599" s="55"/>
      <c r="U599" s="55"/>
    </row>
    <row r="600">
      <c r="A600" s="55"/>
      <c r="B600" s="55"/>
      <c r="C600" s="55"/>
      <c r="D600" s="55"/>
      <c r="E600" s="53"/>
      <c r="F600" s="55"/>
      <c r="G600" s="55" t="b">
        <v>0</v>
      </c>
      <c r="H600" s="55"/>
      <c r="I600" s="55"/>
      <c r="J600" s="55"/>
      <c r="K600" s="55"/>
      <c r="L600" s="55"/>
      <c r="M600" s="55"/>
      <c r="N600" s="55"/>
      <c r="O600" s="55"/>
      <c r="P600" s="55"/>
      <c r="Q600" s="55"/>
      <c r="R600" s="55"/>
      <c r="S600" s="55"/>
      <c r="T600" s="55"/>
      <c r="U600" s="55"/>
    </row>
    <row r="601">
      <c r="A601" s="55"/>
      <c r="B601" s="55"/>
      <c r="C601" s="55"/>
      <c r="D601" s="55"/>
      <c r="E601" s="53"/>
      <c r="F601" s="55"/>
      <c r="G601" s="55" t="b">
        <v>0</v>
      </c>
      <c r="H601" s="55"/>
      <c r="I601" s="55"/>
      <c r="J601" s="55"/>
      <c r="K601" s="55"/>
      <c r="L601" s="55"/>
      <c r="M601" s="55"/>
      <c r="N601" s="55"/>
      <c r="O601" s="55"/>
      <c r="P601" s="55"/>
      <c r="Q601" s="55"/>
      <c r="R601" s="55"/>
      <c r="S601" s="55"/>
      <c r="T601" s="55"/>
      <c r="U601" s="55"/>
    </row>
    <row r="602">
      <c r="A602" s="55"/>
      <c r="B602" s="55"/>
      <c r="C602" s="55"/>
      <c r="D602" s="55"/>
      <c r="E602" s="53"/>
      <c r="F602" s="55"/>
      <c r="G602" s="55" t="b">
        <v>0</v>
      </c>
      <c r="H602" s="55"/>
      <c r="I602" s="55"/>
      <c r="J602" s="55"/>
      <c r="K602" s="55"/>
      <c r="L602" s="55"/>
      <c r="M602" s="55"/>
      <c r="N602" s="55"/>
      <c r="O602" s="55"/>
      <c r="P602" s="55"/>
      <c r="Q602" s="55"/>
      <c r="R602" s="55"/>
      <c r="S602" s="55"/>
      <c r="T602" s="55"/>
      <c r="U602" s="55"/>
    </row>
    <row r="603">
      <c r="A603" s="55"/>
      <c r="B603" s="55"/>
      <c r="C603" s="55"/>
      <c r="D603" s="55"/>
      <c r="E603" s="53"/>
      <c r="F603" s="55"/>
      <c r="G603" s="55" t="b">
        <v>0</v>
      </c>
      <c r="H603" s="55"/>
      <c r="I603" s="55"/>
      <c r="J603" s="55"/>
      <c r="K603" s="55"/>
      <c r="L603" s="55"/>
      <c r="M603" s="55"/>
      <c r="N603" s="55"/>
      <c r="O603" s="55"/>
      <c r="P603" s="55"/>
      <c r="Q603" s="55"/>
      <c r="R603" s="55"/>
      <c r="S603" s="55"/>
      <c r="T603" s="55"/>
      <c r="U603" s="55"/>
    </row>
    <row r="604">
      <c r="A604" s="55"/>
      <c r="B604" s="55"/>
      <c r="C604" s="55"/>
      <c r="D604" s="55"/>
      <c r="E604" s="53"/>
      <c r="F604" s="55"/>
      <c r="G604" s="55" t="b">
        <v>0</v>
      </c>
      <c r="H604" s="55"/>
      <c r="I604" s="55"/>
      <c r="J604" s="55"/>
      <c r="K604" s="55"/>
      <c r="L604" s="55"/>
      <c r="M604" s="55"/>
      <c r="N604" s="55"/>
      <c r="O604" s="55"/>
      <c r="P604" s="55"/>
      <c r="Q604" s="55"/>
      <c r="R604" s="55"/>
      <c r="S604" s="55"/>
      <c r="T604" s="55"/>
      <c r="U604" s="55"/>
    </row>
    <row r="605">
      <c r="A605" s="55"/>
      <c r="B605" s="55"/>
      <c r="C605" s="55"/>
      <c r="D605" s="55"/>
      <c r="E605" s="53"/>
      <c r="F605" s="55"/>
      <c r="G605" s="55" t="b">
        <v>0</v>
      </c>
      <c r="H605" s="55"/>
      <c r="I605" s="55"/>
      <c r="J605" s="55"/>
      <c r="K605" s="55"/>
      <c r="L605" s="55"/>
      <c r="M605" s="55"/>
      <c r="N605" s="55"/>
      <c r="O605" s="55"/>
      <c r="P605" s="55"/>
      <c r="Q605" s="55"/>
      <c r="R605" s="55"/>
      <c r="S605" s="55"/>
      <c r="T605" s="55"/>
      <c r="U605" s="55"/>
    </row>
    <row r="606">
      <c r="A606" s="55"/>
      <c r="B606" s="55"/>
      <c r="C606" s="55"/>
      <c r="D606" s="55"/>
      <c r="E606" s="53"/>
      <c r="F606" s="55"/>
      <c r="G606" s="55" t="b">
        <v>0</v>
      </c>
      <c r="H606" s="55"/>
      <c r="I606" s="55"/>
      <c r="J606" s="55"/>
      <c r="K606" s="55"/>
      <c r="L606" s="55"/>
      <c r="M606" s="55"/>
      <c r="N606" s="55"/>
      <c r="O606" s="55"/>
      <c r="P606" s="55"/>
      <c r="Q606" s="55"/>
      <c r="R606" s="55"/>
      <c r="S606" s="55"/>
      <c r="T606" s="55"/>
      <c r="U606" s="55"/>
    </row>
    <row r="607">
      <c r="A607" s="55"/>
      <c r="B607" s="55"/>
      <c r="C607" s="55"/>
      <c r="D607" s="55"/>
      <c r="E607" s="53"/>
      <c r="F607" s="55"/>
      <c r="G607" s="55" t="b">
        <v>0</v>
      </c>
      <c r="H607" s="55"/>
      <c r="I607" s="55"/>
      <c r="J607" s="55"/>
      <c r="K607" s="55"/>
      <c r="L607" s="55"/>
      <c r="M607" s="55"/>
      <c r="N607" s="55"/>
      <c r="O607" s="55"/>
      <c r="P607" s="55"/>
      <c r="Q607" s="55"/>
      <c r="R607" s="55"/>
      <c r="S607" s="55"/>
      <c r="T607" s="55"/>
      <c r="U607" s="55"/>
    </row>
    <row r="608">
      <c r="A608" s="55"/>
      <c r="B608" s="55"/>
      <c r="C608" s="55"/>
      <c r="D608" s="55"/>
      <c r="E608" s="53"/>
      <c r="F608" s="55"/>
      <c r="G608" s="55" t="b">
        <v>0</v>
      </c>
      <c r="H608" s="55"/>
      <c r="I608" s="55"/>
      <c r="J608" s="55"/>
      <c r="K608" s="55"/>
      <c r="L608" s="55"/>
      <c r="M608" s="55"/>
      <c r="N608" s="55"/>
      <c r="O608" s="55"/>
      <c r="P608" s="55"/>
      <c r="Q608" s="55"/>
      <c r="R608" s="55"/>
      <c r="S608" s="55"/>
      <c r="T608" s="55"/>
      <c r="U608" s="55"/>
    </row>
    <row r="609">
      <c r="A609" s="55"/>
      <c r="B609" s="55"/>
      <c r="C609" s="55"/>
      <c r="D609" s="55"/>
      <c r="E609" s="53"/>
      <c r="F609" s="55"/>
      <c r="G609" s="55" t="b">
        <v>0</v>
      </c>
      <c r="H609" s="55"/>
      <c r="I609" s="55"/>
      <c r="J609" s="55"/>
      <c r="K609" s="55"/>
      <c r="L609" s="55"/>
      <c r="M609" s="55"/>
      <c r="N609" s="55"/>
      <c r="O609" s="55"/>
      <c r="P609" s="55"/>
      <c r="Q609" s="55"/>
      <c r="R609" s="55"/>
      <c r="S609" s="55"/>
      <c r="T609" s="55"/>
      <c r="U609" s="55"/>
    </row>
    <row r="610">
      <c r="A610" s="55"/>
      <c r="B610" s="55"/>
      <c r="C610" s="55"/>
      <c r="D610" s="55"/>
      <c r="E610" s="53"/>
      <c r="F610" s="55"/>
      <c r="G610" s="55" t="b">
        <v>0</v>
      </c>
      <c r="H610" s="55"/>
      <c r="I610" s="55"/>
      <c r="J610" s="55"/>
      <c r="K610" s="55"/>
      <c r="L610" s="55"/>
      <c r="M610" s="55"/>
      <c r="N610" s="55"/>
      <c r="O610" s="55"/>
      <c r="P610" s="55"/>
      <c r="Q610" s="55"/>
      <c r="R610" s="55"/>
      <c r="S610" s="55"/>
      <c r="T610" s="55"/>
      <c r="U610" s="55"/>
    </row>
    <row r="611">
      <c r="A611" s="55"/>
      <c r="B611" s="55"/>
      <c r="C611" s="55"/>
      <c r="D611" s="55"/>
      <c r="E611" s="53"/>
      <c r="F611" s="55"/>
      <c r="G611" s="55" t="b">
        <v>0</v>
      </c>
      <c r="H611" s="55"/>
      <c r="I611" s="55"/>
      <c r="J611" s="55"/>
      <c r="K611" s="55"/>
      <c r="L611" s="55"/>
      <c r="M611" s="55"/>
      <c r="N611" s="55"/>
      <c r="O611" s="55"/>
      <c r="P611" s="55"/>
      <c r="Q611" s="55"/>
      <c r="R611" s="55"/>
      <c r="S611" s="55"/>
      <c r="T611" s="55"/>
      <c r="U611" s="55"/>
    </row>
    <row r="612">
      <c r="A612" s="55"/>
      <c r="B612" s="55"/>
      <c r="C612" s="55"/>
      <c r="D612" s="55"/>
      <c r="E612" s="53"/>
      <c r="F612" s="55"/>
      <c r="G612" s="55" t="b">
        <v>0</v>
      </c>
      <c r="H612" s="55"/>
      <c r="I612" s="55"/>
      <c r="J612" s="55"/>
      <c r="K612" s="55"/>
      <c r="L612" s="55"/>
      <c r="M612" s="55"/>
      <c r="N612" s="55"/>
      <c r="O612" s="55"/>
      <c r="P612" s="55"/>
      <c r="Q612" s="55"/>
      <c r="R612" s="55"/>
      <c r="S612" s="55"/>
      <c r="T612" s="55"/>
      <c r="U612" s="55"/>
    </row>
    <row r="613">
      <c r="A613" s="55"/>
      <c r="B613" s="55"/>
      <c r="C613" s="55"/>
      <c r="D613" s="55"/>
      <c r="E613" s="53"/>
      <c r="F613" s="55"/>
      <c r="G613" s="55" t="b">
        <v>0</v>
      </c>
      <c r="H613" s="55"/>
      <c r="I613" s="55"/>
      <c r="J613" s="55"/>
      <c r="K613" s="55"/>
      <c r="L613" s="55"/>
      <c r="M613" s="55"/>
      <c r="N613" s="55"/>
      <c r="O613" s="55"/>
      <c r="P613" s="55"/>
      <c r="Q613" s="55"/>
      <c r="R613" s="55"/>
      <c r="S613" s="55"/>
      <c r="T613" s="55"/>
      <c r="U613" s="55"/>
    </row>
    <row r="614">
      <c r="A614" s="55"/>
      <c r="B614" s="55"/>
      <c r="C614" s="55"/>
      <c r="D614" s="55"/>
      <c r="E614" s="53"/>
      <c r="F614" s="55"/>
      <c r="G614" s="55" t="b">
        <v>0</v>
      </c>
      <c r="H614" s="55"/>
      <c r="I614" s="55"/>
      <c r="J614" s="55"/>
      <c r="K614" s="55"/>
      <c r="L614" s="55"/>
      <c r="M614" s="55"/>
      <c r="N614" s="55"/>
      <c r="O614" s="55"/>
      <c r="P614" s="55"/>
      <c r="Q614" s="55"/>
      <c r="R614" s="55"/>
      <c r="S614" s="55"/>
      <c r="T614" s="55"/>
      <c r="U614" s="55"/>
    </row>
    <row r="615">
      <c r="A615" s="55"/>
      <c r="B615" s="55"/>
      <c r="C615" s="55"/>
      <c r="D615" s="55"/>
      <c r="E615" s="53"/>
      <c r="F615" s="55"/>
      <c r="G615" s="55" t="b">
        <v>0</v>
      </c>
      <c r="H615" s="55"/>
      <c r="I615" s="55"/>
      <c r="J615" s="55"/>
      <c r="K615" s="55"/>
      <c r="L615" s="55"/>
      <c r="M615" s="55"/>
      <c r="N615" s="55"/>
      <c r="O615" s="55"/>
      <c r="P615" s="55"/>
      <c r="Q615" s="55"/>
      <c r="R615" s="55"/>
      <c r="S615" s="55"/>
      <c r="T615" s="55"/>
      <c r="U615" s="55"/>
    </row>
    <row r="616">
      <c r="A616" s="55"/>
      <c r="B616" s="55"/>
      <c r="C616" s="55"/>
      <c r="D616" s="55"/>
      <c r="E616" s="53"/>
      <c r="F616" s="55"/>
      <c r="G616" s="55" t="b">
        <v>0</v>
      </c>
      <c r="H616" s="55"/>
      <c r="I616" s="55"/>
      <c r="J616" s="55"/>
      <c r="K616" s="55"/>
      <c r="L616" s="55"/>
      <c r="M616" s="55"/>
      <c r="N616" s="55"/>
      <c r="O616" s="55"/>
      <c r="P616" s="55"/>
      <c r="Q616" s="55"/>
      <c r="R616" s="55"/>
      <c r="S616" s="55"/>
      <c r="T616" s="55"/>
      <c r="U616" s="55"/>
    </row>
    <row r="617">
      <c r="A617" s="55"/>
      <c r="B617" s="55"/>
      <c r="C617" s="55"/>
      <c r="D617" s="55"/>
      <c r="E617" s="53"/>
      <c r="F617" s="55"/>
      <c r="G617" s="55" t="b">
        <v>0</v>
      </c>
      <c r="H617" s="55"/>
      <c r="I617" s="55"/>
      <c r="J617" s="55"/>
      <c r="K617" s="55"/>
      <c r="L617" s="55"/>
      <c r="M617" s="55"/>
      <c r="N617" s="55"/>
      <c r="O617" s="55"/>
      <c r="P617" s="55"/>
      <c r="Q617" s="55"/>
      <c r="R617" s="55"/>
      <c r="S617" s="55"/>
      <c r="T617" s="55"/>
      <c r="U617" s="55"/>
    </row>
    <row r="618">
      <c r="A618" s="55"/>
      <c r="B618" s="55"/>
      <c r="C618" s="55"/>
      <c r="D618" s="55"/>
      <c r="E618" s="53"/>
      <c r="F618" s="55"/>
      <c r="G618" s="55" t="b">
        <v>0</v>
      </c>
      <c r="H618" s="55"/>
      <c r="I618" s="55"/>
      <c r="J618" s="55"/>
      <c r="K618" s="55"/>
      <c r="L618" s="55"/>
      <c r="M618" s="55"/>
      <c r="N618" s="55"/>
      <c r="O618" s="55"/>
      <c r="P618" s="55"/>
      <c r="Q618" s="55"/>
      <c r="R618" s="55"/>
      <c r="S618" s="55"/>
      <c r="T618" s="55"/>
      <c r="U618" s="55"/>
    </row>
    <row r="619">
      <c r="A619" s="55"/>
      <c r="B619" s="55"/>
      <c r="C619" s="55"/>
      <c r="D619" s="55"/>
      <c r="E619" s="53"/>
      <c r="F619" s="55"/>
      <c r="G619" s="55" t="b">
        <v>0</v>
      </c>
      <c r="H619" s="55"/>
      <c r="I619" s="55"/>
      <c r="J619" s="55"/>
      <c r="K619" s="55"/>
      <c r="L619" s="55"/>
      <c r="M619" s="55"/>
      <c r="N619" s="55"/>
      <c r="O619" s="55"/>
      <c r="P619" s="55"/>
      <c r="Q619" s="55"/>
      <c r="R619" s="55"/>
      <c r="S619" s="55"/>
      <c r="T619" s="55"/>
      <c r="U619" s="55"/>
    </row>
    <row r="620">
      <c r="A620" s="55"/>
      <c r="B620" s="55"/>
      <c r="C620" s="55"/>
      <c r="D620" s="55"/>
      <c r="E620" s="53"/>
      <c r="F620" s="55"/>
      <c r="G620" s="55" t="b">
        <v>0</v>
      </c>
      <c r="H620" s="55"/>
      <c r="I620" s="55"/>
      <c r="J620" s="55"/>
      <c r="K620" s="55"/>
      <c r="L620" s="55"/>
      <c r="M620" s="55"/>
      <c r="N620" s="55"/>
      <c r="O620" s="55"/>
      <c r="P620" s="55"/>
      <c r="Q620" s="55"/>
      <c r="R620" s="55"/>
      <c r="S620" s="55"/>
      <c r="T620" s="55"/>
      <c r="U620" s="55"/>
    </row>
    <row r="621">
      <c r="A621" s="55"/>
      <c r="B621" s="55"/>
      <c r="C621" s="55"/>
      <c r="D621" s="55"/>
      <c r="E621" s="53"/>
      <c r="F621" s="55"/>
      <c r="G621" s="55" t="b">
        <v>0</v>
      </c>
      <c r="H621" s="55"/>
      <c r="I621" s="55"/>
      <c r="J621" s="55"/>
      <c r="K621" s="55"/>
      <c r="L621" s="55"/>
      <c r="M621" s="55"/>
      <c r="N621" s="55"/>
      <c r="O621" s="55"/>
      <c r="P621" s="55"/>
      <c r="Q621" s="55"/>
      <c r="R621" s="55"/>
      <c r="S621" s="55"/>
      <c r="T621" s="55"/>
      <c r="U621" s="55"/>
    </row>
    <row r="622">
      <c r="A622" s="55"/>
      <c r="B622" s="55"/>
      <c r="C622" s="55"/>
      <c r="D622" s="55"/>
      <c r="E622" s="53"/>
      <c r="F622" s="55"/>
      <c r="G622" s="55" t="b">
        <v>0</v>
      </c>
      <c r="H622" s="55"/>
      <c r="I622" s="55"/>
      <c r="J622" s="55"/>
      <c r="K622" s="55"/>
      <c r="L622" s="55"/>
      <c r="M622" s="55"/>
      <c r="N622" s="55"/>
      <c r="O622" s="55"/>
      <c r="P622" s="55"/>
      <c r="Q622" s="55"/>
      <c r="R622" s="55"/>
      <c r="S622" s="55"/>
      <c r="T622" s="55"/>
      <c r="U622" s="55"/>
    </row>
    <row r="623">
      <c r="A623" s="55"/>
      <c r="B623" s="55"/>
      <c r="C623" s="55"/>
      <c r="D623" s="55"/>
      <c r="E623" s="53"/>
      <c r="F623" s="55"/>
      <c r="G623" s="55" t="b">
        <v>0</v>
      </c>
      <c r="H623" s="55"/>
      <c r="I623" s="55"/>
      <c r="J623" s="55"/>
      <c r="K623" s="55"/>
      <c r="L623" s="55"/>
      <c r="M623" s="55"/>
      <c r="N623" s="55"/>
      <c r="O623" s="55"/>
      <c r="P623" s="55"/>
      <c r="Q623" s="55"/>
      <c r="R623" s="55"/>
      <c r="S623" s="55"/>
      <c r="T623" s="55"/>
      <c r="U623" s="55"/>
    </row>
    <row r="624">
      <c r="A624" s="55"/>
      <c r="B624" s="55"/>
      <c r="C624" s="55"/>
      <c r="D624" s="55"/>
      <c r="E624" s="53"/>
      <c r="F624" s="55"/>
      <c r="G624" s="55" t="b">
        <v>0</v>
      </c>
      <c r="H624" s="55"/>
      <c r="I624" s="55"/>
      <c r="J624" s="55"/>
      <c r="K624" s="55"/>
      <c r="L624" s="55"/>
      <c r="M624" s="55"/>
      <c r="N624" s="55"/>
      <c r="O624" s="55"/>
      <c r="P624" s="55"/>
      <c r="Q624" s="55"/>
      <c r="R624" s="55"/>
      <c r="S624" s="55"/>
      <c r="T624" s="55"/>
      <c r="U624" s="55"/>
    </row>
    <row r="625">
      <c r="A625" s="55"/>
      <c r="B625" s="55"/>
      <c r="C625" s="55"/>
      <c r="D625" s="55"/>
      <c r="E625" s="53"/>
      <c r="F625" s="55"/>
      <c r="G625" s="55" t="b">
        <v>0</v>
      </c>
      <c r="H625" s="55"/>
      <c r="I625" s="55"/>
      <c r="J625" s="55"/>
      <c r="K625" s="55"/>
      <c r="L625" s="55"/>
      <c r="M625" s="55"/>
      <c r="N625" s="55"/>
      <c r="O625" s="55"/>
      <c r="P625" s="55"/>
      <c r="Q625" s="55"/>
      <c r="R625" s="55"/>
      <c r="S625" s="55"/>
      <c r="T625" s="55"/>
      <c r="U625" s="55"/>
    </row>
    <row r="626">
      <c r="A626" s="55"/>
      <c r="B626" s="55"/>
      <c r="C626" s="55"/>
      <c r="D626" s="55"/>
      <c r="E626" s="53"/>
      <c r="F626" s="55"/>
      <c r="G626" s="55" t="b">
        <v>0</v>
      </c>
      <c r="H626" s="55"/>
      <c r="I626" s="55"/>
      <c r="J626" s="55"/>
      <c r="K626" s="55"/>
      <c r="L626" s="55"/>
      <c r="M626" s="55"/>
      <c r="N626" s="55"/>
      <c r="O626" s="55"/>
      <c r="P626" s="55"/>
      <c r="Q626" s="55"/>
      <c r="R626" s="55"/>
      <c r="S626" s="55"/>
      <c r="T626" s="55"/>
      <c r="U626" s="55"/>
    </row>
    <row r="627">
      <c r="A627" s="55"/>
      <c r="B627" s="55"/>
      <c r="C627" s="55"/>
      <c r="D627" s="55"/>
      <c r="E627" s="53"/>
      <c r="F627" s="55"/>
      <c r="G627" s="55" t="b">
        <v>0</v>
      </c>
      <c r="H627" s="55"/>
      <c r="I627" s="55"/>
      <c r="J627" s="55"/>
      <c r="K627" s="55"/>
      <c r="L627" s="55"/>
      <c r="M627" s="55"/>
      <c r="N627" s="55"/>
      <c r="O627" s="55"/>
      <c r="P627" s="55"/>
      <c r="Q627" s="55"/>
      <c r="R627" s="55"/>
      <c r="S627" s="55"/>
      <c r="T627" s="55"/>
      <c r="U627" s="55"/>
    </row>
    <row r="628">
      <c r="A628" s="55"/>
      <c r="B628" s="55"/>
      <c r="C628" s="55"/>
      <c r="D628" s="55"/>
      <c r="E628" s="53"/>
      <c r="F628" s="55"/>
      <c r="G628" s="55" t="b">
        <v>0</v>
      </c>
      <c r="H628" s="55"/>
      <c r="I628" s="55"/>
      <c r="J628" s="55"/>
      <c r="K628" s="55"/>
      <c r="L628" s="55"/>
      <c r="M628" s="55"/>
      <c r="N628" s="55"/>
      <c r="O628" s="55"/>
      <c r="P628" s="55"/>
      <c r="Q628" s="55"/>
      <c r="R628" s="55"/>
      <c r="S628" s="55"/>
      <c r="T628" s="55"/>
      <c r="U628" s="55"/>
    </row>
    <row r="629">
      <c r="A629" s="55"/>
      <c r="B629" s="55"/>
      <c r="C629" s="55"/>
      <c r="D629" s="55"/>
      <c r="E629" s="53"/>
      <c r="F629" s="55"/>
      <c r="G629" s="55" t="b">
        <v>0</v>
      </c>
      <c r="H629" s="55"/>
      <c r="I629" s="55"/>
      <c r="J629" s="55"/>
      <c r="K629" s="55"/>
      <c r="L629" s="55"/>
      <c r="M629" s="55"/>
      <c r="N629" s="55"/>
      <c r="O629" s="55"/>
      <c r="P629" s="55"/>
      <c r="Q629" s="55"/>
      <c r="R629" s="55"/>
      <c r="S629" s="55"/>
      <c r="T629" s="55"/>
      <c r="U629" s="55"/>
    </row>
    <row r="630">
      <c r="A630" s="55"/>
      <c r="B630" s="55"/>
      <c r="C630" s="55"/>
      <c r="D630" s="55"/>
      <c r="E630" s="53"/>
      <c r="F630" s="55"/>
      <c r="G630" s="55" t="b">
        <v>0</v>
      </c>
      <c r="H630" s="55"/>
      <c r="I630" s="55"/>
      <c r="J630" s="55"/>
      <c r="K630" s="55"/>
      <c r="L630" s="55"/>
      <c r="M630" s="55"/>
      <c r="N630" s="55"/>
      <c r="O630" s="55"/>
      <c r="P630" s="55"/>
      <c r="Q630" s="55"/>
      <c r="R630" s="55"/>
      <c r="S630" s="55"/>
      <c r="T630" s="55"/>
      <c r="U630" s="55"/>
    </row>
    <row r="631">
      <c r="A631" s="55"/>
      <c r="B631" s="55"/>
      <c r="C631" s="55"/>
      <c r="D631" s="55"/>
      <c r="E631" s="53"/>
      <c r="F631" s="55"/>
      <c r="G631" s="55" t="b">
        <v>0</v>
      </c>
      <c r="H631" s="55"/>
      <c r="I631" s="55"/>
      <c r="J631" s="55"/>
      <c r="K631" s="55"/>
      <c r="L631" s="55"/>
      <c r="M631" s="55"/>
      <c r="N631" s="55"/>
      <c r="O631" s="55"/>
      <c r="P631" s="55"/>
      <c r="Q631" s="55"/>
      <c r="R631" s="55"/>
      <c r="S631" s="55"/>
      <c r="T631" s="55"/>
      <c r="U631" s="55"/>
    </row>
    <row r="632">
      <c r="A632" s="55"/>
      <c r="B632" s="55"/>
      <c r="C632" s="55"/>
      <c r="D632" s="55"/>
      <c r="E632" s="53"/>
      <c r="F632" s="55"/>
      <c r="G632" s="55" t="b">
        <v>0</v>
      </c>
      <c r="H632" s="55"/>
      <c r="I632" s="55"/>
      <c r="J632" s="55"/>
      <c r="K632" s="55"/>
      <c r="L632" s="55"/>
      <c r="M632" s="55"/>
      <c r="N632" s="55"/>
      <c r="O632" s="55"/>
      <c r="P632" s="55"/>
      <c r="Q632" s="55"/>
      <c r="R632" s="55"/>
      <c r="S632" s="55"/>
      <c r="T632" s="55"/>
      <c r="U632" s="55"/>
    </row>
    <row r="633">
      <c r="A633" s="55"/>
      <c r="B633" s="55"/>
      <c r="C633" s="55"/>
      <c r="D633" s="55"/>
      <c r="E633" s="53"/>
      <c r="F633" s="55"/>
      <c r="G633" s="55" t="b">
        <v>0</v>
      </c>
      <c r="H633" s="55"/>
      <c r="I633" s="55"/>
      <c r="J633" s="55"/>
      <c r="K633" s="55"/>
      <c r="L633" s="55"/>
      <c r="M633" s="55"/>
      <c r="N633" s="55"/>
      <c r="O633" s="55"/>
      <c r="P633" s="55"/>
      <c r="Q633" s="55"/>
      <c r="R633" s="55"/>
      <c r="S633" s="55"/>
      <c r="T633" s="55"/>
      <c r="U633" s="55"/>
    </row>
    <row r="634">
      <c r="A634" s="55"/>
      <c r="B634" s="55"/>
      <c r="C634" s="55"/>
      <c r="D634" s="55"/>
      <c r="E634" s="53"/>
      <c r="F634" s="55"/>
      <c r="G634" s="55" t="b">
        <v>0</v>
      </c>
      <c r="H634" s="55"/>
      <c r="I634" s="55"/>
      <c r="J634" s="55"/>
      <c r="K634" s="55"/>
      <c r="L634" s="55"/>
      <c r="M634" s="55"/>
      <c r="N634" s="55"/>
      <c r="O634" s="55"/>
      <c r="P634" s="55"/>
      <c r="Q634" s="55"/>
      <c r="R634" s="55"/>
      <c r="S634" s="55"/>
      <c r="T634" s="55"/>
      <c r="U634" s="55"/>
    </row>
    <row r="635">
      <c r="A635" s="55"/>
      <c r="B635" s="55"/>
      <c r="C635" s="55"/>
      <c r="D635" s="55"/>
      <c r="E635" s="53"/>
      <c r="F635" s="55"/>
      <c r="G635" s="55" t="b">
        <v>0</v>
      </c>
      <c r="H635" s="55"/>
      <c r="I635" s="55"/>
      <c r="J635" s="55"/>
      <c r="K635" s="55"/>
      <c r="L635" s="55"/>
      <c r="M635" s="55"/>
      <c r="N635" s="55"/>
      <c r="O635" s="55"/>
      <c r="P635" s="55"/>
      <c r="Q635" s="55"/>
      <c r="R635" s="55"/>
      <c r="S635" s="55"/>
      <c r="T635" s="55"/>
      <c r="U635" s="55"/>
    </row>
    <row r="636">
      <c r="A636" s="55"/>
      <c r="B636" s="55"/>
      <c r="C636" s="55"/>
      <c r="D636" s="55"/>
      <c r="E636" s="53"/>
      <c r="F636" s="55"/>
      <c r="G636" s="55" t="b">
        <v>0</v>
      </c>
      <c r="H636" s="55"/>
      <c r="I636" s="55"/>
      <c r="J636" s="55"/>
      <c r="K636" s="55"/>
      <c r="L636" s="55"/>
      <c r="M636" s="55"/>
      <c r="N636" s="55"/>
      <c r="O636" s="55"/>
      <c r="P636" s="55"/>
      <c r="Q636" s="55"/>
      <c r="R636" s="55"/>
      <c r="S636" s="55"/>
      <c r="T636" s="55"/>
      <c r="U636" s="55"/>
    </row>
    <row r="637">
      <c r="A637" s="55"/>
      <c r="B637" s="55"/>
      <c r="C637" s="55"/>
      <c r="D637" s="55"/>
      <c r="E637" s="53"/>
      <c r="F637" s="55"/>
      <c r="G637" s="55" t="b">
        <v>0</v>
      </c>
      <c r="H637" s="55"/>
      <c r="I637" s="55"/>
      <c r="J637" s="55"/>
      <c r="K637" s="55"/>
      <c r="L637" s="55"/>
      <c r="M637" s="55"/>
      <c r="N637" s="55"/>
      <c r="O637" s="55"/>
      <c r="P637" s="55"/>
      <c r="Q637" s="55"/>
      <c r="R637" s="55"/>
      <c r="S637" s="55"/>
      <c r="T637" s="55"/>
      <c r="U637" s="55"/>
    </row>
    <row r="638">
      <c r="A638" s="55"/>
      <c r="B638" s="55"/>
      <c r="C638" s="55"/>
      <c r="D638" s="55"/>
      <c r="E638" s="53"/>
      <c r="F638" s="55"/>
      <c r="G638" s="55" t="b">
        <v>0</v>
      </c>
      <c r="H638" s="55"/>
      <c r="I638" s="55"/>
      <c r="J638" s="55"/>
      <c r="K638" s="55"/>
      <c r="L638" s="55"/>
      <c r="M638" s="55"/>
      <c r="N638" s="55"/>
      <c r="O638" s="55"/>
      <c r="P638" s="55"/>
      <c r="Q638" s="55"/>
      <c r="R638" s="55"/>
      <c r="S638" s="55"/>
      <c r="T638" s="55"/>
      <c r="U638" s="55"/>
    </row>
    <row r="639">
      <c r="A639" s="55"/>
      <c r="B639" s="55"/>
      <c r="C639" s="55"/>
      <c r="D639" s="55"/>
      <c r="E639" s="53"/>
      <c r="F639" s="55"/>
      <c r="G639" s="55" t="b">
        <v>0</v>
      </c>
      <c r="H639" s="55"/>
      <c r="I639" s="55"/>
      <c r="J639" s="55"/>
      <c r="K639" s="55"/>
      <c r="L639" s="55"/>
      <c r="M639" s="55"/>
      <c r="N639" s="55"/>
      <c r="O639" s="55"/>
      <c r="P639" s="55"/>
      <c r="Q639" s="55"/>
      <c r="R639" s="55"/>
      <c r="S639" s="55"/>
      <c r="T639" s="55"/>
      <c r="U639" s="55"/>
    </row>
    <row r="640">
      <c r="A640" s="55"/>
      <c r="B640" s="55"/>
      <c r="C640" s="55"/>
      <c r="D640" s="55"/>
      <c r="E640" s="53"/>
      <c r="F640" s="55"/>
      <c r="G640" s="55" t="b">
        <v>0</v>
      </c>
      <c r="H640" s="55"/>
      <c r="I640" s="55"/>
      <c r="J640" s="55"/>
      <c r="K640" s="55"/>
      <c r="L640" s="55"/>
      <c r="M640" s="55"/>
      <c r="N640" s="55"/>
      <c r="O640" s="55"/>
      <c r="P640" s="55"/>
      <c r="Q640" s="55"/>
      <c r="R640" s="55"/>
      <c r="S640" s="55"/>
      <c r="T640" s="55"/>
      <c r="U640" s="55"/>
    </row>
    <row r="641">
      <c r="A641" s="55"/>
      <c r="B641" s="55"/>
      <c r="C641" s="55"/>
      <c r="D641" s="55"/>
      <c r="E641" s="53"/>
      <c r="F641" s="55"/>
      <c r="G641" s="55" t="b">
        <v>0</v>
      </c>
      <c r="H641" s="55"/>
      <c r="I641" s="55"/>
      <c r="J641" s="55"/>
      <c r="K641" s="55"/>
      <c r="L641" s="55"/>
      <c r="M641" s="55"/>
      <c r="N641" s="55"/>
      <c r="O641" s="55"/>
      <c r="P641" s="55"/>
      <c r="Q641" s="55"/>
      <c r="R641" s="55"/>
      <c r="S641" s="55"/>
      <c r="T641" s="55"/>
      <c r="U641" s="55"/>
    </row>
    <row r="642">
      <c r="A642" s="55"/>
      <c r="B642" s="55"/>
      <c r="C642" s="55"/>
      <c r="D642" s="55"/>
      <c r="E642" s="53"/>
      <c r="F642" s="55"/>
      <c r="G642" s="55" t="b">
        <v>0</v>
      </c>
      <c r="H642" s="55"/>
      <c r="I642" s="55"/>
      <c r="J642" s="55"/>
      <c r="K642" s="55"/>
      <c r="L642" s="55"/>
      <c r="M642" s="55"/>
      <c r="N642" s="55"/>
      <c r="O642" s="55"/>
      <c r="P642" s="55"/>
      <c r="Q642" s="55"/>
      <c r="R642" s="55"/>
      <c r="S642" s="55"/>
      <c r="T642" s="55"/>
      <c r="U642" s="55"/>
    </row>
    <row r="643">
      <c r="A643" s="55"/>
      <c r="B643" s="55"/>
      <c r="C643" s="55"/>
      <c r="D643" s="55"/>
      <c r="E643" s="53"/>
      <c r="F643" s="55"/>
      <c r="G643" s="55" t="b">
        <v>0</v>
      </c>
      <c r="H643" s="55"/>
      <c r="I643" s="55"/>
      <c r="J643" s="55"/>
      <c r="K643" s="55"/>
      <c r="L643" s="55"/>
      <c r="M643" s="55"/>
      <c r="N643" s="55"/>
      <c r="O643" s="55"/>
      <c r="P643" s="55"/>
      <c r="Q643" s="55"/>
      <c r="R643" s="55"/>
      <c r="S643" s="55"/>
      <c r="T643" s="55"/>
      <c r="U643" s="55"/>
    </row>
    <row r="644">
      <c r="A644" s="55"/>
      <c r="B644" s="55"/>
      <c r="C644" s="55"/>
      <c r="D644" s="55"/>
      <c r="E644" s="53"/>
      <c r="F644" s="55"/>
      <c r="G644" s="55" t="b">
        <v>0</v>
      </c>
      <c r="H644" s="55"/>
      <c r="I644" s="55"/>
      <c r="J644" s="55"/>
      <c r="K644" s="55"/>
      <c r="L644" s="55"/>
      <c r="M644" s="55"/>
      <c r="N644" s="55"/>
      <c r="O644" s="55"/>
      <c r="P644" s="55"/>
      <c r="Q644" s="55"/>
      <c r="R644" s="55"/>
      <c r="S644" s="55"/>
      <c r="T644" s="55"/>
      <c r="U644" s="55"/>
    </row>
    <row r="645">
      <c r="A645" s="55"/>
      <c r="B645" s="55"/>
      <c r="C645" s="55"/>
      <c r="D645" s="55"/>
      <c r="E645" s="53"/>
      <c r="F645" s="55"/>
      <c r="G645" s="55" t="b">
        <v>0</v>
      </c>
      <c r="H645" s="55"/>
      <c r="I645" s="55"/>
      <c r="J645" s="55"/>
      <c r="K645" s="55"/>
      <c r="L645" s="55"/>
      <c r="M645" s="55"/>
      <c r="N645" s="55"/>
      <c r="O645" s="55"/>
      <c r="P645" s="55"/>
      <c r="Q645" s="55"/>
      <c r="R645" s="55"/>
      <c r="S645" s="55"/>
      <c r="T645" s="55"/>
      <c r="U645" s="55"/>
    </row>
    <row r="646">
      <c r="A646" s="55"/>
      <c r="B646" s="55"/>
      <c r="C646" s="55"/>
      <c r="D646" s="55"/>
      <c r="E646" s="53"/>
      <c r="F646" s="55"/>
      <c r="G646" s="55" t="b">
        <v>0</v>
      </c>
      <c r="H646" s="55"/>
      <c r="I646" s="55"/>
      <c r="J646" s="55"/>
      <c r="K646" s="55"/>
      <c r="L646" s="55"/>
      <c r="M646" s="55"/>
      <c r="N646" s="55"/>
      <c r="O646" s="55"/>
      <c r="P646" s="55"/>
      <c r="Q646" s="55"/>
      <c r="R646" s="55"/>
      <c r="S646" s="55"/>
      <c r="T646" s="55"/>
      <c r="U646" s="55"/>
    </row>
    <row r="647">
      <c r="A647" s="55"/>
      <c r="B647" s="55"/>
      <c r="C647" s="55"/>
      <c r="D647" s="55"/>
      <c r="E647" s="53"/>
      <c r="F647" s="55"/>
      <c r="G647" s="55" t="b">
        <v>0</v>
      </c>
      <c r="H647" s="55"/>
      <c r="I647" s="55"/>
      <c r="J647" s="55"/>
      <c r="K647" s="55"/>
      <c r="L647" s="55"/>
      <c r="M647" s="55"/>
      <c r="N647" s="55"/>
      <c r="O647" s="55"/>
      <c r="P647" s="55"/>
      <c r="Q647" s="55"/>
      <c r="R647" s="55"/>
      <c r="S647" s="55"/>
      <c r="T647" s="55"/>
      <c r="U647" s="55"/>
    </row>
    <row r="648">
      <c r="A648" s="55"/>
      <c r="B648" s="55"/>
      <c r="C648" s="55"/>
      <c r="D648" s="55"/>
      <c r="E648" s="53"/>
      <c r="F648" s="55"/>
      <c r="G648" s="55" t="b">
        <v>0</v>
      </c>
      <c r="H648" s="55"/>
      <c r="I648" s="55"/>
      <c r="J648" s="55"/>
      <c r="K648" s="55"/>
      <c r="L648" s="55"/>
      <c r="M648" s="55"/>
      <c r="N648" s="55"/>
      <c r="O648" s="55"/>
      <c r="P648" s="55"/>
      <c r="Q648" s="55"/>
      <c r="R648" s="55"/>
      <c r="S648" s="55"/>
      <c r="T648" s="55"/>
      <c r="U648" s="55"/>
    </row>
    <row r="649">
      <c r="A649" s="55"/>
      <c r="B649" s="55"/>
      <c r="C649" s="55"/>
      <c r="D649" s="55"/>
      <c r="E649" s="53"/>
      <c r="F649" s="55"/>
      <c r="G649" s="55" t="b">
        <v>0</v>
      </c>
      <c r="H649" s="55"/>
      <c r="I649" s="55"/>
      <c r="J649" s="55"/>
      <c r="K649" s="55"/>
      <c r="L649" s="55"/>
      <c r="M649" s="55"/>
      <c r="N649" s="55"/>
      <c r="O649" s="55"/>
      <c r="P649" s="55"/>
      <c r="Q649" s="55"/>
      <c r="R649" s="55"/>
      <c r="S649" s="55"/>
      <c r="T649" s="55"/>
      <c r="U649" s="55"/>
    </row>
    <row r="650">
      <c r="A650" s="55"/>
      <c r="B650" s="55"/>
      <c r="C650" s="55"/>
      <c r="D650" s="55"/>
      <c r="E650" s="53"/>
      <c r="F650" s="55"/>
      <c r="G650" s="55" t="b">
        <v>0</v>
      </c>
      <c r="H650" s="55"/>
      <c r="I650" s="55"/>
      <c r="J650" s="55"/>
      <c r="K650" s="55"/>
      <c r="L650" s="55"/>
      <c r="M650" s="55"/>
      <c r="N650" s="55"/>
      <c r="O650" s="55"/>
      <c r="P650" s="55"/>
      <c r="Q650" s="55"/>
      <c r="R650" s="55"/>
      <c r="S650" s="55"/>
      <c r="T650" s="55"/>
      <c r="U650" s="55"/>
    </row>
    <row r="651">
      <c r="A651" s="55"/>
      <c r="B651" s="55"/>
      <c r="C651" s="55"/>
      <c r="D651" s="55"/>
      <c r="E651" s="53"/>
      <c r="F651" s="55"/>
      <c r="G651" s="55" t="b">
        <v>0</v>
      </c>
      <c r="H651" s="55"/>
      <c r="I651" s="55"/>
      <c r="J651" s="55"/>
      <c r="K651" s="55"/>
      <c r="L651" s="55"/>
      <c r="M651" s="55"/>
      <c r="N651" s="55"/>
      <c r="O651" s="55"/>
      <c r="P651" s="55"/>
      <c r="Q651" s="55"/>
      <c r="R651" s="55"/>
      <c r="S651" s="55"/>
      <c r="T651" s="55"/>
      <c r="U651" s="55"/>
    </row>
    <row r="652">
      <c r="A652" s="55"/>
      <c r="B652" s="55"/>
      <c r="C652" s="55"/>
      <c r="D652" s="55"/>
      <c r="E652" s="53"/>
      <c r="F652" s="55"/>
      <c r="G652" s="55" t="b">
        <v>0</v>
      </c>
      <c r="H652" s="55"/>
      <c r="I652" s="55"/>
      <c r="J652" s="55"/>
      <c r="K652" s="55"/>
      <c r="L652" s="55"/>
      <c r="M652" s="55"/>
      <c r="N652" s="55"/>
      <c r="O652" s="55"/>
      <c r="P652" s="55"/>
      <c r="Q652" s="55"/>
      <c r="R652" s="55"/>
      <c r="S652" s="55"/>
      <c r="T652" s="55"/>
      <c r="U652" s="55"/>
    </row>
    <row r="653">
      <c r="A653" s="55"/>
      <c r="B653" s="55"/>
      <c r="C653" s="55"/>
      <c r="D653" s="55"/>
      <c r="E653" s="53"/>
      <c r="F653" s="55"/>
      <c r="G653" s="55" t="b">
        <v>0</v>
      </c>
      <c r="H653" s="55"/>
      <c r="I653" s="55"/>
      <c r="J653" s="55"/>
      <c r="K653" s="55"/>
      <c r="L653" s="55"/>
      <c r="M653" s="55"/>
      <c r="N653" s="55"/>
      <c r="O653" s="55"/>
      <c r="P653" s="55"/>
      <c r="Q653" s="55"/>
      <c r="R653" s="55"/>
      <c r="S653" s="55"/>
      <c r="T653" s="55"/>
      <c r="U653" s="55"/>
    </row>
    <row r="654">
      <c r="A654" s="55"/>
      <c r="B654" s="55"/>
      <c r="C654" s="55"/>
      <c r="D654" s="55"/>
      <c r="E654" s="53"/>
      <c r="F654" s="55"/>
      <c r="G654" s="55" t="b">
        <v>0</v>
      </c>
      <c r="H654" s="55"/>
      <c r="I654" s="55"/>
      <c r="J654" s="55"/>
      <c r="K654" s="55"/>
      <c r="L654" s="55"/>
      <c r="M654" s="55"/>
      <c r="N654" s="55"/>
      <c r="O654" s="55"/>
      <c r="P654" s="55"/>
      <c r="Q654" s="55"/>
      <c r="R654" s="55"/>
      <c r="S654" s="55"/>
      <c r="T654" s="55"/>
      <c r="U654" s="55"/>
    </row>
    <row r="655">
      <c r="A655" s="55"/>
      <c r="B655" s="55"/>
      <c r="C655" s="55"/>
      <c r="D655" s="55"/>
      <c r="E655" s="53"/>
      <c r="F655" s="55"/>
      <c r="G655" s="55" t="b">
        <v>0</v>
      </c>
      <c r="H655" s="55"/>
      <c r="I655" s="55"/>
      <c r="J655" s="55"/>
      <c r="K655" s="55"/>
      <c r="L655" s="55"/>
      <c r="M655" s="55"/>
      <c r="N655" s="55"/>
      <c r="O655" s="55"/>
      <c r="P655" s="55"/>
      <c r="Q655" s="55"/>
      <c r="R655" s="55"/>
      <c r="S655" s="55"/>
      <c r="T655" s="55"/>
      <c r="U655" s="55"/>
    </row>
    <row r="656">
      <c r="A656" s="55"/>
      <c r="B656" s="55"/>
      <c r="C656" s="55"/>
      <c r="D656" s="55"/>
      <c r="E656" s="53"/>
      <c r="F656" s="55"/>
      <c r="G656" s="55" t="b">
        <v>0</v>
      </c>
      <c r="H656" s="55"/>
      <c r="I656" s="55"/>
      <c r="J656" s="55"/>
      <c r="K656" s="55"/>
      <c r="L656" s="55"/>
      <c r="M656" s="55"/>
      <c r="N656" s="55"/>
      <c r="O656" s="55"/>
      <c r="P656" s="55"/>
      <c r="Q656" s="55"/>
      <c r="R656" s="55"/>
      <c r="S656" s="55"/>
      <c r="T656" s="55"/>
      <c r="U656" s="55"/>
    </row>
    <row r="657">
      <c r="A657" s="55"/>
      <c r="B657" s="55"/>
      <c r="C657" s="55"/>
      <c r="D657" s="55"/>
      <c r="E657" s="53"/>
      <c r="F657" s="55"/>
      <c r="G657" s="55" t="b">
        <v>0</v>
      </c>
      <c r="H657" s="55"/>
      <c r="I657" s="55"/>
      <c r="J657" s="55"/>
      <c r="K657" s="55"/>
      <c r="L657" s="55"/>
      <c r="M657" s="55"/>
      <c r="N657" s="55"/>
      <c r="O657" s="55"/>
      <c r="P657" s="55"/>
      <c r="Q657" s="55"/>
      <c r="R657" s="55"/>
      <c r="S657" s="55"/>
      <c r="T657" s="55"/>
      <c r="U657" s="55"/>
    </row>
    <row r="658">
      <c r="A658" s="55"/>
      <c r="B658" s="55"/>
      <c r="C658" s="55"/>
      <c r="D658" s="55"/>
      <c r="E658" s="53"/>
      <c r="F658" s="55"/>
      <c r="G658" s="55" t="b">
        <v>0</v>
      </c>
      <c r="H658" s="55"/>
      <c r="I658" s="55"/>
      <c r="J658" s="55"/>
      <c r="K658" s="55"/>
      <c r="L658" s="55"/>
      <c r="M658" s="55"/>
      <c r="N658" s="55"/>
      <c r="O658" s="55"/>
      <c r="P658" s="55"/>
      <c r="Q658" s="55"/>
      <c r="R658" s="55"/>
      <c r="S658" s="55"/>
      <c r="T658" s="55"/>
      <c r="U658" s="55"/>
    </row>
    <row r="659">
      <c r="A659" s="55"/>
      <c r="B659" s="55"/>
      <c r="C659" s="55"/>
      <c r="D659" s="55"/>
      <c r="E659" s="53"/>
      <c r="F659" s="55"/>
      <c r="G659" s="55" t="b">
        <v>0</v>
      </c>
      <c r="H659" s="55"/>
      <c r="I659" s="55"/>
      <c r="J659" s="55"/>
      <c r="K659" s="55"/>
      <c r="L659" s="55"/>
      <c r="M659" s="55"/>
      <c r="N659" s="55"/>
      <c r="O659" s="55"/>
      <c r="P659" s="55"/>
      <c r="Q659" s="55"/>
      <c r="R659" s="55"/>
      <c r="S659" s="55"/>
      <c r="T659" s="55"/>
      <c r="U659" s="55"/>
    </row>
    <row r="660">
      <c r="A660" s="55"/>
      <c r="B660" s="55"/>
      <c r="C660" s="55"/>
      <c r="D660" s="55"/>
      <c r="E660" s="53"/>
      <c r="F660" s="55"/>
      <c r="G660" s="55" t="b">
        <v>0</v>
      </c>
      <c r="H660" s="55"/>
      <c r="I660" s="55"/>
      <c r="J660" s="55"/>
      <c r="K660" s="55"/>
      <c r="L660" s="55"/>
      <c r="M660" s="55"/>
      <c r="N660" s="55"/>
      <c r="O660" s="55"/>
      <c r="P660" s="55"/>
      <c r="Q660" s="55"/>
      <c r="R660" s="55"/>
      <c r="S660" s="55"/>
      <c r="T660" s="55"/>
      <c r="U660" s="55"/>
    </row>
    <row r="661">
      <c r="A661" s="55"/>
      <c r="B661" s="55"/>
      <c r="C661" s="55"/>
      <c r="D661" s="55"/>
      <c r="E661" s="53"/>
      <c r="F661" s="55"/>
      <c r="G661" s="55" t="b">
        <v>0</v>
      </c>
      <c r="H661" s="55"/>
      <c r="I661" s="55"/>
      <c r="J661" s="55"/>
      <c r="K661" s="55"/>
      <c r="L661" s="55"/>
      <c r="M661" s="55"/>
      <c r="N661" s="55"/>
      <c r="O661" s="55"/>
      <c r="P661" s="55"/>
      <c r="Q661" s="55"/>
      <c r="R661" s="55"/>
      <c r="S661" s="55"/>
      <c r="T661" s="55"/>
      <c r="U661" s="55"/>
    </row>
    <row r="662">
      <c r="A662" s="55"/>
      <c r="B662" s="55"/>
      <c r="C662" s="55"/>
      <c r="D662" s="55"/>
      <c r="E662" s="53"/>
      <c r="F662" s="55"/>
      <c r="G662" s="55" t="b">
        <v>0</v>
      </c>
      <c r="H662" s="55"/>
      <c r="I662" s="55"/>
      <c r="J662" s="55"/>
      <c r="K662" s="55"/>
      <c r="L662" s="55"/>
      <c r="M662" s="55"/>
      <c r="N662" s="55"/>
      <c r="O662" s="55"/>
      <c r="P662" s="55"/>
      <c r="Q662" s="55"/>
      <c r="R662" s="55"/>
      <c r="S662" s="55"/>
      <c r="T662" s="55"/>
      <c r="U662" s="55"/>
    </row>
    <row r="663">
      <c r="A663" s="55"/>
      <c r="B663" s="55"/>
      <c r="C663" s="55"/>
      <c r="D663" s="55"/>
      <c r="E663" s="53"/>
      <c r="F663" s="55"/>
      <c r="G663" s="55" t="b">
        <v>0</v>
      </c>
      <c r="H663" s="55"/>
      <c r="I663" s="55"/>
      <c r="J663" s="55"/>
      <c r="K663" s="55"/>
      <c r="L663" s="55"/>
      <c r="M663" s="55"/>
      <c r="N663" s="55"/>
      <c r="O663" s="55"/>
      <c r="P663" s="55"/>
      <c r="Q663" s="55"/>
      <c r="R663" s="55"/>
      <c r="S663" s="55"/>
      <c r="T663" s="55"/>
      <c r="U663" s="55"/>
    </row>
    <row r="664">
      <c r="A664" s="55"/>
      <c r="B664" s="55"/>
      <c r="C664" s="55"/>
      <c r="D664" s="55"/>
      <c r="E664" s="53"/>
      <c r="F664" s="55"/>
      <c r="G664" s="55" t="b">
        <v>0</v>
      </c>
      <c r="H664" s="55"/>
      <c r="I664" s="55"/>
      <c r="J664" s="55"/>
      <c r="K664" s="55"/>
      <c r="L664" s="55"/>
      <c r="M664" s="55"/>
      <c r="N664" s="55"/>
      <c r="O664" s="55"/>
      <c r="P664" s="55"/>
      <c r="Q664" s="55"/>
      <c r="R664" s="55"/>
      <c r="S664" s="55"/>
      <c r="T664" s="55"/>
      <c r="U664" s="55"/>
    </row>
    <row r="665">
      <c r="A665" s="55"/>
      <c r="B665" s="55"/>
      <c r="C665" s="55"/>
      <c r="D665" s="55"/>
      <c r="E665" s="53"/>
      <c r="F665" s="55"/>
      <c r="G665" s="55" t="b">
        <v>0</v>
      </c>
      <c r="H665" s="55"/>
      <c r="I665" s="55"/>
      <c r="J665" s="55"/>
      <c r="K665" s="55"/>
      <c r="L665" s="55"/>
      <c r="M665" s="55"/>
      <c r="N665" s="55"/>
      <c r="O665" s="55"/>
      <c r="P665" s="55"/>
      <c r="Q665" s="55"/>
      <c r="R665" s="55"/>
      <c r="S665" s="55"/>
      <c r="T665" s="55"/>
      <c r="U665" s="55"/>
    </row>
    <row r="666">
      <c r="A666" s="55"/>
      <c r="B666" s="55"/>
      <c r="C666" s="55"/>
      <c r="D666" s="55"/>
      <c r="E666" s="53"/>
      <c r="F666" s="55"/>
      <c r="G666" s="55" t="b">
        <v>0</v>
      </c>
      <c r="H666" s="55"/>
      <c r="I666" s="55"/>
      <c r="J666" s="55"/>
      <c r="K666" s="55"/>
      <c r="L666" s="55"/>
      <c r="M666" s="55"/>
      <c r="N666" s="55"/>
      <c r="O666" s="55"/>
      <c r="P666" s="55"/>
      <c r="Q666" s="55"/>
      <c r="R666" s="55"/>
      <c r="S666" s="55"/>
      <c r="T666" s="55"/>
      <c r="U666" s="55"/>
    </row>
    <row r="667">
      <c r="A667" s="55"/>
      <c r="B667" s="55"/>
      <c r="C667" s="55"/>
      <c r="D667" s="55"/>
      <c r="E667" s="53"/>
      <c r="F667" s="55"/>
      <c r="G667" s="55" t="b">
        <v>0</v>
      </c>
      <c r="H667" s="55"/>
      <c r="I667" s="55"/>
      <c r="J667" s="55"/>
      <c r="K667" s="55"/>
      <c r="L667" s="55"/>
      <c r="M667" s="55"/>
      <c r="N667" s="55"/>
      <c r="O667" s="55"/>
      <c r="P667" s="55"/>
      <c r="Q667" s="55"/>
      <c r="R667" s="55"/>
      <c r="S667" s="55"/>
      <c r="T667" s="55"/>
      <c r="U667" s="55"/>
    </row>
    <row r="668">
      <c r="A668" s="55"/>
      <c r="B668" s="55"/>
      <c r="C668" s="55"/>
      <c r="D668" s="55"/>
      <c r="E668" s="53"/>
      <c r="F668" s="55"/>
      <c r="G668" s="55" t="b">
        <v>0</v>
      </c>
      <c r="H668" s="55"/>
      <c r="I668" s="55"/>
      <c r="J668" s="55"/>
      <c r="K668" s="55"/>
      <c r="L668" s="55"/>
      <c r="M668" s="55"/>
      <c r="N668" s="55"/>
      <c r="O668" s="55"/>
      <c r="P668" s="55"/>
      <c r="Q668" s="55"/>
      <c r="R668" s="55"/>
      <c r="S668" s="55"/>
      <c r="T668" s="55"/>
      <c r="U668" s="55"/>
    </row>
    <row r="669">
      <c r="A669" s="55"/>
      <c r="B669" s="55"/>
      <c r="C669" s="55"/>
      <c r="D669" s="55"/>
      <c r="E669" s="53"/>
      <c r="F669" s="55"/>
      <c r="G669" s="55" t="b">
        <v>0</v>
      </c>
      <c r="H669" s="55"/>
      <c r="I669" s="55"/>
      <c r="J669" s="55"/>
      <c r="K669" s="55"/>
      <c r="L669" s="55"/>
      <c r="M669" s="55"/>
      <c r="N669" s="55"/>
      <c r="O669" s="55"/>
      <c r="P669" s="55"/>
      <c r="Q669" s="55"/>
      <c r="R669" s="55"/>
      <c r="S669" s="55"/>
      <c r="T669" s="55"/>
      <c r="U669" s="55"/>
    </row>
    <row r="670">
      <c r="A670" s="55"/>
      <c r="B670" s="55"/>
      <c r="C670" s="55"/>
      <c r="D670" s="55"/>
      <c r="E670" s="53"/>
      <c r="F670" s="55"/>
      <c r="G670" s="55" t="b">
        <v>0</v>
      </c>
      <c r="H670" s="55"/>
      <c r="I670" s="55"/>
      <c r="J670" s="55"/>
      <c r="K670" s="55"/>
      <c r="L670" s="55"/>
      <c r="M670" s="55"/>
      <c r="N670" s="55"/>
      <c r="O670" s="55"/>
      <c r="P670" s="55"/>
      <c r="Q670" s="55"/>
      <c r="R670" s="55"/>
      <c r="S670" s="55"/>
      <c r="T670" s="55"/>
      <c r="U670" s="55"/>
    </row>
    <row r="671">
      <c r="A671" s="55"/>
      <c r="B671" s="55"/>
      <c r="C671" s="55"/>
      <c r="D671" s="55"/>
      <c r="E671" s="53"/>
      <c r="F671" s="55"/>
      <c r="G671" s="55" t="b">
        <v>0</v>
      </c>
      <c r="H671" s="55"/>
      <c r="I671" s="55"/>
      <c r="J671" s="55"/>
      <c r="K671" s="55"/>
      <c r="L671" s="55"/>
      <c r="M671" s="55"/>
      <c r="N671" s="55"/>
      <c r="O671" s="55"/>
      <c r="P671" s="55"/>
      <c r="Q671" s="55"/>
      <c r="R671" s="55"/>
      <c r="S671" s="55"/>
      <c r="T671" s="55"/>
      <c r="U671" s="55"/>
    </row>
    <row r="672">
      <c r="A672" s="55"/>
      <c r="B672" s="55"/>
      <c r="C672" s="55"/>
      <c r="D672" s="55"/>
      <c r="E672" s="53"/>
      <c r="F672" s="55"/>
      <c r="G672" s="55" t="b">
        <v>0</v>
      </c>
      <c r="H672" s="55"/>
      <c r="I672" s="55"/>
      <c r="J672" s="55"/>
      <c r="K672" s="55"/>
      <c r="L672" s="55"/>
      <c r="M672" s="55"/>
      <c r="N672" s="55"/>
      <c r="O672" s="55"/>
      <c r="P672" s="55"/>
      <c r="Q672" s="55"/>
      <c r="R672" s="55"/>
      <c r="S672" s="55"/>
      <c r="T672" s="55"/>
      <c r="U672" s="55"/>
    </row>
    <row r="673">
      <c r="A673" s="55"/>
      <c r="B673" s="55"/>
      <c r="C673" s="55"/>
      <c r="D673" s="55"/>
      <c r="E673" s="53"/>
      <c r="F673" s="55"/>
      <c r="G673" s="55" t="b">
        <v>0</v>
      </c>
      <c r="H673" s="55"/>
      <c r="I673" s="55"/>
      <c r="J673" s="55"/>
      <c r="K673" s="55"/>
      <c r="L673" s="55"/>
      <c r="M673" s="55"/>
      <c r="N673" s="55"/>
      <c r="O673" s="55"/>
      <c r="P673" s="55"/>
      <c r="Q673" s="55"/>
      <c r="R673" s="55"/>
      <c r="S673" s="55"/>
      <c r="T673" s="55"/>
      <c r="U673" s="55"/>
    </row>
    <row r="674">
      <c r="A674" s="55"/>
      <c r="B674" s="55"/>
      <c r="C674" s="55"/>
      <c r="D674" s="55"/>
      <c r="E674" s="53"/>
      <c r="F674" s="55"/>
      <c r="G674" s="55" t="b">
        <v>0</v>
      </c>
      <c r="H674" s="55"/>
      <c r="I674" s="55"/>
      <c r="J674" s="55"/>
      <c r="K674" s="55"/>
      <c r="L674" s="55"/>
      <c r="M674" s="55"/>
      <c r="N674" s="55"/>
      <c r="O674" s="55"/>
      <c r="P674" s="55"/>
      <c r="Q674" s="55"/>
      <c r="R674" s="55"/>
      <c r="S674" s="55"/>
      <c r="T674" s="55"/>
      <c r="U674" s="55"/>
    </row>
    <row r="675">
      <c r="A675" s="55"/>
      <c r="B675" s="55"/>
      <c r="C675" s="55"/>
      <c r="D675" s="55"/>
      <c r="E675" s="53"/>
      <c r="F675" s="55"/>
      <c r="G675" s="55" t="b">
        <v>0</v>
      </c>
      <c r="H675" s="55"/>
      <c r="I675" s="55"/>
      <c r="J675" s="55"/>
      <c r="K675" s="55"/>
      <c r="L675" s="55"/>
      <c r="M675" s="55"/>
      <c r="N675" s="55"/>
      <c r="O675" s="55"/>
      <c r="P675" s="55"/>
      <c r="Q675" s="55"/>
      <c r="R675" s="55"/>
      <c r="S675" s="55"/>
      <c r="T675" s="55"/>
      <c r="U675" s="55"/>
    </row>
    <row r="676">
      <c r="A676" s="55"/>
      <c r="B676" s="55"/>
      <c r="C676" s="55"/>
      <c r="D676" s="55"/>
      <c r="E676" s="53"/>
      <c r="F676" s="55"/>
      <c r="G676" s="55" t="b">
        <v>0</v>
      </c>
      <c r="H676" s="55"/>
      <c r="I676" s="55"/>
      <c r="J676" s="55"/>
      <c r="K676" s="55"/>
      <c r="L676" s="55"/>
      <c r="M676" s="55"/>
      <c r="N676" s="55"/>
      <c r="O676" s="55"/>
      <c r="P676" s="55"/>
      <c r="Q676" s="55"/>
      <c r="R676" s="55"/>
      <c r="S676" s="55"/>
      <c r="T676" s="55"/>
      <c r="U676" s="55"/>
    </row>
    <row r="677">
      <c r="A677" s="55"/>
      <c r="B677" s="55"/>
      <c r="C677" s="55"/>
      <c r="D677" s="55"/>
      <c r="E677" s="53"/>
      <c r="F677" s="55"/>
      <c r="G677" s="55" t="b">
        <v>0</v>
      </c>
      <c r="H677" s="55"/>
      <c r="I677" s="55"/>
      <c r="J677" s="55"/>
      <c r="K677" s="55"/>
      <c r="L677" s="55"/>
      <c r="M677" s="55"/>
      <c r="N677" s="55"/>
      <c r="O677" s="55"/>
      <c r="P677" s="55"/>
      <c r="Q677" s="55"/>
      <c r="R677" s="55"/>
      <c r="S677" s="55"/>
      <c r="T677" s="55"/>
      <c r="U677" s="55"/>
    </row>
    <row r="678">
      <c r="A678" s="55"/>
      <c r="B678" s="55"/>
      <c r="C678" s="55"/>
      <c r="D678" s="55"/>
      <c r="E678" s="53"/>
      <c r="F678" s="55"/>
      <c r="G678" s="55" t="b">
        <v>0</v>
      </c>
      <c r="H678" s="55"/>
      <c r="I678" s="55"/>
      <c r="J678" s="55"/>
      <c r="K678" s="55"/>
      <c r="L678" s="55"/>
      <c r="M678" s="55"/>
      <c r="N678" s="55"/>
      <c r="O678" s="55"/>
      <c r="P678" s="55"/>
      <c r="Q678" s="55"/>
      <c r="R678" s="55"/>
      <c r="S678" s="55"/>
      <c r="T678" s="55"/>
      <c r="U678" s="55"/>
    </row>
    <row r="679">
      <c r="A679" s="55"/>
      <c r="B679" s="55"/>
      <c r="C679" s="55"/>
      <c r="D679" s="55"/>
      <c r="E679" s="53"/>
      <c r="F679" s="55"/>
      <c r="G679" s="55" t="b">
        <v>0</v>
      </c>
      <c r="H679" s="55"/>
      <c r="I679" s="55"/>
      <c r="J679" s="55"/>
      <c r="K679" s="55"/>
      <c r="L679" s="55"/>
      <c r="M679" s="55"/>
      <c r="N679" s="55"/>
      <c r="O679" s="55"/>
      <c r="P679" s="55"/>
      <c r="Q679" s="55"/>
      <c r="R679" s="55"/>
      <c r="S679" s="55"/>
      <c r="T679" s="55"/>
      <c r="U679" s="55"/>
    </row>
    <row r="680">
      <c r="A680" s="55"/>
      <c r="B680" s="55"/>
      <c r="C680" s="55"/>
      <c r="D680" s="55"/>
      <c r="E680" s="53"/>
      <c r="F680" s="55"/>
      <c r="G680" s="55" t="b">
        <v>0</v>
      </c>
      <c r="H680" s="55"/>
      <c r="I680" s="55"/>
      <c r="J680" s="55"/>
      <c r="K680" s="55"/>
      <c r="L680" s="55"/>
      <c r="M680" s="55"/>
      <c r="N680" s="55"/>
      <c r="O680" s="55"/>
      <c r="P680" s="55"/>
      <c r="Q680" s="55"/>
      <c r="R680" s="55"/>
      <c r="S680" s="55"/>
      <c r="T680" s="55"/>
      <c r="U680" s="55"/>
    </row>
    <row r="681">
      <c r="A681" s="55"/>
      <c r="B681" s="55"/>
      <c r="C681" s="55"/>
      <c r="D681" s="55"/>
      <c r="E681" s="53"/>
      <c r="F681" s="55"/>
      <c r="G681" s="55" t="b">
        <v>0</v>
      </c>
      <c r="H681" s="55"/>
      <c r="I681" s="55"/>
      <c r="J681" s="55"/>
      <c r="K681" s="55"/>
      <c r="L681" s="55"/>
      <c r="M681" s="55"/>
      <c r="N681" s="55"/>
      <c r="O681" s="55"/>
      <c r="P681" s="55"/>
      <c r="Q681" s="55"/>
      <c r="R681" s="55"/>
      <c r="S681" s="55"/>
      <c r="T681" s="55"/>
      <c r="U681" s="55"/>
    </row>
    <row r="682">
      <c r="A682" s="55"/>
      <c r="B682" s="55"/>
      <c r="C682" s="55"/>
      <c r="D682" s="55"/>
      <c r="E682" s="53"/>
      <c r="F682" s="55"/>
      <c r="G682" s="55" t="b">
        <v>0</v>
      </c>
      <c r="H682" s="55"/>
      <c r="I682" s="55"/>
      <c r="J682" s="55"/>
      <c r="K682" s="55"/>
      <c r="L682" s="55"/>
      <c r="M682" s="55"/>
      <c r="N682" s="55"/>
      <c r="O682" s="55"/>
      <c r="P682" s="55"/>
      <c r="Q682" s="55"/>
      <c r="R682" s="55"/>
      <c r="S682" s="55"/>
      <c r="T682" s="55"/>
      <c r="U682" s="55"/>
    </row>
    <row r="683">
      <c r="A683" s="55"/>
      <c r="B683" s="55"/>
      <c r="C683" s="55"/>
      <c r="D683" s="55"/>
      <c r="E683" s="53"/>
      <c r="F683" s="55"/>
      <c r="G683" s="55" t="b">
        <v>0</v>
      </c>
      <c r="H683" s="55"/>
      <c r="I683" s="55"/>
      <c r="J683" s="55"/>
      <c r="K683" s="55"/>
      <c r="L683" s="55"/>
      <c r="M683" s="55"/>
      <c r="N683" s="55"/>
      <c r="O683" s="55"/>
      <c r="P683" s="55"/>
      <c r="Q683" s="55"/>
      <c r="R683" s="55"/>
      <c r="S683" s="55"/>
      <c r="T683" s="55"/>
      <c r="U683" s="55"/>
    </row>
    <row r="684">
      <c r="A684" s="55"/>
      <c r="B684" s="55"/>
      <c r="C684" s="55"/>
      <c r="D684" s="55"/>
      <c r="E684" s="53"/>
      <c r="F684" s="55"/>
      <c r="G684" s="55" t="b">
        <v>0</v>
      </c>
      <c r="H684" s="55"/>
      <c r="I684" s="55"/>
      <c r="J684" s="55"/>
      <c r="K684" s="55"/>
      <c r="L684" s="55"/>
      <c r="M684" s="55"/>
      <c r="N684" s="55"/>
      <c r="O684" s="55"/>
      <c r="P684" s="55"/>
      <c r="Q684" s="55"/>
      <c r="R684" s="55"/>
      <c r="S684" s="55"/>
      <c r="T684" s="55"/>
      <c r="U684" s="55"/>
    </row>
    <row r="685">
      <c r="A685" s="55"/>
      <c r="B685" s="55"/>
      <c r="C685" s="55"/>
      <c r="D685" s="55"/>
      <c r="E685" s="53"/>
      <c r="F685" s="55"/>
      <c r="G685" s="55" t="b">
        <v>0</v>
      </c>
      <c r="H685" s="55"/>
      <c r="I685" s="55"/>
      <c r="J685" s="55"/>
      <c r="K685" s="55"/>
      <c r="L685" s="55"/>
      <c r="M685" s="55"/>
      <c r="N685" s="55"/>
      <c r="O685" s="55"/>
      <c r="P685" s="55"/>
      <c r="Q685" s="55"/>
      <c r="R685" s="55"/>
      <c r="S685" s="55"/>
      <c r="T685" s="55"/>
      <c r="U685" s="55"/>
    </row>
    <row r="686">
      <c r="A686" s="55"/>
      <c r="B686" s="55"/>
      <c r="C686" s="55"/>
      <c r="D686" s="55"/>
      <c r="E686" s="53"/>
      <c r="F686" s="55"/>
      <c r="G686" s="55" t="b">
        <v>0</v>
      </c>
      <c r="H686" s="55"/>
      <c r="I686" s="55"/>
      <c r="J686" s="55"/>
      <c r="K686" s="55"/>
      <c r="L686" s="55"/>
      <c r="M686" s="55"/>
      <c r="N686" s="55"/>
      <c r="O686" s="55"/>
      <c r="P686" s="55"/>
      <c r="Q686" s="55"/>
      <c r="R686" s="55"/>
      <c r="S686" s="55"/>
      <c r="T686" s="55"/>
      <c r="U686" s="55"/>
    </row>
    <row r="687">
      <c r="A687" s="55"/>
      <c r="B687" s="55"/>
      <c r="C687" s="55"/>
      <c r="D687" s="55"/>
      <c r="E687" s="53"/>
      <c r="F687" s="55"/>
      <c r="G687" s="55" t="b">
        <v>0</v>
      </c>
      <c r="H687" s="55"/>
      <c r="I687" s="55"/>
      <c r="J687" s="55"/>
      <c r="K687" s="55"/>
      <c r="L687" s="55"/>
      <c r="M687" s="55"/>
      <c r="N687" s="55"/>
      <c r="O687" s="55"/>
      <c r="P687" s="55"/>
      <c r="Q687" s="55"/>
      <c r="R687" s="55"/>
      <c r="S687" s="55"/>
      <c r="T687" s="55"/>
      <c r="U687" s="55"/>
    </row>
    <row r="688">
      <c r="A688" s="55"/>
      <c r="B688" s="55"/>
      <c r="C688" s="55"/>
      <c r="D688" s="55"/>
      <c r="E688" s="53"/>
      <c r="F688" s="55"/>
      <c r="G688" s="55" t="b">
        <v>0</v>
      </c>
      <c r="H688" s="55"/>
      <c r="I688" s="55"/>
      <c r="J688" s="55"/>
      <c r="K688" s="55"/>
      <c r="L688" s="55"/>
      <c r="M688" s="55"/>
      <c r="N688" s="55"/>
      <c r="O688" s="55"/>
      <c r="P688" s="55"/>
      <c r="Q688" s="55"/>
      <c r="R688" s="55"/>
      <c r="S688" s="55"/>
      <c r="T688" s="55"/>
      <c r="U688" s="55"/>
    </row>
    <row r="689">
      <c r="A689" s="55"/>
      <c r="B689" s="55"/>
      <c r="C689" s="55"/>
      <c r="D689" s="55"/>
      <c r="E689" s="53"/>
      <c r="F689" s="55"/>
      <c r="G689" s="55" t="b">
        <v>0</v>
      </c>
      <c r="H689" s="55"/>
      <c r="I689" s="55"/>
      <c r="J689" s="55"/>
      <c r="K689" s="55"/>
      <c r="L689" s="55"/>
      <c r="M689" s="55"/>
      <c r="N689" s="55"/>
      <c r="O689" s="55"/>
      <c r="P689" s="55"/>
      <c r="Q689" s="55"/>
      <c r="R689" s="55"/>
      <c r="S689" s="55"/>
      <c r="T689" s="55"/>
      <c r="U689" s="55"/>
    </row>
    <row r="690">
      <c r="A690" s="55"/>
      <c r="B690" s="55"/>
      <c r="C690" s="55"/>
      <c r="D690" s="55"/>
      <c r="E690" s="53"/>
      <c r="F690" s="55"/>
      <c r="G690" s="55" t="b">
        <v>0</v>
      </c>
      <c r="H690" s="55"/>
      <c r="I690" s="55"/>
      <c r="J690" s="55"/>
      <c r="K690" s="55"/>
      <c r="L690" s="55"/>
      <c r="M690" s="55"/>
      <c r="N690" s="55"/>
      <c r="O690" s="55"/>
      <c r="P690" s="55"/>
      <c r="Q690" s="55"/>
      <c r="R690" s="55"/>
      <c r="S690" s="55"/>
      <c r="T690" s="55"/>
      <c r="U690" s="55"/>
    </row>
    <row r="691">
      <c r="A691" s="55"/>
      <c r="B691" s="55"/>
      <c r="C691" s="55"/>
      <c r="D691" s="55"/>
      <c r="E691" s="53"/>
      <c r="F691" s="55"/>
      <c r="G691" s="55" t="b">
        <v>0</v>
      </c>
      <c r="H691" s="55"/>
      <c r="I691" s="55"/>
      <c r="J691" s="55"/>
      <c r="K691" s="55"/>
      <c r="L691" s="55"/>
      <c r="M691" s="55"/>
      <c r="N691" s="55"/>
      <c r="O691" s="55"/>
      <c r="P691" s="55"/>
      <c r="Q691" s="55"/>
      <c r="R691" s="55"/>
      <c r="S691" s="55"/>
      <c r="T691" s="55"/>
      <c r="U691" s="55"/>
    </row>
    <row r="692">
      <c r="A692" s="55"/>
      <c r="B692" s="55"/>
      <c r="C692" s="55"/>
      <c r="D692" s="55"/>
      <c r="E692" s="53"/>
      <c r="F692" s="55"/>
      <c r="G692" s="55" t="b">
        <v>0</v>
      </c>
      <c r="H692" s="55"/>
      <c r="I692" s="55"/>
      <c r="J692" s="55"/>
      <c r="K692" s="55"/>
      <c r="L692" s="55"/>
      <c r="M692" s="55"/>
      <c r="N692" s="55"/>
      <c r="O692" s="55"/>
      <c r="P692" s="55"/>
      <c r="Q692" s="55"/>
      <c r="R692" s="55"/>
      <c r="S692" s="55"/>
      <c r="T692" s="55"/>
      <c r="U692" s="55"/>
    </row>
    <row r="693">
      <c r="A693" s="55"/>
      <c r="B693" s="55"/>
      <c r="C693" s="55"/>
      <c r="D693" s="55"/>
      <c r="E693" s="53"/>
      <c r="F693" s="55"/>
      <c r="G693" s="55" t="b">
        <v>0</v>
      </c>
      <c r="H693" s="55"/>
      <c r="I693" s="55"/>
      <c r="J693" s="55"/>
      <c r="K693" s="55"/>
      <c r="L693" s="55"/>
      <c r="M693" s="55"/>
      <c r="N693" s="55"/>
      <c r="O693" s="55"/>
      <c r="P693" s="55"/>
      <c r="Q693" s="55"/>
      <c r="R693" s="55"/>
      <c r="S693" s="55"/>
      <c r="T693" s="55"/>
      <c r="U693" s="55"/>
    </row>
    <row r="694">
      <c r="A694" s="55"/>
      <c r="B694" s="55"/>
      <c r="C694" s="55"/>
      <c r="D694" s="55"/>
      <c r="E694" s="53"/>
      <c r="F694" s="55"/>
      <c r="G694" s="55" t="b">
        <v>0</v>
      </c>
      <c r="H694" s="55"/>
      <c r="I694" s="55"/>
      <c r="J694" s="55"/>
      <c r="K694" s="55"/>
      <c r="L694" s="55"/>
      <c r="M694" s="55"/>
      <c r="N694" s="55"/>
      <c r="O694" s="55"/>
      <c r="P694" s="55"/>
      <c r="Q694" s="55"/>
      <c r="R694" s="55"/>
      <c r="S694" s="55"/>
      <c r="T694" s="55"/>
      <c r="U694" s="55"/>
    </row>
    <row r="695">
      <c r="A695" s="55"/>
      <c r="B695" s="55"/>
      <c r="C695" s="55"/>
      <c r="D695" s="55"/>
      <c r="E695" s="53"/>
      <c r="F695" s="55"/>
      <c r="G695" s="55" t="b">
        <v>0</v>
      </c>
      <c r="H695" s="55"/>
      <c r="I695" s="55"/>
      <c r="J695" s="55"/>
      <c r="K695" s="55"/>
      <c r="L695" s="55"/>
      <c r="M695" s="55"/>
      <c r="N695" s="55"/>
      <c r="O695" s="55"/>
      <c r="P695" s="55"/>
      <c r="Q695" s="55"/>
      <c r="R695" s="55"/>
      <c r="S695" s="55"/>
      <c r="T695" s="55"/>
      <c r="U695" s="55"/>
    </row>
    <row r="696">
      <c r="A696" s="55"/>
      <c r="B696" s="55"/>
      <c r="C696" s="55"/>
      <c r="D696" s="55"/>
      <c r="E696" s="53"/>
      <c r="F696" s="55"/>
      <c r="G696" s="55" t="b">
        <v>0</v>
      </c>
      <c r="H696" s="55"/>
      <c r="I696" s="55"/>
      <c r="J696" s="55"/>
      <c r="K696" s="55"/>
      <c r="L696" s="55"/>
      <c r="M696" s="55"/>
      <c r="N696" s="55"/>
      <c r="O696" s="55"/>
      <c r="P696" s="55"/>
      <c r="Q696" s="55"/>
      <c r="R696" s="55"/>
      <c r="S696" s="55"/>
      <c r="T696" s="55"/>
      <c r="U696" s="55"/>
    </row>
    <row r="697">
      <c r="A697" s="55"/>
      <c r="B697" s="55"/>
      <c r="C697" s="55"/>
      <c r="D697" s="55"/>
      <c r="E697" s="53"/>
      <c r="F697" s="55"/>
      <c r="G697" s="55" t="b">
        <v>0</v>
      </c>
      <c r="H697" s="55"/>
      <c r="I697" s="55"/>
      <c r="J697" s="55"/>
      <c r="K697" s="55"/>
      <c r="L697" s="55"/>
      <c r="M697" s="55"/>
      <c r="N697" s="55"/>
      <c r="O697" s="55"/>
      <c r="P697" s="55"/>
      <c r="Q697" s="55"/>
      <c r="R697" s="55"/>
      <c r="S697" s="55"/>
      <c r="T697" s="55"/>
      <c r="U697" s="55"/>
    </row>
    <row r="698">
      <c r="A698" s="55"/>
      <c r="B698" s="55"/>
      <c r="C698" s="55"/>
      <c r="D698" s="55"/>
      <c r="E698" s="53"/>
      <c r="F698" s="55"/>
      <c r="G698" s="55" t="b">
        <v>0</v>
      </c>
      <c r="H698" s="55"/>
      <c r="I698" s="55"/>
      <c r="J698" s="55"/>
      <c r="K698" s="55"/>
      <c r="L698" s="55"/>
      <c r="M698" s="55"/>
      <c r="N698" s="55"/>
      <c r="O698" s="55"/>
      <c r="P698" s="55"/>
      <c r="Q698" s="55"/>
      <c r="R698" s="55"/>
      <c r="S698" s="55"/>
      <c r="T698" s="55"/>
      <c r="U698" s="55"/>
    </row>
    <row r="699">
      <c r="A699" s="55"/>
      <c r="B699" s="55"/>
      <c r="C699" s="55"/>
      <c r="D699" s="55"/>
      <c r="E699" s="53"/>
      <c r="F699" s="55"/>
      <c r="G699" s="55" t="b">
        <v>0</v>
      </c>
      <c r="H699" s="55"/>
      <c r="I699" s="55"/>
      <c r="J699" s="55"/>
      <c r="K699" s="55"/>
      <c r="L699" s="55"/>
      <c r="M699" s="55"/>
      <c r="N699" s="55"/>
      <c r="O699" s="55"/>
      <c r="P699" s="55"/>
      <c r="Q699" s="55"/>
      <c r="R699" s="55"/>
      <c r="S699" s="55"/>
      <c r="T699" s="55"/>
      <c r="U699" s="55"/>
    </row>
    <row r="700">
      <c r="A700" s="55"/>
      <c r="B700" s="55"/>
      <c r="C700" s="55"/>
      <c r="D700" s="55"/>
      <c r="E700" s="53"/>
      <c r="F700" s="55"/>
      <c r="G700" s="55" t="b">
        <v>0</v>
      </c>
      <c r="H700" s="55"/>
      <c r="I700" s="55"/>
      <c r="J700" s="55"/>
      <c r="K700" s="55"/>
      <c r="L700" s="55"/>
      <c r="M700" s="55"/>
      <c r="N700" s="55"/>
      <c r="O700" s="55"/>
      <c r="P700" s="55"/>
      <c r="Q700" s="55"/>
      <c r="R700" s="55"/>
      <c r="S700" s="55"/>
      <c r="T700" s="55"/>
      <c r="U700" s="55"/>
    </row>
    <row r="701">
      <c r="A701" s="55"/>
      <c r="B701" s="55"/>
      <c r="C701" s="55"/>
      <c r="D701" s="55"/>
      <c r="E701" s="53"/>
      <c r="F701" s="55"/>
      <c r="G701" s="55" t="b">
        <v>0</v>
      </c>
      <c r="H701" s="55"/>
      <c r="I701" s="55"/>
      <c r="J701" s="55"/>
      <c r="K701" s="55"/>
      <c r="L701" s="55"/>
      <c r="M701" s="55"/>
      <c r="N701" s="55"/>
      <c r="O701" s="55"/>
      <c r="P701" s="55"/>
      <c r="Q701" s="55"/>
      <c r="R701" s="55"/>
      <c r="S701" s="55"/>
      <c r="T701" s="55"/>
      <c r="U701" s="55"/>
    </row>
    <row r="702">
      <c r="A702" s="55"/>
      <c r="B702" s="55"/>
      <c r="C702" s="55"/>
      <c r="D702" s="55"/>
      <c r="E702" s="53"/>
      <c r="F702" s="55"/>
      <c r="G702" s="55" t="b">
        <v>0</v>
      </c>
      <c r="H702" s="55"/>
      <c r="I702" s="55"/>
      <c r="J702" s="55"/>
      <c r="K702" s="55"/>
      <c r="L702" s="55"/>
      <c r="M702" s="55"/>
      <c r="N702" s="55"/>
      <c r="O702" s="55"/>
      <c r="P702" s="55"/>
      <c r="Q702" s="55"/>
      <c r="R702" s="55"/>
      <c r="S702" s="55"/>
      <c r="T702" s="55"/>
      <c r="U702" s="55"/>
    </row>
    <row r="703">
      <c r="A703" s="55"/>
      <c r="B703" s="55"/>
      <c r="C703" s="55"/>
      <c r="D703" s="55"/>
      <c r="E703" s="53"/>
      <c r="F703" s="55"/>
      <c r="G703" s="55" t="b">
        <v>0</v>
      </c>
      <c r="H703" s="55"/>
      <c r="I703" s="55"/>
      <c r="J703" s="55"/>
      <c r="K703" s="55"/>
      <c r="L703" s="55"/>
      <c r="M703" s="55"/>
      <c r="N703" s="55"/>
      <c r="O703" s="55"/>
      <c r="P703" s="55"/>
      <c r="Q703" s="55"/>
      <c r="R703" s="55"/>
      <c r="S703" s="55"/>
      <c r="T703" s="55"/>
      <c r="U703" s="55"/>
    </row>
    <row r="704">
      <c r="A704" s="55"/>
      <c r="B704" s="55"/>
      <c r="C704" s="55"/>
      <c r="D704" s="55"/>
      <c r="E704" s="53"/>
      <c r="F704" s="55"/>
      <c r="G704" s="55" t="b">
        <v>0</v>
      </c>
      <c r="H704" s="55"/>
      <c r="I704" s="55"/>
      <c r="J704" s="55"/>
      <c r="K704" s="55"/>
      <c r="L704" s="55"/>
      <c r="M704" s="55"/>
      <c r="N704" s="55"/>
      <c r="O704" s="55"/>
      <c r="P704" s="55"/>
      <c r="Q704" s="55"/>
      <c r="R704" s="55"/>
      <c r="S704" s="55"/>
      <c r="T704" s="55"/>
      <c r="U704" s="55"/>
    </row>
    <row r="705">
      <c r="A705" s="55"/>
      <c r="B705" s="55"/>
      <c r="C705" s="55"/>
      <c r="D705" s="55"/>
      <c r="E705" s="53"/>
      <c r="F705" s="55"/>
      <c r="G705" s="55" t="b">
        <v>0</v>
      </c>
      <c r="H705" s="55"/>
      <c r="I705" s="55"/>
      <c r="J705" s="55"/>
      <c r="K705" s="55"/>
      <c r="L705" s="55"/>
      <c r="M705" s="55"/>
      <c r="N705" s="55"/>
      <c r="O705" s="55"/>
      <c r="P705" s="55"/>
      <c r="Q705" s="55"/>
      <c r="R705" s="55"/>
      <c r="S705" s="55"/>
      <c r="T705" s="55"/>
      <c r="U705" s="55"/>
    </row>
    <row r="706">
      <c r="A706" s="55"/>
      <c r="B706" s="55"/>
      <c r="C706" s="55"/>
      <c r="D706" s="55"/>
      <c r="E706" s="53"/>
      <c r="F706" s="55"/>
      <c r="G706" s="55" t="b">
        <v>0</v>
      </c>
      <c r="H706" s="55"/>
      <c r="I706" s="55"/>
      <c r="J706" s="55"/>
      <c r="K706" s="55"/>
      <c r="L706" s="55"/>
      <c r="M706" s="55"/>
      <c r="N706" s="55"/>
      <c r="O706" s="55"/>
      <c r="P706" s="55"/>
      <c r="Q706" s="55"/>
      <c r="R706" s="55"/>
      <c r="S706" s="55"/>
      <c r="T706" s="55"/>
      <c r="U706" s="55"/>
    </row>
    <row r="707">
      <c r="A707" s="55"/>
      <c r="B707" s="55"/>
      <c r="C707" s="55"/>
      <c r="D707" s="55"/>
      <c r="E707" s="53"/>
      <c r="F707" s="55"/>
      <c r="G707" s="55" t="b">
        <v>0</v>
      </c>
      <c r="H707" s="55"/>
      <c r="I707" s="55"/>
      <c r="J707" s="55"/>
      <c r="K707" s="55"/>
      <c r="L707" s="55"/>
      <c r="M707" s="55"/>
      <c r="N707" s="55"/>
      <c r="O707" s="55"/>
      <c r="P707" s="55"/>
      <c r="Q707" s="55"/>
      <c r="R707" s="55"/>
      <c r="S707" s="55"/>
      <c r="T707" s="55"/>
      <c r="U707" s="55"/>
    </row>
    <row r="708">
      <c r="A708" s="55"/>
      <c r="B708" s="55"/>
      <c r="C708" s="55"/>
      <c r="D708" s="55"/>
      <c r="E708" s="53"/>
      <c r="F708" s="55"/>
      <c r="G708" s="55" t="b">
        <v>0</v>
      </c>
      <c r="H708" s="55"/>
      <c r="I708" s="55"/>
      <c r="J708" s="55"/>
      <c r="K708" s="55"/>
      <c r="L708" s="55"/>
      <c r="M708" s="55"/>
      <c r="N708" s="55"/>
      <c r="O708" s="55"/>
      <c r="P708" s="55"/>
      <c r="Q708" s="55"/>
      <c r="R708" s="55"/>
      <c r="S708" s="55"/>
      <c r="T708" s="55"/>
      <c r="U708" s="55"/>
    </row>
    <row r="709">
      <c r="A709" s="55"/>
      <c r="B709" s="55"/>
      <c r="C709" s="55"/>
      <c r="D709" s="55"/>
      <c r="E709" s="53"/>
      <c r="F709" s="55"/>
      <c r="G709" s="55" t="b">
        <v>0</v>
      </c>
      <c r="H709" s="55"/>
      <c r="I709" s="55"/>
      <c r="J709" s="55"/>
      <c r="K709" s="55"/>
      <c r="L709" s="55"/>
      <c r="M709" s="55"/>
      <c r="N709" s="55"/>
      <c r="O709" s="55"/>
      <c r="P709" s="55"/>
      <c r="Q709" s="55"/>
      <c r="R709" s="55"/>
      <c r="S709" s="55"/>
      <c r="T709" s="55"/>
      <c r="U709" s="55"/>
    </row>
    <row r="710">
      <c r="A710" s="55"/>
      <c r="B710" s="55"/>
      <c r="C710" s="55"/>
      <c r="D710" s="55"/>
      <c r="E710" s="53"/>
      <c r="F710" s="55"/>
      <c r="G710" s="55" t="b">
        <v>0</v>
      </c>
      <c r="H710" s="55"/>
      <c r="I710" s="55"/>
      <c r="J710" s="55"/>
      <c r="K710" s="55"/>
      <c r="L710" s="55"/>
      <c r="M710" s="55"/>
      <c r="N710" s="55"/>
      <c r="O710" s="55"/>
      <c r="P710" s="55"/>
      <c r="Q710" s="55"/>
      <c r="R710" s="55"/>
      <c r="S710" s="55"/>
      <c r="T710" s="55"/>
      <c r="U710" s="55"/>
    </row>
    <row r="711">
      <c r="A711" s="55"/>
      <c r="B711" s="55"/>
      <c r="C711" s="55"/>
      <c r="D711" s="55"/>
      <c r="E711" s="53"/>
      <c r="F711" s="55"/>
      <c r="G711" s="55" t="b">
        <v>0</v>
      </c>
      <c r="H711" s="55"/>
      <c r="I711" s="55"/>
      <c r="J711" s="55"/>
      <c r="K711" s="55"/>
      <c r="L711" s="55"/>
      <c r="M711" s="55"/>
      <c r="N711" s="55"/>
      <c r="O711" s="55"/>
      <c r="P711" s="55"/>
      <c r="Q711" s="55"/>
      <c r="R711" s="55"/>
      <c r="S711" s="55"/>
      <c r="T711" s="55"/>
      <c r="U711" s="55"/>
    </row>
    <row r="712">
      <c r="A712" s="55"/>
      <c r="B712" s="55"/>
      <c r="C712" s="55"/>
      <c r="D712" s="55"/>
      <c r="E712" s="53"/>
      <c r="F712" s="55"/>
      <c r="G712" s="55" t="b">
        <v>0</v>
      </c>
      <c r="H712" s="55"/>
      <c r="I712" s="55"/>
      <c r="J712" s="55"/>
      <c r="K712" s="55"/>
      <c r="L712" s="55"/>
      <c r="M712" s="55"/>
      <c r="N712" s="55"/>
      <c r="O712" s="55"/>
      <c r="P712" s="55"/>
      <c r="Q712" s="55"/>
      <c r="R712" s="55"/>
      <c r="S712" s="55"/>
      <c r="T712" s="55"/>
      <c r="U712" s="55"/>
    </row>
    <row r="713">
      <c r="A713" s="55"/>
      <c r="B713" s="55"/>
      <c r="C713" s="55"/>
      <c r="D713" s="55"/>
      <c r="E713" s="53"/>
      <c r="F713" s="55"/>
      <c r="G713" s="55" t="b">
        <v>0</v>
      </c>
      <c r="H713" s="55"/>
      <c r="I713" s="55"/>
      <c r="J713" s="55"/>
      <c r="K713" s="55"/>
      <c r="L713" s="55"/>
      <c r="M713" s="55"/>
      <c r="N713" s="55"/>
      <c r="O713" s="55"/>
      <c r="P713" s="55"/>
      <c r="Q713" s="55"/>
      <c r="R713" s="55"/>
      <c r="S713" s="55"/>
      <c r="T713" s="55"/>
      <c r="U713" s="55"/>
    </row>
    <row r="714">
      <c r="A714" s="55"/>
      <c r="B714" s="55"/>
      <c r="C714" s="55"/>
      <c r="D714" s="55"/>
      <c r="E714" s="53"/>
      <c r="F714" s="55"/>
      <c r="G714" s="55" t="b">
        <v>0</v>
      </c>
      <c r="H714" s="55"/>
      <c r="I714" s="55"/>
      <c r="J714" s="55"/>
      <c r="K714" s="55"/>
      <c r="L714" s="55"/>
      <c r="M714" s="55"/>
      <c r="N714" s="55"/>
      <c r="O714" s="55"/>
      <c r="P714" s="55"/>
      <c r="Q714" s="55"/>
      <c r="R714" s="55"/>
      <c r="S714" s="55"/>
      <c r="T714" s="55"/>
      <c r="U714" s="55"/>
    </row>
    <row r="715">
      <c r="A715" s="55"/>
      <c r="B715" s="55"/>
      <c r="C715" s="55"/>
      <c r="D715" s="55"/>
      <c r="E715" s="53"/>
      <c r="F715" s="55"/>
      <c r="G715" s="55" t="b">
        <v>0</v>
      </c>
      <c r="H715" s="55"/>
      <c r="I715" s="55"/>
      <c r="J715" s="55"/>
      <c r="K715" s="55"/>
      <c r="L715" s="55"/>
      <c r="M715" s="55"/>
      <c r="N715" s="55"/>
      <c r="O715" s="55"/>
      <c r="P715" s="55"/>
      <c r="Q715" s="55"/>
      <c r="R715" s="55"/>
      <c r="S715" s="55"/>
      <c r="T715" s="55"/>
      <c r="U715" s="55"/>
    </row>
    <row r="716">
      <c r="A716" s="55"/>
      <c r="B716" s="55"/>
      <c r="C716" s="55"/>
      <c r="D716" s="55"/>
      <c r="E716" s="53"/>
      <c r="F716" s="55"/>
      <c r="G716" s="55" t="b">
        <v>0</v>
      </c>
      <c r="H716" s="55"/>
      <c r="I716" s="55"/>
      <c r="J716" s="55"/>
      <c r="K716" s="55"/>
      <c r="L716" s="55"/>
      <c r="M716" s="55"/>
      <c r="N716" s="55"/>
      <c r="O716" s="55"/>
      <c r="P716" s="55"/>
      <c r="Q716" s="55"/>
      <c r="R716" s="55"/>
      <c r="S716" s="55"/>
      <c r="T716" s="55"/>
      <c r="U716" s="55"/>
    </row>
    <row r="717">
      <c r="A717" s="55"/>
      <c r="B717" s="55"/>
      <c r="C717" s="55"/>
      <c r="D717" s="55"/>
      <c r="E717" s="53"/>
      <c r="F717" s="55"/>
      <c r="G717" s="55" t="b">
        <v>0</v>
      </c>
      <c r="H717" s="55"/>
      <c r="I717" s="55"/>
      <c r="J717" s="55"/>
      <c r="K717" s="55"/>
      <c r="L717" s="55"/>
      <c r="M717" s="55"/>
      <c r="N717" s="55"/>
      <c r="O717" s="55"/>
      <c r="P717" s="55"/>
      <c r="Q717" s="55"/>
      <c r="R717" s="55"/>
      <c r="S717" s="55"/>
      <c r="T717" s="55"/>
      <c r="U717" s="55"/>
    </row>
    <row r="718">
      <c r="A718" s="55"/>
      <c r="B718" s="55"/>
      <c r="C718" s="55"/>
      <c r="D718" s="55"/>
      <c r="E718" s="53"/>
      <c r="F718" s="55"/>
      <c r="G718" s="55" t="b">
        <v>0</v>
      </c>
      <c r="H718" s="55"/>
      <c r="I718" s="55"/>
      <c r="J718" s="55"/>
      <c r="K718" s="55"/>
      <c r="L718" s="55"/>
      <c r="M718" s="55"/>
      <c r="N718" s="55"/>
      <c r="O718" s="55"/>
      <c r="P718" s="55"/>
      <c r="Q718" s="55"/>
      <c r="R718" s="55"/>
      <c r="S718" s="55"/>
      <c r="T718" s="55"/>
      <c r="U718" s="55"/>
    </row>
    <row r="719">
      <c r="A719" s="55"/>
      <c r="B719" s="55"/>
      <c r="C719" s="55"/>
      <c r="D719" s="55"/>
      <c r="E719" s="53"/>
      <c r="F719" s="55"/>
      <c r="G719" s="55" t="b">
        <v>0</v>
      </c>
      <c r="H719" s="55"/>
      <c r="I719" s="55"/>
      <c r="J719" s="55"/>
      <c r="K719" s="55"/>
      <c r="L719" s="55"/>
      <c r="M719" s="55"/>
      <c r="N719" s="55"/>
      <c r="O719" s="55"/>
      <c r="P719" s="55"/>
      <c r="Q719" s="55"/>
      <c r="R719" s="55"/>
      <c r="S719" s="55"/>
      <c r="T719" s="55"/>
      <c r="U719" s="55"/>
    </row>
    <row r="720">
      <c r="A720" s="55"/>
      <c r="B720" s="55"/>
      <c r="C720" s="55"/>
      <c r="D720" s="55"/>
      <c r="E720" s="53"/>
      <c r="F720" s="55"/>
      <c r="G720" s="55" t="b">
        <v>0</v>
      </c>
      <c r="H720" s="55"/>
      <c r="I720" s="55"/>
      <c r="J720" s="55"/>
      <c r="K720" s="55"/>
      <c r="L720" s="55"/>
      <c r="M720" s="55"/>
      <c r="N720" s="55"/>
      <c r="O720" s="55"/>
      <c r="P720" s="55"/>
      <c r="Q720" s="55"/>
      <c r="R720" s="55"/>
      <c r="S720" s="55"/>
      <c r="T720" s="55"/>
      <c r="U720" s="55"/>
    </row>
    <row r="721">
      <c r="A721" s="55"/>
      <c r="B721" s="55"/>
      <c r="C721" s="55"/>
      <c r="D721" s="55"/>
      <c r="E721" s="53"/>
      <c r="F721" s="55"/>
      <c r="G721" s="55" t="b">
        <v>0</v>
      </c>
      <c r="H721" s="55"/>
      <c r="I721" s="55"/>
      <c r="J721" s="55"/>
      <c r="K721" s="55"/>
      <c r="L721" s="55"/>
      <c r="M721" s="55"/>
      <c r="N721" s="55"/>
      <c r="O721" s="55"/>
      <c r="P721" s="55"/>
      <c r="Q721" s="55"/>
      <c r="R721" s="55"/>
      <c r="S721" s="55"/>
      <c r="T721" s="55"/>
      <c r="U721" s="55"/>
    </row>
    <row r="722">
      <c r="A722" s="55"/>
      <c r="B722" s="55"/>
      <c r="C722" s="55"/>
      <c r="D722" s="55"/>
      <c r="E722" s="53"/>
      <c r="F722" s="55"/>
      <c r="G722" s="55" t="b">
        <v>0</v>
      </c>
      <c r="H722" s="55"/>
      <c r="I722" s="55"/>
      <c r="J722" s="55"/>
      <c r="K722" s="55"/>
      <c r="L722" s="55"/>
      <c r="M722" s="55"/>
      <c r="N722" s="55"/>
      <c r="O722" s="55"/>
      <c r="P722" s="55"/>
      <c r="Q722" s="55"/>
      <c r="R722" s="55"/>
      <c r="S722" s="55"/>
      <c r="T722" s="55"/>
      <c r="U722" s="55"/>
    </row>
    <row r="723">
      <c r="A723" s="55"/>
      <c r="B723" s="55"/>
      <c r="C723" s="55"/>
      <c r="D723" s="55"/>
      <c r="E723" s="53"/>
      <c r="F723" s="55"/>
      <c r="G723" s="55" t="b">
        <v>0</v>
      </c>
      <c r="H723" s="55"/>
      <c r="I723" s="55"/>
      <c r="J723" s="55"/>
      <c r="K723" s="55"/>
      <c r="L723" s="55"/>
      <c r="M723" s="55"/>
      <c r="N723" s="55"/>
      <c r="O723" s="55"/>
      <c r="P723" s="55"/>
      <c r="Q723" s="55"/>
      <c r="R723" s="55"/>
      <c r="S723" s="55"/>
      <c r="T723" s="55"/>
      <c r="U723" s="55"/>
    </row>
    <row r="724">
      <c r="A724" s="55"/>
      <c r="B724" s="55"/>
      <c r="C724" s="55"/>
      <c r="D724" s="55"/>
      <c r="E724" s="53"/>
      <c r="F724" s="55"/>
      <c r="G724" s="55" t="b">
        <v>0</v>
      </c>
      <c r="H724" s="55"/>
      <c r="I724" s="55"/>
      <c r="J724" s="55"/>
      <c r="K724" s="55"/>
      <c r="L724" s="55"/>
      <c r="M724" s="55"/>
      <c r="N724" s="55"/>
      <c r="O724" s="55"/>
      <c r="P724" s="55"/>
      <c r="Q724" s="55"/>
      <c r="R724" s="55"/>
      <c r="S724" s="55"/>
      <c r="T724" s="55"/>
      <c r="U724" s="55"/>
    </row>
    <row r="725">
      <c r="A725" s="55"/>
      <c r="B725" s="55"/>
      <c r="C725" s="55"/>
      <c r="D725" s="55"/>
      <c r="E725" s="53"/>
      <c r="F725" s="55"/>
      <c r="G725" s="55" t="b">
        <v>0</v>
      </c>
      <c r="H725" s="55"/>
      <c r="I725" s="55"/>
      <c r="J725" s="55"/>
      <c r="K725" s="55"/>
      <c r="L725" s="55"/>
      <c r="M725" s="55"/>
      <c r="N725" s="55"/>
      <c r="O725" s="55"/>
      <c r="P725" s="55"/>
      <c r="Q725" s="55"/>
      <c r="R725" s="55"/>
      <c r="S725" s="55"/>
      <c r="T725" s="55"/>
      <c r="U725" s="55"/>
    </row>
    <row r="726">
      <c r="A726" s="55"/>
      <c r="B726" s="55"/>
      <c r="C726" s="55"/>
      <c r="D726" s="55"/>
      <c r="E726" s="53"/>
      <c r="F726" s="55"/>
      <c r="G726" s="55" t="b">
        <v>0</v>
      </c>
      <c r="H726" s="55"/>
      <c r="I726" s="55"/>
      <c r="J726" s="55"/>
      <c r="K726" s="55"/>
      <c r="L726" s="55"/>
      <c r="M726" s="55"/>
      <c r="N726" s="55"/>
      <c r="O726" s="55"/>
      <c r="P726" s="55"/>
      <c r="Q726" s="55"/>
      <c r="R726" s="55"/>
      <c r="S726" s="55"/>
      <c r="T726" s="55"/>
      <c r="U726" s="55"/>
    </row>
    <row r="727">
      <c r="A727" s="55"/>
      <c r="B727" s="55"/>
      <c r="C727" s="55"/>
      <c r="D727" s="55"/>
      <c r="E727" s="53"/>
      <c r="F727" s="55"/>
      <c r="G727" s="55" t="b">
        <v>0</v>
      </c>
      <c r="H727" s="55"/>
      <c r="I727" s="55"/>
      <c r="J727" s="55"/>
      <c r="K727" s="55"/>
      <c r="L727" s="55"/>
      <c r="M727" s="55"/>
      <c r="N727" s="55"/>
      <c r="O727" s="55"/>
      <c r="P727" s="55"/>
      <c r="Q727" s="55"/>
      <c r="R727" s="55"/>
      <c r="S727" s="55"/>
      <c r="T727" s="55"/>
      <c r="U727" s="55"/>
    </row>
    <row r="728">
      <c r="A728" s="55"/>
      <c r="B728" s="55"/>
      <c r="C728" s="55"/>
      <c r="D728" s="55"/>
      <c r="E728" s="53"/>
      <c r="F728" s="55"/>
      <c r="G728" s="55" t="b">
        <v>0</v>
      </c>
      <c r="H728" s="55"/>
      <c r="I728" s="55"/>
      <c r="J728" s="55"/>
      <c r="K728" s="55"/>
      <c r="L728" s="55"/>
      <c r="M728" s="55"/>
      <c r="N728" s="55"/>
      <c r="O728" s="55"/>
      <c r="P728" s="55"/>
      <c r="Q728" s="55"/>
      <c r="R728" s="55"/>
      <c r="S728" s="55"/>
      <c r="T728" s="55"/>
      <c r="U728" s="55"/>
    </row>
    <row r="729">
      <c r="A729" s="55"/>
      <c r="B729" s="55"/>
      <c r="C729" s="55"/>
      <c r="D729" s="55"/>
      <c r="E729" s="53"/>
      <c r="F729" s="55"/>
      <c r="G729" s="55" t="b">
        <v>0</v>
      </c>
      <c r="H729" s="55"/>
      <c r="I729" s="55"/>
      <c r="J729" s="55"/>
      <c r="K729" s="55"/>
      <c r="L729" s="55"/>
      <c r="M729" s="55"/>
      <c r="N729" s="55"/>
      <c r="O729" s="55"/>
      <c r="P729" s="55"/>
      <c r="Q729" s="55"/>
      <c r="R729" s="55"/>
      <c r="S729" s="55"/>
      <c r="T729" s="55"/>
      <c r="U729" s="55"/>
    </row>
    <row r="730">
      <c r="A730" s="55"/>
      <c r="B730" s="55"/>
      <c r="C730" s="55"/>
      <c r="D730" s="55"/>
      <c r="E730" s="53"/>
      <c r="F730" s="55"/>
      <c r="G730" s="55" t="b">
        <v>0</v>
      </c>
      <c r="H730" s="55"/>
      <c r="I730" s="55"/>
      <c r="J730" s="55"/>
      <c r="K730" s="55"/>
      <c r="L730" s="55"/>
      <c r="M730" s="55"/>
      <c r="N730" s="55"/>
      <c r="O730" s="55"/>
      <c r="P730" s="55"/>
      <c r="Q730" s="55"/>
      <c r="R730" s="55"/>
      <c r="S730" s="55"/>
      <c r="T730" s="55"/>
      <c r="U730" s="55"/>
    </row>
    <row r="731">
      <c r="A731" s="55"/>
      <c r="B731" s="55"/>
      <c r="C731" s="55"/>
      <c r="D731" s="55"/>
      <c r="E731" s="53"/>
      <c r="F731" s="55"/>
      <c r="G731" s="55" t="b">
        <v>0</v>
      </c>
      <c r="H731" s="55"/>
      <c r="I731" s="55"/>
      <c r="J731" s="55"/>
      <c r="K731" s="55"/>
      <c r="L731" s="55"/>
      <c r="M731" s="55"/>
      <c r="N731" s="55"/>
      <c r="O731" s="55"/>
      <c r="P731" s="55"/>
      <c r="Q731" s="55"/>
      <c r="R731" s="55"/>
      <c r="S731" s="55"/>
      <c r="T731" s="55"/>
      <c r="U731" s="55"/>
    </row>
    <row r="732">
      <c r="A732" s="55"/>
      <c r="B732" s="55"/>
      <c r="C732" s="55"/>
      <c r="D732" s="55"/>
      <c r="E732" s="53"/>
      <c r="F732" s="55"/>
      <c r="G732" s="55" t="b">
        <v>0</v>
      </c>
      <c r="H732" s="55"/>
      <c r="I732" s="55"/>
      <c r="J732" s="55"/>
      <c r="K732" s="55"/>
      <c r="L732" s="55"/>
      <c r="M732" s="55"/>
      <c r="N732" s="55"/>
      <c r="O732" s="55"/>
      <c r="P732" s="55"/>
      <c r="Q732" s="55"/>
      <c r="R732" s="55"/>
      <c r="S732" s="55"/>
      <c r="T732" s="55"/>
      <c r="U732" s="55"/>
    </row>
    <row r="733">
      <c r="A733" s="55"/>
      <c r="B733" s="55"/>
      <c r="C733" s="55"/>
      <c r="D733" s="55"/>
      <c r="E733" s="53"/>
      <c r="F733" s="55"/>
      <c r="G733" s="55" t="b">
        <v>0</v>
      </c>
      <c r="H733" s="55"/>
      <c r="I733" s="55"/>
      <c r="J733" s="55"/>
      <c r="K733" s="55"/>
      <c r="L733" s="55"/>
      <c r="M733" s="55"/>
      <c r="N733" s="55"/>
      <c r="O733" s="55"/>
      <c r="P733" s="55"/>
      <c r="Q733" s="55"/>
      <c r="R733" s="55"/>
      <c r="S733" s="55"/>
      <c r="T733" s="55"/>
      <c r="U733" s="55"/>
    </row>
    <row r="734">
      <c r="A734" s="55"/>
      <c r="B734" s="55"/>
      <c r="C734" s="55"/>
      <c r="D734" s="55"/>
      <c r="E734" s="53"/>
      <c r="F734" s="55"/>
      <c r="G734" s="55" t="b">
        <v>0</v>
      </c>
      <c r="H734" s="55"/>
      <c r="I734" s="55"/>
      <c r="J734" s="55"/>
      <c r="K734" s="55"/>
      <c r="L734" s="55"/>
      <c r="M734" s="55"/>
      <c r="N734" s="55"/>
      <c r="O734" s="55"/>
      <c r="P734" s="55"/>
      <c r="Q734" s="55"/>
      <c r="R734" s="55"/>
      <c r="S734" s="55"/>
      <c r="T734" s="55"/>
      <c r="U734" s="55"/>
    </row>
    <row r="735">
      <c r="A735" s="55"/>
      <c r="B735" s="55"/>
      <c r="C735" s="55"/>
      <c r="D735" s="55"/>
      <c r="E735" s="53"/>
      <c r="F735" s="55"/>
      <c r="G735" s="55" t="b">
        <v>0</v>
      </c>
      <c r="H735" s="55"/>
      <c r="I735" s="55"/>
      <c r="J735" s="55"/>
      <c r="K735" s="55"/>
      <c r="L735" s="55"/>
      <c r="M735" s="55"/>
      <c r="N735" s="55"/>
      <c r="O735" s="55"/>
      <c r="P735" s="55"/>
      <c r="Q735" s="55"/>
      <c r="R735" s="55"/>
      <c r="S735" s="55"/>
      <c r="T735" s="55"/>
      <c r="U735" s="55"/>
    </row>
    <row r="736">
      <c r="A736" s="55"/>
      <c r="B736" s="55"/>
      <c r="C736" s="55"/>
      <c r="D736" s="55"/>
      <c r="E736" s="53"/>
      <c r="F736" s="55"/>
      <c r="G736" s="55" t="b">
        <v>0</v>
      </c>
      <c r="H736" s="55"/>
      <c r="I736" s="55"/>
      <c r="J736" s="55"/>
      <c r="K736" s="55"/>
      <c r="L736" s="55"/>
      <c r="M736" s="55"/>
      <c r="N736" s="55"/>
      <c r="O736" s="55"/>
      <c r="P736" s="55"/>
      <c r="Q736" s="55"/>
      <c r="R736" s="55"/>
      <c r="S736" s="55"/>
      <c r="T736" s="55"/>
      <c r="U736" s="55"/>
    </row>
    <row r="737">
      <c r="A737" s="55"/>
      <c r="B737" s="55"/>
      <c r="C737" s="55"/>
      <c r="D737" s="55"/>
      <c r="E737" s="53"/>
      <c r="F737" s="55"/>
      <c r="G737" s="55" t="b">
        <v>0</v>
      </c>
      <c r="H737" s="55"/>
      <c r="I737" s="55"/>
      <c r="J737" s="55"/>
      <c r="K737" s="55"/>
      <c r="L737" s="55"/>
      <c r="M737" s="55"/>
      <c r="N737" s="55"/>
      <c r="O737" s="55"/>
      <c r="P737" s="55"/>
      <c r="Q737" s="55"/>
      <c r="R737" s="55"/>
      <c r="S737" s="55"/>
      <c r="T737" s="55"/>
      <c r="U737" s="55"/>
    </row>
    <row r="738">
      <c r="A738" s="55"/>
      <c r="B738" s="55"/>
      <c r="C738" s="55"/>
      <c r="D738" s="55"/>
      <c r="E738" s="53"/>
      <c r="F738" s="55"/>
      <c r="G738" s="55" t="b">
        <v>0</v>
      </c>
      <c r="H738" s="55"/>
      <c r="I738" s="55"/>
      <c r="J738" s="55"/>
      <c r="K738" s="55"/>
      <c r="L738" s="55"/>
      <c r="M738" s="55"/>
      <c r="N738" s="55"/>
      <c r="O738" s="55"/>
      <c r="P738" s="55"/>
      <c r="Q738" s="55"/>
      <c r="R738" s="55"/>
      <c r="S738" s="55"/>
      <c r="T738" s="55"/>
      <c r="U738" s="55"/>
    </row>
    <row r="739">
      <c r="A739" s="55"/>
      <c r="B739" s="55"/>
      <c r="C739" s="55"/>
      <c r="D739" s="55"/>
      <c r="E739" s="53"/>
      <c r="F739" s="55"/>
      <c r="G739" s="55" t="b">
        <v>0</v>
      </c>
      <c r="H739" s="55"/>
      <c r="I739" s="55"/>
      <c r="J739" s="55"/>
      <c r="K739" s="55"/>
      <c r="L739" s="55"/>
      <c r="M739" s="55"/>
      <c r="N739" s="55"/>
      <c r="O739" s="55"/>
      <c r="P739" s="55"/>
      <c r="Q739" s="55"/>
      <c r="R739" s="55"/>
      <c r="S739" s="55"/>
      <c r="T739" s="55"/>
      <c r="U739" s="55"/>
    </row>
    <row r="740">
      <c r="A740" s="55"/>
      <c r="B740" s="55"/>
      <c r="C740" s="55"/>
      <c r="D740" s="55"/>
      <c r="E740" s="53"/>
      <c r="F740" s="55"/>
      <c r="G740" s="55" t="b">
        <v>0</v>
      </c>
      <c r="H740" s="55"/>
      <c r="I740" s="55"/>
      <c r="J740" s="55"/>
      <c r="K740" s="55"/>
      <c r="L740" s="55"/>
      <c r="M740" s="55"/>
      <c r="N740" s="55"/>
      <c r="O740" s="55"/>
      <c r="P740" s="55"/>
      <c r="Q740" s="55"/>
      <c r="R740" s="55"/>
      <c r="S740" s="55"/>
      <c r="T740" s="55"/>
      <c r="U740" s="55"/>
    </row>
    <row r="741">
      <c r="A741" s="55"/>
      <c r="B741" s="55"/>
      <c r="C741" s="55"/>
      <c r="D741" s="55"/>
      <c r="E741" s="53"/>
      <c r="F741" s="55"/>
      <c r="G741" s="55" t="b">
        <v>0</v>
      </c>
      <c r="H741" s="55"/>
      <c r="I741" s="55"/>
      <c r="J741" s="55"/>
      <c r="K741" s="55"/>
      <c r="L741" s="55"/>
      <c r="M741" s="55"/>
      <c r="N741" s="55"/>
      <c r="O741" s="55"/>
      <c r="P741" s="55"/>
      <c r="Q741" s="55"/>
      <c r="R741" s="55"/>
      <c r="S741" s="55"/>
      <c r="T741" s="55"/>
      <c r="U741" s="55"/>
    </row>
    <row r="742">
      <c r="A742" s="55"/>
      <c r="B742" s="55"/>
      <c r="C742" s="55"/>
      <c r="D742" s="55"/>
      <c r="E742" s="53"/>
      <c r="F742" s="55"/>
      <c r="G742" s="55" t="b">
        <v>0</v>
      </c>
      <c r="H742" s="55"/>
      <c r="I742" s="55"/>
      <c r="J742" s="55"/>
      <c r="K742" s="55"/>
      <c r="L742" s="55"/>
      <c r="M742" s="55"/>
      <c r="N742" s="55"/>
      <c r="O742" s="55"/>
      <c r="P742" s="55"/>
      <c r="Q742" s="55"/>
      <c r="R742" s="55"/>
      <c r="S742" s="55"/>
      <c r="T742" s="55"/>
      <c r="U742" s="55"/>
    </row>
    <row r="743">
      <c r="A743" s="55"/>
      <c r="B743" s="55"/>
      <c r="C743" s="55"/>
      <c r="D743" s="55"/>
      <c r="E743" s="53"/>
      <c r="F743" s="55"/>
      <c r="G743" s="55" t="b">
        <v>0</v>
      </c>
      <c r="H743" s="55"/>
      <c r="I743" s="55"/>
      <c r="J743" s="55"/>
      <c r="K743" s="55"/>
      <c r="L743" s="55"/>
      <c r="M743" s="55"/>
      <c r="N743" s="55"/>
      <c r="O743" s="55"/>
      <c r="P743" s="55"/>
      <c r="Q743" s="55"/>
      <c r="R743" s="55"/>
      <c r="S743" s="55"/>
      <c r="T743" s="55"/>
      <c r="U743" s="55"/>
    </row>
    <row r="744">
      <c r="A744" s="55"/>
      <c r="B744" s="55"/>
      <c r="C744" s="55"/>
      <c r="D744" s="55"/>
      <c r="E744" s="53"/>
      <c r="F744" s="55"/>
      <c r="G744" s="55" t="b">
        <v>0</v>
      </c>
      <c r="H744" s="55"/>
      <c r="I744" s="55"/>
      <c r="J744" s="55"/>
      <c r="K744" s="55"/>
      <c r="L744" s="55"/>
      <c r="M744" s="55"/>
      <c r="N744" s="55"/>
      <c r="O744" s="55"/>
      <c r="P744" s="55"/>
      <c r="Q744" s="55"/>
      <c r="R744" s="55"/>
      <c r="S744" s="55"/>
      <c r="T744" s="55"/>
      <c r="U744" s="55"/>
    </row>
    <row r="745">
      <c r="A745" s="55"/>
      <c r="B745" s="55"/>
      <c r="C745" s="55"/>
      <c r="D745" s="55"/>
      <c r="E745" s="53"/>
      <c r="F745" s="55"/>
      <c r="G745" s="55" t="b">
        <v>0</v>
      </c>
      <c r="H745" s="55"/>
      <c r="I745" s="55"/>
      <c r="J745" s="55"/>
      <c r="K745" s="55"/>
      <c r="L745" s="55"/>
      <c r="M745" s="55"/>
      <c r="N745" s="55"/>
      <c r="O745" s="55"/>
      <c r="P745" s="55"/>
      <c r="Q745" s="55"/>
      <c r="R745" s="55"/>
      <c r="S745" s="55"/>
      <c r="T745" s="55"/>
      <c r="U745" s="55"/>
    </row>
    <row r="746">
      <c r="A746" s="55"/>
      <c r="B746" s="55"/>
      <c r="C746" s="55"/>
      <c r="D746" s="55"/>
      <c r="E746" s="53"/>
      <c r="F746" s="55"/>
      <c r="G746" s="55" t="b">
        <v>0</v>
      </c>
      <c r="H746" s="55"/>
      <c r="I746" s="55"/>
      <c r="J746" s="55"/>
      <c r="K746" s="55"/>
      <c r="L746" s="55"/>
      <c r="M746" s="55"/>
      <c r="N746" s="55"/>
      <c r="O746" s="55"/>
      <c r="P746" s="55"/>
      <c r="Q746" s="55"/>
      <c r="R746" s="55"/>
      <c r="S746" s="55"/>
      <c r="T746" s="55"/>
      <c r="U746" s="55"/>
    </row>
    <row r="747">
      <c r="A747" s="55"/>
      <c r="B747" s="55"/>
      <c r="C747" s="55"/>
      <c r="D747" s="55"/>
      <c r="E747" s="53"/>
      <c r="F747" s="55"/>
      <c r="G747" s="55" t="b">
        <v>0</v>
      </c>
      <c r="H747" s="55"/>
      <c r="I747" s="55"/>
      <c r="J747" s="55"/>
      <c r="K747" s="55"/>
      <c r="L747" s="55"/>
      <c r="M747" s="55"/>
      <c r="N747" s="55"/>
      <c r="O747" s="55"/>
      <c r="P747" s="55"/>
      <c r="Q747" s="55"/>
      <c r="R747" s="55"/>
      <c r="S747" s="55"/>
      <c r="T747" s="55"/>
      <c r="U747" s="55"/>
    </row>
    <row r="748">
      <c r="A748" s="55"/>
      <c r="B748" s="55"/>
      <c r="C748" s="55"/>
      <c r="D748" s="55"/>
      <c r="E748" s="53"/>
      <c r="F748" s="55"/>
      <c r="G748" s="55" t="b">
        <v>0</v>
      </c>
      <c r="H748" s="55"/>
      <c r="I748" s="55"/>
      <c r="J748" s="55"/>
      <c r="K748" s="55"/>
      <c r="L748" s="55"/>
      <c r="M748" s="55"/>
      <c r="N748" s="55"/>
      <c r="O748" s="55"/>
      <c r="P748" s="55"/>
      <c r="Q748" s="55"/>
      <c r="R748" s="55"/>
      <c r="S748" s="55"/>
      <c r="T748" s="55"/>
      <c r="U748" s="55"/>
    </row>
    <row r="749">
      <c r="A749" s="55"/>
      <c r="B749" s="55"/>
      <c r="C749" s="55"/>
      <c r="D749" s="55"/>
      <c r="E749" s="53"/>
      <c r="F749" s="55"/>
      <c r="G749" s="55" t="b">
        <v>0</v>
      </c>
      <c r="H749" s="55"/>
      <c r="I749" s="55"/>
      <c r="J749" s="55"/>
      <c r="K749" s="55"/>
      <c r="L749" s="55"/>
      <c r="M749" s="55"/>
      <c r="N749" s="55"/>
      <c r="O749" s="55"/>
      <c r="P749" s="55"/>
      <c r="Q749" s="55"/>
      <c r="R749" s="55"/>
      <c r="S749" s="55"/>
      <c r="T749" s="55"/>
      <c r="U749" s="55"/>
    </row>
    <row r="750">
      <c r="A750" s="55"/>
      <c r="B750" s="55"/>
      <c r="C750" s="55"/>
      <c r="D750" s="55"/>
      <c r="E750" s="53"/>
      <c r="F750" s="55"/>
      <c r="G750" s="55" t="b">
        <v>0</v>
      </c>
      <c r="H750" s="55"/>
      <c r="I750" s="55"/>
      <c r="J750" s="55"/>
      <c r="K750" s="55"/>
      <c r="L750" s="55"/>
      <c r="M750" s="55"/>
      <c r="N750" s="55"/>
      <c r="O750" s="55"/>
      <c r="P750" s="55"/>
      <c r="Q750" s="55"/>
      <c r="R750" s="55"/>
      <c r="S750" s="55"/>
      <c r="T750" s="55"/>
      <c r="U750" s="55"/>
    </row>
    <row r="751">
      <c r="A751" s="55"/>
      <c r="B751" s="55"/>
      <c r="C751" s="55"/>
      <c r="D751" s="55"/>
      <c r="E751" s="53"/>
      <c r="F751" s="55"/>
      <c r="G751" s="55" t="b">
        <v>0</v>
      </c>
      <c r="H751" s="55"/>
      <c r="I751" s="55"/>
      <c r="J751" s="55"/>
      <c r="K751" s="55"/>
      <c r="L751" s="55"/>
      <c r="M751" s="55"/>
      <c r="N751" s="55"/>
      <c r="O751" s="55"/>
      <c r="P751" s="55"/>
      <c r="Q751" s="55"/>
      <c r="R751" s="55"/>
      <c r="S751" s="55"/>
      <c r="T751" s="55"/>
      <c r="U751" s="55"/>
    </row>
    <row r="752">
      <c r="A752" s="55"/>
      <c r="B752" s="55"/>
      <c r="C752" s="55"/>
      <c r="D752" s="55"/>
      <c r="E752" s="53"/>
      <c r="F752" s="55"/>
      <c r="G752" s="55" t="b">
        <v>0</v>
      </c>
      <c r="H752" s="55"/>
      <c r="I752" s="55"/>
      <c r="J752" s="55"/>
      <c r="K752" s="55"/>
      <c r="L752" s="55"/>
      <c r="M752" s="55"/>
      <c r="N752" s="55"/>
      <c r="O752" s="55"/>
      <c r="P752" s="55"/>
      <c r="Q752" s="55"/>
      <c r="R752" s="55"/>
      <c r="S752" s="55"/>
      <c r="T752" s="55"/>
      <c r="U752" s="55"/>
    </row>
    <row r="753">
      <c r="A753" s="55"/>
      <c r="B753" s="55"/>
      <c r="C753" s="55"/>
      <c r="D753" s="55"/>
      <c r="E753" s="53"/>
      <c r="F753" s="55"/>
      <c r="G753" s="55" t="b">
        <v>0</v>
      </c>
      <c r="H753" s="55"/>
      <c r="I753" s="55"/>
      <c r="J753" s="55"/>
      <c r="K753" s="55"/>
      <c r="L753" s="55"/>
      <c r="M753" s="55"/>
      <c r="N753" s="55"/>
      <c r="O753" s="55"/>
      <c r="P753" s="55"/>
      <c r="Q753" s="55"/>
      <c r="R753" s="55"/>
      <c r="S753" s="55"/>
      <c r="T753" s="55"/>
      <c r="U753" s="55"/>
    </row>
    <row r="754">
      <c r="A754" s="55"/>
      <c r="B754" s="55"/>
      <c r="C754" s="55"/>
      <c r="D754" s="55"/>
      <c r="E754" s="53"/>
      <c r="F754" s="55"/>
      <c r="G754" s="55" t="b">
        <v>0</v>
      </c>
      <c r="H754" s="55"/>
      <c r="I754" s="55"/>
      <c r="J754" s="55"/>
      <c r="K754" s="55"/>
      <c r="L754" s="55"/>
      <c r="M754" s="55"/>
      <c r="N754" s="55"/>
      <c r="O754" s="55"/>
      <c r="P754" s="55"/>
      <c r="Q754" s="55"/>
      <c r="R754" s="55"/>
      <c r="S754" s="55"/>
      <c r="T754" s="55"/>
      <c r="U754" s="55"/>
    </row>
    <row r="755">
      <c r="A755" s="55"/>
      <c r="B755" s="55"/>
      <c r="C755" s="55"/>
      <c r="D755" s="55"/>
      <c r="E755" s="53"/>
      <c r="F755" s="55"/>
      <c r="G755" s="55" t="b">
        <v>0</v>
      </c>
      <c r="H755" s="55"/>
      <c r="I755" s="55"/>
      <c r="J755" s="55"/>
      <c r="K755" s="55"/>
      <c r="L755" s="55"/>
      <c r="M755" s="55"/>
      <c r="N755" s="55"/>
      <c r="O755" s="55"/>
      <c r="P755" s="55"/>
      <c r="Q755" s="55"/>
      <c r="R755" s="55"/>
      <c r="S755" s="55"/>
      <c r="T755" s="55"/>
      <c r="U755" s="55"/>
    </row>
    <row r="756">
      <c r="A756" s="55"/>
      <c r="B756" s="55"/>
      <c r="C756" s="55"/>
      <c r="D756" s="55"/>
      <c r="E756" s="53"/>
      <c r="F756" s="55"/>
      <c r="G756" s="55" t="b">
        <v>0</v>
      </c>
      <c r="H756" s="55"/>
      <c r="I756" s="55"/>
      <c r="J756" s="55"/>
      <c r="K756" s="55"/>
      <c r="L756" s="55"/>
      <c r="M756" s="55"/>
      <c r="N756" s="55"/>
      <c r="O756" s="55"/>
      <c r="P756" s="55"/>
      <c r="Q756" s="55"/>
      <c r="R756" s="55"/>
      <c r="S756" s="55"/>
      <c r="T756" s="55"/>
      <c r="U756" s="55"/>
    </row>
    <row r="757">
      <c r="A757" s="55"/>
      <c r="B757" s="55"/>
      <c r="C757" s="55"/>
      <c r="D757" s="55"/>
      <c r="E757" s="53"/>
      <c r="F757" s="55"/>
      <c r="G757" s="55" t="b">
        <v>0</v>
      </c>
      <c r="H757" s="55"/>
      <c r="I757" s="55"/>
      <c r="J757" s="55"/>
      <c r="K757" s="55"/>
      <c r="L757" s="55"/>
      <c r="M757" s="55"/>
      <c r="N757" s="55"/>
      <c r="O757" s="55"/>
      <c r="P757" s="55"/>
      <c r="Q757" s="55"/>
      <c r="R757" s="55"/>
      <c r="S757" s="55"/>
      <c r="T757" s="55"/>
      <c r="U757" s="55"/>
    </row>
    <row r="758">
      <c r="A758" s="55"/>
      <c r="B758" s="55"/>
      <c r="C758" s="55"/>
      <c r="D758" s="55"/>
      <c r="E758" s="53"/>
      <c r="F758" s="55"/>
      <c r="G758" s="55" t="b">
        <v>0</v>
      </c>
      <c r="H758" s="55"/>
      <c r="I758" s="55"/>
      <c r="J758" s="55"/>
      <c r="K758" s="55"/>
      <c r="L758" s="55"/>
      <c r="M758" s="55"/>
      <c r="N758" s="55"/>
      <c r="O758" s="55"/>
      <c r="P758" s="55"/>
      <c r="Q758" s="55"/>
      <c r="R758" s="55"/>
      <c r="S758" s="55"/>
      <c r="T758" s="55"/>
      <c r="U758" s="55"/>
    </row>
    <row r="759">
      <c r="A759" s="55"/>
      <c r="B759" s="55"/>
      <c r="C759" s="55"/>
      <c r="D759" s="55"/>
      <c r="E759" s="53"/>
      <c r="F759" s="55"/>
      <c r="G759" s="55" t="b">
        <v>0</v>
      </c>
      <c r="H759" s="55"/>
      <c r="I759" s="55"/>
      <c r="J759" s="55"/>
      <c r="K759" s="55"/>
      <c r="L759" s="55"/>
      <c r="M759" s="55"/>
      <c r="N759" s="55"/>
      <c r="O759" s="55"/>
      <c r="P759" s="55"/>
      <c r="Q759" s="55"/>
      <c r="R759" s="55"/>
      <c r="S759" s="55"/>
      <c r="T759" s="55"/>
      <c r="U759" s="55"/>
    </row>
    <row r="760">
      <c r="A760" s="55"/>
      <c r="B760" s="55"/>
      <c r="C760" s="55"/>
      <c r="D760" s="55"/>
      <c r="E760" s="53"/>
      <c r="F760" s="55"/>
      <c r="G760" s="55" t="b">
        <v>0</v>
      </c>
      <c r="H760" s="55"/>
      <c r="I760" s="55"/>
      <c r="J760" s="55"/>
      <c r="K760" s="55"/>
      <c r="L760" s="55"/>
      <c r="M760" s="55"/>
      <c r="N760" s="55"/>
      <c r="O760" s="55"/>
      <c r="P760" s="55"/>
      <c r="Q760" s="55"/>
      <c r="R760" s="55"/>
      <c r="S760" s="55"/>
      <c r="T760" s="55"/>
      <c r="U760" s="55"/>
    </row>
    <row r="761">
      <c r="A761" s="55"/>
      <c r="B761" s="55"/>
      <c r="C761" s="55"/>
      <c r="D761" s="55"/>
      <c r="E761" s="53"/>
      <c r="F761" s="55"/>
      <c r="G761" s="55" t="b">
        <v>0</v>
      </c>
      <c r="H761" s="55"/>
      <c r="I761" s="55"/>
      <c r="J761" s="55"/>
      <c r="K761" s="55"/>
      <c r="L761" s="55"/>
      <c r="M761" s="55"/>
      <c r="N761" s="55"/>
      <c r="O761" s="55"/>
      <c r="P761" s="55"/>
      <c r="Q761" s="55"/>
      <c r="R761" s="55"/>
      <c r="S761" s="55"/>
      <c r="T761" s="55"/>
      <c r="U761" s="55"/>
    </row>
    <row r="762">
      <c r="A762" s="55"/>
      <c r="B762" s="55"/>
      <c r="C762" s="55"/>
      <c r="D762" s="55"/>
      <c r="E762" s="53"/>
      <c r="F762" s="55"/>
      <c r="G762" s="55" t="b">
        <v>0</v>
      </c>
      <c r="H762" s="55"/>
      <c r="I762" s="55"/>
      <c r="J762" s="55"/>
      <c r="K762" s="55"/>
      <c r="L762" s="55"/>
      <c r="M762" s="55"/>
      <c r="N762" s="55"/>
      <c r="O762" s="55"/>
      <c r="P762" s="55"/>
      <c r="Q762" s="55"/>
      <c r="R762" s="55"/>
      <c r="S762" s="55"/>
      <c r="T762" s="55"/>
      <c r="U762" s="55"/>
    </row>
    <row r="763">
      <c r="A763" s="55"/>
      <c r="B763" s="55"/>
      <c r="C763" s="55"/>
      <c r="D763" s="55"/>
      <c r="E763" s="53"/>
      <c r="F763" s="55"/>
      <c r="G763" s="55" t="b">
        <v>0</v>
      </c>
      <c r="H763" s="55"/>
      <c r="I763" s="55"/>
      <c r="J763" s="55"/>
      <c r="K763" s="55"/>
      <c r="L763" s="55"/>
      <c r="M763" s="55"/>
      <c r="N763" s="55"/>
      <c r="O763" s="55"/>
      <c r="P763" s="55"/>
      <c r="Q763" s="55"/>
      <c r="R763" s="55"/>
      <c r="S763" s="55"/>
      <c r="T763" s="55"/>
      <c r="U763" s="55"/>
    </row>
    <row r="764">
      <c r="A764" s="55"/>
      <c r="B764" s="55"/>
      <c r="C764" s="55"/>
      <c r="D764" s="55"/>
      <c r="E764" s="53"/>
      <c r="F764" s="55"/>
      <c r="G764" s="55" t="b">
        <v>0</v>
      </c>
      <c r="H764" s="55"/>
      <c r="I764" s="55"/>
      <c r="J764" s="55"/>
      <c r="K764" s="55"/>
      <c r="L764" s="55"/>
      <c r="M764" s="55"/>
      <c r="N764" s="55"/>
      <c r="O764" s="55"/>
      <c r="P764" s="55"/>
      <c r="Q764" s="55"/>
      <c r="R764" s="55"/>
      <c r="S764" s="55"/>
      <c r="T764" s="55"/>
      <c r="U764" s="55"/>
    </row>
    <row r="765">
      <c r="A765" s="55"/>
      <c r="B765" s="55"/>
      <c r="C765" s="55"/>
      <c r="D765" s="55"/>
      <c r="E765" s="53"/>
      <c r="F765" s="55"/>
      <c r="G765" s="55" t="b">
        <v>0</v>
      </c>
      <c r="H765" s="55"/>
      <c r="I765" s="55"/>
      <c r="J765" s="55"/>
      <c r="K765" s="55"/>
      <c r="L765" s="55"/>
      <c r="M765" s="55"/>
      <c r="N765" s="55"/>
      <c r="O765" s="55"/>
      <c r="P765" s="55"/>
      <c r="Q765" s="55"/>
      <c r="R765" s="55"/>
      <c r="S765" s="55"/>
      <c r="T765" s="55"/>
      <c r="U765" s="55"/>
    </row>
    <row r="766">
      <c r="A766" s="55"/>
      <c r="B766" s="55"/>
      <c r="C766" s="55"/>
      <c r="D766" s="55"/>
      <c r="E766" s="53"/>
      <c r="F766" s="55"/>
      <c r="G766" s="55" t="b">
        <v>0</v>
      </c>
      <c r="H766" s="55"/>
      <c r="I766" s="55"/>
      <c r="J766" s="55"/>
      <c r="K766" s="55"/>
      <c r="L766" s="55"/>
      <c r="M766" s="55"/>
      <c r="N766" s="55"/>
      <c r="O766" s="55"/>
      <c r="P766" s="55"/>
      <c r="Q766" s="55"/>
      <c r="R766" s="55"/>
      <c r="S766" s="55"/>
      <c r="T766" s="55"/>
      <c r="U766" s="55"/>
    </row>
    <row r="767">
      <c r="A767" s="55"/>
      <c r="B767" s="55"/>
      <c r="C767" s="55"/>
      <c r="D767" s="55"/>
      <c r="E767" s="53"/>
      <c r="F767" s="55"/>
      <c r="G767" s="55" t="b">
        <v>0</v>
      </c>
      <c r="H767" s="55"/>
      <c r="I767" s="55"/>
      <c r="J767" s="55"/>
      <c r="K767" s="55"/>
      <c r="L767" s="55"/>
      <c r="M767" s="55"/>
      <c r="N767" s="55"/>
      <c r="O767" s="55"/>
      <c r="P767" s="55"/>
      <c r="Q767" s="55"/>
      <c r="R767" s="55"/>
      <c r="S767" s="55"/>
      <c r="T767" s="55"/>
      <c r="U767" s="55"/>
    </row>
    <row r="768">
      <c r="A768" s="55"/>
      <c r="B768" s="55"/>
      <c r="C768" s="55"/>
      <c r="D768" s="55"/>
      <c r="E768" s="53"/>
      <c r="F768" s="55"/>
      <c r="G768" s="55" t="b">
        <v>0</v>
      </c>
      <c r="H768" s="55"/>
      <c r="I768" s="55"/>
      <c r="J768" s="55"/>
      <c r="K768" s="55"/>
      <c r="L768" s="55"/>
      <c r="M768" s="55"/>
      <c r="N768" s="55"/>
      <c r="O768" s="55"/>
      <c r="P768" s="55"/>
      <c r="Q768" s="55"/>
      <c r="R768" s="55"/>
      <c r="S768" s="55"/>
      <c r="T768" s="55"/>
      <c r="U768" s="55"/>
    </row>
    <row r="769">
      <c r="A769" s="55"/>
      <c r="B769" s="55"/>
      <c r="C769" s="55"/>
      <c r="D769" s="55"/>
      <c r="E769" s="53"/>
      <c r="F769" s="55"/>
      <c r="G769" s="55" t="b">
        <v>0</v>
      </c>
      <c r="H769" s="55"/>
      <c r="I769" s="55"/>
      <c r="J769" s="55"/>
      <c r="K769" s="55"/>
      <c r="L769" s="55"/>
      <c r="M769" s="55"/>
      <c r="N769" s="55"/>
      <c r="O769" s="55"/>
      <c r="P769" s="55"/>
      <c r="Q769" s="55"/>
      <c r="R769" s="55"/>
      <c r="S769" s="55"/>
      <c r="T769" s="55"/>
      <c r="U769" s="55"/>
    </row>
    <row r="770">
      <c r="A770" s="55"/>
      <c r="B770" s="55"/>
      <c r="C770" s="55"/>
      <c r="D770" s="55"/>
      <c r="E770" s="53"/>
      <c r="F770" s="55"/>
      <c r="G770" s="55" t="b">
        <v>0</v>
      </c>
      <c r="H770" s="55"/>
      <c r="I770" s="55"/>
      <c r="J770" s="55"/>
      <c r="K770" s="55"/>
      <c r="L770" s="55"/>
      <c r="M770" s="55"/>
      <c r="N770" s="55"/>
      <c r="O770" s="55"/>
      <c r="P770" s="55"/>
      <c r="Q770" s="55"/>
      <c r="R770" s="55"/>
      <c r="S770" s="55"/>
      <c r="T770" s="55"/>
      <c r="U770" s="55"/>
    </row>
    <row r="771">
      <c r="A771" s="55"/>
      <c r="B771" s="55"/>
      <c r="C771" s="55"/>
      <c r="D771" s="55"/>
      <c r="E771" s="53"/>
      <c r="F771" s="55"/>
      <c r="G771" s="55" t="b">
        <v>0</v>
      </c>
      <c r="H771" s="55"/>
      <c r="I771" s="55"/>
      <c r="J771" s="55"/>
      <c r="K771" s="55"/>
      <c r="L771" s="55"/>
      <c r="M771" s="55"/>
      <c r="N771" s="55"/>
      <c r="O771" s="55"/>
      <c r="P771" s="55"/>
      <c r="Q771" s="55"/>
      <c r="R771" s="55"/>
      <c r="S771" s="55"/>
      <c r="T771" s="55"/>
      <c r="U771" s="55"/>
    </row>
    <row r="772">
      <c r="A772" s="55"/>
      <c r="B772" s="55"/>
      <c r="C772" s="55"/>
      <c r="D772" s="55"/>
      <c r="E772" s="53"/>
      <c r="F772" s="55"/>
      <c r="G772" s="55" t="b">
        <v>0</v>
      </c>
      <c r="H772" s="55"/>
      <c r="I772" s="55"/>
      <c r="J772" s="55"/>
      <c r="K772" s="55"/>
      <c r="L772" s="55"/>
      <c r="M772" s="55"/>
      <c r="N772" s="55"/>
      <c r="O772" s="55"/>
      <c r="P772" s="55"/>
      <c r="Q772" s="55"/>
      <c r="R772" s="55"/>
      <c r="S772" s="55"/>
      <c r="T772" s="55"/>
      <c r="U772" s="55"/>
    </row>
    <row r="773">
      <c r="A773" s="55"/>
      <c r="B773" s="55"/>
      <c r="C773" s="55"/>
      <c r="D773" s="55"/>
      <c r="E773" s="53"/>
      <c r="F773" s="55"/>
      <c r="G773" s="55" t="b">
        <v>0</v>
      </c>
      <c r="H773" s="55"/>
      <c r="I773" s="55"/>
      <c r="J773" s="55"/>
      <c r="K773" s="55"/>
      <c r="L773" s="55"/>
      <c r="M773" s="55"/>
      <c r="N773" s="55"/>
      <c r="O773" s="55"/>
      <c r="P773" s="55"/>
      <c r="Q773" s="55"/>
      <c r="R773" s="55"/>
      <c r="S773" s="55"/>
      <c r="T773" s="55"/>
      <c r="U773" s="55"/>
    </row>
    <row r="774">
      <c r="A774" s="55"/>
      <c r="B774" s="55"/>
      <c r="C774" s="55"/>
      <c r="D774" s="55"/>
      <c r="E774" s="53"/>
      <c r="F774" s="55"/>
      <c r="G774" s="55" t="b">
        <v>0</v>
      </c>
      <c r="H774" s="55"/>
      <c r="I774" s="55"/>
      <c r="J774" s="55"/>
      <c r="K774" s="55"/>
      <c r="L774" s="55"/>
      <c r="M774" s="55"/>
      <c r="N774" s="55"/>
      <c r="O774" s="55"/>
      <c r="P774" s="55"/>
      <c r="Q774" s="55"/>
      <c r="R774" s="55"/>
      <c r="S774" s="55"/>
      <c r="T774" s="55"/>
      <c r="U774" s="55"/>
    </row>
    <row r="775">
      <c r="A775" s="55"/>
      <c r="B775" s="55"/>
      <c r="C775" s="55"/>
      <c r="D775" s="55"/>
      <c r="E775" s="53"/>
      <c r="F775" s="55"/>
      <c r="G775" s="55" t="b">
        <v>0</v>
      </c>
      <c r="H775" s="55"/>
      <c r="I775" s="55"/>
      <c r="J775" s="55"/>
      <c r="K775" s="55"/>
      <c r="L775" s="55"/>
      <c r="M775" s="55"/>
      <c r="N775" s="55"/>
      <c r="O775" s="55"/>
      <c r="P775" s="55"/>
      <c r="Q775" s="55"/>
      <c r="R775" s="55"/>
      <c r="S775" s="55"/>
      <c r="T775" s="55"/>
      <c r="U775" s="55"/>
    </row>
    <row r="776">
      <c r="A776" s="55"/>
      <c r="B776" s="55"/>
      <c r="C776" s="55"/>
      <c r="D776" s="55"/>
      <c r="E776" s="53"/>
      <c r="F776" s="55"/>
      <c r="G776" s="55" t="b">
        <v>0</v>
      </c>
      <c r="H776" s="55"/>
      <c r="I776" s="55"/>
      <c r="J776" s="55"/>
      <c r="K776" s="55"/>
      <c r="L776" s="55"/>
      <c r="M776" s="55"/>
      <c r="N776" s="55"/>
      <c r="O776" s="55"/>
      <c r="P776" s="55"/>
      <c r="Q776" s="55"/>
      <c r="R776" s="55"/>
      <c r="S776" s="55"/>
      <c r="T776" s="55"/>
      <c r="U776" s="55"/>
    </row>
    <row r="777">
      <c r="A777" s="55"/>
      <c r="B777" s="55"/>
      <c r="C777" s="55"/>
      <c r="D777" s="55"/>
      <c r="E777" s="53"/>
      <c r="F777" s="55"/>
      <c r="G777" s="55" t="b">
        <v>0</v>
      </c>
      <c r="H777" s="55"/>
      <c r="I777" s="55"/>
      <c r="J777" s="55"/>
      <c r="K777" s="55"/>
      <c r="L777" s="55"/>
      <c r="M777" s="55"/>
      <c r="N777" s="55"/>
      <c r="O777" s="55"/>
      <c r="P777" s="55"/>
      <c r="Q777" s="55"/>
      <c r="R777" s="55"/>
      <c r="S777" s="55"/>
      <c r="T777" s="55"/>
      <c r="U777" s="55"/>
    </row>
    <row r="778">
      <c r="A778" s="55"/>
      <c r="B778" s="55"/>
      <c r="C778" s="55"/>
      <c r="D778" s="55"/>
      <c r="E778" s="53"/>
      <c r="F778" s="55"/>
      <c r="G778" s="55" t="b">
        <v>0</v>
      </c>
      <c r="H778" s="55"/>
      <c r="I778" s="55"/>
      <c r="J778" s="55"/>
      <c r="K778" s="55"/>
      <c r="L778" s="55"/>
      <c r="M778" s="55"/>
      <c r="N778" s="55"/>
      <c r="O778" s="55"/>
      <c r="P778" s="55"/>
      <c r="Q778" s="55"/>
      <c r="R778" s="55"/>
      <c r="S778" s="55"/>
      <c r="T778" s="55"/>
      <c r="U778" s="55"/>
    </row>
    <row r="779">
      <c r="A779" s="55"/>
      <c r="B779" s="55"/>
      <c r="C779" s="55"/>
      <c r="D779" s="55"/>
      <c r="E779" s="53"/>
      <c r="F779" s="55"/>
      <c r="G779" s="55" t="b">
        <v>0</v>
      </c>
      <c r="H779" s="55"/>
      <c r="I779" s="55"/>
      <c r="J779" s="55"/>
      <c r="K779" s="55"/>
      <c r="L779" s="55"/>
      <c r="M779" s="55"/>
      <c r="N779" s="55"/>
      <c r="O779" s="55"/>
      <c r="P779" s="55"/>
      <c r="Q779" s="55"/>
      <c r="R779" s="55"/>
      <c r="S779" s="55"/>
      <c r="T779" s="55"/>
      <c r="U779" s="55"/>
    </row>
    <row r="780">
      <c r="A780" s="55"/>
      <c r="B780" s="55"/>
      <c r="C780" s="55"/>
      <c r="D780" s="55"/>
      <c r="E780" s="53"/>
      <c r="F780" s="55"/>
      <c r="G780" s="55" t="b">
        <v>0</v>
      </c>
      <c r="H780" s="55"/>
      <c r="I780" s="55"/>
      <c r="J780" s="55"/>
      <c r="K780" s="55"/>
      <c r="L780" s="55"/>
      <c r="M780" s="55"/>
      <c r="N780" s="55"/>
      <c r="O780" s="55"/>
      <c r="P780" s="55"/>
      <c r="Q780" s="55"/>
      <c r="R780" s="55"/>
      <c r="S780" s="55"/>
      <c r="T780" s="55"/>
      <c r="U780" s="55"/>
    </row>
    <row r="781">
      <c r="A781" s="55"/>
      <c r="B781" s="55"/>
      <c r="C781" s="55"/>
      <c r="D781" s="55"/>
      <c r="E781" s="53"/>
      <c r="F781" s="55"/>
      <c r="G781" s="55" t="b">
        <v>0</v>
      </c>
      <c r="H781" s="55"/>
      <c r="I781" s="55"/>
      <c r="J781" s="55"/>
      <c r="K781" s="55"/>
      <c r="L781" s="55"/>
      <c r="M781" s="55"/>
      <c r="N781" s="55"/>
      <c r="O781" s="55"/>
      <c r="P781" s="55"/>
      <c r="Q781" s="55"/>
      <c r="R781" s="55"/>
      <c r="S781" s="55"/>
      <c r="T781" s="55"/>
      <c r="U781" s="55"/>
    </row>
    <row r="782">
      <c r="A782" s="55"/>
      <c r="B782" s="55"/>
      <c r="C782" s="55"/>
      <c r="D782" s="55"/>
      <c r="E782" s="53"/>
      <c r="F782" s="55"/>
      <c r="G782" s="55" t="b">
        <v>0</v>
      </c>
      <c r="H782" s="55"/>
      <c r="I782" s="55"/>
      <c r="J782" s="55"/>
      <c r="K782" s="55"/>
      <c r="L782" s="55"/>
      <c r="M782" s="55"/>
      <c r="N782" s="55"/>
      <c r="O782" s="55"/>
      <c r="P782" s="55"/>
      <c r="Q782" s="55"/>
      <c r="R782" s="55"/>
      <c r="S782" s="55"/>
      <c r="T782" s="55"/>
      <c r="U782" s="55"/>
    </row>
    <row r="783">
      <c r="A783" s="55"/>
      <c r="B783" s="55"/>
      <c r="C783" s="55"/>
      <c r="D783" s="55"/>
      <c r="E783" s="53"/>
      <c r="F783" s="55"/>
      <c r="G783" s="55" t="b">
        <v>0</v>
      </c>
      <c r="H783" s="55"/>
      <c r="I783" s="55"/>
      <c r="J783" s="55"/>
      <c r="K783" s="55"/>
      <c r="L783" s="55"/>
      <c r="M783" s="55"/>
      <c r="N783" s="55"/>
      <c r="O783" s="55"/>
      <c r="P783" s="55"/>
      <c r="Q783" s="55"/>
      <c r="R783" s="55"/>
      <c r="S783" s="55"/>
      <c r="T783" s="55"/>
      <c r="U783" s="55"/>
    </row>
    <row r="784">
      <c r="A784" s="55"/>
      <c r="B784" s="55"/>
      <c r="C784" s="55"/>
      <c r="D784" s="55"/>
      <c r="E784" s="53"/>
      <c r="F784" s="55"/>
      <c r="G784" s="55" t="b">
        <v>0</v>
      </c>
      <c r="H784" s="55"/>
      <c r="I784" s="55"/>
      <c r="J784" s="55"/>
      <c r="K784" s="55"/>
      <c r="L784" s="55"/>
      <c r="M784" s="55"/>
      <c r="N784" s="55"/>
      <c r="O784" s="55"/>
      <c r="P784" s="55"/>
      <c r="Q784" s="55"/>
      <c r="R784" s="55"/>
      <c r="S784" s="55"/>
      <c r="T784" s="55"/>
      <c r="U784" s="55"/>
    </row>
    <row r="785">
      <c r="A785" s="55"/>
      <c r="B785" s="55"/>
      <c r="C785" s="55"/>
      <c r="D785" s="55"/>
      <c r="E785" s="53"/>
      <c r="F785" s="55"/>
      <c r="G785" s="55" t="b">
        <v>0</v>
      </c>
      <c r="H785" s="55"/>
      <c r="I785" s="55"/>
      <c r="J785" s="55"/>
      <c r="K785" s="55"/>
      <c r="L785" s="55"/>
      <c r="M785" s="55"/>
      <c r="N785" s="55"/>
      <c r="O785" s="55"/>
      <c r="P785" s="55"/>
      <c r="Q785" s="55"/>
      <c r="R785" s="55"/>
      <c r="S785" s="55"/>
      <c r="T785" s="55"/>
      <c r="U785" s="55"/>
    </row>
    <row r="786">
      <c r="A786" s="55"/>
      <c r="B786" s="55"/>
      <c r="C786" s="55"/>
      <c r="D786" s="55"/>
      <c r="E786" s="53"/>
      <c r="F786" s="55"/>
      <c r="G786" s="55" t="b">
        <v>0</v>
      </c>
      <c r="H786" s="55"/>
      <c r="I786" s="55"/>
      <c r="J786" s="55"/>
      <c r="K786" s="55"/>
      <c r="L786" s="55"/>
      <c r="M786" s="55"/>
      <c r="N786" s="55"/>
      <c r="O786" s="55"/>
      <c r="P786" s="55"/>
      <c r="Q786" s="55"/>
      <c r="R786" s="55"/>
      <c r="S786" s="55"/>
      <c r="T786" s="55"/>
      <c r="U786" s="55"/>
    </row>
  </sheetData>
  <mergeCells count="1">
    <mergeCell ref="A1:E1"/>
  </mergeCells>
  <conditionalFormatting sqref="A1:A786">
    <cfRule type="containsText" dxfId="0" priority="1" operator="containsText" text="Unassigned">
      <formula>NOT(ISERROR(SEARCH(("Unassigned"),(A1))))</formula>
    </cfRule>
  </conditionalFormatting>
  <dataValidations>
    <dataValidation type="list" allowBlank="1" sqref="A3:A786">
      <formula1>"Assigned,Contacted,Follow up email,Declined,Unassigned,Unresponsive"</formula1>
    </dataValidation>
    <dataValidation type="list" allowBlank="1" sqref="D3:D786">
      <formula1>"Actionability,Gene Disease Validity,Variant Pathogenicity,Dosage Sensitivity,Somatic Cancer,Baseline,NA"</formula1>
    </dataValidation>
    <dataValidation type="list" allowBlank="1" sqref="C3:C786">
      <formula1>"Yes,No"</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86"/>
    <col customWidth="1" min="2" max="2" width="18.57"/>
    <col customWidth="1" min="3" max="3" width="16.86"/>
    <col customWidth="1" min="4" max="4" width="19.29"/>
    <col customWidth="1" min="5" max="5" width="20.14"/>
    <col customWidth="1" min="6" max="6" width="17.86"/>
    <col customWidth="1" min="7" max="7" width="24.14"/>
    <col customWidth="1" min="8" max="8" width="29.14"/>
    <col customWidth="1" min="9" max="9" width="38.57"/>
  </cols>
  <sheetData>
    <row r="1">
      <c r="A1" s="8" t="s">
        <v>7</v>
      </c>
      <c r="B1" s="9"/>
      <c r="C1" s="9"/>
      <c r="D1" s="9"/>
      <c r="E1" s="9"/>
      <c r="F1" s="22"/>
      <c r="G1" s="8" t="s">
        <v>38</v>
      </c>
      <c r="H1" s="22"/>
      <c r="I1" s="55"/>
      <c r="J1" s="55"/>
      <c r="K1" s="55"/>
      <c r="L1" s="55"/>
      <c r="M1" s="55"/>
      <c r="N1" s="55"/>
      <c r="O1" s="55"/>
      <c r="P1" s="55"/>
      <c r="Q1" s="55"/>
      <c r="R1" s="55"/>
      <c r="S1" s="55"/>
      <c r="T1" s="55"/>
      <c r="U1" s="55"/>
      <c r="V1" s="55"/>
      <c r="W1" s="55"/>
      <c r="X1" s="55"/>
      <c r="Y1" s="55"/>
      <c r="Z1" s="55"/>
    </row>
    <row r="2">
      <c r="A2" s="24" t="s">
        <v>0</v>
      </c>
      <c r="B2" s="24" t="s">
        <v>72</v>
      </c>
      <c r="C2" s="24" t="s">
        <v>73</v>
      </c>
      <c r="D2" s="91" t="s">
        <v>74</v>
      </c>
      <c r="E2" s="24" t="s">
        <v>76</v>
      </c>
      <c r="F2" s="24" t="s">
        <v>327</v>
      </c>
      <c r="G2" s="91" t="s">
        <v>81</v>
      </c>
      <c r="H2" s="24" t="s">
        <v>82</v>
      </c>
      <c r="I2" s="55"/>
      <c r="J2" s="55"/>
      <c r="K2" s="55"/>
      <c r="L2" s="55"/>
      <c r="M2" s="55"/>
      <c r="N2" s="55"/>
      <c r="O2" s="55"/>
      <c r="P2" s="55"/>
      <c r="Q2" s="55"/>
      <c r="R2" s="55"/>
      <c r="S2" s="55"/>
      <c r="T2" s="55"/>
      <c r="U2" s="55"/>
      <c r="V2" s="55"/>
      <c r="W2" s="55"/>
      <c r="X2" s="55"/>
      <c r="Y2" s="55"/>
      <c r="Z2" s="55"/>
    </row>
    <row r="3">
      <c r="A3" s="68" t="str">
        <f>IFERROR(__xludf.DUMMYFUNCTION("filter(Assignments!B3:B1000,Assignments!O3:O1000=""Baseline"")"),"Contacted")</f>
        <v>Contacted</v>
      </c>
      <c r="B3" s="68" t="str">
        <f>IFERROR(__xludf.DUMMYFUNCTION("filter(Assignments!C3:C1000,Assignments!O3:O1000=""Baseline"")"),"")</f>
        <v/>
      </c>
      <c r="C3" s="55" t="str">
        <f>IFERROR(__xludf.DUMMYFUNCTION("filter(Assignments!D3:D1000,Assignments!O3:O1000=""Baseline"")"),"")</f>
        <v/>
      </c>
      <c r="D3" s="68" t="str">
        <f>IFERROR(__xludf.DUMMYFUNCTION("filter(Assignments!E3:E1000,Assignments!O3:O1000=""Baseline"")"),"No")</f>
        <v>No</v>
      </c>
      <c r="E3" s="68" t="str">
        <f>IFERROR(__xludf.DUMMYFUNCTION("filter(Assignments!G3:G1000,Assignments!O3:O1000=""Baseline"")"),"Baseline")</f>
        <v>Baseline</v>
      </c>
      <c r="F3" s="55" t="str">
        <f>IFERROR(__xludf.DUMMYFUNCTION("filter(Assignments!H3:H1000,Assignments!O3:O1000=""Baseline"")"),"")</f>
        <v/>
      </c>
      <c r="G3" s="55" t="str">
        <f>IFERROR(__xludf.DUMMYFUNCTION("filter(Assignments!L3:L1000,Assignments!O3:O1000=""Baseline"")"),"Julyann Pérez Mayoral")</f>
        <v>Julyann Pérez Mayoral</v>
      </c>
      <c r="H3" s="55" t="str">
        <f>IFERROR(__xludf.DUMMYFUNCTION("filter(Assignments!M3:M1000,Assignments!O3:O1000=""Baseline"")"),"julyann.perez@upr.edu")</f>
        <v>julyann.perez@upr.edu</v>
      </c>
      <c r="I3" s="68" t="str">
        <f>IFERROR(__xludf.DUMMYFUNCTION("filter(Assignments!N3:N1000,Assignments!O3:O1000=""Baseline"")"),"Post Doc/Resident/Fellow (MD and/or PhD)")</f>
        <v>Post Doc/Resident/Fellow (MD and/or PhD)</v>
      </c>
      <c r="J3" s="55"/>
      <c r="K3" s="55"/>
      <c r="L3" s="55"/>
      <c r="M3" s="55"/>
      <c r="N3" s="55"/>
      <c r="O3" s="55"/>
      <c r="P3" s="55"/>
      <c r="Q3" s="55"/>
      <c r="R3" s="55"/>
      <c r="S3" s="55"/>
      <c r="T3" s="55"/>
      <c r="U3" s="55"/>
      <c r="V3" s="55"/>
      <c r="W3" s="55"/>
      <c r="X3" s="55"/>
      <c r="Y3" s="55"/>
      <c r="Z3" s="55"/>
    </row>
    <row r="4">
      <c r="A4" s="55" t="str">
        <f>IFERROR(__xludf.DUMMYFUNCTION("""COMPUTED_VALUE"""),"Contacted")</f>
        <v>Contacted</v>
      </c>
      <c r="B4" s="55" t="str">
        <f>IFERROR(__xludf.DUMMYFUNCTION("""COMPUTED_VALUE"""),"")</f>
        <v/>
      </c>
      <c r="C4" s="55" t="str">
        <f>IFERROR(__xludf.DUMMYFUNCTION("""COMPUTED_VALUE"""),"")</f>
        <v/>
      </c>
      <c r="D4" s="55" t="str">
        <f>IFERROR(__xludf.DUMMYFUNCTION("""COMPUTED_VALUE"""),"No")</f>
        <v>No</v>
      </c>
      <c r="E4" s="55" t="str">
        <f>IFERROR(__xludf.DUMMYFUNCTION("""COMPUTED_VALUE"""),"Baseline")</f>
        <v>Baseline</v>
      </c>
      <c r="F4" s="55" t="str">
        <f>IFERROR(__xludf.DUMMYFUNCTION("""COMPUTED_VALUE"""),"")</f>
        <v/>
      </c>
      <c r="G4" s="55" t="str">
        <f>IFERROR(__xludf.DUMMYFUNCTION("""COMPUTED_VALUE"""),"Jun Shen")</f>
        <v>Jun Shen</v>
      </c>
      <c r="H4" s="55" t="str">
        <f>IFERROR(__xludf.DUMMYFUNCTION("""COMPUTED_VALUE"""),"jshen5@bwh.harvard.edu")</f>
        <v>jshen5@bwh.harvard.edu</v>
      </c>
      <c r="I4" s="55" t="str">
        <f>IFERROR(__xludf.DUMMYFUNCTION("""COMPUTED_VALUE"""),"Clinical laboratory geneticist")</f>
        <v>Clinical laboratory geneticist</v>
      </c>
      <c r="J4" s="55"/>
      <c r="K4" s="55"/>
      <c r="L4" s="55"/>
      <c r="M4" s="55"/>
      <c r="N4" s="55"/>
      <c r="O4" s="55"/>
      <c r="P4" s="55"/>
      <c r="Q4" s="55"/>
      <c r="R4" s="55"/>
      <c r="S4" s="55"/>
      <c r="T4" s="55"/>
      <c r="U4" s="55"/>
      <c r="V4" s="55"/>
      <c r="W4" s="55"/>
      <c r="X4" s="55"/>
      <c r="Y4" s="55"/>
      <c r="Z4" s="55"/>
    </row>
    <row r="5">
      <c r="A5" s="55" t="str">
        <f>IFERROR(__xludf.DUMMYFUNCTION("""COMPUTED_VALUE"""),"Contacted")</f>
        <v>Contacted</v>
      </c>
      <c r="B5" s="55" t="str">
        <f>IFERROR(__xludf.DUMMYFUNCTION("""COMPUTED_VALUE"""),"")</f>
        <v/>
      </c>
      <c r="C5" s="55" t="str">
        <f>IFERROR(__xludf.DUMMYFUNCTION("""COMPUTED_VALUE"""),"")</f>
        <v/>
      </c>
      <c r="D5" s="55" t="str">
        <f>IFERROR(__xludf.DUMMYFUNCTION("""COMPUTED_VALUE"""),"No")</f>
        <v>No</v>
      </c>
      <c r="E5" s="55" t="str">
        <f>IFERROR(__xludf.DUMMYFUNCTION("""COMPUTED_VALUE"""),"Baseline")</f>
        <v>Baseline</v>
      </c>
      <c r="F5" s="55" t="str">
        <f>IFERROR(__xludf.DUMMYFUNCTION("""COMPUTED_VALUE"""),"")</f>
        <v/>
      </c>
      <c r="G5" s="55" t="str">
        <f>IFERROR(__xludf.DUMMYFUNCTION("""COMPUTED_VALUE"""),"Indu Raja")</f>
        <v>Indu Raja</v>
      </c>
      <c r="H5" s="55" t="str">
        <f>IFERROR(__xludf.DUMMYFUNCTION("""COMPUTED_VALUE"""),"indudraja@gmail.com")</f>
        <v>indudraja@gmail.com</v>
      </c>
      <c r="I5" s="55" t="str">
        <f>IFERROR(__xludf.DUMMYFUNCTION("""COMPUTED_VALUE"""),"laboratory technologist")</f>
        <v>laboratory technologist</v>
      </c>
      <c r="J5" s="55"/>
      <c r="K5" s="55"/>
      <c r="L5" s="55"/>
      <c r="M5" s="55"/>
      <c r="N5" s="55"/>
      <c r="O5" s="55"/>
      <c r="P5" s="55"/>
      <c r="Q5" s="55"/>
      <c r="R5" s="55"/>
      <c r="S5" s="55"/>
      <c r="T5" s="55"/>
      <c r="U5" s="55"/>
      <c r="V5" s="55"/>
      <c r="W5" s="55"/>
      <c r="X5" s="55"/>
      <c r="Y5" s="55"/>
      <c r="Z5" s="55"/>
    </row>
    <row r="6">
      <c r="A6" s="55" t="str">
        <f>IFERROR(__xludf.DUMMYFUNCTION("""COMPUTED_VALUE"""),"Contacted")</f>
        <v>Contacted</v>
      </c>
      <c r="B6" s="55" t="str">
        <f>IFERROR(__xludf.DUMMYFUNCTION("""COMPUTED_VALUE"""),"")</f>
        <v/>
      </c>
      <c r="C6" s="55" t="str">
        <f>IFERROR(__xludf.DUMMYFUNCTION("""COMPUTED_VALUE"""),"")</f>
        <v/>
      </c>
      <c r="D6" s="55" t="str">
        <f>IFERROR(__xludf.DUMMYFUNCTION("""COMPUTED_VALUE"""),"No")</f>
        <v>No</v>
      </c>
      <c r="E6" s="55" t="str">
        <f>IFERROR(__xludf.DUMMYFUNCTION("""COMPUTED_VALUE"""),"Baseline")</f>
        <v>Baseline</v>
      </c>
      <c r="F6" s="55" t="str">
        <f>IFERROR(__xludf.DUMMYFUNCTION("""COMPUTED_VALUE"""),"")</f>
        <v/>
      </c>
      <c r="G6" s="55" t="str">
        <f>IFERROR(__xludf.DUMMYFUNCTION("""COMPUTED_VALUE"""),"Casey Brew")</f>
        <v>Casey Brew</v>
      </c>
      <c r="H6" s="55" t="str">
        <f>IFERROR(__xludf.DUMMYFUNCTION("""COMPUTED_VALUE"""),"cbrew@luriechildrens.org")</f>
        <v>cbrew@luriechildrens.org</v>
      </c>
      <c r="I6" s="55" t="str">
        <f>IFERROR(__xludf.DUMMYFUNCTION("""COMPUTED_VALUE"""),"Genetic counselor")</f>
        <v>Genetic counselor</v>
      </c>
      <c r="J6" s="55"/>
      <c r="K6" s="55"/>
      <c r="L6" s="55"/>
      <c r="M6" s="55"/>
      <c r="N6" s="55"/>
      <c r="O6" s="55"/>
      <c r="P6" s="55"/>
      <c r="Q6" s="55"/>
      <c r="R6" s="55"/>
      <c r="S6" s="55"/>
      <c r="T6" s="55"/>
      <c r="U6" s="55"/>
      <c r="V6" s="55"/>
      <c r="W6" s="55"/>
      <c r="X6" s="55"/>
      <c r="Y6" s="55"/>
      <c r="Z6" s="55"/>
    </row>
    <row r="7">
      <c r="A7" s="55" t="str">
        <f>IFERROR(__xludf.DUMMYFUNCTION("""COMPUTED_VALUE"""),"Contacted")</f>
        <v>Contacted</v>
      </c>
      <c r="B7" s="55" t="str">
        <f>IFERROR(__xludf.DUMMYFUNCTION("""COMPUTED_VALUE"""),"")</f>
        <v/>
      </c>
      <c r="C7" s="55" t="str">
        <f>IFERROR(__xludf.DUMMYFUNCTION("""COMPUTED_VALUE"""),"")</f>
        <v/>
      </c>
      <c r="D7" s="55" t="str">
        <f>IFERROR(__xludf.DUMMYFUNCTION("""COMPUTED_VALUE"""),"No")</f>
        <v>No</v>
      </c>
      <c r="E7" s="55" t="str">
        <f>IFERROR(__xludf.DUMMYFUNCTION("""COMPUTED_VALUE"""),"Baseline")</f>
        <v>Baseline</v>
      </c>
      <c r="F7" s="55" t="str">
        <f>IFERROR(__xludf.DUMMYFUNCTION("""COMPUTED_VALUE"""),"")</f>
        <v/>
      </c>
      <c r="G7" s="55" t="str">
        <f>IFERROR(__xludf.DUMMYFUNCTION("""COMPUTED_VALUE"""),"Danielle Croucher")</f>
        <v>Danielle Croucher</v>
      </c>
      <c r="H7" s="55" t="str">
        <f>IFERROR(__xludf.DUMMYFUNCTION("""COMPUTED_VALUE"""),"d.croucher@mail.utoronto.ca")</f>
        <v>d.croucher@mail.utoronto.ca</v>
      </c>
      <c r="I7" s="55" t="str">
        <f>IFERROR(__xludf.DUMMYFUNCTION("""COMPUTED_VALUE"""),"Graduate Student")</f>
        <v>Graduate Student</v>
      </c>
      <c r="J7" s="55"/>
      <c r="K7" s="55"/>
      <c r="L7" s="55"/>
      <c r="M7" s="55"/>
      <c r="N7" s="55"/>
      <c r="O7" s="55"/>
      <c r="P7" s="55"/>
      <c r="Q7" s="55"/>
      <c r="R7" s="55"/>
      <c r="S7" s="55"/>
      <c r="T7" s="55"/>
      <c r="U7" s="55"/>
      <c r="V7" s="55"/>
      <c r="W7" s="55"/>
      <c r="X7" s="55"/>
      <c r="Y7" s="55"/>
      <c r="Z7" s="55"/>
    </row>
    <row r="8">
      <c r="A8" s="55" t="str">
        <f>IFERROR(__xludf.DUMMYFUNCTION("""COMPUTED_VALUE"""),"Contacted")</f>
        <v>Contacted</v>
      </c>
      <c r="B8" s="55" t="str">
        <f>IFERROR(__xludf.DUMMYFUNCTION("""COMPUTED_VALUE"""),"")</f>
        <v/>
      </c>
      <c r="C8" s="55" t="str">
        <f>IFERROR(__xludf.DUMMYFUNCTION("""COMPUTED_VALUE"""),"")</f>
        <v/>
      </c>
      <c r="D8" s="55" t="str">
        <f>IFERROR(__xludf.DUMMYFUNCTION("""COMPUTED_VALUE"""),"No")</f>
        <v>No</v>
      </c>
      <c r="E8" s="55" t="str">
        <f>IFERROR(__xludf.DUMMYFUNCTION("""COMPUTED_VALUE"""),"Baseline")</f>
        <v>Baseline</v>
      </c>
      <c r="F8" s="55" t="str">
        <f>IFERROR(__xludf.DUMMYFUNCTION("""COMPUTED_VALUE"""),"")</f>
        <v/>
      </c>
      <c r="G8" s="55" t="str">
        <f>IFERROR(__xludf.DUMMYFUNCTION("""COMPUTED_VALUE"""),"Fadel Alyaquob")</f>
        <v>Fadel Alyaquob</v>
      </c>
      <c r="H8" s="55" t="str">
        <f>IFERROR(__xludf.DUMMYFUNCTION("""COMPUTED_VALUE"""),"falyaqoub1@yahoo.com")</f>
        <v>falyaqoub1@yahoo.com</v>
      </c>
      <c r="I8" s="55" t="str">
        <f>IFERROR(__xludf.DUMMYFUNCTION("""COMPUTED_VALUE"""),"Variant Analyst/Scientist")</f>
        <v>Variant Analyst/Scientist</v>
      </c>
      <c r="J8" s="55"/>
      <c r="K8" s="55"/>
      <c r="L8" s="55"/>
      <c r="M8" s="55"/>
      <c r="N8" s="55"/>
      <c r="O8" s="55"/>
      <c r="P8" s="55"/>
      <c r="Q8" s="55"/>
      <c r="R8" s="55"/>
      <c r="S8" s="55"/>
      <c r="T8" s="55"/>
      <c r="U8" s="55"/>
      <c r="V8" s="55"/>
      <c r="W8" s="55"/>
      <c r="X8" s="55"/>
      <c r="Y8" s="55"/>
      <c r="Z8" s="55"/>
    </row>
    <row r="9">
      <c r="A9" s="55" t="str">
        <f>IFERROR(__xludf.DUMMYFUNCTION("""COMPUTED_VALUE"""),"Contacted")</f>
        <v>Contacted</v>
      </c>
      <c r="B9" s="55" t="str">
        <f>IFERROR(__xludf.DUMMYFUNCTION("""COMPUTED_VALUE"""),"")</f>
        <v/>
      </c>
      <c r="C9" s="55" t="str">
        <f>IFERROR(__xludf.DUMMYFUNCTION("""COMPUTED_VALUE"""),"")</f>
        <v/>
      </c>
      <c r="D9" s="55" t="str">
        <f>IFERROR(__xludf.DUMMYFUNCTION("""COMPUTED_VALUE"""),"No")</f>
        <v>No</v>
      </c>
      <c r="E9" s="55" t="str">
        <f>IFERROR(__xludf.DUMMYFUNCTION("""COMPUTED_VALUE"""),"Baseline")</f>
        <v>Baseline</v>
      </c>
      <c r="F9" s="55" t="str">
        <f>IFERROR(__xludf.DUMMYFUNCTION("""COMPUTED_VALUE"""),"")</f>
        <v/>
      </c>
      <c r="G9" s="55" t="str">
        <f>IFERROR(__xludf.DUMMYFUNCTION("""COMPUTED_VALUE"""),"Hilary Racher")</f>
        <v>Hilary Racher</v>
      </c>
      <c r="H9" s="55" t="str">
        <f>IFERROR(__xludf.DUMMYFUNCTION("""COMPUTED_VALUE"""),"racherh@dynacare.ca")</f>
        <v>racherh@dynacare.ca</v>
      </c>
      <c r="I9" s="55" t="str">
        <f>IFERROR(__xludf.DUMMYFUNCTION("""COMPUTED_VALUE"""),"Clinical laboratory geneticist")</f>
        <v>Clinical laboratory geneticist</v>
      </c>
      <c r="J9" s="55"/>
      <c r="K9" s="55"/>
      <c r="L9" s="55"/>
      <c r="M9" s="55"/>
      <c r="N9" s="55"/>
      <c r="O9" s="55"/>
      <c r="P9" s="55"/>
      <c r="Q9" s="55"/>
      <c r="R9" s="55"/>
      <c r="S9" s="55"/>
      <c r="T9" s="55"/>
      <c r="U9" s="55"/>
      <c r="V9" s="55"/>
      <c r="W9" s="55"/>
      <c r="X9" s="55"/>
      <c r="Y9" s="55"/>
      <c r="Z9" s="55"/>
    </row>
    <row r="10">
      <c r="A10" s="55" t="str">
        <f>IFERROR(__xludf.DUMMYFUNCTION("""COMPUTED_VALUE"""),"Contacted")</f>
        <v>Contacted</v>
      </c>
      <c r="B10" s="55" t="str">
        <f>IFERROR(__xludf.DUMMYFUNCTION("""COMPUTED_VALUE"""),"")</f>
        <v/>
      </c>
      <c r="C10" s="55" t="str">
        <f>IFERROR(__xludf.DUMMYFUNCTION("""COMPUTED_VALUE"""),"")</f>
        <v/>
      </c>
      <c r="D10" s="55" t="str">
        <f>IFERROR(__xludf.DUMMYFUNCTION("""COMPUTED_VALUE"""),"No")</f>
        <v>No</v>
      </c>
      <c r="E10" s="55" t="str">
        <f>IFERROR(__xludf.DUMMYFUNCTION("""COMPUTED_VALUE"""),"Baseline")</f>
        <v>Baseline</v>
      </c>
      <c r="F10" s="55" t="str">
        <f>IFERROR(__xludf.DUMMYFUNCTION("""COMPUTED_VALUE"""),"")</f>
        <v/>
      </c>
      <c r="G10" s="55" t="str">
        <f>IFERROR(__xludf.DUMMYFUNCTION("""COMPUTED_VALUE"""),"Juan Dong")</f>
        <v>Juan Dong</v>
      </c>
      <c r="H10" s="55" t="str">
        <f>IFERROR(__xludf.DUMMYFUNCTION("""COMPUTED_VALUE"""),"juan.dong@preventiongenetics.com")</f>
        <v>juan.dong@preventiongenetics.com</v>
      </c>
      <c r="I10" s="55" t="str">
        <f>IFERROR(__xludf.DUMMYFUNCTION("""COMPUTED_VALUE"""),"Clinical laboratory geneticist")</f>
        <v>Clinical laboratory geneticist</v>
      </c>
      <c r="J10" s="55"/>
      <c r="K10" s="55"/>
      <c r="L10" s="55"/>
      <c r="M10" s="55"/>
      <c r="N10" s="55"/>
      <c r="O10" s="55"/>
      <c r="P10" s="55"/>
      <c r="Q10" s="55"/>
      <c r="R10" s="55"/>
      <c r="S10" s="55"/>
      <c r="T10" s="55"/>
      <c r="U10" s="55"/>
      <c r="V10" s="55"/>
      <c r="W10" s="55"/>
      <c r="X10" s="55"/>
      <c r="Y10" s="55"/>
      <c r="Z10" s="55"/>
    </row>
    <row r="11">
      <c r="A11" s="55" t="str">
        <f>IFERROR(__xludf.DUMMYFUNCTION("""COMPUTED_VALUE"""),"Contacted")</f>
        <v>Contacted</v>
      </c>
      <c r="B11" s="55" t="str">
        <f>IFERROR(__xludf.DUMMYFUNCTION("""COMPUTED_VALUE"""),"")</f>
        <v/>
      </c>
      <c r="C11" s="55" t="str">
        <f>IFERROR(__xludf.DUMMYFUNCTION("""COMPUTED_VALUE"""),"")</f>
        <v/>
      </c>
      <c r="D11" s="55" t="str">
        <f>IFERROR(__xludf.DUMMYFUNCTION("""COMPUTED_VALUE"""),"No")</f>
        <v>No</v>
      </c>
      <c r="E11" s="55" t="str">
        <f>IFERROR(__xludf.DUMMYFUNCTION("""COMPUTED_VALUE"""),"Baseline")</f>
        <v>Baseline</v>
      </c>
      <c r="F11" s="55" t="str">
        <f>IFERROR(__xludf.DUMMYFUNCTION("""COMPUTED_VALUE"""),"")</f>
        <v/>
      </c>
      <c r="G11" s="55" t="str">
        <f>IFERROR(__xludf.DUMMYFUNCTION("""COMPUTED_VALUE"""),"Julie Kaylor")</f>
        <v>Julie Kaylor</v>
      </c>
      <c r="H11" s="55" t="str">
        <f>IFERROR(__xludf.DUMMYFUNCTION("""COMPUTED_VALUE"""),"jkaylor@informeddna.com")</f>
        <v>jkaylor@informeddna.com</v>
      </c>
      <c r="I11" s="55" t="str">
        <f>IFERROR(__xludf.DUMMYFUNCTION("""COMPUTED_VALUE"""),"Genetic counselor")</f>
        <v>Genetic counselor</v>
      </c>
      <c r="J11" s="55"/>
      <c r="K11" s="55"/>
      <c r="L11" s="55"/>
      <c r="M11" s="55"/>
      <c r="N11" s="55"/>
      <c r="O11" s="55"/>
      <c r="P11" s="55"/>
      <c r="Q11" s="55"/>
      <c r="R11" s="55"/>
      <c r="S11" s="55"/>
      <c r="T11" s="55"/>
      <c r="U11" s="55"/>
      <c r="V11" s="55"/>
      <c r="W11" s="55"/>
      <c r="X11" s="55"/>
      <c r="Y11" s="55"/>
      <c r="Z11" s="55"/>
    </row>
    <row r="12">
      <c r="A12" s="55" t="str">
        <f>IFERROR(__xludf.DUMMYFUNCTION("""COMPUTED_VALUE"""),"Contacted")</f>
        <v>Contacted</v>
      </c>
      <c r="B12" s="55" t="str">
        <f>IFERROR(__xludf.DUMMYFUNCTION("""COMPUTED_VALUE"""),"")</f>
        <v/>
      </c>
      <c r="C12" s="55" t="str">
        <f>IFERROR(__xludf.DUMMYFUNCTION("""COMPUTED_VALUE"""),"")</f>
        <v/>
      </c>
      <c r="D12" s="55" t="str">
        <f>IFERROR(__xludf.DUMMYFUNCTION("""COMPUTED_VALUE"""),"No")</f>
        <v>No</v>
      </c>
      <c r="E12" s="55" t="str">
        <f>IFERROR(__xludf.DUMMYFUNCTION("""COMPUTED_VALUE"""),"Baseline")</f>
        <v>Baseline</v>
      </c>
      <c r="F12" s="55" t="str">
        <f>IFERROR(__xludf.DUMMYFUNCTION("""COMPUTED_VALUE"""),"")</f>
        <v/>
      </c>
      <c r="G12" s="55" t="str">
        <f>IFERROR(__xludf.DUMMYFUNCTION("""COMPUTED_VALUE"""),"David Ng")</f>
        <v>David Ng</v>
      </c>
      <c r="H12" s="55" t="str">
        <f>IFERROR(__xludf.DUMMYFUNCTION("""COMPUTED_VALUE"""),"davidng@mail.nih.gov")</f>
        <v>davidng@mail.nih.gov</v>
      </c>
      <c r="I12" s="55" t="str">
        <f>IFERROR(__xludf.DUMMYFUNCTION("""COMPUTED_VALUE"""),"Clinical medical geneticist/Variant Analyst/Scientist")</f>
        <v>Clinical medical geneticist/Variant Analyst/Scientist</v>
      </c>
      <c r="J12" s="55"/>
      <c r="K12" s="55"/>
      <c r="L12" s="55"/>
      <c r="M12" s="55"/>
      <c r="N12" s="55"/>
      <c r="O12" s="55"/>
      <c r="P12" s="55"/>
      <c r="Q12" s="55"/>
      <c r="R12" s="55"/>
      <c r="S12" s="55"/>
      <c r="T12" s="55"/>
      <c r="U12" s="55"/>
      <c r="V12" s="55"/>
      <c r="W12" s="55"/>
      <c r="X12" s="55"/>
      <c r="Y12" s="55"/>
      <c r="Z12" s="55"/>
    </row>
    <row r="13">
      <c r="A13" s="55" t="str">
        <f>IFERROR(__xludf.DUMMYFUNCTION("""COMPUTED_VALUE"""),"Contacted")</f>
        <v>Contacted</v>
      </c>
      <c r="B13" s="55" t="str">
        <f>IFERROR(__xludf.DUMMYFUNCTION("""COMPUTED_VALUE"""),"")</f>
        <v/>
      </c>
      <c r="C13" s="55" t="str">
        <f>IFERROR(__xludf.DUMMYFUNCTION("""COMPUTED_VALUE"""),"")</f>
        <v/>
      </c>
      <c r="D13" s="55" t="str">
        <f>IFERROR(__xludf.DUMMYFUNCTION("""COMPUTED_VALUE"""),"No")</f>
        <v>No</v>
      </c>
      <c r="E13" s="55" t="str">
        <f>IFERROR(__xludf.DUMMYFUNCTION("""COMPUTED_VALUE"""),"Baseline")</f>
        <v>Baseline</v>
      </c>
      <c r="F13" s="55" t="str">
        <f>IFERROR(__xludf.DUMMYFUNCTION("""COMPUTED_VALUE"""),"")</f>
        <v/>
      </c>
      <c r="G13" s="55" t="str">
        <f>IFERROR(__xludf.DUMMYFUNCTION("""COMPUTED_VALUE"""),"Michelle Green")</f>
        <v>Michelle Green</v>
      </c>
      <c r="H13" s="55" t="str">
        <f>IFERROR(__xludf.DUMMYFUNCTION("""COMPUTED_VALUE"""),"Michelle.green@n-of-one.com")</f>
        <v>Michelle.green@n-of-one.com</v>
      </c>
      <c r="I13" s="55" t="str">
        <f>IFERROR(__xludf.DUMMYFUNCTION("""COMPUTED_VALUE"""),"Biocurator, Variant Analyst/Scientist")</f>
        <v>Biocurator, Variant Analyst/Scientist</v>
      </c>
      <c r="J13" s="55"/>
      <c r="K13" s="55"/>
      <c r="L13" s="55"/>
      <c r="M13" s="55"/>
      <c r="N13" s="55"/>
      <c r="O13" s="55"/>
      <c r="P13" s="55"/>
      <c r="Q13" s="55"/>
      <c r="R13" s="55"/>
      <c r="S13" s="55"/>
      <c r="T13" s="55"/>
      <c r="U13" s="55"/>
      <c r="V13" s="55"/>
      <c r="W13" s="55"/>
      <c r="X13" s="55"/>
      <c r="Y13" s="55"/>
      <c r="Z13" s="55"/>
    </row>
    <row r="14">
      <c r="A14" s="55" t="str">
        <f>IFERROR(__xludf.DUMMYFUNCTION("""COMPUTED_VALUE"""),"Contacted")</f>
        <v>Contacted</v>
      </c>
      <c r="B14" s="55" t="str">
        <f>IFERROR(__xludf.DUMMYFUNCTION("""COMPUTED_VALUE"""),"")</f>
        <v/>
      </c>
      <c r="C14" s="55" t="str">
        <f>IFERROR(__xludf.DUMMYFUNCTION("""COMPUTED_VALUE"""),"")</f>
        <v/>
      </c>
      <c r="D14" s="55" t="str">
        <f>IFERROR(__xludf.DUMMYFUNCTION("""COMPUTED_VALUE"""),"No")</f>
        <v>No</v>
      </c>
      <c r="E14" s="55" t="str">
        <f>IFERROR(__xludf.DUMMYFUNCTION("""COMPUTED_VALUE"""),"Baseline")</f>
        <v>Baseline</v>
      </c>
      <c r="F14" s="55" t="str">
        <f>IFERROR(__xludf.DUMMYFUNCTION("""COMPUTED_VALUE"""),"")</f>
        <v/>
      </c>
      <c r="G14" s="55" t="str">
        <f>IFERROR(__xludf.DUMMYFUNCTION("""COMPUTED_VALUE"""),"Mahsa")</f>
        <v>Mahsa</v>
      </c>
      <c r="H14" s="55" t="str">
        <f>IFERROR(__xludf.DUMMYFUNCTION("""COMPUTED_VALUE"""),"mahsash@nmsu.edu")</f>
        <v>mahsash@nmsu.edu</v>
      </c>
      <c r="I14" s="55" t="str">
        <f>IFERROR(__xludf.DUMMYFUNCTION("""COMPUTED_VALUE"""),"Graduate Student")</f>
        <v>Graduate Student</v>
      </c>
      <c r="J14" s="55"/>
      <c r="K14" s="55"/>
      <c r="L14" s="55"/>
      <c r="M14" s="55"/>
      <c r="N14" s="55"/>
      <c r="O14" s="55"/>
      <c r="P14" s="55"/>
      <c r="Q14" s="55"/>
      <c r="R14" s="55"/>
      <c r="S14" s="55"/>
      <c r="T14" s="55"/>
      <c r="U14" s="55"/>
      <c r="V14" s="55"/>
      <c r="W14" s="55"/>
      <c r="X14" s="55"/>
      <c r="Y14" s="55"/>
      <c r="Z14" s="55"/>
    </row>
    <row r="15">
      <c r="A15" s="55" t="str">
        <f>IFERROR(__xludf.DUMMYFUNCTION("""COMPUTED_VALUE"""),"Contacted")</f>
        <v>Contacted</v>
      </c>
      <c r="B15" s="55" t="str">
        <f>IFERROR(__xludf.DUMMYFUNCTION("""COMPUTED_VALUE"""),"")</f>
        <v/>
      </c>
      <c r="C15" s="55" t="str">
        <f>IFERROR(__xludf.DUMMYFUNCTION("""COMPUTED_VALUE"""),"")</f>
        <v/>
      </c>
      <c r="D15" s="55" t="str">
        <f>IFERROR(__xludf.DUMMYFUNCTION("""COMPUTED_VALUE"""),"No")</f>
        <v>No</v>
      </c>
      <c r="E15" s="55" t="str">
        <f>IFERROR(__xludf.DUMMYFUNCTION("""COMPUTED_VALUE"""),"Baseline")</f>
        <v>Baseline</v>
      </c>
      <c r="F15" s="55" t="str">
        <f>IFERROR(__xludf.DUMMYFUNCTION("""COMPUTED_VALUE"""),"")</f>
        <v/>
      </c>
      <c r="G15" s="55" t="str">
        <f>IFERROR(__xludf.DUMMYFUNCTION("""COMPUTED_VALUE"""),"Michelle Green")</f>
        <v>Michelle Green</v>
      </c>
      <c r="H15" s="55" t="str">
        <f>IFERROR(__xludf.DUMMYFUNCTION("""COMPUTED_VALUE"""),"mfgreen14@gmail.com")</f>
        <v>mfgreen14@gmail.com</v>
      </c>
      <c r="I15" s="55" t="str">
        <f>IFERROR(__xludf.DUMMYFUNCTION("""COMPUTED_VALUE"""),"Biocurator, Variant Analyst/Scientist")</f>
        <v>Biocurator, Variant Analyst/Scientist</v>
      </c>
      <c r="J15" s="55"/>
      <c r="K15" s="55"/>
      <c r="L15" s="55"/>
      <c r="M15" s="55"/>
      <c r="N15" s="55"/>
      <c r="O15" s="55"/>
      <c r="P15" s="55"/>
      <c r="Q15" s="55"/>
      <c r="R15" s="55"/>
      <c r="S15" s="55"/>
      <c r="T15" s="55"/>
      <c r="U15" s="55"/>
      <c r="V15" s="55"/>
      <c r="W15" s="55"/>
      <c r="X15" s="55"/>
      <c r="Y15" s="55"/>
      <c r="Z15" s="55"/>
    </row>
    <row r="16">
      <c r="A16" s="55" t="str">
        <f>IFERROR(__xludf.DUMMYFUNCTION("""COMPUTED_VALUE"""),"Contacted")</f>
        <v>Contacted</v>
      </c>
      <c r="B16" s="55" t="str">
        <f>IFERROR(__xludf.DUMMYFUNCTION("""COMPUTED_VALUE"""),"")</f>
        <v/>
      </c>
      <c r="C16" s="55" t="str">
        <f>IFERROR(__xludf.DUMMYFUNCTION("""COMPUTED_VALUE"""),"")</f>
        <v/>
      </c>
      <c r="D16" s="55" t="str">
        <f>IFERROR(__xludf.DUMMYFUNCTION("""COMPUTED_VALUE"""),"No")</f>
        <v>No</v>
      </c>
      <c r="E16" s="55" t="str">
        <f>IFERROR(__xludf.DUMMYFUNCTION("""COMPUTED_VALUE"""),"Baseline")</f>
        <v>Baseline</v>
      </c>
      <c r="F16" s="55" t="str">
        <f>IFERROR(__xludf.DUMMYFUNCTION("""COMPUTED_VALUE"""),"")</f>
        <v/>
      </c>
      <c r="G16" s="55" t="str">
        <f>IFERROR(__xludf.DUMMYFUNCTION("""COMPUTED_VALUE"""),"Xinkun ""Sequen"" Wang")</f>
        <v>Xinkun "Sequen" Wang</v>
      </c>
      <c r="H16" s="55" t="str">
        <f>IFERROR(__xludf.DUMMYFUNCTION("""COMPUTED_VALUE"""),"xinkun.wang@northwestern.edu")</f>
        <v>xinkun.wang@northwestern.edu</v>
      </c>
      <c r="I16" s="55" t="str">
        <f>IFERROR(__xludf.DUMMYFUNCTION("""COMPUTED_VALUE"""),"Scientific Researcher")</f>
        <v>Scientific Researcher</v>
      </c>
      <c r="J16" s="55"/>
      <c r="K16" s="55"/>
      <c r="L16" s="55"/>
      <c r="M16" s="55"/>
      <c r="N16" s="55"/>
      <c r="O16" s="55"/>
      <c r="P16" s="55"/>
      <c r="Q16" s="55"/>
      <c r="R16" s="55"/>
      <c r="S16" s="55"/>
      <c r="T16" s="55"/>
      <c r="U16" s="55"/>
      <c r="V16" s="55"/>
      <c r="W16" s="55"/>
      <c r="X16" s="55"/>
      <c r="Y16" s="55"/>
      <c r="Z16" s="55"/>
    </row>
    <row r="17">
      <c r="A17" s="55" t="str">
        <f>IFERROR(__xludf.DUMMYFUNCTION("""COMPUTED_VALUE"""),"Contacted")</f>
        <v>Contacted</v>
      </c>
      <c r="B17" s="55" t="str">
        <f>IFERROR(__xludf.DUMMYFUNCTION("""COMPUTED_VALUE"""),"")</f>
        <v/>
      </c>
      <c r="C17" s="55" t="str">
        <f>IFERROR(__xludf.DUMMYFUNCTION("""COMPUTED_VALUE"""),"")</f>
        <v/>
      </c>
      <c r="D17" s="55" t="str">
        <f>IFERROR(__xludf.DUMMYFUNCTION("""COMPUTED_VALUE"""),"No")</f>
        <v>No</v>
      </c>
      <c r="E17" s="55" t="str">
        <f>IFERROR(__xludf.DUMMYFUNCTION("""COMPUTED_VALUE"""),"Baseline")</f>
        <v>Baseline</v>
      </c>
      <c r="F17" s="55" t="str">
        <f>IFERROR(__xludf.DUMMYFUNCTION("""COMPUTED_VALUE"""),"")</f>
        <v/>
      </c>
      <c r="G17" s="55" t="str">
        <f>IFERROR(__xludf.DUMMYFUNCTION("""COMPUTED_VALUE"""),"Siddharth Banka")</f>
        <v>Siddharth Banka</v>
      </c>
      <c r="H17" s="55" t="str">
        <f>IFERROR(__xludf.DUMMYFUNCTION("""COMPUTED_VALUE"""),"Siddharth.Banka@manchester.ac.uk")</f>
        <v>Siddharth.Banka@manchester.ac.uk</v>
      </c>
      <c r="I17" s="55" t="str">
        <f>IFERROR(__xludf.DUMMYFUNCTION("""COMPUTED_VALUE"""),"Clinical Medical Geneticist")</f>
        <v>Clinical Medical Geneticist</v>
      </c>
      <c r="J17" s="55"/>
      <c r="K17" s="55"/>
      <c r="L17" s="55"/>
      <c r="M17" s="55"/>
      <c r="N17" s="55"/>
      <c r="O17" s="55"/>
      <c r="P17" s="55"/>
      <c r="Q17" s="55"/>
      <c r="R17" s="55"/>
      <c r="S17" s="55"/>
      <c r="T17" s="55"/>
      <c r="U17" s="55"/>
      <c r="V17" s="55"/>
      <c r="W17" s="55"/>
      <c r="X17" s="55"/>
      <c r="Y17" s="55"/>
      <c r="Z17" s="55"/>
    </row>
    <row r="18">
      <c r="A18" s="55" t="str">
        <f>IFERROR(__xludf.DUMMYFUNCTION("""COMPUTED_VALUE"""),"Contacted")</f>
        <v>Contacted</v>
      </c>
      <c r="B18" s="55" t="str">
        <f>IFERROR(__xludf.DUMMYFUNCTION("""COMPUTED_VALUE"""),"")</f>
        <v/>
      </c>
      <c r="C18" s="55" t="str">
        <f>IFERROR(__xludf.DUMMYFUNCTION("""COMPUTED_VALUE"""),"")</f>
        <v/>
      </c>
      <c r="D18" s="55" t="str">
        <f>IFERROR(__xludf.DUMMYFUNCTION("""COMPUTED_VALUE"""),"No")</f>
        <v>No</v>
      </c>
      <c r="E18" s="55" t="str">
        <f>IFERROR(__xludf.DUMMYFUNCTION("""COMPUTED_VALUE"""),"Baseline")</f>
        <v>Baseline</v>
      </c>
      <c r="F18" s="55" t="str">
        <f>IFERROR(__xludf.DUMMYFUNCTION("""COMPUTED_VALUE"""),"")</f>
        <v/>
      </c>
      <c r="G18" s="55" t="str">
        <f>IFERROR(__xludf.DUMMYFUNCTION("""COMPUTED_VALUE"""),"Amanda Fortier")</f>
        <v>Amanda Fortier</v>
      </c>
      <c r="H18" s="55" t="str">
        <f>IFERROR(__xludf.DUMMYFUNCTION("""COMPUTED_VALUE"""),"amanda.fortier@advocatehealth.com")</f>
        <v>amanda.fortier@advocatehealth.com</v>
      </c>
      <c r="I18" s="55" t="str">
        <f>IFERROR(__xludf.DUMMYFUNCTION("""COMPUTED_VALUE"""),"Clinical laboratory geneticist")</f>
        <v>Clinical laboratory geneticist</v>
      </c>
      <c r="J18" s="55"/>
      <c r="K18" s="55"/>
      <c r="L18" s="55"/>
      <c r="M18" s="55"/>
      <c r="N18" s="55"/>
      <c r="O18" s="55"/>
      <c r="P18" s="55"/>
      <c r="Q18" s="55"/>
      <c r="R18" s="55"/>
      <c r="S18" s="55"/>
      <c r="T18" s="55"/>
      <c r="U18" s="55"/>
      <c r="V18" s="55"/>
      <c r="W18" s="55"/>
      <c r="X18" s="55"/>
      <c r="Y18" s="55"/>
      <c r="Z18" s="55"/>
    </row>
    <row r="19">
      <c r="A19" s="55" t="str">
        <f>IFERROR(__xludf.DUMMYFUNCTION("""COMPUTED_VALUE"""),"Contacted")</f>
        <v>Contacted</v>
      </c>
      <c r="B19" s="55" t="str">
        <f>IFERROR(__xludf.DUMMYFUNCTION("""COMPUTED_VALUE"""),"")</f>
        <v/>
      </c>
      <c r="C19" s="55" t="str">
        <f>IFERROR(__xludf.DUMMYFUNCTION("""COMPUTED_VALUE"""),"")</f>
        <v/>
      </c>
      <c r="D19" s="55" t="str">
        <f>IFERROR(__xludf.DUMMYFUNCTION("""COMPUTED_VALUE"""),"No")</f>
        <v>No</v>
      </c>
      <c r="E19" s="55" t="str">
        <f>IFERROR(__xludf.DUMMYFUNCTION("""COMPUTED_VALUE"""),"Baseline")</f>
        <v>Baseline</v>
      </c>
      <c r="F19" s="55" t="str">
        <f>IFERROR(__xludf.DUMMYFUNCTION("""COMPUTED_VALUE"""),"")</f>
        <v/>
      </c>
      <c r="G19" s="55" t="str">
        <f>IFERROR(__xludf.DUMMYFUNCTION("""COMPUTED_VALUE"""),"Can Ding")</f>
        <v>Can Ding</v>
      </c>
      <c r="H19" s="55" t="str">
        <f>IFERROR(__xludf.DUMMYFUNCTION("""COMPUTED_VALUE"""),"can.ding@unimedizin-mainz.de")</f>
        <v>can.ding@unimedizin-mainz.de</v>
      </c>
      <c r="I19" s="55" t="str">
        <f>IFERROR(__xludf.DUMMYFUNCTION("""COMPUTED_VALUE"""),"Clinical Medical Geneticist")</f>
        <v>Clinical Medical Geneticist</v>
      </c>
      <c r="J19" s="55"/>
      <c r="K19" s="55"/>
      <c r="L19" s="55"/>
      <c r="M19" s="55"/>
      <c r="N19" s="55"/>
      <c r="O19" s="55"/>
      <c r="P19" s="55"/>
      <c r="Q19" s="55"/>
      <c r="R19" s="55"/>
      <c r="S19" s="55"/>
      <c r="T19" s="55"/>
      <c r="U19" s="55"/>
      <c r="V19" s="55"/>
      <c r="W19" s="55"/>
      <c r="X19" s="55"/>
      <c r="Y19" s="55"/>
      <c r="Z19" s="55"/>
    </row>
    <row r="20">
      <c r="A20" s="55" t="str">
        <f>IFERROR(__xludf.DUMMYFUNCTION("""COMPUTED_VALUE"""),"Contacted")</f>
        <v>Contacted</v>
      </c>
      <c r="B20" s="55" t="str">
        <f>IFERROR(__xludf.DUMMYFUNCTION("""COMPUTED_VALUE"""),"")</f>
        <v/>
      </c>
      <c r="C20" s="55" t="str">
        <f>IFERROR(__xludf.DUMMYFUNCTION("""COMPUTED_VALUE"""),"")</f>
        <v/>
      </c>
      <c r="D20" s="55" t="str">
        <f>IFERROR(__xludf.DUMMYFUNCTION("""COMPUTED_VALUE"""),"No")</f>
        <v>No</v>
      </c>
      <c r="E20" s="55" t="str">
        <f>IFERROR(__xludf.DUMMYFUNCTION("""COMPUTED_VALUE"""),"Baseline")</f>
        <v>Baseline</v>
      </c>
      <c r="F20" s="55" t="str">
        <f>IFERROR(__xludf.DUMMYFUNCTION("""COMPUTED_VALUE"""),"")</f>
        <v/>
      </c>
      <c r="G20" s="55" t="str">
        <f>IFERROR(__xludf.DUMMYFUNCTION("""COMPUTED_VALUE"""),"Rebekah Waikel")</f>
        <v>Rebekah Waikel</v>
      </c>
      <c r="H20" s="55" t="str">
        <f>IFERROR(__xludf.DUMMYFUNCTION("""COMPUTED_VALUE"""),"rebekah.waikel@uky.edu")</f>
        <v>rebekah.waikel@uky.edu</v>
      </c>
      <c r="I20" s="55" t="str">
        <f>IFERROR(__xludf.DUMMYFUNCTION("""COMPUTED_VALUE"""),"Clinical laboratory geneticist")</f>
        <v>Clinical laboratory geneticist</v>
      </c>
      <c r="J20" s="55"/>
      <c r="K20" s="55"/>
      <c r="L20" s="55"/>
      <c r="M20" s="55"/>
      <c r="N20" s="55"/>
      <c r="O20" s="55"/>
      <c r="P20" s="55"/>
      <c r="Q20" s="55"/>
      <c r="R20" s="55"/>
      <c r="S20" s="55"/>
      <c r="T20" s="55"/>
      <c r="U20" s="55"/>
      <c r="V20" s="55"/>
      <c r="W20" s="55"/>
      <c r="X20" s="55"/>
      <c r="Y20" s="55"/>
      <c r="Z20" s="55"/>
    </row>
    <row r="21">
      <c r="A21" s="55" t="str">
        <f>IFERROR(__xludf.DUMMYFUNCTION("""COMPUTED_VALUE"""),"Contacted")</f>
        <v>Contacted</v>
      </c>
      <c r="B21" s="55" t="str">
        <f>IFERROR(__xludf.DUMMYFUNCTION("""COMPUTED_VALUE"""),"")</f>
        <v/>
      </c>
      <c r="C21" s="55" t="str">
        <f>IFERROR(__xludf.DUMMYFUNCTION("""COMPUTED_VALUE"""),"")</f>
        <v/>
      </c>
      <c r="D21" s="55" t="str">
        <f>IFERROR(__xludf.DUMMYFUNCTION("""COMPUTED_VALUE"""),"No")</f>
        <v>No</v>
      </c>
      <c r="E21" s="55" t="str">
        <f>IFERROR(__xludf.DUMMYFUNCTION("""COMPUTED_VALUE"""),"Baseline")</f>
        <v>Baseline</v>
      </c>
      <c r="F21" s="55" t="str">
        <f>IFERROR(__xludf.DUMMYFUNCTION("""COMPUTED_VALUE"""),"")</f>
        <v/>
      </c>
      <c r="G21" s="55" t="str">
        <f>IFERROR(__xludf.DUMMYFUNCTION("""COMPUTED_VALUE"""),"Manya Warrier")</f>
        <v>Manya Warrier</v>
      </c>
      <c r="H21" s="55" t="str">
        <f>IFERROR(__xludf.DUMMYFUNCTION("""COMPUTED_VALUE"""),"manyawarrier@gmail.com")</f>
        <v>manyawarrier@gmail.com</v>
      </c>
      <c r="I21" s="55" t="str">
        <f>IFERROR(__xludf.DUMMYFUNCTION("""COMPUTED_VALUE"""),"Variant Analyst/Scientist - Industry")</f>
        <v>Variant Analyst/Scientist - Industry</v>
      </c>
      <c r="J21" s="55"/>
      <c r="K21" s="55"/>
      <c r="L21" s="55"/>
      <c r="M21" s="55"/>
      <c r="N21" s="55"/>
      <c r="O21" s="55"/>
      <c r="P21" s="55"/>
      <c r="Q21" s="55"/>
      <c r="R21" s="55"/>
      <c r="S21" s="55"/>
      <c r="T21" s="55"/>
      <c r="U21" s="55"/>
      <c r="V21" s="55"/>
      <c r="W21" s="55"/>
      <c r="X21" s="55"/>
      <c r="Y21" s="55"/>
      <c r="Z21" s="55"/>
    </row>
    <row r="22">
      <c r="A22" s="55" t="str">
        <f>IFERROR(__xludf.DUMMYFUNCTION("""COMPUTED_VALUE"""),"Contacted")</f>
        <v>Contacted</v>
      </c>
      <c r="B22" s="55" t="str">
        <f>IFERROR(__xludf.DUMMYFUNCTION("""COMPUTED_VALUE"""),"")</f>
        <v/>
      </c>
      <c r="C22" s="55" t="str">
        <f>IFERROR(__xludf.DUMMYFUNCTION("""COMPUTED_VALUE"""),"")</f>
        <v/>
      </c>
      <c r="D22" s="55" t="str">
        <f>IFERROR(__xludf.DUMMYFUNCTION("""COMPUTED_VALUE"""),"No")</f>
        <v>No</v>
      </c>
      <c r="E22" s="55" t="str">
        <f>IFERROR(__xludf.DUMMYFUNCTION("""COMPUTED_VALUE"""),"Baseline")</f>
        <v>Baseline</v>
      </c>
      <c r="F22" s="55" t="str">
        <f>IFERROR(__xludf.DUMMYFUNCTION("""COMPUTED_VALUE"""),"")</f>
        <v/>
      </c>
      <c r="G22" s="55" t="str">
        <f>IFERROR(__xludf.DUMMYFUNCTION("""COMPUTED_VALUE"""),"Jianli Dong")</f>
        <v>Jianli Dong</v>
      </c>
      <c r="H22" s="55" t="str">
        <f>IFERROR(__xludf.DUMMYFUNCTION("""COMPUTED_VALUE"""),"jidong@utmb.edu")</f>
        <v>jidong@utmb.edu</v>
      </c>
      <c r="I22" s="55" t="str">
        <f>IFERROR(__xludf.DUMMYFUNCTION("""COMPUTED_VALUE"""),"Clinical laboratory geneticist")</f>
        <v>Clinical laboratory geneticist</v>
      </c>
      <c r="J22" s="55"/>
      <c r="K22" s="55"/>
      <c r="L22" s="55"/>
      <c r="M22" s="55"/>
      <c r="N22" s="55"/>
      <c r="O22" s="55"/>
      <c r="P22" s="55"/>
      <c r="Q22" s="55"/>
      <c r="R22" s="55"/>
      <c r="S22" s="55"/>
      <c r="T22" s="55"/>
      <c r="U22" s="55"/>
      <c r="V22" s="55"/>
      <c r="W22" s="55"/>
      <c r="X22" s="55"/>
      <c r="Y22" s="55"/>
      <c r="Z22" s="55"/>
    </row>
    <row r="23">
      <c r="A23" s="55" t="str">
        <f>IFERROR(__xludf.DUMMYFUNCTION("""COMPUTED_VALUE"""),"Contacted")</f>
        <v>Contacted</v>
      </c>
      <c r="B23" s="55" t="str">
        <f>IFERROR(__xludf.DUMMYFUNCTION("""COMPUTED_VALUE"""),"")</f>
        <v/>
      </c>
      <c r="C23" s="55" t="str">
        <f>IFERROR(__xludf.DUMMYFUNCTION("""COMPUTED_VALUE"""),"")</f>
        <v/>
      </c>
      <c r="D23" s="55" t="str">
        <f>IFERROR(__xludf.DUMMYFUNCTION("""COMPUTED_VALUE"""),"No")</f>
        <v>No</v>
      </c>
      <c r="E23" s="55" t="str">
        <f>IFERROR(__xludf.DUMMYFUNCTION("""COMPUTED_VALUE"""),"Baseline")</f>
        <v>Baseline</v>
      </c>
      <c r="F23" s="55" t="str">
        <f>IFERROR(__xludf.DUMMYFUNCTION("""COMPUTED_VALUE"""),"")</f>
        <v/>
      </c>
      <c r="G23" s="55" t="str">
        <f>IFERROR(__xludf.DUMMYFUNCTION("""COMPUTED_VALUE"""),"Tyler Parris")</f>
        <v>Tyler Parris</v>
      </c>
      <c r="H23" s="55" t="str">
        <f>IFERROR(__xludf.DUMMYFUNCTION("""COMPUTED_VALUE"""),"tylerchristianparrismd@gmail.com")</f>
        <v>tylerchristianparrismd@gmail.com</v>
      </c>
      <c r="I23" s="55" t="str">
        <f>IFERROR(__xludf.DUMMYFUNCTION("""COMPUTED_VALUE"""),"Post Doc/Resident/Fellow (MD and/or PhD)")</f>
        <v>Post Doc/Resident/Fellow (MD and/or PhD)</v>
      </c>
      <c r="J23" s="55"/>
      <c r="K23" s="55"/>
      <c r="L23" s="55"/>
      <c r="M23" s="55"/>
      <c r="N23" s="55"/>
      <c r="O23" s="55"/>
      <c r="P23" s="55"/>
      <c r="Q23" s="55"/>
      <c r="R23" s="55"/>
      <c r="S23" s="55"/>
      <c r="T23" s="55"/>
      <c r="U23" s="55"/>
      <c r="V23" s="55"/>
      <c r="W23" s="55"/>
      <c r="X23" s="55"/>
      <c r="Y23" s="55"/>
      <c r="Z23" s="55"/>
    </row>
    <row r="24">
      <c r="A24" s="55" t="str">
        <f>IFERROR(__xludf.DUMMYFUNCTION("""COMPUTED_VALUE"""),"Contacted")</f>
        <v>Contacted</v>
      </c>
      <c r="B24" s="55" t="str">
        <f>IFERROR(__xludf.DUMMYFUNCTION("""COMPUTED_VALUE"""),"")</f>
        <v/>
      </c>
      <c r="C24" s="55" t="str">
        <f>IFERROR(__xludf.DUMMYFUNCTION("""COMPUTED_VALUE"""),"")</f>
        <v/>
      </c>
      <c r="D24" s="55" t="str">
        <f>IFERROR(__xludf.DUMMYFUNCTION("""COMPUTED_VALUE"""),"No")</f>
        <v>No</v>
      </c>
      <c r="E24" s="55" t="str">
        <f>IFERROR(__xludf.DUMMYFUNCTION("""COMPUTED_VALUE"""),"Baseline")</f>
        <v>Baseline</v>
      </c>
      <c r="F24" s="55" t="str">
        <f>IFERROR(__xludf.DUMMYFUNCTION("""COMPUTED_VALUE"""),"")</f>
        <v/>
      </c>
      <c r="G24" s="55" t="str">
        <f>IFERROR(__xludf.DUMMYFUNCTION("""COMPUTED_VALUE"""),"Edward Shadiack")</f>
        <v>Edward Shadiack</v>
      </c>
      <c r="H24" s="55" t="str">
        <f>IFERROR(__xludf.DUMMYFUNCTION("""COMPUTED_VALUE"""),"shadiaec@gmail.com")</f>
        <v>shadiaec@gmail.com</v>
      </c>
      <c r="I24" s="55" t="str">
        <f>IFERROR(__xludf.DUMMYFUNCTION("""COMPUTED_VALUE"""),"Physician (Non-geneticist)")</f>
        <v>Physician (Non-geneticist)</v>
      </c>
      <c r="J24" s="55"/>
      <c r="K24" s="55"/>
      <c r="L24" s="55"/>
      <c r="M24" s="55"/>
      <c r="N24" s="55"/>
      <c r="O24" s="55"/>
      <c r="P24" s="55"/>
      <c r="Q24" s="55"/>
      <c r="R24" s="55"/>
      <c r="S24" s="55"/>
      <c r="T24" s="55"/>
      <c r="U24" s="55"/>
      <c r="V24" s="55"/>
      <c r="W24" s="55"/>
      <c r="X24" s="55"/>
      <c r="Y24" s="55"/>
      <c r="Z24" s="55"/>
    </row>
    <row r="25">
      <c r="A25" s="55" t="str">
        <f>IFERROR(__xludf.DUMMYFUNCTION("""COMPUTED_VALUE"""),"Contacted")</f>
        <v>Contacted</v>
      </c>
      <c r="B25" s="55" t="str">
        <f>IFERROR(__xludf.DUMMYFUNCTION("""COMPUTED_VALUE"""),"")</f>
        <v/>
      </c>
      <c r="C25" s="93" t="str">
        <f>IFERROR(__xludf.DUMMYFUNCTION("""COMPUTED_VALUE"""),"")</f>
        <v/>
      </c>
      <c r="D25" s="55" t="str">
        <f>IFERROR(__xludf.DUMMYFUNCTION("""COMPUTED_VALUE"""),"No")</f>
        <v>No</v>
      </c>
      <c r="E25" s="55" t="str">
        <f>IFERROR(__xludf.DUMMYFUNCTION("""COMPUTED_VALUE"""),"Baseline")</f>
        <v>Baseline</v>
      </c>
      <c r="F25" s="55" t="str">
        <f>IFERROR(__xludf.DUMMYFUNCTION("""COMPUTED_VALUE"""),"")</f>
        <v/>
      </c>
      <c r="G25" s="55" t="str">
        <f>IFERROR(__xludf.DUMMYFUNCTION("""COMPUTED_VALUE"""),"Kristin Maloney")</f>
        <v>Kristin Maloney</v>
      </c>
      <c r="H25" s="55" t="str">
        <f>IFERROR(__xludf.DUMMYFUNCTION("""COMPUTED_VALUE"""),"kmaloney1@som.umaryland.edu")</f>
        <v>kmaloney1@som.umaryland.edu</v>
      </c>
      <c r="I25" s="55" t="str">
        <f>IFERROR(__xludf.DUMMYFUNCTION("""COMPUTED_VALUE"""),"Genetic counselor")</f>
        <v>Genetic counselor</v>
      </c>
      <c r="J25" s="55"/>
      <c r="K25" s="55"/>
      <c r="L25" s="55"/>
      <c r="M25" s="55"/>
      <c r="N25" s="55"/>
      <c r="O25" s="55"/>
      <c r="P25" s="55"/>
      <c r="Q25" s="55"/>
      <c r="R25" s="55"/>
      <c r="S25" s="55"/>
      <c r="T25" s="55"/>
      <c r="U25" s="55"/>
      <c r="V25" s="55"/>
      <c r="W25" s="55"/>
      <c r="X25" s="55"/>
      <c r="Y25" s="55"/>
      <c r="Z25" s="55"/>
    </row>
    <row r="26">
      <c r="A26" s="55" t="str">
        <f>IFERROR(__xludf.DUMMYFUNCTION("""COMPUTED_VALUE"""),"Contacted")</f>
        <v>Contacted</v>
      </c>
      <c r="B26" s="55" t="str">
        <f>IFERROR(__xludf.DUMMYFUNCTION("""COMPUTED_VALUE"""),"")</f>
        <v/>
      </c>
      <c r="C26" s="55" t="str">
        <f>IFERROR(__xludf.DUMMYFUNCTION("""COMPUTED_VALUE"""),"")</f>
        <v/>
      </c>
      <c r="D26" s="55" t="str">
        <f>IFERROR(__xludf.DUMMYFUNCTION("""COMPUTED_VALUE"""),"No")</f>
        <v>No</v>
      </c>
      <c r="E26" s="55" t="str">
        <f>IFERROR(__xludf.DUMMYFUNCTION("""COMPUTED_VALUE"""),"Baseline")</f>
        <v>Baseline</v>
      </c>
      <c r="F26" s="55" t="str">
        <f>IFERROR(__xludf.DUMMYFUNCTION("""COMPUTED_VALUE"""),"")</f>
        <v/>
      </c>
      <c r="G26" s="55" t="str">
        <f>IFERROR(__xludf.DUMMYFUNCTION("""COMPUTED_VALUE"""),"M.I. anwar")</f>
        <v>M.I. anwar</v>
      </c>
      <c r="H26" s="55" t="str">
        <f>IFERROR(__xludf.DUMMYFUNCTION("""COMPUTED_VALUE"""),"mimtiazanwar@gmail.com")</f>
        <v>mimtiazanwar@gmail.com</v>
      </c>
      <c r="I26" s="55" t="str">
        <f>IFERROR(__xludf.DUMMYFUNCTION("""COMPUTED_VALUE"""),"Scientific Researcher")</f>
        <v>Scientific Researcher</v>
      </c>
      <c r="J26" s="55"/>
      <c r="K26" s="55"/>
      <c r="L26" s="55"/>
      <c r="M26" s="55"/>
      <c r="N26" s="55"/>
      <c r="O26" s="55"/>
      <c r="P26" s="55"/>
      <c r="Q26" s="55"/>
      <c r="R26" s="55"/>
      <c r="S26" s="55"/>
      <c r="T26" s="55"/>
      <c r="U26" s="55"/>
      <c r="V26" s="55"/>
      <c r="W26" s="55"/>
      <c r="X26" s="55"/>
      <c r="Y26" s="55"/>
      <c r="Z26" s="55"/>
    </row>
    <row r="27">
      <c r="A27" s="55" t="str">
        <f>IFERROR(__xludf.DUMMYFUNCTION("""COMPUTED_VALUE"""),"Contacted")</f>
        <v>Contacted</v>
      </c>
      <c r="B27" s="55" t="str">
        <f>IFERROR(__xludf.DUMMYFUNCTION("""COMPUTED_VALUE"""),"")</f>
        <v/>
      </c>
      <c r="C27" s="55" t="str">
        <f>IFERROR(__xludf.DUMMYFUNCTION("""COMPUTED_VALUE"""),"")</f>
        <v/>
      </c>
      <c r="D27" s="55" t="str">
        <f>IFERROR(__xludf.DUMMYFUNCTION("""COMPUTED_VALUE"""),"No")</f>
        <v>No</v>
      </c>
      <c r="E27" s="55" t="str">
        <f>IFERROR(__xludf.DUMMYFUNCTION("""COMPUTED_VALUE"""),"Baseline")</f>
        <v>Baseline</v>
      </c>
      <c r="F27" s="55" t="str">
        <f>IFERROR(__xludf.DUMMYFUNCTION("""COMPUTED_VALUE"""),"")</f>
        <v/>
      </c>
      <c r="G27" s="55" t="str">
        <f>IFERROR(__xludf.DUMMYFUNCTION("""COMPUTED_VALUE"""),"Jose Maria Urbano")</f>
        <v>Jose Maria Urbano</v>
      </c>
      <c r="H27" s="55" t="str">
        <f>IFERROR(__xludf.DUMMYFUNCTION("""COMPUTED_VALUE"""),"jmu22@cam.ac.uk")</f>
        <v>jmu22@cam.ac.uk</v>
      </c>
      <c r="I27" s="55" t="str">
        <f>IFERROR(__xludf.DUMMYFUNCTION("""COMPUTED_VALUE"""),"Biocurator")</f>
        <v>Biocurator</v>
      </c>
      <c r="J27" s="55"/>
      <c r="K27" s="55"/>
      <c r="L27" s="55"/>
      <c r="M27" s="55"/>
      <c r="N27" s="55"/>
      <c r="O27" s="55"/>
      <c r="P27" s="55"/>
      <c r="Q27" s="55"/>
      <c r="R27" s="55"/>
      <c r="S27" s="55"/>
      <c r="T27" s="55"/>
      <c r="U27" s="55"/>
      <c r="V27" s="55"/>
      <c r="W27" s="55"/>
      <c r="X27" s="55"/>
      <c r="Y27" s="55"/>
      <c r="Z27" s="55"/>
    </row>
    <row r="28">
      <c r="A28" s="55" t="str">
        <f>IFERROR(__xludf.DUMMYFUNCTION("""COMPUTED_VALUE"""),"Contacted")</f>
        <v>Contacted</v>
      </c>
      <c r="B28" s="55" t="str">
        <f>IFERROR(__xludf.DUMMYFUNCTION("""COMPUTED_VALUE"""),"")</f>
        <v/>
      </c>
      <c r="C28" s="55" t="str">
        <f>IFERROR(__xludf.DUMMYFUNCTION("""COMPUTED_VALUE"""),"")</f>
        <v/>
      </c>
      <c r="D28" s="55" t="str">
        <f>IFERROR(__xludf.DUMMYFUNCTION("""COMPUTED_VALUE"""),"No")</f>
        <v>No</v>
      </c>
      <c r="E28" s="55" t="str">
        <f>IFERROR(__xludf.DUMMYFUNCTION("""COMPUTED_VALUE"""),"Baseline")</f>
        <v>Baseline</v>
      </c>
      <c r="F28" s="55" t="str">
        <f>IFERROR(__xludf.DUMMYFUNCTION("""COMPUTED_VALUE"""),"")</f>
        <v/>
      </c>
      <c r="G28" s="55" t="str">
        <f>IFERROR(__xludf.DUMMYFUNCTION("""COMPUTED_VALUE"""),"Emma Leach")</f>
        <v>Emma Leach</v>
      </c>
      <c r="H28" s="55" t="str">
        <f>IFERROR(__xludf.DUMMYFUNCTION("""COMPUTED_VALUE"""),"eleach@providencehealth.bc.ca")</f>
        <v>eleach@providencehealth.bc.ca</v>
      </c>
      <c r="I28" s="55" t="str">
        <f>IFERROR(__xludf.DUMMYFUNCTION("""COMPUTED_VALUE"""),"Genetic counselor")</f>
        <v>Genetic counselor</v>
      </c>
      <c r="J28" s="55"/>
      <c r="K28" s="55"/>
      <c r="L28" s="55"/>
      <c r="M28" s="55"/>
      <c r="N28" s="55"/>
      <c r="O28" s="55"/>
      <c r="P28" s="55"/>
      <c r="Q28" s="55"/>
      <c r="R28" s="55"/>
      <c r="S28" s="55"/>
      <c r="T28" s="55"/>
      <c r="U28" s="55"/>
      <c r="V28" s="55"/>
      <c r="W28" s="55"/>
      <c r="X28" s="55"/>
      <c r="Y28" s="55"/>
      <c r="Z28" s="55"/>
    </row>
    <row r="29">
      <c r="A29" s="55" t="str">
        <f>IFERROR(__xludf.DUMMYFUNCTION("""COMPUTED_VALUE"""),"Contacted")</f>
        <v>Contacted</v>
      </c>
      <c r="B29" s="55" t="str">
        <f>IFERROR(__xludf.DUMMYFUNCTION("""COMPUTED_VALUE"""),"")</f>
        <v/>
      </c>
      <c r="C29" s="55" t="str">
        <f>IFERROR(__xludf.DUMMYFUNCTION("""COMPUTED_VALUE"""),"")</f>
        <v/>
      </c>
      <c r="D29" s="55" t="str">
        <f>IFERROR(__xludf.DUMMYFUNCTION("""COMPUTED_VALUE"""),"No")</f>
        <v>No</v>
      </c>
      <c r="E29" s="55" t="str">
        <f>IFERROR(__xludf.DUMMYFUNCTION("""COMPUTED_VALUE"""),"Baseline")</f>
        <v>Baseline</v>
      </c>
      <c r="F29" s="55" t="str">
        <f>IFERROR(__xludf.DUMMYFUNCTION("""COMPUTED_VALUE"""),"")</f>
        <v/>
      </c>
      <c r="G29" s="55" t="str">
        <f>IFERROR(__xludf.DUMMYFUNCTION("""COMPUTED_VALUE"""),"Megan Lynch")</f>
        <v>Megan Lynch</v>
      </c>
      <c r="H29" s="55" t="str">
        <f>IFERROR(__xludf.DUMMYFUNCTION("""COMPUTED_VALUE"""),"megan.lynch@umaryland.edu")</f>
        <v>megan.lynch@umaryland.edu</v>
      </c>
      <c r="I29" s="55" t="str">
        <f>IFERROR(__xludf.DUMMYFUNCTION("""COMPUTED_VALUE"""),"Graduate Student")</f>
        <v>Graduate Student</v>
      </c>
      <c r="J29" s="55"/>
      <c r="K29" s="55"/>
      <c r="L29" s="55"/>
      <c r="M29" s="55"/>
      <c r="N29" s="55"/>
      <c r="O29" s="55"/>
      <c r="P29" s="55"/>
      <c r="Q29" s="55"/>
      <c r="R29" s="55"/>
      <c r="S29" s="55"/>
      <c r="T29" s="55"/>
      <c r="U29" s="55"/>
      <c r="V29" s="55"/>
      <c r="W29" s="55"/>
      <c r="X29" s="55"/>
      <c r="Y29" s="55"/>
      <c r="Z29" s="55"/>
    </row>
    <row r="30">
      <c r="A30" s="55" t="str">
        <f>IFERROR(__xludf.DUMMYFUNCTION("""COMPUTED_VALUE"""),"Contacted")</f>
        <v>Contacted</v>
      </c>
      <c r="B30" s="55" t="str">
        <f>IFERROR(__xludf.DUMMYFUNCTION("""COMPUTED_VALUE"""),"")</f>
        <v/>
      </c>
      <c r="C30" s="55" t="str">
        <f>IFERROR(__xludf.DUMMYFUNCTION("""COMPUTED_VALUE"""),"")</f>
        <v/>
      </c>
      <c r="D30" s="55" t="str">
        <f>IFERROR(__xludf.DUMMYFUNCTION("""COMPUTED_VALUE"""),"No")</f>
        <v>No</v>
      </c>
      <c r="E30" s="55" t="str">
        <f>IFERROR(__xludf.DUMMYFUNCTION("""COMPUTED_VALUE"""),"Baseline")</f>
        <v>Baseline</v>
      </c>
      <c r="F30" s="55" t="str">
        <f>IFERROR(__xludf.DUMMYFUNCTION("""COMPUTED_VALUE"""),"")</f>
        <v/>
      </c>
      <c r="G30" s="55" t="str">
        <f>IFERROR(__xludf.DUMMYFUNCTION("""COMPUTED_VALUE"""),"Mi-Ae Jang")</f>
        <v>Mi-Ae Jang</v>
      </c>
      <c r="H30" s="55" t="str">
        <f>IFERROR(__xludf.DUMMYFUNCTION("""COMPUTED_VALUE"""),"miaeyaho@gmail.com")</f>
        <v>miaeyaho@gmail.com</v>
      </c>
      <c r="I30" s="55" t="str">
        <f>IFERROR(__xludf.DUMMYFUNCTION("""COMPUTED_VALUE"""),"Clinical laboratory geneticist")</f>
        <v>Clinical laboratory geneticist</v>
      </c>
      <c r="J30" s="55"/>
      <c r="K30" s="55"/>
      <c r="L30" s="55"/>
      <c r="M30" s="55"/>
      <c r="N30" s="55"/>
      <c r="O30" s="55"/>
      <c r="P30" s="55"/>
      <c r="Q30" s="55"/>
      <c r="R30" s="55"/>
      <c r="S30" s="55"/>
      <c r="T30" s="55"/>
      <c r="U30" s="55"/>
      <c r="V30" s="55"/>
      <c r="W30" s="55"/>
      <c r="X30" s="55"/>
      <c r="Y30" s="55"/>
      <c r="Z30" s="55"/>
    </row>
    <row r="31">
      <c r="A31" s="55" t="str">
        <f>IFERROR(__xludf.DUMMYFUNCTION("""COMPUTED_VALUE"""),"Contacted")</f>
        <v>Contacted</v>
      </c>
      <c r="B31" s="55" t="str">
        <f>IFERROR(__xludf.DUMMYFUNCTION("""COMPUTED_VALUE"""),"")</f>
        <v/>
      </c>
      <c r="C31" s="55" t="str">
        <f>IFERROR(__xludf.DUMMYFUNCTION("""COMPUTED_VALUE"""),"")</f>
        <v/>
      </c>
      <c r="D31" s="55" t="str">
        <f>IFERROR(__xludf.DUMMYFUNCTION("""COMPUTED_VALUE"""),"")</f>
        <v/>
      </c>
      <c r="E31" s="55" t="str">
        <f>IFERROR(__xludf.DUMMYFUNCTION("""COMPUTED_VALUE"""),"Baseline")</f>
        <v>Baseline</v>
      </c>
      <c r="F31" s="55" t="str">
        <f>IFERROR(__xludf.DUMMYFUNCTION("""COMPUTED_VALUE"""),"")</f>
        <v/>
      </c>
      <c r="G31" s="55" t="str">
        <f>IFERROR(__xludf.DUMMYFUNCTION("""COMPUTED_VALUE"""),"Jaclyn Murry")</f>
        <v>Jaclyn Murry</v>
      </c>
      <c r="H31" s="55" t="str">
        <f>IFERROR(__xludf.DUMMYFUNCTION("""COMPUTED_VALUE"""),"jmurry@mednet.ucla.edu")</f>
        <v>jmurry@mednet.ucla.edu</v>
      </c>
      <c r="I31" s="55" t="str">
        <f>IFERROR(__xludf.DUMMYFUNCTION("""COMPUTED_VALUE"""),"Clinical laboratory geneticist")</f>
        <v>Clinical laboratory geneticist</v>
      </c>
      <c r="J31" s="55"/>
      <c r="K31" s="55"/>
      <c r="L31" s="55"/>
      <c r="M31" s="55"/>
      <c r="N31" s="55"/>
      <c r="O31" s="55"/>
      <c r="P31" s="55"/>
      <c r="Q31" s="55"/>
      <c r="R31" s="55"/>
      <c r="S31" s="55"/>
      <c r="T31" s="55"/>
      <c r="U31" s="55"/>
      <c r="V31" s="55"/>
      <c r="W31" s="55"/>
      <c r="X31" s="55"/>
      <c r="Y31" s="55"/>
      <c r="Z31" s="55"/>
    </row>
    <row r="32">
      <c r="A32" s="55" t="str">
        <f>IFERROR(__xludf.DUMMYFUNCTION("""COMPUTED_VALUE"""),"Contacted")</f>
        <v>Contacted</v>
      </c>
      <c r="B32" s="55" t="str">
        <f>IFERROR(__xludf.DUMMYFUNCTION("""COMPUTED_VALUE"""),"")</f>
        <v/>
      </c>
      <c r="C32" s="55" t="str">
        <f>IFERROR(__xludf.DUMMYFUNCTION("""COMPUTED_VALUE"""),"")</f>
        <v/>
      </c>
      <c r="D32" s="55" t="str">
        <f>IFERROR(__xludf.DUMMYFUNCTION("""COMPUTED_VALUE"""),"")</f>
        <v/>
      </c>
      <c r="E32" s="55" t="str">
        <f>IFERROR(__xludf.DUMMYFUNCTION("""COMPUTED_VALUE"""),"Baseline")</f>
        <v>Baseline</v>
      </c>
      <c r="F32" s="55" t="str">
        <f>IFERROR(__xludf.DUMMYFUNCTION("""COMPUTED_VALUE"""),"")</f>
        <v/>
      </c>
      <c r="G32" s="55" t="str">
        <f>IFERROR(__xludf.DUMMYFUNCTION("""COMPUTED_VALUE"""),"Sara King")</f>
        <v>Sara King</v>
      </c>
      <c r="H32" s="55" t="str">
        <f>IFERROR(__xludf.DUMMYFUNCTION("""COMPUTED_VALUE"""),"sking127@student.umuc.edu")</f>
        <v>sking127@student.umuc.edu</v>
      </c>
      <c r="I32" s="55" t="str">
        <f>IFERROR(__xludf.DUMMYFUNCTION("""COMPUTED_VALUE"""),"Graduate Student")</f>
        <v>Graduate Student</v>
      </c>
      <c r="J32" s="55"/>
      <c r="K32" s="55"/>
      <c r="L32" s="55"/>
      <c r="M32" s="55"/>
      <c r="N32" s="55"/>
      <c r="O32" s="55"/>
      <c r="P32" s="55"/>
      <c r="Q32" s="55"/>
      <c r="R32" s="55"/>
      <c r="S32" s="55"/>
      <c r="T32" s="55"/>
      <c r="U32" s="55"/>
      <c r="V32" s="55"/>
      <c r="W32" s="55"/>
      <c r="X32" s="55"/>
      <c r="Y32" s="55"/>
      <c r="Z32" s="55"/>
    </row>
    <row r="33">
      <c r="A33" s="55" t="str">
        <f>IFERROR(__xludf.DUMMYFUNCTION("""COMPUTED_VALUE"""),"Contacted")</f>
        <v>Contacted</v>
      </c>
      <c r="B33" s="55" t="str">
        <f>IFERROR(__xludf.DUMMYFUNCTION("""COMPUTED_VALUE"""),"")</f>
        <v/>
      </c>
      <c r="C33" s="55" t="str">
        <f>IFERROR(__xludf.DUMMYFUNCTION("""COMPUTED_VALUE"""),"")</f>
        <v/>
      </c>
      <c r="D33" s="55" t="str">
        <f>IFERROR(__xludf.DUMMYFUNCTION("""COMPUTED_VALUE"""),"")</f>
        <v/>
      </c>
      <c r="E33" s="55" t="str">
        <f>IFERROR(__xludf.DUMMYFUNCTION("""COMPUTED_VALUE"""),"Baseline")</f>
        <v>Baseline</v>
      </c>
      <c r="F33" s="55" t="str">
        <f>IFERROR(__xludf.DUMMYFUNCTION("""COMPUTED_VALUE"""),"")</f>
        <v/>
      </c>
      <c r="G33" s="55" t="str">
        <f>IFERROR(__xludf.DUMMYFUNCTION("""COMPUTED_VALUE"""),"Jimena Murguia")</f>
        <v>Jimena Murguia</v>
      </c>
      <c r="H33" s="55" t="str">
        <f>IFERROR(__xludf.DUMMYFUNCTION("""COMPUTED_VALUE"""),"jimena887@yahoo.es")</f>
        <v>jimena887@yahoo.es</v>
      </c>
      <c r="I33" s="55" t="str">
        <f>IFERROR(__xludf.DUMMYFUNCTION("""COMPUTED_VALUE"""),"Clinical laboratory geneticist")</f>
        <v>Clinical laboratory geneticist</v>
      </c>
      <c r="J33" s="55"/>
      <c r="K33" s="55"/>
      <c r="L33" s="55"/>
      <c r="M33" s="55"/>
      <c r="N33" s="55"/>
      <c r="O33" s="55"/>
      <c r="P33" s="55"/>
      <c r="Q33" s="55"/>
      <c r="R33" s="55"/>
      <c r="S33" s="55"/>
      <c r="T33" s="55"/>
      <c r="U33" s="55"/>
      <c r="V33" s="55"/>
      <c r="W33" s="55"/>
      <c r="X33" s="55"/>
      <c r="Y33" s="55"/>
      <c r="Z33" s="55"/>
    </row>
    <row r="34">
      <c r="A34" s="55" t="str">
        <f>IFERROR(__xludf.DUMMYFUNCTION("""COMPUTED_VALUE"""),"Contacted")</f>
        <v>Contacted</v>
      </c>
      <c r="B34" s="55" t="str">
        <f>IFERROR(__xludf.DUMMYFUNCTION("""COMPUTED_VALUE"""),"")</f>
        <v/>
      </c>
      <c r="C34" s="55" t="str">
        <f>IFERROR(__xludf.DUMMYFUNCTION("""COMPUTED_VALUE"""),"")</f>
        <v/>
      </c>
      <c r="D34" s="55" t="str">
        <f>IFERROR(__xludf.DUMMYFUNCTION("""COMPUTED_VALUE"""),"")</f>
        <v/>
      </c>
      <c r="E34" s="55" t="str">
        <f>IFERROR(__xludf.DUMMYFUNCTION("""COMPUTED_VALUE"""),"Baseline")</f>
        <v>Baseline</v>
      </c>
      <c r="F34" s="55" t="str">
        <f>IFERROR(__xludf.DUMMYFUNCTION("""COMPUTED_VALUE"""),"")</f>
        <v/>
      </c>
      <c r="G34" s="55" t="str">
        <f>IFERROR(__xludf.DUMMYFUNCTION("""COMPUTED_VALUE"""),"Robert Lewis")</f>
        <v>Robert Lewis</v>
      </c>
      <c r="H34" s="55" t="str">
        <f>IFERROR(__xludf.DUMMYFUNCTION("""COMPUTED_VALUE"""),"rglewis@uci.edu")</f>
        <v>rglewis@uci.edu</v>
      </c>
      <c r="I34" s="55" t="str">
        <f>IFERROR(__xludf.DUMMYFUNCTION("""COMPUTED_VALUE"""),"Graduate Student")</f>
        <v>Graduate Student</v>
      </c>
      <c r="J34" s="55"/>
      <c r="K34" s="55"/>
      <c r="L34" s="55"/>
      <c r="M34" s="55"/>
      <c r="N34" s="55"/>
      <c r="O34" s="55"/>
      <c r="P34" s="55"/>
      <c r="Q34" s="55"/>
      <c r="R34" s="55"/>
      <c r="S34" s="55"/>
      <c r="T34" s="55"/>
      <c r="U34" s="55"/>
      <c r="V34" s="55"/>
      <c r="W34" s="55"/>
      <c r="X34" s="55"/>
      <c r="Y34" s="55"/>
      <c r="Z34" s="55"/>
    </row>
    <row r="35">
      <c r="A35" s="55" t="str">
        <f>IFERROR(__xludf.DUMMYFUNCTION("""COMPUTED_VALUE"""),"Contacted")</f>
        <v>Contacted</v>
      </c>
      <c r="B35" s="55" t="str">
        <f>IFERROR(__xludf.DUMMYFUNCTION("""COMPUTED_VALUE"""),"")</f>
        <v/>
      </c>
      <c r="C35" s="55" t="str">
        <f>IFERROR(__xludf.DUMMYFUNCTION("""COMPUTED_VALUE"""),"")</f>
        <v/>
      </c>
      <c r="D35" s="55" t="str">
        <f>IFERROR(__xludf.DUMMYFUNCTION("""COMPUTED_VALUE"""),"")</f>
        <v/>
      </c>
      <c r="E35" s="55" t="str">
        <f>IFERROR(__xludf.DUMMYFUNCTION("""COMPUTED_VALUE"""),"Baseline")</f>
        <v>Baseline</v>
      </c>
      <c r="F35" s="55" t="str">
        <f>IFERROR(__xludf.DUMMYFUNCTION("""COMPUTED_VALUE"""),"")</f>
        <v/>
      </c>
      <c r="G35" s="55" t="str">
        <f>IFERROR(__xludf.DUMMYFUNCTION("""COMPUTED_VALUE"""),"Vira Lamtieva")</f>
        <v>Vira Lamtieva</v>
      </c>
      <c r="H35" s="55" t="str">
        <f>IFERROR(__xludf.DUMMYFUNCTION("""COMPUTED_VALUE"""),"lamteva.vera@gmail.com")</f>
        <v>lamteva.vera@gmail.com</v>
      </c>
      <c r="I35" s="55" t="str">
        <f>IFERROR(__xludf.DUMMYFUNCTION("""COMPUTED_VALUE"""),"Clinical laboratory geneticist")</f>
        <v>Clinical laboratory geneticist</v>
      </c>
      <c r="J35" s="55"/>
      <c r="K35" s="55"/>
      <c r="L35" s="55"/>
      <c r="M35" s="55"/>
      <c r="N35" s="55"/>
      <c r="O35" s="55"/>
      <c r="P35" s="55"/>
      <c r="Q35" s="55"/>
      <c r="R35" s="55"/>
      <c r="S35" s="55"/>
      <c r="T35" s="55"/>
      <c r="U35" s="55"/>
      <c r="V35" s="55"/>
      <c r="W35" s="55"/>
      <c r="X35" s="55"/>
      <c r="Y35" s="55"/>
      <c r="Z35" s="55"/>
    </row>
    <row r="36">
      <c r="A36" s="55" t="str">
        <f>IFERROR(__xludf.DUMMYFUNCTION("""COMPUTED_VALUE"""),"Contacted")</f>
        <v>Contacted</v>
      </c>
      <c r="B36" s="55" t="str">
        <f>IFERROR(__xludf.DUMMYFUNCTION("""COMPUTED_VALUE"""),"")</f>
        <v/>
      </c>
      <c r="C36" s="55" t="str">
        <f>IFERROR(__xludf.DUMMYFUNCTION("""COMPUTED_VALUE"""),"")</f>
        <v/>
      </c>
      <c r="D36" s="55" t="str">
        <f>IFERROR(__xludf.DUMMYFUNCTION("""COMPUTED_VALUE"""),"")</f>
        <v/>
      </c>
      <c r="E36" s="55" t="str">
        <f>IFERROR(__xludf.DUMMYFUNCTION("""COMPUTED_VALUE"""),"Baseline")</f>
        <v>Baseline</v>
      </c>
      <c r="F36" s="55" t="str">
        <f>IFERROR(__xludf.DUMMYFUNCTION("""COMPUTED_VALUE"""),"")</f>
        <v/>
      </c>
      <c r="G36" s="55" t="str">
        <f>IFERROR(__xludf.DUMMYFUNCTION("""COMPUTED_VALUE"""),"Bianca Tesi")</f>
        <v>Bianca Tesi</v>
      </c>
      <c r="H36" s="55" t="str">
        <f>IFERROR(__xludf.DUMMYFUNCTION("""COMPUTED_VALUE"""),"bianca.tesi@sll.se")</f>
        <v>bianca.tesi@sll.se</v>
      </c>
      <c r="I36" s="55" t="str">
        <f>IFERROR(__xludf.DUMMYFUNCTION("""COMPUTED_VALUE"""),"Post Doc/Resident/Fellow (MD and/or PhD)")</f>
        <v>Post Doc/Resident/Fellow (MD and/or PhD)</v>
      </c>
      <c r="J36" s="55"/>
      <c r="K36" s="55"/>
      <c r="L36" s="55"/>
      <c r="M36" s="55"/>
      <c r="N36" s="55"/>
      <c r="O36" s="55"/>
      <c r="P36" s="55"/>
      <c r="Q36" s="55"/>
      <c r="R36" s="55"/>
      <c r="S36" s="55"/>
      <c r="T36" s="55"/>
      <c r="U36" s="55"/>
      <c r="V36" s="55"/>
      <c r="W36" s="55"/>
      <c r="X36" s="55"/>
      <c r="Y36" s="55"/>
      <c r="Z36" s="55"/>
    </row>
    <row r="37">
      <c r="A37" s="55" t="str">
        <f>IFERROR(__xludf.DUMMYFUNCTION("""COMPUTED_VALUE"""),"Contacted")</f>
        <v>Contacted</v>
      </c>
      <c r="B37" s="55" t="str">
        <f>IFERROR(__xludf.DUMMYFUNCTION("""COMPUTED_VALUE"""),"")</f>
        <v/>
      </c>
      <c r="C37" s="94" t="str">
        <f>IFERROR(__xludf.DUMMYFUNCTION("""COMPUTED_VALUE"""),"")</f>
        <v/>
      </c>
      <c r="D37" s="55" t="str">
        <f>IFERROR(__xludf.DUMMYFUNCTION("""COMPUTED_VALUE"""),"")</f>
        <v/>
      </c>
      <c r="E37" s="55" t="str">
        <f>IFERROR(__xludf.DUMMYFUNCTION("""COMPUTED_VALUE"""),"Baseline")</f>
        <v>Baseline</v>
      </c>
      <c r="F37" s="55" t="str">
        <f>IFERROR(__xludf.DUMMYFUNCTION("""COMPUTED_VALUE"""),"")</f>
        <v/>
      </c>
      <c r="G37" s="55" t="str">
        <f>IFERROR(__xludf.DUMMYFUNCTION("""COMPUTED_VALUE"""),"Danielle Mouhlas")</f>
        <v>Danielle Mouhlas</v>
      </c>
      <c r="H37" s="55" t="str">
        <f>IFERROR(__xludf.DUMMYFUNCTION("""COMPUTED_VALUE"""),"danielle.mouhlas@nationwidechildrens.org")</f>
        <v>danielle.mouhlas@nationwidechildrens.org</v>
      </c>
      <c r="I37" s="55" t="str">
        <f>IFERROR(__xludf.DUMMYFUNCTION("""COMPUTED_VALUE"""),"Genetic counselor")</f>
        <v>Genetic counselor</v>
      </c>
      <c r="J37" s="55"/>
      <c r="K37" s="55"/>
      <c r="L37" s="55"/>
      <c r="M37" s="55"/>
      <c r="N37" s="55"/>
      <c r="O37" s="55"/>
      <c r="P37" s="55"/>
      <c r="Q37" s="55"/>
      <c r="R37" s="55"/>
      <c r="S37" s="55"/>
      <c r="T37" s="55"/>
      <c r="U37" s="55"/>
      <c r="V37" s="55"/>
      <c r="W37" s="55"/>
      <c r="X37" s="55"/>
      <c r="Y37" s="55"/>
      <c r="Z37" s="55"/>
    </row>
    <row r="38">
      <c r="A38" s="55" t="str">
        <f>IFERROR(__xludf.DUMMYFUNCTION("""COMPUTED_VALUE"""),"Contacted")</f>
        <v>Contacted</v>
      </c>
      <c r="B38" s="55" t="str">
        <f>IFERROR(__xludf.DUMMYFUNCTION("""COMPUTED_VALUE"""),"")</f>
        <v/>
      </c>
      <c r="C38" s="55" t="str">
        <f>IFERROR(__xludf.DUMMYFUNCTION("""COMPUTED_VALUE"""),"")</f>
        <v/>
      </c>
      <c r="D38" s="55" t="str">
        <f>IFERROR(__xludf.DUMMYFUNCTION("""COMPUTED_VALUE"""),"")</f>
        <v/>
      </c>
      <c r="E38" s="55" t="str">
        <f>IFERROR(__xludf.DUMMYFUNCTION("""COMPUTED_VALUE"""),"Baseline")</f>
        <v>Baseline</v>
      </c>
      <c r="F38" s="55" t="str">
        <f>IFERROR(__xludf.DUMMYFUNCTION("""COMPUTED_VALUE"""),"")</f>
        <v/>
      </c>
      <c r="G38" s="55" t="str">
        <f>IFERROR(__xludf.DUMMYFUNCTION("""COMPUTED_VALUE"""),"Marcela Dias Hanna")</f>
        <v>Marcela Dias Hanna</v>
      </c>
      <c r="H38" s="55" t="str">
        <f>IFERROR(__xludf.DUMMYFUNCTION("""COMPUTED_VALUE"""),"marcelahanna8@gmail.com")</f>
        <v>marcelahanna8@gmail.com</v>
      </c>
      <c r="I38" s="55" t="str">
        <f>IFERROR(__xludf.DUMMYFUNCTION("""COMPUTED_VALUE"""),"Graduate Student")</f>
        <v>Graduate Student</v>
      </c>
      <c r="J38" s="55"/>
      <c r="K38" s="55"/>
      <c r="L38" s="55"/>
      <c r="M38" s="55"/>
      <c r="N38" s="55"/>
      <c r="O38" s="55"/>
      <c r="P38" s="55"/>
      <c r="Q38" s="55"/>
      <c r="R38" s="55"/>
      <c r="S38" s="55"/>
      <c r="T38" s="55"/>
      <c r="U38" s="55"/>
      <c r="V38" s="55"/>
      <c r="W38" s="55"/>
      <c r="X38" s="55"/>
      <c r="Y38" s="55"/>
      <c r="Z38" s="55"/>
    </row>
    <row r="39">
      <c r="A39" s="55" t="str">
        <f>IFERROR(__xludf.DUMMYFUNCTION("""COMPUTED_VALUE"""),"Contacted")</f>
        <v>Contacted</v>
      </c>
      <c r="B39" s="55" t="str">
        <f>IFERROR(__xludf.DUMMYFUNCTION("""COMPUTED_VALUE"""),"")</f>
        <v/>
      </c>
      <c r="C39" s="55" t="str">
        <f>IFERROR(__xludf.DUMMYFUNCTION("""COMPUTED_VALUE"""),"")</f>
        <v/>
      </c>
      <c r="D39" s="55" t="str">
        <f>IFERROR(__xludf.DUMMYFUNCTION("""COMPUTED_VALUE"""),"")</f>
        <v/>
      </c>
      <c r="E39" s="55" t="str">
        <f>IFERROR(__xludf.DUMMYFUNCTION("""COMPUTED_VALUE"""),"Baseline")</f>
        <v>Baseline</v>
      </c>
      <c r="F39" s="55" t="str">
        <f>IFERROR(__xludf.DUMMYFUNCTION("""COMPUTED_VALUE"""),"")</f>
        <v/>
      </c>
      <c r="G39" s="55" t="str">
        <f>IFERROR(__xludf.DUMMYFUNCTION("""COMPUTED_VALUE"""),"Natalie Hollister")</f>
        <v>Natalie Hollister</v>
      </c>
      <c r="H39" s="55" t="str">
        <f>IFERROR(__xludf.DUMMYFUNCTION("""COMPUTED_VALUE"""),"nsh10@alumni.duke.edu")</f>
        <v>nsh10@alumni.duke.edu</v>
      </c>
      <c r="I39" s="55" t="str">
        <f>IFERROR(__xludf.DUMMYFUNCTION("""COMPUTED_VALUE"""),"Graduate Student")</f>
        <v>Graduate Student</v>
      </c>
      <c r="J39" s="55"/>
      <c r="K39" s="55"/>
      <c r="L39" s="55"/>
      <c r="M39" s="55"/>
      <c r="N39" s="55"/>
      <c r="O39" s="55"/>
      <c r="P39" s="55"/>
      <c r="Q39" s="55"/>
      <c r="R39" s="55"/>
      <c r="S39" s="55"/>
      <c r="T39" s="55"/>
      <c r="U39" s="55"/>
      <c r="V39" s="55"/>
      <c r="W39" s="55"/>
      <c r="X39" s="55"/>
      <c r="Y39" s="55"/>
      <c r="Z39" s="55"/>
    </row>
    <row r="40">
      <c r="A40" s="55" t="str">
        <f>IFERROR(__xludf.DUMMYFUNCTION("""COMPUTED_VALUE"""),"Unassigned")</f>
        <v>Unassigned</v>
      </c>
      <c r="B40" s="55" t="str">
        <f>IFERROR(__xludf.DUMMYFUNCTION("""COMPUTED_VALUE"""),"")</f>
        <v/>
      </c>
      <c r="C40" s="55" t="str">
        <f>IFERROR(__xludf.DUMMYFUNCTION("""COMPUTED_VALUE"""),"")</f>
        <v/>
      </c>
      <c r="D40" s="55" t="str">
        <f>IFERROR(__xludf.DUMMYFUNCTION("""COMPUTED_VALUE"""),"")</f>
        <v/>
      </c>
      <c r="E40" s="55" t="str">
        <f>IFERROR(__xludf.DUMMYFUNCTION("""COMPUTED_VALUE"""),"Gene Disease Validity")</f>
        <v>Gene Disease Validity</v>
      </c>
      <c r="F40" s="55" t="str">
        <f>IFERROR(__xludf.DUMMYFUNCTION("""COMPUTED_VALUE"""),"")</f>
        <v/>
      </c>
      <c r="G40" s="55" t="str">
        <f>IFERROR(__xludf.DUMMYFUNCTION("""COMPUTED_VALUE"""),"Konstantinos Varvagiannis")</f>
        <v>Konstantinos Varvagiannis</v>
      </c>
      <c r="H40" s="55" t="str">
        <f>IFERROR(__xludf.DUMMYFUNCTION("""COMPUTED_VALUE"""),"knsvarv@ath.forthnet.gr")</f>
        <v>knsvarv@ath.forthnet.gr</v>
      </c>
      <c r="I40" s="55" t="str">
        <f>IFERROR(__xludf.DUMMYFUNCTION("""COMPUTED_VALUE"""),"Clinical Medical Geneticist")</f>
        <v>Clinical Medical Geneticist</v>
      </c>
      <c r="J40" s="55"/>
      <c r="K40" s="55"/>
      <c r="L40" s="55"/>
      <c r="M40" s="55"/>
      <c r="N40" s="55"/>
      <c r="O40" s="55"/>
      <c r="P40" s="55"/>
      <c r="Q40" s="55"/>
      <c r="R40" s="55"/>
      <c r="S40" s="55"/>
      <c r="T40" s="55"/>
      <c r="U40" s="55"/>
      <c r="V40" s="55"/>
      <c r="W40" s="55"/>
      <c r="X40" s="55"/>
      <c r="Y40" s="55"/>
      <c r="Z40" s="55"/>
    </row>
    <row r="41">
      <c r="A41" s="55" t="str">
        <f>IFERROR(__xludf.DUMMYFUNCTION("""COMPUTED_VALUE"""),"Assigned")</f>
        <v>Assigned</v>
      </c>
      <c r="B41" s="55" t="str">
        <f>IFERROR(__xludf.DUMMYFUNCTION("""COMPUTED_VALUE"""),"")</f>
        <v/>
      </c>
      <c r="C41" s="55" t="str">
        <f>IFERROR(__xludf.DUMMYFUNCTION("""COMPUTED_VALUE"""),"")</f>
        <v/>
      </c>
      <c r="D41" s="55" t="str">
        <f>IFERROR(__xludf.DUMMYFUNCTION("""COMPUTED_VALUE"""),"")</f>
        <v/>
      </c>
      <c r="E41" s="55" t="str">
        <f>IFERROR(__xludf.DUMMYFUNCTION("""COMPUTED_VALUE"""),"Baseline")</f>
        <v>Baseline</v>
      </c>
      <c r="F41" s="55" t="str">
        <f>IFERROR(__xludf.DUMMYFUNCTION("""COMPUTED_VALUE"""),"")</f>
        <v/>
      </c>
      <c r="G41" s="55" t="str">
        <f>IFERROR(__xludf.DUMMYFUNCTION("""COMPUTED_VALUE"""),"Ernie Hobbs")</f>
        <v>Ernie Hobbs</v>
      </c>
      <c r="H41" s="55" t="str">
        <f>IFERROR(__xludf.DUMMYFUNCTION("""COMPUTED_VALUE"""),"ernie.hobbs@congenica.com")</f>
        <v>ernie.hobbs@congenica.com</v>
      </c>
      <c r="I41" s="55" t="str">
        <f>IFERROR(__xludf.DUMMYFUNCTION("""COMPUTED_VALUE"""),"Citizen Scientist/Patient Advocate")</f>
        <v>Citizen Scientist/Patient Advocate</v>
      </c>
      <c r="J41" s="55"/>
      <c r="K41" s="55"/>
      <c r="L41" s="55"/>
      <c r="M41" s="55"/>
      <c r="N41" s="55"/>
      <c r="O41" s="55"/>
      <c r="P41" s="55"/>
      <c r="Q41" s="55"/>
      <c r="R41" s="55"/>
      <c r="S41" s="55"/>
      <c r="T41" s="55"/>
      <c r="U41" s="55"/>
      <c r="V41" s="55"/>
      <c r="W41" s="55"/>
      <c r="X41" s="55"/>
      <c r="Y41" s="55"/>
      <c r="Z41" s="55"/>
    </row>
    <row r="42">
      <c r="A42" s="55" t="str">
        <f>IFERROR(__xludf.DUMMYFUNCTION("""COMPUTED_VALUE"""),"Contacted")</f>
        <v>Contacted</v>
      </c>
      <c r="B42" s="55" t="str">
        <f>IFERROR(__xludf.DUMMYFUNCTION("""COMPUTED_VALUE"""),"")</f>
        <v/>
      </c>
      <c r="C42" s="55" t="str">
        <f>IFERROR(__xludf.DUMMYFUNCTION("""COMPUTED_VALUE"""),"")</f>
        <v/>
      </c>
      <c r="D42" s="55" t="str">
        <f>IFERROR(__xludf.DUMMYFUNCTION("""COMPUTED_VALUE"""),"")</f>
        <v/>
      </c>
      <c r="E42" s="55" t="str">
        <f>IFERROR(__xludf.DUMMYFUNCTION("""COMPUTED_VALUE"""),"Baseline")</f>
        <v>Baseline</v>
      </c>
      <c r="F42" s="55" t="str">
        <f>IFERROR(__xludf.DUMMYFUNCTION("""COMPUTED_VALUE"""),"")</f>
        <v/>
      </c>
      <c r="G42" s="55" t="str">
        <f>IFERROR(__xludf.DUMMYFUNCTION("""COMPUTED_VALUE"""),"Sandy Au")</f>
        <v>Sandy Au</v>
      </c>
      <c r="H42" s="55" t="str">
        <f>IFERROR(__xludf.DUMMYFUNCTION("""COMPUTED_VALUE"""),"alkuen@hku.hk")</f>
        <v>alkuen@hku.hk</v>
      </c>
      <c r="I42" s="55" t="str">
        <f>IFERROR(__xludf.DUMMYFUNCTION("""COMPUTED_VALUE"""),"Scientific Researcher")</f>
        <v>Scientific Researcher</v>
      </c>
      <c r="J42" s="55"/>
      <c r="K42" s="55"/>
      <c r="L42" s="55"/>
      <c r="M42" s="55"/>
      <c r="N42" s="55"/>
      <c r="O42" s="55"/>
      <c r="P42" s="55"/>
      <c r="Q42" s="55"/>
      <c r="R42" s="55"/>
      <c r="S42" s="55"/>
      <c r="T42" s="55"/>
      <c r="U42" s="55"/>
      <c r="V42" s="55"/>
      <c r="W42" s="55"/>
      <c r="X42" s="55"/>
      <c r="Y42" s="55"/>
      <c r="Z42" s="55"/>
    </row>
    <row r="43">
      <c r="A43" s="55" t="str">
        <f>IFERROR(__xludf.DUMMYFUNCTION("""COMPUTED_VALUE"""),"Contacted")</f>
        <v>Contacted</v>
      </c>
      <c r="B43" s="94" t="str">
        <f>IFERROR(__xludf.DUMMYFUNCTION("""COMPUTED_VALUE"""),"")</f>
        <v/>
      </c>
      <c r="C43" s="93" t="str">
        <f>IFERROR(__xludf.DUMMYFUNCTION("""COMPUTED_VALUE"""),"")</f>
        <v/>
      </c>
      <c r="D43" s="55" t="str">
        <f>IFERROR(__xludf.DUMMYFUNCTION("""COMPUTED_VALUE"""),"No")</f>
        <v>No</v>
      </c>
      <c r="E43" s="55" t="str">
        <f>IFERROR(__xludf.DUMMYFUNCTION("""COMPUTED_VALUE"""),"Baseline")</f>
        <v>Baseline</v>
      </c>
      <c r="F43" s="55" t="str">
        <f>IFERROR(__xludf.DUMMYFUNCTION("""COMPUTED_VALUE"""),"")</f>
        <v/>
      </c>
      <c r="G43" s="55" t="str">
        <f>IFERROR(__xludf.DUMMYFUNCTION("""COMPUTED_VALUE"""),"Malak Ashraf")</f>
        <v>Malak Ashraf</v>
      </c>
      <c r="H43" s="55" t="str">
        <f>IFERROR(__xludf.DUMMYFUNCTION("""COMPUTED_VALUE"""),"malak.2118144@stemkalubya.moe.edu.eg")</f>
        <v>malak.2118144@stemkalubya.moe.edu.eg</v>
      </c>
      <c r="I43" s="55" t="str">
        <f>IFERROR(__xludf.DUMMYFUNCTION("""COMPUTED_VALUE"""),"High School Student")</f>
        <v>High School Student</v>
      </c>
      <c r="J43" s="55"/>
      <c r="K43" s="55"/>
      <c r="L43" s="55"/>
      <c r="M43" s="55"/>
      <c r="N43" s="55"/>
      <c r="O43" s="55"/>
      <c r="P43" s="55"/>
      <c r="Q43" s="55"/>
      <c r="R43" s="55"/>
      <c r="S43" s="55"/>
      <c r="T43" s="55"/>
      <c r="U43" s="55"/>
      <c r="V43" s="55"/>
      <c r="W43" s="55"/>
      <c r="X43" s="55"/>
      <c r="Y43" s="55"/>
      <c r="Z43" s="55"/>
    </row>
    <row r="44">
      <c r="A44" s="55" t="str">
        <f>IFERROR(__xludf.DUMMYFUNCTION("""COMPUTED_VALUE"""),"Contacted")</f>
        <v>Contacted</v>
      </c>
      <c r="B44" s="55" t="str">
        <f>IFERROR(__xludf.DUMMYFUNCTION("""COMPUTED_VALUE"""),"")</f>
        <v/>
      </c>
      <c r="C44" s="55" t="str">
        <f>IFERROR(__xludf.DUMMYFUNCTION("""COMPUTED_VALUE"""),"")</f>
        <v/>
      </c>
      <c r="D44" s="55" t="str">
        <f>IFERROR(__xludf.DUMMYFUNCTION("""COMPUTED_VALUE"""),"")</f>
        <v/>
      </c>
      <c r="E44" s="55" t="str">
        <f>IFERROR(__xludf.DUMMYFUNCTION("""COMPUTED_VALUE"""),"Baseline")</f>
        <v>Baseline</v>
      </c>
      <c r="F44" s="55" t="str">
        <f>IFERROR(__xludf.DUMMYFUNCTION("""COMPUTED_VALUE"""),"")</f>
        <v/>
      </c>
      <c r="G44" s="55" t="str">
        <f>IFERROR(__xludf.DUMMYFUNCTION("""COMPUTED_VALUE"""),"Helen O'Shea")</f>
        <v>Helen O'Shea</v>
      </c>
      <c r="H44" s="55" t="str">
        <f>IFERROR(__xludf.DUMMYFUNCTION("""COMPUTED_VALUE"""),"helen.oshea@olchc.ie")</f>
        <v>helen.oshea@olchc.ie</v>
      </c>
      <c r="I44" s="55" t="str">
        <f>IFERROR(__xludf.DUMMYFUNCTION("""COMPUTED_VALUE"""),"Clinical laboratory geneticist")</f>
        <v>Clinical laboratory geneticist</v>
      </c>
      <c r="J44" s="55"/>
      <c r="K44" s="55"/>
      <c r="L44" s="55"/>
      <c r="M44" s="55"/>
      <c r="N44" s="55"/>
      <c r="O44" s="55"/>
      <c r="P44" s="55"/>
      <c r="Q44" s="55"/>
      <c r="R44" s="55"/>
      <c r="S44" s="55"/>
      <c r="T44" s="55"/>
      <c r="U44" s="55"/>
      <c r="V44" s="55"/>
      <c r="W44" s="55"/>
      <c r="X44" s="55"/>
      <c r="Y44" s="55"/>
      <c r="Z44" s="55"/>
    </row>
    <row r="45">
      <c r="A45" s="55" t="str">
        <f>IFERROR(__xludf.DUMMYFUNCTION("""COMPUTED_VALUE"""),"Contacted")</f>
        <v>Contacted</v>
      </c>
      <c r="B45" s="55" t="str">
        <f>IFERROR(__xludf.DUMMYFUNCTION("""COMPUTED_VALUE"""),"")</f>
        <v/>
      </c>
      <c r="C45" s="55" t="str">
        <f>IFERROR(__xludf.DUMMYFUNCTION("""COMPUTED_VALUE"""),"")</f>
        <v/>
      </c>
      <c r="D45" s="55" t="str">
        <f>IFERROR(__xludf.DUMMYFUNCTION("""COMPUTED_VALUE"""),"")</f>
        <v/>
      </c>
      <c r="E45" s="55" t="str">
        <f>IFERROR(__xludf.DUMMYFUNCTION("""COMPUTED_VALUE"""),"Baseline")</f>
        <v>Baseline</v>
      </c>
      <c r="F45" s="55" t="str">
        <f>IFERROR(__xludf.DUMMYFUNCTION("""COMPUTED_VALUE"""),"")</f>
        <v/>
      </c>
      <c r="G45" s="55" t="str">
        <f>IFERROR(__xludf.DUMMYFUNCTION("""COMPUTED_VALUE"""),"Panos Sergouniotis")</f>
        <v>Panos Sergouniotis</v>
      </c>
      <c r="H45" s="55" t="str">
        <f>IFERROR(__xludf.DUMMYFUNCTION("""COMPUTED_VALUE"""),"panagiotis.sergouniotis@manchester.ac.uk")</f>
        <v>panagiotis.sergouniotis@manchester.ac.uk</v>
      </c>
      <c r="I45" s="55" t="str">
        <f>IFERROR(__xludf.DUMMYFUNCTION("""COMPUTED_VALUE"""),"I am a qualified Ophthalmologist (FEBO, FRCOphth) with an interest in Ophtalmic Genetics")</f>
        <v>I am a qualified Ophthalmologist (FEBO, FRCOphth) with an interest in Ophtalmic Genetics</v>
      </c>
      <c r="J45" s="55"/>
      <c r="K45" s="55"/>
      <c r="L45" s="55"/>
      <c r="M45" s="55"/>
      <c r="N45" s="55"/>
      <c r="O45" s="55"/>
      <c r="P45" s="55"/>
      <c r="Q45" s="55"/>
      <c r="R45" s="55"/>
      <c r="S45" s="55"/>
      <c r="T45" s="55"/>
      <c r="U45" s="55"/>
      <c r="V45" s="55"/>
      <c r="W45" s="55"/>
      <c r="X45" s="55"/>
      <c r="Y45" s="55"/>
      <c r="Z45" s="55"/>
    </row>
    <row r="46">
      <c r="A46" s="55" t="str">
        <f>IFERROR(__xludf.DUMMYFUNCTION("""COMPUTED_VALUE"""),"Contacted")</f>
        <v>Contacted</v>
      </c>
      <c r="B46" s="55" t="str">
        <f>IFERROR(__xludf.DUMMYFUNCTION("""COMPUTED_VALUE"""),"")</f>
        <v/>
      </c>
      <c r="C46" s="55" t="str">
        <f>IFERROR(__xludf.DUMMYFUNCTION("""COMPUTED_VALUE"""),"")</f>
        <v/>
      </c>
      <c r="D46" s="55" t="str">
        <f>IFERROR(__xludf.DUMMYFUNCTION("""COMPUTED_VALUE"""),"")</f>
        <v/>
      </c>
      <c r="E46" s="55" t="str">
        <f>IFERROR(__xludf.DUMMYFUNCTION("""COMPUTED_VALUE"""),"Baseline")</f>
        <v>Baseline</v>
      </c>
      <c r="F46" s="55" t="str">
        <f>IFERROR(__xludf.DUMMYFUNCTION("""COMPUTED_VALUE"""),"")</f>
        <v/>
      </c>
      <c r="G46" s="55" t="str">
        <f>IFERROR(__xludf.DUMMYFUNCTION("""COMPUTED_VALUE"""),"Sarah Payne ")</f>
        <v>Sarah Payne </v>
      </c>
      <c r="H46" s="55" t="str">
        <f>IFERROR(__xludf.DUMMYFUNCTION("""COMPUTED_VALUE"""),"sarahhale79@gmail.com")</f>
        <v>sarahhale79@gmail.com</v>
      </c>
      <c r="I46" s="55" t="str">
        <f>IFERROR(__xludf.DUMMYFUNCTION("""COMPUTED_VALUE"""),"Female family with unknown genetic disorder ")</f>
        <v>Female family with unknown genetic disorder </v>
      </c>
      <c r="J46" s="55"/>
      <c r="K46" s="55"/>
      <c r="L46" s="55"/>
      <c r="M46" s="55"/>
      <c r="N46" s="55"/>
      <c r="O46" s="55"/>
      <c r="P46" s="55"/>
      <c r="Q46" s="55"/>
      <c r="R46" s="55"/>
      <c r="S46" s="55"/>
      <c r="T46" s="55"/>
      <c r="U46" s="55"/>
      <c r="V46" s="55"/>
      <c r="W46" s="55"/>
      <c r="X46" s="55"/>
      <c r="Y46" s="55"/>
      <c r="Z46" s="55"/>
    </row>
    <row r="47">
      <c r="A47" s="55" t="str">
        <f>IFERROR(__xludf.DUMMYFUNCTION("""COMPUTED_VALUE"""),"Contacted")</f>
        <v>Contacted</v>
      </c>
      <c r="B47" s="55" t="str">
        <f>IFERROR(__xludf.DUMMYFUNCTION("""COMPUTED_VALUE"""),"")</f>
        <v/>
      </c>
      <c r="C47" s="55" t="str">
        <f>IFERROR(__xludf.DUMMYFUNCTION("""COMPUTED_VALUE"""),"")</f>
        <v/>
      </c>
      <c r="D47" s="55" t="str">
        <f>IFERROR(__xludf.DUMMYFUNCTION("""COMPUTED_VALUE"""),"")</f>
        <v/>
      </c>
      <c r="E47" s="55" t="str">
        <f>IFERROR(__xludf.DUMMYFUNCTION("""COMPUTED_VALUE"""),"Baseline")</f>
        <v>Baseline</v>
      </c>
      <c r="F47" s="55" t="str">
        <f>IFERROR(__xludf.DUMMYFUNCTION("""COMPUTED_VALUE"""),"")</f>
        <v/>
      </c>
      <c r="G47" s="55" t="str">
        <f>IFERROR(__xludf.DUMMYFUNCTION("""COMPUTED_VALUE"""),"Pradeep Varathan")</f>
        <v>Pradeep Varathan</v>
      </c>
      <c r="H47" s="55" t="str">
        <f>IFERROR(__xludf.DUMMYFUNCTION("""COMPUTED_VALUE"""),"pradluzog@gmail.com")</f>
        <v>pradluzog@gmail.com</v>
      </c>
      <c r="I47" s="55" t="str">
        <f>IFERROR(__xludf.DUMMYFUNCTION("""COMPUTED_VALUE"""),"Graduate Student")</f>
        <v>Graduate Student</v>
      </c>
      <c r="J47" s="55"/>
      <c r="K47" s="55"/>
      <c r="L47" s="55"/>
      <c r="M47" s="55"/>
      <c r="N47" s="55"/>
      <c r="O47" s="55"/>
      <c r="P47" s="55"/>
      <c r="Q47" s="55"/>
      <c r="R47" s="55"/>
      <c r="S47" s="55"/>
      <c r="T47" s="55"/>
      <c r="U47" s="55"/>
      <c r="V47" s="55"/>
      <c r="W47" s="55"/>
      <c r="X47" s="55"/>
      <c r="Y47" s="55"/>
      <c r="Z47" s="55"/>
    </row>
    <row r="48">
      <c r="A48" s="55" t="str">
        <f>IFERROR(__xludf.DUMMYFUNCTION("""COMPUTED_VALUE"""),"Contacted")</f>
        <v>Contacted</v>
      </c>
      <c r="B48" s="55" t="str">
        <f>IFERROR(__xludf.DUMMYFUNCTION("""COMPUTED_VALUE"""),"")</f>
        <v/>
      </c>
      <c r="C48" s="55" t="str">
        <f>IFERROR(__xludf.DUMMYFUNCTION("""COMPUTED_VALUE"""),"")</f>
        <v/>
      </c>
      <c r="D48" s="55" t="str">
        <f>IFERROR(__xludf.DUMMYFUNCTION("""COMPUTED_VALUE"""),"")</f>
        <v/>
      </c>
      <c r="E48" s="55" t="str">
        <f>IFERROR(__xludf.DUMMYFUNCTION("""COMPUTED_VALUE"""),"Baseline")</f>
        <v>Baseline</v>
      </c>
      <c r="F48" s="55" t="str">
        <f>IFERROR(__xludf.DUMMYFUNCTION("""COMPUTED_VALUE"""),"")</f>
        <v/>
      </c>
      <c r="G48" s="55" t="str">
        <f>IFERROR(__xludf.DUMMYFUNCTION("""COMPUTED_VALUE"""),"John Beilby")</f>
        <v>John Beilby</v>
      </c>
      <c r="H48" s="55" t="str">
        <f>IFERROR(__xludf.DUMMYFUNCTION("""COMPUTED_VALUE"""),"John.Beilby@health.wa.gov.au")</f>
        <v>John.Beilby@health.wa.gov.au</v>
      </c>
      <c r="I48" s="55" t="str">
        <f>IFERROR(__xludf.DUMMYFUNCTION("""COMPUTED_VALUE"""),"Clinical laboratory geneticist")</f>
        <v>Clinical laboratory geneticist</v>
      </c>
      <c r="J48" s="55"/>
      <c r="K48" s="55"/>
      <c r="L48" s="55"/>
      <c r="M48" s="55"/>
      <c r="N48" s="55"/>
      <c r="O48" s="55"/>
      <c r="P48" s="55"/>
      <c r="Q48" s="55"/>
      <c r="R48" s="55"/>
      <c r="S48" s="55"/>
      <c r="T48" s="55"/>
      <c r="U48" s="55"/>
      <c r="V48" s="55"/>
      <c r="W48" s="55"/>
      <c r="X48" s="55"/>
      <c r="Y48" s="55"/>
      <c r="Z48" s="55"/>
    </row>
    <row r="49">
      <c r="A49" s="55" t="str">
        <f>IFERROR(__xludf.DUMMYFUNCTION("""COMPUTED_VALUE"""),"Contacted")</f>
        <v>Contacted</v>
      </c>
      <c r="B49" s="55" t="str">
        <f>IFERROR(__xludf.DUMMYFUNCTION("""COMPUTED_VALUE"""),"")</f>
        <v/>
      </c>
      <c r="C49" s="55" t="str">
        <f>IFERROR(__xludf.DUMMYFUNCTION("""COMPUTED_VALUE"""),"")</f>
        <v/>
      </c>
      <c r="D49" s="55" t="str">
        <f>IFERROR(__xludf.DUMMYFUNCTION("""COMPUTED_VALUE"""),"")</f>
        <v/>
      </c>
      <c r="E49" s="55" t="str">
        <f>IFERROR(__xludf.DUMMYFUNCTION("""COMPUTED_VALUE"""),"Baseline")</f>
        <v>Baseline</v>
      </c>
      <c r="F49" s="55" t="str">
        <f>IFERROR(__xludf.DUMMYFUNCTION("""COMPUTED_VALUE"""),"")</f>
        <v/>
      </c>
      <c r="G49" s="55" t="str">
        <f>IFERROR(__xludf.DUMMYFUNCTION("""COMPUTED_VALUE"""),"Hari Subramanian")</f>
        <v>Hari Subramanian</v>
      </c>
      <c r="H49" s="55" t="str">
        <f>IFERROR(__xludf.DUMMYFUNCTION("""COMPUTED_VALUE"""),"hsubramanian@bsd.uchicago.edu")</f>
        <v>hsubramanian@bsd.uchicago.edu</v>
      </c>
      <c r="I49" s="55" t="str">
        <f>IFERROR(__xludf.DUMMYFUNCTION("""COMPUTED_VALUE"""),"Bioinformatician, Clinical Diagnostics Lab")</f>
        <v>Bioinformatician, Clinical Diagnostics Lab</v>
      </c>
      <c r="J49" s="55"/>
      <c r="K49" s="55"/>
      <c r="L49" s="55"/>
      <c r="M49" s="55"/>
      <c r="N49" s="55"/>
      <c r="O49" s="55"/>
      <c r="P49" s="55"/>
      <c r="Q49" s="55"/>
      <c r="R49" s="55"/>
      <c r="S49" s="55"/>
      <c r="T49" s="55"/>
      <c r="U49" s="55"/>
      <c r="V49" s="55"/>
      <c r="W49" s="55"/>
      <c r="X49" s="55"/>
      <c r="Y49" s="55"/>
      <c r="Z49" s="55"/>
    </row>
    <row r="50">
      <c r="A50" s="55" t="str">
        <f>IFERROR(__xludf.DUMMYFUNCTION("""COMPUTED_VALUE"""),"Contacted")</f>
        <v>Contacted</v>
      </c>
      <c r="B50" s="55" t="str">
        <f>IFERROR(__xludf.DUMMYFUNCTION("""COMPUTED_VALUE"""),"")</f>
        <v/>
      </c>
      <c r="C50" s="55" t="str">
        <f>IFERROR(__xludf.DUMMYFUNCTION("""COMPUTED_VALUE"""),"")</f>
        <v/>
      </c>
      <c r="D50" s="55" t="str">
        <f>IFERROR(__xludf.DUMMYFUNCTION("""COMPUTED_VALUE"""),"")</f>
        <v/>
      </c>
      <c r="E50" s="55" t="str">
        <f>IFERROR(__xludf.DUMMYFUNCTION("""COMPUTED_VALUE"""),"Baseline")</f>
        <v>Baseline</v>
      </c>
      <c r="F50" s="55" t="str">
        <f>IFERROR(__xludf.DUMMYFUNCTION("""COMPUTED_VALUE"""),"")</f>
        <v/>
      </c>
      <c r="G50" s="55" t="str">
        <f>IFERROR(__xludf.DUMMYFUNCTION("""COMPUTED_VALUE"""),"Nathaniel Jue")</f>
        <v>Nathaniel Jue</v>
      </c>
      <c r="H50" s="55" t="str">
        <f>IFERROR(__xludf.DUMMYFUNCTION("""COMPUTED_VALUE"""),"njue@csumb.edu")</f>
        <v>njue@csumb.edu</v>
      </c>
      <c r="I50" s="55" t="str">
        <f>IFERROR(__xludf.DUMMYFUNCTION("""COMPUTED_VALUE"""),"Scientific Researcher")</f>
        <v>Scientific Researcher</v>
      </c>
      <c r="J50" s="55"/>
      <c r="K50" s="55"/>
      <c r="L50" s="55"/>
      <c r="M50" s="55"/>
      <c r="N50" s="55"/>
      <c r="O50" s="55"/>
      <c r="P50" s="55"/>
      <c r="Q50" s="55"/>
      <c r="R50" s="55"/>
      <c r="S50" s="55"/>
      <c r="T50" s="55"/>
      <c r="U50" s="55"/>
      <c r="V50" s="55"/>
      <c r="W50" s="55"/>
      <c r="X50" s="55"/>
      <c r="Y50" s="55"/>
      <c r="Z50" s="55"/>
    </row>
    <row r="51">
      <c r="A51" s="55" t="str">
        <f>IFERROR(__xludf.DUMMYFUNCTION("""COMPUTED_VALUE"""),"Contacted")</f>
        <v>Contacted</v>
      </c>
      <c r="B51" s="55" t="str">
        <f>IFERROR(__xludf.DUMMYFUNCTION("""COMPUTED_VALUE"""),"")</f>
        <v/>
      </c>
      <c r="C51" s="55" t="str">
        <f>IFERROR(__xludf.DUMMYFUNCTION("""COMPUTED_VALUE"""),"")</f>
        <v/>
      </c>
      <c r="D51" s="55" t="str">
        <f>IFERROR(__xludf.DUMMYFUNCTION("""COMPUTED_VALUE"""),"")</f>
        <v/>
      </c>
      <c r="E51" s="55" t="str">
        <f>IFERROR(__xludf.DUMMYFUNCTION("""COMPUTED_VALUE"""),"Baseline")</f>
        <v>Baseline</v>
      </c>
      <c r="F51" s="55" t="str">
        <f>IFERROR(__xludf.DUMMYFUNCTION("""COMPUTED_VALUE"""),"")</f>
        <v/>
      </c>
      <c r="G51" s="55" t="str">
        <f>IFERROR(__xludf.DUMMYFUNCTION("""COMPUTED_VALUE"""),"Chris Darnell")</f>
        <v>Chris Darnell</v>
      </c>
      <c r="H51" s="55" t="str">
        <f>IFERROR(__xludf.DUMMYFUNCTION("""COMPUTED_VALUE"""),"chris.darnell@bluewaterdxlab.com")</f>
        <v>chris.darnell@bluewaterdxlab.com</v>
      </c>
      <c r="I51" s="55" t="str">
        <f>IFERROR(__xludf.DUMMYFUNCTION("""COMPUTED_VALUE"""),"Laboratory Technical Supervisor")</f>
        <v>Laboratory Technical Supervisor</v>
      </c>
      <c r="J51" s="55"/>
      <c r="K51" s="55"/>
      <c r="L51" s="55"/>
      <c r="M51" s="55"/>
      <c r="N51" s="55"/>
      <c r="O51" s="55"/>
      <c r="P51" s="55"/>
      <c r="Q51" s="55"/>
      <c r="R51" s="55"/>
      <c r="S51" s="55"/>
      <c r="T51" s="55"/>
      <c r="U51" s="55"/>
      <c r="V51" s="55"/>
      <c r="W51" s="55"/>
      <c r="X51" s="55"/>
      <c r="Y51" s="55"/>
      <c r="Z51" s="55"/>
    </row>
    <row r="52">
      <c r="A52" s="55" t="str">
        <f>IFERROR(__xludf.DUMMYFUNCTION("""COMPUTED_VALUE"""),"Contacted")</f>
        <v>Contacted</v>
      </c>
      <c r="B52" s="55" t="str">
        <f>IFERROR(__xludf.DUMMYFUNCTION("""COMPUTED_VALUE"""),"")</f>
        <v/>
      </c>
      <c r="C52" s="55" t="str">
        <f>IFERROR(__xludf.DUMMYFUNCTION("""COMPUTED_VALUE"""),"")</f>
        <v/>
      </c>
      <c r="D52" s="55" t="str">
        <f>IFERROR(__xludf.DUMMYFUNCTION("""COMPUTED_VALUE"""),"")</f>
        <v/>
      </c>
      <c r="E52" s="55" t="str">
        <f>IFERROR(__xludf.DUMMYFUNCTION("""COMPUTED_VALUE"""),"Baseline")</f>
        <v>Baseline</v>
      </c>
      <c r="F52" s="55" t="str">
        <f>IFERROR(__xludf.DUMMYFUNCTION("""COMPUTED_VALUE"""),"")</f>
        <v/>
      </c>
      <c r="G52" s="55" t="str">
        <f>IFERROR(__xludf.DUMMYFUNCTION("""COMPUTED_VALUE"""),"Alexandra Miller")</f>
        <v>Alexandra Miller</v>
      </c>
      <c r="H52" s="55" t="str">
        <f>IFERROR(__xludf.DUMMYFUNCTION("""COMPUTED_VALUE"""),"miller.alexandra@mayo.edu")</f>
        <v>miller.alexandra@mayo.edu</v>
      </c>
      <c r="I52" s="55" t="str">
        <f>IFERROR(__xludf.DUMMYFUNCTION("""COMPUTED_VALUE"""),"Scientific Researcher")</f>
        <v>Scientific Researcher</v>
      </c>
      <c r="J52" s="55"/>
      <c r="K52" s="55"/>
      <c r="L52" s="55"/>
      <c r="M52" s="55"/>
      <c r="N52" s="55"/>
      <c r="O52" s="55"/>
      <c r="P52" s="55"/>
      <c r="Q52" s="55"/>
      <c r="R52" s="55"/>
      <c r="S52" s="55"/>
      <c r="T52" s="55"/>
      <c r="U52" s="55"/>
      <c r="V52" s="55"/>
      <c r="W52" s="55"/>
      <c r="X52" s="55"/>
      <c r="Y52" s="55"/>
      <c r="Z52" s="55"/>
    </row>
    <row r="53">
      <c r="A53" s="55" t="str">
        <f>IFERROR(__xludf.DUMMYFUNCTION("""COMPUTED_VALUE"""),"Contacted")</f>
        <v>Contacted</v>
      </c>
      <c r="B53" s="55" t="str">
        <f>IFERROR(__xludf.DUMMYFUNCTION("""COMPUTED_VALUE"""),"")</f>
        <v/>
      </c>
      <c r="C53" s="55" t="str">
        <f>IFERROR(__xludf.DUMMYFUNCTION("""COMPUTED_VALUE"""),"")</f>
        <v/>
      </c>
      <c r="D53" s="55" t="str">
        <f>IFERROR(__xludf.DUMMYFUNCTION("""COMPUTED_VALUE"""),"")</f>
        <v/>
      </c>
      <c r="E53" s="55" t="str">
        <f>IFERROR(__xludf.DUMMYFUNCTION("""COMPUTED_VALUE"""),"Baseline")</f>
        <v>Baseline</v>
      </c>
      <c r="F53" s="55" t="str">
        <f>IFERROR(__xludf.DUMMYFUNCTION("""COMPUTED_VALUE"""),"")</f>
        <v/>
      </c>
      <c r="G53" s="55" t="str">
        <f>IFERROR(__xludf.DUMMYFUNCTION("""COMPUTED_VALUE"""),"Carolina Bustamante")</f>
        <v>Carolina Bustamante</v>
      </c>
      <c r="H53" s="55" t="str">
        <f>IFERROR(__xludf.DUMMYFUNCTION("""COMPUTED_VALUE"""),"carolina.bustamante@gmail.com")</f>
        <v>carolina.bustamante@gmail.com</v>
      </c>
      <c r="I53" s="55" t="str">
        <f>IFERROR(__xludf.DUMMYFUNCTION("""COMPUTED_VALUE"""),"Clinical laboratory geneticist")</f>
        <v>Clinical laboratory geneticist</v>
      </c>
      <c r="J53" s="55"/>
      <c r="K53" s="55"/>
      <c r="L53" s="55"/>
      <c r="M53" s="55"/>
      <c r="N53" s="55"/>
      <c r="O53" s="55"/>
      <c r="P53" s="55"/>
      <c r="Q53" s="55"/>
      <c r="R53" s="55"/>
      <c r="S53" s="55"/>
      <c r="T53" s="55"/>
      <c r="U53" s="55"/>
      <c r="V53" s="55"/>
      <c r="W53" s="55"/>
      <c r="X53" s="55"/>
      <c r="Y53" s="55"/>
      <c r="Z53" s="55"/>
    </row>
    <row r="54">
      <c r="A54" s="55" t="str">
        <f>IFERROR(__xludf.DUMMYFUNCTION("""COMPUTED_VALUE"""),"Contacted")</f>
        <v>Contacted</v>
      </c>
      <c r="B54" s="55" t="str">
        <f>IFERROR(__xludf.DUMMYFUNCTION("""COMPUTED_VALUE"""),"")</f>
        <v/>
      </c>
      <c r="C54" s="55" t="str">
        <f>IFERROR(__xludf.DUMMYFUNCTION("""COMPUTED_VALUE"""),"")</f>
        <v/>
      </c>
      <c r="D54" s="55" t="str">
        <f>IFERROR(__xludf.DUMMYFUNCTION("""COMPUTED_VALUE"""),"")</f>
        <v/>
      </c>
      <c r="E54" s="55" t="str">
        <f>IFERROR(__xludf.DUMMYFUNCTION("""COMPUTED_VALUE"""),"Baseline")</f>
        <v>Baseline</v>
      </c>
      <c r="F54" s="55" t="str">
        <f>IFERROR(__xludf.DUMMYFUNCTION("""COMPUTED_VALUE"""),"")</f>
        <v/>
      </c>
      <c r="G54" s="55" t="str">
        <f>IFERROR(__xludf.DUMMYFUNCTION("""COMPUTED_VALUE"""),"Alex Gout")</f>
        <v>Alex Gout</v>
      </c>
      <c r="H54" s="55" t="str">
        <f>IFERROR(__xludf.DUMMYFUNCTION("""COMPUTED_VALUE"""),"alex.gout@stjude.org")</f>
        <v>alex.gout@stjude.org</v>
      </c>
      <c r="I54" s="55" t="str">
        <f>IFERROR(__xludf.DUMMYFUNCTION("""COMPUTED_VALUE"""),"Scientific Researcher")</f>
        <v>Scientific Researcher</v>
      </c>
      <c r="J54" s="55"/>
      <c r="K54" s="55"/>
      <c r="L54" s="55"/>
      <c r="M54" s="55"/>
      <c r="N54" s="55"/>
      <c r="O54" s="55"/>
      <c r="P54" s="55"/>
      <c r="Q54" s="55"/>
      <c r="R54" s="55"/>
      <c r="S54" s="55"/>
      <c r="T54" s="55"/>
      <c r="U54" s="55"/>
      <c r="V54" s="55"/>
      <c r="W54" s="55"/>
      <c r="X54" s="55"/>
      <c r="Y54" s="55"/>
      <c r="Z54" s="55"/>
    </row>
    <row r="55">
      <c r="A55" s="55" t="str">
        <f>IFERROR(__xludf.DUMMYFUNCTION("""COMPUTED_VALUE"""),"Contacted")</f>
        <v>Contacted</v>
      </c>
      <c r="B55" s="55" t="str">
        <f>IFERROR(__xludf.DUMMYFUNCTION("""COMPUTED_VALUE"""),"")</f>
        <v/>
      </c>
      <c r="C55" s="55" t="str">
        <f>IFERROR(__xludf.DUMMYFUNCTION("""COMPUTED_VALUE"""),"")</f>
        <v/>
      </c>
      <c r="D55" s="55" t="str">
        <f>IFERROR(__xludf.DUMMYFUNCTION("""COMPUTED_VALUE"""),"")</f>
        <v/>
      </c>
      <c r="E55" s="55" t="str">
        <f>IFERROR(__xludf.DUMMYFUNCTION("""COMPUTED_VALUE"""),"Baseline")</f>
        <v>Baseline</v>
      </c>
      <c r="F55" s="55" t="str">
        <f>IFERROR(__xludf.DUMMYFUNCTION("""COMPUTED_VALUE"""),"")</f>
        <v/>
      </c>
      <c r="G55" s="55" t="str">
        <f>IFERROR(__xludf.DUMMYFUNCTION("""COMPUTED_VALUE"""),"Kim Phuong Tong")</f>
        <v>Kim Phuong Tong</v>
      </c>
      <c r="H55" s="55" t="str">
        <f>IFERROR(__xludf.DUMMYFUNCTION("""COMPUTED_VALUE"""),"ktongpotter@yahoo.com")</f>
        <v>ktongpotter@yahoo.com</v>
      </c>
      <c r="I55" s="55" t="str">
        <f>IFERROR(__xludf.DUMMYFUNCTION("""COMPUTED_VALUE"""),"Citizen Scientist/Patient Advocate")</f>
        <v>Citizen Scientist/Patient Advocate</v>
      </c>
      <c r="J55" s="55"/>
      <c r="K55" s="55"/>
      <c r="L55" s="55"/>
      <c r="M55" s="55"/>
      <c r="N55" s="55"/>
      <c r="O55" s="55"/>
      <c r="P55" s="55"/>
      <c r="Q55" s="55"/>
      <c r="R55" s="55"/>
      <c r="S55" s="55"/>
      <c r="T55" s="55"/>
      <c r="U55" s="55"/>
      <c r="V55" s="55"/>
      <c r="W55" s="55"/>
      <c r="X55" s="55"/>
      <c r="Y55" s="55"/>
      <c r="Z55" s="55"/>
    </row>
    <row r="56">
      <c r="A56" s="55" t="str">
        <f>IFERROR(__xludf.DUMMYFUNCTION("""COMPUTED_VALUE"""),"Contacted")</f>
        <v>Contacted</v>
      </c>
      <c r="B56" s="55" t="str">
        <f>IFERROR(__xludf.DUMMYFUNCTION("""COMPUTED_VALUE"""),"")</f>
        <v/>
      </c>
      <c r="C56" s="55" t="str">
        <f>IFERROR(__xludf.DUMMYFUNCTION("""COMPUTED_VALUE"""),"")</f>
        <v/>
      </c>
      <c r="D56" s="55" t="str">
        <f>IFERROR(__xludf.DUMMYFUNCTION("""COMPUTED_VALUE"""),"")</f>
        <v/>
      </c>
      <c r="E56" s="55" t="str">
        <f>IFERROR(__xludf.DUMMYFUNCTION("""COMPUTED_VALUE"""),"Baseline")</f>
        <v>Baseline</v>
      </c>
      <c r="F56" s="55" t="str">
        <f>IFERROR(__xludf.DUMMYFUNCTION("""COMPUTED_VALUE"""),"")</f>
        <v/>
      </c>
      <c r="G56" s="55" t="str">
        <f>IFERROR(__xludf.DUMMYFUNCTION("""COMPUTED_VALUE"""),"C. Anwar A. Chahal")</f>
        <v>C. Anwar A. Chahal</v>
      </c>
      <c r="H56" s="55" t="str">
        <f>IFERROR(__xludf.DUMMYFUNCTION("""COMPUTED_VALUE"""),"anwar.chahal@uphs.upenn.edu")</f>
        <v>anwar.chahal@uphs.upenn.edu</v>
      </c>
      <c r="I56" s="55" t="str">
        <f>IFERROR(__xludf.DUMMYFUNCTION("""COMPUTED_VALUE"""),"Clinician Scientist, EP and Inherited CV Diseases, in final year clinical EP Fellowship")</f>
        <v>Clinician Scientist, EP and Inherited CV Diseases, in final year clinical EP Fellowship</v>
      </c>
      <c r="J56" s="55"/>
      <c r="K56" s="55"/>
      <c r="L56" s="55"/>
      <c r="M56" s="55"/>
      <c r="N56" s="55"/>
      <c r="O56" s="55"/>
      <c r="P56" s="55"/>
      <c r="Q56" s="55"/>
      <c r="R56" s="55"/>
      <c r="S56" s="55"/>
      <c r="T56" s="55"/>
      <c r="U56" s="55"/>
      <c r="V56" s="55"/>
      <c r="W56" s="55"/>
      <c r="X56" s="55"/>
      <c r="Y56" s="55"/>
      <c r="Z56" s="55"/>
    </row>
    <row r="57">
      <c r="A57" s="55" t="str">
        <f>IFERROR(__xludf.DUMMYFUNCTION("""COMPUTED_VALUE"""),"Unassigned")</f>
        <v>Unassigned</v>
      </c>
      <c r="B57" s="55" t="str">
        <f>IFERROR(__xludf.DUMMYFUNCTION("""COMPUTED_VALUE"""),"")</f>
        <v/>
      </c>
      <c r="C57" s="55" t="str">
        <f>IFERROR(__xludf.DUMMYFUNCTION("""COMPUTED_VALUE"""),"")</f>
        <v/>
      </c>
      <c r="D57" s="55" t="str">
        <f>IFERROR(__xludf.DUMMYFUNCTION("""COMPUTED_VALUE"""),"")</f>
        <v/>
      </c>
      <c r="E57" s="55" t="str">
        <f>IFERROR(__xludf.DUMMYFUNCTION("""COMPUTED_VALUE"""),"NA")</f>
        <v>NA</v>
      </c>
      <c r="F57" s="55" t="str">
        <f>IFERROR(__xludf.DUMMYFUNCTION("""COMPUTED_VALUE"""),"")</f>
        <v/>
      </c>
      <c r="G57" s="55" t="str">
        <f>IFERROR(__xludf.DUMMYFUNCTION("""COMPUTED_VALUE"""),"Brigette Brown-Kipphut")</f>
        <v>Brigette Brown-Kipphut</v>
      </c>
      <c r="H57" s="55" t="str">
        <f>IFERROR(__xludf.DUMMYFUNCTION("""COMPUTED_VALUE"""),"brigette.kipphut@agilent.com")</f>
        <v>brigette.kipphut@agilent.com</v>
      </c>
      <c r="I57" s="55" t="str">
        <f>IFERROR(__xludf.DUMMYFUNCTION("""COMPUTED_VALUE"""),"Variant Analyst/Scientist - Industry")</f>
        <v>Variant Analyst/Scientist - Industry</v>
      </c>
      <c r="J57" s="55"/>
      <c r="K57" s="55"/>
      <c r="L57" s="55"/>
      <c r="M57" s="55"/>
      <c r="N57" s="55"/>
      <c r="O57" s="55"/>
      <c r="P57" s="55"/>
      <c r="Q57" s="55"/>
      <c r="R57" s="55"/>
      <c r="S57" s="55"/>
      <c r="T57" s="55"/>
      <c r="U57" s="55"/>
      <c r="V57" s="55"/>
      <c r="W57" s="55"/>
      <c r="X57" s="55"/>
      <c r="Y57" s="55"/>
      <c r="Z57" s="55"/>
    </row>
    <row r="58">
      <c r="A58" s="55" t="str">
        <f>IFERROR(__xludf.DUMMYFUNCTION("""COMPUTED_VALUE"""),"Unassigned")</f>
        <v>Unassigned</v>
      </c>
      <c r="B58" s="55" t="str">
        <f>IFERROR(__xludf.DUMMYFUNCTION("""COMPUTED_VALUE"""),"")</f>
        <v/>
      </c>
      <c r="C58" s="55" t="str">
        <f>IFERROR(__xludf.DUMMYFUNCTION("""COMPUTED_VALUE"""),"")</f>
        <v/>
      </c>
      <c r="D58" s="55" t="str">
        <f>IFERROR(__xludf.DUMMYFUNCTION("""COMPUTED_VALUE"""),"")</f>
        <v/>
      </c>
      <c r="E58" s="55" t="str">
        <f>IFERROR(__xludf.DUMMYFUNCTION("""COMPUTED_VALUE"""),"NA")</f>
        <v>NA</v>
      </c>
      <c r="F58" s="55" t="str">
        <f>IFERROR(__xludf.DUMMYFUNCTION("""COMPUTED_VALUE"""),"")</f>
        <v/>
      </c>
      <c r="G58" s="55" t="str">
        <f>IFERROR(__xludf.DUMMYFUNCTION("""COMPUTED_VALUE"""),"Chisato Yamasaki")</f>
        <v>Chisato Yamasaki</v>
      </c>
      <c r="H58" s="55" t="str">
        <f>IFERROR(__xludf.DUMMYFUNCTION("""COMPUTED_VALUE"""),"cyamasak@eth.med.osaka-u.ac.jp")</f>
        <v>cyamasak@eth.med.osaka-u.ac.jp</v>
      </c>
      <c r="I58" s="55" t="str">
        <f>IFERROR(__xludf.DUMMYFUNCTION("""COMPUTED_VALUE"""),"Post Doc/Resident/Fellow (MD and/or PhD)")</f>
        <v>Post Doc/Resident/Fellow (MD and/or PhD)</v>
      </c>
      <c r="J58" s="55"/>
      <c r="K58" s="55"/>
      <c r="L58" s="55"/>
      <c r="M58" s="55"/>
      <c r="N58" s="55"/>
      <c r="O58" s="55"/>
      <c r="P58" s="55"/>
      <c r="Q58" s="55"/>
      <c r="R58" s="55"/>
      <c r="S58" s="55"/>
      <c r="T58" s="55"/>
      <c r="U58" s="55"/>
      <c r="V58" s="55"/>
      <c r="W58" s="55"/>
      <c r="X58" s="55"/>
      <c r="Y58" s="55"/>
      <c r="Z58" s="55"/>
    </row>
    <row r="59">
      <c r="A59" s="55" t="str">
        <f>IFERROR(__xludf.DUMMYFUNCTION("""COMPUTED_VALUE"""),"Unassigned")</f>
        <v>Unassigned</v>
      </c>
      <c r="B59" s="55" t="str">
        <f>IFERROR(__xludf.DUMMYFUNCTION("""COMPUTED_VALUE"""),"")</f>
        <v/>
      </c>
      <c r="C59" s="55" t="str">
        <f>IFERROR(__xludf.DUMMYFUNCTION("""COMPUTED_VALUE"""),"")</f>
        <v/>
      </c>
      <c r="D59" s="55" t="str">
        <f>IFERROR(__xludf.DUMMYFUNCTION("""COMPUTED_VALUE"""),"")</f>
        <v/>
      </c>
      <c r="E59" s="55" t="str">
        <f>IFERROR(__xludf.DUMMYFUNCTION("""COMPUTED_VALUE"""),"NA")</f>
        <v>NA</v>
      </c>
      <c r="F59" s="55" t="str">
        <f>IFERROR(__xludf.DUMMYFUNCTION("""COMPUTED_VALUE"""),"")</f>
        <v/>
      </c>
      <c r="G59" s="55" t="str">
        <f>IFERROR(__xludf.DUMMYFUNCTION("""COMPUTED_VALUE"""),"Patrick Forny")</f>
        <v>Patrick Forny</v>
      </c>
      <c r="H59" s="55" t="str">
        <f>IFERROR(__xludf.DUMMYFUNCTION("""COMPUTED_VALUE"""),"patrick.forny@kispi.uzh.ch")</f>
        <v>patrick.forny@kispi.uzh.ch</v>
      </c>
      <c r="I59" s="55" t="str">
        <f>IFERROR(__xludf.DUMMYFUNCTION("""COMPUTED_VALUE"""),"Post Doc/Resident/Fellow (MD and/or PhD)")</f>
        <v>Post Doc/Resident/Fellow (MD and/or PhD)</v>
      </c>
      <c r="J59" s="55"/>
      <c r="K59" s="55"/>
      <c r="L59" s="55"/>
      <c r="M59" s="55"/>
      <c r="N59" s="55"/>
      <c r="O59" s="55"/>
      <c r="P59" s="55"/>
      <c r="Q59" s="55"/>
      <c r="R59" s="55"/>
      <c r="S59" s="55"/>
      <c r="T59" s="55"/>
      <c r="U59" s="55"/>
      <c r="V59" s="55"/>
      <c r="W59" s="55"/>
      <c r="X59" s="55"/>
      <c r="Y59" s="55"/>
      <c r="Z59" s="55"/>
    </row>
    <row r="60">
      <c r="A60" s="55" t="str">
        <f>IFERROR(__xludf.DUMMYFUNCTION("""COMPUTED_VALUE"""),"Unassigned")</f>
        <v>Unassigned</v>
      </c>
      <c r="B60" s="55" t="str">
        <f>IFERROR(__xludf.DUMMYFUNCTION("""COMPUTED_VALUE"""),"")</f>
        <v/>
      </c>
      <c r="C60" s="55" t="str">
        <f>IFERROR(__xludf.DUMMYFUNCTION("""COMPUTED_VALUE"""),"")</f>
        <v/>
      </c>
      <c r="D60" s="55" t="str">
        <f>IFERROR(__xludf.DUMMYFUNCTION("""COMPUTED_VALUE"""),"")</f>
        <v/>
      </c>
      <c r="E60" s="55" t="str">
        <f>IFERROR(__xludf.DUMMYFUNCTION("""COMPUTED_VALUE"""),"NA")</f>
        <v>NA</v>
      </c>
      <c r="F60" s="55" t="str">
        <f>IFERROR(__xludf.DUMMYFUNCTION("""COMPUTED_VALUE"""),"")</f>
        <v/>
      </c>
      <c r="G60" s="55" t="str">
        <f>IFERROR(__xludf.DUMMYFUNCTION("""COMPUTED_VALUE"""),"Ximena Bonilla")</f>
        <v>Ximena Bonilla</v>
      </c>
      <c r="H60" s="55" t="str">
        <f>IFERROR(__xludf.DUMMYFUNCTION("""COMPUTED_VALUE"""),"ximena.bonilla@inf.ethz.ch")</f>
        <v>ximena.bonilla@inf.ethz.ch</v>
      </c>
      <c r="I60" s="55" t="str">
        <f>IFERROR(__xludf.DUMMYFUNCTION("""COMPUTED_VALUE"""),"Post Doc/Resident/Fellow (MD and/or PhD)")</f>
        <v>Post Doc/Resident/Fellow (MD and/or PhD)</v>
      </c>
      <c r="J60" s="55"/>
      <c r="K60" s="55"/>
      <c r="L60" s="55"/>
      <c r="M60" s="55"/>
      <c r="N60" s="55"/>
      <c r="O60" s="55"/>
      <c r="P60" s="55"/>
      <c r="Q60" s="55"/>
      <c r="R60" s="55"/>
      <c r="S60" s="55"/>
      <c r="T60" s="55"/>
      <c r="U60" s="55"/>
      <c r="V60" s="55"/>
      <c r="W60" s="55"/>
      <c r="X60" s="55"/>
      <c r="Y60" s="55"/>
      <c r="Z60" s="55"/>
    </row>
    <row r="61">
      <c r="A61" s="55" t="str">
        <f>IFERROR(__xludf.DUMMYFUNCTION("""COMPUTED_VALUE"""),"Unassigned")</f>
        <v>Unassigned</v>
      </c>
      <c r="B61" s="55" t="str">
        <f>IFERROR(__xludf.DUMMYFUNCTION("""COMPUTED_VALUE"""),"")</f>
        <v/>
      </c>
      <c r="C61" s="55" t="str">
        <f>IFERROR(__xludf.DUMMYFUNCTION("""COMPUTED_VALUE"""),"")</f>
        <v/>
      </c>
      <c r="D61" s="55" t="str">
        <f>IFERROR(__xludf.DUMMYFUNCTION("""COMPUTED_VALUE"""),"")</f>
        <v/>
      </c>
      <c r="E61" s="55" t="str">
        <f>IFERROR(__xludf.DUMMYFUNCTION("""COMPUTED_VALUE"""),"NA")</f>
        <v>NA</v>
      </c>
      <c r="F61" s="55" t="str">
        <f>IFERROR(__xludf.DUMMYFUNCTION("""COMPUTED_VALUE"""),"")</f>
        <v/>
      </c>
      <c r="G61" s="55" t="str">
        <f>IFERROR(__xludf.DUMMYFUNCTION("""COMPUTED_VALUE"""),"Lise Graversen")</f>
        <v>Lise Graversen</v>
      </c>
      <c r="H61" s="55" t="str">
        <f>IFERROR(__xludf.DUMMYFUNCTION("""COMPUTED_VALUE"""),"lisega@rm.dk")</f>
        <v>lisega@rm.dk</v>
      </c>
      <c r="I61" s="55" t="str">
        <f>IFERROR(__xludf.DUMMYFUNCTION("""COMPUTED_VALUE"""),"Clinical Medical Geneticist")</f>
        <v>Clinical Medical Geneticist</v>
      </c>
      <c r="J61" s="55"/>
      <c r="K61" s="55"/>
      <c r="L61" s="55"/>
      <c r="M61" s="55"/>
      <c r="N61" s="55"/>
      <c r="O61" s="55"/>
      <c r="P61" s="55"/>
      <c r="Q61" s="55"/>
      <c r="R61" s="55"/>
      <c r="S61" s="55"/>
      <c r="T61" s="55"/>
      <c r="U61" s="55"/>
      <c r="V61" s="55"/>
      <c r="W61" s="55"/>
      <c r="X61" s="55"/>
      <c r="Y61" s="55"/>
      <c r="Z61" s="55"/>
    </row>
    <row r="62">
      <c r="A62" s="55" t="str">
        <f>IFERROR(__xludf.DUMMYFUNCTION("""COMPUTED_VALUE"""),"Unassigned")</f>
        <v>Unassigned</v>
      </c>
      <c r="B62" s="55" t="str">
        <f>IFERROR(__xludf.DUMMYFUNCTION("""COMPUTED_VALUE"""),"")</f>
        <v/>
      </c>
      <c r="C62" s="55" t="str">
        <f>IFERROR(__xludf.DUMMYFUNCTION("""COMPUTED_VALUE"""),"")</f>
        <v/>
      </c>
      <c r="D62" s="55" t="str">
        <f>IFERROR(__xludf.DUMMYFUNCTION("""COMPUTED_VALUE"""),"")</f>
        <v/>
      </c>
      <c r="E62" s="55" t="str">
        <f>IFERROR(__xludf.DUMMYFUNCTION("""COMPUTED_VALUE"""),"NA")</f>
        <v>NA</v>
      </c>
      <c r="F62" s="55" t="str">
        <f>IFERROR(__xludf.DUMMYFUNCTION("""COMPUTED_VALUE"""),"")</f>
        <v/>
      </c>
      <c r="G62" s="55" t="str">
        <f>IFERROR(__xludf.DUMMYFUNCTION("""COMPUTED_VALUE"""),"Ke Yu")</f>
        <v>Ke Yu</v>
      </c>
      <c r="H62" s="55" t="str">
        <f>IFERROR(__xludf.DUMMYFUNCTION("""COMPUTED_VALUE"""),"yukefg@163.com")</f>
        <v>yukefg@163.com</v>
      </c>
      <c r="I62" s="55" t="str">
        <f>IFERROR(__xludf.DUMMYFUNCTION("""COMPUTED_VALUE"""),"Clinical laboratory geneticist")</f>
        <v>Clinical laboratory geneticist</v>
      </c>
      <c r="J62" s="55"/>
      <c r="K62" s="55"/>
      <c r="L62" s="55"/>
      <c r="M62" s="55"/>
      <c r="N62" s="55"/>
      <c r="O62" s="55"/>
      <c r="P62" s="55"/>
      <c r="Q62" s="55"/>
      <c r="R62" s="55"/>
      <c r="S62" s="55"/>
      <c r="T62" s="55"/>
      <c r="U62" s="55"/>
      <c r="V62" s="55"/>
      <c r="W62" s="55"/>
      <c r="X62" s="55"/>
      <c r="Y62" s="55"/>
      <c r="Z62" s="55"/>
    </row>
    <row r="63">
      <c r="A63" s="55" t="str">
        <f>IFERROR(__xludf.DUMMYFUNCTION("""COMPUTED_VALUE"""),"Unassigned")</f>
        <v>Unassigned</v>
      </c>
      <c r="B63" s="55" t="str">
        <f>IFERROR(__xludf.DUMMYFUNCTION("""COMPUTED_VALUE"""),"")</f>
        <v/>
      </c>
      <c r="C63" s="55" t="str">
        <f>IFERROR(__xludf.DUMMYFUNCTION("""COMPUTED_VALUE"""),"")</f>
        <v/>
      </c>
      <c r="D63" s="55" t="str">
        <f>IFERROR(__xludf.DUMMYFUNCTION("""COMPUTED_VALUE"""),"")</f>
        <v/>
      </c>
      <c r="E63" s="55" t="str">
        <f>IFERROR(__xludf.DUMMYFUNCTION("""COMPUTED_VALUE"""),"NA")</f>
        <v>NA</v>
      </c>
      <c r="F63" s="55" t="str">
        <f>IFERROR(__xludf.DUMMYFUNCTION("""COMPUTED_VALUE"""),"")</f>
        <v/>
      </c>
      <c r="G63" s="55" t="str">
        <f>IFERROR(__xludf.DUMMYFUNCTION("""COMPUTED_VALUE"""),"JELENA BREZO")</f>
        <v>JELENA BREZO</v>
      </c>
      <c r="H63" s="55" t="str">
        <f>IFERROR(__xludf.DUMMYFUNCTION("""COMPUTED_VALUE"""),"dnalphabet@gmail.com")</f>
        <v>dnalphabet@gmail.com</v>
      </c>
      <c r="I63" s="55" t="str">
        <f>IFERROR(__xludf.DUMMYFUNCTION("""COMPUTED_VALUE"""),"Clinical laboratory geneticist")</f>
        <v>Clinical laboratory geneticist</v>
      </c>
      <c r="J63" s="55"/>
      <c r="K63" s="55"/>
      <c r="L63" s="55"/>
      <c r="M63" s="55"/>
      <c r="N63" s="55"/>
      <c r="O63" s="55"/>
      <c r="P63" s="55"/>
      <c r="Q63" s="55"/>
      <c r="R63" s="55"/>
      <c r="S63" s="55"/>
      <c r="T63" s="55"/>
      <c r="U63" s="55"/>
      <c r="V63" s="55"/>
      <c r="W63" s="55"/>
      <c r="X63" s="55"/>
      <c r="Y63" s="55"/>
      <c r="Z63" s="55"/>
    </row>
    <row r="64">
      <c r="A64" s="55" t="str">
        <f>IFERROR(__xludf.DUMMYFUNCTION("""COMPUTED_VALUE"""),"Unassigned")</f>
        <v>Unassigned</v>
      </c>
      <c r="B64" s="55" t="str">
        <f>IFERROR(__xludf.DUMMYFUNCTION("""COMPUTED_VALUE"""),"")</f>
        <v/>
      </c>
      <c r="C64" s="55" t="str">
        <f>IFERROR(__xludf.DUMMYFUNCTION("""COMPUTED_VALUE"""),"")</f>
        <v/>
      </c>
      <c r="D64" s="55" t="str">
        <f>IFERROR(__xludf.DUMMYFUNCTION("""COMPUTED_VALUE"""),"")</f>
        <v/>
      </c>
      <c r="E64" s="55" t="str">
        <f>IFERROR(__xludf.DUMMYFUNCTION("""COMPUTED_VALUE"""),"NA")</f>
        <v>NA</v>
      </c>
      <c r="F64" s="55" t="str">
        <f>IFERROR(__xludf.DUMMYFUNCTION("""COMPUTED_VALUE"""),"")</f>
        <v/>
      </c>
      <c r="G64" s="55" t="str">
        <f>IFERROR(__xludf.DUMMYFUNCTION("""COMPUTED_VALUE"""),"Punithavathi Sundaramurthy")</f>
        <v>Punithavathi Sundaramurthy</v>
      </c>
      <c r="H64" s="55" t="str">
        <f>IFERROR(__xludf.DUMMYFUNCTION("""COMPUTED_VALUE"""),"PunitSundar95@gmail.com")</f>
        <v>PunitSundar95@gmail.com</v>
      </c>
      <c r="I64" s="55" t="str">
        <f>IFERROR(__xludf.DUMMYFUNCTION("""COMPUTED_VALUE"""),"Graduate Student")</f>
        <v>Graduate Student</v>
      </c>
      <c r="J64" s="55"/>
      <c r="K64" s="55"/>
      <c r="L64" s="55"/>
      <c r="M64" s="55"/>
      <c r="N64" s="55"/>
      <c r="O64" s="55"/>
      <c r="P64" s="55"/>
      <c r="Q64" s="55"/>
      <c r="R64" s="55"/>
      <c r="S64" s="55"/>
      <c r="T64" s="55"/>
      <c r="U64" s="55"/>
      <c r="V64" s="55"/>
      <c r="W64" s="55"/>
      <c r="X64" s="55"/>
      <c r="Y64" s="55"/>
      <c r="Z64" s="55"/>
    </row>
    <row r="65">
      <c r="A65" s="55" t="str">
        <f>IFERROR(__xludf.DUMMYFUNCTION("""COMPUTED_VALUE"""),"Unassigned")</f>
        <v>Unassigned</v>
      </c>
      <c r="B65" s="55" t="str">
        <f>IFERROR(__xludf.DUMMYFUNCTION("""COMPUTED_VALUE"""),"")</f>
        <v/>
      </c>
      <c r="C65" s="55" t="str">
        <f>IFERROR(__xludf.DUMMYFUNCTION("""COMPUTED_VALUE"""),"")</f>
        <v/>
      </c>
      <c r="D65" s="55" t="str">
        <f>IFERROR(__xludf.DUMMYFUNCTION("""COMPUTED_VALUE"""),"")</f>
        <v/>
      </c>
      <c r="E65" s="55" t="str">
        <f>IFERROR(__xludf.DUMMYFUNCTION("""COMPUTED_VALUE"""),"NA")</f>
        <v>NA</v>
      </c>
      <c r="F65" s="55" t="str">
        <f>IFERROR(__xludf.DUMMYFUNCTION("""COMPUTED_VALUE"""),"")</f>
        <v/>
      </c>
      <c r="G65" s="55" t="str">
        <f>IFERROR(__xludf.DUMMYFUNCTION("""COMPUTED_VALUE"""),"Madhulatha Pantrangi")</f>
        <v>Madhulatha Pantrangi</v>
      </c>
      <c r="H65" s="55" t="str">
        <f>IFERROR(__xludf.DUMMYFUNCTION("""COMPUTED_VALUE"""),"madhu.pantrangi@preventiongenetics.com")</f>
        <v>madhu.pantrangi@preventiongenetics.com</v>
      </c>
      <c r="I65" s="55" t="str">
        <f>IFERROR(__xludf.DUMMYFUNCTION("""COMPUTED_VALUE"""),"Clinical laboratory geneticist")</f>
        <v>Clinical laboratory geneticist</v>
      </c>
      <c r="J65" s="55"/>
      <c r="K65" s="55"/>
      <c r="L65" s="55"/>
      <c r="M65" s="55"/>
      <c r="N65" s="55"/>
      <c r="O65" s="55"/>
      <c r="P65" s="55"/>
      <c r="Q65" s="55"/>
      <c r="R65" s="55"/>
      <c r="S65" s="55"/>
      <c r="T65" s="55"/>
      <c r="U65" s="55"/>
      <c r="V65" s="55"/>
      <c r="W65" s="55"/>
      <c r="X65" s="55"/>
      <c r="Y65" s="55"/>
      <c r="Z65" s="55"/>
    </row>
    <row r="66">
      <c r="A66" s="55" t="str">
        <f>IFERROR(__xludf.DUMMYFUNCTION("""COMPUTED_VALUE"""),"Unassigned")</f>
        <v>Unassigned</v>
      </c>
      <c r="B66" s="55" t="str">
        <f>IFERROR(__xludf.DUMMYFUNCTION("""COMPUTED_VALUE"""),"")</f>
        <v/>
      </c>
      <c r="C66" s="55" t="str">
        <f>IFERROR(__xludf.DUMMYFUNCTION("""COMPUTED_VALUE"""),"")</f>
        <v/>
      </c>
      <c r="D66" s="55" t="str">
        <f>IFERROR(__xludf.DUMMYFUNCTION("""COMPUTED_VALUE"""),"")</f>
        <v/>
      </c>
      <c r="E66" s="55" t="str">
        <f>IFERROR(__xludf.DUMMYFUNCTION("""COMPUTED_VALUE"""),"NA")</f>
        <v>NA</v>
      </c>
      <c r="F66" s="55" t="str">
        <f>IFERROR(__xludf.DUMMYFUNCTION("""COMPUTED_VALUE"""),"")</f>
        <v/>
      </c>
      <c r="G66" s="55" t="str">
        <f>IFERROR(__xludf.DUMMYFUNCTION("""COMPUTED_VALUE"""),"rekha aaron")</f>
        <v>rekha aaron</v>
      </c>
      <c r="H66" s="55" t="str">
        <f>IFERROR(__xludf.DUMMYFUNCTION("""COMPUTED_VALUE"""),"rekha.a@cmcvellore.ac.in")</f>
        <v>rekha.a@cmcvellore.ac.in</v>
      </c>
      <c r="I66" s="55" t="str">
        <f>IFERROR(__xludf.DUMMYFUNCTION("""COMPUTED_VALUE"""),"Clinical laboratory geneticist")</f>
        <v>Clinical laboratory geneticist</v>
      </c>
      <c r="J66" s="55"/>
      <c r="K66" s="55"/>
      <c r="L66" s="55"/>
      <c r="M66" s="55"/>
      <c r="N66" s="55"/>
      <c r="O66" s="55"/>
      <c r="P66" s="55"/>
      <c r="Q66" s="55"/>
      <c r="R66" s="55"/>
      <c r="S66" s="55"/>
      <c r="T66" s="55"/>
      <c r="U66" s="55"/>
      <c r="V66" s="55"/>
      <c r="W66" s="55"/>
      <c r="X66" s="55"/>
      <c r="Y66" s="55"/>
      <c r="Z66" s="55"/>
    </row>
    <row r="67">
      <c r="A67" s="55" t="str">
        <f>IFERROR(__xludf.DUMMYFUNCTION("""COMPUTED_VALUE"""),"Unassigned")</f>
        <v>Unassigned</v>
      </c>
      <c r="B67" s="55" t="str">
        <f>IFERROR(__xludf.DUMMYFUNCTION("""COMPUTED_VALUE"""),"")</f>
        <v/>
      </c>
      <c r="C67" s="55" t="str">
        <f>IFERROR(__xludf.DUMMYFUNCTION("""COMPUTED_VALUE"""),"")</f>
        <v/>
      </c>
      <c r="D67" s="55" t="str">
        <f>IFERROR(__xludf.DUMMYFUNCTION("""COMPUTED_VALUE"""),"")</f>
        <v/>
      </c>
      <c r="E67" s="55" t="str">
        <f>IFERROR(__xludf.DUMMYFUNCTION("""COMPUTED_VALUE"""),"NA")</f>
        <v>NA</v>
      </c>
      <c r="F67" s="55" t="str">
        <f>IFERROR(__xludf.DUMMYFUNCTION("""COMPUTED_VALUE"""),"")</f>
        <v/>
      </c>
      <c r="G67" s="55" t="str">
        <f>IFERROR(__xludf.DUMMYFUNCTION("""COMPUTED_VALUE"""),"Jian Zhao")</f>
        <v>Jian Zhao</v>
      </c>
      <c r="H67" s="55" t="str">
        <f>IFERROR(__xludf.DUMMYFUNCTION("""COMPUTED_VALUE"""),"jian.zhao@aruplab.com")</f>
        <v>jian.zhao@aruplab.com</v>
      </c>
      <c r="I67" s="55" t="str">
        <f>IFERROR(__xludf.DUMMYFUNCTION("""COMPUTED_VALUE"""),"Post Doc/Resident/Fellow (MD and/or PhD)")</f>
        <v>Post Doc/Resident/Fellow (MD and/or PhD)</v>
      </c>
      <c r="J67" s="55"/>
      <c r="K67" s="55"/>
      <c r="L67" s="55"/>
      <c r="M67" s="55"/>
      <c r="N67" s="55"/>
      <c r="O67" s="55"/>
      <c r="P67" s="55"/>
      <c r="Q67" s="55"/>
      <c r="R67" s="55"/>
      <c r="S67" s="55"/>
      <c r="T67" s="55"/>
      <c r="U67" s="55"/>
      <c r="V67" s="55"/>
      <c r="W67" s="55"/>
      <c r="X67" s="55"/>
      <c r="Y67" s="55"/>
      <c r="Z67" s="55"/>
    </row>
    <row r="68">
      <c r="A68" s="55" t="str">
        <f>IFERROR(__xludf.DUMMYFUNCTION("""COMPUTED_VALUE"""),"Unassigned")</f>
        <v>Unassigned</v>
      </c>
      <c r="B68" s="55" t="str">
        <f>IFERROR(__xludf.DUMMYFUNCTION("""COMPUTED_VALUE"""),"")</f>
        <v/>
      </c>
      <c r="C68" s="55" t="str">
        <f>IFERROR(__xludf.DUMMYFUNCTION("""COMPUTED_VALUE"""),"")</f>
        <v/>
      </c>
      <c r="D68" s="55" t="str">
        <f>IFERROR(__xludf.DUMMYFUNCTION("""COMPUTED_VALUE"""),"")</f>
        <v/>
      </c>
      <c r="E68" s="55" t="str">
        <f>IFERROR(__xludf.DUMMYFUNCTION("""COMPUTED_VALUE"""),"NA")</f>
        <v>NA</v>
      </c>
      <c r="F68" s="55" t="str">
        <f>IFERROR(__xludf.DUMMYFUNCTION("""COMPUTED_VALUE"""),"")</f>
        <v/>
      </c>
      <c r="G68" s="55" t="str">
        <f>IFERROR(__xludf.DUMMYFUNCTION("""COMPUTED_VALUE"""),"Alaa Koleilat")</f>
        <v>Alaa Koleilat</v>
      </c>
      <c r="H68" s="55" t="str">
        <f>IFERROR(__xludf.DUMMYFUNCTION("""COMPUTED_VALUE"""),"koleilat.alaa@mayo.edu")</f>
        <v>koleilat.alaa@mayo.edu</v>
      </c>
      <c r="I68" s="55" t="str">
        <f>IFERROR(__xludf.DUMMYFUNCTION("""COMPUTED_VALUE"""),"Graduate Student")</f>
        <v>Graduate Student</v>
      </c>
      <c r="J68" s="55"/>
      <c r="K68" s="55"/>
      <c r="L68" s="55"/>
      <c r="M68" s="55"/>
      <c r="N68" s="55"/>
      <c r="O68" s="55"/>
      <c r="P68" s="55"/>
      <c r="Q68" s="55"/>
      <c r="R68" s="55"/>
      <c r="S68" s="55"/>
      <c r="T68" s="55"/>
      <c r="U68" s="55"/>
      <c r="V68" s="55"/>
      <c r="W68" s="55"/>
      <c r="X68" s="55"/>
      <c r="Y68" s="55"/>
      <c r="Z68" s="55"/>
    </row>
    <row r="69">
      <c r="A69" s="55" t="str">
        <f>IFERROR(__xludf.DUMMYFUNCTION("""COMPUTED_VALUE"""),"Unassigned")</f>
        <v>Unassigned</v>
      </c>
      <c r="B69" s="55" t="str">
        <f>IFERROR(__xludf.DUMMYFUNCTION("""COMPUTED_VALUE"""),"")</f>
        <v/>
      </c>
      <c r="C69" s="55" t="str">
        <f>IFERROR(__xludf.DUMMYFUNCTION("""COMPUTED_VALUE"""),"")</f>
        <v/>
      </c>
      <c r="D69" s="55" t="str">
        <f>IFERROR(__xludf.DUMMYFUNCTION("""COMPUTED_VALUE"""),"")</f>
        <v/>
      </c>
      <c r="E69" s="55" t="str">
        <f>IFERROR(__xludf.DUMMYFUNCTION("""COMPUTED_VALUE"""),"NA")</f>
        <v>NA</v>
      </c>
      <c r="F69" s="55" t="str">
        <f>IFERROR(__xludf.DUMMYFUNCTION("""COMPUTED_VALUE"""),"")</f>
        <v/>
      </c>
      <c r="G69" s="55" t="str">
        <f>IFERROR(__xludf.DUMMYFUNCTION("""COMPUTED_VALUE"""),"Erika Meaddough")</f>
        <v>Erika Meaddough</v>
      </c>
      <c r="H69" s="55" t="str">
        <f>IFERROR(__xludf.DUMMYFUNCTION("""COMPUTED_VALUE"""),"meaddough@yahoo.com")</f>
        <v>meaddough@yahoo.com</v>
      </c>
      <c r="I69" s="55" t="str">
        <f>IFERROR(__xludf.DUMMYFUNCTION("""COMPUTED_VALUE"""),"Graduate Student")</f>
        <v>Graduate Student</v>
      </c>
      <c r="J69" s="55"/>
      <c r="K69" s="55"/>
      <c r="L69" s="55"/>
      <c r="M69" s="55"/>
      <c r="N69" s="55"/>
      <c r="O69" s="55"/>
      <c r="P69" s="55"/>
      <c r="Q69" s="55"/>
      <c r="R69" s="55"/>
      <c r="S69" s="55"/>
      <c r="T69" s="55"/>
      <c r="U69" s="55"/>
      <c r="V69" s="55"/>
      <c r="W69" s="55"/>
      <c r="X69" s="55"/>
      <c r="Y69" s="55"/>
      <c r="Z69" s="55"/>
    </row>
    <row r="70">
      <c r="A70" s="55" t="str">
        <f>IFERROR(__xludf.DUMMYFUNCTION("""COMPUTED_VALUE"""),"Unassigned")</f>
        <v>Unassigned</v>
      </c>
      <c r="B70" s="55" t="str">
        <f>IFERROR(__xludf.DUMMYFUNCTION("""COMPUTED_VALUE"""),"")</f>
        <v/>
      </c>
      <c r="C70" s="55" t="str">
        <f>IFERROR(__xludf.DUMMYFUNCTION("""COMPUTED_VALUE"""),"")</f>
        <v/>
      </c>
      <c r="D70" s="55" t="str">
        <f>IFERROR(__xludf.DUMMYFUNCTION("""COMPUTED_VALUE"""),"")</f>
        <v/>
      </c>
      <c r="E70" s="55" t="str">
        <f>IFERROR(__xludf.DUMMYFUNCTION("""COMPUTED_VALUE"""),"NA")</f>
        <v>NA</v>
      </c>
      <c r="F70" s="55" t="str">
        <f>IFERROR(__xludf.DUMMYFUNCTION("""COMPUTED_VALUE"""),"")</f>
        <v/>
      </c>
      <c r="G70" s="55" t="str">
        <f>IFERROR(__xludf.DUMMYFUNCTION("""COMPUTED_VALUE"""),"Vijay Ganesh")</f>
        <v>Vijay Ganesh</v>
      </c>
      <c r="H70" s="55" t="str">
        <f>IFERROR(__xludf.DUMMYFUNCTION("""COMPUTED_VALUE"""),"vganesh@bwh.harvard.edu")</f>
        <v>vganesh@bwh.harvard.edu</v>
      </c>
      <c r="I70" s="55" t="str">
        <f>IFERROR(__xludf.DUMMYFUNCTION("""COMPUTED_VALUE"""),"Post Doc/Resident/Fellow (MD and/or PhD)")</f>
        <v>Post Doc/Resident/Fellow (MD and/or PhD)</v>
      </c>
      <c r="J70" s="55"/>
      <c r="K70" s="55"/>
      <c r="L70" s="55"/>
      <c r="M70" s="55"/>
      <c r="N70" s="55"/>
      <c r="O70" s="55"/>
      <c r="P70" s="55"/>
      <c r="Q70" s="55"/>
      <c r="R70" s="55"/>
      <c r="S70" s="55"/>
      <c r="T70" s="55"/>
      <c r="U70" s="55"/>
      <c r="V70" s="55"/>
      <c r="W70" s="55"/>
      <c r="X70" s="55"/>
      <c r="Y70" s="55"/>
      <c r="Z70" s="55"/>
    </row>
    <row r="71">
      <c r="A71" s="55" t="str">
        <f>IFERROR(__xludf.DUMMYFUNCTION("""COMPUTED_VALUE"""),"Assigned")</f>
        <v>Assigned</v>
      </c>
      <c r="B71" s="93">
        <f>IFERROR(__xludf.DUMMYFUNCTION("""COMPUTED_VALUE"""),43860.0)</f>
        <v>43860</v>
      </c>
      <c r="C71" s="55" t="str">
        <f>IFERROR(__xludf.DUMMYFUNCTION("""COMPUTED_VALUE"""),"")</f>
        <v/>
      </c>
      <c r="D71" s="55" t="str">
        <f>IFERROR(__xludf.DUMMYFUNCTION("""COMPUTED_VALUE"""),"")</f>
        <v/>
      </c>
      <c r="E71" s="55" t="str">
        <f>IFERROR(__xludf.DUMMYFUNCTION("""COMPUTED_VALUE"""),"NA")</f>
        <v>NA</v>
      </c>
      <c r="F71" s="55" t="str">
        <f>IFERROR(__xludf.DUMMYFUNCTION("""COMPUTED_VALUE"""),"")</f>
        <v/>
      </c>
      <c r="G71" s="55" t="str">
        <f>IFERROR(__xludf.DUMMYFUNCTION("""COMPUTED_VALUE"""),"George Jour")</f>
        <v>George Jour</v>
      </c>
      <c r="H71" s="55" t="str">
        <f>IFERROR(__xludf.DUMMYFUNCTION("""COMPUTED_VALUE"""),"george.jour@nyulangone.org")</f>
        <v>george.jour@nyulangone.org</v>
      </c>
      <c r="I71" s="55" t="str">
        <f>IFERROR(__xludf.DUMMYFUNCTION("""COMPUTED_VALUE"""),"Physician (Non-geneticist)")</f>
        <v>Physician (Non-geneticist)</v>
      </c>
      <c r="J71" s="55"/>
      <c r="K71" s="55"/>
      <c r="L71" s="55"/>
      <c r="M71" s="55"/>
      <c r="N71" s="55"/>
      <c r="O71" s="55"/>
      <c r="P71" s="55"/>
      <c r="Q71" s="55"/>
      <c r="R71" s="55"/>
      <c r="S71" s="55"/>
      <c r="T71" s="55"/>
      <c r="U71" s="55"/>
      <c r="V71" s="55"/>
      <c r="W71" s="55"/>
      <c r="X71" s="55"/>
      <c r="Y71" s="55"/>
      <c r="Z71" s="55"/>
    </row>
    <row r="72">
      <c r="A72" s="55" t="str">
        <f>IFERROR(__xludf.DUMMYFUNCTION("""COMPUTED_VALUE"""),"Unassigned")</f>
        <v>Unassigned</v>
      </c>
      <c r="B72" s="55" t="str">
        <f>IFERROR(__xludf.DUMMYFUNCTION("""COMPUTED_VALUE"""),"duplicate record")</f>
        <v>duplicate record</v>
      </c>
      <c r="C72" s="55" t="str">
        <f>IFERROR(__xludf.DUMMYFUNCTION("""COMPUTED_VALUE"""),"")</f>
        <v/>
      </c>
      <c r="D72" s="55" t="str">
        <f>IFERROR(__xludf.DUMMYFUNCTION("""COMPUTED_VALUE"""),"")</f>
        <v/>
      </c>
      <c r="E72" s="55" t="str">
        <f>IFERROR(__xludf.DUMMYFUNCTION("""COMPUTED_VALUE"""),"NA")</f>
        <v>NA</v>
      </c>
      <c r="F72" s="55" t="str">
        <f>IFERROR(__xludf.DUMMYFUNCTION("""COMPUTED_VALUE"""),"")</f>
        <v/>
      </c>
      <c r="G72" s="55" t="str">
        <f>IFERROR(__xludf.DUMMYFUNCTION("""COMPUTED_VALUE"""),"George Jour")</f>
        <v>George Jour</v>
      </c>
      <c r="H72" s="55" t="str">
        <f>IFERROR(__xludf.DUMMYFUNCTION("""COMPUTED_VALUE"""),"george.jour@nyulangone.org")</f>
        <v>george.jour@nyulangone.org</v>
      </c>
      <c r="I72" s="55" t="str">
        <f>IFERROR(__xludf.DUMMYFUNCTION("""COMPUTED_VALUE"""),"Physician (Non-geneticist)")</f>
        <v>Physician (Non-geneticist)</v>
      </c>
      <c r="J72" s="55"/>
      <c r="K72" s="55"/>
      <c r="L72" s="55"/>
      <c r="M72" s="55"/>
      <c r="N72" s="55"/>
      <c r="O72" s="55"/>
      <c r="P72" s="55"/>
      <c r="Q72" s="55"/>
      <c r="R72" s="55"/>
      <c r="S72" s="55"/>
      <c r="T72" s="55"/>
      <c r="U72" s="55"/>
      <c r="V72" s="55"/>
      <c r="W72" s="55"/>
      <c r="X72" s="55"/>
      <c r="Y72" s="55"/>
      <c r="Z72" s="55"/>
    </row>
    <row r="73">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row>
    <row r="74">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row>
    <row r="75">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row>
    <row r="76">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row>
    <row r="77">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row>
    <row r="78">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row>
    <row r="79">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row>
    <row r="80">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row>
    <row r="81">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row>
    <row r="82">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row>
    <row r="83">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row>
    <row r="84">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row>
    <row r="85">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row>
    <row r="86">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row>
    <row r="87">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row>
    <row r="88">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row>
    <row r="89">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row>
    <row r="90">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row>
    <row r="91">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row>
    <row r="92">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row>
    <row r="93">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row>
    <row r="94">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row>
    <row r="95">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row>
    <row r="96">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row>
    <row r="97">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row>
    <row r="98">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row>
    <row r="99">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row>
    <row r="100">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row>
    <row r="101">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row>
    <row r="102">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row>
    <row r="103">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row>
    <row r="104">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row>
    <row r="105">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row>
    <row r="106">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row>
    <row r="107">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row>
    <row r="108">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row>
    <row r="109">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row>
    <row r="110">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row>
    <row r="111">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row>
    <row r="112">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row>
    <row r="113">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row>
    <row r="114">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row>
    <row r="115">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row>
    <row r="116">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row>
    <row r="117">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row>
    <row r="118">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row>
    <row r="119">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row>
    <row r="120">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row>
    <row r="121">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row>
    <row r="122">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row>
    <row r="123">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row>
    <row r="124">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row>
    <row r="125">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row>
    <row r="126">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row>
    <row r="127">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row>
    <row r="128">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row>
    <row r="129">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row>
    <row r="130">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row>
    <row r="131">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row>
    <row r="132">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row>
    <row r="133">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row>
    <row r="134">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row>
    <row r="135">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row>
    <row r="136">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row>
    <row r="137">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row>
    <row r="138">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row>
    <row r="139">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row>
    <row r="140">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row>
    <row r="141">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row>
    <row r="142">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row>
    <row r="143">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row>
    <row r="144">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row>
    <row r="145">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row>
    <row r="146">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row>
    <row r="147">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row>
    <row r="148">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row>
    <row r="149">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row>
    <row r="150">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row>
    <row r="151">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row>
    <row r="152">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row>
    <row r="153">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row>
    <row r="154">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row>
    <row r="155">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row>
    <row r="156">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row>
    <row r="157">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row>
    <row r="158">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row>
    <row r="159">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row>
    <row r="160">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row>
    <row r="161">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row>
    <row r="162">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row>
    <row r="163">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row>
    <row r="164">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row>
    <row r="165">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row>
    <row r="166">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row>
    <row r="167">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row>
    <row r="168">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row>
    <row r="169">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row>
    <row r="170">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row>
    <row r="171">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row>
    <row r="172">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row>
    <row r="173">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row>
    <row r="174">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row>
    <row r="175">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row>
    <row r="176">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row>
    <row r="177">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row>
    <row r="178">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row>
    <row r="179">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row>
    <row r="180">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row>
    <row r="181">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row>
    <row r="182">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row>
    <row r="183">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row>
    <row r="184">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row>
    <row r="185">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row>
    <row r="186">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row>
    <row r="187">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row>
    <row r="188">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row>
    <row r="189">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row>
    <row r="190">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row>
    <row r="191">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row>
    <row r="192">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row>
    <row r="193">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row>
    <row r="194">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row>
    <row r="195">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row>
    <row r="196">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row>
    <row r="197">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row>
    <row r="198">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row>
    <row r="199">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row>
    <row r="200">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row>
    <row r="201">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row>
    <row r="202">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row>
    <row r="203">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row>
    <row r="204">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row>
    <row r="205">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row>
    <row r="206">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row>
    <row r="207">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row>
    <row r="208">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row>
    <row r="209">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row>
    <row r="210">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row>
    <row r="211">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row>
    <row r="212">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row>
    <row r="213">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row>
    <row r="214">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row>
    <row r="215">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row>
    <row r="216">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row>
    <row r="217">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row>
    <row r="218">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row>
    <row r="219">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row>
    <row r="220">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row>
    <row r="221">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row>
    <row r="222">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row>
    <row r="223">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row>
    <row r="224">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row>
    <row r="225">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row>
    <row r="226">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row>
    <row r="227">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row>
    <row r="228">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row>
    <row r="229">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row>
    <row r="230">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row>
    <row r="231">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row>
    <row r="232">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row>
    <row r="233">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row>
    <row r="234">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row>
    <row r="235">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row>
    <row r="236">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row>
    <row r="237">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row>
    <row r="238">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row>
    <row r="239">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row>
    <row r="240">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row>
    <row r="241">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row>
    <row r="242">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row>
    <row r="243">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row>
    <row r="244">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row>
    <row r="245">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row>
    <row r="246">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row>
    <row r="247">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row>
    <row r="248">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row>
    <row r="249">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row>
    <row r="250">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row>
    <row r="251">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row>
    <row r="252">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row>
    <row r="253">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row>
    <row r="254">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row>
    <row r="255">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row>
    <row r="256">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row>
    <row r="257">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row>
    <row r="258">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row>
    <row r="259">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row>
    <row r="260">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row>
    <row r="261">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row>
    <row r="262">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row>
    <row r="263">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row>
    <row r="264">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row>
    <row r="265">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row>
    <row r="266">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row>
    <row r="267">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row>
    <row r="268">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row>
    <row r="269">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row>
    <row r="270">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row>
    <row r="271">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row>
    <row r="272">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row>
    <row r="273">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row>
    <row r="274">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row>
    <row r="275">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row>
    <row r="276">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row>
    <row r="277">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row>
    <row r="278">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row>
    <row r="279">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row>
    <row r="280">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row>
    <row r="281">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row>
    <row r="282">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row>
    <row r="283">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row>
    <row r="284">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row>
    <row r="285">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row>
    <row r="286">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row>
    <row r="287">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row>
    <row r="288">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row>
    <row r="289">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row>
    <row r="290">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row>
    <row r="291">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row>
    <row r="292">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row>
    <row r="293">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row>
    <row r="294">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row>
    <row r="295">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row>
    <row r="296">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row>
    <row r="297">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row>
    <row r="298">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row>
    <row r="299">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row>
    <row r="300">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row>
    <row r="301">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row>
    <row r="302">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row>
    <row r="303">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row>
    <row r="304">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row>
    <row r="305">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row>
    <row r="306">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row>
    <row r="307">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row>
    <row r="308">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row>
    <row r="309">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row>
    <row r="310">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row>
    <row r="311">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row>
    <row r="312">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row>
    <row r="313">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row>
    <row r="314">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row>
    <row r="315">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row>
    <row r="316">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row>
    <row r="317">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row>
    <row r="318">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row>
    <row r="319">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row>
    <row r="320">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row>
    <row r="321">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row>
    <row r="322">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row>
    <row r="323">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row>
    <row r="324">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row>
    <row r="325">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row>
    <row r="326">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row>
    <row r="327">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row>
    <row r="328">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row>
    <row r="329">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row>
    <row r="330">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row>
    <row r="331">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row>
    <row r="332">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row>
    <row r="333">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row>
    <row r="334">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row>
    <row r="335">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row>
    <row r="336">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row>
    <row r="337">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row>
    <row r="338">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row>
    <row r="339">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row>
    <row r="340">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row>
    <row r="341">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row>
    <row r="342">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row>
    <row r="343">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row>
    <row r="344">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row>
    <row r="345">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row>
    <row r="346">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row>
    <row r="347">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row>
    <row r="348">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row>
    <row r="349">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row>
    <row r="350">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row>
    <row r="351">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row>
    <row r="352">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row>
    <row r="353">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row>
    <row r="354">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row>
    <row r="355">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row>
    <row r="356">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row>
    <row r="357">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row>
    <row r="358">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row>
    <row r="359">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row>
    <row r="360">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row>
    <row r="361">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row>
    <row r="362">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row>
    <row r="363">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row>
    <row r="364">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row>
    <row r="365">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row>
    <row r="366">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row>
    <row r="367">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row>
    <row r="368">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row>
    <row r="369">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row>
    <row r="370">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row>
    <row r="371">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row>
    <row r="372">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row>
    <row r="373">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row>
    <row r="374">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row>
    <row r="375">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row>
    <row r="376">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row>
    <row r="377">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row>
    <row r="378">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row>
    <row r="379">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row>
    <row r="380">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row>
    <row r="381">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row>
    <row r="382">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row>
    <row r="383">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row>
    <row r="384">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row>
    <row r="385">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row>
    <row r="386">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row>
    <row r="387">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row>
    <row r="388">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row>
    <row r="389">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row>
    <row r="390">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row>
    <row r="391">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row>
    <row r="392">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row>
    <row r="393">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row>
    <row r="394">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row>
    <row r="395">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row>
    <row r="396">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row>
    <row r="397">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row>
    <row r="398">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row>
    <row r="399">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row>
    <row r="400">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row>
    <row r="401">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row>
    <row r="402">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row>
    <row r="403">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row>
    <row r="404">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row>
    <row r="405">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row>
    <row r="406">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row>
    <row r="407">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row>
    <row r="408">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row>
    <row r="409">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row>
    <row r="410">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row>
    <row r="411">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row>
    <row r="412">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row>
    <row r="413">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row>
    <row r="414">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row>
    <row r="415">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row>
    <row r="416">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row>
    <row r="417">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row>
    <row r="418">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row>
    <row r="419">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row>
    <row r="420">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row>
    <row r="421">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row>
    <row r="422">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row>
    <row r="423">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row>
    <row r="424">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row>
    <row r="425">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row>
    <row r="426">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row>
    <row r="427">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row>
    <row r="428">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row>
    <row r="429">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row>
    <row r="430">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row>
    <row r="431">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row>
    <row r="432">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row>
    <row r="433">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row>
    <row r="434">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row>
    <row r="435">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row>
    <row r="436">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row>
    <row r="437">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row>
    <row r="438">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row>
    <row r="439">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row>
    <row r="440">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row>
    <row r="441">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row>
    <row r="442">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row>
    <row r="443">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row>
    <row r="444">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row>
    <row r="445">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row>
    <row r="446">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row>
    <row r="447">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row>
    <row r="448">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row>
    <row r="449">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row>
    <row r="450">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row>
    <row r="451">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row>
    <row r="452">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row>
    <row r="453">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row>
    <row r="454">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row>
    <row r="455">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row>
    <row r="456">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row>
    <row r="457">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row>
    <row r="458">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row>
    <row r="459">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row>
    <row r="460">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row>
    <row r="461">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row>
    <row r="462">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row>
    <row r="463">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row>
    <row r="464">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row>
    <row r="465">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row>
    <row r="466">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row>
    <row r="467">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row>
    <row r="468">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row>
    <row r="469">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row>
    <row r="470">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row>
    <row r="471">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row>
    <row r="472">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row>
    <row r="473">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row>
    <row r="474">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row>
    <row r="475">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row>
    <row r="476">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row>
    <row r="477">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row>
    <row r="478">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row>
    <row r="479">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row>
    <row r="480">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row>
    <row r="481">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row>
    <row r="482">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row>
    <row r="483">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row>
    <row r="484">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row>
    <row r="485">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row>
    <row r="486">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row>
    <row r="487">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row>
    <row r="488">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row>
    <row r="489">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row>
    <row r="490">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row>
    <row r="491">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row>
    <row r="492">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row>
    <row r="493">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row>
    <row r="494">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row>
    <row r="495">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row>
    <row r="496">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row>
    <row r="497">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row>
    <row r="498">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row>
    <row r="499">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row>
    <row r="500">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row>
    <row r="501">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row>
    <row r="502">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row>
    <row r="503">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row>
    <row r="504">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row>
    <row r="505">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row>
    <row r="506">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row>
    <row r="507">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row>
    <row r="508">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row>
    <row r="509">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row>
    <row r="510">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row>
    <row r="511">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row>
    <row r="512">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row>
    <row r="513">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row>
    <row r="514">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row>
    <row r="515">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row>
    <row r="516">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row>
    <row r="517">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row>
    <row r="518">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row>
    <row r="519">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row>
    <row r="520">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row>
    <row r="521">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row>
    <row r="522">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row>
    <row r="523">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row>
    <row r="524">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row>
    <row r="525">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row>
    <row r="526">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row>
    <row r="527">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row>
    <row r="528">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row>
    <row r="529">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row>
    <row r="530">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row>
    <row r="531">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row>
    <row r="532">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row>
    <row r="533">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row>
    <row r="534">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row>
    <row r="535">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row>
    <row r="536">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row>
    <row r="537">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row>
    <row r="538">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row>
    <row r="539">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row>
    <row r="540">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row>
    <row r="541">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row>
    <row r="542">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row>
    <row r="543">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row>
    <row r="544">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row>
    <row r="545">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row>
    <row r="546">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row>
    <row r="547">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row>
    <row r="548">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row>
    <row r="549">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row>
    <row r="550">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row>
    <row r="551">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row>
    <row r="552">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row>
    <row r="553">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row>
    <row r="554">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row>
    <row r="555">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row>
    <row r="556">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row>
    <row r="557">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row>
    <row r="558">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row>
    <row r="559">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row>
    <row r="560">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row>
    <row r="561">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row>
    <row r="562">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row>
    <row r="563">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row>
    <row r="564">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row>
    <row r="565">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row>
    <row r="566">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row>
    <row r="567">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row>
    <row r="568">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row>
    <row r="569">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row>
    <row r="570">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row>
    <row r="571">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row>
    <row r="572">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row>
    <row r="573">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row>
    <row r="574">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row>
    <row r="575">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row>
    <row r="576">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row>
    <row r="577">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row>
    <row r="578">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row>
    <row r="579">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row>
    <row r="580">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row>
    <row r="581">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row>
    <row r="582">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row>
    <row r="583">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row>
    <row r="584">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row>
    <row r="585">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row>
    <row r="586">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row>
    <row r="587">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row>
    <row r="588">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row>
    <row r="589">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row>
    <row r="590">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row>
    <row r="591">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row>
    <row r="592">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row>
    <row r="593">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row>
    <row r="594">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row>
    <row r="595">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row>
    <row r="596">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row>
    <row r="597">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row>
    <row r="598">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row>
    <row r="599">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row>
    <row r="600">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row>
    <row r="601">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row>
    <row r="602">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row>
    <row r="603">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row>
    <row r="604">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row>
    <row r="605">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row>
    <row r="606">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row>
    <row r="607">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row>
    <row r="608">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row>
    <row r="609">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row>
    <row r="610">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row>
    <row r="611">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row>
    <row r="612">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row>
    <row r="613">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row>
    <row r="614">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row>
    <row r="615">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row>
    <row r="616">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row>
    <row r="617">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row>
    <row r="618">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row>
    <row r="619">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row>
    <row r="620">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row>
    <row r="621">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row>
    <row r="622">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row>
    <row r="623">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row>
    <row r="624">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row>
    <row r="625">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row>
    <row r="626">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row>
    <row r="627">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row>
    <row r="628">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row>
    <row r="629">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row>
    <row r="630">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row>
    <row r="631">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row>
    <row r="632">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row>
    <row r="633">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row>
    <row r="634">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row>
    <row r="635">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row>
    <row r="636">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row>
    <row r="637">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row>
    <row r="638">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row>
    <row r="639">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row>
    <row r="640">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row>
    <row r="641">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row>
    <row r="642">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row>
    <row r="643">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row>
    <row r="644">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row>
    <row r="645">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row>
    <row r="646">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row>
    <row r="647">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row>
    <row r="648">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row>
    <row r="649">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row>
    <row r="650">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row>
    <row r="651">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row>
    <row r="652">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row>
    <row r="653">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row>
    <row r="654">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row>
    <row r="655">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row>
    <row r="656">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row>
    <row r="657">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row>
    <row r="658">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row>
    <row r="659">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row>
    <row r="660">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row>
    <row r="661">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row>
    <row r="662">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row>
    <row r="663">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row>
    <row r="664">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row>
    <row r="665">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row>
    <row r="666">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row>
    <row r="667">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row>
    <row r="668">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row>
    <row r="669">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row>
    <row r="670">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row>
    <row r="671">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row>
    <row r="672">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row>
    <row r="673">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row>
    <row r="674">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row>
    <row r="675">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row>
    <row r="676">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row>
    <row r="677">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row>
    <row r="678">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row>
    <row r="679">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row>
    <row r="680">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row>
    <row r="681">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row>
    <row r="682">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row>
    <row r="683">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row>
    <row r="684">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row>
    <row r="685">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row>
    <row r="686">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row>
    <row r="687">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row>
    <row r="688">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row>
    <row r="689">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row>
    <row r="690">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row>
    <row r="691">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row>
    <row r="692">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row>
    <row r="693">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row>
    <row r="694">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row>
    <row r="695">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row>
    <row r="696">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row>
    <row r="697">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row>
    <row r="698">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row>
    <row r="699">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row>
    <row r="700">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row>
    <row r="701">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row>
    <row r="702">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row>
    <row r="703">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row>
    <row r="704">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row>
    <row r="705">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row>
    <row r="706">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row>
    <row r="707">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row>
    <row r="708">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row>
    <row r="709">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row>
    <row r="710">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row>
    <row r="711">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row>
    <row r="712">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row>
    <row r="713">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row>
    <row r="714">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row>
    <row r="715">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row>
    <row r="716">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row>
    <row r="717">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row>
    <row r="718">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row>
    <row r="719">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row>
    <row r="720">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row>
    <row r="721">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row>
    <row r="722">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row>
    <row r="723">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row>
    <row r="724">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row>
    <row r="725">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row>
    <row r="726">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row>
    <row r="727">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row>
    <row r="728">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row>
    <row r="729">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row>
    <row r="730">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row>
    <row r="731">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row>
    <row r="732">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row>
    <row r="733">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row>
    <row r="734">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row>
    <row r="735">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row>
    <row r="736">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row>
    <row r="737">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row>
    <row r="738">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row>
    <row r="739">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row>
    <row r="740">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row>
    <row r="741">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row>
    <row r="742">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row>
    <row r="743">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row>
    <row r="744">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row>
    <row r="745">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row>
    <row r="746">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row>
    <row r="747">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row>
    <row r="748">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row>
    <row r="749">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row>
    <row r="750">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row>
    <row r="751">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row>
    <row r="752">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row>
    <row r="753">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row>
    <row r="754">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row>
    <row r="755">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row>
    <row r="756">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row>
    <row r="757">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row>
    <row r="758">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row>
    <row r="759">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row>
    <row r="760">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row>
    <row r="761">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row>
    <row r="762">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row>
    <row r="763">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row>
    <row r="764">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row>
    <row r="765">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row>
    <row r="766">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row>
    <row r="767">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row>
    <row r="768">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row>
    <row r="769">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row>
    <row r="770">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row>
    <row r="771">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row>
    <row r="772">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row>
    <row r="773">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row>
    <row r="774">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row>
    <row r="775">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row>
    <row r="776">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row>
    <row r="777">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row>
    <row r="778">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row>
    <row r="779">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row>
    <row r="780">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row>
    <row r="781">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row>
    <row r="782">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row>
    <row r="783">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row>
    <row r="784">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row>
    <row r="785">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row>
    <row r="786">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row>
    <row r="787">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row>
    <row r="788">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row>
    <row r="789">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row>
    <row r="790">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row>
    <row r="791">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row>
    <row r="792">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row>
    <row r="793">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row>
    <row r="794">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row>
    <row r="795">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row>
    <row r="796">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row>
    <row r="797">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row>
    <row r="798">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row>
    <row r="799">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row>
    <row r="800">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row>
    <row r="801">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row>
    <row r="802">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row>
    <row r="803">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row>
    <row r="804">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row>
    <row r="805">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row>
    <row r="806">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row>
    <row r="807">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row>
    <row r="808">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row>
    <row r="809">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row>
    <row r="810">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row>
    <row r="811">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row>
    <row r="812">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row>
    <row r="813">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row>
    <row r="814">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row>
    <row r="815">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row>
    <row r="816">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row>
    <row r="817">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row>
    <row r="818">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row>
    <row r="819">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row>
    <row r="820">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row>
    <row r="821">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row>
    <row r="822">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row>
    <row r="823">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row>
    <row r="824">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row>
    <row r="825">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row>
    <row r="826">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row>
    <row r="827">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row>
    <row r="828">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row>
    <row r="829">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row>
    <row r="830">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row>
    <row r="831">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row>
    <row r="832">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row>
    <row r="833">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row>
    <row r="834">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row>
    <row r="835">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row>
    <row r="836">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row>
    <row r="837">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row>
    <row r="838">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row>
    <row r="839">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row>
    <row r="840">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row>
    <row r="841">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row>
    <row r="842">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row>
    <row r="843">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row>
    <row r="844">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row>
    <row r="845">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row>
    <row r="846">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row>
    <row r="847">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row>
    <row r="848">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row>
    <row r="849">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row>
    <row r="850">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row>
    <row r="851">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row>
    <row r="852">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row>
    <row r="853">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row>
    <row r="854">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row>
    <row r="855">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row>
    <row r="856">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row>
    <row r="857">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row>
    <row r="858">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row>
    <row r="859">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row>
    <row r="860">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row>
    <row r="861">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row>
    <row r="862">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row>
    <row r="863">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row>
    <row r="864">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row>
    <row r="865">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row>
    <row r="866">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row>
    <row r="867">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row>
    <row r="868">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row>
    <row r="869">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row>
    <row r="870">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row>
    <row r="871">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row>
    <row r="872">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row>
    <row r="873">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row>
    <row r="874">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row>
    <row r="875">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row>
    <row r="876">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row>
    <row r="877">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row>
    <row r="878">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row>
    <row r="879">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row>
    <row r="880">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row>
    <row r="881">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row>
    <row r="882">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row>
    <row r="883">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row>
    <row r="884">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row>
    <row r="885">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row>
    <row r="886">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row>
    <row r="887">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row>
    <row r="888">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row>
    <row r="889">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row>
    <row r="890">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row>
    <row r="891">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row>
    <row r="892">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row>
    <row r="893">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row>
    <row r="894">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row>
    <row r="895">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row>
    <row r="896">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row>
    <row r="897">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row>
    <row r="898">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row>
    <row r="899">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row>
    <row r="900">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row>
    <row r="901">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row>
    <row r="902">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row>
    <row r="903">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row>
    <row r="904">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row>
    <row r="905">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row>
    <row r="906">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row>
    <row r="907">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row>
    <row r="908">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row>
    <row r="909">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row>
    <row r="910">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row>
    <row r="911">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row>
    <row r="912">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row>
    <row r="913">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row>
    <row r="914">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row>
    <row r="915">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row>
    <row r="916">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row>
    <row r="917">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row>
    <row r="918">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row>
    <row r="919">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row>
    <row r="920">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row>
    <row r="921">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row>
    <row r="922">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row>
    <row r="923">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row>
    <row r="924">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row>
    <row r="925">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row>
    <row r="926">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row>
    <row r="927">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row>
    <row r="928">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row>
    <row r="929">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row>
    <row r="930">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row>
    <row r="931">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row>
    <row r="932">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row>
    <row r="933">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row>
    <row r="934">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row>
    <row r="935">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row>
    <row r="936">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row>
    <row r="937">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row>
    <row r="938">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row>
    <row r="939">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row>
    <row r="940">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row>
    <row r="941">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row>
    <row r="942">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row>
    <row r="943">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row>
    <row r="944">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row>
    <row r="945">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row>
    <row r="946">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row>
    <row r="947">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row>
    <row r="948">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row>
    <row r="949">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row>
    <row r="950">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row>
    <row r="951">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row>
    <row r="952">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row>
    <row r="953">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row>
    <row r="954">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row>
    <row r="955">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row>
    <row r="956">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row>
    <row r="957">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row>
    <row r="958">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row>
    <row r="959">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row>
    <row r="960">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row>
    <row r="961">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row>
    <row r="962">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row>
    <row r="963">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row>
    <row r="964">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row>
    <row r="965">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row>
    <row r="966">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row>
    <row r="967">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row>
    <row r="968">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row>
    <row r="969">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row>
    <row r="970">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row>
    <row r="971">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row>
    <row r="972">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row>
    <row r="973">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row>
    <row r="974">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row>
    <row r="975">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row>
    <row r="976">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row>
    <row r="977">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row>
    <row r="978">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row>
    <row r="979">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row>
    <row r="980">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row>
    <row r="981">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row>
    <row r="982">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row>
    <row r="983">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row>
    <row r="984">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row>
    <row r="985">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row>
    <row r="986">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row>
    <row r="987">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row>
    <row r="988">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row>
    <row r="989">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row>
    <row r="990">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row>
    <row r="991">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row>
    <row r="992">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row>
    <row r="993">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row>
    <row r="994">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row>
    <row r="995">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row>
    <row r="996">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row>
    <row r="997">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row>
    <row r="998">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row>
    <row r="999">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row>
    <row r="1000">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row>
  </sheetData>
  <mergeCells count="2">
    <mergeCell ref="A1:F1"/>
    <mergeCell ref="G1:H1"/>
  </mergeCells>
  <conditionalFormatting sqref="A1:A1000">
    <cfRule type="containsText" dxfId="0" priority="1" operator="containsText" text="Unassigned">
      <formula>NOT(ISERROR(SEARCH(("Unassigned"),(A1))))</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3.14"/>
    <col customWidth="1" min="2" max="2" width="15.86"/>
    <col customWidth="1" min="3" max="3" width="14.86"/>
    <col customWidth="1" min="4" max="4" width="20.14"/>
    <col customWidth="1" min="5" max="5" width="20.43"/>
    <col customWidth="1" min="6" max="6" width="19.43"/>
    <col customWidth="1" min="7" max="7" width="23.43"/>
    <col customWidth="1" min="8" max="8" width="33.57"/>
    <col customWidth="1" min="11" max="11" width="43.86"/>
  </cols>
  <sheetData>
    <row r="1">
      <c r="A1" s="8" t="s">
        <v>7</v>
      </c>
      <c r="B1" s="9"/>
      <c r="C1" s="9"/>
      <c r="D1" s="9"/>
      <c r="E1" s="9"/>
      <c r="F1" s="22"/>
      <c r="G1" s="8" t="s">
        <v>38</v>
      </c>
      <c r="H1" s="22"/>
      <c r="I1" s="55"/>
      <c r="J1" s="55"/>
      <c r="K1" s="55"/>
      <c r="L1" s="55"/>
      <c r="M1" s="55"/>
      <c r="N1" s="55"/>
      <c r="O1" s="55"/>
      <c r="P1" s="55"/>
      <c r="Q1" s="55"/>
      <c r="R1" s="55"/>
      <c r="S1" s="55"/>
      <c r="T1" s="55"/>
      <c r="U1" s="55"/>
      <c r="V1" s="55"/>
      <c r="W1" s="55"/>
      <c r="X1" s="55"/>
      <c r="Y1" s="55"/>
      <c r="Z1" s="55"/>
    </row>
    <row r="2">
      <c r="A2" s="24" t="s">
        <v>0</v>
      </c>
      <c r="B2" s="24" t="s">
        <v>72</v>
      </c>
      <c r="C2" s="24" t="s">
        <v>73</v>
      </c>
      <c r="D2" s="91" t="s">
        <v>74</v>
      </c>
      <c r="E2" s="24" t="s">
        <v>76</v>
      </c>
      <c r="F2" s="24" t="s">
        <v>327</v>
      </c>
      <c r="G2" s="91" t="s">
        <v>81</v>
      </c>
      <c r="H2" s="24" t="s">
        <v>82</v>
      </c>
      <c r="I2" s="55"/>
      <c r="J2" s="55"/>
      <c r="K2" s="55"/>
      <c r="L2" s="55"/>
      <c r="M2" s="55"/>
      <c r="N2" s="55"/>
      <c r="O2" s="55"/>
      <c r="P2" s="55"/>
      <c r="Q2" s="55"/>
      <c r="R2" s="55"/>
      <c r="S2" s="55"/>
      <c r="T2" s="55"/>
      <c r="U2" s="55"/>
      <c r="V2" s="55"/>
      <c r="W2" s="55"/>
      <c r="X2" s="55"/>
      <c r="Y2" s="55"/>
      <c r="Z2" s="55"/>
    </row>
    <row r="3">
      <c r="A3" s="68" t="str">
        <f>IFERROR(__xludf.DUMMYFUNCTION("filter(Assignments!B3:B1000,Assignments!O3:O1000=""Comprehensive"")"),"Declined")</f>
        <v>Declined</v>
      </c>
      <c r="B3" s="68" t="str">
        <f>IFERROR(__xludf.DUMMYFUNCTION("filter(Assignments!C3:C1000,Assignments!O3:O1000=""Comprehensive"")"),"")</f>
        <v/>
      </c>
      <c r="C3" s="55" t="str">
        <f>IFERROR(__xludf.DUMMYFUNCTION("filter(Assignments!D3:D1000,Assignments!O3:O1000=""Comprehensive"")"),"")</f>
        <v/>
      </c>
      <c r="D3" s="55" t="str">
        <f>IFERROR(__xludf.DUMMYFUNCTION("filter(Assignments!E3:E1000,Assignments!O3:O1000=""Comprehensive"")"),"No")</f>
        <v>No</v>
      </c>
      <c r="E3" s="55" t="str">
        <f>IFERROR(__xludf.DUMMYFUNCTION("filter(Assignments!G3:G1000,Assignments!O3:O1000=""Comprehensive"")"),"Somatic Cancer")</f>
        <v>Somatic Cancer</v>
      </c>
      <c r="F3" s="55" t="str">
        <f>IFERROR(__xludf.DUMMYFUNCTION("filter(Assignments!H3:H1000,Assignments!O3:O1000=""Comprehensive"")"),"Pediatric cancer")</f>
        <v>Pediatric cancer</v>
      </c>
      <c r="G3" s="55" t="str">
        <f>IFERROR(__xludf.DUMMYFUNCTION("filter(Assignments!L3:L1000,Assignments!O3:O1000=""Comprehensive"")"),"Suneeta Mandava")</f>
        <v>Suneeta Mandava</v>
      </c>
      <c r="H3" s="55" t="str">
        <f>IFERROR(__xludf.DUMMYFUNCTION("filter(Assignments!M3:M1000,Assignments!O3:O1000=""Comprehensive"")"),"suneeta.mandava@gmail.com")</f>
        <v>suneeta.mandava@gmail.com</v>
      </c>
      <c r="I3" s="68" t="str">
        <f>IFERROR(__xludf.DUMMYFUNCTION("filter(Assignments!N3:N1000,Assignments!O3:O1000=""Comprehensive"")"),"Variant Analyst/Scientist")</f>
        <v>Variant Analyst/Scientist</v>
      </c>
      <c r="J3" s="55"/>
      <c r="K3" s="68" t="str">
        <f>IFERROR(__xludf.DUMMYFUNCTION("filter(Assignments!P3:P1000,Assignments!O3:O1000=""Comprehensive"")"),"Somatic Cancer")</f>
        <v>Somatic Cancer</v>
      </c>
      <c r="L3" s="68"/>
      <c r="M3" s="68"/>
      <c r="N3" s="68"/>
      <c r="O3" s="68"/>
      <c r="P3" s="55"/>
      <c r="Q3" s="55"/>
      <c r="R3" s="55"/>
      <c r="S3" s="55"/>
      <c r="T3" s="55"/>
      <c r="U3" s="55"/>
      <c r="V3" s="55"/>
      <c r="W3" s="55"/>
      <c r="X3" s="55"/>
      <c r="Y3" s="55"/>
      <c r="Z3" s="55"/>
    </row>
    <row r="4">
      <c r="A4" s="55" t="str">
        <f>IFERROR(__xludf.DUMMYFUNCTION("""COMPUTED_VALUE"""),"Unresponsive")</f>
        <v>Unresponsive</v>
      </c>
      <c r="B4" s="55" t="str">
        <f>IFERROR(__xludf.DUMMYFUNCTION("""COMPUTED_VALUE"""),"")</f>
        <v/>
      </c>
      <c r="C4" s="55" t="str">
        <f>IFERROR(__xludf.DUMMYFUNCTION("""COMPUTED_VALUE"""),"")</f>
        <v/>
      </c>
      <c r="D4" s="55" t="str">
        <f>IFERROR(__xludf.DUMMYFUNCTION("""COMPUTED_VALUE"""),"No")</f>
        <v>No</v>
      </c>
      <c r="E4" s="55" t="str">
        <f>IFERROR(__xludf.DUMMYFUNCTION("""COMPUTED_VALUE"""),"Actionability")</f>
        <v>Actionability</v>
      </c>
      <c r="F4" s="55" t="str">
        <f>IFERROR(__xludf.DUMMYFUNCTION("""COMPUTED_VALUE"""),"")</f>
        <v/>
      </c>
      <c r="G4" s="55" t="str">
        <f>IFERROR(__xludf.DUMMYFUNCTION("""COMPUTED_VALUE"""),"Edwin Kim")</f>
        <v>Edwin Kim</v>
      </c>
      <c r="H4" s="55" t="str">
        <f>IFERROR(__xludf.DUMMYFUNCTION("""COMPUTED_VALUE"""),"Edwinkimmd@gmail.com")</f>
        <v>Edwinkimmd@gmail.com</v>
      </c>
      <c r="I4" s="55" t="str">
        <f>IFERROR(__xludf.DUMMYFUNCTION("""COMPUTED_VALUE"""),"Physician (Non-geneticist)")</f>
        <v>Physician (Non-geneticist)</v>
      </c>
      <c r="J4" s="55"/>
      <c r="K4" s="55" t="str">
        <f>IFERROR(__xludf.DUMMYFUNCTION("""COMPUTED_VALUE"""),"Clinical Actionability")</f>
        <v>Clinical Actionability</v>
      </c>
      <c r="L4" s="55"/>
      <c r="M4" s="55"/>
      <c r="N4" s="55"/>
      <c r="O4" s="55"/>
      <c r="P4" s="55"/>
      <c r="Q4" s="55"/>
      <c r="R4" s="55"/>
      <c r="S4" s="55"/>
      <c r="T4" s="55"/>
      <c r="U4" s="55"/>
      <c r="V4" s="55"/>
      <c r="W4" s="55"/>
      <c r="X4" s="55"/>
      <c r="Y4" s="55"/>
      <c r="Z4" s="55"/>
    </row>
    <row r="5">
      <c r="A5" s="55" t="str">
        <f>IFERROR(__xludf.DUMMYFUNCTION("""COMPUTED_VALUE"""),"Contacted")</f>
        <v>Contacted</v>
      </c>
      <c r="B5" s="55" t="str">
        <f>IFERROR(__xludf.DUMMYFUNCTION("""COMPUTED_VALUE"""),"")</f>
        <v/>
      </c>
      <c r="C5" s="104">
        <f>IFERROR(__xludf.DUMMYFUNCTION("""COMPUTED_VALUE"""),43570.0)</f>
        <v>43570</v>
      </c>
      <c r="D5" s="55" t="str">
        <f>IFERROR(__xludf.DUMMYFUNCTION("""COMPUTED_VALUE"""),"Yes")</f>
        <v>Yes</v>
      </c>
      <c r="E5" s="55" t="str">
        <f>IFERROR(__xludf.DUMMYFUNCTION("""COMPUTED_VALUE"""),"Gene Disease Validity")</f>
        <v>Gene Disease Validity</v>
      </c>
      <c r="F5" s="55" t="str">
        <f>IFERROR(__xludf.DUMMYFUNCTION("""COMPUTED_VALUE"""),"Epilepsy")</f>
        <v>Epilepsy</v>
      </c>
      <c r="G5" s="55" t="str">
        <f>IFERROR(__xludf.DUMMYFUNCTION("""COMPUTED_VALUE"""),"Xiaodong Wang")</f>
        <v>Xiaodong Wang</v>
      </c>
      <c r="H5" s="55" t="str">
        <f>IFERROR(__xludf.DUMMYFUNCTION("""COMPUTED_VALUE"""),"xdwang@ciphergene.com")</f>
        <v>xdwang@ciphergene.com</v>
      </c>
      <c r="I5" s="55" t="str">
        <f>IFERROR(__xludf.DUMMYFUNCTION("""COMPUTED_VALUE"""),"Variant Analyst/Scientist")</f>
        <v>Variant Analyst/Scientist</v>
      </c>
      <c r="J5" s="55"/>
      <c r="K5" s="55" t="str">
        <f>IFERROR(__xludf.DUMMYFUNCTION("""COMPUTED_VALUE"""),"Gene-Disease Validity")</f>
        <v>Gene-Disease Validity</v>
      </c>
      <c r="L5" s="55"/>
      <c r="M5" s="55"/>
      <c r="N5" s="55"/>
      <c r="O5" s="55"/>
      <c r="P5" s="55"/>
      <c r="Q5" s="55"/>
      <c r="R5" s="55"/>
      <c r="S5" s="55"/>
      <c r="T5" s="55"/>
      <c r="U5" s="55"/>
      <c r="V5" s="55"/>
      <c r="W5" s="55"/>
      <c r="X5" s="55"/>
      <c r="Y5" s="55"/>
      <c r="Z5" s="55"/>
    </row>
    <row r="6">
      <c r="A6" s="55" t="str">
        <f>IFERROR(__xludf.DUMMYFUNCTION("""COMPUTED_VALUE"""),"Declined")</f>
        <v>Declined</v>
      </c>
      <c r="B6" s="94">
        <f>IFERROR(__xludf.DUMMYFUNCTION("""COMPUTED_VALUE"""),43437.0)</f>
        <v>43437</v>
      </c>
      <c r="C6" s="94">
        <f>IFERROR(__xludf.DUMMYFUNCTION("""COMPUTED_VALUE"""),43446.0)</f>
        <v>43446</v>
      </c>
      <c r="D6" s="55" t="str">
        <f>IFERROR(__xludf.DUMMYFUNCTION("""COMPUTED_VALUE"""),"Yes")</f>
        <v>Yes</v>
      </c>
      <c r="E6" s="55" t="str">
        <f>IFERROR(__xludf.DUMMYFUNCTION("""COMPUTED_VALUE"""),"Gene Disease Validity")</f>
        <v>Gene Disease Validity</v>
      </c>
      <c r="F6" s="55" t="str">
        <f>IFERROR(__xludf.DUMMYFUNCTION("""COMPUTED_VALUE"""),"ID Autism")</f>
        <v>ID Autism</v>
      </c>
      <c r="G6" s="55" t="str">
        <f>IFERROR(__xludf.DUMMYFUNCTION("""COMPUTED_VALUE"""),"Jennifer Howe")</f>
        <v>Jennifer Howe</v>
      </c>
      <c r="H6" s="55" t="str">
        <f>IFERROR(__xludf.DUMMYFUNCTION("""COMPUTED_VALUE"""),"jhowe@sickkids.ca")</f>
        <v>jhowe@sickkids.ca</v>
      </c>
      <c r="I6" s="55" t="str">
        <f>IFERROR(__xludf.DUMMYFUNCTION("""COMPUTED_VALUE"""),"Senior Project Manager")</f>
        <v>Senior Project Manager</v>
      </c>
      <c r="J6" s="55"/>
      <c r="K6" s="55" t="str">
        <f>IFERROR(__xludf.DUMMYFUNCTION("""COMPUTED_VALUE"""),"Gene-Disease Validity")</f>
        <v>Gene-Disease Validity</v>
      </c>
      <c r="L6" s="55"/>
      <c r="M6" s="55"/>
      <c r="N6" s="55"/>
      <c r="O6" s="55"/>
      <c r="P6" s="55"/>
      <c r="Q6" s="55"/>
      <c r="R6" s="55"/>
      <c r="S6" s="55"/>
      <c r="T6" s="55"/>
      <c r="U6" s="55"/>
      <c r="V6" s="55"/>
      <c r="W6" s="55"/>
      <c r="X6" s="55"/>
      <c r="Y6" s="55"/>
      <c r="Z6" s="55"/>
    </row>
    <row r="7">
      <c r="A7" s="55" t="str">
        <f>IFERROR(__xludf.DUMMYFUNCTION("""COMPUTED_VALUE"""),"Declined")</f>
        <v>Declined</v>
      </c>
      <c r="B7" s="94">
        <f>IFERROR(__xludf.DUMMYFUNCTION("""COMPUTED_VALUE"""),43411.0)</f>
        <v>43411</v>
      </c>
      <c r="C7" s="94">
        <f>IFERROR(__xludf.DUMMYFUNCTION("""COMPUTED_VALUE"""),43446.0)</f>
        <v>43446</v>
      </c>
      <c r="D7" s="55" t="str">
        <f>IFERROR(__xludf.DUMMYFUNCTION("""COMPUTED_VALUE"""),"Yes")</f>
        <v>Yes</v>
      </c>
      <c r="E7" s="55" t="str">
        <f>IFERROR(__xludf.DUMMYFUNCTION("""COMPUTED_VALUE"""),"Gene Disease Validity")</f>
        <v>Gene Disease Validity</v>
      </c>
      <c r="F7" s="55" t="str">
        <f>IFERROR(__xludf.DUMMYFUNCTION("""COMPUTED_VALUE"""),"Hereditary Cancer")</f>
        <v>Hereditary Cancer</v>
      </c>
      <c r="G7" s="55" t="str">
        <f>IFERROR(__xludf.DUMMYFUNCTION("""COMPUTED_VALUE"""),"Kalpana Panneerselvam")</f>
        <v>Kalpana Panneerselvam</v>
      </c>
      <c r="H7" s="55" t="str">
        <f>IFERROR(__xludf.DUMMYFUNCTION("""COMPUTED_VALUE"""),"kalpanarpanneerselvam@gmail.com")</f>
        <v>kalpanarpanneerselvam@gmail.com</v>
      </c>
      <c r="I7" s="55" t="str">
        <f>IFERROR(__xludf.DUMMYFUNCTION("""COMPUTED_VALUE"""),"Biocurator")</f>
        <v>Biocurator</v>
      </c>
      <c r="J7" s="55"/>
      <c r="K7" s="55" t="str">
        <f>IFERROR(__xludf.DUMMYFUNCTION("""COMPUTED_VALUE"""),"Gene-Disease Validity")</f>
        <v>Gene-Disease Validity</v>
      </c>
      <c r="L7" s="55"/>
      <c r="M7" s="55"/>
      <c r="N7" s="55"/>
      <c r="O7" s="55"/>
      <c r="P7" s="55"/>
      <c r="Q7" s="55"/>
      <c r="R7" s="55"/>
      <c r="S7" s="55"/>
      <c r="T7" s="55"/>
      <c r="U7" s="55"/>
      <c r="V7" s="55"/>
      <c r="W7" s="55"/>
      <c r="X7" s="55"/>
      <c r="Y7" s="55"/>
      <c r="Z7" s="55"/>
    </row>
    <row r="8">
      <c r="A8" s="55" t="str">
        <f>IFERROR(__xludf.DUMMYFUNCTION("""COMPUTED_VALUE"""),"Assigned")</f>
        <v>Assigned</v>
      </c>
      <c r="B8" s="55" t="str">
        <f>IFERROR(__xludf.DUMMYFUNCTION("""COMPUTED_VALUE"""),"")</f>
        <v/>
      </c>
      <c r="C8" s="93">
        <f>IFERROR(__xludf.DUMMYFUNCTION("""COMPUTED_VALUE"""),43580.0)</f>
        <v>43580</v>
      </c>
      <c r="D8" s="55" t="str">
        <f>IFERROR(__xludf.DUMMYFUNCTION("""COMPUTED_VALUE"""),"Yes")</f>
        <v>Yes</v>
      </c>
      <c r="E8" s="55" t="str">
        <f>IFERROR(__xludf.DUMMYFUNCTION("""COMPUTED_VALUE"""),"Dosage Sensitivity")</f>
        <v>Dosage Sensitivity</v>
      </c>
      <c r="F8" s="55" t="str">
        <f>IFERROR(__xludf.DUMMYFUNCTION("""COMPUTED_VALUE"""),"Recurrent CNVs")</f>
        <v>Recurrent CNVs</v>
      </c>
      <c r="G8" s="55" t="str">
        <f>IFERROR(__xludf.DUMMYFUNCTION("""COMPUTED_VALUE"""),"Justin Schleede Phd")</f>
        <v>Justin Schleede Phd</v>
      </c>
      <c r="H8" s="55" t="str">
        <f>IFERROR(__xludf.DUMMYFUNCTION("""COMPUTED_VALUE"""),"schleej@labcorp.com")</f>
        <v>schleej@labcorp.com</v>
      </c>
      <c r="I8" s="55" t="str">
        <f>IFERROR(__xludf.DUMMYFUNCTION("""COMPUTED_VALUE"""),"Clinical laboratory geneticist")</f>
        <v>Clinical laboratory geneticist</v>
      </c>
      <c r="J8" s="55"/>
      <c r="K8" s="55" t="str">
        <f>IFERROR(__xludf.DUMMYFUNCTION("""COMPUTED_VALUE"""),"Dosage Sensitivity")</f>
        <v>Dosage Sensitivity</v>
      </c>
      <c r="L8" s="55"/>
      <c r="M8" s="55"/>
      <c r="N8" s="55"/>
      <c r="O8" s="55"/>
      <c r="P8" s="55"/>
      <c r="Q8" s="55"/>
      <c r="R8" s="55"/>
      <c r="S8" s="55"/>
      <c r="T8" s="55"/>
      <c r="U8" s="55"/>
      <c r="V8" s="55"/>
      <c r="W8" s="55"/>
      <c r="X8" s="55"/>
      <c r="Y8" s="55"/>
      <c r="Z8" s="55"/>
    </row>
    <row r="9">
      <c r="A9" s="55" t="str">
        <f>IFERROR(__xludf.DUMMYFUNCTION("""COMPUTED_VALUE"""),"Contacted")</f>
        <v>Contacted</v>
      </c>
      <c r="B9" s="55" t="str">
        <f>IFERROR(__xludf.DUMMYFUNCTION("""COMPUTED_VALUE"""),"")</f>
        <v/>
      </c>
      <c r="C9" s="93">
        <f>IFERROR(__xludf.DUMMYFUNCTION("""COMPUTED_VALUE"""),43678.0)</f>
        <v>43678</v>
      </c>
      <c r="D9" s="55" t="str">
        <f>IFERROR(__xludf.DUMMYFUNCTION("""COMPUTED_VALUE"""),"Yes")</f>
        <v>Yes</v>
      </c>
      <c r="E9" s="55" t="str">
        <f>IFERROR(__xludf.DUMMYFUNCTION("""COMPUTED_VALUE"""),"Actionability")</f>
        <v>Actionability</v>
      </c>
      <c r="F9" s="55" t="str">
        <f>IFERROR(__xludf.DUMMYFUNCTION("""COMPUTED_VALUE"""),"")</f>
        <v/>
      </c>
      <c r="G9" s="55" t="str">
        <f>IFERROR(__xludf.DUMMYFUNCTION("""COMPUTED_VALUE"""),"Juan Carlos Diaz ")</f>
        <v>Juan Carlos Diaz </v>
      </c>
      <c r="H9" s="55" t="str">
        <f>IFERROR(__xludf.DUMMYFUNCTION("""COMPUTED_VALUE"""),"cuallijuan@hotmail.com ")</f>
        <v>cuallijuan@hotmail.com </v>
      </c>
      <c r="I9" s="55" t="str">
        <f>IFERROR(__xludf.DUMMYFUNCTION("""COMPUTED_VALUE"""),"Scientific Researcher")</f>
        <v>Scientific Researcher</v>
      </c>
      <c r="J9" s="55"/>
      <c r="K9" s="55" t="str">
        <f>IFERROR(__xludf.DUMMYFUNCTION("""COMPUTED_VALUE"""),"Clinical Actionability")</f>
        <v>Clinical Actionability</v>
      </c>
      <c r="L9" s="55"/>
      <c r="M9" s="55"/>
      <c r="N9" s="55"/>
      <c r="O9" s="55"/>
      <c r="P9" s="55"/>
      <c r="Q9" s="55"/>
      <c r="R9" s="55"/>
      <c r="S9" s="55"/>
      <c r="T9" s="55"/>
      <c r="U9" s="55"/>
      <c r="V9" s="55"/>
      <c r="W9" s="55"/>
      <c r="X9" s="55"/>
      <c r="Y9" s="55"/>
      <c r="Z9" s="55"/>
    </row>
    <row r="10">
      <c r="A10" s="55" t="str">
        <f>IFERROR(__xludf.DUMMYFUNCTION("""COMPUTED_VALUE"""),"Contacted")</f>
        <v>Contacted</v>
      </c>
      <c r="B10" s="55" t="str">
        <f>IFERROR(__xludf.DUMMYFUNCTION("""COMPUTED_VALUE"""),"")</f>
        <v/>
      </c>
      <c r="C10" s="93">
        <f>IFERROR(__xludf.DUMMYFUNCTION("""COMPUTED_VALUE"""),43570.0)</f>
        <v>43570</v>
      </c>
      <c r="D10" s="55" t="str">
        <f>IFERROR(__xludf.DUMMYFUNCTION("""COMPUTED_VALUE"""),"Yes")</f>
        <v>Yes</v>
      </c>
      <c r="E10" s="55" t="str">
        <f>IFERROR(__xludf.DUMMYFUNCTION("""COMPUTED_VALUE"""),"Gene Disease Validity")</f>
        <v>Gene Disease Validity</v>
      </c>
      <c r="F10" s="55" t="str">
        <f>IFERROR(__xludf.DUMMYFUNCTION("""COMPUTED_VALUE"""),"Dilated Cardiomyopathy")</f>
        <v>Dilated Cardiomyopathy</v>
      </c>
      <c r="G10" s="55" t="str">
        <f>IFERROR(__xludf.DUMMYFUNCTION("""COMPUTED_VALUE"""),"Tomohiko Ai")</f>
        <v>Tomohiko Ai</v>
      </c>
      <c r="H10" s="55" t="str">
        <f>IFERROR(__xludf.DUMMYFUNCTION("""COMPUTED_VALUE"""),"Tomohiko.Ai@osumc.edu")</f>
        <v>Tomohiko.Ai@osumc.edu</v>
      </c>
      <c r="I10" s="55" t="str">
        <f>IFERROR(__xludf.DUMMYFUNCTION("""COMPUTED_VALUE"""),"Scientific Researcher")</f>
        <v>Scientific Researcher</v>
      </c>
      <c r="J10" s="55"/>
      <c r="K10" s="55" t="str">
        <f>IFERROR(__xludf.DUMMYFUNCTION("""COMPUTED_VALUE"""),"Gene-Disease Validity")</f>
        <v>Gene-Disease Validity</v>
      </c>
      <c r="L10" s="55"/>
      <c r="M10" s="55"/>
      <c r="N10" s="55"/>
      <c r="O10" s="55"/>
      <c r="P10" s="55"/>
      <c r="Q10" s="55"/>
      <c r="R10" s="55"/>
      <c r="S10" s="55"/>
      <c r="T10" s="55"/>
      <c r="U10" s="55"/>
      <c r="V10" s="55"/>
      <c r="W10" s="55"/>
      <c r="X10" s="55"/>
      <c r="Y10" s="55"/>
      <c r="Z10" s="55"/>
    </row>
    <row r="11">
      <c r="A11" s="55" t="str">
        <f>IFERROR(__xludf.DUMMYFUNCTION("""COMPUTED_VALUE"""),"Unresponsive")</f>
        <v>Unresponsive</v>
      </c>
      <c r="B11" s="94">
        <f>IFERROR(__xludf.DUMMYFUNCTION("""COMPUTED_VALUE"""),43474.0)</f>
        <v>43474</v>
      </c>
      <c r="C11" s="104">
        <f>IFERROR(__xludf.DUMMYFUNCTION("""COMPUTED_VALUE"""),43476.0)</f>
        <v>43476</v>
      </c>
      <c r="D11" s="55" t="str">
        <f>IFERROR(__xludf.DUMMYFUNCTION("""COMPUTED_VALUE"""),"Yes")</f>
        <v>Yes</v>
      </c>
      <c r="E11" s="55" t="str">
        <f>IFERROR(__xludf.DUMMYFUNCTION("""COMPUTED_VALUE"""),"Somatic Cancer")</f>
        <v>Somatic Cancer</v>
      </c>
      <c r="F11" s="55" t="str">
        <f>IFERROR(__xludf.DUMMYFUNCTION("""COMPUTED_VALUE"""),"Somatic WG")</f>
        <v>Somatic WG</v>
      </c>
      <c r="G11" s="55" t="str">
        <f>IFERROR(__xludf.DUMMYFUNCTION("""COMPUTED_VALUE"""),"Rajavarman Kittu")</f>
        <v>Rajavarman Kittu</v>
      </c>
      <c r="H11" s="55" t="str">
        <f>IFERROR(__xludf.DUMMYFUNCTION("""COMPUTED_VALUE"""),"rajavarman21@gmail.com")</f>
        <v>rajavarman21@gmail.com</v>
      </c>
      <c r="I11" s="55" t="str">
        <f>IFERROR(__xludf.DUMMYFUNCTION("""COMPUTED_VALUE"""),"Variant Analyst/Scientist")</f>
        <v>Variant Analyst/Scientist</v>
      </c>
      <c r="J11" s="55"/>
      <c r="K11" s="55" t="str">
        <f>IFERROR(__xludf.DUMMYFUNCTION("""COMPUTED_VALUE"""),"Somatic Cancer")</f>
        <v>Somatic Cancer</v>
      </c>
      <c r="L11" s="55"/>
      <c r="M11" s="55"/>
      <c r="N11" s="55"/>
      <c r="O11" s="55"/>
      <c r="P11" s="55"/>
      <c r="Q11" s="55"/>
      <c r="R11" s="55"/>
      <c r="S11" s="55"/>
      <c r="T11" s="55"/>
      <c r="U11" s="55"/>
      <c r="V11" s="55"/>
      <c r="W11" s="55"/>
      <c r="X11" s="55"/>
      <c r="Y11" s="55"/>
      <c r="Z11" s="55"/>
    </row>
    <row r="12">
      <c r="A12" s="55" t="str">
        <f>IFERROR(__xludf.DUMMYFUNCTION("""COMPUTED_VALUE"""),"Contacted")</f>
        <v>Contacted</v>
      </c>
      <c r="B12" s="55" t="str">
        <f>IFERROR(__xludf.DUMMYFUNCTION("""COMPUTED_VALUE"""),"")</f>
        <v/>
      </c>
      <c r="C12" s="93">
        <f>IFERROR(__xludf.DUMMYFUNCTION("""COMPUTED_VALUE"""),43678.0)</f>
        <v>43678</v>
      </c>
      <c r="D12" s="55" t="str">
        <f>IFERROR(__xludf.DUMMYFUNCTION("""COMPUTED_VALUE"""),"Yes")</f>
        <v>Yes</v>
      </c>
      <c r="E12" s="55" t="str">
        <f>IFERROR(__xludf.DUMMYFUNCTION("""COMPUTED_VALUE"""),"Actionability")</f>
        <v>Actionability</v>
      </c>
      <c r="F12" s="55" t="str">
        <f>IFERROR(__xludf.DUMMYFUNCTION("""COMPUTED_VALUE"""),"")</f>
        <v/>
      </c>
      <c r="G12" s="55" t="str">
        <f>IFERROR(__xludf.DUMMYFUNCTION("""COMPUTED_VALUE"""),"Rhea Vallente")</f>
        <v>Rhea Vallente</v>
      </c>
      <c r="H12" s="55" t="str">
        <f>IFERROR(__xludf.DUMMYFUNCTION("""COMPUTED_VALUE"""),"rvallente@fulgentgenetics.com")</f>
        <v>rvallente@fulgentgenetics.com</v>
      </c>
      <c r="I12" s="55" t="str">
        <f>IFERROR(__xludf.DUMMYFUNCTION("""COMPUTED_VALUE"""),"Variant Analyst/Scientist")</f>
        <v>Variant Analyst/Scientist</v>
      </c>
      <c r="J12" s="55"/>
      <c r="K12" s="55" t="str">
        <f>IFERROR(__xludf.DUMMYFUNCTION("""COMPUTED_VALUE"""),"Clinical Actionability")</f>
        <v>Clinical Actionability</v>
      </c>
      <c r="L12" s="55"/>
      <c r="M12" s="55"/>
      <c r="N12" s="55"/>
      <c r="O12" s="55"/>
      <c r="P12" s="55"/>
      <c r="Q12" s="55"/>
      <c r="R12" s="55"/>
      <c r="S12" s="55"/>
      <c r="T12" s="55"/>
      <c r="U12" s="55"/>
      <c r="V12" s="55"/>
      <c r="W12" s="55"/>
      <c r="X12" s="55"/>
      <c r="Y12" s="55"/>
      <c r="Z12" s="55"/>
    </row>
    <row r="13">
      <c r="A13" s="55" t="str">
        <f>IFERROR(__xludf.DUMMYFUNCTION("""COMPUTED_VALUE"""),"Declined")</f>
        <v>Declined</v>
      </c>
      <c r="B13" s="55" t="str">
        <f>IFERROR(__xludf.DUMMYFUNCTION("""COMPUTED_VALUE"""),"")</f>
        <v/>
      </c>
      <c r="C13" s="94">
        <f>IFERROR(__xludf.DUMMYFUNCTION("""COMPUTED_VALUE"""),43585.0)</f>
        <v>43585</v>
      </c>
      <c r="D13" s="55" t="str">
        <f>IFERROR(__xludf.DUMMYFUNCTION("""COMPUTED_VALUE"""),"Yes")</f>
        <v>Yes</v>
      </c>
      <c r="E13" s="55" t="str">
        <f>IFERROR(__xludf.DUMMYFUNCTION("""COMPUTED_VALUE"""),"Gene Disease Validity")</f>
        <v>Gene Disease Validity</v>
      </c>
      <c r="F13" s="55" t="str">
        <f>IFERROR(__xludf.DUMMYFUNCTION("""COMPUTED_VALUE"""),"ID/Autism")</f>
        <v>ID/Autism</v>
      </c>
      <c r="G13" s="55" t="str">
        <f>IFERROR(__xludf.DUMMYFUNCTION("""COMPUTED_VALUE"""),"Caitlin Hale")</f>
        <v>Caitlin Hale</v>
      </c>
      <c r="H13" s="55" t="str">
        <f>IFERROR(__xludf.DUMMYFUNCTION("""COMPUTED_VALUE"""),"CHale@stanfordchildrens.org")</f>
        <v>CHale@stanfordchildrens.org</v>
      </c>
      <c r="I13" s="55" t="str">
        <f>IFERROR(__xludf.DUMMYFUNCTION("""COMPUTED_VALUE"""),"Genetic counselor")</f>
        <v>Genetic counselor</v>
      </c>
      <c r="J13" s="55"/>
      <c r="K13" s="55" t="str">
        <f>IFERROR(__xludf.DUMMYFUNCTION("""COMPUTED_VALUE"""),"Gene-Disease Validity")</f>
        <v>Gene-Disease Validity</v>
      </c>
      <c r="L13" s="55"/>
      <c r="M13" s="55"/>
      <c r="N13" s="55"/>
      <c r="O13" s="55"/>
      <c r="P13" s="55"/>
      <c r="Q13" s="55"/>
      <c r="R13" s="55"/>
      <c r="S13" s="55"/>
      <c r="T13" s="55"/>
      <c r="U13" s="55"/>
      <c r="V13" s="55"/>
      <c r="W13" s="55"/>
      <c r="X13" s="55"/>
      <c r="Y13" s="55"/>
      <c r="Z13" s="55"/>
    </row>
    <row r="14">
      <c r="A14" s="55" t="str">
        <f>IFERROR(__xludf.DUMMYFUNCTION("""COMPUTED_VALUE"""),"Contacted")</f>
        <v>Contacted</v>
      </c>
      <c r="B14" s="55" t="str">
        <f>IFERROR(__xludf.DUMMYFUNCTION("""COMPUTED_VALUE"""),"")</f>
        <v/>
      </c>
      <c r="C14" s="105">
        <f>IFERROR(__xludf.DUMMYFUNCTION("""COMPUTED_VALUE"""),43567.0)</f>
        <v>43567</v>
      </c>
      <c r="D14" s="55" t="str">
        <f>IFERROR(__xludf.DUMMYFUNCTION("""COMPUTED_VALUE"""),"Yes")</f>
        <v>Yes</v>
      </c>
      <c r="E14" s="55" t="str">
        <f>IFERROR(__xludf.DUMMYFUNCTION("""COMPUTED_VALUE"""),"Actionability")</f>
        <v>Actionability</v>
      </c>
      <c r="F14" s="55" t="str">
        <f>IFERROR(__xludf.DUMMYFUNCTION("""COMPUTED_VALUE"""),"Actionability")</f>
        <v>Actionability</v>
      </c>
      <c r="G14" s="55" t="str">
        <f>IFERROR(__xludf.DUMMYFUNCTION("""COMPUTED_VALUE"""),"Melissa Murfin")</f>
        <v>Melissa Murfin</v>
      </c>
      <c r="H14" s="55" t="str">
        <f>IFERROR(__xludf.DUMMYFUNCTION("""COMPUTED_VALUE"""),"mmurfin@elon.edu")</f>
        <v>mmurfin@elon.edu</v>
      </c>
      <c r="I14" s="55" t="str">
        <f>IFERROR(__xludf.DUMMYFUNCTION("""COMPUTED_VALUE"""),"Pharmacist/PA-C, PA program director")</f>
        <v>Pharmacist/PA-C, PA program director</v>
      </c>
      <c r="J14" s="55"/>
      <c r="K14" s="55" t="str">
        <f>IFERROR(__xludf.DUMMYFUNCTION("""COMPUTED_VALUE"""),"Clinical Actionability")</f>
        <v>Clinical Actionability</v>
      </c>
      <c r="L14" s="55"/>
      <c r="M14" s="55"/>
      <c r="N14" s="55"/>
      <c r="O14" s="55"/>
      <c r="P14" s="55"/>
      <c r="Q14" s="55"/>
      <c r="R14" s="55"/>
      <c r="S14" s="55"/>
      <c r="T14" s="55"/>
      <c r="U14" s="55"/>
      <c r="V14" s="55"/>
      <c r="W14" s="55"/>
      <c r="X14" s="55"/>
      <c r="Y14" s="55"/>
      <c r="Z14" s="55"/>
    </row>
    <row r="15">
      <c r="A15" s="55" t="str">
        <f>IFERROR(__xludf.DUMMYFUNCTION("""COMPUTED_VALUE"""),"Contacted")</f>
        <v>Contacted</v>
      </c>
      <c r="B15" s="55" t="str">
        <f>IFERROR(__xludf.DUMMYFUNCTION("""COMPUTED_VALUE"""),"")</f>
        <v/>
      </c>
      <c r="C15" s="93">
        <f>IFERROR(__xludf.DUMMYFUNCTION("""COMPUTED_VALUE"""),43585.0)</f>
        <v>43585</v>
      </c>
      <c r="D15" s="55" t="str">
        <f>IFERROR(__xludf.DUMMYFUNCTION("""COMPUTED_VALUE"""),"Yes")</f>
        <v>Yes</v>
      </c>
      <c r="E15" s="55" t="str">
        <f>IFERROR(__xludf.DUMMYFUNCTION("""COMPUTED_VALUE"""),"Gene Disease Validity")</f>
        <v>Gene Disease Validity</v>
      </c>
      <c r="F15" s="55" t="str">
        <f>IFERROR(__xludf.DUMMYFUNCTION("""COMPUTED_VALUE"""),"Hemo/Thrombo")</f>
        <v>Hemo/Thrombo</v>
      </c>
      <c r="G15" s="55" t="str">
        <f>IFERROR(__xludf.DUMMYFUNCTION("""COMPUTED_VALUE"""),"Ana León")</f>
        <v>Ana León</v>
      </c>
      <c r="H15" s="55" t="str">
        <f>IFERROR(__xludf.DUMMYFUNCTION("""COMPUTED_VALUE"""),"aleon@pros.upv.es")</f>
        <v>aleon@pros.upv.es</v>
      </c>
      <c r="I15" s="55" t="str">
        <f>IFERROR(__xludf.DUMMYFUNCTION("""COMPUTED_VALUE"""),"PhD Student")</f>
        <v>PhD Student</v>
      </c>
      <c r="J15" s="55"/>
      <c r="K15" s="55" t="str">
        <f>IFERROR(__xludf.DUMMYFUNCTION("""COMPUTED_VALUE"""),"Gene-Disease Validity")</f>
        <v>Gene-Disease Validity</v>
      </c>
      <c r="L15" s="55"/>
      <c r="M15" s="55"/>
      <c r="N15" s="55"/>
      <c r="O15" s="55"/>
      <c r="P15" s="55"/>
      <c r="Q15" s="55"/>
      <c r="R15" s="55"/>
      <c r="S15" s="55"/>
      <c r="T15" s="55"/>
      <c r="U15" s="55"/>
      <c r="V15" s="55"/>
      <c r="W15" s="55"/>
      <c r="X15" s="55"/>
      <c r="Y15" s="55"/>
      <c r="Z15" s="55"/>
    </row>
    <row r="16">
      <c r="A16" s="55" t="str">
        <f>IFERROR(__xludf.DUMMYFUNCTION("""COMPUTED_VALUE"""),"Assigned")</f>
        <v>Assigned</v>
      </c>
      <c r="B16" s="94">
        <f>IFERROR(__xludf.DUMMYFUNCTION("""COMPUTED_VALUE"""),43437.0)</f>
        <v>43437</v>
      </c>
      <c r="C16" s="94">
        <f>IFERROR(__xludf.DUMMYFUNCTION("""COMPUTED_VALUE"""),43446.0)</f>
        <v>43446</v>
      </c>
      <c r="D16" s="55" t="str">
        <f>IFERROR(__xludf.DUMMYFUNCTION("""COMPUTED_VALUE"""),"Yes")</f>
        <v>Yes</v>
      </c>
      <c r="E16" s="55" t="str">
        <f>IFERROR(__xludf.DUMMYFUNCTION("""COMPUTED_VALUE"""),"Gene Disease Validity")</f>
        <v>Gene Disease Validity</v>
      </c>
      <c r="F16" s="55" t="str">
        <f>IFERROR(__xludf.DUMMYFUNCTION("""COMPUTED_VALUE"""),"ID Autism")</f>
        <v>ID Autism</v>
      </c>
      <c r="G16" s="55" t="str">
        <f>IFERROR(__xludf.DUMMYFUNCTION("""COMPUTED_VALUE"""),"Catalina Betancur")</f>
        <v>Catalina Betancur</v>
      </c>
      <c r="H16" s="55" t="str">
        <f>IFERROR(__xludf.DUMMYFUNCTION("""COMPUTED_VALUE"""),"Catalina.Betancur@inserm.fr")</f>
        <v>Catalina.Betancur@inserm.fr</v>
      </c>
      <c r="I16" s="55" t="str">
        <f>IFERROR(__xludf.DUMMYFUNCTION("""COMPUTED_VALUE"""),"NA")</f>
        <v>NA</v>
      </c>
      <c r="J16" s="55"/>
      <c r="K16" s="55" t="str">
        <f>IFERROR(__xludf.DUMMYFUNCTION("""COMPUTED_VALUE"""),"Gene-Disease Validity")</f>
        <v>Gene-Disease Validity</v>
      </c>
      <c r="L16" s="55"/>
      <c r="M16" s="55"/>
      <c r="N16" s="55"/>
      <c r="O16" s="55"/>
      <c r="P16" s="55"/>
      <c r="Q16" s="55"/>
      <c r="R16" s="55"/>
      <c r="S16" s="55"/>
      <c r="T16" s="55"/>
      <c r="U16" s="55"/>
      <c r="V16" s="55"/>
      <c r="W16" s="55"/>
      <c r="X16" s="55"/>
      <c r="Y16" s="55"/>
      <c r="Z16" s="55"/>
    </row>
    <row r="17">
      <c r="A17" s="55" t="str">
        <f>IFERROR(__xludf.DUMMYFUNCTION("""COMPUTED_VALUE"""),"Contacted")</f>
        <v>Contacted</v>
      </c>
      <c r="B17" s="55" t="str">
        <f>IFERROR(__xludf.DUMMYFUNCTION("""COMPUTED_VALUE"""),"")</f>
        <v/>
      </c>
      <c r="C17" s="93">
        <f>IFERROR(__xludf.DUMMYFUNCTION("""COMPUTED_VALUE"""),43580.0)</f>
        <v>43580</v>
      </c>
      <c r="D17" s="55" t="str">
        <f>IFERROR(__xludf.DUMMYFUNCTION("""COMPUTED_VALUE"""),"Yes")</f>
        <v>Yes</v>
      </c>
      <c r="E17" s="55" t="str">
        <f>IFERROR(__xludf.DUMMYFUNCTION("""COMPUTED_VALUE"""),"Dosage Sensitivity")</f>
        <v>Dosage Sensitivity</v>
      </c>
      <c r="F17" s="55" t="str">
        <f>IFERROR(__xludf.DUMMYFUNCTION("""COMPUTED_VALUE"""),"")</f>
        <v/>
      </c>
      <c r="G17" s="55" t="str">
        <f>IFERROR(__xludf.DUMMYFUNCTION("""COMPUTED_VALUE"""),"Shulin Zhang")</f>
        <v>Shulin Zhang</v>
      </c>
      <c r="H17" s="55" t="str">
        <f>IFERROR(__xludf.DUMMYFUNCTION("""COMPUTED_VALUE"""),"shulin.zhang@uky.edu")</f>
        <v>shulin.zhang@uky.edu</v>
      </c>
      <c r="I17" s="55" t="str">
        <f>IFERROR(__xludf.DUMMYFUNCTION("""COMPUTED_VALUE"""),"Clinical laboratory geneticist")</f>
        <v>Clinical laboratory geneticist</v>
      </c>
      <c r="J17" s="55"/>
      <c r="K17" s="55" t="str">
        <f>IFERROR(__xludf.DUMMYFUNCTION("""COMPUTED_VALUE"""),"Dosage Sensitivity")</f>
        <v>Dosage Sensitivity</v>
      </c>
      <c r="L17" s="55"/>
      <c r="M17" s="55"/>
      <c r="N17" s="55"/>
      <c r="O17" s="55"/>
      <c r="P17" s="55"/>
      <c r="Q17" s="55"/>
      <c r="R17" s="55"/>
      <c r="S17" s="55"/>
      <c r="T17" s="55"/>
      <c r="U17" s="55"/>
      <c r="V17" s="55"/>
      <c r="W17" s="55"/>
      <c r="X17" s="55"/>
      <c r="Y17" s="55"/>
      <c r="Z17" s="55"/>
    </row>
    <row r="18">
      <c r="A18" s="55" t="str">
        <f>IFERROR(__xludf.DUMMYFUNCTION("""COMPUTED_VALUE"""),"Contacted")</f>
        <v>Contacted</v>
      </c>
      <c r="B18" s="55" t="str">
        <f>IFERROR(__xludf.DUMMYFUNCTION("""COMPUTED_VALUE"""),"")</f>
        <v/>
      </c>
      <c r="C18" s="105">
        <f>IFERROR(__xludf.DUMMYFUNCTION("""COMPUTED_VALUE"""),43567.0)</f>
        <v>43567</v>
      </c>
      <c r="D18" s="55" t="str">
        <f>IFERROR(__xludf.DUMMYFUNCTION("""COMPUTED_VALUE"""),"Yes")</f>
        <v>Yes</v>
      </c>
      <c r="E18" s="55" t="str">
        <f>IFERROR(__xludf.DUMMYFUNCTION("""COMPUTED_VALUE"""),"Actionability")</f>
        <v>Actionability</v>
      </c>
      <c r="F18" s="55" t="str">
        <f>IFERROR(__xludf.DUMMYFUNCTION("""COMPUTED_VALUE"""),"")</f>
        <v/>
      </c>
      <c r="G18" s="55" t="str">
        <f>IFERROR(__xludf.DUMMYFUNCTION("""COMPUTED_VALUE"""),"Marwan Shinawi")</f>
        <v>Marwan Shinawi</v>
      </c>
      <c r="H18" s="55" t="str">
        <f>IFERROR(__xludf.DUMMYFUNCTION("""COMPUTED_VALUE"""),"mshinawi@wustl.edu")</f>
        <v>mshinawi@wustl.edu</v>
      </c>
      <c r="I18" s="55" t="str">
        <f>IFERROR(__xludf.DUMMYFUNCTION("""COMPUTED_VALUE"""),"Clinical Medical Geneticist")</f>
        <v>Clinical Medical Geneticist</v>
      </c>
      <c r="J18" s="55"/>
      <c r="K18" s="55" t="str">
        <f>IFERROR(__xludf.DUMMYFUNCTION("""COMPUTED_VALUE"""),"Clinical Actionability")</f>
        <v>Clinical Actionability</v>
      </c>
      <c r="L18" s="55"/>
      <c r="M18" s="55"/>
      <c r="N18" s="55"/>
      <c r="O18" s="55"/>
      <c r="P18" s="55"/>
      <c r="Q18" s="55"/>
      <c r="R18" s="55"/>
      <c r="S18" s="55"/>
      <c r="T18" s="55"/>
      <c r="U18" s="55"/>
      <c r="V18" s="55"/>
      <c r="W18" s="55"/>
      <c r="X18" s="55"/>
      <c r="Y18" s="55"/>
      <c r="Z18" s="55"/>
    </row>
    <row r="19">
      <c r="A19" s="55" t="str">
        <f>IFERROR(__xludf.DUMMYFUNCTION("""COMPUTED_VALUE"""),"Contacted")</f>
        <v>Contacted</v>
      </c>
      <c r="B19" s="55" t="str">
        <f>IFERROR(__xludf.DUMMYFUNCTION("""COMPUTED_VALUE"""),"")</f>
        <v/>
      </c>
      <c r="C19" s="93">
        <f>IFERROR(__xludf.DUMMYFUNCTION("""COMPUTED_VALUE"""),43605.0)</f>
        <v>43605</v>
      </c>
      <c r="D19" s="55" t="str">
        <f>IFERROR(__xludf.DUMMYFUNCTION("""COMPUTED_VALUE"""),"Yes")</f>
        <v>Yes</v>
      </c>
      <c r="E19" s="55" t="str">
        <f>IFERROR(__xludf.DUMMYFUNCTION("""COMPUTED_VALUE"""),"Variant Pathogenicity")</f>
        <v>Variant Pathogenicity</v>
      </c>
      <c r="F19" s="55" t="str">
        <f>IFERROR(__xludf.DUMMYFUNCTION("""COMPUTED_VALUE"""),"Hearing Loss")</f>
        <v>Hearing Loss</v>
      </c>
      <c r="G19" s="55" t="str">
        <f>IFERROR(__xludf.DUMMYFUNCTION("""COMPUTED_VALUE"""),"Adam Coovadia")</f>
        <v>Adam Coovadia</v>
      </c>
      <c r="H19" s="55" t="str">
        <f>IFERROR(__xludf.DUMMYFUNCTION("""COMPUTED_VALUE"""),"coovadiaa@gmail.com")</f>
        <v>coovadiaa@gmail.com</v>
      </c>
      <c r="I19" s="55" t="str">
        <f>IFERROR(__xludf.DUMMYFUNCTION("""COMPUTED_VALUE"""),"Former Lab Operations Director/Molecular Genetics Lab Supervisor and College Professor of Bioinformatics, Genetics, Cell Biology, Biotechnology")</f>
        <v>Former Lab Operations Director/Molecular Genetics Lab Supervisor and College Professor of Bioinformatics, Genetics, Cell Biology, Biotechnology</v>
      </c>
      <c r="J19" s="55"/>
      <c r="K19" s="55" t="str">
        <f>IFERROR(__xludf.DUMMYFUNCTION("""COMPUTED_VALUE"""),"Variant Pathogenicity")</f>
        <v>Variant Pathogenicity</v>
      </c>
      <c r="L19" s="55"/>
      <c r="M19" s="55"/>
      <c r="N19" s="55"/>
      <c r="O19" s="55"/>
      <c r="P19" s="55"/>
      <c r="Q19" s="55"/>
      <c r="R19" s="55"/>
      <c r="S19" s="55"/>
      <c r="T19" s="55"/>
      <c r="U19" s="55"/>
      <c r="V19" s="55"/>
      <c r="W19" s="55"/>
      <c r="X19" s="55"/>
      <c r="Y19" s="55"/>
      <c r="Z19" s="55"/>
    </row>
    <row r="20">
      <c r="A20" s="55" t="str">
        <f>IFERROR(__xludf.DUMMYFUNCTION("""COMPUTED_VALUE"""),"Assigned")</f>
        <v>Assigned</v>
      </c>
      <c r="B20" s="94">
        <f>IFERROR(__xludf.DUMMYFUNCTION("""COMPUTED_VALUE"""),43446.0)</f>
        <v>43446</v>
      </c>
      <c r="C20" s="94">
        <f>IFERROR(__xludf.DUMMYFUNCTION("""COMPUTED_VALUE"""),43446.0)</f>
        <v>43446</v>
      </c>
      <c r="D20" s="55" t="str">
        <f>IFERROR(__xludf.DUMMYFUNCTION("""COMPUTED_VALUE"""),"Yes")</f>
        <v>Yes</v>
      </c>
      <c r="E20" s="55" t="str">
        <f>IFERROR(__xludf.DUMMYFUNCTION("""COMPUTED_VALUE"""),"Gene Disease Validity")</f>
        <v>Gene Disease Validity</v>
      </c>
      <c r="F20" s="55" t="str">
        <f>IFERROR(__xludf.DUMMYFUNCTION("""COMPUTED_VALUE"""),"Hereditary Cancer")</f>
        <v>Hereditary Cancer</v>
      </c>
      <c r="G20" s="55" t="str">
        <f>IFERROR(__xludf.DUMMYFUNCTION("""COMPUTED_VALUE"""),"Volkan Okur")</f>
        <v>Volkan Okur</v>
      </c>
      <c r="H20" s="55" t="str">
        <f>IFERROR(__xludf.DUMMYFUNCTION("""COMPUTED_VALUE"""),"vokur@bcm.edu")</f>
        <v>vokur@bcm.edu</v>
      </c>
      <c r="I20" s="55" t="str">
        <f>IFERROR(__xludf.DUMMYFUNCTION("""COMPUTED_VALUE"""),"Clinical medical geneticist/Clinical laboratory geneticist/Post Doc/Resident/Fellow (MD and/or Phd)/Scientific Researcher/Variant Analyst/Scientist")</f>
        <v>Clinical medical geneticist/Clinical laboratory geneticist/Post Doc/Resident/Fellow (MD and/or Phd)/Scientific Researcher/Variant Analyst/Scientist</v>
      </c>
      <c r="J20" s="55"/>
      <c r="K20" s="55" t="str">
        <f>IFERROR(__xludf.DUMMYFUNCTION("""COMPUTED_VALUE"""),"Gene-Disease Validity")</f>
        <v>Gene-Disease Validity</v>
      </c>
      <c r="L20" s="55"/>
      <c r="M20" s="55"/>
      <c r="N20" s="55"/>
      <c r="O20" s="55"/>
      <c r="P20" s="55"/>
      <c r="Q20" s="55"/>
      <c r="R20" s="55"/>
      <c r="S20" s="55"/>
      <c r="T20" s="55"/>
      <c r="U20" s="55"/>
      <c r="V20" s="55"/>
      <c r="W20" s="55"/>
      <c r="X20" s="55"/>
      <c r="Y20" s="55"/>
      <c r="Z20" s="55"/>
    </row>
    <row r="21">
      <c r="A21" s="55" t="str">
        <f>IFERROR(__xludf.DUMMYFUNCTION("""COMPUTED_VALUE"""),"Assigned")</f>
        <v>Assigned</v>
      </c>
      <c r="B21" s="94">
        <f>IFERROR(__xludf.DUMMYFUNCTION("""COMPUTED_VALUE"""),43411.0)</f>
        <v>43411</v>
      </c>
      <c r="C21" s="94">
        <f>IFERROR(__xludf.DUMMYFUNCTION("""COMPUTED_VALUE"""),43446.0)</f>
        <v>43446</v>
      </c>
      <c r="D21" s="55" t="str">
        <f>IFERROR(__xludf.DUMMYFUNCTION("""COMPUTED_VALUE"""),"Yes")</f>
        <v>Yes</v>
      </c>
      <c r="E21" s="55" t="str">
        <f>IFERROR(__xludf.DUMMYFUNCTION("""COMPUTED_VALUE"""),"Gene Disease Validity")</f>
        <v>Gene Disease Validity</v>
      </c>
      <c r="F21" s="55" t="str">
        <f>IFERROR(__xludf.DUMMYFUNCTION("""COMPUTED_VALUE"""),"ID/Autism")</f>
        <v>ID/Autism</v>
      </c>
      <c r="G21" s="55" t="str">
        <f>IFERROR(__xludf.DUMMYFUNCTION("""COMPUTED_VALUE"""),"Mythily Ganapathi")</f>
        <v>Mythily Ganapathi</v>
      </c>
      <c r="H21" s="55" t="str">
        <f>IFERROR(__xludf.DUMMYFUNCTION("""COMPUTED_VALUE"""),"mg3560@cumc.columbia.edu")</f>
        <v>mg3560@cumc.columbia.edu</v>
      </c>
      <c r="I21" s="55" t="str">
        <f>IFERROR(__xludf.DUMMYFUNCTION("""COMPUTED_VALUE"""),"Clinical laboratory geneticist")</f>
        <v>Clinical laboratory geneticist</v>
      </c>
      <c r="J21" s="55"/>
      <c r="K21" s="55" t="str">
        <f>IFERROR(__xludf.DUMMYFUNCTION("""COMPUTED_VALUE"""),"Gene-Disease Validity")</f>
        <v>Gene-Disease Validity</v>
      </c>
      <c r="L21" s="55"/>
      <c r="M21" s="55"/>
      <c r="N21" s="55"/>
      <c r="O21" s="55"/>
      <c r="P21" s="55"/>
      <c r="Q21" s="55"/>
      <c r="R21" s="55"/>
      <c r="S21" s="55"/>
      <c r="T21" s="55"/>
      <c r="U21" s="55"/>
      <c r="V21" s="55"/>
      <c r="W21" s="55"/>
      <c r="X21" s="55"/>
      <c r="Y21" s="55"/>
      <c r="Z21" s="55"/>
    </row>
    <row r="22">
      <c r="A22" s="55" t="str">
        <f>IFERROR(__xludf.DUMMYFUNCTION("""COMPUTED_VALUE"""),"Unresponsive")</f>
        <v>Unresponsive</v>
      </c>
      <c r="B22" s="105" t="str">
        <f>IFERROR(__xludf.DUMMYFUNCTION("""COMPUTED_VALUE"""),"")</f>
        <v/>
      </c>
      <c r="C22" s="93">
        <f>IFERROR(__xludf.DUMMYFUNCTION("""COMPUTED_VALUE"""),43585.0)</f>
        <v>43585</v>
      </c>
      <c r="D22" s="55" t="str">
        <f>IFERROR(__xludf.DUMMYFUNCTION("""COMPUTED_VALUE"""),"Yes")</f>
        <v>Yes</v>
      </c>
      <c r="E22" s="55" t="str">
        <f>IFERROR(__xludf.DUMMYFUNCTION("""COMPUTED_VALUE"""),"Gene Disease Validity")</f>
        <v>Gene Disease Validity</v>
      </c>
      <c r="F22" s="55" t="str">
        <f>IFERROR(__xludf.DUMMYFUNCTION("""COMPUTED_VALUE"""),"")</f>
        <v/>
      </c>
      <c r="G22" s="55" t="str">
        <f>IFERROR(__xludf.DUMMYFUNCTION("""COMPUTED_VALUE"""),"Leslie Oldfield")</f>
        <v>Leslie Oldfield</v>
      </c>
      <c r="H22" s="55" t="str">
        <f>IFERROR(__xludf.DUMMYFUNCTION("""COMPUTED_VALUE"""),"leslie.oldfield@gmail.com")</f>
        <v>leslie.oldfield@gmail.com</v>
      </c>
      <c r="I22" s="55" t="str">
        <f>IFERROR(__xludf.DUMMYFUNCTION("""COMPUTED_VALUE"""),"Research Associate")</f>
        <v>Research Associate</v>
      </c>
      <c r="J22" s="55"/>
      <c r="K22" s="55" t="str">
        <f>IFERROR(__xludf.DUMMYFUNCTION("""COMPUTED_VALUE"""),"Gene-Disease Validity")</f>
        <v>Gene-Disease Validity</v>
      </c>
      <c r="L22" s="55"/>
      <c r="M22" s="55"/>
      <c r="N22" s="55"/>
      <c r="O22" s="55"/>
      <c r="P22" s="55"/>
      <c r="Q22" s="55"/>
      <c r="R22" s="55"/>
      <c r="S22" s="55"/>
      <c r="T22" s="55"/>
      <c r="U22" s="55"/>
      <c r="V22" s="55"/>
      <c r="W22" s="55"/>
      <c r="X22" s="55"/>
      <c r="Y22" s="55"/>
      <c r="Z22" s="55"/>
    </row>
    <row r="23">
      <c r="A23" s="55" t="str">
        <f>IFERROR(__xludf.DUMMYFUNCTION("""COMPUTED_VALUE"""),"Assigned")</f>
        <v>Assigned</v>
      </c>
      <c r="B23" s="105">
        <f>IFERROR(__xludf.DUMMYFUNCTION("""COMPUTED_VALUE"""),43411.0)</f>
        <v>43411</v>
      </c>
      <c r="C23" s="94">
        <f>IFERROR(__xludf.DUMMYFUNCTION("""COMPUTED_VALUE"""),43446.0)</f>
        <v>43446</v>
      </c>
      <c r="D23" s="55" t="str">
        <f>IFERROR(__xludf.DUMMYFUNCTION("""COMPUTED_VALUE"""),"Yes")</f>
        <v>Yes</v>
      </c>
      <c r="E23" s="55" t="str">
        <f>IFERROR(__xludf.DUMMYFUNCTION("""COMPUTED_VALUE"""),"Gene Disease Validity")</f>
        <v>Gene Disease Validity</v>
      </c>
      <c r="F23" s="55" t="str">
        <f>IFERROR(__xludf.DUMMYFUNCTION("""COMPUTED_VALUE"""),"Mitochondrial GCEP")</f>
        <v>Mitochondrial GCEP</v>
      </c>
      <c r="G23" s="55" t="str">
        <f>IFERROR(__xludf.DUMMYFUNCTION("""COMPUTED_VALUE"""),"John Shoffner")</f>
        <v>John Shoffner</v>
      </c>
      <c r="H23" s="55" t="str">
        <f>IFERROR(__xludf.DUMMYFUNCTION("""COMPUTED_VALUE"""),"jmsiv9903@icloud.com")</f>
        <v>jmsiv9903@icloud.com</v>
      </c>
      <c r="I23" s="55" t="str">
        <f>IFERROR(__xludf.DUMMYFUNCTION("""COMPUTED_VALUE"""),"Clinical medical geneticist/Clinical laboratory geneticist and Neurology, Biochemical and Molecular Genetics")</f>
        <v>Clinical medical geneticist/Clinical laboratory geneticist and Neurology, Biochemical and Molecular Genetics</v>
      </c>
      <c r="J23" s="55"/>
      <c r="K23" s="55" t="str">
        <f>IFERROR(__xludf.DUMMYFUNCTION("""COMPUTED_VALUE"""),"Gene-Disease Validity")</f>
        <v>Gene-Disease Validity</v>
      </c>
      <c r="L23" s="55"/>
      <c r="M23" s="55"/>
      <c r="N23" s="55"/>
      <c r="O23" s="55"/>
      <c r="P23" s="55"/>
      <c r="Q23" s="55"/>
      <c r="R23" s="55"/>
      <c r="S23" s="55"/>
      <c r="T23" s="55"/>
      <c r="U23" s="55"/>
      <c r="V23" s="55"/>
      <c r="W23" s="55"/>
      <c r="X23" s="55"/>
      <c r="Y23" s="55"/>
      <c r="Z23" s="55"/>
    </row>
    <row r="24">
      <c r="A24" s="55" t="str">
        <f>IFERROR(__xludf.DUMMYFUNCTION("""COMPUTED_VALUE"""),"Assigned")</f>
        <v>Assigned</v>
      </c>
      <c r="B24" s="105">
        <f>IFERROR(__xludf.DUMMYFUNCTION("""COMPUTED_VALUE"""),43411.0)</f>
        <v>43411</v>
      </c>
      <c r="C24" s="94">
        <f>IFERROR(__xludf.DUMMYFUNCTION("""COMPUTED_VALUE"""),43446.0)</f>
        <v>43446</v>
      </c>
      <c r="D24" s="55" t="str">
        <f>IFERROR(__xludf.DUMMYFUNCTION("""COMPUTED_VALUE"""),"Yes")</f>
        <v>Yes</v>
      </c>
      <c r="E24" s="55" t="str">
        <f>IFERROR(__xludf.DUMMYFUNCTION("""COMPUTED_VALUE"""),"Gene Disease Validity")</f>
        <v>Gene Disease Validity</v>
      </c>
      <c r="F24" s="55" t="str">
        <f>IFERROR(__xludf.DUMMYFUNCTION("""COMPUTED_VALUE"""),"Mitochondrial GCEP")</f>
        <v>Mitochondrial GCEP</v>
      </c>
      <c r="G24" s="55" t="str">
        <f>IFERROR(__xludf.DUMMYFUNCTION("""COMPUTED_VALUE"""),"Isabelle Thiffault")</f>
        <v>Isabelle Thiffault</v>
      </c>
      <c r="H24" s="55" t="str">
        <f>IFERROR(__xludf.DUMMYFUNCTION("""COMPUTED_VALUE"""),"ithiffault@cmh.edu")</f>
        <v>ithiffault@cmh.edu</v>
      </c>
      <c r="I24" s="55" t="str">
        <f>IFERROR(__xludf.DUMMYFUNCTION("""COMPUTED_VALUE"""),"Undergraduate")</f>
        <v>Undergraduate</v>
      </c>
      <c r="J24" s="55"/>
      <c r="K24" s="55" t="str">
        <f>IFERROR(__xludf.DUMMYFUNCTION("""COMPUTED_VALUE"""),"Gene-Disease Validity")</f>
        <v>Gene-Disease Validity</v>
      </c>
      <c r="L24" s="55"/>
      <c r="M24" s="55"/>
      <c r="N24" s="55"/>
      <c r="O24" s="55"/>
      <c r="P24" s="55"/>
      <c r="Q24" s="55"/>
      <c r="R24" s="55"/>
      <c r="S24" s="55"/>
      <c r="T24" s="55"/>
      <c r="U24" s="55"/>
      <c r="V24" s="55"/>
      <c r="W24" s="55"/>
      <c r="X24" s="55"/>
      <c r="Y24" s="55"/>
      <c r="Z24" s="55"/>
    </row>
    <row r="25">
      <c r="A25" s="55" t="str">
        <f>IFERROR(__xludf.DUMMYFUNCTION("""COMPUTED_VALUE"""),"Assigned")</f>
        <v>Assigned</v>
      </c>
      <c r="B25" s="55" t="str">
        <f>IFERROR(__xludf.DUMMYFUNCTION("""COMPUTED_VALUE"""),"unknown")</f>
        <v>unknown</v>
      </c>
      <c r="C25" s="55" t="str">
        <f>IFERROR(__xludf.DUMMYFUNCTION("""COMPUTED_VALUE"""),"Trained before C3")</f>
        <v>Trained before C3</v>
      </c>
      <c r="D25" s="55" t="str">
        <f>IFERROR(__xludf.DUMMYFUNCTION("""COMPUTED_VALUE"""),"No")</f>
        <v>No</v>
      </c>
      <c r="E25" s="55" t="str">
        <f>IFERROR(__xludf.DUMMYFUNCTION("""COMPUTED_VALUE"""),"Gene Disease Validity")</f>
        <v>Gene Disease Validity</v>
      </c>
      <c r="F25" s="55" t="str">
        <f>IFERROR(__xludf.DUMMYFUNCTION("""COMPUTED_VALUE"""),"Hereditary Cancer")</f>
        <v>Hereditary Cancer</v>
      </c>
      <c r="G25" s="55" t="str">
        <f>IFERROR(__xludf.DUMMYFUNCTION("""COMPUTED_VALUE"""),"Ye Cao")</f>
        <v>Ye Cao</v>
      </c>
      <c r="H25" s="55" t="str">
        <f>IFERROR(__xludf.DUMMYFUNCTION("""COMPUTED_VALUE"""),"ye.cao@bcm.edu")</f>
        <v>ye.cao@bcm.edu</v>
      </c>
      <c r="I25" s="55" t="str">
        <f>IFERROR(__xludf.DUMMYFUNCTION("""COMPUTED_VALUE"""),"Clinical laboratory geneticist and Post Doc/Resident/Fellow (MD and/or PhD)")</f>
        <v>Clinical laboratory geneticist and Post Doc/Resident/Fellow (MD and/or PhD)</v>
      </c>
      <c r="J25" s="55"/>
      <c r="K25" s="55" t="str">
        <f>IFERROR(__xludf.DUMMYFUNCTION("""COMPUTED_VALUE"""),"Gene-Disease Validity")</f>
        <v>Gene-Disease Validity</v>
      </c>
      <c r="L25" s="55"/>
      <c r="M25" s="55"/>
      <c r="N25" s="55"/>
      <c r="O25" s="55"/>
      <c r="P25" s="55"/>
      <c r="Q25" s="55"/>
      <c r="R25" s="55"/>
      <c r="S25" s="55"/>
      <c r="T25" s="55"/>
      <c r="U25" s="55"/>
      <c r="V25" s="55"/>
      <c r="W25" s="55"/>
      <c r="X25" s="55"/>
      <c r="Y25" s="55"/>
      <c r="Z25" s="55"/>
    </row>
    <row r="26">
      <c r="A26" s="55" t="str">
        <f>IFERROR(__xludf.DUMMYFUNCTION("""COMPUTED_VALUE"""),"Unresponsive")</f>
        <v>Unresponsive</v>
      </c>
      <c r="B26" s="105">
        <f>IFERROR(__xludf.DUMMYFUNCTION("""COMPUTED_VALUE"""),43411.0)</f>
        <v>43411</v>
      </c>
      <c r="C26" s="94">
        <f>IFERROR(__xludf.DUMMYFUNCTION("""COMPUTED_VALUE"""),43446.0)</f>
        <v>43446</v>
      </c>
      <c r="D26" s="55" t="str">
        <f>IFERROR(__xludf.DUMMYFUNCTION("""COMPUTED_VALUE"""),"No")</f>
        <v>No</v>
      </c>
      <c r="E26" s="55" t="str">
        <f>IFERROR(__xludf.DUMMYFUNCTION("""COMPUTED_VALUE"""),"Gene Disease Validity")</f>
        <v>Gene Disease Validity</v>
      </c>
      <c r="F26" s="55" t="str">
        <f>IFERROR(__xludf.DUMMYFUNCTION("""COMPUTED_VALUE"""),"")</f>
        <v/>
      </c>
      <c r="G26" s="55" t="str">
        <f>IFERROR(__xludf.DUMMYFUNCTION("""COMPUTED_VALUE"""),"Samar Khalefa")</f>
        <v>Samar Khalefa</v>
      </c>
      <c r="H26" s="55" t="str">
        <f>IFERROR(__xludf.DUMMYFUNCTION("""COMPUTED_VALUE"""),"samarkhalifa@hotmail.com")</f>
        <v>samarkhalifa@hotmail.com</v>
      </c>
      <c r="I26" s="55" t="str">
        <f>IFERROR(__xludf.DUMMYFUNCTION("""COMPUTED_VALUE"""),"High School Student")</f>
        <v>High School Student</v>
      </c>
      <c r="J26" s="55"/>
      <c r="K26" s="55" t="str">
        <f>IFERROR(__xludf.DUMMYFUNCTION("""COMPUTED_VALUE"""),"Gene-Disease Validity")</f>
        <v>Gene-Disease Validity</v>
      </c>
      <c r="L26" s="55"/>
      <c r="M26" s="55"/>
      <c r="N26" s="55"/>
      <c r="O26" s="55"/>
      <c r="P26" s="55"/>
      <c r="Q26" s="55"/>
      <c r="R26" s="55"/>
      <c r="S26" s="55"/>
      <c r="T26" s="55"/>
      <c r="U26" s="55"/>
      <c r="V26" s="55"/>
      <c r="W26" s="55"/>
      <c r="X26" s="55"/>
      <c r="Y26" s="55"/>
      <c r="Z26" s="55"/>
    </row>
    <row r="27">
      <c r="A27" s="55" t="str">
        <f>IFERROR(__xludf.DUMMYFUNCTION("""COMPUTED_VALUE"""),"Assigned")</f>
        <v>Assigned</v>
      </c>
      <c r="B27" s="105">
        <f>IFERROR(__xludf.DUMMYFUNCTION("""COMPUTED_VALUE"""),43350.0)</f>
        <v>43350</v>
      </c>
      <c r="C27" s="94">
        <f>IFERROR(__xludf.DUMMYFUNCTION("""COMPUTED_VALUE"""),43446.0)</f>
        <v>43446</v>
      </c>
      <c r="D27" s="55" t="str">
        <f>IFERROR(__xludf.DUMMYFUNCTION("""COMPUTED_VALUE"""),"Yes")</f>
        <v>Yes</v>
      </c>
      <c r="E27" s="55" t="str">
        <f>IFERROR(__xludf.DUMMYFUNCTION("""COMPUTED_VALUE"""),"Gene Disease Validity")</f>
        <v>Gene Disease Validity</v>
      </c>
      <c r="F27" s="55" t="str">
        <f>IFERROR(__xludf.DUMMYFUNCTION("""COMPUTED_VALUE"""),"Epilepsy GCEP")</f>
        <v>Epilepsy GCEP</v>
      </c>
      <c r="G27" s="55" t="str">
        <f>IFERROR(__xludf.DUMMYFUNCTION("""COMPUTED_VALUE"""),"Colin Ellis")</f>
        <v>Colin Ellis</v>
      </c>
      <c r="H27" s="55" t="str">
        <f>IFERROR(__xludf.DUMMYFUNCTION("""COMPUTED_VALUE"""),"colin.ellis@uphs.upenn.edu")</f>
        <v>colin.ellis@uphs.upenn.edu</v>
      </c>
      <c r="I27" s="55" t="str">
        <f>IFERROR(__xludf.DUMMYFUNCTION("""COMPUTED_VALUE"""),"Physician (Non-geneticist)")</f>
        <v>Physician (Non-geneticist)</v>
      </c>
      <c r="J27" s="55"/>
      <c r="K27" s="55" t="str">
        <f>IFERROR(__xludf.DUMMYFUNCTION("""COMPUTED_VALUE"""),"Gene-Disease Validity")</f>
        <v>Gene-Disease Validity</v>
      </c>
      <c r="L27" s="55"/>
      <c r="M27" s="55"/>
      <c r="N27" s="55"/>
      <c r="O27" s="55"/>
      <c r="P27" s="55"/>
      <c r="Q27" s="55"/>
      <c r="R27" s="55"/>
      <c r="S27" s="55"/>
      <c r="T27" s="55"/>
      <c r="U27" s="55"/>
      <c r="V27" s="55"/>
      <c r="W27" s="55"/>
      <c r="X27" s="55"/>
      <c r="Y27" s="55"/>
      <c r="Z27" s="55"/>
    </row>
    <row r="28">
      <c r="A28" s="55" t="str">
        <f>IFERROR(__xludf.DUMMYFUNCTION("""COMPUTED_VALUE"""),"Declined")</f>
        <v>Declined</v>
      </c>
      <c r="B28" s="105">
        <f>IFERROR(__xludf.DUMMYFUNCTION("""COMPUTED_VALUE"""),43411.0)</f>
        <v>43411</v>
      </c>
      <c r="C28" s="94">
        <f>IFERROR(__xludf.DUMMYFUNCTION("""COMPUTED_VALUE"""),43446.0)</f>
        <v>43446</v>
      </c>
      <c r="D28" s="55" t="str">
        <f>IFERROR(__xludf.DUMMYFUNCTION("""COMPUTED_VALUE"""),"Yes")</f>
        <v>Yes</v>
      </c>
      <c r="E28" s="55" t="str">
        <f>IFERROR(__xludf.DUMMYFUNCTION("""COMPUTED_VALUE"""),"Gene Disease Validity")</f>
        <v>Gene Disease Validity</v>
      </c>
      <c r="F28" s="55" t="str">
        <f>IFERROR(__xludf.DUMMYFUNCTION("""COMPUTED_VALUE"""),"Hereditary Cancer")</f>
        <v>Hereditary Cancer</v>
      </c>
      <c r="G28" s="55" t="str">
        <f>IFERROR(__xludf.DUMMYFUNCTION("""COMPUTED_VALUE"""),"Mansour Zamanpoor")</f>
        <v>Mansour Zamanpoor</v>
      </c>
      <c r="H28" s="55" t="str">
        <f>IFERROR(__xludf.DUMMYFUNCTION("""COMPUTED_VALUE"""),"mansour.zamanpoor@ccdhb.org.nz")</f>
        <v>mansour.zamanpoor@ccdhb.org.nz</v>
      </c>
      <c r="I28" s="55" t="str">
        <f>IFERROR(__xludf.DUMMYFUNCTION("""COMPUTED_VALUE"""),"Clinical laboratory genetist, PhD candidate")</f>
        <v>Clinical laboratory genetist, PhD candidate</v>
      </c>
      <c r="J28" s="55"/>
      <c r="K28" s="55" t="str">
        <f>IFERROR(__xludf.DUMMYFUNCTION("""COMPUTED_VALUE"""),"Gene-Disease Validity")</f>
        <v>Gene-Disease Validity</v>
      </c>
      <c r="L28" s="55"/>
      <c r="M28" s="55"/>
      <c r="N28" s="55"/>
      <c r="O28" s="55"/>
      <c r="P28" s="55"/>
      <c r="Q28" s="55"/>
      <c r="R28" s="55"/>
      <c r="S28" s="55"/>
      <c r="T28" s="55"/>
      <c r="U28" s="55"/>
      <c r="V28" s="55"/>
      <c r="W28" s="55"/>
      <c r="X28" s="55"/>
      <c r="Y28" s="55"/>
      <c r="Z28" s="55"/>
    </row>
    <row r="29">
      <c r="A29" s="55" t="str">
        <f>IFERROR(__xludf.DUMMYFUNCTION("""COMPUTED_VALUE"""),"Assigned")</f>
        <v>Assigned</v>
      </c>
      <c r="B29" s="105">
        <f>IFERROR(__xludf.DUMMYFUNCTION("""COMPUTED_VALUE"""),43411.0)</f>
        <v>43411</v>
      </c>
      <c r="C29" s="94">
        <f>IFERROR(__xludf.DUMMYFUNCTION("""COMPUTED_VALUE"""),43446.0)</f>
        <v>43446</v>
      </c>
      <c r="D29" s="55" t="str">
        <f>IFERROR(__xludf.DUMMYFUNCTION("""COMPUTED_VALUE"""),"Yes")</f>
        <v>Yes</v>
      </c>
      <c r="E29" s="55" t="str">
        <f>IFERROR(__xludf.DUMMYFUNCTION("""COMPUTED_VALUE"""),"Gene Disease Validity")</f>
        <v>Gene Disease Validity</v>
      </c>
      <c r="F29" s="55" t="str">
        <f>IFERROR(__xludf.DUMMYFUNCTION("""COMPUTED_VALUE"""),"Epilepsy ")</f>
        <v>Epilepsy </v>
      </c>
      <c r="G29" s="55" t="str">
        <f>IFERROR(__xludf.DUMMYFUNCTION("""COMPUTED_VALUE"""),"Benjamin Kang")</f>
        <v>Benjamin Kang</v>
      </c>
      <c r="H29" s="55" t="str">
        <f>IFERROR(__xludf.DUMMYFUNCTION("""COMPUTED_VALUE"""),"bekang@emory.edu")</f>
        <v>bekang@emory.edu</v>
      </c>
      <c r="I29" s="55" t="str">
        <f>IFERROR(__xludf.DUMMYFUNCTION("""COMPUTED_VALUE"""),"Post Doc/Resident/Fellow (MD and/or PhD)")</f>
        <v>Post Doc/Resident/Fellow (MD and/or PhD)</v>
      </c>
      <c r="J29" s="55"/>
      <c r="K29" s="55" t="str">
        <f>IFERROR(__xludf.DUMMYFUNCTION("""COMPUTED_VALUE"""),"Gene-Disease Validity")</f>
        <v>Gene-Disease Validity</v>
      </c>
      <c r="L29" s="55"/>
      <c r="M29" s="55"/>
      <c r="N29" s="55"/>
      <c r="O29" s="55"/>
      <c r="P29" s="55"/>
      <c r="Q29" s="55"/>
      <c r="R29" s="55"/>
      <c r="S29" s="55"/>
      <c r="T29" s="55"/>
      <c r="U29" s="55"/>
      <c r="V29" s="55"/>
      <c r="W29" s="55"/>
      <c r="X29" s="55"/>
      <c r="Y29" s="55"/>
      <c r="Z29" s="55"/>
    </row>
    <row r="30">
      <c r="A30" s="55" t="str">
        <f>IFERROR(__xludf.DUMMYFUNCTION("""COMPUTED_VALUE"""),"Contacted")</f>
        <v>Contacted</v>
      </c>
      <c r="B30" s="55" t="str">
        <f>IFERROR(__xludf.DUMMYFUNCTION("""COMPUTED_VALUE"""),"")</f>
        <v/>
      </c>
      <c r="C30" s="94">
        <f>IFERROR(__xludf.DUMMYFUNCTION("""COMPUTED_VALUE"""),43585.0)</f>
        <v>43585</v>
      </c>
      <c r="D30" s="55" t="str">
        <f>IFERROR(__xludf.DUMMYFUNCTION("""COMPUTED_VALUE"""),"Yes")</f>
        <v>Yes</v>
      </c>
      <c r="E30" s="55" t="str">
        <f>IFERROR(__xludf.DUMMYFUNCTION("""COMPUTED_VALUE"""),"Gene Disease Validity")</f>
        <v>Gene Disease Validity</v>
      </c>
      <c r="F30" s="55" t="str">
        <f>IFERROR(__xludf.DUMMYFUNCTION("""COMPUTED_VALUE"""),"Aminoacidopathy")</f>
        <v>Aminoacidopathy</v>
      </c>
      <c r="G30" s="55" t="str">
        <f>IFERROR(__xludf.DUMMYFUNCTION("""COMPUTED_VALUE"""),"Ljubica Caldovic")</f>
        <v>Ljubica Caldovic</v>
      </c>
      <c r="H30" s="55" t="str">
        <f>IFERROR(__xludf.DUMMYFUNCTION("""COMPUTED_VALUE"""),"lcaldovic@childrensnational.org")</f>
        <v>lcaldovic@childrensnational.org</v>
      </c>
      <c r="I30" s="55" t="str">
        <f>IFERROR(__xludf.DUMMYFUNCTION("""COMPUTED_VALUE"""),"Scientific Researcher, Variant Analyst/Scientist")</f>
        <v>Scientific Researcher, Variant Analyst/Scientist</v>
      </c>
      <c r="J30" s="55"/>
      <c r="K30" s="55" t="str">
        <f>IFERROR(__xludf.DUMMYFUNCTION("""COMPUTED_VALUE"""),"Gene-Disease Validity")</f>
        <v>Gene-Disease Validity</v>
      </c>
      <c r="L30" s="55"/>
      <c r="M30" s="55"/>
      <c r="N30" s="55"/>
      <c r="O30" s="55"/>
      <c r="P30" s="55"/>
      <c r="Q30" s="55"/>
      <c r="R30" s="55"/>
      <c r="S30" s="55"/>
      <c r="T30" s="55"/>
      <c r="U30" s="55"/>
      <c r="V30" s="55"/>
      <c r="W30" s="55"/>
      <c r="X30" s="55"/>
      <c r="Y30" s="55"/>
      <c r="Z30" s="55"/>
    </row>
    <row r="31">
      <c r="A31" s="55" t="str">
        <f>IFERROR(__xludf.DUMMYFUNCTION("""COMPUTED_VALUE"""),"Assigned")</f>
        <v>Assigned</v>
      </c>
      <c r="B31" s="105">
        <f>IFERROR(__xludf.DUMMYFUNCTION("""COMPUTED_VALUE"""),43347.0)</f>
        <v>43347</v>
      </c>
      <c r="C31" s="94">
        <f>IFERROR(__xludf.DUMMYFUNCTION("""COMPUTED_VALUE"""),43446.0)</f>
        <v>43446</v>
      </c>
      <c r="D31" s="55" t="str">
        <f>IFERROR(__xludf.DUMMYFUNCTION("""COMPUTED_VALUE"""),"No")</f>
        <v>No</v>
      </c>
      <c r="E31" s="55" t="str">
        <f>IFERROR(__xludf.DUMMYFUNCTION("""COMPUTED_VALUE"""),"Gene Disease Validity")</f>
        <v>Gene Disease Validity</v>
      </c>
      <c r="F31" s="55" t="str">
        <f>IFERROR(__xludf.DUMMYFUNCTION("""COMPUTED_VALUE"""),"Epilepsy ")</f>
        <v>Epilepsy </v>
      </c>
      <c r="G31" s="55" t="str">
        <f>IFERROR(__xludf.DUMMYFUNCTION("""COMPUTED_VALUE"""),"John Millichap")</f>
        <v>John Millichap</v>
      </c>
      <c r="H31" s="55" t="str">
        <f>IFERROR(__xludf.DUMMYFUNCTION("""COMPUTED_VALUE"""),"jmillichap@luriechildrens.org")</f>
        <v>jmillichap@luriechildrens.org</v>
      </c>
      <c r="I31" s="55" t="str">
        <f>IFERROR(__xludf.DUMMYFUNCTION("""COMPUTED_VALUE"""),"Physician (Non-geneticist)")</f>
        <v>Physician (Non-geneticist)</v>
      </c>
      <c r="J31" s="55"/>
      <c r="K31" s="55" t="str">
        <f>IFERROR(__xludf.DUMMYFUNCTION("""COMPUTED_VALUE"""),"Gene-Disease Validity")</f>
        <v>Gene-Disease Validity</v>
      </c>
      <c r="L31" s="55"/>
      <c r="M31" s="55"/>
      <c r="N31" s="55"/>
      <c r="O31" s="55"/>
      <c r="P31" s="55"/>
      <c r="Q31" s="55"/>
      <c r="R31" s="55"/>
      <c r="S31" s="55"/>
      <c r="T31" s="55"/>
      <c r="U31" s="55"/>
      <c r="V31" s="55"/>
      <c r="W31" s="55"/>
      <c r="X31" s="55"/>
      <c r="Y31" s="55"/>
      <c r="Z31" s="55"/>
    </row>
    <row r="32">
      <c r="A32" s="55" t="str">
        <f>IFERROR(__xludf.DUMMYFUNCTION("""COMPUTED_VALUE"""),"Contacted")</f>
        <v>Contacted</v>
      </c>
      <c r="B32" s="105">
        <f>IFERROR(__xludf.DUMMYFUNCTION("""COMPUTED_VALUE"""),43411.0)</f>
        <v>43411</v>
      </c>
      <c r="C32" s="94">
        <f>IFERROR(__xludf.DUMMYFUNCTION("""COMPUTED_VALUE"""),43446.0)</f>
        <v>43446</v>
      </c>
      <c r="D32" s="55" t="str">
        <f>IFERROR(__xludf.DUMMYFUNCTION("""COMPUTED_VALUE"""),"No")</f>
        <v>No</v>
      </c>
      <c r="E32" s="55" t="str">
        <f>IFERROR(__xludf.DUMMYFUNCTION("""COMPUTED_VALUE"""),"NA")</f>
        <v>NA</v>
      </c>
      <c r="F32" s="55" t="str">
        <f>IFERROR(__xludf.DUMMYFUNCTION("""COMPUTED_VALUE"""),"")</f>
        <v/>
      </c>
      <c r="G32" s="55" t="str">
        <f>IFERROR(__xludf.DUMMYFUNCTION("""COMPUTED_VALUE"""),"Vladimir Lialine")</f>
        <v>Vladimir Lialine</v>
      </c>
      <c r="H32" s="55" t="str">
        <f>IFERROR(__xludf.DUMMYFUNCTION("""COMPUTED_VALUE"""),"vlad@twixsoft.com")</f>
        <v>vlad@twixsoft.com</v>
      </c>
      <c r="I32" s="55" t="str">
        <f>IFERROR(__xludf.DUMMYFUNCTION("""COMPUTED_VALUE"""),"Scientific Researcher, Graduate Student, Citizen Scientist/Patient Advocate")</f>
        <v>Scientific Researcher, Graduate Student, Citizen Scientist/Patient Advocate</v>
      </c>
      <c r="J32" s="55"/>
      <c r="K32" s="55" t="str">
        <f>IFERROR(__xludf.DUMMYFUNCTION("""COMPUTED_VALUE"""),"Gene-Disease Validity")</f>
        <v>Gene-Disease Validity</v>
      </c>
      <c r="L32" s="55"/>
      <c r="M32" s="55"/>
      <c r="N32" s="55"/>
      <c r="O32" s="55"/>
      <c r="P32" s="55"/>
      <c r="Q32" s="55"/>
      <c r="R32" s="55"/>
      <c r="S32" s="55"/>
      <c r="T32" s="55"/>
      <c r="U32" s="55"/>
      <c r="V32" s="55"/>
      <c r="W32" s="55"/>
      <c r="X32" s="55"/>
      <c r="Y32" s="55"/>
      <c r="Z32" s="55"/>
    </row>
    <row r="33">
      <c r="A33" s="55" t="str">
        <f>IFERROR(__xludf.DUMMYFUNCTION("""COMPUTED_VALUE"""),"Contacted")</f>
        <v>Contacted</v>
      </c>
      <c r="B33" s="94">
        <f>IFERROR(__xludf.DUMMYFUNCTION("""COMPUTED_VALUE"""),43430.0)</f>
        <v>43430</v>
      </c>
      <c r="C33" s="94">
        <f>IFERROR(__xludf.DUMMYFUNCTION("""COMPUTED_VALUE"""),43446.0)</f>
        <v>43446</v>
      </c>
      <c r="D33" s="55" t="str">
        <f>IFERROR(__xludf.DUMMYFUNCTION("""COMPUTED_VALUE"""),"Yes")</f>
        <v>Yes</v>
      </c>
      <c r="E33" s="55" t="str">
        <f>IFERROR(__xludf.DUMMYFUNCTION("""COMPUTED_VALUE"""),"Gene Disease Validity")</f>
        <v>Gene Disease Validity</v>
      </c>
      <c r="F33" s="55" t="str">
        <f>IFERROR(__xludf.DUMMYFUNCTION("""COMPUTED_VALUE"""),"")</f>
        <v/>
      </c>
      <c r="G33" s="55" t="str">
        <f>IFERROR(__xludf.DUMMYFUNCTION("""COMPUTED_VALUE"""),"Vaidehi Jobanputra")</f>
        <v>Vaidehi Jobanputra</v>
      </c>
      <c r="H33" s="55" t="str">
        <f>IFERROR(__xludf.DUMMYFUNCTION("""COMPUTED_VALUE"""),"vjobanputra@nygenome.org")</f>
        <v>vjobanputra@nygenome.org</v>
      </c>
      <c r="I33" s="55" t="str">
        <f>IFERROR(__xludf.DUMMYFUNCTION("""COMPUTED_VALUE"""),"Clinical laboratory geneticist")</f>
        <v>Clinical laboratory geneticist</v>
      </c>
      <c r="J33" s="55"/>
      <c r="K33" s="55" t="str">
        <f>IFERROR(__xludf.DUMMYFUNCTION("""COMPUTED_VALUE"""),"Gene-Disease Validity")</f>
        <v>Gene-Disease Validity</v>
      </c>
      <c r="L33" s="55"/>
      <c r="M33" s="55"/>
      <c r="N33" s="55"/>
      <c r="O33" s="55"/>
      <c r="P33" s="55"/>
      <c r="Q33" s="55"/>
      <c r="R33" s="55"/>
      <c r="S33" s="55"/>
      <c r="T33" s="55"/>
      <c r="U33" s="55"/>
      <c r="V33" s="55"/>
      <c r="W33" s="55"/>
      <c r="X33" s="55"/>
      <c r="Y33" s="55"/>
      <c r="Z33" s="55"/>
    </row>
    <row r="34">
      <c r="A34" s="55" t="str">
        <f>IFERROR(__xludf.DUMMYFUNCTION("""COMPUTED_VALUE"""),"Contacted")</f>
        <v>Contacted</v>
      </c>
      <c r="B34" s="55" t="str">
        <f>IFERROR(__xludf.DUMMYFUNCTION("""COMPUTED_VALUE"""),"11/07/18
REcontacted June 2019 and responsive, changed status")</f>
        <v>11/07/18
REcontacted June 2019 and responsive, changed status</v>
      </c>
      <c r="C34" s="94">
        <f>IFERROR(__xludf.DUMMYFUNCTION("""COMPUTED_VALUE"""),43446.0)</f>
        <v>43446</v>
      </c>
      <c r="D34" s="55" t="str">
        <f>IFERROR(__xludf.DUMMYFUNCTION("""COMPUTED_VALUE"""),"No")</f>
        <v>No</v>
      </c>
      <c r="E34" s="55" t="str">
        <f>IFERROR(__xludf.DUMMYFUNCTION("""COMPUTED_VALUE"""),"Gene Disease Validity")</f>
        <v>Gene Disease Validity</v>
      </c>
      <c r="F34" s="55" t="str">
        <f>IFERROR(__xludf.DUMMYFUNCTION("""COMPUTED_VALUE"""),"")</f>
        <v/>
      </c>
      <c r="G34" s="55" t="str">
        <f>IFERROR(__xludf.DUMMYFUNCTION("""COMPUTED_VALUE"""),"Khushnooda Ramzan")</f>
        <v>Khushnooda Ramzan</v>
      </c>
      <c r="H34" s="55" t="str">
        <f>IFERROR(__xludf.DUMMYFUNCTION("""COMPUTED_VALUE"""),"khushnooda@gmail.com")</f>
        <v>khushnooda@gmail.com</v>
      </c>
      <c r="I34" s="55" t="str">
        <f>IFERROR(__xludf.DUMMYFUNCTION("""COMPUTED_VALUE"""),"Scientific Research/ Variant Analyst")</f>
        <v>Scientific Research/ Variant Analyst</v>
      </c>
      <c r="J34" s="55"/>
      <c r="K34" s="55" t="str">
        <f>IFERROR(__xludf.DUMMYFUNCTION("""COMPUTED_VALUE"""),"Gene-Disease Validity")</f>
        <v>Gene-Disease Validity</v>
      </c>
      <c r="L34" s="55"/>
      <c r="M34" s="55"/>
      <c r="N34" s="55"/>
      <c r="O34" s="55"/>
      <c r="P34" s="55"/>
      <c r="Q34" s="55"/>
      <c r="R34" s="55"/>
      <c r="S34" s="55"/>
      <c r="T34" s="55"/>
      <c r="U34" s="55"/>
      <c r="V34" s="55"/>
      <c r="W34" s="55"/>
      <c r="X34" s="55"/>
      <c r="Y34" s="55"/>
      <c r="Z34" s="55"/>
    </row>
    <row r="35">
      <c r="A35" s="55" t="str">
        <f>IFERROR(__xludf.DUMMYFUNCTION("""COMPUTED_VALUE"""),"Contacted")</f>
        <v>Contacted</v>
      </c>
      <c r="B35" s="94" t="str">
        <f>IFERROR(__xludf.DUMMYFUNCTION("""COMPUTED_VALUE"""),"")</f>
        <v/>
      </c>
      <c r="C35" s="93">
        <f>IFERROR(__xludf.DUMMYFUNCTION("""COMPUTED_VALUE"""),43585.0)</f>
        <v>43585</v>
      </c>
      <c r="D35" s="55" t="str">
        <f>IFERROR(__xludf.DUMMYFUNCTION("""COMPUTED_VALUE"""),"Yes")</f>
        <v>Yes</v>
      </c>
      <c r="E35" s="55" t="str">
        <f>IFERROR(__xludf.DUMMYFUNCTION("""COMPUTED_VALUE"""),"Gene Disease Validity")</f>
        <v>Gene Disease Validity</v>
      </c>
      <c r="F35" s="55" t="str">
        <f>IFERROR(__xludf.DUMMYFUNCTION("""COMPUTED_VALUE"""),"Epilepsy")</f>
        <v>Epilepsy</v>
      </c>
      <c r="G35" s="55" t="str">
        <f>IFERROR(__xludf.DUMMYFUNCTION("""COMPUTED_VALUE"""),"Erik Thorland")</f>
        <v>Erik Thorland</v>
      </c>
      <c r="H35" s="55" t="str">
        <f>IFERROR(__xludf.DUMMYFUNCTION("""COMPUTED_VALUE"""),"thorland.erik@mayo.edu")</f>
        <v>thorland.erik@mayo.edu</v>
      </c>
      <c r="I35" s="55" t="str">
        <f>IFERROR(__xludf.DUMMYFUNCTION("""COMPUTED_VALUE"""),"Clinical laboratory geneticist")</f>
        <v>Clinical laboratory geneticist</v>
      </c>
      <c r="J35" s="55"/>
      <c r="K35" s="55" t="str">
        <f>IFERROR(__xludf.DUMMYFUNCTION("""COMPUTED_VALUE"""),"Gene-Disease Validity")</f>
        <v>Gene-Disease Validity</v>
      </c>
      <c r="L35" s="55"/>
      <c r="M35" s="55"/>
      <c r="N35" s="55"/>
      <c r="O35" s="55"/>
      <c r="P35" s="55"/>
      <c r="Q35" s="55"/>
      <c r="R35" s="55"/>
      <c r="S35" s="55"/>
      <c r="T35" s="55"/>
      <c r="U35" s="55"/>
      <c r="V35" s="55"/>
      <c r="W35" s="55"/>
      <c r="X35" s="55"/>
      <c r="Y35" s="55"/>
      <c r="Z35" s="55"/>
    </row>
    <row r="36">
      <c r="A36" s="55" t="str">
        <f>IFERROR(__xludf.DUMMYFUNCTION("""COMPUTED_VALUE"""),"Assigned")</f>
        <v>Assigned</v>
      </c>
      <c r="B36" s="105">
        <f>IFERROR(__xludf.DUMMYFUNCTION("""COMPUTED_VALUE"""),43437.0)</f>
        <v>43437</v>
      </c>
      <c r="C36" s="94">
        <f>IFERROR(__xludf.DUMMYFUNCTION("""COMPUTED_VALUE"""),43446.0)</f>
        <v>43446</v>
      </c>
      <c r="D36" s="55" t="str">
        <f>IFERROR(__xludf.DUMMYFUNCTION("""COMPUTED_VALUE"""),"Yes")</f>
        <v>Yes</v>
      </c>
      <c r="E36" s="55" t="str">
        <f>IFERROR(__xludf.DUMMYFUNCTION("""COMPUTED_VALUE"""),"Gene Disease Validity")</f>
        <v>Gene Disease Validity</v>
      </c>
      <c r="F36" s="55" t="str">
        <f>IFERROR(__xludf.DUMMYFUNCTION("""COMPUTED_VALUE"""),"ID Autism")</f>
        <v>ID Autism</v>
      </c>
      <c r="G36" s="55" t="str">
        <f>IFERROR(__xludf.DUMMYFUNCTION("""COMPUTED_VALUE"""),"Olivia Rennie")</f>
        <v>Olivia Rennie</v>
      </c>
      <c r="H36" s="55" t="str">
        <f>IFERROR(__xludf.DUMMYFUNCTION("""COMPUTED_VALUE"""),"olivia.rennie@sickkids.ca")</f>
        <v>olivia.rennie@sickkids.ca</v>
      </c>
      <c r="I36" s="55" t="str">
        <f>IFERROR(__xludf.DUMMYFUNCTION("""COMPUTED_VALUE"""),"Variant Analyst/Scientist")</f>
        <v>Variant Analyst/Scientist</v>
      </c>
      <c r="J36" s="55"/>
      <c r="K36" s="55" t="str">
        <f>IFERROR(__xludf.DUMMYFUNCTION("""COMPUTED_VALUE"""),"Gene-Disease Validity")</f>
        <v>Gene-Disease Validity</v>
      </c>
      <c r="L36" s="55"/>
      <c r="M36" s="55"/>
      <c r="N36" s="55"/>
      <c r="O36" s="55"/>
      <c r="P36" s="55"/>
      <c r="Q36" s="55"/>
      <c r="R36" s="55"/>
      <c r="S36" s="55"/>
      <c r="T36" s="55"/>
      <c r="U36" s="55"/>
      <c r="V36" s="55"/>
      <c r="W36" s="55"/>
      <c r="X36" s="55"/>
      <c r="Y36" s="55"/>
      <c r="Z36" s="55"/>
    </row>
    <row r="37">
      <c r="A37" s="55" t="str">
        <f>IFERROR(__xludf.DUMMYFUNCTION("""COMPUTED_VALUE"""),"Declined")</f>
        <v>Declined</v>
      </c>
      <c r="B37" s="105">
        <f>IFERROR(__xludf.DUMMYFUNCTION("""COMPUTED_VALUE"""),43437.0)</f>
        <v>43437</v>
      </c>
      <c r="C37" s="94">
        <f>IFERROR(__xludf.DUMMYFUNCTION("""COMPUTED_VALUE"""),43446.0)</f>
        <v>43446</v>
      </c>
      <c r="D37" s="55" t="str">
        <f>IFERROR(__xludf.DUMMYFUNCTION("""COMPUTED_VALUE"""),"Yes")</f>
        <v>Yes</v>
      </c>
      <c r="E37" s="55" t="str">
        <f>IFERROR(__xludf.DUMMYFUNCTION("""COMPUTED_VALUE"""),"Gene Disease Validity")</f>
        <v>Gene Disease Validity</v>
      </c>
      <c r="F37" s="55" t="str">
        <f>IFERROR(__xludf.DUMMYFUNCTION("""COMPUTED_VALUE"""),"ID Autism")</f>
        <v>ID Autism</v>
      </c>
      <c r="G37" s="55" t="str">
        <f>IFERROR(__xludf.DUMMYFUNCTION("""COMPUTED_VALUE"""),"Kira Dies")</f>
        <v>Kira Dies</v>
      </c>
      <c r="H37" s="55" t="str">
        <f>IFERROR(__xludf.DUMMYFUNCTION("""COMPUTED_VALUE"""),"Kira.Dies@childrens.harvard.edu")</f>
        <v>Kira.Dies@childrens.harvard.edu</v>
      </c>
      <c r="I37" s="55" t="str">
        <f>IFERROR(__xludf.DUMMYFUNCTION("""COMPUTED_VALUE"""),"Genetic counselor")</f>
        <v>Genetic counselor</v>
      </c>
      <c r="J37" s="55"/>
      <c r="K37" s="55" t="str">
        <f>IFERROR(__xludf.DUMMYFUNCTION("""COMPUTED_VALUE"""),"Gene-Disease Validity")</f>
        <v>Gene-Disease Validity</v>
      </c>
      <c r="L37" s="55"/>
      <c r="M37" s="55"/>
      <c r="N37" s="55"/>
      <c r="O37" s="55"/>
      <c r="P37" s="55"/>
      <c r="Q37" s="55"/>
      <c r="R37" s="55"/>
      <c r="S37" s="55"/>
      <c r="T37" s="55"/>
      <c r="U37" s="55"/>
      <c r="V37" s="55"/>
      <c r="W37" s="55"/>
      <c r="X37" s="55"/>
      <c r="Y37" s="55"/>
      <c r="Z37" s="55"/>
    </row>
    <row r="38">
      <c r="A38" s="55" t="str">
        <f>IFERROR(__xludf.DUMMYFUNCTION("""COMPUTED_VALUE"""),"Assigned")</f>
        <v>Assigned</v>
      </c>
      <c r="B38" s="105">
        <f>IFERROR(__xludf.DUMMYFUNCTION("""COMPUTED_VALUE"""),43341.0)</f>
        <v>43341</v>
      </c>
      <c r="C38" s="105">
        <f>IFERROR(__xludf.DUMMYFUNCTION("""COMPUTED_VALUE"""),43341.0)</f>
        <v>43341</v>
      </c>
      <c r="D38" s="55" t="str">
        <f>IFERROR(__xludf.DUMMYFUNCTION("""COMPUTED_VALUE"""),"Yes")</f>
        <v>Yes</v>
      </c>
      <c r="E38" s="55" t="str">
        <f>IFERROR(__xludf.DUMMYFUNCTION("""COMPUTED_VALUE"""),"Gene Disease Validity")</f>
        <v>Gene Disease Validity</v>
      </c>
      <c r="F38" s="55" t="str">
        <f>IFERROR(__xludf.DUMMYFUNCTION("""COMPUTED_VALUE"""),"Hereditary Cancer")</f>
        <v>Hereditary Cancer</v>
      </c>
      <c r="G38" s="55" t="str">
        <f>IFERROR(__xludf.DUMMYFUNCTION("""COMPUTED_VALUE"""),"Sainan Wei")</f>
        <v>Sainan Wei</v>
      </c>
      <c r="H38" s="55" t="str">
        <f>IFERROR(__xludf.DUMMYFUNCTION("""COMPUTED_VALUE"""),"sainan.wei@uky.edu ")</f>
        <v>sainan.wei@uky.edu </v>
      </c>
      <c r="I38" s="55" t="str">
        <f>IFERROR(__xludf.DUMMYFUNCTION("""COMPUTED_VALUE"""),"Clinical laboratory geneticist")</f>
        <v>Clinical laboratory geneticist</v>
      </c>
      <c r="J38" s="55"/>
      <c r="K38" s="55" t="str">
        <f>IFERROR(__xludf.DUMMYFUNCTION("""COMPUTED_VALUE"""),"Gene-Disease Validity")</f>
        <v>Gene-Disease Validity</v>
      </c>
      <c r="L38" s="55"/>
      <c r="M38" s="55"/>
      <c r="N38" s="55"/>
      <c r="O38" s="55"/>
      <c r="P38" s="55"/>
      <c r="Q38" s="55"/>
      <c r="R38" s="55"/>
      <c r="S38" s="55"/>
      <c r="T38" s="55"/>
      <c r="U38" s="55"/>
      <c r="V38" s="55"/>
      <c r="W38" s="55"/>
      <c r="X38" s="55"/>
      <c r="Y38" s="55"/>
      <c r="Z38" s="55"/>
    </row>
    <row r="39">
      <c r="A39" s="55" t="str">
        <f>IFERROR(__xludf.DUMMYFUNCTION("""COMPUTED_VALUE"""),"Assigned")</f>
        <v>Assigned</v>
      </c>
      <c r="B39" s="105">
        <f>IFERROR(__xludf.DUMMYFUNCTION("""COMPUTED_VALUE"""),43411.0)</f>
        <v>43411</v>
      </c>
      <c r="C39" s="94">
        <f>IFERROR(__xludf.DUMMYFUNCTION("""COMPUTED_VALUE"""),43453.0)</f>
        <v>43453</v>
      </c>
      <c r="D39" s="55" t="str">
        <f>IFERROR(__xludf.DUMMYFUNCTION("""COMPUTED_VALUE"""),"Yes")</f>
        <v>Yes</v>
      </c>
      <c r="E39" s="55" t="str">
        <f>IFERROR(__xludf.DUMMYFUNCTION("""COMPUTED_VALUE"""),"Dosage Sensitivity")</f>
        <v>Dosage Sensitivity</v>
      </c>
      <c r="F39" s="55" t="str">
        <f>IFERROR(__xludf.DUMMYFUNCTION("""COMPUTED_VALUE"""),"")</f>
        <v/>
      </c>
      <c r="G39" s="55" t="str">
        <f>IFERROR(__xludf.DUMMYFUNCTION("""COMPUTED_VALUE"""),"Preti Jain")</f>
        <v>Preti Jain</v>
      </c>
      <c r="H39" s="55" t="str">
        <f>IFERROR(__xludf.DUMMYFUNCTION("""COMPUTED_VALUE"""),"preti.jain@yale.edu")</f>
        <v>preti.jain@yale.edu</v>
      </c>
      <c r="I39" s="55" t="str">
        <f>IFERROR(__xludf.DUMMYFUNCTION("""COMPUTED_VALUE"""),"Clinical laboratory geneticist")</f>
        <v>Clinical laboratory geneticist</v>
      </c>
      <c r="J39" s="55"/>
      <c r="K39" s="55" t="str">
        <f>IFERROR(__xludf.DUMMYFUNCTION("""COMPUTED_VALUE"""),"Dosage Sensitivity")</f>
        <v>Dosage Sensitivity</v>
      </c>
      <c r="L39" s="55"/>
      <c r="M39" s="55"/>
      <c r="N39" s="55"/>
      <c r="O39" s="55"/>
      <c r="P39" s="55"/>
      <c r="Q39" s="55"/>
      <c r="R39" s="55"/>
      <c r="S39" s="55"/>
      <c r="T39" s="55"/>
      <c r="U39" s="55"/>
      <c r="V39" s="55"/>
      <c r="W39" s="55"/>
      <c r="X39" s="55"/>
      <c r="Y39" s="55"/>
      <c r="Z39" s="55"/>
    </row>
    <row r="40">
      <c r="A40" s="55" t="str">
        <f>IFERROR(__xludf.DUMMYFUNCTION("""COMPUTED_VALUE"""),"Assigned")</f>
        <v>Assigned</v>
      </c>
      <c r="B40" s="105">
        <f>IFERROR(__xludf.DUMMYFUNCTION("""COMPUTED_VALUE"""),43356.0)</f>
        <v>43356</v>
      </c>
      <c r="C40" s="105">
        <f>IFERROR(__xludf.DUMMYFUNCTION("""COMPUTED_VALUE"""),43341.0)</f>
        <v>43341</v>
      </c>
      <c r="D40" s="55" t="str">
        <f>IFERROR(__xludf.DUMMYFUNCTION("""COMPUTED_VALUE"""),"Yes")</f>
        <v>Yes</v>
      </c>
      <c r="E40" s="55" t="str">
        <f>IFERROR(__xludf.DUMMYFUNCTION("""COMPUTED_VALUE"""),"Dosage Sensitivity")</f>
        <v>Dosage Sensitivity</v>
      </c>
      <c r="F40" s="55" t="str">
        <f>IFERROR(__xludf.DUMMYFUNCTION("""COMPUTED_VALUE"""),"")</f>
        <v/>
      </c>
      <c r="G40" s="55" t="str">
        <f>IFERROR(__xludf.DUMMYFUNCTION("""COMPUTED_VALUE"""),"Andrea Vaags")</f>
        <v>Andrea Vaags</v>
      </c>
      <c r="H40" s="55" t="str">
        <f>IFERROR(__xludf.DUMMYFUNCTION("""COMPUTED_VALUE"""),"andrea.vaags@thp.ca")</f>
        <v>andrea.vaags@thp.ca</v>
      </c>
      <c r="I40" s="55" t="str">
        <f>IFERROR(__xludf.DUMMYFUNCTION("""COMPUTED_VALUE"""),"Clinical laboratory geneticist")</f>
        <v>Clinical laboratory geneticist</v>
      </c>
      <c r="J40" s="55"/>
      <c r="K40" s="55" t="str">
        <f>IFERROR(__xludf.DUMMYFUNCTION("""COMPUTED_VALUE"""),"Dosage Sensitivity")</f>
        <v>Dosage Sensitivity</v>
      </c>
      <c r="L40" s="55"/>
      <c r="M40" s="55"/>
      <c r="N40" s="55"/>
      <c r="O40" s="55"/>
      <c r="P40" s="55"/>
      <c r="Q40" s="55"/>
      <c r="R40" s="55"/>
      <c r="S40" s="55"/>
      <c r="T40" s="55"/>
      <c r="U40" s="55"/>
      <c r="V40" s="55"/>
      <c r="W40" s="55"/>
      <c r="X40" s="55"/>
      <c r="Y40" s="55"/>
      <c r="Z40" s="55"/>
    </row>
    <row r="41">
      <c r="A41" s="55" t="str">
        <f>IFERROR(__xludf.DUMMYFUNCTION("""COMPUTED_VALUE"""),"Assigned")</f>
        <v>Assigned</v>
      </c>
      <c r="B41" s="105">
        <f>IFERROR(__xludf.DUMMYFUNCTION("""COMPUTED_VALUE"""),43411.0)</f>
        <v>43411</v>
      </c>
      <c r="C41" s="94">
        <f>IFERROR(__xludf.DUMMYFUNCTION("""COMPUTED_VALUE"""),43453.0)</f>
        <v>43453</v>
      </c>
      <c r="D41" s="55" t="str">
        <f>IFERROR(__xludf.DUMMYFUNCTION("""COMPUTED_VALUE"""),"Yes")</f>
        <v>Yes</v>
      </c>
      <c r="E41" s="55" t="str">
        <f>IFERROR(__xludf.DUMMYFUNCTION("""COMPUTED_VALUE"""),"Dosage Sensitivity")</f>
        <v>Dosage Sensitivity</v>
      </c>
      <c r="F41" s="55" t="str">
        <f>IFERROR(__xludf.DUMMYFUNCTION("""COMPUTED_VALUE"""),"")</f>
        <v/>
      </c>
      <c r="G41" s="55" t="str">
        <f>IFERROR(__xludf.DUMMYFUNCTION("""COMPUTED_VALUE"""),"George Burghel")</f>
        <v>George Burghel</v>
      </c>
      <c r="H41" s="55" t="str">
        <f>IFERROR(__xludf.DUMMYFUNCTION("""COMPUTED_VALUE"""),"george.burghel@mft.nhs.uk")</f>
        <v>george.burghel@mft.nhs.uk</v>
      </c>
      <c r="I41" s="55" t="str">
        <f>IFERROR(__xludf.DUMMYFUNCTION("""COMPUTED_VALUE"""),"Clinical laboratory geneticist")</f>
        <v>Clinical laboratory geneticist</v>
      </c>
      <c r="J41" s="55"/>
      <c r="K41" s="55" t="str">
        <f>IFERROR(__xludf.DUMMYFUNCTION("""COMPUTED_VALUE"""),"Dosage Sensitivity")</f>
        <v>Dosage Sensitivity</v>
      </c>
      <c r="L41" s="55"/>
      <c r="M41" s="55"/>
      <c r="N41" s="55"/>
      <c r="O41" s="55"/>
      <c r="P41" s="55"/>
      <c r="Q41" s="55"/>
      <c r="R41" s="55"/>
      <c r="S41" s="55"/>
      <c r="T41" s="55"/>
      <c r="U41" s="55"/>
      <c r="V41" s="55"/>
      <c r="W41" s="55"/>
      <c r="X41" s="55"/>
      <c r="Y41" s="55"/>
      <c r="Z41" s="55"/>
    </row>
    <row r="42">
      <c r="A42" s="55" t="str">
        <f>IFERROR(__xludf.DUMMYFUNCTION("""COMPUTED_VALUE"""),"Assigned")</f>
        <v>Assigned</v>
      </c>
      <c r="B42" s="94">
        <f>IFERROR(__xludf.DUMMYFUNCTION("""COMPUTED_VALUE"""),43430.0)</f>
        <v>43430</v>
      </c>
      <c r="C42" s="94">
        <f>IFERROR(__xludf.DUMMYFUNCTION("""COMPUTED_VALUE"""),43453.0)</f>
        <v>43453</v>
      </c>
      <c r="D42" s="55" t="str">
        <f>IFERROR(__xludf.DUMMYFUNCTION("""COMPUTED_VALUE"""),"Yes")</f>
        <v>Yes</v>
      </c>
      <c r="E42" s="55" t="str">
        <f>IFERROR(__xludf.DUMMYFUNCTION("""COMPUTED_VALUE"""),"Dosage Sensitivity")</f>
        <v>Dosage Sensitivity</v>
      </c>
      <c r="F42" s="55" t="str">
        <f>IFERROR(__xludf.DUMMYFUNCTION("""COMPUTED_VALUE"""),"")</f>
        <v/>
      </c>
      <c r="G42" s="55" t="str">
        <f>IFERROR(__xludf.DUMMYFUNCTION("""COMPUTED_VALUE"""),"Coumarane Mani")</f>
        <v>Coumarane Mani</v>
      </c>
      <c r="H42" s="55" t="str">
        <f>IFERROR(__xludf.DUMMYFUNCTION("""COMPUTED_VALUE"""),"coumarane.mani@aruplab.com")</f>
        <v>coumarane.mani@aruplab.com</v>
      </c>
      <c r="I42" s="55" t="str">
        <f>IFERROR(__xludf.DUMMYFUNCTION("""COMPUTED_VALUE"""),"Variant Analyst/Scientist")</f>
        <v>Variant Analyst/Scientist</v>
      </c>
      <c r="J42" s="55"/>
      <c r="K42" s="55" t="str">
        <f>IFERROR(__xludf.DUMMYFUNCTION("""COMPUTED_VALUE"""),"Dosage Sensitivity")</f>
        <v>Dosage Sensitivity</v>
      </c>
      <c r="L42" s="55"/>
      <c r="M42" s="55"/>
      <c r="N42" s="55"/>
      <c r="O42" s="55"/>
      <c r="P42" s="55"/>
      <c r="Q42" s="55"/>
      <c r="R42" s="55"/>
      <c r="S42" s="55"/>
      <c r="T42" s="55"/>
      <c r="U42" s="55"/>
      <c r="V42" s="55"/>
      <c r="W42" s="55"/>
      <c r="X42" s="55"/>
      <c r="Y42" s="55"/>
      <c r="Z42" s="55"/>
    </row>
    <row r="43">
      <c r="A43" s="55" t="str">
        <f>IFERROR(__xludf.DUMMYFUNCTION("""COMPUTED_VALUE"""),"Assigned")</f>
        <v>Assigned</v>
      </c>
      <c r="B43" s="55" t="str">
        <f>IFERROR(__xludf.DUMMYFUNCTION("""COMPUTED_VALUE"""),"")</f>
        <v/>
      </c>
      <c r="C43" s="94">
        <f>IFERROR(__xludf.DUMMYFUNCTION("""COMPUTED_VALUE"""),43453.0)</f>
        <v>43453</v>
      </c>
      <c r="D43" s="55" t="str">
        <f>IFERROR(__xludf.DUMMYFUNCTION("""COMPUTED_VALUE"""),"Yes")</f>
        <v>Yes</v>
      </c>
      <c r="E43" s="55" t="str">
        <f>IFERROR(__xludf.DUMMYFUNCTION("""COMPUTED_VALUE"""),"Dosage Sensitivity")</f>
        <v>Dosage Sensitivity</v>
      </c>
      <c r="F43" s="55" t="str">
        <f>IFERROR(__xludf.DUMMYFUNCTION("""COMPUTED_VALUE"""),"")</f>
        <v/>
      </c>
      <c r="G43" s="55" t="str">
        <f>IFERROR(__xludf.DUMMYFUNCTION("""COMPUTED_VALUE"""),"Mahesh Iddawela")</f>
        <v>Mahesh Iddawela</v>
      </c>
      <c r="H43" s="55" t="str">
        <f>IFERROR(__xludf.DUMMYFUNCTION("""COMPUTED_VALUE"""),"mahesh.iddawela@monash.edu")</f>
        <v>mahesh.iddawela@monash.edu</v>
      </c>
      <c r="I43" s="55" t="str">
        <f>IFERROR(__xludf.DUMMYFUNCTION("""COMPUTED_VALUE"""),"Clinician Scientist Medical Oncology")</f>
        <v>Clinician Scientist Medical Oncology</v>
      </c>
      <c r="J43" s="55"/>
      <c r="K43" s="55" t="str">
        <f>IFERROR(__xludf.DUMMYFUNCTION("""COMPUTED_VALUE"""),"Dosage Sensitivity")</f>
        <v>Dosage Sensitivity</v>
      </c>
      <c r="L43" s="55"/>
      <c r="M43" s="55"/>
      <c r="N43" s="55"/>
      <c r="O43" s="55"/>
      <c r="P43" s="55"/>
      <c r="Q43" s="55"/>
      <c r="R43" s="55"/>
      <c r="S43" s="55"/>
      <c r="T43" s="55"/>
      <c r="U43" s="55"/>
      <c r="V43" s="55"/>
      <c r="W43" s="55"/>
      <c r="X43" s="55"/>
      <c r="Y43" s="55"/>
      <c r="Z43" s="55"/>
    </row>
    <row r="44">
      <c r="A44" s="55" t="str">
        <f>IFERROR(__xludf.DUMMYFUNCTION("""COMPUTED_VALUE"""),"Assigned")</f>
        <v>Assigned</v>
      </c>
      <c r="B44" s="55" t="str">
        <f>IFERROR(__xludf.DUMMYFUNCTION("""COMPUTED_VALUE"""),"")</f>
        <v/>
      </c>
      <c r="C44" s="94">
        <f>IFERROR(__xludf.DUMMYFUNCTION("""COMPUTED_VALUE"""),43453.0)</f>
        <v>43453</v>
      </c>
      <c r="D44" s="55" t="str">
        <f>IFERROR(__xludf.DUMMYFUNCTION("""COMPUTED_VALUE"""),"Yes")</f>
        <v>Yes</v>
      </c>
      <c r="E44" s="55" t="str">
        <f>IFERROR(__xludf.DUMMYFUNCTION("""COMPUTED_VALUE"""),"Dosage Sensitivity")</f>
        <v>Dosage Sensitivity</v>
      </c>
      <c r="F44" s="55" t="str">
        <f>IFERROR(__xludf.DUMMYFUNCTION("""COMPUTED_VALUE"""),"")</f>
        <v/>
      </c>
      <c r="G44" s="55" t="str">
        <f>IFERROR(__xludf.DUMMYFUNCTION("""COMPUTED_VALUE"""),"Diogo Ventura Lovato")</f>
        <v>Diogo Ventura Lovato</v>
      </c>
      <c r="H44" s="55" t="str">
        <f>IFERROR(__xludf.DUMMYFUNCTION("""COMPUTED_VALUE"""),"diogo.v.lovato@gmail.com")</f>
        <v>diogo.v.lovato@gmail.com</v>
      </c>
      <c r="I44" s="55" t="str">
        <f>IFERROR(__xludf.DUMMYFUNCTION("""COMPUTED_VALUE"""),"Clinical laboratory geneticist, Scientific Researcher, Biocurator, Variant Analyst/Scientist")</f>
        <v>Clinical laboratory geneticist, Scientific Researcher, Biocurator, Variant Analyst/Scientist</v>
      </c>
      <c r="J44" s="55"/>
      <c r="K44" s="55" t="str">
        <f>IFERROR(__xludf.DUMMYFUNCTION("""COMPUTED_VALUE"""),"Dosage Sensitivity")</f>
        <v>Dosage Sensitivity</v>
      </c>
      <c r="L44" s="55"/>
      <c r="M44" s="55"/>
      <c r="N44" s="55"/>
      <c r="O44" s="55"/>
      <c r="P44" s="55"/>
      <c r="Q44" s="55"/>
      <c r="R44" s="55"/>
      <c r="S44" s="55"/>
      <c r="T44" s="55"/>
      <c r="U44" s="55"/>
      <c r="V44" s="55"/>
      <c r="W44" s="55"/>
      <c r="X44" s="55"/>
      <c r="Y44" s="55"/>
      <c r="Z44" s="55"/>
    </row>
    <row r="45">
      <c r="A45" s="55" t="str">
        <f>IFERROR(__xludf.DUMMYFUNCTION("""COMPUTED_VALUE"""),"Unresponsive")</f>
        <v>Unresponsive</v>
      </c>
      <c r="B45" s="93">
        <f>IFERROR(__xludf.DUMMYFUNCTION("""COMPUTED_VALUE"""),43476.0)</f>
        <v>43476</v>
      </c>
      <c r="C45" s="104">
        <f>IFERROR(__xludf.DUMMYFUNCTION("""COMPUTED_VALUE"""),43476.0)</f>
        <v>43476</v>
      </c>
      <c r="D45" s="55" t="str">
        <f>IFERROR(__xludf.DUMMYFUNCTION("""COMPUTED_VALUE"""),"Yes")</f>
        <v>Yes</v>
      </c>
      <c r="E45" s="55" t="str">
        <f>IFERROR(__xludf.DUMMYFUNCTION("""COMPUTED_VALUE"""),"Somatic Cancer")</f>
        <v>Somatic Cancer</v>
      </c>
      <c r="F45" s="55" t="str">
        <f>IFERROR(__xludf.DUMMYFUNCTION("""COMPUTED_VALUE"""),"pancreatic cancer taskforce")</f>
        <v>pancreatic cancer taskforce</v>
      </c>
      <c r="G45" s="55" t="str">
        <f>IFERROR(__xludf.DUMMYFUNCTION("""COMPUTED_VALUE"""),"Sameeha Shirwadkar")</f>
        <v>Sameeha Shirwadkar</v>
      </c>
      <c r="H45" s="55" t="str">
        <f>IFERROR(__xludf.DUMMYFUNCTION("""COMPUTED_VALUE"""),"sameeha9@gmail.com")</f>
        <v>sameeha9@gmail.com</v>
      </c>
      <c r="I45" s="55" t="str">
        <f>IFERROR(__xludf.DUMMYFUNCTION("""COMPUTED_VALUE"""),"Biocurator and Variant Analyst Scientist")</f>
        <v>Biocurator and Variant Analyst Scientist</v>
      </c>
      <c r="J45" s="55"/>
      <c r="K45" s="55" t="str">
        <f>IFERROR(__xludf.DUMMYFUNCTION("""COMPUTED_VALUE"""),"Somatic Cancer")</f>
        <v>Somatic Cancer</v>
      </c>
      <c r="L45" s="55"/>
      <c r="M45" s="55"/>
      <c r="N45" s="55"/>
      <c r="O45" s="55"/>
      <c r="P45" s="55"/>
      <c r="Q45" s="55"/>
      <c r="R45" s="55"/>
      <c r="S45" s="55"/>
      <c r="T45" s="55"/>
      <c r="U45" s="55"/>
      <c r="V45" s="55"/>
      <c r="W45" s="55"/>
      <c r="X45" s="55"/>
      <c r="Y45" s="55"/>
      <c r="Z45" s="55"/>
    </row>
    <row r="46">
      <c r="A46" s="55" t="str">
        <f>IFERROR(__xludf.DUMMYFUNCTION("""COMPUTED_VALUE"""),"Unresponsive")</f>
        <v>Unresponsive</v>
      </c>
      <c r="B46" s="55" t="str">
        <f>IFERROR(__xludf.DUMMYFUNCTION("""COMPUTED_VALUE"""),"")</f>
        <v/>
      </c>
      <c r="C46" s="104" t="str">
        <f>IFERROR(__xludf.DUMMYFUNCTION("""COMPUTED_VALUE"""),"")</f>
        <v/>
      </c>
      <c r="D46" s="55" t="str">
        <f>IFERROR(__xludf.DUMMYFUNCTION("""COMPUTED_VALUE"""),"No")</f>
        <v>No</v>
      </c>
      <c r="E46" s="55" t="str">
        <f>IFERROR(__xludf.DUMMYFUNCTION("""COMPUTED_VALUE"""),"Somatic Cancer")</f>
        <v>Somatic Cancer</v>
      </c>
      <c r="F46" s="55" t="str">
        <f>IFERROR(__xludf.DUMMYFUNCTION("""COMPUTED_VALUE"""),"pediatric cancer taskforce")</f>
        <v>pediatric cancer taskforce</v>
      </c>
      <c r="G46" s="55" t="str">
        <f>IFERROR(__xludf.DUMMYFUNCTION("""COMPUTED_VALUE"""),"Heather Williams")</f>
        <v>Heather Williams</v>
      </c>
      <c r="H46" s="55" t="str">
        <f>IFERROR(__xludf.DUMMYFUNCTION("""COMPUTED_VALUE"""),"heather.williams30@nhs.net")</f>
        <v>heather.williams30@nhs.net</v>
      </c>
      <c r="I46" s="55" t="str">
        <f>IFERROR(__xludf.DUMMYFUNCTION("""COMPUTED_VALUE"""),"Clinical laboratory geneticist")</f>
        <v>Clinical laboratory geneticist</v>
      </c>
      <c r="J46" s="55"/>
      <c r="K46" s="55" t="str">
        <f>IFERROR(__xludf.DUMMYFUNCTION("""COMPUTED_VALUE"""),"Somatic Cancer")</f>
        <v>Somatic Cancer</v>
      </c>
      <c r="L46" s="55"/>
      <c r="M46" s="55"/>
      <c r="N46" s="55"/>
      <c r="O46" s="55"/>
      <c r="P46" s="55"/>
      <c r="Q46" s="55"/>
      <c r="R46" s="55"/>
      <c r="S46" s="55"/>
      <c r="T46" s="55"/>
      <c r="U46" s="55"/>
      <c r="V46" s="55"/>
      <c r="W46" s="55"/>
      <c r="X46" s="55"/>
      <c r="Y46" s="55"/>
      <c r="Z46" s="55"/>
    </row>
    <row r="47">
      <c r="A47" s="55" t="str">
        <f>IFERROR(__xludf.DUMMYFUNCTION("""COMPUTED_VALUE"""),"Unresponsive")</f>
        <v>Unresponsive</v>
      </c>
      <c r="B47" s="105">
        <f>IFERROR(__xludf.DUMMYFUNCTION("""COMPUTED_VALUE"""),43411.0)</f>
        <v>43411</v>
      </c>
      <c r="C47" s="104">
        <f>IFERROR(__xludf.DUMMYFUNCTION("""COMPUTED_VALUE"""),43476.0)</f>
        <v>43476</v>
      </c>
      <c r="D47" s="55" t="str">
        <f>IFERROR(__xludf.DUMMYFUNCTION("""COMPUTED_VALUE"""),"Yes")</f>
        <v>Yes</v>
      </c>
      <c r="E47" s="55" t="str">
        <f>IFERROR(__xludf.DUMMYFUNCTION("""COMPUTED_VALUE"""),"Somatic Cancer")</f>
        <v>Somatic Cancer</v>
      </c>
      <c r="F47" s="55" t="str">
        <f>IFERROR(__xludf.DUMMYFUNCTION("""COMPUTED_VALUE"""),"pediatric cancer taskforce")</f>
        <v>pediatric cancer taskforce</v>
      </c>
      <c r="G47" s="55" t="str">
        <f>IFERROR(__xludf.DUMMYFUNCTION("""COMPUTED_VALUE"""),"Laura Richards")</f>
        <v>Laura Richards</v>
      </c>
      <c r="H47" s="55" t="str">
        <f>IFERROR(__xludf.DUMMYFUNCTION("""COMPUTED_VALUE"""),"lauram.richards@mail.utoronto.ca")</f>
        <v>lauram.richards@mail.utoronto.ca</v>
      </c>
      <c r="I47" s="55" t="str">
        <f>IFERROR(__xludf.DUMMYFUNCTION("""COMPUTED_VALUE"""),"Graduate Student")</f>
        <v>Graduate Student</v>
      </c>
      <c r="J47" s="55"/>
      <c r="K47" s="55" t="str">
        <f>IFERROR(__xludf.DUMMYFUNCTION("""COMPUTED_VALUE"""),"Somatic Cancer")</f>
        <v>Somatic Cancer</v>
      </c>
      <c r="L47" s="55"/>
      <c r="M47" s="55"/>
      <c r="N47" s="55"/>
      <c r="O47" s="55"/>
      <c r="P47" s="55"/>
      <c r="Q47" s="55"/>
      <c r="R47" s="55"/>
      <c r="S47" s="55"/>
      <c r="T47" s="55"/>
      <c r="U47" s="55"/>
      <c r="V47" s="55"/>
      <c r="W47" s="55"/>
      <c r="X47" s="55"/>
      <c r="Y47" s="55"/>
      <c r="Z47" s="55"/>
    </row>
    <row r="48">
      <c r="A48" s="55" t="str">
        <f>IFERROR(__xludf.DUMMYFUNCTION("""COMPUTED_VALUE"""),"Unresponsive")</f>
        <v>Unresponsive</v>
      </c>
      <c r="B48" s="105">
        <f>IFERROR(__xludf.DUMMYFUNCTION("""COMPUTED_VALUE"""),43411.0)</f>
        <v>43411</v>
      </c>
      <c r="C48" s="104" t="str">
        <f>IFERROR(__xludf.DUMMYFUNCTION("""COMPUTED_VALUE"""),"")</f>
        <v/>
      </c>
      <c r="D48" s="55" t="str">
        <f>IFERROR(__xludf.DUMMYFUNCTION("""COMPUTED_VALUE"""),"No")</f>
        <v>No</v>
      </c>
      <c r="E48" s="55" t="str">
        <f>IFERROR(__xludf.DUMMYFUNCTION("""COMPUTED_VALUE"""),"Somatic Cancer")</f>
        <v>Somatic Cancer</v>
      </c>
      <c r="F48" s="55" t="str">
        <f>IFERROR(__xludf.DUMMYFUNCTION("""COMPUTED_VALUE"""),"")</f>
        <v/>
      </c>
      <c r="G48" s="55" t="str">
        <f>IFERROR(__xludf.DUMMYFUNCTION("""COMPUTED_VALUE"""),"Aysegul Ozanturk")</f>
        <v>Aysegul Ozanturk</v>
      </c>
      <c r="H48" s="55" t="str">
        <f>IFERROR(__xludf.DUMMYFUNCTION("""COMPUTED_VALUE"""),"aozanturk@gmail.com")</f>
        <v>aozanturk@gmail.com</v>
      </c>
      <c r="I48" s="55" t="str">
        <f>IFERROR(__xludf.DUMMYFUNCTION("""COMPUTED_VALUE"""),"Scientific Researcher, Variant Analyst/Scientist")</f>
        <v>Scientific Researcher, Variant Analyst/Scientist</v>
      </c>
      <c r="J48" s="55"/>
      <c r="K48" s="55" t="str">
        <f>IFERROR(__xludf.DUMMYFUNCTION("""COMPUTED_VALUE"""),"Somatic Cancer")</f>
        <v>Somatic Cancer</v>
      </c>
      <c r="L48" s="55"/>
      <c r="M48" s="55"/>
      <c r="N48" s="55"/>
      <c r="O48" s="55"/>
      <c r="P48" s="55"/>
      <c r="Q48" s="55"/>
      <c r="R48" s="55"/>
      <c r="S48" s="55"/>
      <c r="T48" s="55"/>
      <c r="U48" s="55"/>
      <c r="V48" s="55"/>
      <c r="W48" s="55"/>
      <c r="X48" s="55"/>
      <c r="Y48" s="55"/>
      <c r="Z48" s="55"/>
    </row>
    <row r="49">
      <c r="A49" s="55" t="str">
        <f>IFERROR(__xludf.DUMMYFUNCTION("""COMPUTED_VALUE"""),"Declined")</f>
        <v>Declined</v>
      </c>
      <c r="B49" s="105">
        <f>IFERROR(__xludf.DUMMYFUNCTION("""COMPUTED_VALUE"""),43411.0)</f>
        <v>43411</v>
      </c>
      <c r="C49" s="104">
        <f>IFERROR(__xludf.DUMMYFUNCTION("""COMPUTED_VALUE"""),43476.0)</f>
        <v>43476</v>
      </c>
      <c r="D49" s="55" t="str">
        <f>IFERROR(__xludf.DUMMYFUNCTION("""COMPUTED_VALUE"""),"Yes")</f>
        <v>Yes</v>
      </c>
      <c r="E49" s="55" t="str">
        <f>IFERROR(__xludf.DUMMYFUNCTION("""COMPUTED_VALUE"""),"Somatic Cancer")</f>
        <v>Somatic Cancer</v>
      </c>
      <c r="F49" s="55" t="str">
        <f>IFERROR(__xludf.DUMMYFUNCTION("""COMPUTED_VALUE"""),"pancreatic cancer taskforce")</f>
        <v>pancreatic cancer taskforce</v>
      </c>
      <c r="G49" s="55" t="str">
        <f>IFERROR(__xludf.DUMMYFUNCTION("""COMPUTED_VALUE"""),"Kaylee Barber")</f>
        <v>Kaylee Barber</v>
      </c>
      <c r="H49" s="55" t="str">
        <f>IFERROR(__xludf.DUMMYFUNCTION("""COMPUTED_VALUE"""),"kbarber@bioreference.com")</f>
        <v>kbarber@bioreference.com</v>
      </c>
      <c r="I49" s="55" t="str">
        <f>IFERROR(__xludf.DUMMYFUNCTION("""COMPUTED_VALUE"""),"Genetic counselor")</f>
        <v>Genetic counselor</v>
      </c>
      <c r="J49" s="55"/>
      <c r="K49" s="55" t="str">
        <f>IFERROR(__xludf.DUMMYFUNCTION("""COMPUTED_VALUE"""),"Somatic Cancer")</f>
        <v>Somatic Cancer</v>
      </c>
      <c r="L49" s="55"/>
      <c r="M49" s="55"/>
      <c r="N49" s="55"/>
      <c r="O49" s="55"/>
      <c r="P49" s="55"/>
      <c r="Q49" s="55"/>
      <c r="R49" s="55"/>
      <c r="S49" s="55"/>
      <c r="T49" s="55"/>
      <c r="U49" s="55"/>
      <c r="V49" s="55"/>
      <c r="W49" s="55"/>
      <c r="X49" s="55"/>
      <c r="Y49" s="55"/>
      <c r="Z49" s="55"/>
    </row>
    <row r="50">
      <c r="A50" s="55" t="str">
        <f>IFERROR(__xludf.DUMMYFUNCTION("""COMPUTED_VALUE"""),"Assigned")</f>
        <v>Assigned</v>
      </c>
      <c r="B50" s="105">
        <f>IFERROR(__xludf.DUMMYFUNCTION("""COMPUTED_VALUE"""),43411.0)</f>
        <v>43411</v>
      </c>
      <c r="C50" s="104">
        <f>IFERROR(__xludf.DUMMYFUNCTION("""COMPUTED_VALUE"""),43476.0)</f>
        <v>43476</v>
      </c>
      <c r="D50" s="55" t="str">
        <f>IFERROR(__xludf.DUMMYFUNCTION("""COMPUTED_VALUE"""),"Yes")</f>
        <v>Yes</v>
      </c>
      <c r="E50" s="55" t="str">
        <f>IFERROR(__xludf.DUMMYFUNCTION("""COMPUTED_VALUE"""),"Somatic Cancer")</f>
        <v>Somatic Cancer</v>
      </c>
      <c r="F50" s="55" t="str">
        <f>IFERROR(__xludf.DUMMYFUNCTION("""COMPUTED_VALUE"""),"pediatric and pancreatic cancer taskforces")</f>
        <v>pediatric and pancreatic cancer taskforces</v>
      </c>
      <c r="G50" s="55" t="str">
        <f>IFERROR(__xludf.DUMMYFUNCTION("""COMPUTED_VALUE"""),"Wan-Hsin Lin")</f>
        <v>Wan-Hsin Lin</v>
      </c>
      <c r="H50" s="55" t="str">
        <f>IFERROR(__xludf.DUMMYFUNCTION("""COMPUTED_VALUE"""),"lin.wanhsin@mayo.edu")</f>
        <v>lin.wanhsin@mayo.edu</v>
      </c>
      <c r="I50" s="55" t="str">
        <f>IFERROR(__xludf.DUMMYFUNCTION("""COMPUTED_VALUE"""),"Post Doc/Resident/Fellow (MD and/or PhD)")</f>
        <v>Post Doc/Resident/Fellow (MD and/or PhD)</v>
      </c>
      <c r="J50" s="55"/>
      <c r="K50" s="55" t="str">
        <f>IFERROR(__xludf.DUMMYFUNCTION("""COMPUTED_VALUE"""),"Somatic Cancer")</f>
        <v>Somatic Cancer</v>
      </c>
      <c r="L50" s="55"/>
      <c r="M50" s="55"/>
      <c r="N50" s="55"/>
      <c r="O50" s="55"/>
      <c r="P50" s="55"/>
      <c r="Q50" s="55"/>
      <c r="R50" s="55"/>
      <c r="S50" s="55"/>
      <c r="T50" s="55"/>
      <c r="U50" s="55"/>
      <c r="V50" s="55"/>
      <c r="W50" s="55"/>
      <c r="X50" s="55"/>
      <c r="Y50" s="55"/>
      <c r="Z50" s="55"/>
    </row>
    <row r="51">
      <c r="A51" s="55" t="str">
        <f>IFERROR(__xludf.DUMMYFUNCTION("""COMPUTED_VALUE"""),"Unresponsive")</f>
        <v>Unresponsive</v>
      </c>
      <c r="B51" s="105">
        <f>IFERROR(__xludf.DUMMYFUNCTION("""COMPUTED_VALUE"""),43411.0)</f>
        <v>43411</v>
      </c>
      <c r="C51" s="104">
        <f>IFERROR(__xludf.DUMMYFUNCTION("""COMPUTED_VALUE"""),43476.0)</f>
        <v>43476</v>
      </c>
      <c r="D51" s="55" t="str">
        <f>IFERROR(__xludf.DUMMYFUNCTION("""COMPUTED_VALUE"""),"Yes")</f>
        <v>Yes</v>
      </c>
      <c r="E51" s="55" t="str">
        <f>IFERROR(__xludf.DUMMYFUNCTION("""COMPUTED_VALUE"""),"Somatic Cancer")</f>
        <v>Somatic Cancer</v>
      </c>
      <c r="F51" s="55" t="str">
        <f>IFERROR(__xludf.DUMMYFUNCTION("""COMPUTED_VALUE"""),"pediatric cancer taskforce")</f>
        <v>pediatric cancer taskforce</v>
      </c>
      <c r="G51" s="55" t="str">
        <f>IFERROR(__xludf.DUMMYFUNCTION("""COMPUTED_VALUE"""),"Stefan Rentas")</f>
        <v>Stefan Rentas</v>
      </c>
      <c r="H51" s="55" t="str">
        <f>IFERROR(__xludf.DUMMYFUNCTION("""COMPUTED_VALUE"""),"rentass@email.chop.edu")</f>
        <v>rentass@email.chop.edu</v>
      </c>
      <c r="I51" s="55" t="str">
        <f>IFERROR(__xludf.DUMMYFUNCTION("""COMPUTED_VALUE"""),"Post Doc/Resident/Fellow (MD and/or PhD)")</f>
        <v>Post Doc/Resident/Fellow (MD and/or PhD)</v>
      </c>
      <c r="J51" s="55"/>
      <c r="K51" s="55" t="str">
        <f>IFERROR(__xludf.DUMMYFUNCTION("""COMPUTED_VALUE"""),"Somatic Cancer")</f>
        <v>Somatic Cancer</v>
      </c>
      <c r="L51" s="55"/>
      <c r="M51" s="55"/>
      <c r="N51" s="55"/>
      <c r="O51" s="55"/>
      <c r="P51" s="55"/>
      <c r="Q51" s="55"/>
      <c r="R51" s="55"/>
      <c r="S51" s="55"/>
      <c r="T51" s="55"/>
      <c r="U51" s="55"/>
      <c r="V51" s="55"/>
      <c r="W51" s="55"/>
      <c r="X51" s="55"/>
      <c r="Y51" s="55"/>
      <c r="Z51" s="55"/>
    </row>
    <row r="52">
      <c r="A52" s="55" t="str">
        <f>IFERROR(__xludf.DUMMYFUNCTION("""COMPUTED_VALUE"""),"Unresponsive")</f>
        <v>Unresponsive</v>
      </c>
      <c r="B52" s="94">
        <f>IFERROR(__xludf.DUMMYFUNCTION("""COMPUTED_VALUE"""),43434.0)</f>
        <v>43434</v>
      </c>
      <c r="C52" s="104" t="str">
        <f>IFERROR(__xludf.DUMMYFUNCTION("""COMPUTED_VALUE"""),"")</f>
        <v/>
      </c>
      <c r="D52" s="55" t="str">
        <f>IFERROR(__xludf.DUMMYFUNCTION("""COMPUTED_VALUE"""),"No")</f>
        <v>No</v>
      </c>
      <c r="E52" s="55" t="str">
        <f>IFERROR(__xludf.DUMMYFUNCTION("""COMPUTED_VALUE"""),"Somatic Cancer")</f>
        <v>Somatic Cancer</v>
      </c>
      <c r="F52" s="55" t="str">
        <f>IFERROR(__xludf.DUMMYFUNCTION("""COMPUTED_VALUE"""),"")</f>
        <v/>
      </c>
      <c r="G52" s="55" t="str">
        <f>IFERROR(__xludf.DUMMYFUNCTION("""COMPUTED_VALUE"""),"Willonie Mendonca")</f>
        <v>Willonie Mendonca</v>
      </c>
      <c r="H52" s="55" t="str">
        <f>IFERROR(__xludf.DUMMYFUNCTION("""COMPUTED_VALUE"""),"willonie@gmail.com")</f>
        <v>willonie@gmail.com</v>
      </c>
      <c r="I52" s="55" t="str">
        <f>IFERROR(__xludf.DUMMYFUNCTION("""COMPUTED_VALUE"""),"Genetic counselor")</f>
        <v>Genetic counselor</v>
      </c>
      <c r="J52" s="55"/>
      <c r="K52" s="55" t="str">
        <f>IFERROR(__xludf.DUMMYFUNCTION("""COMPUTED_VALUE"""),"Somatic Cancer")</f>
        <v>Somatic Cancer</v>
      </c>
      <c r="L52" s="55"/>
      <c r="M52" s="55"/>
      <c r="N52" s="55"/>
      <c r="O52" s="55"/>
      <c r="P52" s="55"/>
      <c r="Q52" s="55"/>
      <c r="R52" s="55"/>
      <c r="S52" s="55"/>
      <c r="T52" s="55"/>
      <c r="U52" s="55"/>
      <c r="V52" s="55"/>
      <c r="W52" s="55"/>
      <c r="X52" s="55"/>
      <c r="Y52" s="55"/>
      <c r="Z52" s="55"/>
    </row>
    <row r="53">
      <c r="A53" s="55" t="str">
        <f>IFERROR(__xludf.DUMMYFUNCTION("""COMPUTED_VALUE"""),"Unresponsive")</f>
        <v>Unresponsive</v>
      </c>
      <c r="B53" s="94">
        <f>IFERROR(__xludf.DUMMYFUNCTION("""COMPUTED_VALUE"""),43434.0)</f>
        <v>43434</v>
      </c>
      <c r="C53" s="104">
        <f>IFERROR(__xludf.DUMMYFUNCTION("""COMPUTED_VALUE"""),43476.0)</f>
        <v>43476</v>
      </c>
      <c r="D53" s="55" t="str">
        <f>IFERROR(__xludf.DUMMYFUNCTION("""COMPUTED_VALUE"""),"Yes")</f>
        <v>Yes</v>
      </c>
      <c r="E53" s="55" t="str">
        <f>IFERROR(__xludf.DUMMYFUNCTION("""COMPUTED_VALUE"""),"Somatic Cancer")</f>
        <v>Somatic Cancer</v>
      </c>
      <c r="F53" s="55" t="str">
        <f>IFERROR(__xludf.DUMMYFUNCTION("""COMPUTED_VALUE"""),"pancreatic cancer taskforce")</f>
        <v>pancreatic cancer taskforce</v>
      </c>
      <c r="G53" s="55" t="str">
        <f>IFERROR(__xludf.DUMMYFUNCTION("""COMPUTED_VALUE"""),"Iman Haroun")</f>
        <v>Iman Haroun</v>
      </c>
      <c r="H53" s="55" t="str">
        <f>IFERROR(__xludf.DUMMYFUNCTION("""COMPUTED_VALUE"""),"iman.haroun@readinghealth.org")</f>
        <v>iman.haroun@readinghealth.org</v>
      </c>
      <c r="I53" s="55" t="str">
        <f>IFERROR(__xludf.DUMMYFUNCTION("""COMPUTED_VALUE"""),"Genetic counselor")</f>
        <v>Genetic counselor</v>
      </c>
      <c r="J53" s="55"/>
      <c r="K53" s="55" t="str">
        <f>IFERROR(__xludf.DUMMYFUNCTION("""COMPUTED_VALUE"""),"Somatic Cancer")</f>
        <v>Somatic Cancer</v>
      </c>
      <c r="L53" s="55"/>
      <c r="M53" s="55"/>
      <c r="N53" s="55"/>
      <c r="O53" s="55"/>
      <c r="P53" s="55"/>
      <c r="Q53" s="55"/>
      <c r="R53" s="55"/>
      <c r="S53" s="55"/>
      <c r="T53" s="55"/>
      <c r="U53" s="55"/>
      <c r="V53" s="55"/>
      <c r="W53" s="55"/>
      <c r="X53" s="55"/>
      <c r="Y53" s="55"/>
      <c r="Z53" s="55"/>
    </row>
    <row r="54">
      <c r="A54" s="55" t="str">
        <f>IFERROR(__xludf.DUMMYFUNCTION("""COMPUTED_VALUE"""),"Unresponsive")</f>
        <v>Unresponsive</v>
      </c>
      <c r="B54" s="105">
        <f>IFERROR(__xludf.DUMMYFUNCTION("""COMPUTED_VALUE"""),43439.0)</f>
        <v>43439</v>
      </c>
      <c r="C54" s="55" t="str">
        <f>IFERROR(__xludf.DUMMYFUNCTION("""COMPUTED_VALUE"""),"")</f>
        <v/>
      </c>
      <c r="D54" s="55" t="str">
        <f>IFERROR(__xludf.DUMMYFUNCTION("""COMPUTED_VALUE"""),"No")</f>
        <v>No</v>
      </c>
      <c r="E54" s="55" t="str">
        <f>IFERROR(__xludf.DUMMYFUNCTION("""COMPUTED_VALUE"""),"Variant Pathogenicity")</f>
        <v>Variant Pathogenicity</v>
      </c>
      <c r="F54" s="55" t="str">
        <f>IFERROR(__xludf.DUMMYFUNCTION("""COMPUTED_VALUE"""),"")</f>
        <v/>
      </c>
      <c r="G54" s="55" t="str">
        <f>IFERROR(__xludf.DUMMYFUNCTION("""COMPUTED_VALUE"""),"Daniel Bellissimo")</f>
        <v>Daniel Bellissimo</v>
      </c>
      <c r="H54" s="55" t="str">
        <f>IFERROR(__xludf.DUMMYFUNCTION("""COMPUTED_VALUE"""),"BELLISSIMOD@MAIL.MAGEE.EDU")</f>
        <v>BELLISSIMOD@MAIL.MAGEE.EDU</v>
      </c>
      <c r="I54" s="55" t="str">
        <f>IFERROR(__xludf.DUMMYFUNCTION("""COMPUTED_VALUE"""),"Clinical laboratory geneticist")</f>
        <v>Clinical laboratory geneticist</v>
      </c>
      <c r="J54" s="55"/>
      <c r="K54" s="55" t="str">
        <f>IFERROR(__xludf.DUMMYFUNCTION("""COMPUTED_VALUE"""),"Variant Pathogenicity")</f>
        <v>Variant Pathogenicity</v>
      </c>
      <c r="L54" s="55"/>
      <c r="M54" s="55"/>
      <c r="N54" s="55"/>
      <c r="O54" s="55"/>
      <c r="P54" s="55"/>
      <c r="Q54" s="55"/>
      <c r="R54" s="55"/>
      <c r="S54" s="55"/>
      <c r="T54" s="55"/>
      <c r="U54" s="55"/>
      <c r="V54" s="55"/>
      <c r="W54" s="55"/>
      <c r="X54" s="55"/>
      <c r="Y54" s="55"/>
      <c r="Z54" s="55"/>
    </row>
    <row r="55">
      <c r="A55" s="55" t="str">
        <f>IFERROR(__xludf.DUMMYFUNCTION("""COMPUTED_VALUE"""),"Contacted")</f>
        <v>Contacted</v>
      </c>
      <c r="B55" s="105">
        <f>IFERROR(__xludf.DUMMYFUNCTION("""COMPUTED_VALUE"""),43439.0)</f>
        <v>43439</v>
      </c>
      <c r="C55" s="55" t="str">
        <f>IFERROR(__xludf.DUMMYFUNCTION("""COMPUTED_VALUE"""),"")</f>
        <v/>
      </c>
      <c r="D55" s="55" t="str">
        <f>IFERROR(__xludf.DUMMYFUNCTION("""COMPUTED_VALUE"""),"No")</f>
        <v>No</v>
      </c>
      <c r="E55" s="55" t="str">
        <f>IFERROR(__xludf.DUMMYFUNCTION("""COMPUTED_VALUE"""),"Variant Pathogenicity")</f>
        <v>Variant Pathogenicity</v>
      </c>
      <c r="F55" s="55" t="str">
        <f>IFERROR(__xludf.DUMMYFUNCTION("""COMPUTED_VALUE"""),"")</f>
        <v/>
      </c>
      <c r="G55" s="55" t="str">
        <f>IFERROR(__xludf.DUMMYFUNCTION("""COMPUTED_VALUE"""),"Alexa Dickson ")</f>
        <v>Alexa Dickson </v>
      </c>
      <c r="H55" s="55" t="str">
        <f>IFERROR(__xludf.DUMMYFUNCTION("""COMPUTED_VALUE"""),"alexa.dickson@aruplab.com")</f>
        <v>alexa.dickson@aruplab.com</v>
      </c>
      <c r="I55" s="55" t="str">
        <f>IFERROR(__xludf.DUMMYFUNCTION("""COMPUTED_VALUE"""),"Clinical laboratory geneticist")</f>
        <v>Clinical laboratory geneticist</v>
      </c>
      <c r="J55" s="55"/>
      <c r="K55" s="55" t="str">
        <f>IFERROR(__xludf.DUMMYFUNCTION("""COMPUTED_VALUE"""),"Variant Pathogenicity")</f>
        <v>Variant Pathogenicity</v>
      </c>
      <c r="L55" s="55"/>
      <c r="M55" s="55"/>
      <c r="N55" s="55"/>
      <c r="O55" s="55"/>
      <c r="P55" s="55"/>
      <c r="Q55" s="55"/>
      <c r="R55" s="55"/>
      <c r="S55" s="55"/>
      <c r="T55" s="55"/>
      <c r="U55" s="55"/>
      <c r="V55" s="55"/>
      <c r="W55" s="55"/>
      <c r="X55" s="55"/>
      <c r="Y55" s="55"/>
      <c r="Z55" s="55"/>
    </row>
    <row r="56">
      <c r="A56" s="55" t="str">
        <f>IFERROR(__xludf.DUMMYFUNCTION("""COMPUTED_VALUE"""),"Unresponsive")</f>
        <v>Unresponsive</v>
      </c>
      <c r="B56" s="105">
        <f>IFERROR(__xludf.DUMMYFUNCTION("""COMPUTED_VALUE"""),43439.0)</f>
        <v>43439</v>
      </c>
      <c r="C56" s="93">
        <f>IFERROR(__xludf.DUMMYFUNCTION("""COMPUTED_VALUE"""),43605.0)</f>
        <v>43605</v>
      </c>
      <c r="D56" s="55" t="str">
        <f>IFERROR(__xludf.DUMMYFUNCTION("""COMPUTED_VALUE"""),"Yes")</f>
        <v>Yes</v>
      </c>
      <c r="E56" s="55" t="str">
        <f>IFERROR(__xludf.DUMMYFUNCTION("""COMPUTED_VALUE"""),"Variant Pathogenicity")</f>
        <v>Variant Pathogenicity</v>
      </c>
      <c r="F56" s="55" t="str">
        <f>IFERROR(__xludf.DUMMYFUNCTION("""COMPUTED_VALUE"""),"")</f>
        <v/>
      </c>
      <c r="G56" s="55" t="str">
        <f>IFERROR(__xludf.DUMMYFUNCTION("""COMPUTED_VALUE"""),"Luke Drury")</f>
        <v>Luke Drury</v>
      </c>
      <c r="H56" s="55" t="str">
        <f>IFERROR(__xludf.DUMMYFUNCTION("""COMPUTED_VALUE"""),"luke.drury@preventiongenetics.com")</f>
        <v>luke.drury@preventiongenetics.com</v>
      </c>
      <c r="I56" s="55" t="str">
        <f>IFERROR(__xludf.DUMMYFUNCTION("""COMPUTED_VALUE"""),"Variant Analyst/Scientist")</f>
        <v>Variant Analyst/Scientist</v>
      </c>
      <c r="J56" s="55"/>
      <c r="K56" s="55" t="str">
        <f>IFERROR(__xludf.DUMMYFUNCTION("""COMPUTED_VALUE"""),"Variant Pathogenicity")</f>
        <v>Variant Pathogenicity</v>
      </c>
      <c r="L56" s="55"/>
      <c r="M56" s="55"/>
      <c r="N56" s="55"/>
      <c r="O56" s="55"/>
      <c r="P56" s="55"/>
      <c r="Q56" s="55"/>
      <c r="R56" s="55"/>
      <c r="S56" s="55"/>
      <c r="T56" s="55"/>
      <c r="U56" s="55"/>
      <c r="V56" s="55"/>
      <c r="W56" s="55"/>
      <c r="X56" s="55"/>
      <c r="Y56" s="55"/>
      <c r="Z56" s="55"/>
    </row>
    <row r="57">
      <c r="A57" s="55" t="str">
        <f>IFERROR(__xludf.DUMMYFUNCTION("""COMPUTED_VALUE"""),"Assigned")</f>
        <v>Assigned</v>
      </c>
      <c r="B57" s="105">
        <f>IFERROR(__xludf.DUMMYFUNCTION("""COMPUTED_VALUE"""),43439.0)</f>
        <v>43439</v>
      </c>
      <c r="C57" s="93">
        <f>IFERROR(__xludf.DUMMYFUNCTION("""COMPUTED_VALUE"""),43605.0)</f>
        <v>43605</v>
      </c>
      <c r="D57" s="55" t="str">
        <f>IFERROR(__xludf.DUMMYFUNCTION("""COMPUTED_VALUE"""),"Yes")</f>
        <v>Yes</v>
      </c>
      <c r="E57" s="55" t="str">
        <f>IFERROR(__xludf.DUMMYFUNCTION("""COMPUTED_VALUE"""),"Variant Pathogenicity")</f>
        <v>Variant Pathogenicity</v>
      </c>
      <c r="F57" s="55" t="str">
        <f>IFERROR(__xludf.DUMMYFUNCTION("""COMPUTED_VALUE"""),"Storage Disease")</f>
        <v>Storage Disease</v>
      </c>
      <c r="G57" s="55" t="str">
        <f>IFERROR(__xludf.DUMMYFUNCTION("""COMPUTED_VALUE"""),"Lynne Rosenblum")</f>
        <v>Lynne Rosenblum</v>
      </c>
      <c r="H57" s="55" t="str">
        <f>IFERROR(__xludf.DUMMYFUNCTION("""COMPUTED_VALUE"""),"lynne.rosenblum@integratedgenetics.com")</f>
        <v>lynne.rosenblum@integratedgenetics.com</v>
      </c>
      <c r="I57" s="55" t="str">
        <f>IFERROR(__xludf.DUMMYFUNCTION("""COMPUTED_VALUE"""),"Clinical laboratory geneticist")</f>
        <v>Clinical laboratory geneticist</v>
      </c>
      <c r="J57" s="55"/>
      <c r="K57" s="55" t="str">
        <f>IFERROR(__xludf.DUMMYFUNCTION("""COMPUTED_VALUE"""),"Variant Pathogenicity")</f>
        <v>Variant Pathogenicity</v>
      </c>
      <c r="L57" s="55"/>
      <c r="M57" s="55"/>
      <c r="N57" s="55"/>
      <c r="O57" s="55"/>
      <c r="P57" s="55"/>
      <c r="Q57" s="55"/>
      <c r="R57" s="55"/>
      <c r="S57" s="55"/>
      <c r="T57" s="55"/>
      <c r="U57" s="55"/>
      <c r="V57" s="55"/>
      <c r="W57" s="55"/>
      <c r="X57" s="55"/>
      <c r="Y57" s="55"/>
      <c r="Z57" s="55"/>
    </row>
    <row r="58">
      <c r="A58" s="55" t="str">
        <f>IFERROR(__xludf.DUMMYFUNCTION("""COMPUTED_VALUE"""),"Assigned")</f>
        <v>Assigned</v>
      </c>
      <c r="B58" s="105">
        <f>IFERROR(__xludf.DUMMYFUNCTION("""COMPUTED_VALUE"""),43439.0)</f>
        <v>43439</v>
      </c>
      <c r="C58" s="93">
        <f>IFERROR(__xludf.DUMMYFUNCTION("""COMPUTED_VALUE"""),43605.0)</f>
        <v>43605</v>
      </c>
      <c r="D58" s="55" t="str">
        <f>IFERROR(__xludf.DUMMYFUNCTION("""COMPUTED_VALUE"""),"Yes")</f>
        <v>Yes</v>
      </c>
      <c r="E58" s="55" t="str">
        <f>IFERROR(__xludf.DUMMYFUNCTION("""COMPUTED_VALUE"""),"Variant Pathogenicity")</f>
        <v>Variant Pathogenicity</v>
      </c>
      <c r="F58" s="55" t="str">
        <f>IFERROR(__xludf.DUMMYFUNCTION("""COMPUTED_VALUE"""),"ACADVL")</f>
        <v>ACADVL</v>
      </c>
      <c r="G58" s="55" t="str">
        <f>IFERROR(__xludf.DUMMYFUNCTION("""COMPUTED_VALUE"""),"Yang Wang")</f>
        <v>Yang Wang</v>
      </c>
      <c r="H58" s="55" t="str">
        <f>IFERROR(__xludf.DUMMYFUNCTION("""COMPUTED_VALUE"""),"yangwangcmg@gmail.com")</f>
        <v>yangwangcmg@gmail.com</v>
      </c>
      <c r="I58" s="55" t="str">
        <f>IFERROR(__xludf.DUMMYFUNCTION("""COMPUTED_VALUE"""),"Clinical laboratory geneticist")</f>
        <v>Clinical laboratory geneticist</v>
      </c>
      <c r="J58" s="55"/>
      <c r="K58" s="55" t="str">
        <f>IFERROR(__xludf.DUMMYFUNCTION("""COMPUTED_VALUE"""),"Variant Pathogenicity")</f>
        <v>Variant Pathogenicity</v>
      </c>
      <c r="L58" s="55"/>
      <c r="M58" s="55"/>
      <c r="N58" s="55"/>
      <c r="O58" s="55"/>
      <c r="P58" s="55"/>
      <c r="Q58" s="55"/>
      <c r="R58" s="55"/>
      <c r="S58" s="55"/>
      <c r="T58" s="55"/>
      <c r="U58" s="55"/>
      <c r="V58" s="55"/>
      <c r="W58" s="55"/>
      <c r="X58" s="55"/>
      <c r="Y58" s="55"/>
      <c r="Z58" s="55"/>
    </row>
    <row r="59">
      <c r="A59" s="55" t="str">
        <f>IFERROR(__xludf.DUMMYFUNCTION("""COMPUTED_VALUE"""),"Contacted")</f>
        <v>Contacted</v>
      </c>
      <c r="B59" s="105">
        <f>IFERROR(__xludf.DUMMYFUNCTION("""COMPUTED_VALUE"""),43439.0)</f>
        <v>43439</v>
      </c>
      <c r="C59" s="94">
        <f>IFERROR(__xludf.DUMMYFUNCTION("""COMPUTED_VALUE"""),43446.0)</f>
        <v>43446</v>
      </c>
      <c r="D59" s="55" t="str">
        <f>IFERROR(__xludf.DUMMYFUNCTION("""COMPUTED_VALUE"""),"Yes")</f>
        <v>Yes</v>
      </c>
      <c r="E59" s="55" t="str">
        <f>IFERROR(__xludf.DUMMYFUNCTION("""COMPUTED_VALUE"""),"Gene Disease Validity")</f>
        <v>Gene Disease Validity</v>
      </c>
      <c r="F59" s="55" t="str">
        <f>IFERROR(__xludf.DUMMYFUNCTION("""COMPUTED_VALUE"""),"")</f>
        <v/>
      </c>
      <c r="G59" s="55" t="str">
        <f>IFERROR(__xludf.DUMMYFUNCTION("""COMPUTED_VALUE"""),"Elaine Spector ")</f>
        <v>Elaine Spector </v>
      </c>
      <c r="H59" s="55" t="str">
        <f>IFERROR(__xludf.DUMMYFUNCTION("""COMPUTED_VALUE"""),"elaine.spector@childrenscolorado.org")</f>
        <v>elaine.spector@childrenscolorado.org</v>
      </c>
      <c r="I59" s="55" t="str">
        <f>IFERROR(__xludf.DUMMYFUNCTION("""COMPUTED_VALUE"""),"Clinical laboratory geneticist")</f>
        <v>Clinical laboratory geneticist</v>
      </c>
      <c r="J59" s="55"/>
      <c r="K59" s="55" t="str">
        <f>IFERROR(__xludf.DUMMYFUNCTION("""COMPUTED_VALUE"""),"Gene-Disease Validity")</f>
        <v>Gene-Disease Validity</v>
      </c>
      <c r="L59" s="55"/>
      <c r="M59" s="55"/>
      <c r="N59" s="55"/>
      <c r="O59" s="55"/>
      <c r="P59" s="55"/>
      <c r="Q59" s="55"/>
      <c r="R59" s="55"/>
      <c r="S59" s="55"/>
      <c r="T59" s="55"/>
      <c r="U59" s="55"/>
      <c r="V59" s="55"/>
      <c r="W59" s="55"/>
      <c r="X59" s="55"/>
      <c r="Y59" s="55"/>
      <c r="Z59" s="55"/>
    </row>
    <row r="60">
      <c r="A60" s="55" t="str">
        <f>IFERROR(__xludf.DUMMYFUNCTION("""COMPUTED_VALUE"""),"Unresponsive")</f>
        <v>Unresponsive</v>
      </c>
      <c r="B60" s="105">
        <f>IFERROR(__xludf.DUMMYFUNCTION("""COMPUTED_VALUE"""),43439.0)</f>
        <v>43439</v>
      </c>
      <c r="C60" s="55" t="str">
        <f>IFERROR(__xludf.DUMMYFUNCTION("""COMPUTED_VALUE"""),"")</f>
        <v/>
      </c>
      <c r="D60" s="55" t="str">
        <f>IFERROR(__xludf.DUMMYFUNCTION("""COMPUTED_VALUE"""),"No")</f>
        <v>No</v>
      </c>
      <c r="E60" s="55" t="str">
        <f>IFERROR(__xludf.DUMMYFUNCTION("""COMPUTED_VALUE"""),"Variant Pathogenicity")</f>
        <v>Variant Pathogenicity</v>
      </c>
      <c r="F60" s="55" t="str">
        <f>IFERROR(__xludf.DUMMYFUNCTION("""COMPUTED_VALUE"""),"")</f>
        <v/>
      </c>
      <c r="G60" s="55" t="str">
        <f>IFERROR(__xludf.DUMMYFUNCTION("""COMPUTED_VALUE"""),"Samya Chakravorty")</f>
        <v>Samya Chakravorty</v>
      </c>
      <c r="H60" s="55" t="str">
        <f>IFERROR(__xludf.DUMMYFUNCTION("""COMPUTED_VALUE"""),"samya.chakravorty@emory.edu")</f>
        <v>samya.chakravorty@emory.edu</v>
      </c>
      <c r="I60" s="55" t="str">
        <f>IFERROR(__xludf.DUMMYFUNCTION("""COMPUTED_VALUE"""),"Post Doc/Resident/Fellow (MD and/or PhD)")</f>
        <v>Post Doc/Resident/Fellow (MD and/or PhD)</v>
      </c>
      <c r="J60" s="55"/>
      <c r="K60" s="55" t="str">
        <f>IFERROR(__xludf.DUMMYFUNCTION("""COMPUTED_VALUE"""),"Variant Pathogenicity")</f>
        <v>Variant Pathogenicity</v>
      </c>
      <c r="L60" s="55"/>
      <c r="M60" s="55"/>
      <c r="N60" s="55"/>
      <c r="O60" s="55"/>
      <c r="P60" s="55"/>
      <c r="Q60" s="55"/>
      <c r="R60" s="55"/>
      <c r="S60" s="55"/>
      <c r="T60" s="55"/>
      <c r="U60" s="55"/>
      <c r="V60" s="55"/>
      <c r="W60" s="55"/>
      <c r="X60" s="55"/>
      <c r="Y60" s="55"/>
      <c r="Z60" s="55"/>
    </row>
    <row r="61">
      <c r="A61" s="55" t="str">
        <f>IFERROR(__xludf.DUMMYFUNCTION("""COMPUTED_VALUE"""),"Unresponsive")</f>
        <v>Unresponsive</v>
      </c>
      <c r="B61" s="105">
        <f>IFERROR(__xludf.DUMMYFUNCTION("""COMPUTED_VALUE"""),43439.0)</f>
        <v>43439</v>
      </c>
      <c r="C61" s="55" t="str">
        <f>IFERROR(__xludf.DUMMYFUNCTION("""COMPUTED_VALUE"""),"")</f>
        <v/>
      </c>
      <c r="D61" s="55" t="str">
        <f>IFERROR(__xludf.DUMMYFUNCTION("""COMPUTED_VALUE"""),"No")</f>
        <v>No</v>
      </c>
      <c r="E61" s="55" t="str">
        <f>IFERROR(__xludf.DUMMYFUNCTION("""COMPUTED_VALUE"""),"Variant Pathogenicity")</f>
        <v>Variant Pathogenicity</v>
      </c>
      <c r="F61" s="55" t="str">
        <f>IFERROR(__xludf.DUMMYFUNCTION("""COMPUTED_VALUE"""),"")</f>
        <v/>
      </c>
      <c r="G61" s="55" t="str">
        <f>IFERROR(__xludf.DUMMYFUNCTION("""COMPUTED_VALUE"""),"Marco Leung")</f>
        <v>Marco Leung</v>
      </c>
      <c r="H61" s="55" t="str">
        <f>IFERROR(__xludf.DUMMYFUNCTION("""COMPUTED_VALUE"""),"leungm@email.chop.edu")</f>
        <v>leungm@email.chop.edu</v>
      </c>
      <c r="I61" s="55" t="str">
        <f>IFERROR(__xludf.DUMMYFUNCTION("""COMPUTED_VALUE"""),"Clinical laboratory geneticist")</f>
        <v>Clinical laboratory geneticist</v>
      </c>
      <c r="J61" s="55"/>
      <c r="K61" s="55" t="str">
        <f>IFERROR(__xludf.DUMMYFUNCTION("""COMPUTED_VALUE"""),"Variant Pathogenicity")</f>
        <v>Variant Pathogenicity</v>
      </c>
      <c r="L61" s="55"/>
      <c r="M61" s="55"/>
      <c r="N61" s="55"/>
      <c r="O61" s="55"/>
      <c r="P61" s="55"/>
      <c r="Q61" s="55"/>
      <c r="R61" s="55"/>
      <c r="S61" s="55"/>
      <c r="T61" s="55"/>
      <c r="U61" s="55"/>
      <c r="V61" s="55"/>
      <c r="W61" s="55"/>
      <c r="X61" s="55"/>
      <c r="Y61" s="55"/>
      <c r="Z61" s="55"/>
    </row>
    <row r="62">
      <c r="A62" s="55" t="str">
        <f>IFERROR(__xludf.DUMMYFUNCTION("""COMPUTED_VALUE"""),"Unresponsive")</f>
        <v>Unresponsive</v>
      </c>
      <c r="B62" s="105">
        <f>IFERROR(__xludf.DUMMYFUNCTION("""COMPUTED_VALUE"""),43439.0)</f>
        <v>43439</v>
      </c>
      <c r="C62" s="55" t="str">
        <f>IFERROR(__xludf.DUMMYFUNCTION("""COMPUTED_VALUE"""),"")</f>
        <v/>
      </c>
      <c r="D62" s="55" t="str">
        <f>IFERROR(__xludf.DUMMYFUNCTION("""COMPUTED_VALUE"""),"No")</f>
        <v>No</v>
      </c>
      <c r="E62" s="55" t="str">
        <f>IFERROR(__xludf.DUMMYFUNCTION("""COMPUTED_VALUE"""),"Variant Pathogenicity")</f>
        <v>Variant Pathogenicity</v>
      </c>
      <c r="F62" s="55" t="str">
        <f>IFERROR(__xludf.DUMMYFUNCTION("""COMPUTED_VALUE"""),"")</f>
        <v/>
      </c>
      <c r="G62" s="55" t="str">
        <f>IFERROR(__xludf.DUMMYFUNCTION("""COMPUTED_VALUE"""),"Emily Groopman")</f>
        <v>Emily Groopman</v>
      </c>
      <c r="H62" s="55" t="str">
        <f>IFERROR(__xludf.DUMMYFUNCTION("""COMPUTED_VALUE"""),"ee.groopman@gmail.com")</f>
        <v>ee.groopman@gmail.com</v>
      </c>
      <c r="I62" s="55" t="str">
        <f>IFERROR(__xludf.DUMMYFUNCTION("""COMPUTED_VALUE"""),"Post Doc/Resident/Fellow (MD and/or PhD)")</f>
        <v>Post Doc/Resident/Fellow (MD and/or PhD)</v>
      </c>
      <c r="J62" s="55"/>
      <c r="K62" s="55" t="str">
        <f>IFERROR(__xludf.DUMMYFUNCTION("""COMPUTED_VALUE"""),"Variant Pathogenicity")</f>
        <v>Variant Pathogenicity</v>
      </c>
      <c r="L62" s="55"/>
      <c r="M62" s="55"/>
      <c r="N62" s="55"/>
      <c r="O62" s="55"/>
      <c r="P62" s="55"/>
      <c r="Q62" s="55"/>
      <c r="R62" s="55"/>
      <c r="S62" s="55"/>
      <c r="T62" s="55"/>
      <c r="U62" s="55"/>
      <c r="V62" s="55"/>
      <c r="W62" s="55"/>
      <c r="X62" s="55"/>
      <c r="Y62" s="55"/>
      <c r="Z62" s="55"/>
    </row>
    <row r="63">
      <c r="A63" s="55" t="str">
        <f>IFERROR(__xludf.DUMMYFUNCTION("""COMPUTED_VALUE"""),"Assigned")</f>
        <v>Assigned</v>
      </c>
      <c r="B63" s="105">
        <f>IFERROR(__xludf.DUMMYFUNCTION("""COMPUTED_VALUE"""),43439.0)</f>
        <v>43439</v>
      </c>
      <c r="C63" s="93">
        <f>IFERROR(__xludf.DUMMYFUNCTION("""COMPUTED_VALUE"""),43608.0)</f>
        <v>43608</v>
      </c>
      <c r="D63" s="55" t="str">
        <f>IFERROR(__xludf.DUMMYFUNCTION("""COMPUTED_VALUE"""),"Yes")</f>
        <v>Yes</v>
      </c>
      <c r="E63" s="55" t="str">
        <f>IFERROR(__xludf.DUMMYFUNCTION("""COMPUTED_VALUE"""),"Variant Pathogenicity")</f>
        <v>Variant Pathogenicity</v>
      </c>
      <c r="F63" s="55" t="str">
        <f>IFERROR(__xludf.DUMMYFUNCTION("""COMPUTED_VALUE"""),"Brain Malformations")</f>
        <v>Brain Malformations</v>
      </c>
      <c r="G63" s="55" t="str">
        <f>IFERROR(__xludf.DUMMYFUNCTION("""COMPUTED_VALUE"""),"Rhonda Lassiter ")</f>
        <v>Rhonda Lassiter </v>
      </c>
      <c r="H63" s="55" t="str">
        <f>IFERROR(__xludf.DUMMYFUNCTION("""COMPUTED_VALUE"""),"rlassiter@ambrygen.com")</f>
        <v>rlassiter@ambrygen.com</v>
      </c>
      <c r="I63" s="55" t="str">
        <f>IFERROR(__xludf.DUMMYFUNCTION("""COMPUTED_VALUE"""),"Variant Analyst/Scientist")</f>
        <v>Variant Analyst/Scientist</v>
      </c>
      <c r="J63" s="55"/>
      <c r="K63" s="55" t="str">
        <f>IFERROR(__xludf.DUMMYFUNCTION("""COMPUTED_VALUE"""),"Variant Pathogenicity")</f>
        <v>Variant Pathogenicity</v>
      </c>
      <c r="L63" s="55"/>
      <c r="M63" s="55"/>
      <c r="N63" s="55"/>
      <c r="O63" s="55"/>
      <c r="P63" s="55"/>
      <c r="Q63" s="55"/>
      <c r="R63" s="55"/>
      <c r="S63" s="55"/>
      <c r="T63" s="55"/>
      <c r="U63" s="55"/>
      <c r="V63" s="55"/>
      <c r="W63" s="55"/>
      <c r="X63" s="55"/>
      <c r="Y63" s="55"/>
      <c r="Z63" s="55"/>
    </row>
    <row r="64">
      <c r="A64" s="55" t="str">
        <f>IFERROR(__xludf.DUMMYFUNCTION("""COMPUTED_VALUE"""),"Contacted")</f>
        <v>Contacted</v>
      </c>
      <c r="B64" s="105">
        <f>IFERROR(__xludf.DUMMYFUNCTION("""COMPUTED_VALUE"""),43439.0)</f>
        <v>43439</v>
      </c>
      <c r="C64" s="93">
        <f>IFERROR(__xludf.DUMMYFUNCTION("""COMPUTED_VALUE"""),43608.0)</f>
        <v>43608</v>
      </c>
      <c r="D64" s="55" t="str">
        <f>IFERROR(__xludf.DUMMYFUNCTION("""COMPUTED_VALUE"""),"Yes")</f>
        <v>Yes</v>
      </c>
      <c r="E64" s="55" t="str">
        <f>IFERROR(__xludf.DUMMYFUNCTION("""COMPUTED_VALUE"""),"Variant Pathogenicity")</f>
        <v>Variant Pathogenicity</v>
      </c>
      <c r="F64" s="55" t="str">
        <f>IFERROR(__xludf.DUMMYFUNCTION("""COMPUTED_VALUE"""),"Mito")</f>
        <v>Mito</v>
      </c>
      <c r="G64" s="55" t="str">
        <f>IFERROR(__xludf.DUMMYFUNCTION("""COMPUTED_VALUE"""),"Emma Reble ")</f>
        <v>Emma Reble </v>
      </c>
      <c r="H64" s="55" t="str">
        <f>IFERROR(__xludf.DUMMYFUNCTION("""COMPUTED_VALUE"""),"reblee@smh.ca")</f>
        <v>reblee@smh.ca</v>
      </c>
      <c r="I64" s="55" t="str">
        <f>IFERROR(__xludf.DUMMYFUNCTION("""COMPUTED_VALUE"""),"Variant Analyst/Scientist")</f>
        <v>Variant Analyst/Scientist</v>
      </c>
      <c r="J64" s="55"/>
      <c r="K64" s="55" t="str">
        <f>IFERROR(__xludf.DUMMYFUNCTION("""COMPUTED_VALUE"""),"Variant Pathogenicity")</f>
        <v>Variant Pathogenicity</v>
      </c>
      <c r="L64" s="55"/>
      <c r="M64" s="55"/>
      <c r="N64" s="55"/>
      <c r="O64" s="55"/>
      <c r="P64" s="55"/>
      <c r="Q64" s="55"/>
      <c r="R64" s="55"/>
      <c r="S64" s="55"/>
      <c r="T64" s="55"/>
      <c r="U64" s="55"/>
      <c r="V64" s="55"/>
      <c r="W64" s="55"/>
      <c r="X64" s="55"/>
      <c r="Y64" s="55"/>
      <c r="Z64" s="55"/>
    </row>
    <row r="65">
      <c r="A65" s="55" t="str">
        <f>IFERROR(__xludf.DUMMYFUNCTION("""COMPUTED_VALUE"""),"Unresponsive")</f>
        <v>Unresponsive</v>
      </c>
      <c r="B65" s="105">
        <f>IFERROR(__xludf.DUMMYFUNCTION("""COMPUTED_VALUE"""),43439.0)</f>
        <v>43439</v>
      </c>
      <c r="C65" s="93" t="str">
        <f>IFERROR(__xludf.DUMMYFUNCTION("""COMPUTED_VALUE"""),"")</f>
        <v/>
      </c>
      <c r="D65" s="55" t="str">
        <f>IFERROR(__xludf.DUMMYFUNCTION("""COMPUTED_VALUE"""),"No")</f>
        <v>No</v>
      </c>
      <c r="E65" s="55" t="str">
        <f>IFERROR(__xludf.DUMMYFUNCTION("""COMPUTED_VALUE"""),"Variant Pathogenicity")</f>
        <v>Variant Pathogenicity</v>
      </c>
      <c r="F65" s="55" t="str">
        <f>IFERROR(__xludf.DUMMYFUNCTION("""COMPUTED_VALUE"""),"")</f>
        <v/>
      </c>
      <c r="G65" s="55" t="str">
        <f>IFERROR(__xludf.DUMMYFUNCTION("""COMPUTED_VALUE"""),"Bryony Thompson")</f>
        <v>Bryony Thompson</v>
      </c>
      <c r="H65" s="55" t="str">
        <f>IFERROR(__xludf.DUMMYFUNCTION("""COMPUTED_VALUE"""),"Bryony.Thompson@mh.org.au")</f>
        <v>Bryony.Thompson@mh.org.au</v>
      </c>
      <c r="I65" s="55" t="str">
        <f>IFERROR(__xludf.DUMMYFUNCTION("""COMPUTED_VALUE"""),"Post Doc/Resident/Fellow (MD and/or PhD)")</f>
        <v>Post Doc/Resident/Fellow (MD and/or PhD)</v>
      </c>
      <c r="J65" s="55"/>
      <c r="K65" s="55" t="str">
        <f>IFERROR(__xludf.DUMMYFUNCTION("""COMPUTED_VALUE"""),"Variant Pathogenicity")</f>
        <v>Variant Pathogenicity</v>
      </c>
      <c r="L65" s="55"/>
      <c r="M65" s="55"/>
      <c r="N65" s="55"/>
      <c r="O65" s="55"/>
      <c r="P65" s="55"/>
      <c r="Q65" s="55"/>
      <c r="R65" s="55"/>
      <c r="S65" s="55"/>
      <c r="T65" s="55"/>
      <c r="U65" s="55"/>
      <c r="V65" s="55"/>
      <c r="W65" s="55"/>
      <c r="X65" s="55"/>
      <c r="Y65" s="55"/>
      <c r="Z65" s="55"/>
    </row>
    <row r="66">
      <c r="A66" s="55" t="str">
        <f>IFERROR(__xludf.DUMMYFUNCTION("""COMPUTED_VALUE"""),"Assigned")</f>
        <v>Assigned</v>
      </c>
      <c r="B66" s="105">
        <f>IFERROR(__xludf.DUMMYFUNCTION("""COMPUTED_VALUE"""),43439.0)</f>
        <v>43439</v>
      </c>
      <c r="C66" s="93">
        <f>IFERROR(__xludf.DUMMYFUNCTION("""COMPUTED_VALUE"""),43608.0)</f>
        <v>43608</v>
      </c>
      <c r="D66" s="55" t="str">
        <f>IFERROR(__xludf.DUMMYFUNCTION("""COMPUTED_VALUE"""),"Yes")</f>
        <v>Yes</v>
      </c>
      <c r="E66" s="55" t="str">
        <f>IFERROR(__xludf.DUMMYFUNCTION("""COMPUTED_VALUE"""),"Variant Pathogenicity")</f>
        <v>Variant Pathogenicity</v>
      </c>
      <c r="F66" s="55" t="str">
        <f>IFERROR(__xludf.DUMMYFUNCTION("""COMPUTED_VALUE"""),"Coagulation Factor Deficiency")</f>
        <v>Coagulation Factor Deficiency</v>
      </c>
      <c r="G66" s="55" t="str">
        <f>IFERROR(__xludf.DUMMYFUNCTION("""COMPUTED_VALUE"""),"Qiliang Ding")</f>
        <v>Qiliang Ding</v>
      </c>
      <c r="H66" s="55" t="str">
        <f>IFERROR(__xludf.DUMMYFUNCTION("""COMPUTED_VALUE"""),"qd29@cornell.edu")</f>
        <v>qd29@cornell.edu</v>
      </c>
      <c r="I66" s="55" t="str">
        <f>IFERROR(__xludf.DUMMYFUNCTION("""COMPUTED_VALUE"""),"Graduate Student")</f>
        <v>Graduate Student</v>
      </c>
      <c r="J66" s="55"/>
      <c r="K66" s="55" t="str">
        <f>IFERROR(__xludf.DUMMYFUNCTION("""COMPUTED_VALUE"""),"Variant Pathogenicity")</f>
        <v>Variant Pathogenicity</v>
      </c>
      <c r="L66" s="55"/>
      <c r="M66" s="55"/>
      <c r="N66" s="55"/>
      <c r="O66" s="55"/>
      <c r="P66" s="55"/>
      <c r="Q66" s="55"/>
      <c r="R66" s="55"/>
      <c r="S66" s="55"/>
      <c r="T66" s="55"/>
      <c r="U66" s="55"/>
      <c r="V66" s="55"/>
      <c r="W66" s="55"/>
      <c r="X66" s="55"/>
      <c r="Y66" s="55"/>
      <c r="Z66" s="55"/>
    </row>
    <row r="67">
      <c r="A67" s="55" t="str">
        <f>IFERROR(__xludf.DUMMYFUNCTION("""COMPUTED_VALUE"""),"Contacted")</f>
        <v>Contacted</v>
      </c>
      <c r="B67" s="105">
        <f>IFERROR(__xludf.DUMMYFUNCTION("""COMPUTED_VALUE"""),43439.0)</f>
        <v>43439</v>
      </c>
      <c r="C67" s="93">
        <f>IFERROR(__xludf.DUMMYFUNCTION("""COMPUTED_VALUE"""),43608.0)</f>
        <v>43608</v>
      </c>
      <c r="D67" s="55" t="str">
        <f>IFERROR(__xludf.DUMMYFUNCTION("""COMPUTED_VALUE"""),"Yes")</f>
        <v>Yes</v>
      </c>
      <c r="E67" s="55" t="str">
        <f>IFERROR(__xludf.DUMMYFUNCTION("""COMPUTED_VALUE"""),"Variant Pathogenicity")</f>
        <v>Variant Pathogenicity</v>
      </c>
      <c r="F67" s="55" t="str">
        <f>IFERROR(__xludf.DUMMYFUNCTION("""COMPUTED_VALUE"""),"")</f>
        <v/>
      </c>
      <c r="G67" s="55" t="str">
        <f>IFERROR(__xludf.DUMMYFUNCTION("""COMPUTED_VALUE"""),"Amy Donahue")</f>
        <v>Amy Donahue</v>
      </c>
      <c r="H67" s="55" t="str">
        <f>IFERROR(__xludf.DUMMYFUNCTION("""COMPUTED_VALUE"""),"adonahue@mcw.edu")</f>
        <v>adonahue@mcw.edu</v>
      </c>
      <c r="I67" s="55" t="str">
        <f>IFERROR(__xludf.DUMMYFUNCTION("""COMPUTED_VALUE"""),"Genetic counselor")</f>
        <v>Genetic counselor</v>
      </c>
      <c r="J67" s="55"/>
      <c r="K67" s="55" t="str">
        <f>IFERROR(__xludf.DUMMYFUNCTION("""COMPUTED_VALUE"""),"Variant Pathogenicity")</f>
        <v>Variant Pathogenicity</v>
      </c>
      <c r="L67" s="55"/>
      <c r="M67" s="55"/>
      <c r="N67" s="55"/>
      <c r="O67" s="55"/>
      <c r="P67" s="55"/>
      <c r="Q67" s="55"/>
      <c r="R67" s="55"/>
      <c r="S67" s="55"/>
      <c r="T67" s="55"/>
      <c r="U67" s="55"/>
      <c r="V67" s="55"/>
      <c r="W67" s="55"/>
      <c r="X67" s="55"/>
      <c r="Y67" s="55"/>
      <c r="Z67" s="55"/>
    </row>
    <row r="68">
      <c r="A68" s="55" t="str">
        <f>IFERROR(__xludf.DUMMYFUNCTION("""COMPUTED_VALUE"""),"Assigned")</f>
        <v>Assigned</v>
      </c>
      <c r="B68" s="105">
        <f>IFERROR(__xludf.DUMMYFUNCTION("""COMPUTED_VALUE"""),43109.0)</f>
        <v>43109</v>
      </c>
      <c r="C68" s="93">
        <f>IFERROR(__xludf.DUMMYFUNCTION("""COMPUTED_VALUE"""),43605.0)</f>
        <v>43605</v>
      </c>
      <c r="D68" s="55" t="str">
        <f>IFERROR(__xludf.DUMMYFUNCTION("""COMPUTED_VALUE"""),"Yes")</f>
        <v>Yes</v>
      </c>
      <c r="E68" s="55" t="str">
        <f>IFERROR(__xludf.DUMMYFUNCTION("""COMPUTED_VALUE"""),"Variant Pathogenicity")</f>
        <v>Variant Pathogenicity</v>
      </c>
      <c r="F68" s="55" t="str">
        <f>IFERROR(__xludf.DUMMYFUNCTION("""COMPUTED_VALUE"""),"Mito")</f>
        <v>Mito</v>
      </c>
      <c r="G68" s="55" t="str">
        <f>IFERROR(__xludf.DUMMYFUNCTION("""COMPUTED_VALUE"""),"Dave Ferguson")</f>
        <v>Dave Ferguson</v>
      </c>
      <c r="H68" s="55" t="str">
        <f>IFERROR(__xludf.DUMMYFUNCTION("""COMPUTED_VALUE"""),"dferguso@uci.edu")</f>
        <v>dferguso@uci.edu</v>
      </c>
      <c r="I68" s="55" t="str">
        <f>IFERROR(__xludf.DUMMYFUNCTION("""COMPUTED_VALUE"""),"Scientific Researcher")</f>
        <v>Scientific Researcher</v>
      </c>
      <c r="J68" s="55"/>
      <c r="K68" s="55" t="str">
        <f>IFERROR(__xludf.DUMMYFUNCTION("""COMPUTED_VALUE"""),"Variant Pathogenicity")</f>
        <v>Variant Pathogenicity</v>
      </c>
      <c r="L68" s="55"/>
      <c r="M68" s="55"/>
      <c r="N68" s="55"/>
      <c r="O68" s="55"/>
      <c r="P68" s="55"/>
      <c r="Q68" s="55"/>
      <c r="R68" s="55"/>
      <c r="S68" s="55"/>
      <c r="T68" s="55"/>
      <c r="U68" s="55"/>
      <c r="V68" s="55"/>
      <c r="W68" s="55"/>
      <c r="X68" s="55"/>
      <c r="Y68" s="55"/>
      <c r="Z68" s="55"/>
    </row>
    <row r="69">
      <c r="A69" s="55" t="str">
        <f>IFERROR(__xludf.DUMMYFUNCTION("""COMPUTED_VALUE"""),"Unresponsive")</f>
        <v>Unresponsive</v>
      </c>
      <c r="B69" s="105">
        <f>IFERROR(__xludf.DUMMYFUNCTION("""COMPUTED_VALUE"""),43109.0)</f>
        <v>43109</v>
      </c>
      <c r="C69" s="55" t="str">
        <f>IFERROR(__xludf.DUMMYFUNCTION("""COMPUTED_VALUE"""),"")</f>
        <v/>
      </c>
      <c r="D69" s="55" t="str">
        <f>IFERROR(__xludf.DUMMYFUNCTION("""COMPUTED_VALUE"""),"No")</f>
        <v>No</v>
      </c>
      <c r="E69" s="55" t="str">
        <f>IFERROR(__xludf.DUMMYFUNCTION("""COMPUTED_VALUE"""),"Variant Pathogenicity")</f>
        <v>Variant Pathogenicity</v>
      </c>
      <c r="F69" s="55" t="str">
        <f>IFERROR(__xludf.DUMMYFUNCTION("""COMPUTED_VALUE"""),"")</f>
        <v/>
      </c>
      <c r="G69" s="55" t="str">
        <f>IFERROR(__xludf.DUMMYFUNCTION("""COMPUTED_VALUE"""),"Santhi Ramachandran")</f>
        <v>Santhi Ramachandran</v>
      </c>
      <c r="H69" s="55" t="str">
        <f>IFERROR(__xludf.DUMMYFUNCTION("""COMPUTED_VALUE"""),"santhialways4u@gmail.com")</f>
        <v>santhialways4u@gmail.com</v>
      </c>
      <c r="I69" s="55" t="str">
        <f>IFERROR(__xludf.DUMMYFUNCTION("""COMPUTED_VALUE"""),"Biocurator")</f>
        <v>Biocurator</v>
      </c>
      <c r="J69" s="55"/>
      <c r="K69" s="55" t="str">
        <f>IFERROR(__xludf.DUMMYFUNCTION("""COMPUTED_VALUE"""),"Variant Pathogenicity")</f>
        <v>Variant Pathogenicity</v>
      </c>
      <c r="L69" s="55"/>
      <c r="M69" s="55"/>
      <c r="N69" s="55"/>
      <c r="O69" s="55"/>
      <c r="P69" s="55"/>
      <c r="Q69" s="55"/>
      <c r="R69" s="55"/>
      <c r="S69" s="55"/>
      <c r="T69" s="55"/>
      <c r="U69" s="55"/>
      <c r="V69" s="55"/>
      <c r="W69" s="55"/>
      <c r="X69" s="55"/>
      <c r="Y69" s="55"/>
      <c r="Z69" s="55"/>
    </row>
    <row r="70">
      <c r="A70" s="55" t="str">
        <f>IFERROR(__xludf.DUMMYFUNCTION("""COMPUTED_VALUE"""),"Unresponsive")</f>
        <v>Unresponsive</v>
      </c>
      <c r="B70" s="105">
        <f>IFERROR(__xludf.DUMMYFUNCTION("""COMPUTED_VALUE"""),43439.0)</f>
        <v>43439</v>
      </c>
      <c r="C70" s="55" t="str">
        <f>IFERROR(__xludf.DUMMYFUNCTION("""COMPUTED_VALUE"""),"")</f>
        <v/>
      </c>
      <c r="D70" s="55" t="str">
        <f>IFERROR(__xludf.DUMMYFUNCTION("""COMPUTED_VALUE"""),"No")</f>
        <v>No</v>
      </c>
      <c r="E70" s="55" t="str">
        <f>IFERROR(__xludf.DUMMYFUNCTION("""COMPUTED_VALUE"""),"Variant Pathogenicity")</f>
        <v>Variant Pathogenicity</v>
      </c>
      <c r="F70" s="55" t="str">
        <f>IFERROR(__xludf.DUMMYFUNCTION("""COMPUTED_VALUE"""),"")</f>
        <v/>
      </c>
      <c r="G70" s="55" t="str">
        <f>IFERROR(__xludf.DUMMYFUNCTION("""COMPUTED_VALUE"""),"Megan Nathan")</f>
        <v>Megan Nathan</v>
      </c>
      <c r="H70" s="55" t="str">
        <f>IFERROR(__xludf.DUMMYFUNCTION("""COMPUTED_VALUE"""),"mlnathan.genetics@gmail.com")</f>
        <v>mlnathan.genetics@gmail.com</v>
      </c>
      <c r="I70" s="55" t="str">
        <f>IFERROR(__xludf.DUMMYFUNCTION("""COMPUTED_VALUE"""),"Genetic counselor")</f>
        <v>Genetic counselor</v>
      </c>
      <c r="J70" s="55"/>
      <c r="K70" s="55" t="str">
        <f>IFERROR(__xludf.DUMMYFUNCTION("""COMPUTED_VALUE"""),"Variant Pathogenicity")</f>
        <v>Variant Pathogenicity</v>
      </c>
      <c r="L70" s="55"/>
      <c r="M70" s="55"/>
      <c r="N70" s="55"/>
      <c r="O70" s="55"/>
      <c r="P70" s="55"/>
      <c r="Q70" s="55"/>
      <c r="R70" s="55"/>
      <c r="S70" s="55"/>
      <c r="T70" s="55"/>
      <c r="U70" s="55"/>
      <c r="V70" s="55"/>
      <c r="W70" s="55"/>
      <c r="X70" s="55"/>
      <c r="Y70" s="55"/>
      <c r="Z70" s="55"/>
    </row>
    <row r="71">
      <c r="A71" s="55" t="str">
        <f>IFERROR(__xludf.DUMMYFUNCTION("""COMPUTED_VALUE"""),"Unresponsive")</f>
        <v>Unresponsive</v>
      </c>
      <c r="B71" s="55" t="str">
        <f>IFERROR(__xludf.DUMMYFUNCTION("""COMPUTED_VALUE"""),"01/09/18
Unresponsive as of 7-7-19")</f>
        <v>01/09/18
Unresponsive as of 7-7-19</v>
      </c>
      <c r="C71" s="55" t="str">
        <f>IFERROR(__xludf.DUMMYFUNCTION("""COMPUTED_VALUE"""),"")</f>
        <v/>
      </c>
      <c r="D71" s="55" t="str">
        <f>IFERROR(__xludf.DUMMYFUNCTION("""COMPUTED_VALUE"""),"No")</f>
        <v>No</v>
      </c>
      <c r="E71" s="55" t="str">
        <f>IFERROR(__xludf.DUMMYFUNCTION("""COMPUTED_VALUE"""),"Variant Pathogenicity")</f>
        <v>Variant Pathogenicity</v>
      </c>
      <c r="F71" s="55" t="str">
        <f>IFERROR(__xludf.DUMMYFUNCTION("""COMPUTED_VALUE"""),"")</f>
        <v/>
      </c>
      <c r="G71" s="55" t="str">
        <f>IFERROR(__xludf.DUMMYFUNCTION("""COMPUTED_VALUE"""),"Ellen Xu")</f>
        <v>Ellen Xu</v>
      </c>
      <c r="H71" s="55" t="str">
        <f>IFERROR(__xludf.DUMMYFUNCTION("""COMPUTED_VALUE"""),"")</f>
        <v/>
      </c>
      <c r="I71" s="55" t="str">
        <f>IFERROR(__xludf.DUMMYFUNCTION("""COMPUTED_VALUE"""),"Genetic counselor")</f>
        <v>Genetic counselor</v>
      </c>
      <c r="J71" s="55"/>
      <c r="K71" s="55" t="str">
        <f>IFERROR(__xludf.DUMMYFUNCTION("""COMPUTED_VALUE"""),"Variant Pathogenicity")</f>
        <v>Variant Pathogenicity</v>
      </c>
      <c r="L71" s="55"/>
      <c r="M71" s="55"/>
      <c r="N71" s="55"/>
      <c r="O71" s="55"/>
      <c r="P71" s="55"/>
      <c r="Q71" s="55"/>
      <c r="R71" s="55"/>
      <c r="S71" s="55"/>
      <c r="T71" s="55"/>
      <c r="U71" s="55"/>
      <c r="V71" s="55"/>
      <c r="W71" s="55"/>
      <c r="X71" s="55"/>
      <c r="Y71" s="55"/>
      <c r="Z71" s="55"/>
    </row>
    <row r="72">
      <c r="A72" s="55" t="str">
        <f>IFERROR(__xludf.DUMMYFUNCTION("""COMPUTED_VALUE"""),"Assigned")</f>
        <v>Assigned</v>
      </c>
      <c r="B72" s="105">
        <f>IFERROR(__xludf.DUMMYFUNCTION("""COMPUTED_VALUE"""),43109.0)</f>
        <v>43109</v>
      </c>
      <c r="C72" s="93">
        <f>IFERROR(__xludf.DUMMYFUNCTION("""COMPUTED_VALUE"""),43608.0)</f>
        <v>43608</v>
      </c>
      <c r="D72" s="55" t="str">
        <f>IFERROR(__xludf.DUMMYFUNCTION("""COMPUTED_VALUE"""),"Yes")</f>
        <v>Yes</v>
      </c>
      <c r="E72" s="55" t="str">
        <f>IFERROR(__xludf.DUMMYFUNCTION("""COMPUTED_VALUE"""),"Variant Pathogenicity")</f>
        <v>Variant Pathogenicity</v>
      </c>
      <c r="F72" s="55" t="str">
        <f>IFERROR(__xludf.DUMMYFUNCTION("""COMPUTED_VALUE"""),"TP53")</f>
        <v>TP53</v>
      </c>
      <c r="G72" s="55" t="str">
        <f>IFERROR(__xludf.DUMMYFUNCTION("""COMPUTED_VALUE"""),"Alisdair Philp")</f>
        <v>Alisdair Philp</v>
      </c>
      <c r="H72" s="55" t="str">
        <f>IFERROR(__xludf.DUMMYFUNCTION("""COMPUTED_VALUE"""),"arphilp@gmail.com")</f>
        <v>arphilp@gmail.com</v>
      </c>
      <c r="I72" s="55" t="str">
        <f>IFERROR(__xludf.DUMMYFUNCTION("""COMPUTED_VALUE"""),"Genetic counselor")</f>
        <v>Genetic counselor</v>
      </c>
      <c r="J72" s="55"/>
      <c r="K72" s="55" t="str">
        <f>IFERROR(__xludf.DUMMYFUNCTION("""COMPUTED_VALUE"""),"Variant Pathogenicity")</f>
        <v>Variant Pathogenicity</v>
      </c>
      <c r="L72" s="55"/>
      <c r="M72" s="55"/>
      <c r="N72" s="55"/>
      <c r="O72" s="55"/>
      <c r="P72" s="55"/>
      <c r="Q72" s="55"/>
      <c r="R72" s="55"/>
      <c r="S72" s="55"/>
      <c r="T72" s="55"/>
      <c r="U72" s="55"/>
      <c r="V72" s="55"/>
      <c r="W72" s="55"/>
      <c r="X72" s="55"/>
      <c r="Y72" s="55"/>
      <c r="Z72" s="55"/>
    </row>
    <row r="73">
      <c r="A73" s="55" t="str">
        <f>IFERROR(__xludf.DUMMYFUNCTION("""COMPUTED_VALUE"""),"Unresponsive")</f>
        <v>Unresponsive</v>
      </c>
      <c r="B73" s="105">
        <f>IFERROR(__xludf.DUMMYFUNCTION("""COMPUTED_VALUE"""),43109.0)</f>
        <v>43109</v>
      </c>
      <c r="C73" s="55" t="str">
        <f>IFERROR(__xludf.DUMMYFUNCTION("""COMPUTED_VALUE"""),"")</f>
        <v/>
      </c>
      <c r="D73" s="55" t="str">
        <f>IFERROR(__xludf.DUMMYFUNCTION("""COMPUTED_VALUE"""),"No")</f>
        <v>No</v>
      </c>
      <c r="E73" s="55" t="str">
        <f>IFERROR(__xludf.DUMMYFUNCTION("""COMPUTED_VALUE"""),"Dosage Sensitivity")</f>
        <v>Dosage Sensitivity</v>
      </c>
      <c r="F73" s="55" t="str">
        <f>IFERROR(__xludf.DUMMYFUNCTION("""COMPUTED_VALUE"""),"")</f>
        <v/>
      </c>
      <c r="G73" s="55" t="str">
        <f>IFERROR(__xludf.DUMMYFUNCTION("""COMPUTED_VALUE"""),"Jenna Guiltinan")</f>
        <v>Jenna Guiltinan</v>
      </c>
      <c r="H73" s="55" t="str">
        <f>IFERROR(__xludf.DUMMYFUNCTION("""COMPUTED_VALUE"""),"jenna.guiltinan@invitae.com")</f>
        <v>jenna.guiltinan@invitae.com</v>
      </c>
      <c r="I73" s="55" t="str">
        <f>IFERROR(__xludf.DUMMYFUNCTION("""COMPUTED_VALUE"""),"Variant Analyst/Scientist")</f>
        <v>Variant Analyst/Scientist</v>
      </c>
      <c r="J73" s="55"/>
      <c r="K73" s="55" t="str">
        <f>IFERROR(__xludf.DUMMYFUNCTION("""COMPUTED_VALUE"""),"Dosage Sensitivity")</f>
        <v>Dosage Sensitivity</v>
      </c>
      <c r="L73" s="55"/>
      <c r="M73" s="55"/>
      <c r="N73" s="55"/>
      <c r="O73" s="55"/>
      <c r="P73" s="55"/>
      <c r="Q73" s="55"/>
      <c r="R73" s="55"/>
      <c r="S73" s="55"/>
      <c r="T73" s="55"/>
      <c r="U73" s="55"/>
      <c r="V73" s="55"/>
      <c r="W73" s="55"/>
      <c r="X73" s="55"/>
      <c r="Y73" s="55"/>
      <c r="Z73" s="55"/>
    </row>
    <row r="74">
      <c r="A74" s="55" t="str">
        <f>IFERROR(__xludf.DUMMYFUNCTION("""COMPUTED_VALUE"""),"Unresponsive")</f>
        <v>Unresponsive</v>
      </c>
      <c r="B74" s="55" t="str">
        <f>IFERROR(__xludf.DUMMYFUNCTION("""COMPUTED_VALUE"""),"")</f>
        <v/>
      </c>
      <c r="C74" s="55" t="str">
        <f>IFERROR(__xludf.DUMMYFUNCTION("""COMPUTED_VALUE"""),"")</f>
        <v/>
      </c>
      <c r="D74" s="55" t="str">
        <f>IFERROR(__xludf.DUMMYFUNCTION("""COMPUTED_VALUE"""),"No")</f>
        <v>No</v>
      </c>
      <c r="E74" s="55" t="str">
        <f>IFERROR(__xludf.DUMMYFUNCTION("""COMPUTED_VALUE"""),"Variant Pathogenicity")</f>
        <v>Variant Pathogenicity</v>
      </c>
      <c r="F74" s="55" t="str">
        <f>IFERROR(__xludf.DUMMYFUNCTION("""COMPUTED_VALUE"""),"")</f>
        <v/>
      </c>
      <c r="G74" s="55" t="str">
        <f>IFERROR(__xludf.DUMMYFUNCTION("""COMPUTED_VALUE"""),"Ron Agatep")</f>
        <v>Ron Agatep</v>
      </c>
      <c r="H74" s="55" t="str">
        <f>IFERROR(__xludf.DUMMYFUNCTION("""COMPUTED_VALUE"""),"ragatep@sharedhealthmb.ca")</f>
        <v>ragatep@sharedhealthmb.ca</v>
      </c>
      <c r="I74" s="55" t="str">
        <f>IFERROR(__xludf.DUMMYFUNCTION("""COMPUTED_VALUE"""),"Clinical laboratory geneticist")</f>
        <v>Clinical laboratory geneticist</v>
      </c>
      <c r="J74" s="55"/>
      <c r="K74" s="55" t="str">
        <f>IFERROR(__xludf.DUMMYFUNCTION("""COMPUTED_VALUE"""),"Variant Pathogenicity")</f>
        <v>Variant Pathogenicity</v>
      </c>
      <c r="L74" s="55"/>
      <c r="M74" s="55"/>
      <c r="N74" s="55"/>
      <c r="O74" s="55"/>
      <c r="P74" s="55"/>
      <c r="Q74" s="55"/>
      <c r="R74" s="55"/>
      <c r="S74" s="55"/>
      <c r="T74" s="55"/>
      <c r="U74" s="55"/>
      <c r="V74" s="55"/>
      <c r="W74" s="55"/>
      <c r="X74" s="55"/>
      <c r="Y74" s="55"/>
      <c r="Z74" s="55"/>
    </row>
    <row r="75">
      <c r="A75" s="55" t="str">
        <f>IFERROR(__xludf.DUMMYFUNCTION("""COMPUTED_VALUE"""),"Contacted")</f>
        <v>Contacted</v>
      </c>
      <c r="B75" s="55" t="str">
        <f>IFERROR(__xludf.DUMMYFUNCTION("""COMPUTED_VALUE"""),"")</f>
        <v/>
      </c>
      <c r="C75" s="93">
        <f>IFERROR(__xludf.DUMMYFUNCTION("""COMPUTED_VALUE"""),43580.0)</f>
        <v>43580</v>
      </c>
      <c r="D75" s="55" t="str">
        <f>IFERROR(__xludf.DUMMYFUNCTION("""COMPUTED_VALUE"""),"Yes")</f>
        <v>Yes</v>
      </c>
      <c r="E75" s="55" t="str">
        <f>IFERROR(__xludf.DUMMYFUNCTION("""COMPUTED_VALUE"""),"Dosage Sensitivity")</f>
        <v>Dosage Sensitivity</v>
      </c>
      <c r="F75" s="55" t="str">
        <f>IFERROR(__xludf.DUMMYFUNCTION("""COMPUTED_VALUE"""),"")</f>
        <v/>
      </c>
      <c r="G75" s="55" t="str">
        <f>IFERROR(__xludf.DUMMYFUNCTION("""COMPUTED_VALUE"""),"Nan Jiang")</f>
        <v>Nan Jiang</v>
      </c>
      <c r="H75" s="55" t="str">
        <f>IFERROR(__xludf.DUMMYFUNCTION("""COMPUTED_VALUE"""),"naj018@ucsd.edu")</f>
        <v>naj018@ucsd.edu</v>
      </c>
      <c r="I75" s="55" t="str">
        <f>IFERROR(__xludf.DUMMYFUNCTION("""COMPUTED_VALUE"""),"Post Doc/Resident/Fellow (MD and/or PhD)")</f>
        <v>Post Doc/Resident/Fellow (MD and/or PhD)</v>
      </c>
      <c r="J75" s="55"/>
      <c r="K75" s="55" t="str">
        <f>IFERROR(__xludf.DUMMYFUNCTION("""COMPUTED_VALUE"""),"Dosage Sensitivity")</f>
        <v>Dosage Sensitivity</v>
      </c>
      <c r="L75" s="55"/>
      <c r="M75" s="55"/>
      <c r="N75" s="55"/>
      <c r="O75" s="55"/>
      <c r="P75" s="55"/>
      <c r="Q75" s="55"/>
      <c r="R75" s="55"/>
      <c r="S75" s="55"/>
      <c r="T75" s="55"/>
      <c r="U75" s="55"/>
      <c r="V75" s="55"/>
      <c r="W75" s="55"/>
      <c r="X75" s="55"/>
      <c r="Y75" s="55"/>
      <c r="Z75" s="55"/>
    </row>
    <row r="76">
      <c r="A76" s="55" t="str">
        <f>IFERROR(__xludf.DUMMYFUNCTION("""COMPUTED_VALUE"""),"Unresponsive")</f>
        <v>Unresponsive</v>
      </c>
      <c r="B76" s="55" t="str">
        <f>IFERROR(__xludf.DUMMYFUNCTION("""COMPUTED_VALUE"""),"")</f>
        <v/>
      </c>
      <c r="C76" s="55" t="str">
        <f>IFERROR(__xludf.DUMMYFUNCTION("""COMPUTED_VALUE"""),"")</f>
        <v/>
      </c>
      <c r="D76" s="55" t="str">
        <f>IFERROR(__xludf.DUMMYFUNCTION("""COMPUTED_VALUE"""),"No")</f>
        <v>No</v>
      </c>
      <c r="E76" s="55" t="str">
        <f>IFERROR(__xludf.DUMMYFUNCTION("""COMPUTED_VALUE"""),"Somatic Cancer")</f>
        <v>Somatic Cancer</v>
      </c>
      <c r="F76" s="55" t="str">
        <f>IFERROR(__xludf.DUMMYFUNCTION("""COMPUTED_VALUE"""),"")</f>
        <v/>
      </c>
      <c r="G76" s="55" t="str">
        <f>IFERROR(__xludf.DUMMYFUNCTION("""COMPUTED_VALUE"""),"Anna Tanska")</f>
        <v>Anna Tanska</v>
      </c>
      <c r="H76" s="55" t="str">
        <f>IFERROR(__xludf.DUMMYFUNCTION("""COMPUTED_VALUE"""),"""anna.tanska@petermac.org """)</f>
        <v>"anna.tanska@petermac.org "</v>
      </c>
      <c r="I76" s="55" t="str">
        <f>IFERROR(__xludf.DUMMYFUNCTION("""COMPUTED_VALUE"""),"Variant Analyst/Scientist")</f>
        <v>Variant Analyst/Scientist</v>
      </c>
      <c r="J76" s="55"/>
      <c r="K76" s="55" t="str">
        <f>IFERROR(__xludf.DUMMYFUNCTION("""COMPUTED_VALUE"""),"")</f>
        <v/>
      </c>
      <c r="L76" s="55"/>
      <c r="M76" s="55"/>
      <c r="N76" s="55"/>
      <c r="O76" s="55"/>
      <c r="P76" s="55"/>
      <c r="Q76" s="55"/>
      <c r="R76" s="55"/>
      <c r="S76" s="55"/>
      <c r="T76" s="55"/>
      <c r="U76" s="55"/>
      <c r="V76" s="55"/>
      <c r="W76" s="55"/>
      <c r="X76" s="55"/>
      <c r="Y76" s="55"/>
      <c r="Z76" s="55"/>
    </row>
    <row r="77">
      <c r="A77" s="55" t="str">
        <f>IFERROR(__xludf.DUMMYFUNCTION("""COMPUTED_VALUE"""),"Declined")</f>
        <v>Declined</v>
      </c>
      <c r="B77" s="105">
        <f>IFERROR(__xludf.DUMMYFUNCTION("""COMPUTED_VALUE"""),43437.0)</f>
        <v>43437</v>
      </c>
      <c r="C77" s="94">
        <f>IFERROR(__xludf.DUMMYFUNCTION("""COMPUTED_VALUE"""),43446.0)</f>
        <v>43446</v>
      </c>
      <c r="D77" s="55" t="str">
        <f>IFERROR(__xludf.DUMMYFUNCTION("""COMPUTED_VALUE"""),"Yes")</f>
        <v>Yes</v>
      </c>
      <c r="E77" s="55" t="str">
        <f>IFERROR(__xludf.DUMMYFUNCTION("""COMPUTED_VALUE"""),"Gene Disease Validity")</f>
        <v>Gene Disease Validity</v>
      </c>
      <c r="F77" s="55" t="str">
        <f>IFERROR(__xludf.DUMMYFUNCTION("""COMPUTED_VALUE"""),"ID Autism")</f>
        <v>ID Autism</v>
      </c>
      <c r="G77" s="55" t="str">
        <f>IFERROR(__xludf.DUMMYFUNCTION("""COMPUTED_VALUE"""),"Ny Hoang")</f>
        <v>Ny Hoang</v>
      </c>
      <c r="H77" s="55" t="str">
        <f>IFERROR(__xludf.DUMMYFUNCTION("""COMPUTED_VALUE"""),"ny.hoang@sickkids.ca")</f>
        <v>ny.hoang@sickkids.ca</v>
      </c>
      <c r="I77" s="55" t="str">
        <f>IFERROR(__xludf.DUMMYFUNCTION("""COMPUTED_VALUE"""),"Genetic counselor")</f>
        <v>Genetic counselor</v>
      </c>
      <c r="J77" s="55"/>
      <c r="K77" s="55" t="str">
        <f>IFERROR(__xludf.DUMMYFUNCTION("""COMPUTED_VALUE"""),"Gene-Disease Validity")</f>
        <v>Gene-Disease Validity</v>
      </c>
      <c r="L77" s="55"/>
      <c r="M77" s="55"/>
      <c r="N77" s="55"/>
      <c r="O77" s="55"/>
      <c r="P77" s="55"/>
      <c r="Q77" s="55"/>
      <c r="R77" s="55"/>
      <c r="S77" s="55"/>
      <c r="T77" s="55"/>
      <c r="U77" s="55"/>
      <c r="V77" s="55"/>
      <c r="W77" s="55"/>
      <c r="X77" s="55"/>
      <c r="Y77" s="55"/>
      <c r="Z77" s="55"/>
    </row>
    <row r="78">
      <c r="A78" s="55" t="str">
        <f>IFERROR(__xludf.DUMMYFUNCTION("""COMPUTED_VALUE"""),"Assigned")</f>
        <v>Assigned</v>
      </c>
      <c r="B78" s="105">
        <f>IFERROR(__xludf.DUMMYFUNCTION("""COMPUTED_VALUE"""),43437.0)</f>
        <v>43437</v>
      </c>
      <c r="C78" s="94">
        <f>IFERROR(__xludf.DUMMYFUNCTION("""COMPUTED_VALUE"""),43446.0)</f>
        <v>43446</v>
      </c>
      <c r="D78" s="55" t="str">
        <f>IFERROR(__xludf.DUMMYFUNCTION("""COMPUTED_VALUE"""),"No")</f>
        <v>No</v>
      </c>
      <c r="E78" s="55" t="str">
        <f>IFERROR(__xludf.DUMMYFUNCTION("""COMPUTED_VALUE"""),"Gene Disease Validity")</f>
        <v>Gene Disease Validity</v>
      </c>
      <c r="F78" s="55" t="str">
        <f>IFERROR(__xludf.DUMMYFUNCTION("""COMPUTED_VALUE"""),"ID Autism")</f>
        <v>ID Autism</v>
      </c>
      <c r="G78" s="55" t="str">
        <f>IFERROR(__xludf.DUMMYFUNCTION("""COMPUTED_VALUE"""),"Jacob Vorstman")</f>
        <v>Jacob Vorstman</v>
      </c>
      <c r="H78" s="55" t="str">
        <f>IFERROR(__xludf.DUMMYFUNCTION("""COMPUTED_VALUE"""),"jacob.vorstman@sickkids.ca")</f>
        <v>jacob.vorstman@sickkids.ca</v>
      </c>
      <c r="I78" s="55" t="str">
        <f>IFERROR(__xludf.DUMMYFUNCTION("""COMPUTED_VALUE"""),"Post Doc/Resident/Fellow (MD and/or Phd), Scientific Researcher, Physician (non-geneticist)")</f>
        <v>Post Doc/Resident/Fellow (MD and/or Phd), Scientific Researcher, Physician (non-geneticist)</v>
      </c>
      <c r="J78" s="55"/>
      <c r="K78" s="55" t="str">
        <f>IFERROR(__xludf.DUMMYFUNCTION("""COMPUTED_VALUE"""),"Gene-Disease Validity")</f>
        <v>Gene-Disease Validity</v>
      </c>
      <c r="L78" s="55"/>
      <c r="M78" s="55"/>
      <c r="N78" s="55"/>
      <c r="O78" s="55"/>
      <c r="P78" s="55"/>
      <c r="Q78" s="55"/>
      <c r="R78" s="55"/>
      <c r="S78" s="55"/>
      <c r="T78" s="55"/>
      <c r="U78" s="55"/>
      <c r="V78" s="55"/>
      <c r="W78" s="55"/>
      <c r="X78" s="55"/>
      <c r="Y78" s="55"/>
      <c r="Z78" s="55"/>
    </row>
    <row r="79">
      <c r="A79" s="55" t="str">
        <f>IFERROR(__xludf.DUMMYFUNCTION("""COMPUTED_VALUE"""),"Contacted")</f>
        <v>Contacted</v>
      </c>
      <c r="B79" s="55" t="str">
        <f>IFERROR(__xludf.DUMMYFUNCTION("""COMPUTED_VALUE"""),"")</f>
        <v/>
      </c>
      <c r="C79" s="104">
        <f>IFERROR(__xludf.DUMMYFUNCTION("""COMPUTED_VALUE"""),43598.0)</f>
        <v>43598</v>
      </c>
      <c r="D79" s="55" t="str">
        <f>IFERROR(__xludf.DUMMYFUNCTION("""COMPUTED_VALUE"""),"Yes")</f>
        <v>Yes</v>
      </c>
      <c r="E79" s="55" t="str">
        <f>IFERROR(__xludf.DUMMYFUNCTION("""COMPUTED_VALUE"""),"Somatic Cancer")</f>
        <v>Somatic Cancer</v>
      </c>
      <c r="F79" s="55" t="str">
        <f>IFERROR(__xludf.DUMMYFUNCTION("""COMPUTED_VALUE"""),"")</f>
        <v/>
      </c>
      <c r="G79" s="55" t="str">
        <f>IFERROR(__xludf.DUMMYFUNCTION("""COMPUTED_VALUE"""),"Qiuxiang Ou")</f>
        <v>Qiuxiang Ou</v>
      </c>
      <c r="H79" s="55" t="str">
        <f>IFERROR(__xludf.DUMMYFUNCTION("""COMPUTED_VALUE"""),"dorothy.ou@gmail.com")</f>
        <v>dorothy.ou@gmail.com</v>
      </c>
      <c r="I79" s="55" t="str">
        <f>IFERROR(__xludf.DUMMYFUNCTION("""COMPUTED_VALUE"""),"Scientific Researcher")</f>
        <v>Scientific Researcher</v>
      </c>
      <c r="J79" s="55"/>
      <c r="K79" s="55" t="str">
        <f>IFERROR(__xludf.DUMMYFUNCTION("""COMPUTED_VALUE"""),"Somatic Cancer")</f>
        <v>Somatic Cancer</v>
      </c>
      <c r="L79" s="55"/>
      <c r="M79" s="55"/>
      <c r="N79" s="55"/>
      <c r="O79" s="55"/>
      <c r="P79" s="55"/>
      <c r="Q79" s="55"/>
      <c r="R79" s="55"/>
      <c r="S79" s="55"/>
      <c r="T79" s="55"/>
      <c r="U79" s="55"/>
      <c r="V79" s="55"/>
      <c r="W79" s="55"/>
      <c r="X79" s="55"/>
      <c r="Y79" s="55"/>
      <c r="Z79" s="55"/>
    </row>
    <row r="80">
      <c r="A80" s="55" t="str">
        <f>IFERROR(__xludf.DUMMYFUNCTION("""COMPUTED_VALUE"""),"Assigned")</f>
        <v>Assigned</v>
      </c>
      <c r="B80" s="94">
        <f>IFERROR(__xludf.DUMMYFUNCTION("""COMPUTED_VALUE"""),43434.0)</f>
        <v>43434</v>
      </c>
      <c r="C80" s="105">
        <f>IFERROR(__xludf.DUMMYFUNCTION("""COMPUTED_VALUE"""),43522.0)</f>
        <v>43522</v>
      </c>
      <c r="D80" s="55" t="str">
        <f>IFERROR(__xludf.DUMMYFUNCTION("""COMPUTED_VALUE"""),"Yes")</f>
        <v>Yes</v>
      </c>
      <c r="E80" s="55" t="str">
        <f>IFERROR(__xludf.DUMMYFUNCTION("""COMPUTED_VALUE"""),"Actionability")</f>
        <v>Actionability</v>
      </c>
      <c r="F80" s="55" t="str">
        <f>IFERROR(__xludf.DUMMYFUNCTION("""COMPUTED_VALUE"""),"Actionability")</f>
        <v>Actionability</v>
      </c>
      <c r="G80" s="55" t="str">
        <f>IFERROR(__xludf.DUMMYFUNCTION("""COMPUTED_VALUE"""),"Kylin Boehler")</f>
        <v>Kylin Boehler</v>
      </c>
      <c r="H80" s="55" t="str">
        <f>IFERROR(__xludf.DUMMYFUNCTION("""COMPUTED_VALUE"""),"kylin.y.boehler@questdiagnostics.com")</f>
        <v>kylin.y.boehler@questdiagnostics.com</v>
      </c>
      <c r="I80" s="55" t="str">
        <f>IFERROR(__xludf.DUMMYFUNCTION("""COMPUTED_VALUE"""),"Genetic counselor")</f>
        <v>Genetic counselor</v>
      </c>
      <c r="J80" s="55"/>
      <c r="K80" s="55" t="str">
        <f>IFERROR(__xludf.DUMMYFUNCTION("""COMPUTED_VALUE"""),"Clinical Actionability")</f>
        <v>Clinical Actionability</v>
      </c>
      <c r="L80" s="55"/>
      <c r="M80" s="55"/>
      <c r="N80" s="55"/>
      <c r="O80" s="55"/>
      <c r="P80" s="55"/>
      <c r="Q80" s="55"/>
      <c r="R80" s="55"/>
      <c r="S80" s="55"/>
      <c r="T80" s="55"/>
      <c r="U80" s="55"/>
      <c r="V80" s="55"/>
      <c r="W80" s="55"/>
      <c r="X80" s="55"/>
      <c r="Y80" s="55"/>
      <c r="Z80" s="55"/>
    </row>
    <row r="81">
      <c r="A81" s="55" t="str">
        <f>IFERROR(__xludf.DUMMYFUNCTION("""COMPUTED_VALUE"""),"Unresponsive")</f>
        <v>Unresponsive</v>
      </c>
      <c r="B81" s="94">
        <f>IFERROR(__xludf.DUMMYFUNCTION("""COMPUTED_VALUE"""),43434.0)</f>
        <v>43434</v>
      </c>
      <c r="C81" s="55" t="str">
        <f>IFERROR(__xludf.DUMMYFUNCTION("""COMPUTED_VALUE"""),"")</f>
        <v/>
      </c>
      <c r="D81" s="55" t="str">
        <f>IFERROR(__xludf.DUMMYFUNCTION("""COMPUTED_VALUE"""),"No")</f>
        <v>No</v>
      </c>
      <c r="E81" s="55" t="str">
        <f>IFERROR(__xludf.DUMMYFUNCTION("""COMPUTED_VALUE"""),"Actionability")</f>
        <v>Actionability</v>
      </c>
      <c r="F81" s="55" t="str">
        <f>IFERROR(__xludf.DUMMYFUNCTION("""COMPUTED_VALUE"""),"")</f>
        <v/>
      </c>
      <c r="G81" s="55" t="str">
        <f>IFERROR(__xludf.DUMMYFUNCTION("""COMPUTED_VALUE"""),"Lisa Diller")</f>
        <v>Lisa Diller</v>
      </c>
      <c r="H81" s="55" t="str">
        <f>IFERROR(__xludf.DUMMYFUNCTION("""COMPUTED_VALUE"""),"lisa_diller@dfci.harvard.edu")</f>
        <v>lisa_diller@dfci.harvard.edu</v>
      </c>
      <c r="I81" s="55" t="str">
        <f>IFERROR(__xludf.DUMMYFUNCTION("""COMPUTED_VALUE"""),"Physician (Non-geneticist)")</f>
        <v>Physician (Non-geneticist)</v>
      </c>
      <c r="J81" s="55"/>
      <c r="K81" s="55" t="str">
        <f>IFERROR(__xludf.DUMMYFUNCTION("""COMPUTED_VALUE"""),"Clinical Actionability")</f>
        <v>Clinical Actionability</v>
      </c>
      <c r="L81" s="55"/>
      <c r="M81" s="55"/>
      <c r="N81" s="55"/>
      <c r="O81" s="55"/>
      <c r="P81" s="55"/>
      <c r="Q81" s="55"/>
      <c r="R81" s="55"/>
      <c r="S81" s="55"/>
      <c r="T81" s="55"/>
      <c r="U81" s="55"/>
      <c r="V81" s="55"/>
      <c r="W81" s="55"/>
      <c r="X81" s="55"/>
      <c r="Y81" s="55"/>
      <c r="Z81" s="55"/>
    </row>
    <row r="82">
      <c r="A82" s="55" t="str">
        <f>IFERROR(__xludf.DUMMYFUNCTION("""COMPUTED_VALUE"""),"Unresponsive")</f>
        <v>Unresponsive</v>
      </c>
      <c r="B82" s="94">
        <f>IFERROR(__xludf.DUMMYFUNCTION("""COMPUTED_VALUE"""),43434.0)</f>
        <v>43434</v>
      </c>
      <c r="C82" s="105">
        <f>IFERROR(__xludf.DUMMYFUNCTION("""COMPUTED_VALUE"""),43567.0)</f>
        <v>43567</v>
      </c>
      <c r="D82" s="55" t="str">
        <f>IFERROR(__xludf.DUMMYFUNCTION("""COMPUTED_VALUE"""),"Yes")</f>
        <v>Yes</v>
      </c>
      <c r="E82" s="55" t="str">
        <f>IFERROR(__xludf.DUMMYFUNCTION("""COMPUTED_VALUE"""),"Actionability")</f>
        <v>Actionability</v>
      </c>
      <c r="F82" s="55" t="str">
        <f>IFERROR(__xludf.DUMMYFUNCTION("""COMPUTED_VALUE"""),"")</f>
        <v/>
      </c>
      <c r="G82" s="55" t="str">
        <f>IFERROR(__xludf.DUMMYFUNCTION("""COMPUTED_VALUE"""),"Nharimann Azima")</f>
        <v>Nharimann Azima</v>
      </c>
      <c r="H82" s="55" t="str">
        <f>IFERROR(__xludf.DUMMYFUNCTION("""COMPUTED_VALUE"""),"naa3f@gwu.edu")</f>
        <v>naa3f@gwu.edu</v>
      </c>
      <c r="I82" s="55" t="str">
        <f>IFERROR(__xludf.DUMMYFUNCTION("""COMPUTED_VALUE"""),"Analyst")</f>
        <v>Analyst</v>
      </c>
      <c r="J82" s="55"/>
      <c r="K82" s="55" t="str">
        <f>IFERROR(__xludf.DUMMYFUNCTION("""COMPUTED_VALUE"""),"Clinical Actionability")</f>
        <v>Clinical Actionability</v>
      </c>
      <c r="L82" s="55"/>
      <c r="M82" s="55"/>
      <c r="N82" s="55"/>
      <c r="O82" s="55"/>
      <c r="P82" s="55"/>
      <c r="Q82" s="55"/>
      <c r="R82" s="55"/>
      <c r="S82" s="55"/>
      <c r="T82" s="55"/>
      <c r="U82" s="55"/>
      <c r="V82" s="55"/>
      <c r="W82" s="55"/>
      <c r="X82" s="55"/>
      <c r="Y82" s="55"/>
      <c r="Z82" s="55"/>
    </row>
    <row r="83">
      <c r="A83" s="55" t="str">
        <f>IFERROR(__xludf.DUMMYFUNCTION("""COMPUTED_VALUE"""),"Assigned")</f>
        <v>Assigned</v>
      </c>
      <c r="B83" s="94">
        <f>IFERROR(__xludf.DUMMYFUNCTION("""COMPUTED_VALUE"""),43434.0)</f>
        <v>43434</v>
      </c>
      <c r="C83" s="93">
        <f>IFERROR(__xludf.DUMMYFUNCTION("""COMPUTED_VALUE"""),43678.0)</f>
        <v>43678</v>
      </c>
      <c r="D83" s="55" t="str">
        <f>IFERROR(__xludf.DUMMYFUNCTION("""COMPUTED_VALUE"""),"Yes")</f>
        <v>Yes</v>
      </c>
      <c r="E83" s="55" t="str">
        <f>IFERROR(__xludf.DUMMYFUNCTION("""COMPUTED_VALUE"""),"Actionability")</f>
        <v>Actionability</v>
      </c>
      <c r="F83" s="55" t="str">
        <f>IFERROR(__xludf.DUMMYFUNCTION("""COMPUTED_VALUE"""),"Actionability")</f>
        <v>Actionability</v>
      </c>
      <c r="G83" s="55" t="str">
        <f>IFERROR(__xludf.DUMMYFUNCTION("""COMPUTED_VALUE"""),"Krzysztof Szczaluba")</f>
        <v>Krzysztof Szczaluba</v>
      </c>
      <c r="H83" s="55" t="str">
        <f>IFERROR(__xludf.DUMMYFUNCTION("""COMPUTED_VALUE"""),"krzysztof.szczaluba@gmail.com")</f>
        <v>krzysztof.szczaluba@gmail.com</v>
      </c>
      <c r="I83" s="55" t="str">
        <f>IFERROR(__xludf.DUMMYFUNCTION("""COMPUTED_VALUE"""),"Clinical Medical Geneticist")</f>
        <v>Clinical Medical Geneticist</v>
      </c>
      <c r="J83" s="55"/>
      <c r="K83" s="55" t="str">
        <f>IFERROR(__xludf.DUMMYFUNCTION("""COMPUTED_VALUE"""),"Clinical Actionability")</f>
        <v>Clinical Actionability</v>
      </c>
      <c r="L83" s="55"/>
      <c r="M83" s="55"/>
      <c r="N83" s="55"/>
      <c r="O83" s="55"/>
      <c r="P83" s="55"/>
      <c r="Q83" s="55"/>
      <c r="R83" s="55"/>
      <c r="S83" s="55"/>
      <c r="T83" s="55"/>
      <c r="U83" s="55"/>
      <c r="V83" s="55"/>
      <c r="W83" s="55"/>
      <c r="X83" s="55"/>
      <c r="Y83" s="55"/>
      <c r="Z83" s="55"/>
    </row>
    <row r="84">
      <c r="A84" s="55" t="str">
        <f>IFERROR(__xludf.DUMMYFUNCTION("""COMPUTED_VALUE"""),"Unresponsive")</f>
        <v>Unresponsive</v>
      </c>
      <c r="B84" s="94">
        <f>IFERROR(__xludf.DUMMYFUNCTION("""COMPUTED_VALUE"""),43434.0)</f>
        <v>43434</v>
      </c>
      <c r="C84" s="55" t="str">
        <f>IFERROR(__xludf.DUMMYFUNCTION("""COMPUTED_VALUE"""),"")</f>
        <v/>
      </c>
      <c r="D84" s="55" t="str">
        <f>IFERROR(__xludf.DUMMYFUNCTION("""COMPUTED_VALUE"""),"No")</f>
        <v>No</v>
      </c>
      <c r="E84" s="55" t="str">
        <f>IFERROR(__xludf.DUMMYFUNCTION("""COMPUTED_VALUE"""),"Actionability")</f>
        <v>Actionability</v>
      </c>
      <c r="F84" s="55" t="str">
        <f>IFERROR(__xludf.DUMMYFUNCTION("""COMPUTED_VALUE"""),"")</f>
        <v/>
      </c>
      <c r="G84" s="55" t="str">
        <f>IFERROR(__xludf.DUMMYFUNCTION("""COMPUTED_VALUE"""),"Robin Bennett")</f>
        <v>Robin Bennett</v>
      </c>
      <c r="H84" s="55" t="str">
        <f>IFERROR(__xludf.DUMMYFUNCTION("""COMPUTED_VALUE"""),"robinb@uw.edu")</f>
        <v>robinb@uw.edu</v>
      </c>
      <c r="I84" s="55" t="str">
        <f>IFERROR(__xludf.DUMMYFUNCTION("""COMPUTED_VALUE"""),"Genetic counselor")</f>
        <v>Genetic counselor</v>
      </c>
      <c r="J84" s="55"/>
      <c r="K84" s="55" t="str">
        <f>IFERROR(__xludf.DUMMYFUNCTION("""COMPUTED_VALUE"""),"Clinical Actionability")</f>
        <v>Clinical Actionability</v>
      </c>
      <c r="L84" s="55"/>
      <c r="M84" s="55"/>
      <c r="N84" s="55"/>
      <c r="O84" s="55"/>
      <c r="P84" s="55"/>
      <c r="Q84" s="55"/>
      <c r="R84" s="55"/>
      <c r="S84" s="55"/>
      <c r="T84" s="55"/>
      <c r="U84" s="55"/>
      <c r="V84" s="55"/>
      <c r="W84" s="55"/>
      <c r="X84" s="55"/>
      <c r="Y84" s="55"/>
      <c r="Z84" s="55"/>
    </row>
    <row r="85">
      <c r="A85" s="55" t="str">
        <f>IFERROR(__xludf.DUMMYFUNCTION("""COMPUTED_VALUE"""),"Unresponsive")</f>
        <v>Unresponsive</v>
      </c>
      <c r="B85" s="94">
        <f>IFERROR(__xludf.DUMMYFUNCTION("""COMPUTED_VALUE"""),43434.0)</f>
        <v>43434</v>
      </c>
      <c r="C85" s="105">
        <f>IFERROR(__xludf.DUMMYFUNCTION("""COMPUTED_VALUE"""),43522.0)</f>
        <v>43522</v>
      </c>
      <c r="D85" s="55" t="str">
        <f>IFERROR(__xludf.DUMMYFUNCTION("""COMPUTED_VALUE"""),"Yes")</f>
        <v>Yes</v>
      </c>
      <c r="E85" s="55" t="str">
        <f>IFERROR(__xludf.DUMMYFUNCTION("""COMPUTED_VALUE"""),"Actionability")</f>
        <v>Actionability</v>
      </c>
      <c r="F85" s="55" t="str">
        <f>IFERROR(__xludf.DUMMYFUNCTION("""COMPUTED_VALUE"""),"Actionability")</f>
        <v>Actionability</v>
      </c>
      <c r="G85" s="55" t="str">
        <f>IFERROR(__xludf.DUMMYFUNCTION("""COMPUTED_VALUE"""),"Fiona Curtis")</f>
        <v>Fiona Curtis</v>
      </c>
      <c r="H85" s="55" t="str">
        <f>IFERROR(__xludf.DUMMYFUNCTION("""COMPUTED_VALUE"""),"fionakatherinecurtis@yahoo.ca")</f>
        <v>fionakatherinecurtis@yahoo.ca</v>
      </c>
      <c r="I85" s="55" t="str">
        <f>IFERROR(__xludf.DUMMYFUNCTION("""COMPUTED_VALUE"""),"Genetic counselor")</f>
        <v>Genetic counselor</v>
      </c>
      <c r="J85" s="55"/>
      <c r="K85" s="55" t="str">
        <f>IFERROR(__xludf.DUMMYFUNCTION("""COMPUTED_VALUE"""),"Clinical Actionability")</f>
        <v>Clinical Actionability</v>
      </c>
      <c r="L85" s="55"/>
      <c r="M85" s="55"/>
      <c r="N85" s="55"/>
      <c r="O85" s="55"/>
      <c r="P85" s="55"/>
      <c r="Q85" s="55"/>
      <c r="R85" s="55"/>
      <c r="S85" s="55"/>
      <c r="T85" s="55"/>
      <c r="U85" s="55"/>
      <c r="V85" s="55"/>
      <c r="W85" s="55"/>
      <c r="X85" s="55"/>
      <c r="Y85" s="55"/>
      <c r="Z85" s="55"/>
    </row>
    <row r="86">
      <c r="A86" s="55" t="str">
        <f>IFERROR(__xludf.DUMMYFUNCTION("""COMPUTED_VALUE"""),"Unresponsive")</f>
        <v>Unresponsive</v>
      </c>
      <c r="B86" s="94">
        <f>IFERROR(__xludf.DUMMYFUNCTION("""COMPUTED_VALUE"""),43434.0)</f>
        <v>43434</v>
      </c>
      <c r="C86" s="55" t="str">
        <f>IFERROR(__xludf.DUMMYFUNCTION("""COMPUTED_VALUE"""),"")</f>
        <v/>
      </c>
      <c r="D86" s="55" t="str">
        <f>IFERROR(__xludf.DUMMYFUNCTION("""COMPUTED_VALUE"""),"No")</f>
        <v>No</v>
      </c>
      <c r="E86" s="55" t="str">
        <f>IFERROR(__xludf.DUMMYFUNCTION("""COMPUTED_VALUE"""),"Actionability")</f>
        <v>Actionability</v>
      </c>
      <c r="F86" s="55" t="str">
        <f>IFERROR(__xludf.DUMMYFUNCTION("""COMPUTED_VALUE"""),"")</f>
        <v/>
      </c>
      <c r="G86" s="55" t="str">
        <f>IFERROR(__xludf.DUMMYFUNCTION("""COMPUTED_VALUE"""),"Jennifer Marie Lee")</f>
        <v>Jennifer Marie Lee</v>
      </c>
      <c r="H86" s="55" t="str">
        <f>IFERROR(__xludf.DUMMYFUNCTION("""COMPUTED_VALUE"""),"Jennifer.Lee2@nih.gov")</f>
        <v>Jennifer.Lee2@nih.gov</v>
      </c>
      <c r="I86" s="55" t="str">
        <f>IFERROR(__xludf.DUMMYFUNCTION("""COMPUTED_VALUE"""),"Scientific Researcher")</f>
        <v>Scientific Researcher</v>
      </c>
      <c r="J86" s="55"/>
      <c r="K86" s="55" t="str">
        <f>IFERROR(__xludf.DUMMYFUNCTION("""COMPUTED_VALUE"""),"Clinical Actionability")</f>
        <v>Clinical Actionability</v>
      </c>
      <c r="L86" s="55"/>
      <c r="M86" s="55"/>
      <c r="N86" s="55"/>
      <c r="O86" s="55"/>
      <c r="P86" s="55"/>
      <c r="Q86" s="55"/>
      <c r="R86" s="55"/>
      <c r="S86" s="55"/>
      <c r="T86" s="55"/>
      <c r="U86" s="55"/>
      <c r="V86" s="55"/>
      <c r="W86" s="55"/>
      <c r="X86" s="55"/>
      <c r="Y86" s="55"/>
      <c r="Z86" s="55"/>
    </row>
    <row r="87">
      <c r="A87" s="55" t="str">
        <f>IFERROR(__xludf.DUMMYFUNCTION("""COMPUTED_VALUE"""),"Assigned")</f>
        <v>Assigned</v>
      </c>
      <c r="B87" s="105">
        <f>IFERROR(__xludf.DUMMYFUNCTION("""COMPUTED_VALUE"""),43467.0)</f>
        <v>43467</v>
      </c>
      <c r="C87" s="94">
        <f>IFERROR(__xludf.DUMMYFUNCTION("""COMPUTED_VALUE"""),43476.0)</f>
        <v>43476</v>
      </c>
      <c r="D87" s="55" t="str">
        <f>IFERROR(__xludf.DUMMYFUNCTION("""COMPUTED_VALUE"""),"Yes")</f>
        <v>Yes</v>
      </c>
      <c r="E87" s="55" t="str">
        <f>IFERROR(__xludf.DUMMYFUNCTION("""COMPUTED_VALUE"""),"Actionability")</f>
        <v>Actionability</v>
      </c>
      <c r="F87" s="55" t="str">
        <f>IFERROR(__xludf.DUMMYFUNCTION("""COMPUTED_VALUE"""),"Actionability")</f>
        <v>Actionability</v>
      </c>
      <c r="G87" s="55" t="str">
        <f>IFERROR(__xludf.DUMMYFUNCTION("""COMPUTED_VALUE"""),"Laura Fuqua")</f>
        <v>Laura Fuqua</v>
      </c>
      <c r="H87" s="55" t="str">
        <f>IFERROR(__xludf.DUMMYFUNCTION("""COMPUTED_VALUE"""),"laura.fuqua@gmail.com")</f>
        <v>laura.fuqua@gmail.com</v>
      </c>
      <c r="I87" s="55" t="str">
        <f>IFERROR(__xludf.DUMMYFUNCTION("""COMPUTED_VALUE"""),"Genetic counselor")</f>
        <v>Genetic counselor</v>
      </c>
      <c r="J87" s="55"/>
      <c r="K87" s="55" t="str">
        <f>IFERROR(__xludf.DUMMYFUNCTION("""COMPUTED_VALUE"""),"Somatic Cancer")</f>
        <v>Somatic Cancer</v>
      </c>
      <c r="L87" s="55"/>
      <c r="M87" s="55"/>
      <c r="N87" s="55"/>
      <c r="O87" s="55"/>
      <c r="P87" s="55"/>
      <c r="Q87" s="55"/>
      <c r="R87" s="55"/>
      <c r="S87" s="55"/>
      <c r="T87" s="55"/>
      <c r="U87" s="55"/>
      <c r="V87" s="55"/>
      <c r="W87" s="55"/>
      <c r="X87" s="55"/>
      <c r="Y87" s="55"/>
      <c r="Z87" s="55"/>
    </row>
    <row r="88">
      <c r="A88" s="55" t="str">
        <f>IFERROR(__xludf.DUMMYFUNCTION("""COMPUTED_VALUE"""),"Follow up email")</f>
        <v>Follow up email</v>
      </c>
      <c r="B88" s="55" t="str">
        <f>IFERROR(__xludf.DUMMYFUNCTION("""COMPUTED_VALUE"""),"12/18/18 (assigned)
declined(5-2-19)
Renewed interest 8/12/19")</f>
        <v>12/18/18 (assigned)
declined(5-2-19)
Renewed interest 8/12/19</v>
      </c>
      <c r="C88" s="93">
        <f>IFERROR(__xludf.DUMMYFUNCTION("""COMPUTED_VALUE"""),43769.0)</f>
        <v>43769</v>
      </c>
      <c r="D88" s="55" t="str">
        <f>IFERROR(__xludf.DUMMYFUNCTION("""COMPUTED_VALUE"""),"Yes")</f>
        <v>Yes</v>
      </c>
      <c r="E88" s="55" t="str">
        <f>IFERROR(__xludf.DUMMYFUNCTION("""COMPUTED_VALUE"""),"Actionability")</f>
        <v>Actionability</v>
      </c>
      <c r="F88" s="55" t="str">
        <f>IFERROR(__xludf.DUMMYFUNCTION("""COMPUTED_VALUE"""),"Actionability")</f>
        <v>Actionability</v>
      </c>
      <c r="G88" s="55" t="str">
        <f>IFERROR(__xludf.DUMMYFUNCTION("""COMPUTED_VALUE"""),"Morgan Similuk")</f>
        <v>Morgan Similuk</v>
      </c>
      <c r="H88" s="55" t="str">
        <f>IFERROR(__xludf.DUMMYFUNCTION("""COMPUTED_VALUE"""),"Morgan.similuk@nih.gov")</f>
        <v>Morgan.similuk@nih.gov</v>
      </c>
      <c r="I88" s="55" t="str">
        <f>IFERROR(__xludf.DUMMYFUNCTION("""COMPUTED_VALUE"""),"Genetic counselor")</f>
        <v>Genetic counselor</v>
      </c>
      <c r="J88" s="55"/>
      <c r="K88" s="55" t="str">
        <f>IFERROR(__xludf.DUMMYFUNCTION("""COMPUTED_VALUE"""),"Clinical Actionability")</f>
        <v>Clinical Actionability</v>
      </c>
      <c r="L88" s="55"/>
      <c r="M88" s="55"/>
      <c r="N88" s="55"/>
      <c r="O88" s="55"/>
      <c r="P88" s="55"/>
      <c r="Q88" s="55"/>
      <c r="R88" s="55"/>
      <c r="S88" s="55"/>
      <c r="T88" s="55"/>
      <c r="U88" s="55"/>
      <c r="V88" s="55"/>
      <c r="W88" s="55"/>
      <c r="X88" s="55"/>
      <c r="Y88" s="55"/>
      <c r="Z88" s="55"/>
    </row>
    <row r="89">
      <c r="A89" s="55" t="str">
        <f>IFERROR(__xludf.DUMMYFUNCTION("""COMPUTED_VALUE"""),"Unresponsive")</f>
        <v>Unresponsive</v>
      </c>
      <c r="B89" s="94">
        <f>IFERROR(__xludf.DUMMYFUNCTION("""COMPUTED_VALUE"""),43452.0)</f>
        <v>43452</v>
      </c>
      <c r="C89" s="93">
        <f>IFERROR(__xludf.DUMMYFUNCTION("""COMPUTED_VALUE"""),43678.0)</f>
        <v>43678</v>
      </c>
      <c r="D89" s="55" t="str">
        <f>IFERROR(__xludf.DUMMYFUNCTION("""COMPUTED_VALUE"""),"Yes")</f>
        <v>Yes</v>
      </c>
      <c r="E89" s="55" t="str">
        <f>IFERROR(__xludf.DUMMYFUNCTION("""COMPUTED_VALUE"""),"Actionability")</f>
        <v>Actionability</v>
      </c>
      <c r="F89" s="55" t="str">
        <f>IFERROR(__xludf.DUMMYFUNCTION("""COMPUTED_VALUE"""),"")</f>
        <v/>
      </c>
      <c r="G89" s="55" t="str">
        <f>IFERROR(__xludf.DUMMYFUNCTION("""COMPUTED_VALUE"""),"Sandra P Smieszek")</f>
        <v>Sandra P Smieszek</v>
      </c>
      <c r="H89" s="55" t="str">
        <f>IFERROR(__xludf.DUMMYFUNCTION("""COMPUTED_VALUE"""),"sps92@case.edu")</f>
        <v>sps92@case.edu</v>
      </c>
      <c r="I89" s="55" t="str">
        <f>IFERROR(__xludf.DUMMYFUNCTION("""COMPUTED_VALUE"""),"Post Doc/Resident/Fellow (MD and/or PhD)")</f>
        <v>Post Doc/Resident/Fellow (MD and/or PhD)</v>
      </c>
      <c r="J89" s="55"/>
      <c r="K89" s="55" t="str">
        <f>IFERROR(__xludf.DUMMYFUNCTION("""COMPUTED_VALUE"""),"Clinical Actionability")</f>
        <v>Clinical Actionability</v>
      </c>
      <c r="L89" s="55"/>
      <c r="M89" s="55"/>
      <c r="N89" s="55"/>
      <c r="O89" s="55"/>
      <c r="P89" s="55"/>
      <c r="Q89" s="55"/>
      <c r="R89" s="55"/>
      <c r="S89" s="55"/>
      <c r="T89" s="55"/>
      <c r="U89" s="55"/>
      <c r="V89" s="55"/>
      <c r="W89" s="55"/>
      <c r="X89" s="55"/>
      <c r="Y89" s="55"/>
      <c r="Z89" s="55"/>
    </row>
    <row r="90">
      <c r="A90" s="55" t="str">
        <f>IFERROR(__xludf.DUMMYFUNCTION("""COMPUTED_VALUE"""),"Unresponsive")</f>
        <v>Unresponsive</v>
      </c>
      <c r="B90" s="55" t="str">
        <f>IFERROR(__xludf.DUMMYFUNCTION("""COMPUTED_VALUE"""),"")</f>
        <v/>
      </c>
      <c r="C90" s="55" t="str">
        <f>IFERROR(__xludf.DUMMYFUNCTION("""COMPUTED_VALUE"""),"")</f>
        <v/>
      </c>
      <c r="D90" s="55" t="str">
        <f>IFERROR(__xludf.DUMMYFUNCTION("""COMPUTED_VALUE"""),"No")</f>
        <v>No</v>
      </c>
      <c r="E90" s="55" t="str">
        <f>IFERROR(__xludf.DUMMYFUNCTION("""COMPUTED_VALUE"""),"Somatic Cancer")</f>
        <v>Somatic Cancer</v>
      </c>
      <c r="F90" s="55" t="str">
        <f>IFERROR(__xludf.DUMMYFUNCTION("""COMPUTED_VALUE"""),"")</f>
        <v/>
      </c>
      <c r="G90" s="55" t="str">
        <f>IFERROR(__xludf.DUMMYFUNCTION("""COMPUTED_VALUE"""),"Milda Auglyte")</f>
        <v>Milda Auglyte</v>
      </c>
      <c r="H90" s="55" t="str">
        <f>IFERROR(__xludf.DUMMYFUNCTION("""COMPUTED_VALUE"""),"mildaaug@gmail.com")</f>
        <v>mildaaug@gmail.com</v>
      </c>
      <c r="I90" s="55" t="str">
        <f>IFERROR(__xludf.DUMMYFUNCTION("""COMPUTED_VALUE"""),"Graduate Student")</f>
        <v>Graduate Student</v>
      </c>
      <c r="J90" s="55"/>
      <c r="K90" s="55" t="str">
        <f>IFERROR(__xludf.DUMMYFUNCTION("""COMPUTED_VALUE"""),"Somatic Cancer")</f>
        <v>Somatic Cancer</v>
      </c>
      <c r="L90" s="55"/>
      <c r="M90" s="55"/>
      <c r="N90" s="55"/>
      <c r="O90" s="55"/>
      <c r="P90" s="55"/>
      <c r="Q90" s="55"/>
      <c r="R90" s="55"/>
      <c r="S90" s="55"/>
      <c r="T90" s="55"/>
      <c r="U90" s="55"/>
      <c r="V90" s="55"/>
      <c r="W90" s="55"/>
      <c r="X90" s="55"/>
      <c r="Y90" s="55"/>
      <c r="Z90" s="55"/>
    </row>
    <row r="91">
      <c r="A91" s="55" t="str">
        <f>IFERROR(__xludf.DUMMYFUNCTION("""COMPUTED_VALUE"""),"Declined")</f>
        <v>Declined</v>
      </c>
      <c r="B91" s="55" t="str">
        <f>IFERROR(__xludf.DUMMYFUNCTION("""COMPUTED_VALUE"""),"")</f>
        <v/>
      </c>
      <c r="C91" s="55" t="str">
        <f>IFERROR(__xludf.DUMMYFUNCTION("""COMPUTED_VALUE"""),"")</f>
        <v/>
      </c>
      <c r="D91" s="55" t="str">
        <f>IFERROR(__xludf.DUMMYFUNCTION("""COMPUTED_VALUE"""),"No")</f>
        <v>No</v>
      </c>
      <c r="E91" s="55" t="str">
        <f>IFERROR(__xludf.DUMMYFUNCTION("""COMPUTED_VALUE"""),"Somatic Cancer")</f>
        <v>Somatic Cancer</v>
      </c>
      <c r="F91" s="55" t="str">
        <f>IFERROR(__xludf.DUMMYFUNCTION("""COMPUTED_VALUE"""),"Pediatric cancer taskforce")</f>
        <v>Pediatric cancer taskforce</v>
      </c>
      <c r="G91" s="55" t="str">
        <f>IFERROR(__xludf.DUMMYFUNCTION("""COMPUTED_VALUE"""),"Andres Ressia")</f>
        <v>Andres Ressia</v>
      </c>
      <c r="H91" s="55" t="str">
        <f>IFERROR(__xludf.DUMMYFUNCTION("""COMPUTED_VALUE"""),"andresressiacolino@gmail.com")</f>
        <v>andresressiacolino@gmail.com</v>
      </c>
      <c r="I91" s="55" t="str">
        <f>IFERROR(__xludf.DUMMYFUNCTION("""COMPUTED_VALUE"""),"Post-Bachelors")</f>
        <v>Post-Bachelors</v>
      </c>
      <c r="J91" s="55"/>
      <c r="K91" s="55" t="str">
        <f>IFERROR(__xludf.DUMMYFUNCTION("""COMPUTED_VALUE"""),"Somatic Cancer")</f>
        <v>Somatic Cancer</v>
      </c>
      <c r="L91" s="55"/>
      <c r="M91" s="55"/>
      <c r="N91" s="55"/>
      <c r="O91" s="55"/>
      <c r="P91" s="55"/>
      <c r="Q91" s="55"/>
      <c r="R91" s="55"/>
      <c r="S91" s="55"/>
      <c r="T91" s="55"/>
      <c r="U91" s="55"/>
      <c r="V91" s="55"/>
      <c r="W91" s="55"/>
      <c r="X91" s="55"/>
      <c r="Y91" s="55"/>
      <c r="Z91" s="55"/>
    </row>
    <row r="92">
      <c r="A92" s="55" t="str">
        <f>IFERROR(__xludf.DUMMYFUNCTION("""COMPUTED_VALUE"""),"Assigned")</f>
        <v>Assigned</v>
      </c>
      <c r="B92" s="94">
        <f>IFERROR(__xludf.DUMMYFUNCTION("""COMPUTED_VALUE"""),43452.0)</f>
        <v>43452</v>
      </c>
      <c r="C92" s="104">
        <f>IFERROR(__xludf.DUMMYFUNCTION("""COMPUTED_VALUE"""),43581.0)</f>
        <v>43581</v>
      </c>
      <c r="D92" s="55" t="str">
        <f>IFERROR(__xludf.DUMMYFUNCTION("""COMPUTED_VALUE"""),"Yes")</f>
        <v>Yes</v>
      </c>
      <c r="E92" s="55" t="str">
        <f>IFERROR(__xludf.DUMMYFUNCTION("""COMPUTED_VALUE"""),"Somatic Cancer")</f>
        <v>Somatic Cancer</v>
      </c>
      <c r="F92" s="55" t="str">
        <f>IFERROR(__xludf.DUMMYFUNCTION("""COMPUTED_VALUE"""),"Pancreatic cancer taskforce")</f>
        <v>Pancreatic cancer taskforce</v>
      </c>
      <c r="G92" s="55" t="str">
        <f>IFERROR(__xludf.DUMMYFUNCTION("""COMPUTED_VALUE"""),"Parisa Lotfi")</f>
        <v>Parisa Lotfi</v>
      </c>
      <c r="H92" s="55" t="str">
        <f>IFERROR(__xludf.DUMMYFUNCTION("""COMPUTED_VALUE"""),"Parisa_Lotfi@yahoo.com")</f>
        <v>Parisa_Lotfi@yahoo.com</v>
      </c>
      <c r="I92" s="55" t="str">
        <f>IFERROR(__xludf.DUMMYFUNCTION("""COMPUTED_VALUE"""),"Post Doc/Resident/Fellow (MD and/or Phd), Scientific Researcher")</f>
        <v>Post Doc/Resident/Fellow (MD and/or Phd), Scientific Researcher</v>
      </c>
      <c r="J92" s="55"/>
      <c r="K92" s="55" t="str">
        <f>IFERROR(__xludf.DUMMYFUNCTION("""COMPUTED_VALUE"""),"Somatic Cancer")</f>
        <v>Somatic Cancer</v>
      </c>
      <c r="L92" s="55"/>
      <c r="M92" s="55"/>
      <c r="N92" s="55"/>
      <c r="O92" s="55"/>
      <c r="P92" s="55"/>
      <c r="Q92" s="55"/>
      <c r="R92" s="55"/>
      <c r="S92" s="55"/>
      <c r="T92" s="55"/>
      <c r="U92" s="55"/>
      <c r="V92" s="55"/>
      <c r="W92" s="55"/>
      <c r="X92" s="55"/>
      <c r="Y92" s="55"/>
      <c r="Z92" s="55"/>
    </row>
    <row r="93">
      <c r="A93" s="55" t="str">
        <f>IFERROR(__xludf.DUMMYFUNCTION("""COMPUTED_VALUE"""),"Declined")</f>
        <v>Declined</v>
      </c>
      <c r="B93" s="94">
        <f>IFERROR(__xludf.DUMMYFUNCTION("""COMPUTED_VALUE"""),43452.0)</f>
        <v>43452</v>
      </c>
      <c r="C93" s="55" t="str">
        <f>IFERROR(__xludf.DUMMYFUNCTION("""COMPUTED_VALUE"""),"")</f>
        <v/>
      </c>
      <c r="D93" s="55" t="str">
        <f>IFERROR(__xludf.DUMMYFUNCTION("""COMPUTED_VALUE"""),"No")</f>
        <v>No</v>
      </c>
      <c r="E93" s="55" t="str">
        <f>IFERROR(__xludf.DUMMYFUNCTION("""COMPUTED_VALUE"""),"Somatic Cancer")</f>
        <v>Somatic Cancer</v>
      </c>
      <c r="F93" s="55" t="str">
        <f>IFERROR(__xludf.DUMMYFUNCTION("""COMPUTED_VALUE"""),"Pediatric cancer taskforce")</f>
        <v>Pediatric cancer taskforce</v>
      </c>
      <c r="G93" s="55" t="str">
        <f>IFERROR(__xludf.DUMMYFUNCTION("""COMPUTED_VALUE"""),"Huei San Leong")</f>
        <v>Huei San Leong</v>
      </c>
      <c r="H93" s="55" t="str">
        <f>IFERROR(__xludf.DUMMYFUNCTION("""COMPUTED_VALUE"""),"hueisan.leong@petermac.org")</f>
        <v>hueisan.leong@petermac.org</v>
      </c>
      <c r="I93" s="55" t="str">
        <f>IFERROR(__xludf.DUMMYFUNCTION("""COMPUTED_VALUE"""),"Variant Analyst/Scientist")</f>
        <v>Variant Analyst/Scientist</v>
      </c>
      <c r="J93" s="55"/>
      <c r="K93" s="55" t="str">
        <f>IFERROR(__xludf.DUMMYFUNCTION("""COMPUTED_VALUE"""),"Somatic Cancer")</f>
        <v>Somatic Cancer</v>
      </c>
      <c r="L93" s="55"/>
      <c r="M93" s="55"/>
      <c r="N93" s="55"/>
      <c r="O93" s="55"/>
      <c r="P93" s="55"/>
      <c r="Q93" s="55"/>
      <c r="R93" s="55"/>
      <c r="S93" s="55"/>
      <c r="T93" s="55"/>
      <c r="U93" s="55"/>
      <c r="V93" s="55"/>
      <c r="W93" s="55"/>
      <c r="X93" s="55"/>
      <c r="Y93" s="55"/>
      <c r="Z93" s="55"/>
    </row>
    <row r="94">
      <c r="A94" s="55" t="str">
        <f>IFERROR(__xludf.DUMMYFUNCTION("""COMPUTED_VALUE"""),"Unresponsive")</f>
        <v>Unresponsive</v>
      </c>
      <c r="B94" s="94">
        <f>IFERROR(__xludf.DUMMYFUNCTION("""COMPUTED_VALUE"""),43452.0)</f>
        <v>43452</v>
      </c>
      <c r="C94" s="55" t="str">
        <f>IFERROR(__xludf.DUMMYFUNCTION("""COMPUTED_VALUE"""),"")</f>
        <v/>
      </c>
      <c r="D94" s="55" t="str">
        <f>IFERROR(__xludf.DUMMYFUNCTION("""COMPUTED_VALUE"""),"No")</f>
        <v>No</v>
      </c>
      <c r="E94" s="55" t="str">
        <f>IFERROR(__xludf.DUMMYFUNCTION("""COMPUTED_VALUE"""),"Somatic Cancer")</f>
        <v>Somatic Cancer</v>
      </c>
      <c r="F94" s="55" t="str">
        <f>IFERROR(__xludf.DUMMYFUNCTION("""COMPUTED_VALUE"""),"")</f>
        <v/>
      </c>
      <c r="G94" s="55" t="str">
        <f>IFERROR(__xludf.DUMMYFUNCTION("""COMPUTED_VALUE"""),"Pandurang Kolekar")</f>
        <v>Pandurang Kolekar</v>
      </c>
      <c r="H94" s="55" t="str">
        <f>IFERROR(__xludf.DUMMYFUNCTION("""COMPUTED_VALUE"""),"pandurang.kolekar@gmail.com")</f>
        <v>pandurang.kolekar@gmail.com</v>
      </c>
      <c r="I94" s="55" t="str">
        <f>IFERROR(__xludf.DUMMYFUNCTION("""COMPUTED_VALUE"""),"""Scientific Researcher, Biocurator, Variant Analyst/Scientist, Other (please specify): Bioinformatics Engineer""")</f>
        <v>"Scientific Researcher, Biocurator, Variant Analyst/Scientist, Other (please specify): Bioinformatics Engineer"</v>
      </c>
      <c r="J94" s="55"/>
      <c r="K94" s="55" t="str">
        <f>IFERROR(__xludf.DUMMYFUNCTION("""COMPUTED_VALUE"""),"Somatic Cancer")</f>
        <v>Somatic Cancer</v>
      </c>
      <c r="L94" s="55"/>
      <c r="M94" s="55"/>
      <c r="N94" s="55"/>
      <c r="O94" s="55"/>
      <c r="P94" s="55"/>
      <c r="Q94" s="55"/>
      <c r="R94" s="55"/>
      <c r="S94" s="55"/>
      <c r="T94" s="55"/>
      <c r="U94" s="55"/>
      <c r="V94" s="55"/>
      <c r="W94" s="55"/>
      <c r="X94" s="55"/>
      <c r="Y94" s="55"/>
      <c r="Z94" s="55"/>
    </row>
    <row r="95">
      <c r="A95" s="55" t="str">
        <f>IFERROR(__xludf.DUMMYFUNCTION("""COMPUTED_VALUE"""),"Unresponsive")</f>
        <v>Unresponsive</v>
      </c>
      <c r="B95" s="55" t="str">
        <f>IFERROR(__xludf.DUMMYFUNCTION("""COMPUTED_VALUE"""),"")</f>
        <v/>
      </c>
      <c r="C95" s="55" t="str">
        <f>IFERROR(__xludf.DUMMYFUNCTION("""COMPUTED_VALUE"""),"")</f>
        <v/>
      </c>
      <c r="D95" s="55" t="str">
        <f>IFERROR(__xludf.DUMMYFUNCTION("""COMPUTED_VALUE"""),"No")</f>
        <v>No</v>
      </c>
      <c r="E95" s="55" t="str">
        <f>IFERROR(__xludf.DUMMYFUNCTION("""COMPUTED_VALUE"""),"Actionability")</f>
        <v>Actionability</v>
      </c>
      <c r="F95" s="55" t="str">
        <f>IFERROR(__xludf.DUMMYFUNCTION("""COMPUTED_VALUE"""),"")</f>
        <v/>
      </c>
      <c r="G95" s="55" t="str">
        <f>IFERROR(__xludf.DUMMYFUNCTION("""COMPUTED_VALUE"""),"Samata Singhi")</f>
        <v>Samata Singhi</v>
      </c>
      <c r="H95" s="55" t="str">
        <f>IFERROR(__xludf.DUMMYFUNCTION("""COMPUTED_VALUE"""),"samata.singhi@gmail.com")</f>
        <v>samata.singhi@gmail.com</v>
      </c>
      <c r="I95" s="55" t="str">
        <f>IFERROR(__xludf.DUMMYFUNCTION("""COMPUTED_VALUE"""),"Physician (Non-geneticist)")</f>
        <v>Physician (Non-geneticist)</v>
      </c>
      <c r="J95" s="55"/>
      <c r="K95" s="55" t="str">
        <f>IFERROR(__xludf.DUMMYFUNCTION("""COMPUTED_VALUE"""),"Clinical Actionability")</f>
        <v>Clinical Actionability</v>
      </c>
      <c r="L95" s="55"/>
      <c r="M95" s="55"/>
      <c r="N95" s="55"/>
      <c r="O95" s="55"/>
      <c r="P95" s="55"/>
      <c r="Q95" s="55"/>
      <c r="R95" s="55"/>
      <c r="S95" s="55"/>
      <c r="T95" s="55"/>
      <c r="U95" s="55"/>
      <c r="V95" s="55"/>
      <c r="W95" s="55"/>
      <c r="X95" s="55"/>
      <c r="Y95" s="55"/>
      <c r="Z95" s="55"/>
    </row>
    <row r="96">
      <c r="A96" s="55" t="str">
        <f>IFERROR(__xludf.DUMMYFUNCTION("""COMPUTED_VALUE"""),"Contacted")</f>
        <v>Contacted</v>
      </c>
      <c r="B96" s="55" t="str">
        <f>IFERROR(__xludf.DUMMYFUNCTION("""COMPUTED_VALUE"""),"")</f>
        <v/>
      </c>
      <c r="C96" s="93">
        <f>IFERROR(__xludf.DUMMYFUNCTION("""COMPUTED_VALUE"""),43692.0)</f>
        <v>43692</v>
      </c>
      <c r="D96" s="55" t="str">
        <f>IFERROR(__xludf.DUMMYFUNCTION("""COMPUTED_VALUE"""),"Yes")</f>
        <v>Yes</v>
      </c>
      <c r="E96" s="55" t="str">
        <f>IFERROR(__xludf.DUMMYFUNCTION("""COMPUTED_VALUE"""),"Gene Disease Validity")</f>
        <v>Gene Disease Validity</v>
      </c>
      <c r="F96" s="55" t="str">
        <f>IFERROR(__xludf.DUMMYFUNCTION("""COMPUTED_VALUE"""),"")</f>
        <v/>
      </c>
      <c r="G96" s="55" t="str">
        <f>IFERROR(__xludf.DUMMYFUNCTION("""COMPUTED_VALUE"""),"Szabolcs Szelinger")</f>
        <v>Szabolcs Szelinger</v>
      </c>
      <c r="H96" s="55" t="str">
        <f>IFERROR(__xludf.DUMMYFUNCTION("""COMPUTED_VALUE"""),"sszelinger@tgen.org")</f>
        <v>sszelinger@tgen.org</v>
      </c>
      <c r="I96" s="55" t="str">
        <f>IFERROR(__xludf.DUMMYFUNCTION("""COMPUTED_VALUE"""),"Clinical laboratory geneticist")</f>
        <v>Clinical laboratory geneticist</v>
      </c>
      <c r="J96" s="55"/>
      <c r="K96" s="55" t="str">
        <f>IFERROR(__xludf.DUMMYFUNCTION("""COMPUTED_VALUE"""),"Gene-Disease Validity")</f>
        <v>Gene-Disease Validity</v>
      </c>
      <c r="L96" s="55"/>
      <c r="M96" s="55"/>
      <c r="N96" s="55"/>
      <c r="O96" s="55"/>
      <c r="P96" s="55"/>
      <c r="Q96" s="55"/>
      <c r="R96" s="55"/>
      <c r="S96" s="55"/>
      <c r="T96" s="55"/>
      <c r="U96" s="55"/>
      <c r="V96" s="55"/>
      <c r="W96" s="55"/>
      <c r="X96" s="55"/>
      <c r="Y96" s="55"/>
      <c r="Z96" s="55"/>
    </row>
    <row r="97">
      <c r="A97" s="55" t="str">
        <f>IFERROR(__xludf.DUMMYFUNCTION("""COMPUTED_VALUE"""),"Unresponsive")</f>
        <v>Unresponsive</v>
      </c>
      <c r="B97" s="94">
        <f>IFERROR(__xludf.DUMMYFUNCTION("""COMPUTED_VALUE"""),43452.0)</f>
        <v>43452</v>
      </c>
      <c r="C97" s="55" t="str">
        <f>IFERROR(__xludf.DUMMYFUNCTION("""COMPUTED_VALUE"""),"")</f>
        <v/>
      </c>
      <c r="D97" s="55" t="str">
        <f>IFERROR(__xludf.DUMMYFUNCTION("""COMPUTED_VALUE"""),"No")</f>
        <v>No</v>
      </c>
      <c r="E97" s="55" t="str">
        <f>IFERROR(__xludf.DUMMYFUNCTION("""COMPUTED_VALUE"""),"Somatic Cancer")</f>
        <v>Somatic Cancer</v>
      </c>
      <c r="F97" s="55" t="str">
        <f>IFERROR(__xludf.DUMMYFUNCTION("""COMPUTED_VALUE"""),"")</f>
        <v/>
      </c>
      <c r="G97" s="55" t="str">
        <f>IFERROR(__xludf.DUMMYFUNCTION("""COMPUTED_VALUE"""),"Jianhong Zhou")</f>
        <v>Jianhong Zhou</v>
      </c>
      <c r="H97" s="55" t="str">
        <f>IFERROR(__xludf.DUMMYFUNCTION("""COMPUTED_VALUE"""),"jhzhou2008@hotmail.com")</f>
        <v>jhzhou2008@hotmail.com</v>
      </c>
      <c r="I97" s="55" t="str">
        <f>IFERROR(__xludf.DUMMYFUNCTION("""COMPUTED_VALUE"""),"Post Doc/Resident/Fellow (MD and/or Phd), Scientific Researcher, Focus on bioinformatics and computational biology")</f>
        <v>Post Doc/Resident/Fellow (MD and/or Phd), Scientific Researcher, Focus on bioinformatics and computational biology</v>
      </c>
      <c r="J97" s="55"/>
      <c r="K97" s="55" t="str">
        <f>IFERROR(__xludf.DUMMYFUNCTION("""COMPUTED_VALUE"""),"Somatic Cancer")</f>
        <v>Somatic Cancer</v>
      </c>
      <c r="L97" s="55"/>
      <c r="M97" s="55"/>
      <c r="N97" s="55"/>
      <c r="O97" s="55"/>
      <c r="P97" s="55"/>
      <c r="Q97" s="55"/>
      <c r="R97" s="55"/>
      <c r="S97" s="55"/>
      <c r="T97" s="55"/>
      <c r="U97" s="55"/>
      <c r="V97" s="55"/>
      <c r="W97" s="55"/>
      <c r="X97" s="55"/>
      <c r="Y97" s="55"/>
      <c r="Z97" s="55"/>
    </row>
    <row r="98">
      <c r="A98" s="55" t="str">
        <f>IFERROR(__xludf.DUMMYFUNCTION("""COMPUTED_VALUE"""),"Unresponsive")</f>
        <v>Unresponsive</v>
      </c>
      <c r="B98" s="55" t="str">
        <f>IFERROR(__xludf.DUMMYFUNCTION("""COMPUTED_VALUE"""),"")</f>
        <v/>
      </c>
      <c r="C98" s="105">
        <f>IFERROR(__xludf.DUMMYFUNCTION("""COMPUTED_VALUE"""),43567.0)</f>
        <v>43567</v>
      </c>
      <c r="D98" s="55" t="str">
        <f>IFERROR(__xludf.DUMMYFUNCTION("""COMPUTED_VALUE"""),"Yes")</f>
        <v>Yes</v>
      </c>
      <c r="E98" s="55" t="str">
        <f>IFERROR(__xludf.DUMMYFUNCTION("""COMPUTED_VALUE"""),"Actionability")</f>
        <v>Actionability</v>
      </c>
      <c r="F98" s="55" t="str">
        <f>IFERROR(__xludf.DUMMYFUNCTION("""COMPUTED_VALUE"""),"Actionability")</f>
        <v>Actionability</v>
      </c>
      <c r="G98" s="55" t="str">
        <f>IFERROR(__xludf.DUMMYFUNCTION("""COMPUTED_VALUE"""),"Ramesh Vaidyanathan")</f>
        <v>Ramesh Vaidyanathan</v>
      </c>
      <c r="H98" s="55" t="str">
        <f>IFERROR(__xludf.DUMMYFUNCTION("""COMPUTED_VALUE"""),"vaid@rocketmail.com")</f>
        <v>vaid@rocketmail.com</v>
      </c>
      <c r="I98" s="55" t="str">
        <f>IFERROR(__xludf.DUMMYFUNCTION("""COMPUTED_VALUE"""),"Biotech Professional with Biochemistry and Genomics background and a Citizen Scientist")</f>
        <v>Biotech Professional with Biochemistry and Genomics background and a Citizen Scientist</v>
      </c>
      <c r="J98" s="55"/>
      <c r="K98" s="55" t="str">
        <f>IFERROR(__xludf.DUMMYFUNCTION("""COMPUTED_VALUE"""),"Clinical Actionability")</f>
        <v>Clinical Actionability</v>
      </c>
      <c r="L98" s="55"/>
      <c r="M98" s="55"/>
      <c r="N98" s="55"/>
      <c r="O98" s="55"/>
      <c r="P98" s="55"/>
      <c r="Q98" s="55"/>
      <c r="R98" s="55"/>
      <c r="S98" s="55"/>
      <c r="T98" s="55"/>
      <c r="U98" s="55"/>
      <c r="V98" s="55"/>
      <c r="W98" s="55"/>
      <c r="X98" s="55"/>
      <c r="Y98" s="55"/>
      <c r="Z98" s="55"/>
    </row>
    <row r="99">
      <c r="A99" s="55" t="str">
        <f>IFERROR(__xludf.DUMMYFUNCTION("""COMPUTED_VALUE"""),"Contacted")</f>
        <v>Contacted</v>
      </c>
      <c r="B99" s="55" t="str">
        <f>IFERROR(__xludf.DUMMYFUNCTION("""COMPUTED_VALUE"""),"")</f>
        <v/>
      </c>
      <c r="C99" s="104">
        <f>IFERROR(__xludf.DUMMYFUNCTION("""COMPUTED_VALUE"""),43598.0)</f>
        <v>43598</v>
      </c>
      <c r="D99" s="55" t="str">
        <f>IFERROR(__xludf.DUMMYFUNCTION("""COMPUTED_VALUE"""),"Yes")</f>
        <v>Yes</v>
      </c>
      <c r="E99" s="55" t="str">
        <f>IFERROR(__xludf.DUMMYFUNCTION("""COMPUTED_VALUE"""),"Somatic Cancer")</f>
        <v>Somatic Cancer</v>
      </c>
      <c r="F99" s="55" t="str">
        <f>IFERROR(__xludf.DUMMYFUNCTION("""COMPUTED_VALUE"""),"")</f>
        <v/>
      </c>
      <c r="G99" s="55" t="str">
        <f>IFERROR(__xludf.DUMMYFUNCTION("""COMPUTED_VALUE"""),"Ranjit Shetty")</f>
        <v>Ranjit Shetty</v>
      </c>
      <c r="H99" s="55" t="str">
        <f>IFERROR(__xludf.DUMMYFUNCTION("""COMPUTED_VALUE"""),"ranjit.shetty@novartis.com")</f>
        <v>ranjit.shetty@novartis.com</v>
      </c>
      <c r="I99" s="55" t="str">
        <f>IFERROR(__xludf.DUMMYFUNCTION("""COMPUTED_VALUE"""),"Scientific Researcher")</f>
        <v>Scientific Researcher</v>
      </c>
      <c r="J99" s="55"/>
      <c r="K99" s="55" t="str">
        <f>IFERROR(__xludf.DUMMYFUNCTION("""COMPUTED_VALUE"""),"Somatic Cancer")</f>
        <v>Somatic Cancer</v>
      </c>
      <c r="L99" s="55"/>
      <c r="M99" s="55"/>
      <c r="N99" s="55"/>
      <c r="O99" s="55"/>
      <c r="P99" s="55"/>
      <c r="Q99" s="55"/>
      <c r="R99" s="55"/>
      <c r="S99" s="55"/>
      <c r="T99" s="55"/>
      <c r="U99" s="55"/>
      <c r="V99" s="55"/>
      <c r="W99" s="55"/>
      <c r="X99" s="55"/>
      <c r="Y99" s="55"/>
      <c r="Z99" s="55"/>
    </row>
    <row r="100">
      <c r="A100" s="55" t="str">
        <f>IFERROR(__xludf.DUMMYFUNCTION("""COMPUTED_VALUE"""),"Contacted")</f>
        <v>Contacted</v>
      </c>
      <c r="B100" s="55" t="str">
        <f>IFERROR(__xludf.DUMMYFUNCTION("""COMPUTED_VALUE"""),"")</f>
        <v/>
      </c>
      <c r="C100" s="93">
        <f>IFERROR(__xludf.DUMMYFUNCTION("""COMPUTED_VALUE"""),43696.0)</f>
        <v>43696</v>
      </c>
      <c r="D100" s="55" t="str">
        <f>IFERROR(__xludf.DUMMYFUNCTION("""COMPUTED_VALUE"""),"Yes")</f>
        <v>Yes</v>
      </c>
      <c r="E100" s="55" t="str">
        <f>IFERROR(__xludf.DUMMYFUNCTION("""COMPUTED_VALUE"""),"Gene Disease Validity")</f>
        <v>Gene Disease Validity</v>
      </c>
      <c r="F100" s="55" t="str">
        <f>IFERROR(__xludf.DUMMYFUNCTION("""COMPUTED_VALUE"""),"")</f>
        <v/>
      </c>
      <c r="G100" s="55" t="str">
        <f>IFERROR(__xludf.DUMMYFUNCTION("""COMPUTED_VALUE"""),"Brooke H. Miller")</f>
        <v>Brooke H. Miller</v>
      </c>
      <c r="H100" s="55" t="str">
        <f>IFERROR(__xludf.DUMMYFUNCTION("""COMPUTED_VALUE"""),"brooke.h.miller@gmail.com")</f>
        <v>brooke.h.miller@gmail.com</v>
      </c>
      <c r="I100" s="55" t="str">
        <f>IFERROR(__xludf.DUMMYFUNCTION("""COMPUTED_VALUE"""),"Scientific Researcher")</f>
        <v>Scientific Researcher</v>
      </c>
      <c r="J100" s="55"/>
      <c r="K100" s="55" t="str">
        <f>IFERROR(__xludf.DUMMYFUNCTION("""COMPUTED_VALUE"""),"Gene-Disease Validity")</f>
        <v>Gene-Disease Validity</v>
      </c>
      <c r="L100" s="55"/>
      <c r="M100" s="55"/>
      <c r="N100" s="55"/>
      <c r="O100" s="55"/>
      <c r="P100" s="55"/>
      <c r="Q100" s="55"/>
      <c r="R100" s="55"/>
      <c r="S100" s="55"/>
      <c r="T100" s="55"/>
      <c r="U100" s="55"/>
      <c r="V100" s="55"/>
      <c r="W100" s="55"/>
      <c r="X100" s="55"/>
      <c r="Y100" s="55"/>
      <c r="Z100" s="55"/>
    </row>
    <row r="101">
      <c r="A101" s="55" t="str">
        <f>IFERROR(__xludf.DUMMYFUNCTION("""COMPUTED_VALUE"""),"Unresponsive")</f>
        <v>Unresponsive</v>
      </c>
      <c r="B101" s="55" t="str">
        <f>IFERROR(__xludf.DUMMYFUNCTION("""COMPUTED_VALUE"""),"")</f>
        <v/>
      </c>
      <c r="C101" s="55" t="str">
        <f>IFERROR(__xludf.DUMMYFUNCTION("""COMPUTED_VALUE"""),"")</f>
        <v/>
      </c>
      <c r="D101" s="55" t="str">
        <f>IFERROR(__xludf.DUMMYFUNCTION("""COMPUTED_VALUE"""),"No")</f>
        <v>No</v>
      </c>
      <c r="E101" s="55" t="str">
        <f>IFERROR(__xludf.DUMMYFUNCTION("""COMPUTED_VALUE"""),"Dosage Sensitivity")</f>
        <v>Dosage Sensitivity</v>
      </c>
      <c r="F101" s="55" t="str">
        <f>IFERROR(__xludf.DUMMYFUNCTION("""COMPUTED_VALUE"""),"")</f>
        <v/>
      </c>
      <c r="G101" s="55" t="str">
        <f>IFERROR(__xludf.DUMMYFUNCTION("""COMPUTED_VALUE"""),"Elizabeth Spiteri")</f>
        <v>Elizabeth Spiteri</v>
      </c>
      <c r="H101" s="55" t="str">
        <f>IFERROR(__xludf.DUMMYFUNCTION("""COMPUTED_VALUE"""),"espiteri@gmail.com")</f>
        <v>espiteri@gmail.com</v>
      </c>
      <c r="I101" s="55" t="str">
        <f>IFERROR(__xludf.DUMMYFUNCTION("""COMPUTED_VALUE"""),"Clinical laboratory geneticist")</f>
        <v>Clinical laboratory geneticist</v>
      </c>
      <c r="J101" s="55"/>
      <c r="K101" s="55" t="str">
        <f>IFERROR(__xludf.DUMMYFUNCTION("""COMPUTED_VALUE"""),"Dosage Sensitivity")</f>
        <v>Dosage Sensitivity</v>
      </c>
      <c r="L101" s="55"/>
      <c r="M101" s="55"/>
      <c r="N101" s="55"/>
      <c r="O101" s="55"/>
      <c r="P101" s="55"/>
      <c r="Q101" s="55"/>
      <c r="R101" s="55"/>
      <c r="S101" s="55"/>
      <c r="T101" s="55"/>
      <c r="U101" s="55"/>
      <c r="V101" s="55"/>
      <c r="W101" s="55"/>
      <c r="X101" s="55"/>
      <c r="Y101" s="55"/>
      <c r="Z101" s="55"/>
    </row>
    <row r="102">
      <c r="A102" s="55" t="str">
        <f>IFERROR(__xludf.DUMMYFUNCTION("""COMPUTED_VALUE"""),"Unresponsive")</f>
        <v>Unresponsive</v>
      </c>
      <c r="B102" s="55" t="str">
        <f>IFERROR(__xludf.DUMMYFUNCTION("""COMPUTED_VALUE"""),"")</f>
        <v/>
      </c>
      <c r="C102" s="55" t="str">
        <f>IFERROR(__xludf.DUMMYFUNCTION("""COMPUTED_VALUE"""),"")</f>
        <v/>
      </c>
      <c r="D102" s="55" t="str">
        <f>IFERROR(__xludf.DUMMYFUNCTION("""COMPUTED_VALUE"""),"No")</f>
        <v>No</v>
      </c>
      <c r="E102" s="55" t="str">
        <f>IFERROR(__xludf.DUMMYFUNCTION("""COMPUTED_VALUE"""),"Variant Pathogenicity")</f>
        <v>Variant Pathogenicity</v>
      </c>
      <c r="F102" s="55" t="str">
        <f>IFERROR(__xludf.DUMMYFUNCTION("""COMPUTED_VALUE"""),"")</f>
        <v/>
      </c>
      <c r="G102" s="55" t="str">
        <f>IFERROR(__xludf.DUMMYFUNCTION("""COMPUTED_VALUE"""),"Yasser Sullcahuaman")</f>
        <v>Yasser Sullcahuaman</v>
      </c>
      <c r="H102" s="55" t="str">
        <f>IFERROR(__xludf.DUMMYFUNCTION("""COMPUTED_VALUE"""),"ysullcahuaman@gmail.com")</f>
        <v>ysullcahuaman@gmail.com</v>
      </c>
      <c r="I102" s="55" t="str">
        <f>IFERROR(__xludf.DUMMYFUNCTION("""COMPUTED_VALUE"""),"Clinical Medical Geneticist")</f>
        <v>Clinical Medical Geneticist</v>
      </c>
      <c r="J102" s="55"/>
      <c r="K102" s="55" t="str">
        <f>IFERROR(__xludf.DUMMYFUNCTION("""COMPUTED_VALUE"""),"Variant Pathogenicity")</f>
        <v>Variant Pathogenicity</v>
      </c>
      <c r="L102" s="55"/>
      <c r="M102" s="55"/>
      <c r="N102" s="55"/>
      <c r="O102" s="55"/>
      <c r="P102" s="55"/>
      <c r="Q102" s="55"/>
      <c r="R102" s="55"/>
      <c r="S102" s="55"/>
      <c r="T102" s="55"/>
      <c r="U102" s="55"/>
      <c r="V102" s="55"/>
      <c r="W102" s="55"/>
      <c r="X102" s="55"/>
      <c r="Y102" s="55"/>
      <c r="Z102" s="55"/>
    </row>
    <row r="103">
      <c r="A103" s="55" t="str">
        <f>IFERROR(__xludf.DUMMYFUNCTION("""COMPUTED_VALUE"""),"Contacted")</f>
        <v>Contacted</v>
      </c>
      <c r="B103" s="55" t="str">
        <f>IFERROR(__xludf.DUMMYFUNCTION("""COMPUTED_VALUE"""),"")</f>
        <v/>
      </c>
      <c r="C103" s="104">
        <f>IFERROR(__xludf.DUMMYFUNCTION("""COMPUTED_VALUE"""),43581.0)</f>
        <v>43581</v>
      </c>
      <c r="D103" s="55" t="str">
        <f>IFERROR(__xludf.DUMMYFUNCTION("""COMPUTED_VALUE"""),"Yes")</f>
        <v>Yes</v>
      </c>
      <c r="E103" s="55" t="str">
        <f>IFERROR(__xludf.DUMMYFUNCTION("""COMPUTED_VALUE"""),"Somatic Cancer")</f>
        <v>Somatic Cancer</v>
      </c>
      <c r="F103" s="55" t="str">
        <f>IFERROR(__xludf.DUMMYFUNCTION("""COMPUTED_VALUE"""),"Pediatric cancer taskforce")</f>
        <v>Pediatric cancer taskforce</v>
      </c>
      <c r="G103" s="55" t="str">
        <f>IFERROR(__xludf.DUMMYFUNCTION("""COMPUTED_VALUE"""),"HUILING XU")</f>
        <v>HUILING XU</v>
      </c>
      <c r="H103" s="55" t="str">
        <f>IFERROR(__xludf.DUMMYFUNCTION("""COMPUTED_VALUE"""),"huiling.xu@petermac.org")</f>
        <v>huiling.xu@petermac.org</v>
      </c>
      <c r="I103" s="55" t="str">
        <f>IFERROR(__xludf.DUMMYFUNCTION("""COMPUTED_VALUE"""),"Variant Analyst/Scientist - Academic")</f>
        <v>Variant Analyst/Scientist - Academic</v>
      </c>
      <c r="J103" s="55"/>
      <c r="K103" s="55" t="str">
        <f>IFERROR(__xludf.DUMMYFUNCTION("""COMPUTED_VALUE"""),"Somatic Cancer")</f>
        <v>Somatic Cancer</v>
      </c>
      <c r="L103" s="55"/>
      <c r="M103" s="55"/>
      <c r="N103" s="55"/>
      <c r="O103" s="55"/>
      <c r="P103" s="55"/>
      <c r="Q103" s="55"/>
      <c r="R103" s="55"/>
      <c r="S103" s="55"/>
      <c r="T103" s="55"/>
      <c r="U103" s="55"/>
      <c r="V103" s="55"/>
      <c r="W103" s="55"/>
      <c r="X103" s="55"/>
      <c r="Y103" s="55"/>
      <c r="Z103" s="55"/>
    </row>
    <row r="104">
      <c r="A104" s="55" t="str">
        <f>IFERROR(__xludf.DUMMYFUNCTION("""COMPUTED_VALUE"""),"Contacted")</f>
        <v>Contacted</v>
      </c>
      <c r="B104" s="55" t="str">
        <f>IFERROR(__xludf.DUMMYFUNCTION("""COMPUTED_VALUE"""),"")</f>
        <v/>
      </c>
      <c r="C104" s="104">
        <f>IFERROR(__xludf.DUMMYFUNCTION("""COMPUTED_VALUE"""),43570.0)</f>
        <v>43570</v>
      </c>
      <c r="D104" s="55" t="str">
        <f>IFERROR(__xludf.DUMMYFUNCTION("""COMPUTED_VALUE"""),"Yes")</f>
        <v>Yes</v>
      </c>
      <c r="E104" s="55" t="str">
        <f>IFERROR(__xludf.DUMMYFUNCTION("""COMPUTED_VALUE"""),"Gene Disease Validity")</f>
        <v>Gene Disease Validity</v>
      </c>
      <c r="F104" s="55" t="str">
        <f>IFERROR(__xludf.DUMMYFUNCTION("""COMPUTED_VALUE"""),"Aminoacidopathy")</f>
        <v>Aminoacidopathy</v>
      </c>
      <c r="G104" s="55" t="str">
        <f>IFERROR(__xludf.DUMMYFUNCTION("""COMPUTED_VALUE"""),"Nilufar Inamdar")</f>
        <v>Nilufar Inamdar</v>
      </c>
      <c r="H104" s="55" t="str">
        <f>IFERROR(__xludf.DUMMYFUNCTION("""COMPUTED_VALUE"""),"inamdar555@yahoo.com")</f>
        <v>inamdar555@yahoo.com</v>
      </c>
      <c r="I104" s="55" t="str">
        <f>IFERROR(__xludf.DUMMYFUNCTION("""COMPUTED_VALUE"""),"Clinical laboratory geneticist")</f>
        <v>Clinical laboratory geneticist</v>
      </c>
      <c r="J104" s="55"/>
      <c r="K104" s="55" t="str">
        <f>IFERROR(__xludf.DUMMYFUNCTION("""COMPUTED_VALUE"""),"Gene-Disease Validity")</f>
        <v>Gene-Disease Validity</v>
      </c>
      <c r="L104" s="55"/>
      <c r="M104" s="55"/>
      <c r="N104" s="55"/>
      <c r="O104" s="55"/>
      <c r="P104" s="55"/>
      <c r="Q104" s="55"/>
      <c r="R104" s="55"/>
      <c r="S104" s="55"/>
      <c r="T104" s="55"/>
      <c r="U104" s="55"/>
      <c r="V104" s="55"/>
      <c r="W104" s="55"/>
      <c r="X104" s="55"/>
      <c r="Y104" s="55"/>
      <c r="Z104" s="55"/>
    </row>
    <row r="105">
      <c r="A105" s="55" t="str">
        <f>IFERROR(__xludf.DUMMYFUNCTION("""COMPUTED_VALUE"""),"Contacted")</f>
        <v>Contacted</v>
      </c>
      <c r="B105" s="55" t="str">
        <f>IFERROR(__xludf.DUMMYFUNCTION("""COMPUTED_VALUE"""),"")</f>
        <v/>
      </c>
      <c r="C105" s="94">
        <f>IFERROR(__xludf.DUMMYFUNCTION("""COMPUTED_VALUE"""),43608.0)</f>
        <v>43608</v>
      </c>
      <c r="D105" s="55" t="str">
        <f>IFERROR(__xludf.DUMMYFUNCTION("""COMPUTED_VALUE"""),"Yes")</f>
        <v>Yes</v>
      </c>
      <c r="E105" s="55" t="str">
        <f>IFERROR(__xludf.DUMMYFUNCTION("""COMPUTED_VALUE"""),"Variant Pathogenicity")</f>
        <v>Variant Pathogenicity</v>
      </c>
      <c r="F105" s="55" t="str">
        <f>IFERROR(__xludf.DUMMYFUNCTION("""COMPUTED_VALUE"""),"ACADVL")</f>
        <v>ACADVL</v>
      </c>
      <c r="G105" s="55" t="str">
        <f>IFERROR(__xludf.DUMMYFUNCTION("""COMPUTED_VALUE"""),"Michael McLachlan")</f>
        <v>Michael McLachlan</v>
      </c>
      <c r="H105" s="55" t="str">
        <f>IFERROR(__xludf.DUMMYFUNCTION("""COMPUTED_VALUE"""),"mikejmclachlan@gmail.com")</f>
        <v>mikejmclachlan@gmail.com</v>
      </c>
      <c r="I105" s="55" t="str">
        <f>IFERROR(__xludf.DUMMYFUNCTION("""COMPUTED_VALUE"""),"Scientific Researcher")</f>
        <v>Scientific Researcher</v>
      </c>
      <c r="J105" s="55"/>
      <c r="K105" s="55" t="str">
        <f>IFERROR(__xludf.DUMMYFUNCTION("""COMPUTED_VALUE"""),"Variant Pathogenicity")</f>
        <v>Variant Pathogenicity</v>
      </c>
      <c r="L105" s="55"/>
      <c r="M105" s="55"/>
      <c r="N105" s="55"/>
      <c r="O105" s="55"/>
      <c r="P105" s="55"/>
      <c r="Q105" s="55"/>
      <c r="R105" s="55"/>
      <c r="S105" s="55"/>
      <c r="T105" s="55"/>
      <c r="U105" s="55"/>
      <c r="V105" s="55"/>
      <c r="W105" s="55"/>
      <c r="X105" s="55"/>
      <c r="Y105" s="55"/>
      <c r="Z105" s="55"/>
    </row>
    <row r="106">
      <c r="A106" s="55" t="str">
        <f>IFERROR(__xludf.DUMMYFUNCTION("""COMPUTED_VALUE"""),"Unresponsive")</f>
        <v>Unresponsive</v>
      </c>
      <c r="B106" s="55" t="str">
        <f>IFERROR(__xludf.DUMMYFUNCTION("""COMPUTED_VALUE"""),"")</f>
        <v/>
      </c>
      <c r="C106" s="55" t="str">
        <f>IFERROR(__xludf.DUMMYFUNCTION("""COMPUTED_VALUE"""),"")</f>
        <v/>
      </c>
      <c r="D106" s="55" t="str">
        <f>IFERROR(__xludf.DUMMYFUNCTION("""COMPUTED_VALUE"""),"No")</f>
        <v>No</v>
      </c>
      <c r="E106" s="55" t="str">
        <f>IFERROR(__xludf.DUMMYFUNCTION("""COMPUTED_VALUE"""),"Gene Disease Validity")</f>
        <v>Gene Disease Validity</v>
      </c>
      <c r="F106" s="55" t="str">
        <f>IFERROR(__xludf.DUMMYFUNCTION("""COMPUTED_VALUE"""),"")</f>
        <v/>
      </c>
      <c r="G106" s="55" t="str">
        <f>IFERROR(__xludf.DUMMYFUNCTION("""COMPUTED_VALUE"""),"Anand Narayanan")</f>
        <v>Anand Narayanan</v>
      </c>
      <c r="H106" s="55" t="str">
        <f>IFERROR(__xludf.DUMMYFUNCTION("""COMPUTED_VALUE"""),"anandnpillai@gmail.com")</f>
        <v>anandnpillai@gmail.com</v>
      </c>
      <c r="I106" s="55" t="str">
        <f>IFERROR(__xludf.DUMMYFUNCTION("""COMPUTED_VALUE"""),"Post Doc/Resident/Fellow (MD and/or PhD)")</f>
        <v>Post Doc/Resident/Fellow (MD and/or PhD)</v>
      </c>
      <c r="J106" s="55"/>
      <c r="K106" s="55" t="str">
        <f>IFERROR(__xludf.DUMMYFUNCTION("""COMPUTED_VALUE"""),"Gene-Disease Validity")</f>
        <v>Gene-Disease Validity</v>
      </c>
      <c r="L106" s="55"/>
      <c r="M106" s="55"/>
      <c r="N106" s="55"/>
      <c r="O106" s="55"/>
      <c r="P106" s="55"/>
      <c r="Q106" s="55"/>
      <c r="R106" s="55"/>
      <c r="S106" s="55"/>
      <c r="T106" s="55"/>
      <c r="U106" s="55"/>
      <c r="V106" s="55"/>
      <c r="W106" s="55"/>
      <c r="X106" s="55"/>
      <c r="Y106" s="55"/>
      <c r="Z106" s="55"/>
    </row>
    <row r="107">
      <c r="A107" s="55" t="str">
        <f>IFERROR(__xludf.DUMMYFUNCTION("""COMPUTED_VALUE"""),"Contacted")</f>
        <v>Contacted</v>
      </c>
      <c r="B107" s="55" t="str">
        <f>IFERROR(__xludf.DUMMYFUNCTION("""COMPUTED_VALUE"""),"")</f>
        <v/>
      </c>
      <c r="C107" s="93">
        <f>IFERROR(__xludf.DUMMYFUNCTION("""COMPUTED_VALUE"""),43585.0)</f>
        <v>43585</v>
      </c>
      <c r="D107" s="55" t="str">
        <f>IFERROR(__xludf.DUMMYFUNCTION("""COMPUTED_VALUE"""),"Yes")</f>
        <v>Yes</v>
      </c>
      <c r="E107" s="55" t="str">
        <f>IFERROR(__xludf.DUMMYFUNCTION("""COMPUTED_VALUE"""),"Gene Disease Validity")</f>
        <v>Gene Disease Validity</v>
      </c>
      <c r="F107" s="55" t="str">
        <f>IFERROR(__xludf.DUMMYFUNCTION("""COMPUTED_VALUE"""),"")</f>
        <v/>
      </c>
      <c r="G107" s="55" t="str">
        <f>IFERROR(__xludf.DUMMYFUNCTION("""COMPUTED_VALUE"""),"Urjit Patel")</f>
        <v>Urjit Patel</v>
      </c>
      <c r="H107" s="55" t="str">
        <f>IFERROR(__xludf.DUMMYFUNCTION("""COMPUTED_VALUE"""),"urjit.x.patel@questdiagnostics.com")</f>
        <v>urjit.x.patel@questdiagnostics.com</v>
      </c>
      <c r="I107" s="55" t="str">
        <f>IFERROR(__xludf.DUMMYFUNCTION("""COMPUTED_VALUE"""),"Variant Analyst/Scientist - Industry")</f>
        <v>Variant Analyst/Scientist - Industry</v>
      </c>
      <c r="J107" s="55"/>
      <c r="K107" s="55" t="str">
        <f>IFERROR(__xludf.DUMMYFUNCTION("""COMPUTED_VALUE"""),"Gene-Disease Validity")</f>
        <v>Gene-Disease Validity</v>
      </c>
      <c r="L107" s="55"/>
      <c r="M107" s="55"/>
      <c r="N107" s="55"/>
      <c r="O107" s="55"/>
      <c r="P107" s="55"/>
      <c r="Q107" s="55"/>
      <c r="R107" s="55"/>
      <c r="S107" s="55"/>
      <c r="T107" s="55"/>
      <c r="U107" s="55"/>
      <c r="V107" s="55"/>
      <c r="W107" s="55"/>
      <c r="X107" s="55"/>
      <c r="Y107" s="55"/>
      <c r="Z107" s="55"/>
    </row>
    <row r="108">
      <c r="A108" s="55" t="str">
        <f>IFERROR(__xludf.DUMMYFUNCTION("""COMPUTED_VALUE"""),"Unresponsive")</f>
        <v>Unresponsive</v>
      </c>
      <c r="B108" s="55" t="str">
        <f>IFERROR(__xludf.DUMMYFUNCTION("""COMPUTED_VALUE"""),"")</f>
        <v/>
      </c>
      <c r="C108" s="105">
        <f>IFERROR(__xludf.DUMMYFUNCTION("""COMPUTED_VALUE"""),43567.0)</f>
        <v>43567</v>
      </c>
      <c r="D108" s="55" t="str">
        <f>IFERROR(__xludf.DUMMYFUNCTION("""COMPUTED_VALUE"""),"Yes")</f>
        <v>Yes</v>
      </c>
      <c r="E108" s="55" t="str">
        <f>IFERROR(__xludf.DUMMYFUNCTION("""COMPUTED_VALUE"""),"Actionability")</f>
        <v>Actionability</v>
      </c>
      <c r="F108" s="55" t="str">
        <f>IFERROR(__xludf.DUMMYFUNCTION("""COMPUTED_VALUE"""),"Actionability")</f>
        <v>Actionability</v>
      </c>
      <c r="G108" s="55" t="str">
        <f>IFERROR(__xludf.DUMMYFUNCTION("""COMPUTED_VALUE"""),"Lesley Northrop")</f>
        <v>Lesley Northrop</v>
      </c>
      <c r="H108" s="55" t="str">
        <f>IFERROR(__xludf.DUMMYFUNCTION("""COMPUTED_VALUE"""),"lesleyenorthrop@gmail.com")</f>
        <v>lesleyenorthrop@gmail.com</v>
      </c>
      <c r="I108" s="55" t="str">
        <f>IFERROR(__xludf.DUMMYFUNCTION("""COMPUTED_VALUE"""),"Clinical laboratory geneticist")</f>
        <v>Clinical laboratory geneticist</v>
      </c>
      <c r="J108" s="55"/>
      <c r="K108" s="55" t="str">
        <f>IFERROR(__xludf.DUMMYFUNCTION("""COMPUTED_VALUE"""),"Clinical Actionability")</f>
        <v>Clinical Actionability</v>
      </c>
      <c r="L108" s="55"/>
      <c r="M108" s="55"/>
      <c r="N108" s="55"/>
      <c r="O108" s="55"/>
      <c r="P108" s="55"/>
      <c r="Q108" s="55"/>
      <c r="R108" s="55"/>
      <c r="S108" s="55"/>
      <c r="T108" s="55"/>
      <c r="U108" s="55"/>
      <c r="V108" s="55"/>
      <c r="W108" s="55"/>
      <c r="X108" s="55"/>
      <c r="Y108" s="55"/>
      <c r="Z108" s="55"/>
    </row>
    <row r="109">
      <c r="A109" s="55" t="str">
        <f>IFERROR(__xludf.DUMMYFUNCTION("""COMPUTED_VALUE"""),"Unresponsive")</f>
        <v>Unresponsive</v>
      </c>
      <c r="B109" s="55" t="str">
        <f>IFERROR(__xludf.DUMMYFUNCTION("""COMPUTED_VALUE"""),"")</f>
        <v/>
      </c>
      <c r="C109" s="55" t="str">
        <f>IFERROR(__xludf.DUMMYFUNCTION("""COMPUTED_VALUE"""),"")</f>
        <v/>
      </c>
      <c r="D109" s="55" t="str">
        <f>IFERROR(__xludf.DUMMYFUNCTION("""COMPUTED_VALUE"""),"No")</f>
        <v>No</v>
      </c>
      <c r="E109" s="55" t="str">
        <f>IFERROR(__xludf.DUMMYFUNCTION("""COMPUTED_VALUE"""),"Dosage Sensitivity")</f>
        <v>Dosage Sensitivity</v>
      </c>
      <c r="F109" s="55" t="str">
        <f>IFERROR(__xludf.DUMMYFUNCTION("""COMPUTED_VALUE"""),"")</f>
        <v/>
      </c>
      <c r="G109" s="55" t="str">
        <f>IFERROR(__xludf.DUMMYFUNCTION("""COMPUTED_VALUE"""),"Hafsa Amtul")</f>
        <v>Hafsa Amtul</v>
      </c>
      <c r="H109" s="55" t="str">
        <f>IFERROR(__xludf.DUMMYFUNCTION("""COMPUTED_VALUE"""),"hafsa.amtul2502@gmail.com")</f>
        <v>hafsa.amtul2502@gmail.com</v>
      </c>
      <c r="I109" s="55" t="str">
        <f>IFERROR(__xludf.DUMMYFUNCTION("""COMPUTED_VALUE"""),"Scientific Researcher")</f>
        <v>Scientific Researcher</v>
      </c>
      <c r="J109" s="55"/>
      <c r="K109" s="55" t="str">
        <f>IFERROR(__xludf.DUMMYFUNCTION("""COMPUTED_VALUE"""),"Dosage Sensitivity")</f>
        <v>Dosage Sensitivity</v>
      </c>
      <c r="L109" s="55"/>
      <c r="M109" s="55"/>
      <c r="N109" s="55"/>
      <c r="O109" s="55"/>
      <c r="P109" s="55"/>
      <c r="Q109" s="55"/>
      <c r="R109" s="55"/>
      <c r="S109" s="55"/>
      <c r="T109" s="55"/>
      <c r="U109" s="55"/>
      <c r="V109" s="55"/>
      <c r="W109" s="55"/>
      <c r="X109" s="55"/>
      <c r="Y109" s="55"/>
      <c r="Z109" s="55"/>
    </row>
    <row r="110">
      <c r="A110" s="55" t="str">
        <f>IFERROR(__xludf.DUMMYFUNCTION("""COMPUTED_VALUE"""),"Contacted")</f>
        <v>Contacted</v>
      </c>
      <c r="B110" s="55" t="str">
        <f>IFERROR(__xludf.DUMMYFUNCTION("""COMPUTED_VALUE"""),"")</f>
        <v/>
      </c>
      <c r="C110" s="104">
        <f>IFERROR(__xludf.DUMMYFUNCTION("""COMPUTED_VALUE"""),43570.0)</f>
        <v>43570</v>
      </c>
      <c r="D110" s="55" t="str">
        <f>IFERROR(__xludf.DUMMYFUNCTION("""COMPUTED_VALUE"""),"Yes")</f>
        <v>Yes</v>
      </c>
      <c r="E110" s="55" t="str">
        <f>IFERROR(__xludf.DUMMYFUNCTION("""COMPUTED_VALUE"""),"Gene Disease Validity")</f>
        <v>Gene Disease Validity</v>
      </c>
      <c r="F110" s="55" t="str">
        <f>IFERROR(__xludf.DUMMYFUNCTION("""COMPUTED_VALUE"""),"Epilepsy")</f>
        <v>Epilepsy</v>
      </c>
      <c r="G110" s="55" t="str">
        <f>IFERROR(__xludf.DUMMYFUNCTION("""COMPUTED_VALUE"""),"Angela Pickart")</f>
        <v>Angela Pickart</v>
      </c>
      <c r="H110" s="55" t="str">
        <f>IFERROR(__xludf.DUMMYFUNCTION("""COMPUTED_VALUE"""),"pickart.angela@mayo.edu")</f>
        <v>pickart.angela@mayo.edu</v>
      </c>
      <c r="I110" s="55" t="str">
        <f>IFERROR(__xludf.DUMMYFUNCTION("""COMPUTED_VALUE"""),"Genetic counselor")</f>
        <v>Genetic counselor</v>
      </c>
      <c r="J110" s="55"/>
      <c r="K110" s="55" t="str">
        <f>IFERROR(__xludf.DUMMYFUNCTION("""COMPUTED_VALUE"""),"Gene-Disease Validity")</f>
        <v>Gene-Disease Validity</v>
      </c>
      <c r="L110" s="55"/>
      <c r="M110" s="55"/>
      <c r="N110" s="55"/>
      <c r="O110" s="55"/>
      <c r="P110" s="55"/>
      <c r="Q110" s="55"/>
      <c r="R110" s="55"/>
      <c r="S110" s="55"/>
      <c r="T110" s="55"/>
      <c r="U110" s="55"/>
      <c r="V110" s="55"/>
      <c r="W110" s="55"/>
      <c r="X110" s="55"/>
      <c r="Y110" s="55"/>
      <c r="Z110" s="55"/>
    </row>
    <row r="111">
      <c r="A111" s="55" t="str">
        <f>IFERROR(__xludf.DUMMYFUNCTION("""COMPUTED_VALUE"""),"Assigned")</f>
        <v>Assigned</v>
      </c>
      <c r="B111" s="55" t="str">
        <f>IFERROR(__xludf.DUMMYFUNCTION("""COMPUTED_VALUE"""),"")</f>
        <v/>
      </c>
      <c r="C111" s="93">
        <f>IFERROR(__xludf.DUMMYFUNCTION("""COMPUTED_VALUE"""),43605.0)</f>
        <v>43605</v>
      </c>
      <c r="D111" s="55" t="str">
        <f>IFERROR(__xludf.DUMMYFUNCTION("""COMPUTED_VALUE"""),"Yes")</f>
        <v>Yes</v>
      </c>
      <c r="E111" s="55" t="str">
        <f>IFERROR(__xludf.DUMMYFUNCTION("""COMPUTED_VALUE"""),"Variant Pathogenicity")</f>
        <v>Variant Pathogenicity</v>
      </c>
      <c r="F111" s="55" t="str">
        <f>IFERROR(__xludf.DUMMYFUNCTION("""COMPUTED_VALUE"""),"Storage Disease")</f>
        <v>Storage Disease</v>
      </c>
      <c r="G111" s="55" t="str">
        <f>IFERROR(__xludf.DUMMYFUNCTION("""COMPUTED_VALUE"""),"Jing Xie")</f>
        <v>Jing Xie</v>
      </c>
      <c r="H111" s="55" t="str">
        <f>IFERROR(__xludf.DUMMYFUNCTION("""COMPUTED_VALUE"""),"jingxiegene@gmail.com")</f>
        <v>jingxiegene@gmail.com</v>
      </c>
      <c r="I111" s="55" t="str">
        <f>IFERROR(__xludf.DUMMYFUNCTION("""COMPUTED_VALUE"""),"Clinical laboratory geneticist")</f>
        <v>Clinical laboratory geneticist</v>
      </c>
      <c r="J111" s="55"/>
      <c r="K111" s="55" t="str">
        <f>IFERROR(__xludf.DUMMYFUNCTION("""COMPUTED_VALUE"""),"Variant Pathogenicity")</f>
        <v>Variant Pathogenicity</v>
      </c>
      <c r="L111" s="55"/>
      <c r="M111" s="55"/>
      <c r="N111" s="55"/>
      <c r="O111" s="55"/>
      <c r="P111" s="55"/>
      <c r="Q111" s="55"/>
      <c r="R111" s="55"/>
      <c r="S111" s="55"/>
      <c r="T111" s="55"/>
      <c r="U111" s="55"/>
      <c r="V111" s="55"/>
      <c r="W111" s="55"/>
      <c r="X111" s="55"/>
      <c r="Y111" s="55"/>
      <c r="Z111" s="55"/>
    </row>
    <row r="112">
      <c r="A112" s="55" t="str">
        <f>IFERROR(__xludf.DUMMYFUNCTION("""COMPUTED_VALUE"""),"Contacted")</f>
        <v>Contacted</v>
      </c>
      <c r="B112" s="55" t="str">
        <f>IFERROR(__xludf.DUMMYFUNCTION("""COMPUTED_VALUE"""),"")</f>
        <v/>
      </c>
      <c r="C112" s="93">
        <f>IFERROR(__xludf.DUMMYFUNCTION("""COMPUTED_VALUE"""),43605.0)</f>
        <v>43605</v>
      </c>
      <c r="D112" s="55" t="str">
        <f>IFERROR(__xludf.DUMMYFUNCTION("""COMPUTED_VALUE"""),"Yes")</f>
        <v>Yes</v>
      </c>
      <c r="E112" s="55" t="str">
        <f>IFERROR(__xludf.DUMMYFUNCTION("""COMPUTED_VALUE"""),"Variant Pathogenicity")</f>
        <v>Variant Pathogenicity</v>
      </c>
      <c r="F112" s="55" t="str">
        <f>IFERROR(__xludf.DUMMYFUNCTION("""COMPUTED_VALUE"""),"RASopathy")</f>
        <v>RASopathy</v>
      </c>
      <c r="G112" s="55" t="str">
        <f>IFERROR(__xludf.DUMMYFUNCTION("""COMPUTED_VALUE"""),"Kathryn Kronquist")</f>
        <v>Kathryn Kronquist</v>
      </c>
      <c r="H112" s="55" t="str">
        <f>IFERROR(__xludf.DUMMYFUNCTION("""COMPUTED_VALUE"""),"Kathryn.Kronquist@childrenscolorado.org")</f>
        <v>Kathryn.Kronquist@childrenscolorado.org</v>
      </c>
      <c r="I112" s="55" t="str">
        <f>IFERROR(__xludf.DUMMYFUNCTION("""COMPUTED_VALUE"""),"Clinical laboratory geneticist")</f>
        <v>Clinical laboratory geneticist</v>
      </c>
      <c r="J112" s="55"/>
      <c r="K112" s="55" t="str">
        <f>IFERROR(__xludf.DUMMYFUNCTION("""COMPUTED_VALUE"""),"Variant Pathogenicity")</f>
        <v>Variant Pathogenicity</v>
      </c>
      <c r="L112" s="55"/>
      <c r="M112" s="55"/>
      <c r="N112" s="55"/>
      <c r="O112" s="55"/>
      <c r="P112" s="55"/>
      <c r="Q112" s="55"/>
      <c r="R112" s="55"/>
      <c r="S112" s="55"/>
      <c r="T112" s="55"/>
      <c r="U112" s="55"/>
      <c r="V112" s="55"/>
      <c r="W112" s="55"/>
      <c r="X112" s="55"/>
      <c r="Y112" s="55"/>
      <c r="Z112" s="55"/>
    </row>
    <row r="113">
      <c r="A113" s="55" t="str">
        <f>IFERROR(__xludf.DUMMYFUNCTION("""COMPUTED_VALUE"""),"Contacted")</f>
        <v>Contacted</v>
      </c>
      <c r="B113" s="55" t="str">
        <f>IFERROR(__xludf.DUMMYFUNCTION("""COMPUTED_VALUE"""),"")</f>
        <v/>
      </c>
      <c r="C113" s="55" t="str">
        <f>IFERROR(__xludf.DUMMYFUNCTION("""COMPUTED_VALUE"""),"")</f>
        <v/>
      </c>
      <c r="D113" s="55" t="str">
        <f>IFERROR(__xludf.DUMMYFUNCTION("""COMPUTED_VALUE"""),"No")</f>
        <v>No</v>
      </c>
      <c r="E113" s="55" t="str">
        <f>IFERROR(__xludf.DUMMYFUNCTION("""COMPUTED_VALUE"""),"Baseline")</f>
        <v>Baseline</v>
      </c>
      <c r="F113" s="55" t="str">
        <f>IFERROR(__xludf.DUMMYFUNCTION("""COMPUTED_VALUE"""),"")</f>
        <v/>
      </c>
      <c r="G113" s="55" t="str">
        <f>IFERROR(__xludf.DUMMYFUNCTION("""COMPUTED_VALUE"""),"Kristen L Deak")</f>
        <v>Kristen L Deak</v>
      </c>
      <c r="H113" s="55" t="str">
        <f>IFERROR(__xludf.DUMMYFUNCTION("""COMPUTED_VALUE"""),"kristen.deak@duke.edu")</f>
        <v>kristen.deak@duke.edu</v>
      </c>
      <c r="I113" s="55" t="str">
        <f>IFERROR(__xludf.DUMMYFUNCTION("""COMPUTED_VALUE"""),"Clinical laboratory geneticist")</f>
        <v>Clinical laboratory geneticist</v>
      </c>
      <c r="J113" s="55"/>
      <c r="K113" s="55" t="str">
        <f>IFERROR(__xludf.DUMMYFUNCTION("""COMPUTED_VALUE"""),"Variant Pathogenicity")</f>
        <v>Variant Pathogenicity</v>
      </c>
      <c r="L113" s="55"/>
      <c r="M113" s="55"/>
      <c r="N113" s="55"/>
      <c r="O113" s="55"/>
      <c r="P113" s="55"/>
      <c r="Q113" s="55"/>
      <c r="R113" s="55"/>
      <c r="S113" s="55"/>
      <c r="T113" s="55"/>
      <c r="U113" s="55"/>
      <c r="V113" s="55"/>
      <c r="W113" s="55"/>
      <c r="X113" s="55"/>
      <c r="Y113" s="55"/>
      <c r="Z113" s="55"/>
    </row>
    <row r="114">
      <c r="A114" s="55" t="str">
        <f>IFERROR(__xludf.DUMMYFUNCTION("""COMPUTED_VALUE"""),"Contacted")</f>
        <v>Contacted</v>
      </c>
      <c r="B114" s="55" t="str">
        <f>IFERROR(__xludf.DUMMYFUNCTION("""COMPUTED_VALUE"""),"")</f>
        <v/>
      </c>
      <c r="C114" s="104">
        <f>IFERROR(__xludf.DUMMYFUNCTION("""COMPUTED_VALUE"""),43581.0)</f>
        <v>43581</v>
      </c>
      <c r="D114" s="55" t="str">
        <f>IFERROR(__xludf.DUMMYFUNCTION("""COMPUTED_VALUE"""),"Yes")</f>
        <v>Yes</v>
      </c>
      <c r="E114" s="55" t="str">
        <f>IFERROR(__xludf.DUMMYFUNCTION("""COMPUTED_VALUE"""),"Somatic Cancer")</f>
        <v>Somatic Cancer</v>
      </c>
      <c r="F114" s="55" t="str">
        <f>IFERROR(__xludf.DUMMYFUNCTION("""COMPUTED_VALUE"""),"")</f>
        <v/>
      </c>
      <c r="G114" s="55" t="str">
        <f>IFERROR(__xludf.DUMMYFUNCTION("""COMPUTED_VALUE"""),"Venkataswamy Eswarachari")</f>
        <v>Venkataswamy Eswarachari</v>
      </c>
      <c r="H114" s="55" t="str">
        <f>IFERROR(__xludf.DUMMYFUNCTION("""COMPUTED_VALUE"""),"venkataswamy@medgenome.com")</f>
        <v>venkataswamy@medgenome.com</v>
      </c>
      <c r="I114" s="55" t="str">
        <f>IFERROR(__xludf.DUMMYFUNCTION("""COMPUTED_VALUE"""),"Clinical laboratory geneticist")</f>
        <v>Clinical laboratory geneticist</v>
      </c>
      <c r="J114" s="55"/>
      <c r="K114" s="55" t="str">
        <f>IFERROR(__xludf.DUMMYFUNCTION("""COMPUTED_VALUE"""),"Somatic Cancer")</f>
        <v>Somatic Cancer</v>
      </c>
      <c r="L114" s="55"/>
      <c r="M114" s="55"/>
      <c r="N114" s="55"/>
      <c r="O114" s="55"/>
      <c r="P114" s="55"/>
      <c r="Q114" s="55"/>
      <c r="R114" s="55"/>
      <c r="S114" s="55"/>
      <c r="T114" s="55"/>
      <c r="U114" s="55"/>
      <c r="V114" s="55"/>
      <c r="W114" s="55"/>
      <c r="X114" s="55"/>
      <c r="Y114" s="55"/>
      <c r="Z114" s="55"/>
    </row>
    <row r="115">
      <c r="A115" s="55" t="str">
        <f>IFERROR(__xludf.DUMMYFUNCTION("""COMPUTED_VALUE"""),"Assigned")</f>
        <v>Assigned</v>
      </c>
      <c r="B115" s="55" t="str">
        <f>IFERROR(__xludf.DUMMYFUNCTION("""COMPUTED_VALUE"""),"")</f>
        <v/>
      </c>
      <c r="C115" s="94">
        <f>IFERROR(__xludf.DUMMYFUNCTION("""COMPUTED_VALUE"""),43626.0)</f>
        <v>43626</v>
      </c>
      <c r="D115" s="55" t="str">
        <f>IFERROR(__xludf.DUMMYFUNCTION("""COMPUTED_VALUE"""),"Yes")</f>
        <v>Yes</v>
      </c>
      <c r="E115" s="55" t="str">
        <f>IFERROR(__xludf.DUMMYFUNCTION("""COMPUTED_VALUE"""),"Variant Pathogenicity")</f>
        <v>Variant Pathogenicity</v>
      </c>
      <c r="F115" s="55" t="str">
        <f>IFERROR(__xludf.DUMMYFUNCTION("""COMPUTED_VALUE"""),"Hearing Loss")</f>
        <v>Hearing Loss</v>
      </c>
      <c r="G115" s="55" t="str">
        <f>IFERROR(__xludf.DUMMYFUNCTION("""COMPUTED_VALUE"""),"Barbara Vona")</f>
        <v>Barbara Vona</v>
      </c>
      <c r="H115" s="55" t="str">
        <f>IFERROR(__xludf.DUMMYFUNCTION("""COMPUTED_VALUE"""),"barbara.vona@uni-tuebingen.de")</f>
        <v>barbara.vona@uni-tuebingen.de</v>
      </c>
      <c r="I115" s="55" t="str">
        <f>IFERROR(__xludf.DUMMYFUNCTION("""COMPUTED_VALUE"""),"Half variant analyst, half scientific researcher")</f>
        <v>Half variant analyst, half scientific researcher</v>
      </c>
      <c r="J115" s="55"/>
      <c r="K115" s="55" t="str">
        <f>IFERROR(__xludf.DUMMYFUNCTION("""COMPUTED_VALUE"""),"Variant Pathogenicity")</f>
        <v>Variant Pathogenicity</v>
      </c>
      <c r="L115" s="55"/>
      <c r="M115" s="55"/>
      <c r="N115" s="55"/>
      <c r="O115" s="55"/>
      <c r="P115" s="55"/>
      <c r="Q115" s="55"/>
      <c r="R115" s="55"/>
      <c r="S115" s="55"/>
      <c r="T115" s="55"/>
      <c r="U115" s="55"/>
      <c r="V115" s="55"/>
      <c r="W115" s="55"/>
      <c r="X115" s="55"/>
      <c r="Y115" s="55"/>
      <c r="Z115" s="55"/>
    </row>
    <row r="116">
      <c r="A116" s="55" t="str">
        <f>IFERROR(__xludf.DUMMYFUNCTION("""COMPUTED_VALUE"""),"Assigned")</f>
        <v>Assigned</v>
      </c>
      <c r="B116" s="55" t="str">
        <f>IFERROR(__xludf.DUMMYFUNCTION("""COMPUTED_VALUE"""),"")</f>
        <v/>
      </c>
      <c r="C116" s="93">
        <f>IFERROR(__xludf.DUMMYFUNCTION("""COMPUTED_VALUE"""),43605.0)</f>
        <v>43605</v>
      </c>
      <c r="D116" s="55" t="str">
        <f>IFERROR(__xludf.DUMMYFUNCTION("""COMPUTED_VALUE"""),"Yes")</f>
        <v>Yes</v>
      </c>
      <c r="E116" s="55" t="str">
        <f>IFERROR(__xludf.DUMMYFUNCTION("""COMPUTED_VALUE"""),"Variant Pathogenicity")</f>
        <v>Variant Pathogenicity</v>
      </c>
      <c r="F116" s="55" t="str">
        <f>IFERROR(__xludf.DUMMYFUNCTION("""COMPUTED_VALUE"""),"PAH")</f>
        <v>PAH</v>
      </c>
      <c r="G116" s="55" t="str">
        <f>IFERROR(__xludf.DUMMYFUNCTION("""COMPUTED_VALUE"""),"Viridiana Murillo")</f>
        <v>Viridiana Murillo</v>
      </c>
      <c r="H116" s="55" t="str">
        <f>IFERROR(__xludf.DUMMYFUNCTION("""COMPUTED_VALUE"""),"vmurillo18@students.kgi.edu")</f>
        <v>vmurillo18@students.kgi.edu</v>
      </c>
      <c r="I116" s="55" t="str">
        <f>IFERROR(__xludf.DUMMYFUNCTION("""COMPUTED_VALUE"""),"Graduate Student")</f>
        <v>Graduate Student</v>
      </c>
      <c r="J116" s="55"/>
      <c r="K116" s="55" t="str">
        <f>IFERROR(__xludf.DUMMYFUNCTION("""COMPUTED_VALUE"""),"Variant Pathogenicity")</f>
        <v>Variant Pathogenicity</v>
      </c>
      <c r="L116" s="55"/>
      <c r="M116" s="55"/>
      <c r="N116" s="55"/>
      <c r="O116" s="55"/>
      <c r="P116" s="55"/>
      <c r="Q116" s="55"/>
      <c r="R116" s="55"/>
      <c r="S116" s="55"/>
      <c r="T116" s="55"/>
      <c r="U116" s="55"/>
      <c r="V116" s="55"/>
      <c r="W116" s="55"/>
      <c r="X116" s="55"/>
      <c r="Y116" s="55"/>
      <c r="Z116" s="55"/>
    </row>
    <row r="117">
      <c r="A117" s="55" t="str">
        <f>IFERROR(__xludf.DUMMYFUNCTION("""COMPUTED_VALUE"""),"Unresponsive")</f>
        <v>Unresponsive</v>
      </c>
      <c r="B117" s="55" t="str">
        <f>IFERROR(__xludf.DUMMYFUNCTION("""COMPUTED_VALUE"""),"")</f>
        <v/>
      </c>
      <c r="C117" s="93">
        <f>IFERROR(__xludf.DUMMYFUNCTION("""COMPUTED_VALUE"""),43605.0)</f>
        <v>43605</v>
      </c>
      <c r="D117" s="55" t="str">
        <f>IFERROR(__xludf.DUMMYFUNCTION("""COMPUTED_VALUE"""),"Yes")</f>
        <v>Yes</v>
      </c>
      <c r="E117" s="55" t="str">
        <f>IFERROR(__xludf.DUMMYFUNCTION("""COMPUTED_VALUE"""),"Variant Pathogenicity")</f>
        <v>Variant Pathogenicity</v>
      </c>
      <c r="F117" s="55" t="str">
        <f>IFERROR(__xludf.DUMMYFUNCTION("""COMPUTED_VALUE"""),"")</f>
        <v/>
      </c>
      <c r="G117" s="55" t="str">
        <f>IFERROR(__xludf.DUMMYFUNCTION("""COMPUTED_VALUE"""),"Sharon Suchy")</f>
        <v>Sharon Suchy</v>
      </c>
      <c r="H117" s="55" t="str">
        <f>IFERROR(__xludf.DUMMYFUNCTION("""COMPUTED_VALUE"""),"ssuchy@genedx.com")</f>
        <v>ssuchy@genedx.com</v>
      </c>
      <c r="I117" s="55" t="str">
        <f>IFERROR(__xludf.DUMMYFUNCTION("""COMPUTED_VALUE"""),"Clinical laboratory geneticist")</f>
        <v>Clinical laboratory geneticist</v>
      </c>
      <c r="J117" s="55"/>
      <c r="K117" s="55" t="str">
        <f>IFERROR(__xludf.DUMMYFUNCTION("""COMPUTED_VALUE"""),"Variant Pathogenicity")</f>
        <v>Variant Pathogenicity</v>
      </c>
      <c r="L117" s="55"/>
      <c r="M117" s="55"/>
      <c r="N117" s="55"/>
      <c r="O117" s="55"/>
      <c r="P117" s="55"/>
      <c r="Q117" s="55"/>
      <c r="R117" s="55"/>
      <c r="S117" s="55"/>
      <c r="T117" s="55"/>
      <c r="U117" s="55"/>
      <c r="V117" s="55"/>
      <c r="W117" s="55"/>
      <c r="X117" s="55"/>
      <c r="Y117" s="55"/>
      <c r="Z117" s="55"/>
    </row>
    <row r="118">
      <c r="A118" s="55" t="str">
        <f>IFERROR(__xludf.DUMMYFUNCTION("""COMPUTED_VALUE"""),"Contacted")</f>
        <v>Contacted</v>
      </c>
      <c r="B118" s="55" t="str">
        <f>IFERROR(__xludf.DUMMYFUNCTION("""COMPUTED_VALUE"""),"8/12/19, 12/20/19")</f>
        <v>8/12/19, 12/20/19</v>
      </c>
      <c r="C118" s="55" t="str">
        <f>IFERROR(__xludf.DUMMYFUNCTION("""COMPUTED_VALUE"""),"")</f>
        <v/>
      </c>
      <c r="D118" s="55" t="str">
        <f>IFERROR(__xludf.DUMMYFUNCTION("""COMPUTED_VALUE"""),"No")</f>
        <v>No</v>
      </c>
      <c r="E118" s="55" t="str">
        <f>IFERROR(__xludf.DUMMYFUNCTION("""COMPUTED_VALUE"""),"Gene Disease Validity")</f>
        <v>Gene Disease Validity</v>
      </c>
      <c r="F118" s="55" t="str">
        <f>IFERROR(__xludf.DUMMYFUNCTION("""COMPUTED_VALUE"""),"")</f>
        <v/>
      </c>
      <c r="G118" s="55" t="str">
        <f>IFERROR(__xludf.DUMMYFUNCTION("""COMPUTED_VALUE"""),"GIFTY BHAT")</f>
        <v>GIFTY BHAT</v>
      </c>
      <c r="H118" s="55" t="str">
        <f>IFERROR(__xludf.DUMMYFUNCTION("""COMPUTED_VALUE"""),"drgiftybhat@gmail.com")</f>
        <v>drgiftybhat@gmail.com</v>
      </c>
      <c r="I118" s="55" t="str">
        <f>IFERROR(__xludf.DUMMYFUNCTION("""COMPUTED_VALUE"""),"Clinical Medical Geneticist")</f>
        <v>Clinical Medical Geneticist</v>
      </c>
      <c r="J118" s="55"/>
      <c r="K118" s="55" t="str">
        <f>IFERROR(__xludf.DUMMYFUNCTION("""COMPUTED_VALUE"""),"Gene-Disease Validity")</f>
        <v>Gene-Disease Validity</v>
      </c>
      <c r="L118" s="55"/>
      <c r="M118" s="55"/>
      <c r="N118" s="55"/>
      <c r="O118" s="55"/>
      <c r="P118" s="55"/>
      <c r="Q118" s="55"/>
      <c r="R118" s="55"/>
      <c r="S118" s="55"/>
      <c r="T118" s="55"/>
      <c r="U118" s="55"/>
      <c r="V118" s="55"/>
      <c r="W118" s="55"/>
      <c r="X118" s="55"/>
      <c r="Y118" s="55"/>
      <c r="Z118" s="55"/>
    </row>
    <row r="119">
      <c r="A119" s="55" t="str">
        <f>IFERROR(__xludf.DUMMYFUNCTION("""COMPUTED_VALUE"""),"Assigned")</f>
        <v>Assigned</v>
      </c>
      <c r="B119" s="55" t="str">
        <f>IFERROR(__xludf.DUMMYFUNCTION("""COMPUTED_VALUE"""),"")</f>
        <v/>
      </c>
      <c r="C119" s="93">
        <f>IFERROR(__xludf.DUMMYFUNCTION("""COMPUTED_VALUE"""),43608.0)</f>
        <v>43608</v>
      </c>
      <c r="D119" s="55" t="str">
        <f>IFERROR(__xludf.DUMMYFUNCTION("""COMPUTED_VALUE"""),"Yes")</f>
        <v>Yes</v>
      </c>
      <c r="E119" s="55" t="str">
        <f>IFERROR(__xludf.DUMMYFUNCTION("""COMPUTED_VALUE"""),"Variant Pathogenicity")</f>
        <v>Variant Pathogenicity</v>
      </c>
      <c r="F119" s="55" t="str">
        <f>IFERROR(__xludf.DUMMYFUNCTION("""COMPUTED_VALUE"""),"Cardiomyopathy")</f>
        <v>Cardiomyopathy</v>
      </c>
      <c r="G119" s="55" t="str">
        <f>IFERROR(__xludf.DUMMYFUNCTION("""COMPUTED_VALUE"""),"Theodore E. Wilson")</f>
        <v>Theodore E. Wilson</v>
      </c>
      <c r="H119" s="55" t="str">
        <f>IFERROR(__xludf.DUMMYFUNCTION("""COMPUTED_VALUE"""),"theowils@iu.edu")</f>
        <v>theowils@iu.edu</v>
      </c>
      <c r="I119" s="55" t="str">
        <f>IFERROR(__xludf.DUMMYFUNCTION("""COMPUTED_VALUE"""),"Clinical Medical Geneticist")</f>
        <v>Clinical Medical Geneticist</v>
      </c>
      <c r="J119" s="55"/>
      <c r="K119" s="55" t="str">
        <f>IFERROR(__xludf.DUMMYFUNCTION("""COMPUTED_VALUE"""),"Variant Pathogenicity")</f>
        <v>Variant Pathogenicity</v>
      </c>
      <c r="L119" s="55"/>
      <c r="M119" s="55"/>
      <c r="N119" s="55"/>
      <c r="O119" s="55"/>
      <c r="P119" s="55"/>
      <c r="Q119" s="55"/>
      <c r="R119" s="55"/>
      <c r="S119" s="55"/>
      <c r="T119" s="55"/>
      <c r="U119" s="55"/>
      <c r="V119" s="55"/>
      <c r="W119" s="55"/>
      <c r="X119" s="55"/>
      <c r="Y119" s="55"/>
      <c r="Z119" s="55"/>
    </row>
    <row r="120">
      <c r="A120" s="55" t="str">
        <f>IFERROR(__xludf.DUMMYFUNCTION("""COMPUTED_VALUE"""),"Assigned")</f>
        <v>Assigned</v>
      </c>
      <c r="B120" s="55" t="str">
        <f>IFERROR(__xludf.DUMMYFUNCTION("""COMPUTED_VALUE"""),"")</f>
        <v/>
      </c>
      <c r="C120" s="93">
        <f>IFERROR(__xludf.DUMMYFUNCTION("""COMPUTED_VALUE"""),43605.0)</f>
        <v>43605</v>
      </c>
      <c r="D120" s="55" t="str">
        <f>IFERROR(__xludf.DUMMYFUNCTION("""COMPUTED_VALUE"""),"Yes")</f>
        <v>Yes</v>
      </c>
      <c r="E120" s="55" t="str">
        <f>IFERROR(__xludf.DUMMYFUNCTION("""COMPUTED_VALUE"""),"Variant Pathogenicity")</f>
        <v>Variant Pathogenicity</v>
      </c>
      <c r="F120" s="55" t="str">
        <f>IFERROR(__xludf.DUMMYFUNCTION("""COMPUTED_VALUE"""),"Storage Disease")</f>
        <v>Storage Disease</v>
      </c>
      <c r="G120" s="55" t="str">
        <f>IFERROR(__xludf.DUMMYFUNCTION("""COMPUTED_VALUE"""),"Christina Y Hung")</f>
        <v>Christina Y Hung</v>
      </c>
      <c r="H120" s="55" t="str">
        <f>IFERROR(__xludf.DUMMYFUNCTION("""COMPUTED_VALUE"""),"christina.hung@childrens.harvard.edu")</f>
        <v>christina.hung@childrens.harvard.edu</v>
      </c>
      <c r="I120" s="55" t="str">
        <f>IFERROR(__xludf.DUMMYFUNCTION("""COMPUTED_VALUE"""),"Scientific Researcher")</f>
        <v>Scientific Researcher</v>
      </c>
      <c r="J120" s="55"/>
      <c r="K120" s="55" t="str">
        <f>IFERROR(__xludf.DUMMYFUNCTION("""COMPUTED_VALUE"""),"Variant Pathogenicity")</f>
        <v>Variant Pathogenicity</v>
      </c>
      <c r="L120" s="55"/>
      <c r="M120" s="55"/>
      <c r="N120" s="55"/>
      <c r="O120" s="55"/>
      <c r="P120" s="55"/>
      <c r="Q120" s="55"/>
      <c r="R120" s="55"/>
      <c r="S120" s="55"/>
      <c r="T120" s="55"/>
      <c r="U120" s="55"/>
      <c r="V120" s="55"/>
      <c r="W120" s="55"/>
      <c r="X120" s="55"/>
      <c r="Y120" s="55"/>
      <c r="Z120" s="55"/>
    </row>
    <row r="121">
      <c r="A121" s="55" t="str">
        <f>IFERROR(__xludf.DUMMYFUNCTION("""COMPUTED_VALUE"""),"Unresponsive")</f>
        <v>Unresponsive</v>
      </c>
      <c r="B121" s="55" t="str">
        <f>IFERROR(__xludf.DUMMYFUNCTION("""COMPUTED_VALUE"""),"7-9-19 (status changed to unresponsive)")</f>
        <v>7-9-19 (status changed to unresponsive)</v>
      </c>
      <c r="C121" s="55" t="str">
        <f>IFERROR(__xludf.DUMMYFUNCTION("""COMPUTED_VALUE"""),"")</f>
        <v/>
      </c>
      <c r="D121" s="55" t="str">
        <f>IFERROR(__xludf.DUMMYFUNCTION("""COMPUTED_VALUE"""),"No")</f>
        <v>No</v>
      </c>
      <c r="E121" s="55" t="str">
        <f>IFERROR(__xludf.DUMMYFUNCTION("""COMPUTED_VALUE"""),"Actionability")</f>
        <v>Actionability</v>
      </c>
      <c r="F121" s="55" t="str">
        <f>IFERROR(__xludf.DUMMYFUNCTION("""COMPUTED_VALUE"""),"")</f>
        <v/>
      </c>
      <c r="G121" s="55" t="str">
        <f>IFERROR(__xludf.DUMMYFUNCTION("""COMPUTED_VALUE"""),"Alka Chaubey")</f>
        <v>Alka Chaubey</v>
      </c>
      <c r="H121" s="55" t="str">
        <f>IFERROR(__xludf.DUMMYFUNCTION("""COMPUTED_VALUE"""),"")</f>
        <v/>
      </c>
      <c r="I121" s="55" t="str">
        <f>IFERROR(__xludf.DUMMYFUNCTION("""COMPUTED_VALUE"""),"Clinical laboratory geneticist")</f>
        <v>Clinical laboratory geneticist</v>
      </c>
      <c r="J121" s="55"/>
      <c r="K121" s="55" t="str">
        <f>IFERROR(__xludf.DUMMYFUNCTION("""COMPUTED_VALUE"""),"Clinical Actionability")</f>
        <v>Clinical Actionability</v>
      </c>
      <c r="L121" s="55"/>
      <c r="M121" s="55"/>
      <c r="N121" s="55"/>
      <c r="O121" s="55"/>
      <c r="P121" s="55"/>
      <c r="Q121" s="55"/>
      <c r="R121" s="55"/>
      <c r="S121" s="55"/>
      <c r="T121" s="55"/>
      <c r="U121" s="55"/>
      <c r="V121" s="55"/>
      <c r="W121" s="55"/>
      <c r="X121" s="55"/>
      <c r="Y121" s="55"/>
      <c r="Z121" s="55"/>
    </row>
    <row r="122">
      <c r="A122" s="55" t="str">
        <f>IFERROR(__xludf.DUMMYFUNCTION("""COMPUTED_VALUE"""),"Assigned")</f>
        <v>Assigned</v>
      </c>
      <c r="B122" s="55" t="str">
        <f>IFERROR(__xludf.DUMMYFUNCTION("""COMPUTED_VALUE"""),"")</f>
        <v/>
      </c>
      <c r="C122" s="93">
        <f>IFERROR(__xludf.DUMMYFUNCTION("""COMPUTED_VALUE"""),43605.0)</f>
        <v>43605</v>
      </c>
      <c r="D122" s="55" t="str">
        <f>IFERROR(__xludf.DUMMYFUNCTION("""COMPUTED_VALUE"""),"Yes")</f>
        <v>Yes</v>
      </c>
      <c r="E122" s="55" t="str">
        <f>IFERROR(__xludf.DUMMYFUNCTION("""COMPUTED_VALUE"""),"Variant Pathogenicity")</f>
        <v>Variant Pathogenicity</v>
      </c>
      <c r="F122" s="55" t="str">
        <f>IFERROR(__xludf.DUMMYFUNCTION("""COMPUTED_VALUE"""),"Brain Malformations")</f>
        <v>Brain Malformations</v>
      </c>
      <c r="G122" s="55" t="str">
        <f>IFERROR(__xludf.DUMMYFUNCTION("""COMPUTED_VALUE"""),"Junyu Zhang")</f>
        <v>Junyu Zhang</v>
      </c>
      <c r="H122" s="55" t="str">
        <f>IFERROR(__xludf.DUMMYFUNCTION("""COMPUTED_VALUE"""),"junyuzhang@hotmail.com")</f>
        <v>junyuzhang@hotmail.com</v>
      </c>
      <c r="I122" s="55" t="str">
        <f>IFERROR(__xludf.DUMMYFUNCTION("""COMPUTED_VALUE"""),"Clinical laboratory geneticist")</f>
        <v>Clinical laboratory geneticist</v>
      </c>
      <c r="J122" s="55"/>
      <c r="K122" s="55" t="str">
        <f>IFERROR(__xludf.DUMMYFUNCTION("""COMPUTED_VALUE"""),"Variant Pathogenicity")</f>
        <v>Variant Pathogenicity</v>
      </c>
      <c r="L122" s="55"/>
      <c r="M122" s="55"/>
      <c r="N122" s="55"/>
      <c r="O122" s="55"/>
      <c r="P122" s="55"/>
      <c r="Q122" s="55"/>
      <c r="R122" s="55"/>
      <c r="S122" s="55"/>
      <c r="T122" s="55"/>
      <c r="U122" s="55"/>
      <c r="V122" s="55"/>
      <c r="W122" s="55"/>
      <c r="X122" s="55"/>
      <c r="Y122" s="55"/>
      <c r="Z122" s="55"/>
    </row>
    <row r="123">
      <c r="A123" s="55" t="str">
        <f>IFERROR(__xludf.DUMMYFUNCTION("""COMPUTED_VALUE"""),"Contacted")</f>
        <v>Contacted</v>
      </c>
      <c r="B123" s="55" t="str">
        <f>IFERROR(__xludf.DUMMYFUNCTION("""COMPUTED_VALUE"""),"")</f>
        <v/>
      </c>
      <c r="C123" s="93">
        <f>IFERROR(__xludf.DUMMYFUNCTION("""COMPUTED_VALUE"""),43585.0)</f>
        <v>43585</v>
      </c>
      <c r="D123" s="55" t="str">
        <f>IFERROR(__xludf.DUMMYFUNCTION("""COMPUTED_VALUE"""),"Yes")</f>
        <v>Yes</v>
      </c>
      <c r="E123" s="55" t="str">
        <f>IFERROR(__xludf.DUMMYFUNCTION("""COMPUTED_VALUE"""),"Gene Disease Validity")</f>
        <v>Gene Disease Validity</v>
      </c>
      <c r="F123" s="55" t="str">
        <f>IFERROR(__xludf.DUMMYFUNCTION("""COMPUTED_VALUE"""),"Hemo/Thrombo")</f>
        <v>Hemo/Thrombo</v>
      </c>
      <c r="G123" s="55" t="str">
        <f>IFERROR(__xludf.DUMMYFUNCTION("""COMPUTED_VALUE"""),"Jing Zhang")</f>
        <v>Jing Zhang</v>
      </c>
      <c r="H123" s="55" t="str">
        <f>IFERROR(__xludf.DUMMYFUNCTION("""COMPUTED_VALUE"""),"jzhang@wuxinextcode.com")</f>
        <v>jzhang@wuxinextcode.com</v>
      </c>
      <c r="I123" s="55" t="str">
        <f>IFERROR(__xludf.DUMMYFUNCTION("""COMPUTED_VALUE"""),"Clinical laboratory geneticist")</f>
        <v>Clinical laboratory geneticist</v>
      </c>
      <c r="J123" s="55"/>
      <c r="K123" s="55" t="str">
        <f>IFERROR(__xludf.DUMMYFUNCTION("""COMPUTED_VALUE"""),"Gene-Disease Validity")</f>
        <v>Gene-Disease Validity</v>
      </c>
      <c r="L123" s="55"/>
      <c r="M123" s="55"/>
      <c r="N123" s="55"/>
      <c r="O123" s="55"/>
      <c r="P123" s="55"/>
      <c r="Q123" s="55"/>
      <c r="R123" s="55"/>
      <c r="S123" s="55"/>
      <c r="T123" s="55"/>
      <c r="U123" s="55"/>
      <c r="V123" s="55"/>
      <c r="W123" s="55"/>
      <c r="X123" s="55"/>
      <c r="Y123" s="55"/>
      <c r="Z123" s="55"/>
    </row>
    <row r="124">
      <c r="A124" s="55" t="str">
        <f>IFERROR(__xludf.DUMMYFUNCTION("""COMPUTED_VALUE"""),"Unresponsive")</f>
        <v>Unresponsive</v>
      </c>
      <c r="B124" s="55" t="str">
        <f>IFERROR(__xludf.DUMMYFUNCTION("""COMPUTED_VALUE"""),"")</f>
        <v/>
      </c>
      <c r="C124" s="55" t="str">
        <f>IFERROR(__xludf.DUMMYFUNCTION("""COMPUTED_VALUE"""),"")</f>
        <v/>
      </c>
      <c r="D124" s="55" t="str">
        <f>IFERROR(__xludf.DUMMYFUNCTION("""COMPUTED_VALUE"""),"No")</f>
        <v>No</v>
      </c>
      <c r="E124" s="55" t="str">
        <f>IFERROR(__xludf.DUMMYFUNCTION("""COMPUTED_VALUE"""),"Gene Disease Validity")</f>
        <v>Gene Disease Validity</v>
      </c>
      <c r="F124" s="55" t="str">
        <f>IFERROR(__xludf.DUMMYFUNCTION("""COMPUTED_VALUE"""),"")</f>
        <v/>
      </c>
      <c r="G124" s="55" t="str">
        <f>IFERROR(__xludf.DUMMYFUNCTION("""COMPUTED_VALUE"""),"Mary-Alice Abbott")</f>
        <v>Mary-Alice Abbott</v>
      </c>
      <c r="H124" s="55" t="str">
        <f>IFERROR(__xludf.DUMMYFUNCTION("""COMPUTED_VALUE"""),"Maryalice.abbott@baystatehealth.org")</f>
        <v>Maryalice.abbott@baystatehealth.org</v>
      </c>
      <c r="I124" s="55" t="str">
        <f>IFERROR(__xludf.DUMMYFUNCTION("""COMPUTED_VALUE"""),"Clinical Medical Geneticist")</f>
        <v>Clinical Medical Geneticist</v>
      </c>
      <c r="J124" s="55"/>
      <c r="K124" s="55" t="str">
        <f>IFERROR(__xludf.DUMMYFUNCTION("""COMPUTED_VALUE"""),"Gene-Disease Validity")</f>
        <v>Gene-Disease Validity</v>
      </c>
      <c r="L124" s="55"/>
      <c r="M124" s="55"/>
      <c r="N124" s="55"/>
      <c r="O124" s="55"/>
      <c r="P124" s="55"/>
      <c r="Q124" s="55"/>
      <c r="R124" s="55"/>
      <c r="S124" s="55"/>
      <c r="T124" s="55"/>
      <c r="U124" s="55"/>
      <c r="V124" s="55"/>
      <c r="W124" s="55"/>
      <c r="X124" s="55"/>
      <c r="Y124" s="55"/>
      <c r="Z124" s="55"/>
    </row>
    <row r="125">
      <c r="A125" s="55" t="str">
        <f>IFERROR(__xludf.DUMMYFUNCTION("""COMPUTED_VALUE"""),"Assigned")</f>
        <v>Assigned</v>
      </c>
      <c r="B125" s="55" t="str">
        <f>IFERROR(__xludf.DUMMYFUNCTION("""COMPUTED_VALUE"""),"")</f>
        <v/>
      </c>
      <c r="C125" s="93">
        <f>IFERROR(__xludf.DUMMYFUNCTION("""COMPUTED_VALUE"""),43605.0)</f>
        <v>43605</v>
      </c>
      <c r="D125" s="55" t="str">
        <f>IFERROR(__xludf.DUMMYFUNCTION("""COMPUTED_VALUE"""),"Yes")</f>
        <v>Yes</v>
      </c>
      <c r="E125" s="55" t="str">
        <f>IFERROR(__xludf.DUMMYFUNCTION("""COMPUTED_VALUE"""),"Variant Pathogenicity")</f>
        <v>Variant Pathogenicity</v>
      </c>
      <c r="F125" s="55" t="str">
        <f>IFERROR(__xludf.DUMMYFUNCTION("""COMPUTED_VALUE"""),"TP53")</f>
        <v>TP53</v>
      </c>
      <c r="G125" s="55" t="str">
        <f>IFERROR(__xludf.DUMMYFUNCTION("""COMPUTED_VALUE"""),"Emily Higgs")</f>
        <v>Emily Higgs</v>
      </c>
      <c r="H125" s="55" t="str">
        <f>IFERROR(__xludf.DUMMYFUNCTION("""COMPUTED_VALUE"""),"ehiggs@stanford.edu")</f>
        <v>ehiggs@stanford.edu</v>
      </c>
      <c r="I125" s="55" t="str">
        <f>IFERROR(__xludf.DUMMYFUNCTION("""COMPUTED_VALUE"""),"Variant Analyst/Scientist - Academic")</f>
        <v>Variant Analyst/Scientist - Academic</v>
      </c>
      <c r="J125" s="55"/>
      <c r="K125" s="55" t="str">
        <f>IFERROR(__xludf.DUMMYFUNCTION("""COMPUTED_VALUE"""),"Variant Pathogenicity")</f>
        <v>Variant Pathogenicity</v>
      </c>
      <c r="L125" s="55"/>
      <c r="M125" s="55"/>
      <c r="N125" s="55"/>
      <c r="O125" s="55"/>
      <c r="P125" s="55"/>
      <c r="Q125" s="55"/>
      <c r="R125" s="55"/>
      <c r="S125" s="55"/>
      <c r="T125" s="55"/>
      <c r="U125" s="55"/>
      <c r="V125" s="55"/>
      <c r="W125" s="55"/>
      <c r="X125" s="55"/>
      <c r="Y125" s="55"/>
      <c r="Z125" s="55"/>
    </row>
    <row r="126">
      <c r="A126" s="55" t="str">
        <f>IFERROR(__xludf.DUMMYFUNCTION("""COMPUTED_VALUE"""),"Contacted")</f>
        <v>Contacted</v>
      </c>
      <c r="B126" s="94">
        <f>IFERROR(__xludf.DUMMYFUNCTION("""COMPUTED_VALUE"""),43819.0)</f>
        <v>43819</v>
      </c>
      <c r="C126" s="55" t="str">
        <f>IFERROR(__xludf.DUMMYFUNCTION("""COMPUTED_VALUE"""),"")</f>
        <v/>
      </c>
      <c r="D126" s="55" t="str">
        <f>IFERROR(__xludf.DUMMYFUNCTION("""COMPUTED_VALUE"""),"No")</f>
        <v>No</v>
      </c>
      <c r="E126" s="55" t="str">
        <f>IFERROR(__xludf.DUMMYFUNCTION("""COMPUTED_VALUE"""),"Variant Pathogenicity")</f>
        <v>Variant Pathogenicity</v>
      </c>
      <c r="F126" s="55" t="str">
        <f>IFERROR(__xludf.DUMMYFUNCTION("""COMPUTED_VALUE"""),"")</f>
        <v/>
      </c>
      <c r="G126" s="55" t="str">
        <f>IFERROR(__xludf.DUMMYFUNCTION("""COMPUTED_VALUE"""),"Matt Wright")</f>
        <v>Matt Wright</v>
      </c>
      <c r="H126" s="55" t="str">
        <f>IFERROR(__xludf.DUMMYFUNCTION("""COMPUTED_VALUE"""),"wrightmw@stanford.edu")</f>
        <v>wrightmw@stanford.edu</v>
      </c>
      <c r="I126" s="55" t="str">
        <f>IFERROR(__xludf.DUMMYFUNCTION("""COMPUTED_VALUE"""),"Biocurator")</f>
        <v>Biocurator</v>
      </c>
      <c r="J126" s="55"/>
      <c r="K126" s="55" t="str">
        <f>IFERROR(__xludf.DUMMYFUNCTION("""COMPUTED_VALUE"""),"Variant Pathogenicity")</f>
        <v>Variant Pathogenicity</v>
      </c>
      <c r="L126" s="55"/>
      <c r="M126" s="55"/>
      <c r="N126" s="55"/>
      <c r="O126" s="55"/>
      <c r="P126" s="55"/>
      <c r="Q126" s="55"/>
      <c r="R126" s="55"/>
      <c r="S126" s="55"/>
      <c r="T126" s="55"/>
      <c r="U126" s="55"/>
      <c r="V126" s="55"/>
      <c r="W126" s="55"/>
      <c r="X126" s="55"/>
      <c r="Y126" s="55"/>
      <c r="Z126" s="55"/>
    </row>
    <row r="127">
      <c r="A127" s="55" t="str">
        <f>IFERROR(__xludf.DUMMYFUNCTION("""COMPUTED_VALUE"""),"Declined")</f>
        <v>Declined</v>
      </c>
      <c r="B127" s="55" t="str">
        <f>IFERROR(__xludf.DUMMYFUNCTION("""COMPUTED_VALUE"""),"")</f>
        <v/>
      </c>
      <c r="C127" s="104">
        <f>IFERROR(__xludf.DUMMYFUNCTION("""COMPUTED_VALUE"""),43570.0)</f>
        <v>43570</v>
      </c>
      <c r="D127" s="55" t="str">
        <f>IFERROR(__xludf.DUMMYFUNCTION("""COMPUTED_VALUE"""),"Yes")</f>
        <v>Yes</v>
      </c>
      <c r="E127" s="55" t="str">
        <f>IFERROR(__xludf.DUMMYFUNCTION("""COMPUTED_VALUE"""),"Gene Disease Validity")</f>
        <v>Gene Disease Validity</v>
      </c>
      <c r="F127" s="55" t="str">
        <f>IFERROR(__xludf.DUMMYFUNCTION("""COMPUTED_VALUE"""),"Hemo/Thrombo")</f>
        <v>Hemo/Thrombo</v>
      </c>
      <c r="G127" s="55" t="str">
        <f>IFERROR(__xludf.DUMMYFUNCTION("""COMPUTED_VALUE"""),"Samantha Chill")</f>
        <v>Samantha Chill</v>
      </c>
      <c r="H127" s="55" t="str">
        <f>IFERROR(__xludf.DUMMYFUNCTION("""COMPUTED_VALUE"""),"slsevilla@gmail.com")</f>
        <v>slsevilla@gmail.com</v>
      </c>
      <c r="I127" s="55" t="str">
        <f>IFERROR(__xludf.DUMMYFUNCTION("""COMPUTED_VALUE"""),"Graduate Student")</f>
        <v>Graduate Student</v>
      </c>
      <c r="J127" s="55"/>
      <c r="K127" s="55" t="str">
        <f>IFERROR(__xludf.DUMMYFUNCTION("""COMPUTED_VALUE"""),"Gene-Disease Validity")</f>
        <v>Gene-Disease Validity</v>
      </c>
      <c r="L127" s="55"/>
      <c r="M127" s="55"/>
      <c r="N127" s="55"/>
      <c r="O127" s="55"/>
      <c r="P127" s="55"/>
      <c r="Q127" s="55"/>
      <c r="R127" s="55"/>
      <c r="S127" s="55"/>
      <c r="T127" s="55"/>
      <c r="U127" s="55"/>
      <c r="V127" s="55"/>
      <c r="W127" s="55"/>
      <c r="X127" s="55"/>
      <c r="Y127" s="55"/>
      <c r="Z127" s="55"/>
    </row>
    <row r="128">
      <c r="A128" s="55" t="str">
        <f>IFERROR(__xludf.DUMMYFUNCTION("""COMPUTED_VALUE"""),"Contacted")</f>
        <v>Contacted</v>
      </c>
      <c r="B128" s="55" t="str">
        <f>IFERROR(__xludf.DUMMYFUNCTION("""COMPUTED_VALUE"""),"")</f>
        <v/>
      </c>
      <c r="C128" s="93">
        <f>IFERROR(__xludf.DUMMYFUNCTION("""COMPUTED_VALUE"""),43585.0)</f>
        <v>43585</v>
      </c>
      <c r="D128" s="55" t="str">
        <f>IFERROR(__xludf.DUMMYFUNCTION("""COMPUTED_VALUE"""),"Yes")</f>
        <v>Yes</v>
      </c>
      <c r="E128" s="55" t="str">
        <f>IFERROR(__xludf.DUMMYFUNCTION("""COMPUTED_VALUE"""),"Gene Disease Validity")</f>
        <v>Gene Disease Validity</v>
      </c>
      <c r="F128" s="55" t="str">
        <f>IFERROR(__xludf.DUMMYFUNCTION("""COMPUTED_VALUE"""),"ID/Autism")</f>
        <v>ID/Autism</v>
      </c>
      <c r="G128" s="55" t="str">
        <f>IFERROR(__xludf.DUMMYFUNCTION("""COMPUTED_VALUE"""),"HECTOR RODRIGO MENDEZ")</f>
        <v>HECTOR RODRIGO MENDEZ</v>
      </c>
      <c r="H128" s="55" t="str">
        <f>IFERROR(__xludf.DUMMYFUNCTION("""COMPUTED_VALUE"""),"rodrigomendezh@gmail.com")</f>
        <v>rodrigomendezh@gmail.com</v>
      </c>
      <c r="I128" s="55" t="str">
        <f>IFERROR(__xludf.DUMMYFUNCTION("""COMPUTED_VALUE"""),"Clinical Medical Geneticist")</f>
        <v>Clinical Medical Geneticist</v>
      </c>
      <c r="J128" s="55"/>
      <c r="K128" s="55" t="str">
        <f>IFERROR(__xludf.DUMMYFUNCTION("""COMPUTED_VALUE"""),"Gene-Disease Validity")</f>
        <v>Gene-Disease Validity</v>
      </c>
      <c r="L128" s="55"/>
      <c r="M128" s="55"/>
      <c r="N128" s="55"/>
      <c r="O128" s="55"/>
      <c r="P128" s="55"/>
      <c r="Q128" s="55"/>
      <c r="R128" s="55"/>
      <c r="S128" s="55"/>
      <c r="T128" s="55"/>
      <c r="U128" s="55"/>
      <c r="V128" s="55"/>
      <c r="W128" s="55"/>
      <c r="X128" s="55"/>
      <c r="Y128" s="55"/>
      <c r="Z128" s="55"/>
    </row>
    <row r="129">
      <c r="A129" s="55" t="str">
        <f>IFERROR(__xludf.DUMMYFUNCTION("""COMPUTED_VALUE"""),"Contacted")</f>
        <v>Contacted</v>
      </c>
      <c r="B129" s="55" t="str">
        <f>IFERROR(__xludf.DUMMYFUNCTION("""COMPUTED_VALUE"""),"")</f>
        <v/>
      </c>
      <c r="C129" s="93">
        <f>IFERROR(__xludf.DUMMYFUNCTION("""COMPUTED_VALUE"""),43594.0)</f>
        <v>43594</v>
      </c>
      <c r="D129" s="55" t="str">
        <f>IFERROR(__xludf.DUMMYFUNCTION("""COMPUTED_VALUE"""),"Yes")</f>
        <v>Yes</v>
      </c>
      <c r="E129" s="55" t="str">
        <f>IFERROR(__xludf.DUMMYFUNCTION("""COMPUTED_VALUE"""),"Actionability")</f>
        <v>Actionability</v>
      </c>
      <c r="F129" s="55" t="str">
        <f>IFERROR(__xludf.DUMMYFUNCTION("""COMPUTED_VALUE"""),"Actionability")</f>
        <v>Actionability</v>
      </c>
      <c r="G129" s="55" t="str">
        <f>IFERROR(__xludf.DUMMYFUNCTION("""COMPUTED_VALUE"""),"Karen Hanson")</f>
        <v>Karen Hanson</v>
      </c>
      <c r="H129" s="55" t="str">
        <f>IFERROR(__xludf.DUMMYFUNCTION("""COMPUTED_VALUE"""),"krhms3@gmail.com")</f>
        <v>krhms3@gmail.com</v>
      </c>
      <c r="I129" s="55" t="str">
        <f>IFERROR(__xludf.DUMMYFUNCTION("""COMPUTED_VALUE"""),"Genetic counselor")</f>
        <v>Genetic counselor</v>
      </c>
      <c r="J129" s="55"/>
      <c r="K129" s="55" t="str">
        <f>IFERROR(__xludf.DUMMYFUNCTION("""COMPUTED_VALUE"""),"Clinical Actionability")</f>
        <v>Clinical Actionability</v>
      </c>
      <c r="L129" s="55"/>
      <c r="M129" s="55"/>
      <c r="N129" s="55"/>
      <c r="O129" s="55"/>
      <c r="P129" s="55"/>
      <c r="Q129" s="55"/>
      <c r="R129" s="55"/>
      <c r="S129" s="55"/>
      <c r="T129" s="55"/>
      <c r="U129" s="55"/>
      <c r="V129" s="55"/>
      <c r="W129" s="55"/>
      <c r="X129" s="55"/>
      <c r="Y129" s="55"/>
      <c r="Z129" s="55"/>
    </row>
    <row r="130">
      <c r="A130" s="55" t="str">
        <f>IFERROR(__xludf.DUMMYFUNCTION("""COMPUTED_VALUE"""),"Unresponsive")</f>
        <v>Unresponsive</v>
      </c>
      <c r="B130" s="55" t="str">
        <f>IFERROR(__xludf.DUMMYFUNCTION("""COMPUTED_VALUE"""),"")</f>
        <v/>
      </c>
      <c r="C130" s="55" t="str">
        <f>IFERROR(__xludf.DUMMYFUNCTION("""COMPUTED_VALUE"""),"")</f>
        <v/>
      </c>
      <c r="D130" s="55" t="str">
        <f>IFERROR(__xludf.DUMMYFUNCTION("""COMPUTED_VALUE"""),"No")</f>
        <v>No</v>
      </c>
      <c r="E130" s="55" t="str">
        <f>IFERROR(__xludf.DUMMYFUNCTION("""COMPUTED_VALUE"""),"Variant Pathogenicity")</f>
        <v>Variant Pathogenicity</v>
      </c>
      <c r="F130" s="55" t="str">
        <f>IFERROR(__xludf.DUMMYFUNCTION("""COMPUTED_VALUE"""),"")</f>
        <v/>
      </c>
      <c r="G130" s="55" t="str">
        <f>IFERROR(__xludf.DUMMYFUNCTION("""COMPUTED_VALUE"""),"Daniel Reich")</f>
        <v>Daniel Reich</v>
      </c>
      <c r="H130" s="55" t="str">
        <f>IFERROR(__xludf.DUMMYFUNCTION("""COMPUTED_VALUE"""),"daniel.reich@aruplab.com")</f>
        <v>daniel.reich@aruplab.com</v>
      </c>
      <c r="I130" s="55" t="str">
        <f>IFERROR(__xludf.DUMMYFUNCTION("""COMPUTED_VALUE"""),"Variant Analyst/Scientist - Industry")</f>
        <v>Variant Analyst/Scientist - Industry</v>
      </c>
      <c r="J130" s="55"/>
      <c r="K130" s="55" t="str">
        <f>IFERROR(__xludf.DUMMYFUNCTION("""COMPUTED_VALUE"""),"Variant Pathogenicity")</f>
        <v>Variant Pathogenicity</v>
      </c>
      <c r="L130" s="55"/>
      <c r="M130" s="55"/>
      <c r="N130" s="55"/>
      <c r="O130" s="55"/>
      <c r="P130" s="55"/>
      <c r="Q130" s="55"/>
      <c r="R130" s="55"/>
      <c r="S130" s="55"/>
      <c r="T130" s="55"/>
      <c r="U130" s="55"/>
      <c r="V130" s="55"/>
      <c r="W130" s="55"/>
      <c r="X130" s="55"/>
      <c r="Y130" s="55"/>
      <c r="Z130" s="55"/>
    </row>
    <row r="131">
      <c r="A131" s="55" t="str">
        <f>IFERROR(__xludf.DUMMYFUNCTION("""COMPUTED_VALUE"""),"Contacted")</f>
        <v>Contacted</v>
      </c>
      <c r="B131" s="55" t="str">
        <f>IFERROR(__xludf.DUMMYFUNCTION("""COMPUTED_VALUE"""),"")</f>
        <v/>
      </c>
      <c r="C131" s="93">
        <f>IFERROR(__xludf.DUMMYFUNCTION("""COMPUTED_VALUE"""),43580.0)</f>
        <v>43580</v>
      </c>
      <c r="D131" s="55" t="str">
        <f>IFERROR(__xludf.DUMMYFUNCTION("""COMPUTED_VALUE"""),"Yes")</f>
        <v>Yes</v>
      </c>
      <c r="E131" s="55" t="str">
        <f>IFERROR(__xludf.DUMMYFUNCTION("""COMPUTED_VALUE"""),"Dosage Sensitivity")</f>
        <v>Dosage Sensitivity</v>
      </c>
      <c r="F131" s="55" t="str">
        <f>IFERROR(__xludf.DUMMYFUNCTION("""COMPUTED_VALUE"""),"")</f>
        <v/>
      </c>
      <c r="G131" s="55" t="str">
        <f>IFERROR(__xludf.DUMMYFUNCTION("""COMPUTED_VALUE"""),"Christine Preston")</f>
        <v>Christine Preston</v>
      </c>
      <c r="H131" s="55" t="str">
        <f>IFERROR(__xludf.DUMMYFUNCTION("""COMPUTED_VALUE"""),"christip@stanford.edu")</f>
        <v>christip@stanford.edu</v>
      </c>
      <c r="I131" s="55" t="str">
        <f>IFERROR(__xludf.DUMMYFUNCTION("""COMPUTED_VALUE"""),"Biocurator")</f>
        <v>Biocurator</v>
      </c>
      <c r="J131" s="55"/>
      <c r="K131" s="55" t="str">
        <f>IFERROR(__xludf.DUMMYFUNCTION("""COMPUTED_VALUE"""),"Dosage Sensitivity")</f>
        <v>Dosage Sensitivity</v>
      </c>
      <c r="L131" s="55"/>
      <c r="M131" s="55"/>
      <c r="N131" s="55"/>
      <c r="O131" s="55"/>
      <c r="P131" s="55"/>
      <c r="Q131" s="55"/>
      <c r="R131" s="55"/>
      <c r="S131" s="55"/>
      <c r="T131" s="55"/>
      <c r="U131" s="55"/>
      <c r="V131" s="55"/>
      <c r="W131" s="55"/>
      <c r="X131" s="55"/>
      <c r="Y131" s="55"/>
      <c r="Z131" s="55"/>
    </row>
    <row r="132">
      <c r="A132" s="55" t="str">
        <f>IFERROR(__xludf.DUMMYFUNCTION("""COMPUTED_VALUE"""),"Contacted")</f>
        <v>Contacted</v>
      </c>
      <c r="B132" s="94">
        <f>IFERROR(__xludf.DUMMYFUNCTION("""COMPUTED_VALUE"""),43819.0)</f>
        <v>43819</v>
      </c>
      <c r="C132" s="55" t="str">
        <f>IFERROR(__xludf.DUMMYFUNCTION("""COMPUTED_VALUE"""),"")</f>
        <v/>
      </c>
      <c r="D132" s="55" t="str">
        <f>IFERROR(__xludf.DUMMYFUNCTION("""COMPUTED_VALUE"""),"No")</f>
        <v>No</v>
      </c>
      <c r="E132" s="55" t="str">
        <f>IFERROR(__xludf.DUMMYFUNCTION("""COMPUTED_VALUE"""),"Gene Disease Validity")</f>
        <v>Gene Disease Validity</v>
      </c>
      <c r="F132" s="55" t="str">
        <f>IFERROR(__xludf.DUMMYFUNCTION("""COMPUTED_VALUE"""),"")</f>
        <v/>
      </c>
      <c r="G132" s="55" t="str">
        <f>IFERROR(__xludf.DUMMYFUNCTION("""COMPUTED_VALUE"""),"Julie Hathaway")</f>
        <v>Julie Hathaway</v>
      </c>
      <c r="H132" s="55" t="str">
        <f>IFERROR(__xludf.DUMMYFUNCTION("""COMPUTED_VALUE"""),"julie.hathaway@blueprintgenetics.com")</f>
        <v>julie.hathaway@blueprintgenetics.com</v>
      </c>
      <c r="I132" s="55" t="str">
        <f>IFERROR(__xludf.DUMMYFUNCTION("""COMPUTED_VALUE"""),"Genetic counselor")</f>
        <v>Genetic counselor</v>
      </c>
      <c r="J132" s="55"/>
      <c r="K132" s="55" t="str">
        <f>IFERROR(__xludf.DUMMYFUNCTION("""COMPUTED_VALUE"""),"Variant Pathogenicity")</f>
        <v>Variant Pathogenicity</v>
      </c>
      <c r="L132" s="55"/>
      <c r="M132" s="55"/>
      <c r="N132" s="55"/>
      <c r="O132" s="55"/>
      <c r="P132" s="55"/>
      <c r="Q132" s="55"/>
      <c r="R132" s="55"/>
      <c r="S132" s="55"/>
      <c r="T132" s="55"/>
      <c r="U132" s="55"/>
      <c r="V132" s="55"/>
      <c r="W132" s="55"/>
      <c r="X132" s="55"/>
      <c r="Y132" s="55"/>
      <c r="Z132" s="55"/>
    </row>
    <row r="133">
      <c r="A133" s="55" t="str">
        <f>IFERROR(__xludf.DUMMYFUNCTION("""COMPUTED_VALUE"""),"Contacted")</f>
        <v>Contacted</v>
      </c>
      <c r="B133" s="55" t="str">
        <f>IFERROR(__xludf.DUMMYFUNCTION("""COMPUTED_VALUE"""),"")</f>
        <v/>
      </c>
      <c r="C133" s="93">
        <f>IFERROR(__xludf.DUMMYFUNCTION("""COMPUTED_VALUE"""),43585.0)</f>
        <v>43585</v>
      </c>
      <c r="D133" s="55" t="str">
        <f>IFERROR(__xludf.DUMMYFUNCTION("""COMPUTED_VALUE"""),"Yes")</f>
        <v>Yes</v>
      </c>
      <c r="E133" s="55" t="str">
        <f>IFERROR(__xludf.DUMMYFUNCTION("""COMPUTED_VALUE"""),"Gene Disease Validity")</f>
        <v>Gene Disease Validity</v>
      </c>
      <c r="F133" s="55" t="str">
        <f>IFERROR(__xludf.DUMMYFUNCTION("""COMPUTED_VALUE"""),"Epilepsy")</f>
        <v>Epilepsy</v>
      </c>
      <c r="G133" s="55" t="str">
        <f>IFERROR(__xludf.DUMMYFUNCTION("""COMPUTED_VALUE"""),"Alexander Ing")</f>
        <v>Alexander Ing</v>
      </c>
      <c r="H133" s="55" t="str">
        <f>IFERROR(__xludf.DUMMYFUNCTION("""COMPUTED_VALUE"""),"aing@luriechildrens.org")</f>
        <v>aing@luriechildrens.org</v>
      </c>
      <c r="I133" s="55" t="str">
        <f>IFERROR(__xludf.DUMMYFUNCTION("""COMPUTED_VALUE"""),"Genetic counselor")</f>
        <v>Genetic counselor</v>
      </c>
      <c r="J133" s="55"/>
      <c r="K133" s="55" t="str">
        <f>IFERROR(__xludf.DUMMYFUNCTION("""COMPUTED_VALUE"""),"Gene-Disease Validity")</f>
        <v>Gene-Disease Validity</v>
      </c>
      <c r="L133" s="55"/>
      <c r="M133" s="55"/>
      <c r="N133" s="55"/>
      <c r="O133" s="55"/>
      <c r="P133" s="55"/>
      <c r="Q133" s="55"/>
      <c r="R133" s="55"/>
      <c r="S133" s="55"/>
      <c r="T133" s="55"/>
      <c r="U133" s="55"/>
      <c r="V133" s="55"/>
      <c r="W133" s="55"/>
      <c r="X133" s="55"/>
      <c r="Y133" s="55"/>
      <c r="Z133" s="55"/>
    </row>
    <row r="134">
      <c r="A134" s="55" t="str">
        <f>IFERROR(__xludf.DUMMYFUNCTION("""COMPUTED_VALUE"""),"Contacted")</f>
        <v>Contacted</v>
      </c>
      <c r="B134" s="55" t="str">
        <f>IFERROR(__xludf.DUMMYFUNCTION("""COMPUTED_VALUE"""),"")</f>
        <v/>
      </c>
      <c r="C134" s="93">
        <f>IFERROR(__xludf.DUMMYFUNCTION("""COMPUTED_VALUE"""),43692.0)</f>
        <v>43692</v>
      </c>
      <c r="D134" s="55" t="str">
        <f>IFERROR(__xludf.DUMMYFUNCTION("""COMPUTED_VALUE"""),"Yes")</f>
        <v>Yes</v>
      </c>
      <c r="E134" s="55" t="str">
        <f>IFERROR(__xludf.DUMMYFUNCTION("""COMPUTED_VALUE"""),"Gene Disease Validity")</f>
        <v>Gene Disease Validity</v>
      </c>
      <c r="F134" s="55" t="str">
        <f>IFERROR(__xludf.DUMMYFUNCTION("""COMPUTED_VALUE"""),"")</f>
        <v/>
      </c>
      <c r="G134" s="55" t="str">
        <f>IFERROR(__xludf.DUMMYFUNCTION("""COMPUTED_VALUE"""),"Jun Liao")</f>
        <v>Jun Liao</v>
      </c>
      <c r="H134" s="55" t="str">
        <f>IFERROR(__xludf.DUMMYFUNCTION("""COMPUTED_VALUE"""),"jl5098@cumc.columbia.edu")</f>
        <v>jl5098@cumc.columbia.edu</v>
      </c>
      <c r="I134" s="55" t="str">
        <f>IFERROR(__xludf.DUMMYFUNCTION("""COMPUTED_VALUE"""),"Clinical laboratory geneticist")</f>
        <v>Clinical laboratory geneticist</v>
      </c>
      <c r="J134" s="55"/>
      <c r="K134" s="55" t="str">
        <f>IFERROR(__xludf.DUMMYFUNCTION("""COMPUTED_VALUE"""),"Gene-Disease Validity")</f>
        <v>Gene-Disease Validity</v>
      </c>
      <c r="L134" s="55"/>
      <c r="M134" s="55"/>
      <c r="N134" s="55"/>
      <c r="O134" s="55"/>
      <c r="P134" s="55"/>
      <c r="Q134" s="55"/>
      <c r="R134" s="55"/>
      <c r="S134" s="55"/>
      <c r="T134" s="55"/>
      <c r="U134" s="55"/>
      <c r="V134" s="55"/>
      <c r="W134" s="55"/>
      <c r="X134" s="55"/>
      <c r="Y134" s="55"/>
      <c r="Z134" s="55"/>
    </row>
    <row r="135">
      <c r="A135" s="55" t="str">
        <f>IFERROR(__xludf.DUMMYFUNCTION("""COMPUTED_VALUE"""),"Contacted")</f>
        <v>Contacted</v>
      </c>
      <c r="B135" s="55" t="str">
        <f>IFERROR(__xludf.DUMMYFUNCTION("""COMPUTED_VALUE"""),"")</f>
        <v/>
      </c>
      <c r="C135" s="93">
        <f>IFERROR(__xludf.DUMMYFUNCTION("""COMPUTED_VALUE"""),43585.0)</f>
        <v>43585</v>
      </c>
      <c r="D135" s="55" t="str">
        <f>IFERROR(__xludf.DUMMYFUNCTION("""COMPUTED_VALUE"""),"Yes")</f>
        <v>Yes</v>
      </c>
      <c r="E135" s="55" t="str">
        <f>IFERROR(__xludf.DUMMYFUNCTION("""COMPUTED_VALUE"""),"Gene Disease Validity")</f>
        <v>Gene Disease Validity</v>
      </c>
      <c r="F135" s="55" t="str">
        <f>IFERROR(__xludf.DUMMYFUNCTION("""COMPUTED_VALUE"""),"Epilepsy")</f>
        <v>Epilepsy</v>
      </c>
      <c r="G135" s="55" t="str">
        <f>IFERROR(__xludf.DUMMYFUNCTION("""COMPUTED_VALUE"""),"Maki Kaneko")</f>
        <v>Maki Kaneko</v>
      </c>
      <c r="H135" s="55" t="str">
        <f>IFERROR(__xludf.DUMMYFUNCTION("""COMPUTED_VALUE"""),"mkaneko@chla.usc.edu")</f>
        <v>mkaneko@chla.usc.edu</v>
      </c>
      <c r="I135" s="55" t="str">
        <f>IFERROR(__xludf.DUMMYFUNCTION("""COMPUTED_VALUE"""),"Genetic counselor")</f>
        <v>Genetic counselor</v>
      </c>
      <c r="J135" s="55"/>
      <c r="K135" s="55" t="str">
        <f>IFERROR(__xludf.DUMMYFUNCTION("""COMPUTED_VALUE"""),"Gene-Disease Validity")</f>
        <v>Gene-Disease Validity</v>
      </c>
      <c r="L135" s="55"/>
      <c r="M135" s="55"/>
      <c r="N135" s="55"/>
      <c r="O135" s="55"/>
      <c r="P135" s="55"/>
      <c r="Q135" s="55"/>
      <c r="R135" s="55"/>
      <c r="S135" s="55"/>
      <c r="T135" s="55"/>
      <c r="U135" s="55"/>
      <c r="V135" s="55"/>
      <c r="W135" s="55"/>
      <c r="X135" s="55"/>
      <c r="Y135" s="55"/>
      <c r="Z135" s="55"/>
    </row>
    <row r="136">
      <c r="A136" s="55" t="str">
        <f>IFERROR(__xludf.DUMMYFUNCTION("""COMPUTED_VALUE"""),"Assigned")</f>
        <v>Assigned</v>
      </c>
      <c r="B136" s="55" t="str">
        <f>IFERROR(__xludf.DUMMYFUNCTION("""COMPUTED_VALUE"""),"")</f>
        <v/>
      </c>
      <c r="C136" s="94">
        <f>IFERROR(__xludf.DUMMYFUNCTION("""COMPUTED_VALUE"""),43627.0)</f>
        <v>43627</v>
      </c>
      <c r="D136" s="55" t="str">
        <f>IFERROR(__xludf.DUMMYFUNCTION("""COMPUTED_VALUE"""),"Yes")</f>
        <v>Yes</v>
      </c>
      <c r="E136" s="55" t="str">
        <f>IFERROR(__xludf.DUMMYFUNCTION("""COMPUTED_VALUE"""),"Variant Pathogenicity")</f>
        <v>Variant Pathogenicity</v>
      </c>
      <c r="F136" s="55" t="str">
        <f>IFERROR(__xludf.DUMMYFUNCTION("""COMPUTED_VALUE"""),"Monogenic Diabetes")</f>
        <v>Monogenic Diabetes</v>
      </c>
      <c r="G136" s="55" t="str">
        <f>IFERROR(__xludf.DUMMYFUNCTION("""COMPUTED_VALUE"""),"Suvina To")</f>
        <v>Suvina To</v>
      </c>
      <c r="H136" s="55" t="str">
        <f>IFERROR(__xludf.DUMMYFUNCTION("""COMPUTED_VALUE"""),"suvina@gmail.com")</f>
        <v>suvina@gmail.com</v>
      </c>
      <c r="I136" s="55" t="str">
        <f>IFERROR(__xludf.DUMMYFUNCTION("""COMPUTED_VALUE"""),"Variant Analyst/Scientist - Industry")</f>
        <v>Variant Analyst/Scientist - Industry</v>
      </c>
      <c r="J136" s="55"/>
      <c r="K136" s="55" t="str">
        <f>IFERROR(__xludf.DUMMYFUNCTION("""COMPUTED_VALUE"""),"Variant Pathogenicity")</f>
        <v>Variant Pathogenicity</v>
      </c>
      <c r="L136" s="55"/>
      <c r="M136" s="55"/>
      <c r="N136" s="55"/>
      <c r="O136" s="55"/>
      <c r="P136" s="55"/>
      <c r="Q136" s="55"/>
      <c r="R136" s="55"/>
      <c r="S136" s="55"/>
      <c r="T136" s="55"/>
      <c r="U136" s="55"/>
      <c r="V136" s="55"/>
      <c r="W136" s="55"/>
      <c r="X136" s="55"/>
      <c r="Y136" s="55"/>
      <c r="Z136" s="55"/>
    </row>
    <row r="137">
      <c r="A137" s="55" t="str">
        <f>IFERROR(__xludf.DUMMYFUNCTION("""COMPUTED_VALUE"""),"Assigned")</f>
        <v>Assigned</v>
      </c>
      <c r="B137" s="55" t="str">
        <f>IFERROR(__xludf.DUMMYFUNCTION("""COMPUTED_VALUE"""),"")</f>
        <v/>
      </c>
      <c r="C137" s="93">
        <f>IFERROR(__xludf.DUMMYFUNCTION("""COMPUTED_VALUE"""),43608.0)</f>
        <v>43608</v>
      </c>
      <c r="D137" s="55" t="str">
        <f>IFERROR(__xludf.DUMMYFUNCTION("""COMPUTED_VALUE"""),"Yes")</f>
        <v>Yes</v>
      </c>
      <c r="E137" s="55" t="str">
        <f>IFERROR(__xludf.DUMMYFUNCTION("""COMPUTED_VALUE"""),"Variant Pathogenicity")</f>
        <v>Variant Pathogenicity</v>
      </c>
      <c r="F137" s="55" t="str">
        <f>IFERROR(__xludf.DUMMYFUNCTION("""COMPUTED_VALUE"""),"ACADVL")</f>
        <v>ACADVL</v>
      </c>
      <c r="G137" s="55" t="str">
        <f>IFERROR(__xludf.DUMMYFUNCTION("""COMPUTED_VALUE"""),"Lemuel Racacho")</f>
        <v>Lemuel Racacho</v>
      </c>
      <c r="H137" s="55" t="str">
        <f>IFERROR(__xludf.DUMMYFUNCTION("""COMPUTED_VALUE"""),"lracacho@cheo.on.ca")</f>
        <v>lracacho@cheo.on.ca</v>
      </c>
      <c r="I137" s="55" t="str">
        <f>IFERROR(__xludf.DUMMYFUNCTION("""COMPUTED_VALUE"""),"Post Doc/Resident/Fellow (MD and/or PhD)")</f>
        <v>Post Doc/Resident/Fellow (MD and/or PhD)</v>
      </c>
      <c r="J137" s="55"/>
      <c r="K137" s="55" t="str">
        <f>IFERROR(__xludf.DUMMYFUNCTION("""COMPUTED_VALUE"""),"Variant Pathogenicity")</f>
        <v>Variant Pathogenicity</v>
      </c>
      <c r="L137" s="55"/>
      <c r="M137" s="55"/>
      <c r="N137" s="55"/>
      <c r="O137" s="55"/>
      <c r="P137" s="55"/>
      <c r="Q137" s="55"/>
      <c r="R137" s="55"/>
      <c r="S137" s="55"/>
      <c r="T137" s="55"/>
      <c r="U137" s="55"/>
      <c r="V137" s="55"/>
      <c r="W137" s="55"/>
      <c r="X137" s="55"/>
      <c r="Y137" s="55"/>
      <c r="Z137" s="55"/>
    </row>
    <row r="138">
      <c r="A138" s="55" t="str">
        <f>IFERROR(__xludf.DUMMYFUNCTION("""COMPUTED_VALUE"""),"Contacted")</f>
        <v>Contacted</v>
      </c>
      <c r="B138" s="94">
        <f>IFERROR(__xludf.DUMMYFUNCTION("""COMPUTED_VALUE"""),43819.0)</f>
        <v>43819</v>
      </c>
      <c r="C138" s="55" t="str">
        <f>IFERROR(__xludf.DUMMYFUNCTION("""COMPUTED_VALUE"""),"")</f>
        <v/>
      </c>
      <c r="D138" s="55" t="str">
        <f>IFERROR(__xludf.DUMMYFUNCTION("""COMPUTED_VALUE"""),"No")</f>
        <v>No</v>
      </c>
      <c r="E138" s="55" t="str">
        <f>IFERROR(__xludf.DUMMYFUNCTION("""COMPUTED_VALUE"""),"Gene Disease Validity")</f>
        <v>Gene Disease Validity</v>
      </c>
      <c r="F138" s="55" t="str">
        <f>IFERROR(__xludf.DUMMYFUNCTION("""COMPUTED_VALUE"""),"")</f>
        <v/>
      </c>
      <c r="G138" s="55" t="str">
        <f>IFERROR(__xludf.DUMMYFUNCTION("""COMPUTED_VALUE"""),"Bo Yuan")</f>
        <v>Bo Yuan</v>
      </c>
      <c r="H138" s="55" t="str">
        <f>IFERROR(__xludf.DUMMYFUNCTION("""COMPUTED_VALUE"""),"by2@bcm.edu")</f>
        <v>by2@bcm.edu</v>
      </c>
      <c r="I138" s="55" t="str">
        <f>IFERROR(__xludf.DUMMYFUNCTION("""COMPUTED_VALUE"""),"Clinical laboratory geneticist")</f>
        <v>Clinical laboratory geneticist</v>
      </c>
      <c r="J138" s="55"/>
      <c r="K138" s="55" t="str">
        <f>IFERROR(__xludf.DUMMYFUNCTION("""COMPUTED_VALUE"""),"Gene-Disease Validity")</f>
        <v>Gene-Disease Validity</v>
      </c>
      <c r="L138" s="55"/>
      <c r="M138" s="55"/>
      <c r="N138" s="55"/>
      <c r="O138" s="55"/>
      <c r="P138" s="55"/>
      <c r="Q138" s="55"/>
      <c r="R138" s="55"/>
      <c r="S138" s="55"/>
      <c r="T138" s="55"/>
      <c r="U138" s="55"/>
      <c r="V138" s="55"/>
      <c r="W138" s="55"/>
      <c r="X138" s="55"/>
      <c r="Y138" s="55"/>
      <c r="Z138" s="55"/>
    </row>
    <row r="139">
      <c r="A139" s="55" t="str">
        <f>IFERROR(__xludf.DUMMYFUNCTION("""COMPUTED_VALUE"""),"Contacted")</f>
        <v>Contacted</v>
      </c>
      <c r="B139" s="94">
        <f>IFERROR(__xludf.DUMMYFUNCTION("""COMPUTED_VALUE"""),43819.0)</f>
        <v>43819</v>
      </c>
      <c r="C139" s="55" t="str">
        <f>IFERROR(__xludf.DUMMYFUNCTION("""COMPUTED_VALUE"""),"")</f>
        <v/>
      </c>
      <c r="D139" s="55" t="str">
        <f>IFERROR(__xludf.DUMMYFUNCTION("""COMPUTED_VALUE"""),"No")</f>
        <v>No</v>
      </c>
      <c r="E139" s="55" t="str">
        <f>IFERROR(__xludf.DUMMYFUNCTION("""COMPUTED_VALUE"""),"Gene Disease Validity")</f>
        <v>Gene Disease Validity</v>
      </c>
      <c r="F139" s="55" t="str">
        <f>IFERROR(__xludf.DUMMYFUNCTION("""COMPUTED_VALUE"""),"")</f>
        <v/>
      </c>
      <c r="G139" s="55" t="str">
        <f>IFERROR(__xludf.DUMMYFUNCTION("""COMPUTED_VALUE"""),"Avinash Dharmadhikari")</f>
        <v>Avinash Dharmadhikari</v>
      </c>
      <c r="H139" s="55" t="str">
        <f>IFERROR(__xludf.DUMMYFUNCTION("""COMPUTED_VALUE"""),"avd2129@cumc.columbia.edu")</f>
        <v>avd2129@cumc.columbia.edu</v>
      </c>
      <c r="I139" s="55" t="str">
        <f>IFERROR(__xludf.DUMMYFUNCTION("""COMPUTED_VALUE"""),"Post Doc/Resident/Fellow (MD and/or PhD)")</f>
        <v>Post Doc/Resident/Fellow (MD and/or PhD)</v>
      </c>
      <c r="J139" s="55"/>
      <c r="K139" s="55" t="str">
        <f>IFERROR(__xludf.DUMMYFUNCTION("""COMPUTED_VALUE"""),"Gene-Disease Validity")</f>
        <v>Gene-Disease Validity</v>
      </c>
      <c r="L139" s="55"/>
      <c r="M139" s="55"/>
      <c r="N139" s="55"/>
      <c r="O139" s="55"/>
      <c r="P139" s="55"/>
      <c r="Q139" s="55"/>
      <c r="R139" s="55"/>
      <c r="S139" s="55"/>
      <c r="T139" s="55"/>
      <c r="U139" s="55"/>
      <c r="V139" s="55"/>
      <c r="W139" s="55"/>
      <c r="X139" s="55"/>
      <c r="Y139" s="55"/>
      <c r="Z139" s="55"/>
    </row>
    <row r="140">
      <c r="A140" s="55" t="str">
        <f>IFERROR(__xludf.DUMMYFUNCTION("""COMPUTED_VALUE"""),"Unresponsive")</f>
        <v>Unresponsive</v>
      </c>
      <c r="B140" s="55" t="str">
        <f>IFERROR(__xludf.DUMMYFUNCTION("""COMPUTED_VALUE"""),"")</f>
        <v/>
      </c>
      <c r="C140" s="55" t="str">
        <f>IFERROR(__xludf.DUMMYFUNCTION("""COMPUTED_VALUE"""),"")</f>
        <v/>
      </c>
      <c r="D140" s="55" t="str">
        <f>IFERROR(__xludf.DUMMYFUNCTION("""COMPUTED_VALUE"""),"No")</f>
        <v>No</v>
      </c>
      <c r="E140" s="55" t="str">
        <f>IFERROR(__xludf.DUMMYFUNCTION("""COMPUTED_VALUE"""),"Variant Pathogenicity")</f>
        <v>Variant Pathogenicity</v>
      </c>
      <c r="F140" s="55" t="str">
        <f>IFERROR(__xludf.DUMMYFUNCTION("""COMPUTED_VALUE"""),"")</f>
        <v/>
      </c>
      <c r="G140" s="55" t="str">
        <f>IFERROR(__xludf.DUMMYFUNCTION("""COMPUTED_VALUE"""),"Sara Fitzgerald-Butt")</f>
        <v>Sara Fitzgerald-Butt</v>
      </c>
      <c r="H140" s="55" t="str">
        <f>IFERROR(__xludf.DUMMYFUNCTION("""COMPUTED_VALUE"""),"sfitzge@iu.edu")</f>
        <v>sfitzge@iu.edu</v>
      </c>
      <c r="I140" s="55" t="str">
        <f>IFERROR(__xludf.DUMMYFUNCTION("""COMPUTED_VALUE"""),"Genetic counselor")</f>
        <v>Genetic counselor</v>
      </c>
      <c r="J140" s="55"/>
      <c r="K140" s="55" t="str">
        <f>IFERROR(__xludf.DUMMYFUNCTION("""COMPUTED_VALUE"""),"Variant Pathogenicity")</f>
        <v>Variant Pathogenicity</v>
      </c>
      <c r="L140" s="55"/>
      <c r="M140" s="55"/>
      <c r="N140" s="55"/>
      <c r="O140" s="55"/>
      <c r="P140" s="55"/>
      <c r="Q140" s="55"/>
      <c r="R140" s="55"/>
      <c r="S140" s="55"/>
      <c r="T140" s="55"/>
      <c r="U140" s="55"/>
      <c r="V140" s="55"/>
      <c r="W140" s="55"/>
      <c r="X140" s="55"/>
      <c r="Y140" s="55"/>
      <c r="Z140" s="55"/>
    </row>
    <row r="141">
      <c r="A141" s="55" t="str">
        <f>IFERROR(__xludf.DUMMYFUNCTION("""COMPUTED_VALUE"""),"Assigned")</f>
        <v>Assigned</v>
      </c>
      <c r="B141" s="55" t="str">
        <f>IFERROR(__xludf.DUMMYFUNCTION("""COMPUTED_VALUE"""),"")</f>
        <v/>
      </c>
      <c r="C141" s="93">
        <f>IFERROR(__xludf.DUMMYFUNCTION("""COMPUTED_VALUE"""),43608.0)</f>
        <v>43608</v>
      </c>
      <c r="D141" s="55" t="str">
        <f>IFERROR(__xludf.DUMMYFUNCTION("""COMPUTED_VALUE"""),"Yes")</f>
        <v>Yes</v>
      </c>
      <c r="E141" s="55" t="str">
        <f>IFERROR(__xludf.DUMMYFUNCTION("""COMPUTED_VALUE"""),"Variant Pathogenicity")</f>
        <v>Variant Pathogenicity</v>
      </c>
      <c r="F141" s="55" t="str">
        <f>IFERROR(__xludf.DUMMYFUNCTION("""COMPUTED_VALUE"""),"Platelet Disorders")</f>
        <v>Platelet Disorders</v>
      </c>
      <c r="G141" s="55" t="str">
        <f>IFERROR(__xludf.DUMMYFUNCTION("""COMPUTED_VALUE"""),"Samya Chakravorty")</f>
        <v>Samya Chakravorty</v>
      </c>
      <c r="H141" s="55" t="str">
        <f>IFERROR(__xludf.DUMMYFUNCTION("""COMPUTED_VALUE"""),"samya.chakravorty@emory.edu")</f>
        <v>samya.chakravorty@emory.edu</v>
      </c>
      <c r="I141" s="55" t="str">
        <f>IFERROR(__xludf.DUMMYFUNCTION("""COMPUTED_VALUE"""),"Scientific Researcher")</f>
        <v>Scientific Researcher</v>
      </c>
      <c r="J141" s="55"/>
      <c r="K141" s="55" t="str">
        <f>IFERROR(__xludf.DUMMYFUNCTION("""COMPUTED_VALUE"""),"Variant Pathogenicity")</f>
        <v>Variant Pathogenicity</v>
      </c>
      <c r="L141" s="55"/>
      <c r="M141" s="55"/>
      <c r="N141" s="55"/>
      <c r="O141" s="55"/>
      <c r="P141" s="55"/>
      <c r="Q141" s="55"/>
      <c r="R141" s="55"/>
      <c r="S141" s="55"/>
      <c r="T141" s="55"/>
      <c r="U141" s="55"/>
      <c r="V141" s="55"/>
      <c r="W141" s="55"/>
      <c r="X141" s="55"/>
      <c r="Y141" s="55"/>
      <c r="Z141" s="55"/>
    </row>
    <row r="142">
      <c r="A142" s="55" t="str">
        <f>IFERROR(__xludf.DUMMYFUNCTION("""COMPUTED_VALUE"""),"Assigned")</f>
        <v>Assigned</v>
      </c>
      <c r="B142" s="93">
        <f>IFERROR(__xludf.DUMMYFUNCTION("""COMPUTED_VALUE"""),43787.0)</f>
        <v>43787</v>
      </c>
      <c r="C142" s="55" t="str">
        <f>IFERROR(__xludf.DUMMYFUNCTION("""COMPUTED_VALUE"""),"")</f>
        <v/>
      </c>
      <c r="D142" s="55" t="str">
        <f>IFERROR(__xludf.DUMMYFUNCTION("""COMPUTED_VALUE"""),"No")</f>
        <v>No</v>
      </c>
      <c r="E142" s="55" t="str">
        <f>IFERROR(__xludf.DUMMYFUNCTION("""COMPUTED_VALUE"""),"Actionability")</f>
        <v>Actionability</v>
      </c>
      <c r="F142" s="55" t="str">
        <f>IFERROR(__xludf.DUMMYFUNCTION("""COMPUTED_VALUE"""),"")</f>
        <v/>
      </c>
      <c r="G142" s="55" t="str">
        <f>IFERROR(__xludf.DUMMYFUNCTION("""COMPUTED_VALUE"""),"Fareed Al Qusous")</f>
        <v>Fareed Al Qusous</v>
      </c>
      <c r="H142" s="55" t="str">
        <f>IFERROR(__xludf.DUMMYFUNCTION("""COMPUTED_VALUE"""),"Fareedh.al.qusous@hotmail.com")</f>
        <v>Fareedh.al.qusous@hotmail.com</v>
      </c>
      <c r="I142" s="55" t="str">
        <f>IFERROR(__xludf.DUMMYFUNCTION("""COMPUTED_VALUE"""),"Undergraduate Student")</f>
        <v>Undergraduate Student</v>
      </c>
      <c r="J142" s="55"/>
      <c r="K142" s="55" t="str">
        <f>IFERROR(__xludf.DUMMYFUNCTION("""COMPUTED_VALUE"""),"Clinical Actionability")</f>
        <v>Clinical Actionability</v>
      </c>
      <c r="L142" s="55"/>
      <c r="M142" s="55"/>
      <c r="N142" s="55"/>
      <c r="O142" s="55"/>
      <c r="P142" s="55"/>
      <c r="Q142" s="55"/>
      <c r="R142" s="55"/>
      <c r="S142" s="55"/>
      <c r="T142" s="55"/>
      <c r="U142" s="55"/>
      <c r="V142" s="55"/>
      <c r="W142" s="55"/>
      <c r="X142" s="55"/>
      <c r="Y142" s="55"/>
      <c r="Z142" s="55"/>
    </row>
    <row r="143">
      <c r="A143" s="55" t="str">
        <f>IFERROR(__xludf.DUMMYFUNCTION("""COMPUTED_VALUE"""),"Contacted")</f>
        <v>Contacted</v>
      </c>
      <c r="B143" s="55" t="str">
        <f>IFERROR(__xludf.DUMMYFUNCTION("""COMPUTED_VALUE"""),"")</f>
        <v/>
      </c>
      <c r="C143" s="93">
        <f>IFERROR(__xludf.DUMMYFUNCTION("""COMPUTED_VALUE"""),43692.0)</f>
        <v>43692</v>
      </c>
      <c r="D143" s="55" t="str">
        <f>IFERROR(__xludf.DUMMYFUNCTION("""COMPUTED_VALUE"""),"Yes")</f>
        <v>Yes</v>
      </c>
      <c r="E143" s="55" t="str">
        <f>IFERROR(__xludf.DUMMYFUNCTION("""COMPUTED_VALUE"""),"Gene Disease Validity")</f>
        <v>Gene Disease Validity</v>
      </c>
      <c r="F143" s="55" t="str">
        <f>IFERROR(__xludf.DUMMYFUNCTION("""COMPUTED_VALUE"""),"")</f>
        <v/>
      </c>
      <c r="G143" s="55" t="str">
        <f>IFERROR(__xludf.DUMMYFUNCTION("""COMPUTED_VALUE"""),"Alison Bright")</f>
        <v>Alison Bright</v>
      </c>
      <c r="H143" s="55" t="str">
        <f>IFERROR(__xludf.DUMMYFUNCTION("""COMPUTED_VALUE"""),"alison.r.bright@questdiagnostics.com")</f>
        <v>alison.r.bright@questdiagnostics.com</v>
      </c>
      <c r="I143" s="55" t="str">
        <f>IFERROR(__xludf.DUMMYFUNCTION("""COMPUTED_VALUE"""),"Variant Analyst/Scientist - Industry")</f>
        <v>Variant Analyst/Scientist - Industry</v>
      </c>
      <c r="J143" s="55"/>
      <c r="K143" s="55" t="str">
        <f>IFERROR(__xludf.DUMMYFUNCTION("""COMPUTED_VALUE"""),"Gene-Disease Validity")</f>
        <v>Gene-Disease Validity</v>
      </c>
      <c r="L143" s="55"/>
      <c r="M143" s="55"/>
      <c r="N143" s="55"/>
      <c r="O143" s="55"/>
      <c r="P143" s="55"/>
      <c r="Q143" s="55"/>
      <c r="R143" s="55"/>
      <c r="S143" s="55"/>
      <c r="T143" s="55"/>
      <c r="U143" s="55"/>
      <c r="V143" s="55"/>
      <c r="W143" s="55"/>
      <c r="X143" s="55"/>
      <c r="Y143" s="55"/>
      <c r="Z143" s="55"/>
    </row>
    <row r="144">
      <c r="A144" s="55" t="str">
        <f>IFERROR(__xludf.DUMMYFUNCTION("""COMPUTED_VALUE"""),"Contacted")</f>
        <v>Contacted</v>
      </c>
      <c r="B144" s="94">
        <f>IFERROR(__xludf.DUMMYFUNCTION("""COMPUTED_VALUE"""),43819.0)</f>
        <v>43819</v>
      </c>
      <c r="C144" s="55" t="str">
        <f>IFERROR(__xludf.DUMMYFUNCTION("""COMPUTED_VALUE"""),"")</f>
        <v/>
      </c>
      <c r="D144" s="55" t="str">
        <f>IFERROR(__xludf.DUMMYFUNCTION("""COMPUTED_VALUE"""),"")</f>
        <v/>
      </c>
      <c r="E144" s="55" t="str">
        <f>IFERROR(__xludf.DUMMYFUNCTION("""COMPUTED_VALUE"""),"Variant Pathogenicity")</f>
        <v>Variant Pathogenicity</v>
      </c>
      <c r="F144" s="55" t="str">
        <f>IFERROR(__xludf.DUMMYFUNCTION("""COMPUTED_VALUE"""),"")</f>
        <v/>
      </c>
      <c r="G144" s="55" t="str">
        <f>IFERROR(__xludf.DUMMYFUNCTION("""COMPUTED_VALUE"""),"Chloe Whitten")</f>
        <v>Chloe Whitten</v>
      </c>
      <c r="H144" s="55" t="str">
        <f>IFERROR(__xludf.DUMMYFUNCTION("""COMPUTED_VALUE"""),"cwhitten@ambrygen.com")</f>
        <v>cwhitten@ambrygen.com</v>
      </c>
      <c r="I144" s="55" t="str">
        <f>IFERROR(__xludf.DUMMYFUNCTION("""COMPUTED_VALUE"""),"Recent graduate, can help with more admin tasks")</f>
        <v>Recent graduate, can help with more admin tasks</v>
      </c>
      <c r="J144" s="55"/>
      <c r="K144" s="55" t="str">
        <f>IFERROR(__xludf.DUMMYFUNCTION("""COMPUTED_VALUE"""),"Variant Pathogenicity")</f>
        <v>Variant Pathogenicity</v>
      </c>
      <c r="L144" s="55"/>
      <c r="M144" s="55"/>
      <c r="N144" s="55"/>
      <c r="O144" s="55"/>
      <c r="P144" s="55"/>
      <c r="Q144" s="55"/>
      <c r="R144" s="55"/>
      <c r="S144" s="55"/>
      <c r="T144" s="55"/>
      <c r="U144" s="55"/>
      <c r="V144" s="55"/>
      <c r="W144" s="55"/>
      <c r="X144" s="55"/>
      <c r="Y144" s="55"/>
      <c r="Z144" s="55"/>
    </row>
    <row r="145">
      <c r="A145" s="55" t="str">
        <f>IFERROR(__xludf.DUMMYFUNCTION("""COMPUTED_VALUE"""),"Contacted")</f>
        <v>Contacted</v>
      </c>
      <c r="B145" s="55" t="str">
        <f>IFERROR(__xludf.DUMMYFUNCTION("""COMPUTED_VALUE"""),"")</f>
        <v/>
      </c>
      <c r="C145" s="104">
        <f>IFERROR(__xludf.DUMMYFUNCTION("""COMPUTED_VALUE"""),43581.0)</f>
        <v>43581</v>
      </c>
      <c r="D145" s="55" t="str">
        <f>IFERROR(__xludf.DUMMYFUNCTION("""COMPUTED_VALUE"""),"Yes")</f>
        <v>Yes</v>
      </c>
      <c r="E145" s="55" t="str">
        <f>IFERROR(__xludf.DUMMYFUNCTION("""COMPUTED_VALUE"""),"Somatic Cancer")</f>
        <v>Somatic Cancer</v>
      </c>
      <c r="F145" s="55" t="str">
        <f>IFERROR(__xludf.DUMMYFUNCTION("""COMPUTED_VALUE"""),"")</f>
        <v/>
      </c>
      <c r="G145" s="55" t="str">
        <f>IFERROR(__xludf.DUMMYFUNCTION("""COMPUTED_VALUE"""),"Ying Zou")</f>
        <v>Ying Zou</v>
      </c>
      <c r="H145" s="55" t="str">
        <f>IFERROR(__xludf.DUMMYFUNCTION("""COMPUTED_VALUE""")," yzou19@jhmi.edu")</f>
        <v> yzou19@jhmi.edu</v>
      </c>
      <c r="I145" s="55" t="str">
        <f>IFERROR(__xludf.DUMMYFUNCTION("""COMPUTED_VALUE"""),"Clinical laboratory geneticist")</f>
        <v>Clinical laboratory geneticist</v>
      </c>
      <c r="J145" s="55"/>
      <c r="K145" s="55" t="str">
        <f>IFERROR(__xludf.DUMMYFUNCTION("""COMPUTED_VALUE"""),"Somatic Cancer")</f>
        <v>Somatic Cancer</v>
      </c>
      <c r="L145" s="55"/>
      <c r="M145" s="55"/>
      <c r="N145" s="55"/>
      <c r="O145" s="55"/>
      <c r="P145" s="55"/>
      <c r="Q145" s="55"/>
      <c r="R145" s="55"/>
      <c r="S145" s="55"/>
      <c r="T145" s="55"/>
      <c r="U145" s="55"/>
      <c r="V145" s="55"/>
      <c r="W145" s="55"/>
      <c r="X145" s="55"/>
      <c r="Y145" s="55"/>
      <c r="Z145" s="55"/>
    </row>
    <row r="146">
      <c r="A146" s="55" t="str">
        <f>IFERROR(__xludf.DUMMYFUNCTION("""COMPUTED_VALUE"""),"Unresponsive")</f>
        <v>Unresponsive</v>
      </c>
      <c r="B146" s="55" t="str">
        <f>IFERROR(__xludf.DUMMYFUNCTION("""COMPUTED_VALUE"""),"")</f>
        <v/>
      </c>
      <c r="C146" s="93">
        <f>IFERROR(__xludf.DUMMYFUNCTION("""COMPUTED_VALUE"""),43570.0)</f>
        <v>43570</v>
      </c>
      <c r="D146" s="55" t="str">
        <f>IFERROR(__xludf.DUMMYFUNCTION("""COMPUTED_VALUE"""),"Yes")</f>
        <v>Yes</v>
      </c>
      <c r="E146" s="55" t="str">
        <f>IFERROR(__xludf.DUMMYFUNCTION("""COMPUTED_VALUE"""),"NA")</f>
        <v>NA</v>
      </c>
      <c r="F146" s="55" t="str">
        <f>IFERROR(__xludf.DUMMYFUNCTION("""COMPUTED_VALUE"""),"")</f>
        <v/>
      </c>
      <c r="G146" s="55" t="str">
        <f>IFERROR(__xludf.DUMMYFUNCTION("""COMPUTED_VALUE"""),"JIXIA LIU")</f>
        <v>JIXIA LIU</v>
      </c>
      <c r="H146" s="55" t="str">
        <f>IFERROR(__xludf.DUMMYFUNCTION("""COMPUTED_VALUE"""),"jixialiu@gmail.com")</f>
        <v>jixialiu@gmail.com</v>
      </c>
      <c r="I146" s="55" t="str">
        <f>IFERROR(__xludf.DUMMYFUNCTION("""COMPUTED_VALUE"""),"Clinical Variant Curator")</f>
        <v>Clinical Variant Curator</v>
      </c>
      <c r="J146" s="55"/>
      <c r="K146" s="55" t="str">
        <f>IFERROR(__xludf.DUMMYFUNCTION("""COMPUTED_VALUE"""),"Gene-Disease Validity")</f>
        <v>Gene-Disease Validity</v>
      </c>
      <c r="L146" s="55"/>
      <c r="M146" s="55"/>
      <c r="N146" s="55"/>
      <c r="O146" s="55"/>
      <c r="P146" s="55"/>
      <c r="Q146" s="55"/>
      <c r="R146" s="55"/>
      <c r="S146" s="55"/>
      <c r="T146" s="55"/>
      <c r="U146" s="55"/>
      <c r="V146" s="55"/>
      <c r="W146" s="55"/>
      <c r="X146" s="55"/>
      <c r="Y146" s="55"/>
      <c r="Z146" s="55"/>
    </row>
    <row r="147">
      <c r="A147" s="55" t="str">
        <f>IFERROR(__xludf.DUMMYFUNCTION("""COMPUTED_VALUE"""),"Assigned")</f>
        <v>Assigned</v>
      </c>
      <c r="B147" s="55" t="str">
        <f>IFERROR(__xludf.DUMMYFUNCTION("""COMPUTED_VALUE"""),"")</f>
        <v/>
      </c>
      <c r="C147" s="94">
        <f>IFERROR(__xludf.DUMMYFUNCTION("""COMPUTED_VALUE"""),43605.0)</f>
        <v>43605</v>
      </c>
      <c r="D147" s="55" t="str">
        <f>IFERROR(__xludf.DUMMYFUNCTION("""COMPUTED_VALUE"""),"Yes")</f>
        <v>Yes</v>
      </c>
      <c r="E147" s="55" t="str">
        <f>IFERROR(__xludf.DUMMYFUNCTION("""COMPUTED_VALUE"""),"Variant Pathogenicity")</f>
        <v>Variant Pathogenicity</v>
      </c>
      <c r="F147" s="55" t="str">
        <f>IFERROR(__xludf.DUMMYFUNCTION("""COMPUTED_VALUE"""),"RYR1")</f>
        <v>RYR1</v>
      </c>
      <c r="G147" s="55" t="str">
        <f>IFERROR(__xludf.DUMMYFUNCTION("""COMPUTED_VALUE"""),"Catherine Driscoll")</f>
        <v>Catherine Driscoll</v>
      </c>
      <c r="H147" s="55" t="str">
        <f>IFERROR(__xludf.DUMMYFUNCTION("""COMPUTED_VALUE"""),"kate.driscoll@nih.gov")</f>
        <v>kate.driscoll@nih.gov</v>
      </c>
      <c r="I147" s="55" t="str">
        <f>IFERROR(__xludf.DUMMYFUNCTION("""COMPUTED_VALUE"""),"Clinical laboratory geneticist")</f>
        <v>Clinical laboratory geneticist</v>
      </c>
      <c r="J147" s="55"/>
      <c r="K147" s="55" t="str">
        <f>IFERROR(__xludf.DUMMYFUNCTION("""COMPUTED_VALUE"""),"Variant Pathogenicity")</f>
        <v>Variant Pathogenicity</v>
      </c>
      <c r="L147" s="55"/>
      <c r="M147" s="55"/>
      <c r="N147" s="55"/>
      <c r="O147" s="55"/>
      <c r="P147" s="55"/>
      <c r="Q147" s="55"/>
      <c r="R147" s="55"/>
      <c r="S147" s="55"/>
      <c r="T147" s="55"/>
      <c r="U147" s="55"/>
      <c r="V147" s="55"/>
      <c r="W147" s="55"/>
      <c r="X147" s="55"/>
      <c r="Y147" s="55"/>
      <c r="Z147" s="55"/>
    </row>
    <row r="148">
      <c r="A148" s="55" t="str">
        <f>IFERROR(__xludf.DUMMYFUNCTION("""COMPUTED_VALUE"""),"Contacted")</f>
        <v>Contacted</v>
      </c>
      <c r="B148" s="94">
        <f>IFERROR(__xludf.DUMMYFUNCTION("""COMPUTED_VALUE"""),43689.0)</f>
        <v>43689</v>
      </c>
      <c r="C148" s="94">
        <f>IFERROR(__xludf.DUMMYFUNCTION("""COMPUTED_VALUE"""),43768.0)</f>
        <v>43768</v>
      </c>
      <c r="D148" s="55" t="str">
        <f>IFERROR(__xludf.DUMMYFUNCTION("""COMPUTED_VALUE"""),"Yes")</f>
        <v>Yes</v>
      </c>
      <c r="E148" s="55" t="str">
        <f>IFERROR(__xludf.DUMMYFUNCTION("""COMPUTED_VALUE"""),"Actionability")</f>
        <v>Actionability</v>
      </c>
      <c r="F148" s="55" t="str">
        <f>IFERROR(__xludf.DUMMYFUNCTION("""COMPUTED_VALUE"""),"Actionability")</f>
        <v>Actionability</v>
      </c>
      <c r="G148" s="55" t="str">
        <f>IFERROR(__xludf.DUMMYFUNCTION("""COMPUTED_VALUE"""),"Gifty Bhat")</f>
        <v>Gifty Bhat</v>
      </c>
      <c r="H148" s="55" t="str">
        <f>IFERROR(__xludf.DUMMYFUNCTION("""COMPUTED_VALUE"""),"drgiftybhat@gmail.com")</f>
        <v>drgiftybhat@gmail.com</v>
      </c>
      <c r="I148" s="55" t="str">
        <f>IFERROR(__xludf.DUMMYFUNCTION("""COMPUTED_VALUE"""),"Clinical Medical Geneticist")</f>
        <v>Clinical Medical Geneticist</v>
      </c>
      <c r="J148" s="55"/>
      <c r="K148" s="55" t="str">
        <f>IFERROR(__xludf.DUMMYFUNCTION("""COMPUTED_VALUE"""),"Clinical Actionability")</f>
        <v>Clinical Actionability</v>
      </c>
      <c r="L148" s="55"/>
      <c r="M148" s="55"/>
      <c r="N148" s="55"/>
      <c r="O148" s="55"/>
      <c r="P148" s="55"/>
      <c r="Q148" s="55"/>
      <c r="R148" s="55"/>
      <c r="S148" s="55"/>
      <c r="T148" s="55"/>
      <c r="U148" s="55"/>
      <c r="V148" s="55"/>
      <c r="W148" s="55"/>
      <c r="X148" s="55"/>
      <c r="Y148" s="55"/>
      <c r="Z148" s="55"/>
    </row>
    <row r="149">
      <c r="A149" s="55" t="str">
        <f>IFERROR(__xludf.DUMMYFUNCTION("""COMPUTED_VALUE"""),"Assigned")</f>
        <v>Assigned</v>
      </c>
      <c r="B149" s="55" t="str">
        <f>IFERROR(__xludf.DUMMYFUNCTION("""COMPUTED_VALUE"""),"")</f>
        <v/>
      </c>
      <c r="C149" s="94">
        <f>IFERROR(__xludf.DUMMYFUNCTION("""COMPUTED_VALUE"""),43608.0)</f>
        <v>43608</v>
      </c>
      <c r="D149" s="55" t="str">
        <f>IFERROR(__xludf.DUMMYFUNCTION("""COMPUTED_VALUE"""),"Yes")</f>
        <v>Yes</v>
      </c>
      <c r="E149" s="55" t="str">
        <f>IFERROR(__xludf.DUMMYFUNCTION("""COMPUTED_VALUE"""),"Variant Pathogenicity")</f>
        <v>Variant Pathogenicity</v>
      </c>
      <c r="F149" s="55" t="str">
        <f>IFERROR(__xludf.DUMMYFUNCTION("""COMPUTED_VALUE"""),"Brain Malformations")</f>
        <v>Brain Malformations</v>
      </c>
      <c r="G149" s="55" t="str">
        <f>IFERROR(__xludf.DUMMYFUNCTION("""COMPUTED_VALUE"""),"Ashley Marsh")</f>
        <v>Ashley Marsh</v>
      </c>
      <c r="H149" s="55" t="str">
        <f>IFERROR(__xludf.DUMMYFUNCTION("""COMPUTED_VALUE"""),"amarsh@ucsd.edu")</f>
        <v>amarsh@ucsd.edu</v>
      </c>
      <c r="I149" s="55" t="str">
        <f>IFERROR(__xludf.DUMMYFUNCTION("""COMPUTED_VALUE"""),"Post Doc/Resident/Fellow (MD and/or PhD)")</f>
        <v>Post Doc/Resident/Fellow (MD and/or PhD)</v>
      </c>
      <c r="J149" s="55"/>
      <c r="K149" s="55" t="str">
        <f>IFERROR(__xludf.DUMMYFUNCTION("""COMPUTED_VALUE"""),"Variant Pathogenicity")</f>
        <v>Variant Pathogenicity</v>
      </c>
      <c r="L149" s="55"/>
      <c r="M149" s="55"/>
      <c r="N149" s="55"/>
      <c r="O149" s="55"/>
      <c r="P149" s="55"/>
      <c r="Q149" s="55"/>
      <c r="R149" s="55"/>
      <c r="S149" s="55"/>
      <c r="T149" s="55"/>
      <c r="U149" s="55"/>
      <c r="V149" s="55"/>
      <c r="W149" s="55"/>
      <c r="X149" s="55"/>
      <c r="Y149" s="55"/>
      <c r="Z149" s="55"/>
    </row>
    <row r="150">
      <c r="A150" s="55" t="str">
        <f>IFERROR(__xludf.DUMMYFUNCTION("""COMPUTED_VALUE"""),"Contacted")</f>
        <v>Contacted</v>
      </c>
      <c r="B150" s="55" t="str">
        <f>IFERROR(__xludf.DUMMYFUNCTION("""COMPUTED_VALUE"""),"")</f>
        <v/>
      </c>
      <c r="C150" s="93">
        <f>IFERROR(__xludf.DUMMYFUNCTION("""COMPUTED_VALUE"""),43585.0)</f>
        <v>43585</v>
      </c>
      <c r="D150" s="55" t="str">
        <f>IFERROR(__xludf.DUMMYFUNCTION("""COMPUTED_VALUE"""),"Yes")</f>
        <v>Yes</v>
      </c>
      <c r="E150" s="55" t="str">
        <f>IFERROR(__xludf.DUMMYFUNCTION("""COMPUTED_VALUE"""),"Gene Disease Validity")</f>
        <v>Gene Disease Validity</v>
      </c>
      <c r="F150" s="55" t="str">
        <f>IFERROR(__xludf.DUMMYFUNCTION("""COMPUTED_VALUE"""),"Monogenic Diabetes")</f>
        <v>Monogenic Diabetes</v>
      </c>
      <c r="G150" s="55" t="str">
        <f>IFERROR(__xludf.DUMMYFUNCTION("""COMPUTED_VALUE"""),"Kevin Colclough")</f>
        <v>Kevin Colclough</v>
      </c>
      <c r="H150" s="55" t="str">
        <f>IFERROR(__xludf.DUMMYFUNCTION("""COMPUTED_VALUE"""),"kevin.colclough@nhs.net")</f>
        <v>kevin.colclough@nhs.net</v>
      </c>
      <c r="I150" s="55" t="str">
        <f>IFERROR(__xludf.DUMMYFUNCTION("""COMPUTED_VALUE"""),"Clinical laboratory geneticist")</f>
        <v>Clinical laboratory geneticist</v>
      </c>
      <c r="J150" s="55"/>
      <c r="K150" s="55" t="str">
        <f>IFERROR(__xludf.DUMMYFUNCTION("""COMPUTED_VALUE"""),"Variant Pathogenicity")</f>
        <v>Variant Pathogenicity</v>
      </c>
      <c r="L150" s="55"/>
      <c r="M150" s="55"/>
      <c r="N150" s="55"/>
      <c r="O150" s="55"/>
      <c r="P150" s="55"/>
      <c r="Q150" s="55"/>
      <c r="R150" s="55"/>
      <c r="S150" s="55"/>
      <c r="T150" s="55"/>
      <c r="U150" s="55"/>
      <c r="V150" s="55"/>
      <c r="W150" s="55"/>
      <c r="X150" s="55"/>
      <c r="Y150" s="55"/>
      <c r="Z150" s="55"/>
    </row>
    <row r="151">
      <c r="A151" s="55" t="str">
        <f>IFERROR(__xludf.DUMMYFUNCTION("""COMPUTED_VALUE"""),"Contacted")</f>
        <v>Contacted</v>
      </c>
      <c r="B151" s="94">
        <f>IFERROR(__xludf.DUMMYFUNCTION("""COMPUTED_VALUE"""),43705.0)</f>
        <v>43705</v>
      </c>
      <c r="C151" s="55" t="str">
        <f>IFERROR(__xludf.DUMMYFUNCTION("""COMPUTED_VALUE"""),"")</f>
        <v/>
      </c>
      <c r="D151" s="55" t="str">
        <f>IFERROR(__xludf.DUMMYFUNCTION("""COMPUTED_VALUE"""),"")</f>
        <v/>
      </c>
      <c r="E151" s="55" t="str">
        <f>IFERROR(__xludf.DUMMYFUNCTION("""COMPUTED_VALUE"""),"Somatic Cancer")</f>
        <v>Somatic Cancer</v>
      </c>
      <c r="F151" s="55" t="str">
        <f>IFERROR(__xludf.DUMMYFUNCTION("""COMPUTED_VALUE"""),"")</f>
        <v/>
      </c>
      <c r="G151" s="55" t="str">
        <f>IFERROR(__xludf.DUMMYFUNCTION("""COMPUTED_VALUE"""),"Erin Sybouts")</f>
        <v>Erin Sybouts</v>
      </c>
      <c r="H151" s="55" t="str">
        <f>IFERROR(__xludf.DUMMYFUNCTION("""COMPUTED_VALUE"""),"sybouts@livemail.uthscsa.edu")</f>
        <v>sybouts@livemail.uthscsa.edu</v>
      </c>
      <c r="I151" s="55" t="str">
        <f>IFERROR(__xludf.DUMMYFUNCTION("""COMPUTED_VALUE"""),"Graduate Student")</f>
        <v>Graduate Student</v>
      </c>
      <c r="J151" s="55"/>
      <c r="K151" s="55" t="str">
        <f>IFERROR(__xludf.DUMMYFUNCTION("""COMPUTED_VALUE"""),"Somatic Cancer")</f>
        <v>Somatic Cancer</v>
      </c>
      <c r="L151" s="55"/>
      <c r="M151" s="55"/>
      <c r="N151" s="55"/>
      <c r="O151" s="55"/>
      <c r="P151" s="55"/>
      <c r="Q151" s="55"/>
      <c r="R151" s="55"/>
      <c r="S151" s="55"/>
      <c r="T151" s="55"/>
      <c r="U151" s="55"/>
      <c r="V151" s="55"/>
      <c r="W151" s="55"/>
      <c r="X151" s="55"/>
      <c r="Y151" s="55"/>
      <c r="Z151" s="55"/>
    </row>
    <row r="152">
      <c r="A152" s="55" t="str">
        <f>IFERROR(__xludf.DUMMYFUNCTION("""COMPUTED_VALUE"""),"Contacted")</f>
        <v>Contacted</v>
      </c>
      <c r="B152" s="55" t="str">
        <f>IFERROR(__xludf.DUMMYFUNCTION("""COMPUTED_VALUE"""),"")</f>
        <v/>
      </c>
      <c r="C152" s="93">
        <f>IFERROR(__xludf.DUMMYFUNCTION("""COMPUTED_VALUE"""),43692.0)</f>
        <v>43692</v>
      </c>
      <c r="D152" s="55" t="str">
        <f>IFERROR(__xludf.DUMMYFUNCTION("""COMPUTED_VALUE"""),"Yes")</f>
        <v>Yes</v>
      </c>
      <c r="E152" s="55" t="str">
        <f>IFERROR(__xludf.DUMMYFUNCTION("""COMPUTED_VALUE"""),"Gene Disease Validity")</f>
        <v>Gene Disease Validity</v>
      </c>
      <c r="F152" s="55" t="str">
        <f>IFERROR(__xludf.DUMMYFUNCTION("""COMPUTED_VALUE"""),"")</f>
        <v/>
      </c>
      <c r="G152" s="55" t="str">
        <f>IFERROR(__xludf.DUMMYFUNCTION("""COMPUTED_VALUE"""),"FEN GUO")</f>
        <v>FEN GUO</v>
      </c>
      <c r="H152" s="55" t="str">
        <f>IFERROR(__xludf.DUMMYFUNCTION("""COMPUTED_VALUE"""),"fguo34@wisc.edu")</f>
        <v>fguo34@wisc.edu</v>
      </c>
      <c r="I152" s="55" t="str">
        <f>IFERROR(__xludf.DUMMYFUNCTION("""COMPUTED_VALUE"""),"Post Doc/Resident/Fellow (MD and/or PhD)")</f>
        <v>Post Doc/Resident/Fellow (MD and/or PhD)</v>
      </c>
      <c r="J152" s="55"/>
      <c r="K152" s="55" t="str">
        <f>IFERROR(__xludf.DUMMYFUNCTION("""COMPUTED_VALUE"""),"Gene-Disease Validity")</f>
        <v>Gene-Disease Validity</v>
      </c>
      <c r="L152" s="55"/>
      <c r="M152" s="55"/>
      <c r="N152" s="55"/>
      <c r="O152" s="55"/>
      <c r="P152" s="55"/>
      <c r="Q152" s="55"/>
      <c r="R152" s="55"/>
      <c r="S152" s="55"/>
      <c r="T152" s="55"/>
      <c r="U152" s="55"/>
      <c r="V152" s="55"/>
      <c r="W152" s="55"/>
      <c r="X152" s="55"/>
      <c r="Y152" s="55"/>
      <c r="Z152" s="55"/>
    </row>
    <row r="153">
      <c r="A153" s="55" t="str">
        <f>IFERROR(__xludf.DUMMYFUNCTION("""COMPUTED_VALUE"""),"Contacted")</f>
        <v>Contacted</v>
      </c>
      <c r="B153" s="94">
        <f>IFERROR(__xludf.DUMMYFUNCTION("""COMPUTED_VALUE"""),43819.0)</f>
        <v>43819</v>
      </c>
      <c r="C153" s="55" t="str">
        <f>IFERROR(__xludf.DUMMYFUNCTION("""COMPUTED_VALUE"""),"")</f>
        <v/>
      </c>
      <c r="D153" s="55" t="str">
        <f>IFERROR(__xludf.DUMMYFUNCTION("""COMPUTED_VALUE"""),"")</f>
        <v/>
      </c>
      <c r="E153" s="55" t="str">
        <f>IFERROR(__xludf.DUMMYFUNCTION("""COMPUTED_VALUE"""),"Gene Disease Validity")</f>
        <v>Gene Disease Validity</v>
      </c>
      <c r="F153" s="55" t="str">
        <f>IFERROR(__xludf.DUMMYFUNCTION("""COMPUTED_VALUE"""),"")</f>
        <v/>
      </c>
      <c r="G153" s="55" t="str">
        <f>IFERROR(__xludf.DUMMYFUNCTION("""COMPUTED_VALUE"""),"Elizabeth Palmer")</f>
        <v>Elizabeth Palmer</v>
      </c>
      <c r="H153" s="55" t="str">
        <f>IFERROR(__xludf.DUMMYFUNCTION("""COMPUTED_VALUE"""),"elizabeth.palmer1@health.nsw.gov.au")</f>
        <v>elizabeth.palmer1@health.nsw.gov.au</v>
      </c>
      <c r="I153" s="55" t="str">
        <f>IFERROR(__xludf.DUMMYFUNCTION("""COMPUTED_VALUE"""),"Clinical Medical Geneticist")</f>
        <v>Clinical Medical Geneticist</v>
      </c>
      <c r="J153" s="55"/>
      <c r="K153" s="55" t="str">
        <f>IFERROR(__xludf.DUMMYFUNCTION("""COMPUTED_VALUE"""),"Gene-Disease Validity")</f>
        <v>Gene-Disease Validity</v>
      </c>
      <c r="L153" s="55"/>
      <c r="M153" s="55"/>
      <c r="N153" s="55"/>
      <c r="O153" s="55"/>
      <c r="P153" s="55"/>
      <c r="Q153" s="55"/>
      <c r="R153" s="55"/>
      <c r="S153" s="55"/>
      <c r="T153" s="55"/>
      <c r="U153" s="55"/>
      <c r="V153" s="55"/>
      <c r="W153" s="55"/>
      <c r="X153" s="55"/>
      <c r="Y153" s="55"/>
      <c r="Z153" s="55"/>
    </row>
    <row r="154">
      <c r="A154" s="55" t="str">
        <f>IFERROR(__xludf.DUMMYFUNCTION("""COMPUTED_VALUE"""),"Unresponsive")</f>
        <v>Unresponsive</v>
      </c>
      <c r="B154" s="55" t="str">
        <f>IFERROR(__xludf.DUMMYFUNCTION("""COMPUTED_VALUE"""),"")</f>
        <v/>
      </c>
      <c r="C154" s="94">
        <f>IFERROR(__xludf.DUMMYFUNCTION("""COMPUTED_VALUE"""),43476.0)</f>
        <v>43476</v>
      </c>
      <c r="D154" s="55" t="str">
        <f>IFERROR(__xludf.DUMMYFUNCTION("""COMPUTED_VALUE"""),"Yes")</f>
        <v>Yes</v>
      </c>
      <c r="E154" s="55" t="str">
        <f>IFERROR(__xludf.DUMMYFUNCTION("""COMPUTED_VALUE"""),"Somatic Cancer")</f>
        <v>Somatic Cancer</v>
      </c>
      <c r="F154" s="55" t="str">
        <f>IFERROR(__xludf.DUMMYFUNCTION("""COMPUTED_VALUE"""),"")</f>
        <v/>
      </c>
      <c r="G154" s="55" t="str">
        <f>IFERROR(__xludf.DUMMYFUNCTION("""COMPUTED_VALUE"""),"Lisa Dyer")</f>
        <v>Lisa Dyer</v>
      </c>
      <c r="H154" s="55" t="str">
        <f>IFERROR(__xludf.DUMMYFUNCTION("""COMPUTED_VALUE"""),"Lisa.Dyer@cchmc.org")</f>
        <v>Lisa.Dyer@cchmc.org</v>
      </c>
      <c r="I154" s="55" t="str">
        <f>IFERROR(__xludf.DUMMYFUNCTION("""COMPUTED_VALUE"""),"NA")</f>
        <v>NA</v>
      </c>
      <c r="J154" s="55"/>
      <c r="K154" s="55" t="str">
        <f>IFERROR(__xludf.DUMMYFUNCTION("""COMPUTED_VALUE"""),"Somatic Cancer")</f>
        <v>Somatic Cancer</v>
      </c>
      <c r="L154" s="55"/>
      <c r="M154" s="55"/>
      <c r="N154" s="55"/>
      <c r="O154" s="55"/>
      <c r="P154" s="55"/>
      <c r="Q154" s="55"/>
      <c r="R154" s="55"/>
      <c r="S154" s="55"/>
      <c r="T154" s="55"/>
      <c r="U154" s="55"/>
      <c r="V154" s="55"/>
      <c r="W154" s="55"/>
      <c r="X154" s="55"/>
      <c r="Y154" s="55"/>
      <c r="Z154" s="55"/>
    </row>
    <row r="155">
      <c r="A155" s="55" t="str">
        <f>IFERROR(__xludf.DUMMYFUNCTION("""COMPUTED_VALUE"""),"Contacted")</f>
        <v>Contacted</v>
      </c>
      <c r="B155" s="94">
        <f>IFERROR(__xludf.DUMMYFUNCTION("""COMPUTED_VALUE"""),43819.0)</f>
        <v>43819</v>
      </c>
      <c r="C155" s="55" t="str">
        <f>IFERROR(__xludf.DUMMYFUNCTION("""COMPUTED_VALUE"""),"")</f>
        <v/>
      </c>
      <c r="D155" s="55" t="str">
        <f>IFERROR(__xludf.DUMMYFUNCTION("""COMPUTED_VALUE"""),"")</f>
        <v/>
      </c>
      <c r="E155" s="55" t="str">
        <f>IFERROR(__xludf.DUMMYFUNCTION("""COMPUTED_VALUE"""),"Gene Disease Validity")</f>
        <v>Gene Disease Validity</v>
      </c>
      <c r="F155" s="55" t="str">
        <f>IFERROR(__xludf.DUMMYFUNCTION("""COMPUTED_VALUE"""),"")</f>
        <v/>
      </c>
      <c r="G155" s="55" t="str">
        <f>IFERROR(__xludf.DUMMYFUNCTION("""COMPUTED_VALUE"""),"Andrea Hallberg")</f>
        <v>Andrea Hallberg</v>
      </c>
      <c r="H155" s="55" t="str">
        <f>IFERROR(__xludf.DUMMYFUNCTION("""COMPUTED_VALUE"""),"hallberg.andrea@gmail.com")</f>
        <v>hallberg.andrea@gmail.com</v>
      </c>
      <c r="I155" s="55" t="str">
        <f>IFERROR(__xludf.DUMMYFUNCTION("""COMPUTED_VALUE"""),"Post Doc/Resident/Fellow (MD and/or PhD)")</f>
        <v>Post Doc/Resident/Fellow (MD and/or PhD)</v>
      </c>
      <c r="J155" s="55"/>
      <c r="K155" s="55" t="str">
        <f>IFERROR(__xludf.DUMMYFUNCTION("""COMPUTED_VALUE"""),"Gene-Disease Validity")</f>
        <v>Gene-Disease Validity</v>
      </c>
      <c r="L155" s="55"/>
      <c r="M155" s="55"/>
      <c r="N155" s="55"/>
      <c r="O155" s="55"/>
      <c r="P155" s="55"/>
      <c r="Q155" s="55"/>
      <c r="R155" s="55"/>
      <c r="S155" s="55"/>
      <c r="T155" s="55"/>
      <c r="U155" s="55"/>
      <c r="V155" s="55"/>
      <c r="W155" s="55"/>
      <c r="X155" s="55"/>
      <c r="Y155" s="55"/>
      <c r="Z155" s="55"/>
    </row>
    <row r="156">
      <c r="A156" s="55" t="str">
        <f>IFERROR(__xludf.DUMMYFUNCTION("""COMPUTED_VALUE"""),"Contacted")</f>
        <v>Contacted</v>
      </c>
      <c r="B156" s="94">
        <f>IFERROR(__xludf.DUMMYFUNCTION("""COMPUTED_VALUE"""),43819.0)</f>
        <v>43819</v>
      </c>
      <c r="C156" s="55" t="str">
        <f>IFERROR(__xludf.DUMMYFUNCTION("""COMPUTED_VALUE"""),"")</f>
        <v/>
      </c>
      <c r="D156" s="55" t="str">
        <f>IFERROR(__xludf.DUMMYFUNCTION("""COMPUTED_VALUE"""),"")</f>
        <v/>
      </c>
      <c r="E156" s="55" t="str">
        <f>IFERROR(__xludf.DUMMYFUNCTION("""COMPUTED_VALUE"""),"Variant Pathogenicity")</f>
        <v>Variant Pathogenicity</v>
      </c>
      <c r="F156" s="55" t="str">
        <f>IFERROR(__xludf.DUMMYFUNCTION("""COMPUTED_VALUE"""),"")</f>
        <v/>
      </c>
      <c r="G156" s="55" t="str">
        <f>IFERROR(__xludf.DUMMYFUNCTION("""COMPUTED_VALUE"""),"Lisa Chen")</f>
        <v>Lisa Chen</v>
      </c>
      <c r="H156" s="55" t="str">
        <f>IFERROR(__xludf.DUMMYFUNCTION("""COMPUTED_VALUE"""),"lisa498484901@gmail.com")</f>
        <v>lisa498484901@gmail.com</v>
      </c>
      <c r="I156" s="55" t="str">
        <f>IFERROR(__xludf.DUMMYFUNCTION("""COMPUTED_VALUE"""),"Graduate Student")</f>
        <v>Graduate Student</v>
      </c>
      <c r="J156" s="55"/>
      <c r="K156" s="55" t="str">
        <f>IFERROR(__xludf.DUMMYFUNCTION("""COMPUTED_VALUE"""),"Variant Pathogenicity")</f>
        <v>Variant Pathogenicity</v>
      </c>
      <c r="L156" s="55"/>
      <c r="M156" s="55"/>
      <c r="N156" s="55"/>
      <c r="O156" s="55"/>
      <c r="P156" s="55"/>
      <c r="Q156" s="55"/>
      <c r="R156" s="55"/>
      <c r="S156" s="55"/>
      <c r="T156" s="55"/>
      <c r="U156" s="55"/>
      <c r="V156" s="55"/>
      <c r="W156" s="55"/>
      <c r="X156" s="55"/>
      <c r="Y156" s="55"/>
      <c r="Z156" s="55"/>
    </row>
    <row r="157">
      <c r="A157" s="55" t="str">
        <f>IFERROR(__xludf.DUMMYFUNCTION("""COMPUTED_VALUE"""),"Contacted")</f>
        <v>Contacted</v>
      </c>
      <c r="B157" s="94">
        <f>IFERROR(__xludf.DUMMYFUNCTION("""COMPUTED_VALUE"""),43819.0)</f>
        <v>43819</v>
      </c>
      <c r="C157" s="55" t="str">
        <f>IFERROR(__xludf.DUMMYFUNCTION("""COMPUTED_VALUE"""),"")</f>
        <v/>
      </c>
      <c r="D157" s="55" t="str">
        <f>IFERROR(__xludf.DUMMYFUNCTION("""COMPUTED_VALUE"""),"")</f>
        <v/>
      </c>
      <c r="E157" s="55" t="str">
        <f>IFERROR(__xludf.DUMMYFUNCTION("""COMPUTED_VALUE"""),"Gene Disease Validity")</f>
        <v>Gene Disease Validity</v>
      </c>
      <c r="F157" s="55" t="str">
        <f>IFERROR(__xludf.DUMMYFUNCTION("""COMPUTED_VALUE"""),"")</f>
        <v/>
      </c>
      <c r="G157" s="55" t="str">
        <f>IFERROR(__xludf.DUMMYFUNCTION("""COMPUTED_VALUE"""),"Ingrid Paine")</f>
        <v>Ingrid Paine</v>
      </c>
      <c r="H157" s="55" t="str">
        <f>IFERROR(__xludf.DUMMYFUNCTION("""COMPUTED_VALUE"""),"runquist@alumni.bcm.edu")</f>
        <v>runquist@alumni.bcm.edu</v>
      </c>
      <c r="I157" s="55" t="str">
        <f>IFERROR(__xludf.DUMMYFUNCTION("""COMPUTED_VALUE"""),"Post Doc/Resident/Fellow (MD and/or PhD)")</f>
        <v>Post Doc/Resident/Fellow (MD and/or PhD)</v>
      </c>
      <c r="J157" s="55"/>
      <c r="K157" s="55" t="str">
        <f>IFERROR(__xludf.DUMMYFUNCTION("""COMPUTED_VALUE"""),"Gene-Disease Validity")</f>
        <v>Gene-Disease Validity</v>
      </c>
      <c r="L157" s="55"/>
      <c r="M157" s="55"/>
      <c r="N157" s="55"/>
      <c r="O157" s="55"/>
      <c r="P157" s="55"/>
      <c r="Q157" s="55"/>
      <c r="R157" s="55"/>
      <c r="S157" s="55"/>
      <c r="T157" s="55"/>
      <c r="U157" s="55"/>
      <c r="V157" s="55"/>
      <c r="W157" s="55"/>
      <c r="X157" s="55"/>
      <c r="Y157" s="55"/>
      <c r="Z157" s="55"/>
    </row>
    <row r="158">
      <c r="A158" s="55" t="str">
        <f>IFERROR(__xludf.DUMMYFUNCTION("""COMPUTED_VALUE"""),"Unassigned")</f>
        <v>Unassigned</v>
      </c>
      <c r="B158" s="55" t="str">
        <f>IFERROR(__xludf.DUMMYFUNCTION("""COMPUTED_VALUE"""),"")</f>
        <v/>
      </c>
      <c r="C158" s="55" t="str">
        <f>IFERROR(__xludf.DUMMYFUNCTION("""COMPUTED_VALUE"""),"")</f>
        <v/>
      </c>
      <c r="D158" s="55" t="str">
        <f>IFERROR(__xludf.DUMMYFUNCTION("""COMPUTED_VALUE"""),"")</f>
        <v/>
      </c>
      <c r="E158" s="55" t="str">
        <f>IFERROR(__xludf.DUMMYFUNCTION("""COMPUTED_VALUE"""),"Baseline")</f>
        <v>Baseline</v>
      </c>
      <c r="F158" s="55" t="str">
        <f>IFERROR(__xludf.DUMMYFUNCTION("""COMPUTED_VALUE"""),"")</f>
        <v/>
      </c>
      <c r="G158" s="55" t="str">
        <f>IFERROR(__xludf.DUMMYFUNCTION("""COMPUTED_VALUE"""),"Michelle Paczosa")</f>
        <v>Michelle Paczosa</v>
      </c>
      <c r="H158" s="55" t="str">
        <f>IFERROR(__xludf.DUMMYFUNCTION("""COMPUTED_VALUE"""),"Michelle.K.Paczosa@questdiagnostics.com")</f>
        <v>Michelle.K.Paczosa@questdiagnostics.com</v>
      </c>
      <c r="I158" s="55" t="str">
        <f>IFERROR(__xludf.DUMMYFUNCTION("""COMPUTED_VALUE"""),"Variant Analyst/Scientist - Industry")</f>
        <v>Variant Analyst/Scientist - Industry</v>
      </c>
      <c r="J158" s="55"/>
      <c r="K158" s="55" t="str">
        <f>IFERROR(__xludf.DUMMYFUNCTION("""COMPUTED_VALUE"""),"Dosage Sensitivity")</f>
        <v>Dosage Sensitivity</v>
      </c>
      <c r="L158" s="55"/>
      <c r="M158" s="55"/>
      <c r="N158" s="55"/>
      <c r="O158" s="55"/>
      <c r="P158" s="55"/>
      <c r="Q158" s="55"/>
      <c r="R158" s="55"/>
      <c r="S158" s="55"/>
      <c r="T158" s="55"/>
      <c r="U158" s="55"/>
      <c r="V158" s="55"/>
      <c r="W158" s="55"/>
      <c r="X158" s="55"/>
      <c r="Y158" s="55"/>
      <c r="Z158" s="55"/>
    </row>
    <row r="159">
      <c r="A159" s="55" t="str">
        <f>IFERROR(__xludf.DUMMYFUNCTION("""COMPUTED_VALUE"""),"Assigned")</f>
        <v>Assigned</v>
      </c>
      <c r="B159" s="55" t="str">
        <f>IFERROR(__xludf.DUMMYFUNCTION("""COMPUTED_VALUE"""),"")</f>
        <v/>
      </c>
      <c r="C159" s="94">
        <f>IFERROR(__xludf.DUMMYFUNCTION("""COMPUTED_VALUE"""),43605.0)</f>
        <v>43605</v>
      </c>
      <c r="D159" s="55" t="str">
        <f>IFERROR(__xludf.DUMMYFUNCTION("""COMPUTED_VALUE"""),"Yes")</f>
        <v>Yes</v>
      </c>
      <c r="E159" s="55" t="str">
        <f>IFERROR(__xludf.DUMMYFUNCTION("""COMPUTED_VALUE"""),"Variant Pathogenicity")</f>
        <v>Variant Pathogenicity</v>
      </c>
      <c r="F159" s="55" t="str">
        <f>IFERROR(__xludf.DUMMYFUNCTION("""COMPUTED_VALUE"""),"TP53")</f>
        <v>TP53</v>
      </c>
      <c r="G159" s="55" t="str">
        <f>IFERROR(__xludf.DUMMYFUNCTION("""COMPUTED_VALUE"""),"Olivia Rennie")</f>
        <v>Olivia Rennie</v>
      </c>
      <c r="H159" s="55" t="str">
        <f>IFERROR(__xludf.DUMMYFUNCTION("""COMPUTED_VALUE"""),"olivia.rennie@sickkids.ca")</f>
        <v>olivia.rennie@sickkids.ca</v>
      </c>
      <c r="I159" s="55" t="str">
        <f>IFERROR(__xludf.DUMMYFUNCTION("""COMPUTED_VALUE"""),"Biocurator")</f>
        <v>Biocurator</v>
      </c>
      <c r="J159" s="55"/>
      <c r="K159" s="55" t="str">
        <f>IFERROR(__xludf.DUMMYFUNCTION("""COMPUTED_VALUE"""),"Variant Pathogenicity")</f>
        <v>Variant Pathogenicity</v>
      </c>
      <c r="L159" s="55"/>
      <c r="M159" s="55"/>
      <c r="N159" s="55"/>
      <c r="O159" s="55"/>
      <c r="P159" s="55"/>
      <c r="Q159" s="55"/>
      <c r="R159" s="55"/>
      <c r="S159" s="55"/>
      <c r="T159" s="55"/>
      <c r="U159" s="55"/>
      <c r="V159" s="55"/>
      <c r="W159" s="55"/>
      <c r="X159" s="55"/>
      <c r="Y159" s="55"/>
      <c r="Z159" s="55"/>
    </row>
    <row r="160">
      <c r="A160" s="55" t="str">
        <f>IFERROR(__xludf.DUMMYFUNCTION("""COMPUTED_VALUE"""),"Contacted")</f>
        <v>Contacted</v>
      </c>
      <c r="B160" s="55" t="str">
        <f>IFERROR(__xludf.DUMMYFUNCTION("""COMPUTED_VALUE"""),"")</f>
        <v/>
      </c>
      <c r="C160" s="94">
        <f>IFERROR(__xludf.DUMMYFUNCTION("""COMPUTED_VALUE"""),43627.0)</f>
        <v>43627</v>
      </c>
      <c r="D160" s="55" t="str">
        <f>IFERROR(__xludf.DUMMYFUNCTION("""COMPUTED_VALUE"""),"Yes")</f>
        <v>Yes</v>
      </c>
      <c r="E160" s="55" t="str">
        <f>IFERROR(__xludf.DUMMYFUNCTION("""COMPUTED_VALUE"""),"NA")</f>
        <v>NA</v>
      </c>
      <c r="F160" s="55" t="str">
        <f>IFERROR(__xludf.DUMMYFUNCTION("""COMPUTED_VALUE"""),"")</f>
        <v/>
      </c>
      <c r="G160" s="55" t="str">
        <f>IFERROR(__xludf.DUMMYFUNCTION("""COMPUTED_VALUE"""),"Aleš Maver")</f>
        <v>Aleš Maver</v>
      </c>
      <c r="H160" s="55" t="str">
        <f>IFERROR(__xludf.DUMMYFUNCTION("""COMPUTED_VALUE"""),"ales.maver@kclj.si")</f>
        <v>ales.maver@kclj.si</v>
      </c>
      <c r="I160" s="55" t="str">
        <f>IFERROR(__xludf.DUMMYFUNCTION("""COMPUTED_VALUE"""),"Clinical laboratory geneticist")</f>
        <v>Clinical laboratory geneticist</v>
      </c>
      <c r="J160" s="55"/>
      <c r="K160" s="55" t="str">
        <f>IFERROR(__xludf.DUMMYFUNCTION("""COMPUTED_VALUE"""),"Variant Pathogenicity")</f>
        <v>Variant Pathogenicity</v>
      </c>
      <c r="L160" s="55"/>
      <c r="M160" s="55"/>
      <c r="N160" s="55"/>
      <c r="O160" s="55"/>
      <c r="P160" s="55"/>
      <c r="Q160" s="55"/>
      <c r="R160" s="55"/>
      <c r="S160" s="55"/>
      <c r="T160" s="55"/>
      <c r="U160" s="55"/>
      <c r="V160" s="55"/>
      <c r="W160" s="55"/>
      <c r="X160" s="55"/>
      <c r="Y160" s="55"/>
      <c r="Z160" s="55"/>
    </row>
    <row r="161">
      <c r="A161" s="55" t="str">
        <f>IFERROR(__xludf.DUMMYFUNCTION("""COMPUTED_VALUE"""),"Contacted")</f>
        <v>Contacted</v>
      </c>
      <c r="B161" s="94">
        <f>IFERROR(__xludf.DUMMYFUNCTION("""COMPUTED_VALUE"""),43689.0)</f>
        <v>43689</v>
      </c>
      <c r="C161" s="55" t="str">
        <f>IFERROR(__xludf.DUMMYFUNCTION("""COMPUTED_VALUE"""),"")</f>
        <v/>
      </c>
      <c r="D161" s="55" t="str">
        <f>IFERROR(__xludf.DUMMYFUNCTION("""COMPUTED_VALUE"""),"")</f>
        <v/>
      </c>
      <c r="E161" s="55" t="str">
        <f>IFERROR(__xludf.DUMMYFUNCTION("""COMPUTED_VALUE"""),"Actionability")</f>
        <v>Actionability</v>
      </c>
      <c r="F161" s="55" t="str">
        <f>IFERROR(__xludf.DUMMYFUNCTION("""COMPUTED_VALUE"""),"")</f>
        <v/>
      </c>
      <c r="G161" s="55" t="str">
        <f>IFERROR(__xludf.DUMMYFUNCTION("""COMPUTED_VALUE"""),"Léon Tshilolo")</f>
        <v>Léon Tshilolo</v>
      </c>
      <c r="H161" s="55" t="str">
        <f>IFERROR(__xludf.DUMMYFUNCTION("""COMPUTED_VALUE"""),"leon.tshilolo2012@gmail.com")</f>
        <v>leon.tshilolo2012@gmail.com</v>
      </c>
      <c r="I161" s="55" t="str">
        <f>IFERROR(__xludf.DUMMYFUNCTION("""COMPUTED_VALUE"""),"hematologist, expert of SCD")</f>
        <v>hematologist, expert of SCD</v>
      </c>
      <c r="J161" s="55"/>
      <c r="K161" s="55" t="str">
        <f>IFERROR(__xludf.DUMMYFUNCTION("""COMPUTED_VALUE"""),"Clinical Actionability")</f>
        <v>Clinical Actionability</v>
      </c>
      <c r="L161" s="55"/>
      <c r="M161" s="55"/>
      <c r="N161" s="55"/>
      <c r="O161" s="55"/>
      <c r="P161" s="55"/>
      <c r="Q161" s="55"/>
      <c r="R161" s="55"/>
      <c r="S161" s="55"/>
      <c r="T161" s="55"/>
      <c r="U161" s="55"/>
      <c r="V161" s="55"/>
      <c r="W161" s="55"/>
      <c r="X161" s="55"/>
      <c r="Y161" s="55"/>
      <c r="Z161" s="55"/>
    </row>
    <row r="162">
      <c r="A162" s="55" t="str">
        <f>IFERROR(__xludf.DUMMYFUNCTION("""COMPUTED_VALUE"""),"Contacted")</f>
        <v>Contacted</v>
      </c>
      <c r="B162" s="94">
        <f>IFERROR(__xludf.DUMMYFUNCTION("""COMPUTED_VALUE"""),43819.0)</f>
        <v>43819</v>
      </c>
      <c r="C162" s="94" t="str">
        <f>IFERROR(__xludf.DUMMYFUNCTION("""COMPUTED_VALUE"""),"")</f>
        <v/>
      </c>
      <c r="D162" s="55" t="str">
        <f>IFERROR(__xludf.DUMMYFUNCTION("""COMPUTED_VALUE"""),"")</f>
        <v/>
      </c>
      <c r="E162" s="55" t="str">
        <f>IFERROR(__xludf.DUMMYFUNCTION("""COMPUTED_VALUE"""),"Gene Disease Validity")</f>
        <v>Gene Disease Validity</v>
      </c>
      <c r="F162" s="55" t="str">
        <f>IFERROR(__xludf.DUMMYFUNCTION("""COMPUTED_VALUE"""),"")</f>
        <v/>
      </c>
      <c r="G162" s="55" t="str">
        <f>IFERROR(__xludf.DUMMYFUNCTION("""COMPUTED_VALUE"""),"Emma Reble")</f>
        <v>Emma Reble</v>
      </c>
      <c r="H162" s="55" t="str">
        <f>IFERROR(__xludf.DUMMYFUNCTION("""COMPUTED_VALUE"""),"reblee@smh.ca")</f>
        <v>reblee@smh.ca</v>
      </c>
      <c r="I162" s="55" t="str">
        <f>IFERROR(__xludf.DUMMYFUNCTION("""COMPUTED_VALUE"""),"Variant Analyst/Scientist - Academic")</f>
        <v>Variant Analyst/Scientist - Academic</v>
      </c>
      <c r="J162" s="55"/>
      <c r="K162" s="55" t="str">
        <f>IFERROR(__xludf.DUMMYFUNCTION("""COMPUTED_VALUE"""),"Gene-Disease Validity")</f>
        <v>Gene-Disease Validity</v>
      </c>
      <c r="L162" s="55"/>
      <c r="M162" s="55"/>
      <c r="N162" s="55"/>
      <c r="O162" s="55"/>
      <c r="P162" s="55"/>
      <c r="Q162" s="55"/>
      <c r="R162" s="55"/>
      <c r="S162" s="55"/>
      <c r="T162" s="55"/>
      <c r="U162" s="55"/>
      <c r="V162" s="55"/>
      <c r="W162" s="55"/>
      <c r="X162" s="55"/>
      <c r="Y162" s="55"/>
      <c r="Z162" s="55"/>
    </row>
    <row r="163">
      <c r="A163" s="55" t="str">
        <f>IFERROR(__xludf.DUMMYFUNCTION("""COMPUTED_VALUE"""),"Contacted")</f>
        <v>Contacted</v>
      </c>
      <c r="B163" s="55" t="str">
        <f>IFERROR(__xludf.DUMMYFUNCTION("""COMPUTED_VALUE"""),"")</f>
        <v/>
      </c>
      <c r="C163" s="94">
        <f>IFERROR(__xludf.DUMMYFUNCTION("""COMPUTED_VALUE"""),43627.0)</f>
        <v>43627</v>
      </c>
      <c r="D163" s="55" t="str">
        <f>IFERROR(__xludf.DUMMYFUNCTION("""COMPUTED_VALUE"""),"Yes")</f>
        <v>Yes</v>
      </c>
      <c r="E163" s="55" t="str">
        <f>IFERROR(__xludf.DUMMYFUNCTION("""COMPUTED_VALUE"""),"NA")</f>
        <v>NA</v>
      </c>
      <c r="F163" s="55" t="str">
        <f>IFERROR(__xludf.DUMMYFUNCTION("""COMPUTED_VALUE"""),"")</f>
        <v/>
      </c>
      <c r="G163" s="55" t="str">
        <f>IFERROR(__xludf.DUMMYFUNCTION("""COMPUTED_VALUE"""),"Robert Butler")</f>
        <v>Robert Butler</v>
      </c>
      <c r="H163" s="55" t="str">
        <f>IFERROR(__xludf.DUMMYFUNCTION("""COMPUTED_VALUE"""),"rbutler@northshore.org")</f>
        <v>rbutler@northshore.org</v>
      </c>
      <c r="I163" s="55" t="str">
        <f>IFERROR(__xludf.DUMMYFUNCTION("""COMPUTED_VALUE"""),"Post Doc/Resident/Fellow (MD and/or PhD)")</f>
        <v>Post Doc/Resident/Fellow (MD and/or PhD)</v>
      </c>
      <c r="J163" s="55"/>
      <c r="K163" s="55" t="str">
        <f>IFERROR(__xludf.DUMMYFUNCTION("""COMPUTED_VALUE"""),"Variant Pathogenicity")</f>
        <v>Variant Pathogenicity</v>
      </c>
      <c r="L163" s="55"/>
      <c r="M163" s="55"/>
      <c r="N163" s="55"/>
      <c r="O163" s="55"/>
      <c r="P163" s="55"/>
      <c r="Q163" s="55"/>
      <c r="R163" s="55"/>
      <c r="S163" s="55"/>
      <c r="T163" s="55"/>
      <c r="U163" s="55"/>
      <c r="V163" s="55"/>
      <c r="W163" s="55"/>
      <c r="X163" s="55"/>
      <c r="Y163" s="55"/>
      <c r="Z163" s="55"/>
    </row>
    <row r="164">
      <c r="A164" s="55" t="str">
        <f>IFERROR(__xludf.DUMMYFUNCTION("""COMPUTED_VALUE"""),"Contacted")</f>
        <v>Contacted</v>
      </c>
      <c r="B164" s="55" t="str">
        <f>IFERROR(__xludf.DUMMYFUNCTION("""COMPUTED_VALUE"""),"")</f>
        <v/>
      </c>
      <c r="C164" s="94">
        <f>IFERROR(__xludf.DUMMYFUNCTION("""COMPUTED_VALUE"""),43626.0)</f>
        <v>43626</v>
      </c>
      <c r="D164" s="55" t="str">
        <f>IFERROR(__xludf.DUMMYFUNCTION("""COMPUTED_VALUE"""),"Yes")</f>
        <v>Yes</v>
      </c>
      <c r="E164" s="55" t="str">
        <f>IFERROR(__xludf.DUMMYFUNCTION("""COMPUTED_VALUE"""),"Variant Pathogenicity")</f>
        <v>Variant Pathogenicity</v>
      </c>
      <c r="F164" s="55" t="str">
        <f>IFERROR(__xludf.DUMMYFUNCTION("""COMPUTED_VALUE"""),"")</f>
        <v/>
      </c>
      <c r="G164" s="55" t="str">
        <f>IFERROR(__xludf.DUMMYFUNCTION("""COMPUTED_VALUE"""),"Ljubica Caldovic")</f>
        <v>Ljubica Caldovic</v>
      </c>
      <c r="H164" s="55" t="str">
        <f>IFERROR(__xludf.DUMMYFUNCTION("""COMPUTED_VALUE"""),"lcaldovic@childrensnational.org")</f>
        <v>lcaldovic@childrensnational.org</v>
      </c>
      <c r="I164" s="55" t="str">
        <f>IFERROR(__xludf.DUMMYFUNCTION("""COMPUTED_VALUE"""),"Scientific Researcher")</f>
        <v>Scientific Researcher</v>
      </c>
      <c r="J164" s="55"/>
      <c r="K164" s="55" t="str">
        <f>IFERROR(__xludf.DUMMYFUNCTION("""COMPUTED_VALUE"""),"Variant Pathogenicity")</f>
        <v>Variant Pathogenicity</v>
      </c>
      <c r="L164" s="55"/>
      <c r="M164" s="55"/>
      <c r="N164" s="55"/>
      <c r="O164" s="55"/>
      <c r="P164" s="55"/>
      <c r="Q164" s="55"/>
      <c r="R164" s="55"/>
      <c r="S164" s="55"/>
      <c r="T164" s="55"/>
      <c r="U164" s="55"/>
      <c r="V164" s="55"/>
      <c r="W164" s="55"/>
      <c r="X164" s="55"/>
      <c r="Y164" s="55"/>
      <c r="Z164" s="55"/>
    </row>
    <row r="165">
      <c r="A165" s="55" t="str">
        <f>IFERROR(__xludf.DUMMYFUNCTION("""COMPUTED_VALUE"""),"Assigned")</f>
        <v>Assigned</v>
      </c>
      <c r="B165" s="55" t="str">
        <f>IFERROR(__xludf.DUMMYFUNCTION("""COMPUTED_VALUE"""),"")</f>
        <v/>
      </c>
      <c r="C165" s="94">
        <f>IFERROR(__xludf.DUMMYFUNCTION("""COMPUTED_VALUE"""),43627.0)</f>
        <v>43627</v>
      </c>
      <c r="D165" s="55" t="str">
        <f>IFERROR(__xludf.DUMMYFUNCTION("""COMPUTED_VALUE"""),"Yes")</f>
        <v>Yes</v>
      </c>
      <c r="E165" s="55" t="str">
        <f>IFERROR(__xludf.DUMMYFUNCTION("""COMPUTED_VALUE"""),"Variant Pathogenicity")</f>
        <v>Variant Pathogenicity</v>
      </c>
      <c r="F165" s="55" t="str">
        <f>IFERROR(__xludf.DUMMYFUNCTION("""COMPUTED_VALUE"""),"Mito")</f>
        <v>Mito</v>
      </c>
      <c r="G165" s="55" t="str">
        <f>IFERROR(__xludf.DUMMYFUNCTION("""COMPUTED_VALUE"""),"Joy Goffena")</f>
        <v>Joy Goffena</v>
      </c>
      <c r="H165" s="55" t="str">
        <f>IFERROR(__xludf.DUMMYFUNCTION("""COMPUTED_VALUE"""),"joy.goffena@gmail.com")</f>
        <v>joy.goffena@gmail.com</v>
      </c>
      <c r="I165" s="55" t="str">
        <f>IFERROR(__xludf.DUMMYFUNCTION("""COMPUTED_VALUE"""),"Scientific Researcher")</f>
        <v>Scientific Researcher</v>
      </c>
      <c r="J165" s="55"/>
      <c r="K165" s="55" t="str">
        <f>IFERROR(__xludf.DUMMYFUNCTION("""COMPUTED_VALUE"""),"Variant Pathogenicity")</f>
        <v>Variant Pathogenicity</v>
      </c>
      <c r="L165" s="55"/>
      <c r="M165" s="55"/>
      <c r="N165" s="55"/>
      <c r="O165" s="55"/>
      <c r="P165" s="55"/>
      <c r="Q165" s="55"/>
      <c r="R165" s="55"/>
      <c r="S165" s="55"/>
      <c r="T165" s="55"/>
      <c r="U165" s="55"/>
      <c r="V165" s="55"/>
      <c r="W165" s="55"/>
      <c r="X165" s="55"/>
      <c r="Y165" s="55"/>
      <c r="Z165" s="55"/>
    </row>
    <row r="166">
      <c r="A166" s="55" t="str">
        <f>IFERROR(__xludf.DUMMYFUNCTION("""COMPUTED_VALUE"""),"Contacted")</f>
        <v>Contacted</v>
      </c>
      <c r="B166" s="55" t="str">
        <f>IFERROR(__xludf.DUMMYFUNCTION("""COMPUTED_VALUE"""),"")</f>
        <v/>
      </c>
      <c r="C166" s="93">
        <f>IFERROR(__xludf.DUMMYFUNCTION("""COMPUTED_VALUE"""),43692.0)</f>
        <v>43692</v>
      </c>
      <c r="D166" s="55" t="str">
        <f>IFERROR(__xludf.DUMMYFUNCTION("""COMPUTED_VALUE"""),"Yes")</f>
        <v>Yes</v>
      </c>
      <c r="E166" s="55" t="str">
        <f>IFERROR(__xludf.DUMMYFUNCTION("""COMPUTED_VALUE"""),"Gene Disease Validity")</f>
        <v>Gene Disease Validity</v>
      </c>
      <c r="F166" s="55" t="str">
        <f>IFERROR(__xludf.DUMMYFUNCTION("""COMPUTED_VALUE"""),"")</f>
        <v/>
      </c>
      <c r="G166" s="55" t="str">
        <f>IFERROR(__xludf.DUMMYFUNCTION("""COMPUTED_VALUE"""),"Amruta Phatak")</f>
        <v>Amruta Phatak</v>
      </c>
      <c r="H166" s="55" t="str">
        <f>IFERROR(__xludf.DUMMYFUNCTION("""COMPUTED_VALUE"""),"arphatak@iu.edu")</f>
        <v>arphatak@iu.edu</v>
      </c>
      <c r="I166" s="55" t="str">
        <f>IFERROR(__xludf.DUMMYFUNCTION("""COMPUTED_VALUE"""),"Post Doc/Resident/Fellow (MD and/or PhD)")</f>
        <v>Post Doc/Resident/Fellow (MD and/or PhD)</v>
      </c>
      <c r="J166" s="55"/>
      <c r="K166" s="55" t="str">
        <f>IFERROR(__xludf.DUMMYFUNCTION("""COMPUTED_VALUE"""),"Gene-Disease Validity")</f>
        <v>Gene-Disease Validity</v>
      </c>
      <c r="L166" s="55"/>
      <c r="M166" s="55"/>
      <c r="N166" s="55"/>
      <c r="O166" s="55"/>
      <c r="P166" s="55"/>
      <c r="Q166" s="55"/>
      <c r="R166" s="55"/>
      <c r="S166" s="55"/>
      <c r="T166" s="55"/>
      <c r="U166" s="55"/>
      <c r="V166" s="55"/>
      <c r="W166" s="55"/>
      <c r="X166" s="55"/>
      <c r="Y166" s="55"/>
      <c r="Z166" s="55"/>
    </row>
    <row r="167">
      <c r="A167" s="55" t="str">
        <f>IFERROR(__xludf.DUMMYFUNCTION("""COMPUTED_VALUE"""),"Recontact Later")</f>
        <v>Recontact Later</v>
      </c>
      <c r="B167" s="94">
        <f>IFERROR(__xludf.DUMMYFUNCTION("""COMPUTED_VALUE"""),43819.0)</f>
        <v>43819</v>
      </c>
      <c r="C167" s="55" t="str">
        <f>IFERROR(__xludf.DUMMYFUNCTION("""COMPUTED_VALUE"""),"")</f>
        <v/>
      </c>
      <c r="D167" s="55" t="str">
        <f>IFERROR(__xludf.DUMMYFUNCTION("""COMPUTED_VALUE"""),"")</f>
        <v/>
      </c>
      <c r="E167" s="55" t="str">
        <f>IFERROR(__xludf.DUMMYFUNCTION("""COMPUTED_VALUE"""),"Variant Pathogenicity")</f>
        <v>Variant Pathogenicity</v>
      </c>
      <c r="F167" s="55" t="str">
        <f>IFERROR(__xludf.DUMMYFUNCTION("""COMPUTED_VALUE"""),"")</f>
        <v/>
      </c>
      <c r="G167" s="55" t="str">
        <f>IFERROR(__xludf.DUMMYFUNCTION("""COMPUTED_VALUE"""),"Cath Tyner")</f>
        <v>Cath Tyner</v>
      </c>
      <c r="H167" s="55" t="str">
        <f>IFERROR(__xludf.DUMMYFUNCTION("""COMPUTED_VALUE"""),"cathtyner@gmail.com")</f>
        <v>cathtyner@gmail.com</v>
      </c>
      <c r="I167" s="55" t="str">
        <f>IFERROR(__xludf.DUMMYFUNCTION("""COMPUTED_VALUE"""),"Software QA Engineer at Invitae")</f>
        <v>Software QA Engineer at Invitae</v>
      </c>
      <c r="J167" s="55"/>
      <c r="K167" s="55" t="str">
        <f>IFERROR(__xludf.DUMMYFUNCTION("""COMPUTED_VALUE"""),"Variant Pathogenicity")</f>
        <v>Variant Pathogenicity</v>
      </c>
      <c r="L167" s="55"/>
      <c r="M167" s="55"/>
      <c r="N167" s="55"/>
      <c r="O167" s="55"/>
      <c r="P167" s="55"/>
      <c r="Q167" s="55"/>
      <c r="R167" s="55"/>
      <c r="S167" s="55"/>
      <c r="T167" s="55"/>
      <c r="U167" s="55"/>
      <c r="V167" s="55"/>
      <c r="W167" s="55"/>
      <c r="X167" s="55"/>
      <c r="Y167" s="55"/>
      <c r="Z167" s="55"/>
    </row>
    <row r="168">
      <c r="A168" s="55" t="str">
        <f>IFERROR(__xludf.DUMMYFUNCTION("""COMPUTED_VALUE"""),"Contacted")</f>
        <v>Contacted</v>
      </c>
      <c r="B168" s="55" t="str">
        <f>IFERROR(__xludf.DUMMYFUNCTION("""COMPUTED_VALUE"""),"")</f>
        <v/>
      </c>
      <c r="C168" s="94">
        <f>IFERROR(__xludf.DUMMYFUNCTION("""COMPUTED_VALUE"""),43627.0)</f>
        <v>43627</v>
      </c>
      <c r="D168" s="55" t="str">
        <f>IFERROR(__xludf.DUMMYFUNCTION("""COMPUTED_VALUE"""),"Yes")</f>
        <v>Yes</v>
      </c>
      <c r="E168" s="55" t="str">
        <f>IFERROR(__xludf.DUMMYFUNCTION("""COMPUTED_VALUE"""),"Variant Pathogenicity")</f>
        <v>Variant Pathogenicity</v>
      </c>
      <c r="F168" s="55" t="str">
        <f>IFERROR(__xludf.DUMMYFUNCTION("""COMPUTED_VALUE"""),"")</f>
        <v/>
      </c>
      <c r="G168" s="55" t="str">
        <f>IFERROR(__xludf.DUMMYFUNCTION("""COMPUTED_VALUE"""),"Abdelazeem Elhabyan ")</f>
        <v>Abdelazeem Elhabyan </v>
      </c>
      <c r="H168" s="55" t="str">
        <f>IFERROR(__xludf.DUMMYFUNCTION("""COMPUTED_VALUE"""),"Abdelazeem_abdelhameed2015505@yahoo.com")</f>
        <v>Abdelazeem_abdelhameed2015505@yahoo.com</v>
      </c>
      <c r="I168" s="55" t="str">
        <f>IFERROR(__xludf.DUMMYFUNCTION("""COMPUTED_VALUE"""),"Graduate Student")</f>
        <v>Graduate Student</v>
      </c>
      <c r="J168" s="55"/>
      <c r="K168" s="55" t="str">
        <f>IFERROR(__xludf.DUMMYFUNCTION("""COMPUTED_VALUE"""),"Variant Pathogenicity")</f>
        <v>Variant Pathogenicity</v>
      </c>
      <c r="L168" s="55"/>
      <c r="M168" s="55"/>
      <c r="N168" s="55"/>
      <c r="O168" s="55"/>
      <c r="P168" s="55"/>
      <c r="Q168" s="55"/>
      <c r="R168" s="55"/>
      <c r="S168" s="55"/>
      <c r="T168" s="55"/>
      <c r="U168" s="55"/>
      <c r="V168" s="55"/>
      <c r="W168" s="55"/>
      <c r="X168" s="55"/>
      <c r="Y168" s="55"/>
      <c r="Z168" s="55"/>
    </row>
    <row r="169">
      <c r="A169" s="55" t="str">
        <f>IFERROR(__xludf.DUMMYFUNCTION("""COMPUTED_VALUE"""),"Contacted")</f>
        <v>Contacted</v>
      </c>
      <c r="B169" s="94">
        <f>IFERROR(__xludf.DUMMYFUNCTION("""COMPUTED_VALUE"""),43819.0)</f>
        <v>43819</v>
      </c>
      <c r="C169" s="55" t="str">
        <f>IFERROR(__xludf.DUMMYFUNCTION("""COMPUTED_VALUE"""),"")</f>
        <v/>
      </c>
      <c r="D169" s="55" t="str">
        <f>IFERROR(__xludf.DUMMYFUNCTION("""COMPUTED_VALUE"""),"")</f>
        <v/>
      </c>
      <c r="E169" s="55" t="str">
        <f>IFERROR(__xludf.DUMMYFUNCTION("""COMPUTED_VALUE"""),"Gene Disease Validity")</f>
        <v>Gene Disease Validity</v>
      </c>
      <c r="F169" s="55" t="str">
        <f>IFERROR(__xludf.DUMMYFUNCTION("""COMPUTED_VALUE"""),"")</f>
        <v/>
      </c>
      <c r="G169" s="55" t="str">
        <f>IFERROR(__xludf.DUMMYFUNCTION("""COMPUTED_VALUE"""),"Claudia Gonzaga-Jauregui")</f>
        <v>Claudia Gonzaga-Jauregui</v>
      </c>
      <c r="H169" s="55" t="str">
        <f>IFERROR(__xludf.DUMMYFUNCTION("""COMPUTED_VALUE"""),"cgonzagaj@gmail.com")</f>
        <v>cgonzagaj@gmail.com</v>
      </c>
      <c r="I169" s="55" t="str">
        <f>IFERROR(__xludf.DUMMYFUNCTION("""COMPUTED_VALUE"""),"Scientific Researcher")</f>
        <v>Scientific Researcher</v>
      </c>
      <c r="J169" s="55"/>
      <c r="K169" s="55" t="str">
        <f>IFERROR(__xludf.DUMMYFUNCTION("""COMPUTED_VALUE"""),"Gene-Disease Validity")</f>
        <v>Gene-Disease Validity</v>
      </c>
      <c r="L169" s="55"/>
      <c r="M169" s="55"/>
      <c r="N169" s="55"/>
      <c r="O169" s="55"/>
      <c r="P169" s="55"/>
      <c r="Q169" s="55"/>
      <c r="R169" s="55"/>
      <c r="S169" s="55"/>
      <c r="T169" s="55"/>
      <c r="U169" s="55"/>
      <c r="V169" s="55"/>
      <c r="W169" s="55"/>
      <c r="X169" s="55"/>
      <c r="Y169" s="55"/>
      <c r="Z169" s="55"/>
    </row>
    <row r="170">
      <c r="A170" s="55" t="str">
        <f>IFERROR(__xludf.DUMMYFUNCTION("""COMPUTED_VALUE"""),"Unresponsive")</f>
        <v>Unresponsive</v>
      </c>
      <c r="B170" s="94">
        <f>IFERROR(__xludf.DUMMYFUNCTION("""COMPUTED_VALUE"""),43689.0)</f>
        <v>43689</v>
      </c>
      <c r="C170" s="55" t="str">
        <f>IFERROR(__xludf.DUMMYFUNCTION("""COMPUTED_VALUE"""),"")</f>
        <v/>
      </c>
      <c r="D170" s="55" t="str">
        <f>IFERROR(__xludf.DUMMYFUNCTION("""COMPUTED_VALUE"""),"")</f>
        <v/>
      </c>
      <c r="E170" s="55" t="str">
        <f>IFERROR(__xludf.DUMMYFUNCTION("""COMPUTED_VALUE"""),"Actionability")</f>
        <v>Actionability</v>
      </c>
      <c r="F170" s="55" t="str">
        <f>IFERROR(__xludf.DUMMYFUNCTION("""COMPUTED_VALUE"""),"")</f>
        <v/>
      </c>
      <c r="G170" s="55" t="str">
        <f>IFERROR(__xludf.DUMMYFUNCTION("""COMPUTED_VALUE"""),"Altovise Ewing")</f>
        <v>Altovise Ewing</v>
      </c>
      <c r="H170" s="55" t="str">
        <f>IFERROR(__xludf.DUMMYFUNCTION("""COMPUTED_VALUE"""),"altovisee@gmail.com")</f>
        <v>altovisee@gmail.com</v>
      </c>
      <c r="I170" s="55" t="str">
        <f>IFERROR(__xludf.DUMMYFUNCTION("""COMPUTED_VALUE"""),"Genetic counselor and health equity scientist")</f>
        <v>Genetic counselor and health equity scientist</v>
      </c>
      <c r="J170" s="55"/>
      <c r="K170" s="55" t="str">
        <f>IFERROR(__xludf.DUMMYFUNCTION("""COMPUTED_VALUE"""),"Clinical Actionability")</f>
        <v>Clinical Actionability</v>
      </c>
      <c r="L170" s="55"/>
      <c r="M170" s="55"/>
      <c r="N170" s="55"/>
      <c r="O170" s="55"/>
      <c r="P170" s="55"/>
      <c r="Q170" s="55"/>
      <c r="R170" s="55"/>
      <c r="S170" s="55"/>
      <c r="T170" s="55"/>
      <c r="U170" s="55"/>
      <c r="V170" s="55"/>
      <c r="W170" s="55"/>
      <c r="X170" s="55"/>
      <c r="Y170" s="55"/>
      <c r="Z170" s="55"/>
    </row>
    <row r="171">
      <c r="A171" s="55" t="str">
        <f>IFERROR(__xludf.DUMMYFUNCTION("""COMPUTED_VALUE"""),"Unassigned")</f>
        <v>Unassigned</v>
      </c>
      <c r="B171" s="55" t="str">
        <f>IFERROR(__xludf.DUMMYFUNCTION("""COMPUTED_VALUE"""),"")</f>
        <v/>
      </c>
      <c r="C171" s="55" t="str">
        <f>IFERROR(__xludf.DUMMYFUNCTION("""COMPUTED_VALUE"""),"")</f>
        <v/>
      </c>
      <c r="D171" s="55" t="str">
        <f>IFERROR(__xludf.DUMMYFUNCTION("""COMPUTED_VALUE"""),"")</f>
        <v/>
      </c>
      <c r="E171" s="55" t="str">
        <f>IFERROR(__xludf.DUMMYFUNCTION("""COMPUTED_VALUE"""),"Dosage Sensitivity")</f>
        <v>Dosage Sensitivity</v>
      </c>
      <c r="F171" s="55" t="str">
        <f>IFERROR(__xludf.DUMMYFUNCTION("""COMPUTED_VALUE"""),"")</f>
        <v/>
      </c>
      <c r="G171" s="55" t="str">
        <f>IFERROR(__xludf.DUMMYFUNCTION("""COMPUTED_VALUE"""),"Laura Sack")</f>
        <v>Laura Sack</v>
      </c>
      <c r="H171" s="55" t="str">
        <f>IFERROR(__xludf.DUMMYFUNCTION("""COMPUTED_VALUE"""),"laura@sack.io")</f>
        <v>laura@sack.io</v>
      </c>
      <c r="I171" s="55" t="str">
        <f>IFERROR(__xludf.DUMMYFUNCTION("""COMPUTED_VALUE"""),"Variant Analyst/Scientist - Industry")</f>
        <v>Variant Analyst/Scientist - Industry</v>
      </c>
      <c r="J171" s="55"/>
      <c r="K171" s="55" t="str">
        <f>IFERROR(__xludf.DUMMYFUNCTION("""COMPUTED_VALUE"""),"Dosage Sensitivity")</f>
        <v>Dosage Sensitivity</v>
      </c>
      <c r="L171" s="55"/>
      <c r="M171" s="55"/>
      <c r="N171" s="55"/>
      <c r="O171" s="55"/>
      <c r="P171" s="55"/>
      <c r="Q171" s="55"/>
      <c r="R171" s="55"/>
      <c r="S171" s="55"/>
      <c r="T171" s="55"/>
      <c r="U171" s="55"/>
      <c r="V171" s="55"/>
      <c r="W171" s="55"/>
      <c r="X171" s="55"/>
      <c r="Y171" s="55"/>
      <c r="Z171" s="55"/>
    </row>
    <row r="172">
      <c r="A172" s="55" t="str">
        <f>IFERROR(__xludf.DUMMYFUNCTION("""COMPUTED_VALUE"""),"Contacted")</f>
        <v>Contacted</v>
      </c>
      <c r="B172" s="94">
        <f>IFERROR(__xludf.DUMMYFUNCTION("""COMPUTED_VALUE"""),43819.0)</f>
        <v>43819</v>
      </c>
      <c r="C172" s="55" t="str">
        <f>IFERROR(__xludf.DUMMYFUNCTION("""COMPUTED_VALUE"""),"")</f>
        <v/>
      </c>
      <c r="D172" s="55" t="str">
        <f>IFERROR(__xludf.DUMMYFUNCTION("""COMPUTED_VALUE"""),"")</f>
        <v/>
      </c>
      <c r="E172" s="55" t="str">
        <f>IFERROR(__xludf.DUMMYFUNCTION("""COMPUTED_VALUE"""),"Variant Pathogenicity")</f>
        <v>Variant Pathogenicity</v>
      </c>
      <c r="F172" s="55" t="str">
        <f>IFERROR(__xludf.DUMMYFUNCTION("""COMPUTED_VALUE"""),"")</f>
        <v/>
      </c>
      <c r="G172" s="55" t="str">
        <f>IFERROR(__xludf.DUMMYFUNCTION("""COMPUTED_VALUE"""),"Janel Case")</f>
        <v>Janel Case</v>
      </c>
      <c r="H172" s="55" t="str">
        <f>IFERROR(__xludf.DUMMYFUNCTION("""COMPUTED_VALUE"""),"janelcase@live.com")</f>
        <v>janelcase@live.com</v>
      </c>
      <c r="I172" s="55" t="str">
        <f>IFERROR(__xludf.DUMMYFUNCTION("""COMPUTED_VALUE"""),"Genetic counselor")</f>
        <v>Genetic counselor</v>
      </c>
      <c r="J172" s="55"/>
      <c r="K172" s="55" t="str">
        <f>IFERROR(__xludf.DUMMYFUNCTION("""COMPUTED_VALUE"""),"Variant Pathogenicity")</f>
        <v>Variant Pathogenicity</v>
      </c>
      <c r="L172" s="55"/>
      <c r="M172" s="55"/>
      <c r="N172" s="55"/>
      <c r="O172" s="55"/>
      <c r="P172" s="55"/>
      <c r="Q172" s="55"/>
      <c r="R172" s="55"/>
      <c r="S172" s="55"/>
      <c r="T172" s="55"/>
      <c r="U172" s="55"/>
      <c r="V172" s="55"/>
      <c r="W172" s="55"/>
      <c r="X172" s="55"/>
      <c r="Y172" s="55"/>
      <c r="Z172" s="55"/>
    </row>
    <row r="173">
      <c r="A173" s="55" t="str">
        <f>IFERROR(__xludf.DUMMYFUNCTION("""COMPUTED_VALUE"""),"Contacted")</f>
        <v>Contacted</v>
      </c>
      <c r="B173" s="55" t="str">
        <f>IFERROR(__xludf.DUMMYFUNCTION("""COMPUTED_VALUE"""),"")</f>
        <v/>
      </c>
      <c r="C173" s="94">
        <f>IFERROR(__xludf.DUMMYFUNCTION("""COMPUTED_VALUE"""),43627.0)</f>
        <v>43627</v>
      </c>
      <c r="D173" s="55" t="str">
        <f>IFERROR(__xludf.DUMMYFUNCTION("""COMPUTED_VALUE"""),"Yes")</f>
        <v>Yes</v>
      </c>
      <c r="E173" s="55" t="str">
        <f>IFERROR(__xludf.DUMMYFUNCTION("""COMPUTED_VALUE"""),"Variant Pathogenicity")</f>
        <v>Variant Pathogenicity</v>
      </c>
      <c r="F173" s="55" t="str">
        <f>IFERROR(__xludf.DUMMYFUNCTION("""COMPUTED_VALUE"""),"")</f>
        <v/>
      </c>
      <c r="G173" s="55" t="str">
        <f>IFERROR(__xludf.DUMMYFUNCTION("""COMPUTED_VALUE"""),"Carolina Bustamante")</f>
        <v>Carolina Bustamante</v>
      </c>
      <c r="H173" s="55" t="str">
        <f>IFERROR(__xludf.DUMMYFUNCTION("""COMPUTED_VALUE"""),"carolina.bustamante@gmail.com")</f>
        <v>carolina.bustamante@gmail.com</v>
      </c>
      <c r="I173" s="55" t="str">
        <f>IFERROR(__xludf.DUMMYFUNCTION("""COMPUTED_VALUE"""),"Variant Analyst/Scientist - Industry")</f>
        <v>Variant Analyst/Scientist - Industry</v>
      </c>
      <c r="J173" s="55"/>
      <c r="K173" s="55" t="str">
        <f>IFERROR(__xludf.DUMMYFUNCTION("""COMPUTED_VALUE"""),"Variant Pathogenicity")</f>
        <v>Variant Pathogenicity</v>
      </c>
      <c r="L173" s="55"/>
      <c r="M173" s="55"/>
      <c r="N173" s="55"/>
      <c r="O173" s="55"/>
      <c r="P173" s="55"/>
      <c r="Q173" s="55"/>
      <c r="R173" s="55"/>
      <c r="S173" s="55"/>
      <c r="T173" s="55"/>
      <c r="U173" s="55"/>
      <c r="V173" s="55"/>
      <c r="W173" s="55"/>
      <c r="X173" s="55"/>
      <c r="Y173" s="55"/>
      <c r="Z173" s="55"/>
    </row>
    <row r="174">
      <c r="A174" s="55" t="str">
        <f>IFERROR(__xludf.DUMMYFUNCTION("""COMPUTED_VALUE"""),"Contacted")</f>
        <v>Contacted</v>
      </c>
      <c r="B174" s="55" t="str">
        <f>IFERROR(__xludf.DUMMYFUNCTION("""COMPUTED_VALUE"""),"")</f>
        <v/>
      </c>
      <c r="C174" s="93">
        <f>IFERROR(__xludf.DUMMYFUNCTION("""COMPUTED_VALUE"""),43692.0)</f>
        <v>43692</v>
      </c>
      <c r="D174" s="55" t="str">
        <f>IFERROR(__xludf.DUMMYFUNCTION("""COMPUTED_VALUE"""),"Yes")</f>
        <v>Yes</v>
      </c>
      <c r="E174" s="55" t="str">
        <f>IFERROR(__xludf.DUMMYFUNCTION("""COMPUTED_VALUE"""),"Gene Disease Validity")</f>
        <v>Gene Disease Validity</v>
      </c>
      <c r="F174" s="55" t="str">
        <f>IFERROR(__xludf.DUMMYFUNCTION("""COMPUTED_VALUE"""),"")</f>
        <v/>
      </c>
      <c r="G174" s="55" t="str">
        <f>IFERROR(__xludf.DUMMYFUNCTION("""COMPUTED_VALUE"""),"Jean Davidson")</f>
        <v>Jean Davidson</v>
      </c>
      <c r="H174" s="55" t="str">
        <f>IFERROR(__xludf.DUMMYFUNCTION("""COMPUTED_VALUE"""),"jdavid06@calpoly.edu")</f>
        <v>jdavid06@calpoly.edu</v>
      </c>
      <c r="I174" s="55" t="str">
        <f>IFERROR(__xludf.DUMMYFUNCTION("""COMPUTED_VALUE"""),"Scientific Researcher")</f>
        <v>Scientific Researcher</v>
      </c>
      <c r="J174" s="55"/>
      <c r="K174" s="55" t="str">
        <f>IFERROR(__xludf.DUMMYFUNCTION("""COMPUTED_VALUE"""),"Gene-Disease Validity")</f>
        <v>Gene-Disease Validity</v>
      </c>
      <c r="L174" s="55"/>
      <c r="M174" s="55"/>
      <c r="N174" s="55"/>
      <c r="O174" s="55"/>
      <c r="P174" s="55"/>
      <c r="Q174" s="55"/>
      <c r="R174" s="55"/>
      <c r="S174" s="55"/>
      <c r="T174" s="55"/>
      <c r="U174" s="55"/>
      <c r="V174" s="55"/>
      <c r="W174" s="55"/>
      <c r="X174" s="55"/>
      <c r="Y174" s="55"/>
      <c r="Z174" s="55"/>
    </row>
    <row r="175">
      <c r="A175" s="55" t="str">
        <f>IFERROR(__xludf.DUMMYFUNCTION("""COMPUTED_VALUE"""),"Unresponsive")</f>
        <v>Unresponsive</v>
      </c>
      <c r="B175" s="55" t="str">
        <f>IFERROR(__xludf.DUMMYFUNCTION("""COMPUTED_VALUE"""),"")</f>
        <v/>
      </c>
      <c r="C175" s="55" t="str">
        <f>IFERROR(__xludf.DUMMYFUNCTION("""COMPUTED_VALUE"""),"")</f>
        <v/>
      </c>
      <c r="D175" s="55" t="str">
        <f>IFERROR(__xludf.DUMMYFUNCTION("""COMPUTED_VALUE"""),"")</f>
        <v/>
      </c>
      <c r="E175" s="55" t="str">
        <f>IFERROR(__xludf.DUMMYFUNCTION("""COMPUTED_VALUE"""),"Variant Pathogenicity")</f>
        <v>Variant Pathogenicity</v>
      </c>
      <c r="F175" s="55" t="str">
        <f>IFERROR(__xludf.DUMMYFUNCTION("""COMPUTED_VALUE"""),"")</f>
        <v/>
      </c>
      <c r="G175" s="55" t="str">
        <f>IFERROR(__xludf.DUMMYFUNCTION("""COMPUTED_VALUE"""),"Timo Dereani")</f>
        <v>Timo Dereani</v>
      </c>
      <c r="H175" s="55" t="str">
        <f>IFERROR(__xludf.DUMMYFUNCTION("""COMPUTED_VALUE"""),"dereani@biologis.diagnosticum.eu")</f>
        <v>dereani@biologis.diagnosticum.eu</v>
      </c>
      <c r="I175" s="55" t="str">
        <f>IFERROR(__xludf.DUMMYFUNCTION("""COMPUTED_VALUE"""),"Clinical laboratory geneticist")</f>
        <v>Clinical laboratory geneticist</v>
      </c>
      <c r="J175" s="55"/>
      <c r="K175" s="55" t="str">
        <f>IFERROR(__xludf.DUMMYFUNCTION("""COMPUTED_VALUE"""),"Variant Pathogenicity")</f>
        <v>Variant Pathogenicity</v>
      </c>
      <c r="L175" s="55"/>
      <c r="M175" s="55"/>
      <c r="N175" s="55"/>
      <c r="O175" s="55"/>
      <c r="P175" s="55"/>
      <c r="Q175" s="55"/>
      <c r="R175" s="55"/>
      <c r="S175" s="55"/>
      <c r="T175" s="55"/>
      <c r="U175" s="55"/>
      <c r="V175" s="55"/>
      <c r="W175" s="55"/>
      <c r="X175" s="55"/>
      <c r="Y175" s="55"/>
      <c r="Z175" s="55"/>
    </row>
    <row r="176">
      <c r="A176" s="55" t="str">
        <f>IFERROR(__xludf.DUMMYFUNCTION("""COMPUTED_VALUE"""),"Unresponsive")</f>
        <v>Unresponsive</v>
      </c>
      <c r="B176" s="55" t="str">
        <f>IFERROR(__xludf.DUMMYFUNCTION("""COMPUTED_VALUE"""),"")</f>
        <v/>
      </c>
      <c r="C176" s="55" t="str">
        <f>IFERROR(__xludf.DUMMYFUNCTION("""COMPUTED_VALUE"""),"")</f>
        <v/>
      </c>
      <c r="D176" s="55" t="str">
        <f>IFERROR(__xludf.DUMMYFUNCTION("""COMPUTED_VALUE"""),"")</f>
        <v/>
      </c>
      <c r="E176" s="55" t="str">
        <f>IFERROR(__xludf.DUMMYFUNCTION("""COMPUTED_VALUE"""),"Variant Pathogenicity")</f>
        <v>Variant Pathogenicity</v>
      </c>
      <c r="F176" s="55" t="str">
        <f>IFERROR(__xludf.DUMMYFUNCTION("""COMPUTED_VALUE"""),"")</f>
        <v/>
      </c>
      <c r="G176" s="55" t="str">
        <f>IFERROR(__xludf.DUMMYFUNCTION("""COMPUTED_VALUE"""),"Jennifer Bullard")</f>
        <v>Jennifer Bullard</v>
      </c>
      <c r="H176" s="55" t="str">
        <f>IFERROR(__xludf.DUMMYFUNCTION("""COMPUTED_VALUE"""),"jenniferluja@gmail.com")</f>
        <v>jenniferluja@gmail.com</v>
      </c>
      <c r="I176" s="55" t="str">
        <f>IFERROR(__xludf.DUMMYFUNCTION("""COMPUTED_VALUE"""),"Clinical laboratory geneticist")</f>
        <v>Clinical laboratory geneticist</v>
      </c>
      <c r="J176" s="55"/>
      <c r="K176" s="55" t="str">
        <f>IFERROR(__xludf.DUMMYFUNCTION("""COMPUTED_VALUE"""),"Variant Pathogenicity")</f>
        <v>Variant Pathogenicity</v>
      </c>
      <c r="L176" s="55"/>
      <c r="M176" s="55"/>
      <c r="N176" s="55"/>
      <c r="O176" s="55"/>
      <c r="P176" s="55"/>
      <c r="Q176" s="55"/>
      <c r="R176" s="55"/>
      <c r="S176" s="55"/>
      <c r="T176" s="55"/>
      <c r="U176" s="55"/>
      <c r="V176" s="55"/>
      <c r="W176" s="55"/>
      <c r="X176" s="55"/>
      <c r="Y176" s="55"/>
      <c r="Z176" s="55"/>
    </row>
    <row r="177">
      <c r="A177" s="55" t="str">
        <f>IFERROR(__xludf.DUMMYFUNCTION("""COMPUTED_VALUE"""),"Contacted")</f>
        <v>Contacted</v>
      </c>
      <c r="B177" s="94">
        <f>IFERROR(__xludf.DUMMYFUNCTION("""COMPUTED_VALUE"""),43689.0)</f>
        <v>43689</v>
      </c>
      <c r="C177" s="93">
        <f>IFERROR(__xludf.DUMMYFUNCTION("""COMPUTED_VALUE"""),43768.0)</f>
        <v>43768</v>
      </c>
      <c r="D177" s="55" t="str">
        <f>IFERROR(__xludf.DUMMYFUNCTION("""COMPUTED_VALUE"""),"Yes")</f>
        <v>Yes</v>
      </c>
      <c r="E177" s="55" t="str">
        <f>IFERROR(__xludf.DUMMYFUNCTION("""COMPUTED_VALUE"""),"Actionability")</f>
        <v>Actionability</v>
      </c>
      <c r="F177" s="55" t="str">
        <f>IFERROR(__xludf.DUMMYFUNCTION("""COMPUTED_VALUE"""),"Actionability")</f>
        <v>Actionability</v>
      </c>
      <c r="G177" s="55" t="str">
        <f>IFERROR(__xludf.DUMMYFUNCTION("""COMPUTED_VALUE"""),"Greg Lennon")</f>
        <v>Greg Lennon</v>
      </c>
      <c r="H177" s="55" t="str">
        <f>IFERROR(__xludf.DUMMYFUNCTION("""COMPUTED_VALUE"""),"greg.lennon@gmail.com")</f>
        <v>greg.lennon@gmail.com</v>
      </c>
      <c r="I177" s="55" t="str">
        <f>IFERROR(__xludf.DUMMYFUNCTION("""COMPUTED_VALUE"""),"Scientific Researcher")</f>
        <v>Scientific Researcher</v>
      </c>
      <c r="J177" s="55"/>
      <c r="K177" s="55" t="str">
        <f>IFERROR(__xludf.DUMMYFUNCTION("""COMPUTED_VALUE"""),"Clinical Actionability")</f>
        <v>Clinical Actionability</v>
      </c>
      <c r="L177" s="55"/>
      <c r="M177" s="55"/>
      <c r="N177" s="55"/>
      <c r="O177" s="55"/>
      <c r="P177" s="55"/>
      <c r="Q177" s="55"/>
      <c r="R177" s="55"/>
      <c r="S177" s="55"/>
      <c r="T177" s="55"/>
      <c r="U177" s="55"/>
      <c r="V177" s="55"/>
      <c r="W177" s="55"/>
      <c r="X177" s="55"/>
      <c r="Y177" s="55"/>
      <c r="Z177" s="55"/>
    </row>
    <row r="178">
      <c r="A178" s="55" t="str">
        <f>IFERROR(__xludf.DUMMYFUNCTION("""COMPUTED_VALUE"""),"Contacted")</f>
        <v>Contacted</v>
      </c>
      <c r="B178" s="55" t="str">
        <f>IFERROR(__xludf.DUMMYFUNCTION("""COMPUTED_VALUE"""),"")</f>
        <v/>
      </c>
      <c r="C178" s="94">
        <f>IFERROR(__xludf.DUMMYFUNCTION("""COMPUTED_VALUE"""),43626.0)</f>
        <v>43626</v>
      </c>
      <c r="D178" s="55" t="str">
        <f>IFERROR(__xludf.DUMMYFUNCTION("""COMPUTED_VALUE"""),"Yes")</f>
        <v>Yes</v>
      </c>
      <c r="E178" s="55" t="str">
        <f>IFERROR(__xludf.DUMMYFUNCTION("""COMPUTED_VALUE"""),"NA")</f>
        <v>NA</v>
      </c>
      <c r="F178" s="55" t="str">
        <f>IFERROR(__xludf.DUMMYFUNCTION("""COMPUTED_VALUE"""),"")</f>
        <v/>
      </c>
      <c r="G178" s="55" t="str">
        <f>IFERROR(__xludf.DUMMYFUNCTION("""COMPUTED_VALUE"""),"Pamela")</f>
        <v>Pamela</v>
      </c>
      <c r="H178" s="55" t="str">
        <f>IFERROR(__xludf.DUMMYFUNCTION("""COMPUTED_VALUE"""),"pchristopherson@versiti.org")</f>
        <v>pchristopherson@versiti.org</v>
      </c>
      <c r="I178" s="55" t="str">
        <f>IFERROR(__xludf.DUMMYFUNCTION("""COMPUTED_VALUE"""),"Scientific Researcher")</f>
        <v>Scientific Researcher</v>
      </c>
      <c r="J178" s="55"/>
      <c r="K178" s="55" t="str">
        <f>IFERROR(__xludf.DUMMYFUNCTION("""COMPUTED_VALUE"""),"Variant Pathogenicity")</f>
        <v>Variant Pathogenicity</v>
      </c>
      <c r="L178" s="55"/>
      <c r="M178" s="55"/>
      <c r="N178" s="55"/>
      <c r="O178" s="55"/>
      <c r="P178" s="55"/>
      <c r="Q178" s="55"/>
      <c r="R178" s="55"/>
      <c r="S178" s="55"/>
      <c r="T178" s="55"/>
      <c r="U178" s="55"/>
      <c r="V178" s="55"/>
      <c r="W178" s="55"/>
      <c r="X178" s="55"/>
      <c r="Y178" s="55"/>
      <c r="Z178" s="55"/>
    </row>
    <row r="179">
      <c r="A179" s="55" t="str">
        <f>IFERROR(__xludf.DUMMYFUNCTION("""COMPUTED_VALUE"""),"Contacted")</f>
        <v>Contacted</v>
      </c>
      <c r="B179" s="94">
        <f>IFERROR(__xludf.DUMMYFUNCTION("""COMPUTED_VALUE"""),43689.0)</f>
        <v>43689</v>
      </c>
      <c r="C179" s="55" t="str">
        <f>IFERROR(__xludf.DUMMYFUNCTION("""COMPUTED_VALUE"""),"")</f>
        <v/>
      </c>
      <c r="D179" s="55" t="str">
        <f>IFERROR(__xludf.DUMMYFUNCTION("""COMPUTED_VALUE"""),"Yes")</f>
        <v>Yes</v>
      </c>
      <c r="E179" s="55" t="str">
        <f>IFERROR(__xludf.DUMMYFUNCTION("""COMPUTED_VALUE"""),"Actionability")</f>
        <v>Actionability</v>
      </c>
      <c r="F179" s="55" t="str">
        <f>IFERROR(__xludf.DUMMYFUNCTION("""COMPUTED_VALUE"""),"")</f>
        <v/>
      </c>
      <c r="G179" s="55" t="str">
        <f>IFERROR(__xludf.DUMMYFUNCTION("""COMPUTED_VALUE"""),"Generoso")</f>
        <v>Generoso</v>
      </c>
      <c r="H179" s="55" t="str">
        <f>IFERROR(__xludf.DUMMYFUNCTION("""COMPUTED_VALUE"""),"generoso@dantelabs.com")</f>
        <v>generoso@dantelabs.com</v>
      </c>
      <c r="I179" s="55" t="str">
        <f>IFERROR(__xludf.DUMMYFUNCTION("""COMPUTED_VALUE"""),"Variant Analyst/Scientist - Industry")</f>
        <v>Variant Analyst/Scientist - Industry</v>
      </c>
      <c r="J179" s="55"/>
      <c r="K179" s="55" t="str">
        <f>IFERROR(__xludf.DUMMYFUNCTION("""COMPUTED_VALUE"""),"Clinical Actionability")</f>
        <v>Clinical Actionability</v>
      </c>
      <c r="L179" s="55"/>
      <c r="M179" s="55"/>
      <c r="N179" s="55"/>
      <c r="O179" s="55"/>
      <c r="P179" s="55"/>
      <c r="Q179" s="55"/>
      <c r="R179" s="55"/>
      <c r="S179" s="55"/>
      <c r="T179" s="55"/>
      <c r="U179" s="55"/>
      <c r="V179" s="55"/>
      <c r="W179" s="55"/>
      <c r="X179" s="55"/>
      <c r="Y179" s="55"/>
      <c r="Z179" s="55"/>
    </row>
    <row r="180">
      <c r="A180" s="55" t="str">
        <f>IFERROR(__xludf.DUMMYFUNCTION("""COMPUTED_VALUE"""),"Unresponsive")</f>
        <v>Unresponsive</v>
      </c>
      <c r="B180" s="55" t="str">
        <f>IFERROR(__xludf.DUMMYFUNCTION("""COMPUTED_VALUE"""),"")</f>
        <v/>
      </c>
      <c r="C180" s="55" t="str">
        <f>IFERROR(__xludf.DUMMYFUNCTION("""COMPUTED_VALUE"""),"")</f>
        <v/>
      </c>
      <c r="D180" s="55" t="str">
        <f>IFERROR(__xludf.DUMMYFUNCTION("""COMPUTED_VALUE"""),"")</f>
        <v/>
      </c>
      <c r="E180" s="55" t="str">
        <f>IFERROR(__xludf.DUMMYFUNCTION("""COMPUTED_VALUE"""),"Variant Pathogenicity")</f>
        <v>Variant Pathogenicity</v>
      </c>
      <c r="F180" s="55" t="str">
        <f>IFERROR(__xludf.DUMMYFUNCTION("""COMPUTED_VALUE"""),"")</f>
        <v/>
      </c>
      <c r="G180" s="55" t="str">
        <f>IFERROR(__xludf.DUMMYFUNCTION("""COMPUTED_VALUE"""),"Hemantkumar Nemade ")</f>
        <v>Hemantkumar Nemade </v>
      </c>
      <c r="H180" s="55" t="str">
        <f>IFERROR(__xludf.DUMMYFUNCTION("""COMPUTED_VALUE"""),"drhemantnemade@gmail.com")</f>
        <v>drhemantnemade@gmail.com</v>
      </c>
      <c r="I180" s="55" t="str">
        <f>IFERROR(__xludf.DUMMYFUNCTION("""COMPUTED_VALUE"""),"Physician (Non-geneticist)")</f>
        <v>Physician (Non-geneticist)</v>
      </c>
      <c r="J180" s="55"/>
      <c r="K180" s="55" t="str">
        <f>IFERROR(__xludf.DUMMYFUNCTION("""COMPUTED_VALUE"""),"Variant Pathogenicity")</f>
        <v>Variant Pathogenicity</v>
      </c>
      <c r="L180" s="55"/>
      <c r="M180" s="55"/>
      <c r="N180" s="55"/>
      <c r="O180" s="55"/>
      <c r="P180" s="55"/>
      <c r="Q180" s="55"/>
      <c r="R180" s="55"/>
      <c r="S180" s="55"/>
      <c r="T180" s="55"/>
      <c r="U180" s="55"/>
      <c r="V180" s="55"/>
      <c r="W180" s="55"/>
      <c r="X180" s="55"/>
      <c r="Y180" s="55"/>
      <c r="Z180" s="55"/>
    </row>
    <row r="181">
      <c r="A181" s="55" t="str">
        <f>IFERROR(__xludf.DUMMYFUNCTION("""COMPUTED_VALUE"""),"Contacted")</f>
        <v>Contacted</v>
      </c>
      <c r="B181" s="94">
        <f>IFERROR(__xludf.DUMMYFUNCTION("""COMPUTED_VALUE"""),43705.0)</f>
        <v>43705</v>
      </c>
      <c r="C181" s="93">
        <f>IFERROR(__xludf.DUMMYFUNCTION("""COMPUTED_VALUE"""),43719.0)</f>
        <v>43719</v>
      </c>
      <c r="D181" s="55" t="str">
        <f>IFERROR(__xludf.DUMMYFUNCTION("""COMPUTED_VALUE"""),"No")</f>
        <v>No</v>
      </c>
      <c r="E181" s="55" t="str">
        <f>IFERROR(__xludf.DUMMYFUNCTION("""COMPUTED_VALUE"""),"Somatic Cancer")</f>
        <v>Somatic Cancer</v>
      </c>
      <c r="F181" s="55" t="str">
        <f>IFERROR(__xludf.DUMMYFUNCTION("""COMPUTED_VALUE"""),"")</f>
        <v/>
      </c>
      <c r="G181" s="55" t="str">
        <f>IFERROR(__xludf.DUMMYFUNCTION("""COMPUTED_VALUE"""),"Christina Bridges")</f>
        <v>Christina Bridges</v>
      </c>
      <c r="H181" s="55" t="str">
        <f>IFERROR(__xludf.DUMMYFUNCTION("""COMPUTED_VALUE"""),"c.bridges@med.unc.edu")</f>
        <v>c.bridges@med.unc.edu</v>
      </c>
      <c r="I181" s="55" t="str">
        <f>IFERROR(__xludf.DUMMYFUNCTION("""COMPUTED_VALUE"""),"Variant Analyst/Scientist - Industry")</f>
        <v>Variant Analyst/Scientist - Industry</v>
      </c>
      <c r="J181" s="55"/>
      <c r="K181" s="55" t="str">
        <f>IFERROR(__xludf.DUMMYFUNCTION("""COMPUTED_VALUE"""),"Somatic Cancer")</f>
        <v>Somatic Cancer</v>
      </c>
      <c r="L181" s="55"/>
      <c r="M181" s="55"/>
      <c r="N181" s="55"/>
      <c r="O181" s="55"/>
      <c r="P181" s="55"/>
      <c r="Q181" s="55"/>
      <c r="R181" s="55"/>
      <c r="S181" s="55"/>
      <c r="T181" s="55"/>
      <c r="U181" s="55"/>
      <c r="V181" s="55"/>
      <c r="W181" s="55"/>
      <c r="X181" s="55"/>
      <c r="Y181" s="55"/>
      <c r="Z181" s="55"/>
    </row>
    <row r="182">
      <c r="A182" s="55" t="str">
        <f>IFERROR(__xludf.DUMMYFUNCTION("""COMPUTED_VALUE"""),"Contacted")</f>
        <v>Contacted</v>
      </c>
      <c r="B182" s="94">
        <f>IFERROR(__xludf.DUMMYFUNCTION("""COMPUTED_VALUE"""),43689.0)</f>
        <v>43689</v>
      </c>
      <c r="C182" s="93">
        <f>IFERROR(__xludf.DUMMYFUNCTION("""COMPUTED_VALUE"""),43769.0)</f>
        <v>43769</v>
      </c>
      <c r="D182" s="55" t="str">
        <f>IFERROR(__xludf.DUMMYFUNCTION("""COMPUTED_VALUE"""),"Yes")</f>
        <v>Yes</v>
      </c>
      <c r="E182" s="55" t="str">
        <f>IFERROR(__xludf.DUMMYFUNCTION("""COMPUTED_VALUE"""),"Actionability")</f>
        <v>Actionability</v>
      </c>
      <c r="F182" s="55" t="str">
        <f>IFERROR(__xludf.DUMMYFUNCTION("""COMPUTED_VALUE"""),"Actionability")</f>
        <v>Actionability</v>
      </c>
      <c r="G182" s="55" t="str">
        <f>IFERROR(__xludf.DUMMYFUNCTION("""COMPUTED_VALUE"""),"Abul Kalam Azad")</f>
        <v>Abul Kalam Azad</v>
      </c>
      <c r="H182" s="55" t="str">
        <f>IFERROR(__xludf.DUMMYFUNCTION("""COMPUTED_VALUE"""),"azadak@gmail.com")</f>
        <v>azadak@gmail.com</v>
      </c>
      <c r="I182" s="55" t="str">
        <f>IFERROR(__xludf.DUMMYFUNCTION("""COMPUTED_VALUE"""),"Post Doc/Resident/Fellow (MD and/or PhD)")</f>
        <v>Post Doc/Resident/Fellow (MD and/or PhD)</v>
      </c>
      <c r="J182" s="55"/>
      <c r="K182" s="55" t="str">
        <f>IFERROR(__xludf.DUMMYFUNCTION("""COMPUTED_VALUE"""),"Clinical Actionability")</f>
        <v>Clinical Actionability</v>
      </c>
      <c r="L182" s="55"/>
      <c r="M182" s="55"/>
      <c r="N182" s="55"/>
      <c r="O182" s="55"/>
      <c r="P182" s="55"/>
      <c r="Q182" s="55"/>
      <c r="R182" s="55"/>
      <c r="S182" s="55"/>
      <c r="T182" s="55"/>
      <c r="U182" s="55"/>
      <c r="V182" s="55"/>
      <c r="W182" s="55"/>
      <c r="X182" s="55"/>
      <c r="Y182" s="55"/>
      <c r="Z182" s="55"/>
    </row>
    <row r="183">
      <c r="A183" s="55" t="str">
        <f>IFERROR(__xludf.DUMMYFUNCTION("""COMPUTED_VALUE"""),"Unassigned")</f>
        <v>Unassigned</v>
      </c>
      <c r="B183" s="55" t="str">
        <f>IFERROR(__xludf.DUMMYFUNCTION("""COMPUTED_VALUE"""),"")</f>
        <v/>
      </c>
      <c r="C183" s="55" t="str">
        <f>IFERROR(__xludf.DUMMYFUNCTION("""COMPUTED_VALUE"""),"")</f>
        <v/>
      </c>
      <c r="D183" s="55" t="str">
        <f>IFERROR(__xludf.DUMMYFUNCTION("""COMPUTED_VALUE"""),"")</f>
        <v/>
      </c>
      <c r="E183" s="55" t="str">
        <f>IFERROR(__xludf.DUMMYFUNCTION("""COMPUTED_VALUE"""),"Gene Disease Validity")</f>
        <v>Gene Disease Validity</v>
      </c>
      <c r="F183" s="55" t="str">
        <f>IFERROR(__xludf.DUMMYFUNCTION("""COMPUTED_VALUE"""),"")</f>
        <v/>
      </c>
      <c r="G183" s="55" t="str">
        <f>IFERROR(__xludf.DUMMYFUNCTION("""COMPUTED_VALUE"""),"Amruta Phatak")</f>
        <v>Amruta Phatak</v>
      </c>
      <c r="H183" s="55" t="str">
        <f>IFERROR(__xludf.DUMMYFUNCTION("""COMPUTED_VALUE"""),"arphatak@iu.edu")</f>
        <v>arphatak@iu.edu</v>
      </c>
      <c r="I183" s="55" t="str">
        <f>IFERROR(__xludf.DUMMYFUNCTION("""COMPUTED_VALUE"""),"Post Doc/Resident/Fellow (MD and/or PhD)")</f>
        <v>Post Doc/Resident/Fellow (MD and/or PhD)</v>
      </c>
      <c r="J183" s="55"/>
      <c r="K183" s="55" t="str">
        <f>IFERROR(__xludf.DUMMYFUNCTION("""COMPUTED_VALUE"""),"Gene-Disease Validity")</f>
        <v>Gene-Disease Validity</v>
      </c>
      <c r="L183" s="55"/>
      <c r="M183" s="55"/>
      <c r="N183" s="55"/>
      <c r="O183" s="55"/>
      <c r="P183" s="55"/>
      <c r="Q183" s="55"/>
      <c r="R183" s="55"/>
      <c r="S183" s="55"/>
      <c r="T183" s="55"/>
      <c r="U183" s="55"/>
      <c r="V183" s="55"/>
      <c r="W183" s="55"/>
      <c r="X183" s="55"/>
      <c r="Y183" s="55"/>
      <c r="Z183" s="55"/>
    </row>
    <row r="184">
      <c r="A184" s="55" t="str">
        <f>IFERROR(__xludf.DUMMYFUNCTION("""COMPUTED_VALUE"""),"Contacted")</f>
        <v>Contacted</v>
      </c>
      <c r="B184" s="94">
        <f>IFERROR(__xludf.DUMMYFUNCTION("""COMPUTED_VALUE"""),43705.0)</f>
        <v>43705</v>
      </c>
      <c r="C184" s="93">
        <f>IFERROR(__xludf.DUMMYFUNCTION("""COMPUTED_VALUE"""),43719.0)</f>
        <v>43719</v>
      </c>
      <c r="D184" s="55" t="str">
        <f>IFERROR(__xludf.DUMMYFUNCTION("""COMPUTED_VALUE"""),"No")</f>
        <v>No</v>
      </c>
      <c r="E184" s="55" t="str">
        <f>IFERROR(__xludf.DUMMYFUNCTION("""COMPUTED_VALUE"""),"Somatic Cancer")</f>
        <v>Somatic Cancer</v>
      </c>
      <c r="F184" s="55" t="str">
        <f>IFERROR(__xludf.DUMMYFUNCTION("""COMPUTED_VALUE"""),"")</f>
        <v/>
      </c>
      <c r="G184" s="55" t="str">
        <f>IFERROR(__xludf.DUMMYFUNCTION("""COMPUTED_VALUE"""),"Priyabrata Panigrahi")</f>
        <v>Priyabrata Panigrahi</v>
      </c>
      <c r="H184" s="55" t="str">
        <f>IFERROR(__xludf.DUMMYFUNCTION("""COMPUTED_VALUE"""),"pb.panigrahi86@gmail.com")</f>
        <v>pb.panigrahi86@gmail.com</v>
      </c>
      <c r="I184" s="55" t="str">
        <f>IFERROR(__xludf.DUMMYFUNCTION("""COMPUTED_VALUE"""),"Scientific Researcher")</f>
        <v>Scientific Researcher</v>
      </c>
      <c r="J184" s="55"/>
      <c r="K184" s="55" t="str">
        <f>IFERROR(__xludf.DUMMYFUNCTION("""COMPUTED_VALUE"""),"Somatic Cancer")</f>
        <v>Somatic Cancer</v>
      </c>
      <c r="L184" s="55"/>
      <c r="M184" s="55"/>
      <c r="N184" s="55"/>
      <c r="O184" s="55"/>
      <c r="P184" s="55"/>
      <c r="Q184" s="55"/>
      <c r="R184" s="55"/>
      <c r="S184" s="55"/>
      <c r="T184" s="55"/>
      <c r="U184" s="55"/>
      <c r="V184" s="55"/>
      <c r="W184" s="55"/>
      <c r="X184" s="55"/>
      <c r="Y184" s="55"/>
      <c r="Z184" s="55"/>
    </row>
    <row r="185">
      <c r="A185" s="55" t="str">
        <f>IFERROR(__xludf.DUMMYFUNCTION("""COMPUTED_VALUE"""),"Contacted")</f>
        <v>Contacted</v>
      </c>
      <c r="B185" s="94">
        <f>IFERROR(__xludf.DUMMYFUNCTION("""COMPUTED_VALUE"""),43819.0)</f>
        <v>43819</v>
      </c>
      <c r="C185" s="55" t="str">
        <f>IFERROR(__xludf.DUMMYFUNCTION("""COMPUTED_VALUE"""),"")</f>
        <v/>
      </c>
      <c r="D185" s="55" t="str">
        <f>IFERROR(__xludf.DUMMYFUNCTION("""COMPUTED_VALUE"""),"")</f>
        <v/>
      </c>
      <c r="E185" s="55" t="str">
        <f>IFERROR(__xludf.DUMMYFUNCTION("""COMPUTED_VALUE"""),"Variant Pathogenicity")</f>
        <v>Variant Pathogenicity</v>
      </c>
      <c r="F185" s="55" t="str">
        <f>IFERROR(__xludf.DUMMYFUNCTION("""COMPUTED_VALUE"""),"")</f>
        <v/>
      </c>
      <c r="G185" s="55" t="str">
        <f>IFERROR(__xludf.DUMMYFUNCTION("""COMPUTED_VALUE"""),"José Patricio Miranda Marín")</f>
        <v>José Patricio Miranda Marín</v>
      </c>
      <c r="H185" s="55" t="str">
        <f>IFERROR(__xludf.DUMMYFUNCTION("""COMPUTED_VALUE"""),"jose.miranda@uc.cl")</f>
        <v>jose.miranda@uc.cl</v>
      </c>
      <c r="I185" s="55" t="str">
        <f>IFERROR(__xludf.DUMMYFUNCTION("""COMPUTED_VALUE"""),"Post Doc/Resident/Fellow (MD and/or PhD)")</f>
        <v>Post Doc/Resident/Fellow (MD and/or PhD)</v>
      </c>
      <c r="J185" s="55"/>
      <c r="K185" s="55" t="str">
        <f>IFERROR(__xludf.DUMMYFUNCTION("""COMPUTED_VALUE"""),"Variant Pathogenicity")</f>
        <v>Variant Pathogenicity</v>
      </c>
      <c r="L185" s="55"/>
      <c r="M185" s="55"/>
      <c r="N185" s="55"/>
      <c r="O185" s="55"/>
      <c r="P185" s="55"/>
      <c r="Q185" s="55"/>
      <c r="R185" s="55"/>
      <c r="S185" s="55"/>
      <c r="T185" s="55"/>
      <c r="U185" s="55"/>
      <c r="V185" s="55"/>
      <c r="W185" s="55"/>
      <c r="X185" s="55"/>
      <c r="Y185" s="55"/>
      <c r="Z185" s="55"/>
    </row>
    <row r="186">
      <c r="A186" s="55" t="str">
        <f>IFERROR(__xludf.DUMMYFUNCTION("""COMPUTED_VALUE"""),"Contacted")</f>
        <v>Contacted</v>
      </c>
      <c r="B186" s="55" t="str">
        <f>IFERROR(__xludf.DUMMYFUNCTION("""COMPUTED_VALUE"""),"")</f>
        <v/>
      </c>
      <c r="C186" s="93">
        <f>IFERROR(__xludf.DUMMYFUNCTION("""COMPUTED_VALUE"""),43692.0)</f>
        <v>43692</v>
      </c>
      <c r="D186" s="55" t="str">
        <f>IFERROR(__xludf.DUMMYFUNCTION("""COMPUTED_VALUE"""),"Yes")</f>
        <v>Yes</v>
      </c>
      <c r="E186" s="55" t="str">
        <f>IFERROR(__xludf.DUMMYFUNCTION("""COMPUTED_VALUE"""),"Gene Disease Validity")</f>
        <v>Gene Disease Validity</v>
      </c>
      <c r="F186" s="55" t="str">
        <f>IFERROR(__xludf.DUMMYFUNCTION("""COMPUTED_VALUE"""),"")</f>
        <v/>
      </c>
      <c r="G186" s="55" t="str">
        <f>IFERROR(__xludf.DUMMYFUNCTION("""COMPUTED_VALUE"""),"Marc Lataillade")</f>
        <v>Marc Lataillade</v>
      </c>
      <c r="H186" s="55" t="str">
        <f>IFERROR(__xludf.DUMMYFUNCTION("""COMPUTED_VALUE"""),"marclataillade258@gmail.com")</f>
        <v>marclataillade258@gmail.com</v>
      </c>
      <c r="I186" s="55" t="str">
        <f>IFERROR(__xludf.DUMMYFUNCTION("""COMPUTED_VALUE"""),"Undergraduate Student")</f>
        <v>Undergraduate Student</v>
      </c>
      <c r="J186" s="55"/>
      <c r="K186" s="55" t="str">
        <f>IFERROR(__xludf.DUMMYFUNCTION("""COMPUTED_VALUE"""),"Gene-Disease Validity")</f>
        <v>Gene-Disease Validity</v>
      </c>
      <c r="L186" s="55"/>
      <c r="M186" s="55"/>
      <c r="N186" s="55"/>
      <c r="O186" s="55"/>
      <c r="P186" s="55"/>
      <c r="Q186" s="55"/>
      <c r="R186" s="55"/>
      <c r="S186" s="55"/>
      <c r="T186" s="55"/>
      <c r="U186" s="55"/>
      <c r="V186" s="55"/>
      <c r="W186" s="55"/>
      <c r="X186" s="55"/>
      <c r="Y186" s="55"/>
      <c r="Z186" s="55"/>
    </row>
    <row r="187">
      <c r="A187" s="55" t="str">
        <f>IFERROR(__xludf.DUMMYFUNCTION("""COMPUTED_VALUE"""),"Assigned")</f>
        <v>Assigned</v>
      </c>
      <c r="B187" s="94">
        <f>IFERROR(__xludf.DUMMYFUNCTION("""COMPUTED_VALUE"""),43705.0)</f>
        <v>43705</v>
      </c>
      <c r="C187" s="93">
        <f>IFERROR(__xludf.DUMMYFUNCTION("""COMPUTED_VALUE"""),43719.0)</f>
        <v>43719</v>
      </c>
      <c r="D187" s="55" t="str">
        <f>IFERROR(__xludf.DUMMYFUNCTION("""COMPUTED_VALUE"""),"Yes")</f>
        <v>Yes</v>
      </c>
      <c r="E187" s="55" t="str">
        <f>IFERROR(__xludf.DUMMYFUNCTION("""COMPUTED_VALUE"""),"Somatic Cancer")</f>
        <v>Somatic Cancer</v>
      </c>
      <c r="F187" s="55" t="str">
        <f>IFERROR(__xludf.DUMMYFUNCTION("""COMPUTED_VALUE"""),"hematological cancer taskforce")</f>
        <v>hematological cancer taskforce</v>
      </c>
      <c r="G187" s="55" t="str">
        <f>IFERROR(__xludf.DUMMYFUNCTION("""COMPUTED_VALUE"""),"Lori Millner")</f>
        <v>Lori Millner</v>
      </c>
      <c r="H187" s="55" t="str">
        <f>IFERROR(__xludf.DUMMYFUNCTION("""COMPUTED_VALUE"""),"lorimillner77@gmail.com")</f>
        <v>lorimillner77@gmail.com</v>
      </c>
      <c r="I187" s="55" t="str">
        <f>IFERROR(__xludf.DUMMYFUNCTION("""COMPUTED_VALUE"""),"Clinical Lab Director")</f>
        <v>Clinical Lab Director</v>
      </c>
      <c r="J187" s="55"/>
      <c r="K187" s="55" t="str">
        <f>IFERROR(__xludf.DUMMYFUNCTION("""COMPUTED_VALUE"""),"Somatic Cancer")</f>
        <v>Somatic Cancer</v>
      </c>
      <c r="L187" s="55"/>
      <c r="M187" s="55"/>
      <c r="N187" s="55"/>
      <c r="O187" s="55"/>
      <c r="P187" s="55"/>
      <c r="Q187" s="55"/>
      <c r="R187" s="55"/>
      <c r="S187" s="55"/>
      <c r="T187" s="55"/>
      <c r="U187" s="55"/>
      <c r="V187" s="55"/>
      <c r="W187" s="55"/>
      <c r="X187" s="55"/>
      <c r="Y187" s="55"/>
      <c r="Z187" s="55"/>
    </row>
    <row r="188">
      <c r="A188" s="55" t="str">
        <f>IFERROR(__xludf.DUMMYFUNCTION("""COMPUTED_VALUE"""),"Contacted")</f>
        <v>Contacted</v>
      </c>
      <c r="B188" s="94">
        <f>IFERROR(__xludf.DUMMYFUNCTION("""COMPUTED_VALUE"""),43689.0)</f>
        <v>43689</v>
      </c>
      <c r="C188" s="55" t="str">
        <f>IFERROR(__xludf.DUMMYFUNCTION("""COMPUTED_VALUE"""),"")</f>
        <v/>
      </c>
      <c r="D188" s="55" t="str">
        <f>IFERROR(__xludf.DUMMYFUNCTION("""COMPUTED_VALUE"""),"")</f>
        <v/>
      </c>
      <c r="E188" s="55" t="str">
        <f>IFERROR(__xludf.DUMMYFUNCTION("""COMPUTED_VALUE"""),"Actionability")</f>
        <v>Actionability</v>
      </c>
      <c r="F188" s="55" t="str">
        <f>IFERROR(__xludf.DUMMYFUNCTION("""COMPUTED_VALUE"""),"")</f>
        <v/>
      </c>
      <c r="G188" s="55" t="str">
        <f>IFERROR(__xludf.DUMMYFUNCTION("""COMPUTED_VALUE"""),"Agnes Sebastian")</f>
        <v>Agnes Sebastian</v>
      </c>
      <c r="H188" s="55" t="str">
        <f>IFERROR(__xludf.DUMMYFUNCTION("""COMPUTED_VALUE"""),"agnes.sebastian@mail.utoronto.ca")</f>
        <v>agnes.sebastian@mail.utoronto.ca</v>
      </c>
      <c r="I188" s="55" t="str">
        <f>IFERROR(__xludf.DUMMYFUNCTION("""COMPUTED_VALUE"""),"Graduate Student")</f>
        <v>Graduate Student</v>
      </c>
      <c r="J188" s="55"/>
      <c r="K188" s="55" t="str">
        <f>IFERROR(__xludf.DUMMYFUNCTION("""COMPUTED_VALUE"""),"Clinical Actionability")</f>
        <v>Clinical Actionability</v>
      </c>
      <c r="L188" s="55"/>
      <c r="M188" s="55"/>
      <c r="N188" s="55"/>
      <c r="O188" s="55"/>
      <c r="P188" s="55"/>
      <c r="Q188" s="55"/>
      <c r="R188" s="55"/>
      <c r="S188" s="55"/>
      <c r="T188" s="55"/>
      <c r="U188" s="55"/>
      <c r="V188" s="55"/>
      <c r="W188" s="55"/>
      <c r="X188" s="55"/>
      <c r="Y188" s="55"/>
      <c r="Z188" s="55"/>
    </row>
    <row r="189">
      <c r="A189" s="55" t="str">
        <f>IFERROR(__xludf.DUMMYFUNCTION("""COMPUTED_VALUE"""),"Unresponsive")</f>
        <v>Unresponsive</v>
      </c>
      <c r="B189" s="55" t="str">
        <f>IFERROR(__xludf.DUMMYFUNCTION("""COMPUTED_VALUE"""),"")</f>
        <v/>
      </c>
      <c r="C189" s="55" t="str">
        <f>IFERROR(__xludf.DUMMYFUNCTION("""COMPUTED_VALUE"""),"")</f>
        <v/>
      </c>
      <c r="D189" s="55" t="str">
        <f>IFERROR(__xludf.DUMMYFUNCTION("""COMPUTED_VALUE"""),"")</f>
        <v/>
      </c>
      <c r="E189" s="55" t="str">
        <f>IFERROR(__xludf.DUMMYFUNCTION("""COMPUTED_VALUE"""),"Variant Pathogenicity")</f>
        <v>Variant Pathogenicity</v>
      </c>
      <c r="F189" s="55" t="str">
        <f>IFERROR(__xludf.DUMMYFUNCTION("""COMPUTED_VALUE"""),"")</f>
        <v/>
      </c>
      <c r="G189" s="55" t="str">
        <f>IFERROR(__xludf.DUMMYFUNCTION("""COMPUTED_VALUE"""),"Xiangqiang Shao")</f>
        <v>Xiangqiang Shao</v>
      </c>
      <c r="H189" s="55" t="str">
        <f>IFERROR(__xludf.DUMMYFUNCTION("""COMPUTED_VALUE"""),"xshao5@wisc.edu")</f>
        <v>xshao5@wisc.edu</v>
      </c>
      <c r="I189" s="55" t="str">
        <f>IFERROR(__xludf.DUMMYFUNCTION("""COMPUTED_VALUE"""),"Scientific Researcher")</f>
        <v>Scientific Researcher</v>
      </c>
      <c r="J189" s="55"/>
      <c r="K189" s="55" t="str">
        <f>IFERROR(__xludf.DUMMYFUNCTION("""COMPUTED_VALUE"""),"Variant Pathogenicity")</f>
        <v>Variant Pathogenicity</v>
      </c>
      <c r="L189" s="55"/>
      <c r="M189" s="55"/>
      <c r="N189" s="55"/>
      <c r="O189" s="55"/>
      <c r="P189" s="55"/>
      <c r="Q189" s="55"/>
      <c r="R189" s="55"/>
      <c r="S189" s="55"/>
      <c r="T189" s="55"/>
      <c r="U189" s="55"/>
      <c r="V189" s="55"/>
      <c r="W189" s="55"/>
      <c r="X189" s="55"/>
      <c r="Y189" s="55"/>
      <c r="Z189" s="55"/>
    </row>
    <row r="190">
      <c r="A190" s="55" t="str">
        <f>IFERROR(__xludf.DUMMYFUNCTION("""COMPUTED_VALUE"""),"Contacted")</f>
        <v>Contacted</v>
      </c>
      <c r="B190" s="94">
        <f>IFERROR(__xludf.DUMMYFUNCTION("""COMPUTED_VALUE"""),43689.0)</f>
        <v>43689</v>
      </c>
      <c r="C190" s="55" t="str">
        <f>IFERROR(__xludf.DUMMYFUNCTION("""COMPUTED_VALUE"""),"")</f>
        <v/>
      </c>
      <c r="D190" s="55" t="str">
        <f>IFERROR(__xludf.DUMMYFUNCTION("""COMPUTED_VALUE"""),"")</f>
        <v/>
      </c>
      <c r="E190" s="55" t="str">
        <f>IFERROR(__xludf.DUMMYFUNCTION("""COMPUTED_VALUE"""),"Actionability")</f>
        <v>Actionability</v>
      </c>
      <c r="F190" s="55" t="str">
        <f>IFERROR(__xludf.DUMMYFUNCTION("""COMPUTED_VALUE"""),"")</f>
        <v/>
      </c>
      <c r="G190" s="55" t="str">
        <f>IFERROR(__xludf.DUMMYFUNCTION("""COMPUTED_VALUE"""),"Terri McVeigh")</f>
        <v>Terri McVeigh</v>
      </c>
      <c r="H190" s="55" t="str">
        <f>IFERROR(__xludf.DUMMYFUNCTION("""COMPUTED_VALUE"""),"terri.mcveigh@rmh.nhs.uk")</f>
        <v>terri.mcveigh@rmh.nhs.uk</v>
      </c>
      <c r="I190" s="55" t="str">
        <f>IFERROR(__xludf.DUMMYFUNCTION("""COMPUTED_VALUE"""),"Clinical Medical Geneticist")</f>
        <v>Clinical Medical Geneticist</v>
      </c>
      <c r="J190" s="55"/>
      <c r="K190" s="55" t="str">
        <f>IFERROR(__xludf.DUMMYFUNCTION("""COMPUTED_VALUE"""),"Clinical Actionability")</f>
        <v>Clinical Actionability</v>
      </c>
      <c r="L190" s="55"/>
      <c r="M190" s="55"/>
      <c r="N190" s="55"/>
      <c r="O190" s="55"/>
      <c r="P190" s="55"/>
      <c r="Q190" s="55"/>
      <c r="R190" s="55"/>
      <c r="S190" s="55"/>
      <c r="T190" s="55"/>
      <c r="U190" s="55"/>
      <c r="V190" s="55"/>
      <c r="W190" s="55"/>
      <c r="X190" s="55"/>
      <c r="Y190" s="55"/>
      <c r="Z190" s="55"/>
    </row>
    <row r="191">
      <c r="A191" s="55" t="str">
        <f>IFERROR(__xludf.DUMMYFUNCTION("""COMPUTED_VALUE"""),"Unresponsive")</f>
        <v>Unresponsive</v>
      </c>
      <c r="B191" s="55" t="str">
        <f>IFERROR(__xludf.DUMMYFUNCTION("""COMPUTED_VALUE"""),"")</f>
        <v/>
      </c>
      <c r="C191" s="55" t="str">
        <f>IFERROR(__xludf.DUMMYFUNCTION("""COMPUTED_VALUE"""),"")</f>
        <v/>
      </c>
      <c r="D191" s="55" t="str">
        <f>IFERROR(__xludf.DUMMYFUNCTION("""COMPUTED_VALUE"""),"")</f>
        <v/>
      </c>
      <c r="E191" s="55" t="str">
        <f>IFERROR(__xludf.DUMMYFUNCTION("""COMPUTED_VALUE"""),"Variant Pathogenicity")</f>
        <v>Variant Pathogenicity</v>
      </c>
      <c r="F191" s="55" t="str">
        <f>IFERROR(__xludf.DUMMYFUNCTION("""COMPUTED_VALUE"""),"")</f>
        <v/>
      </c>
      <c r="G191" s="55" t="str">
        <f>IFERROR(__xludf.DUMMYFUNCTION("""COMPUTED_VALUE"""),"Gretchen Cote")</f>
        <v>Gretchen Cote</v>
      </c>
      <c r="H191" s="55" t="str">
        <f>IFERROR(__xludf.DUMMYFUNCTION("""COMPUTED_VALUE"""),"gretchen.cote@dgs.virginia.gov")</f>
        <v>gretchen.cote@dgs.virginia.gov</v>
      </c>
      <c r="I191" s="55" t="str">
        <f>IFERROR(__xludf.DUMMYFUNCTION("""COMPUTED_VALUE"""),"Bioinformatician focusing on Variant Interpretation")</f>
        <v>Bioinformatician focusing on Variant Interpretation</v>
      </c>
      <c r="J191" s="55"/>
      <c r="K191" s="55" t="str">
        <f>IFERROR(__xludf.DUMMYFUNCTION("""COMPUTED_VALUE"""),"Variant Pathogenicity")</f>
        <v>Variant Pathogenicity</v>
      </c>
      <c r="L191" s="55"/>
      <c r="M191" s="55"/>
      <c r="N191" s="55"/>
      <c r="O191" s="55"/>
      <c r="P191" s="55"/>
      <c r="Q191" s="55"/>
      <c r="R191" s="55"/>
      <c r="S191" s="55"/>
      <c r="T191" s="55"/>
      <c r="U191" s="55"/>
      <c r="V191" s="55"/>
      <c r="W191" s="55"/>
      <c r="X191" s="55"/>
      <c r="Y191" s="55"/>
      <c r="Z191" s="55"/>
    </row>
    <row r="192">
      <c r="A192" s="55" t="str">
        <f>IFERROR(__xludf.DUMMYFUNCTION("""COMPUTED_VALUE"""),"Contacted")</f>
        <v>Contacted</v>
      </c>
      <c r="B192" s="55" t="str">
        <f>IFERROR(__xludf.DUMMYFUNCTION("""COMPUTED_VALUE"""),"")</f>
        <v/>
      </c>
      <c r="C192" s="93">
        <f>IFERROR(__xludf.DUMMYFUNCTION("""COMPUTED_VALUE"""),43692.0)</f>
        <v>43692</v>
      </c>
      <c r="D192" s="55" t="str">
        <f>IFERROR(__xludf.DUMMYFUNCTION("""COMPUTED_VALUE"""),"Yes")</f>
        <v>Yes</v>
      </c>
      <c r="E192" s="55" t="str">
        <f>IFERROR(__xludf.DUMMYFUNCTION("""COMPUTED_VALUE"""),"Gene Disease Validity")</f>
        <v>Gene Disease Validity</v>
      </c>
      <c r="F192" s="55" t="str">
        <f>IFERROR(__xludf.DUMMYFUNCTION("""COMPUTED_VALUE"""),"")</f>
        <v/>
      </c>
      <c r="G192" s="55" t="str">
        <f>IFERROR(__xludf.DUMMYFUNCTION("""COMPUTED_VALUE"""),"Mayher Patel")</f>
        <v>Mayher Patel</v>
      </c>
      <c r="H192" s="55" t="str">
        <f>IFERROR(__xludf.DUMMYFUNCTION("""COMPUTED_VALUE"""),"mayher@broadinstitute.org")</f>
        <v>mayher@broadinstitute.org</v>
      </c>
      <c r="I192" s="55" t="str">
        <f>IFERROR(__xludf.DUMMYFUNCTION("""COMPUTED_VALUE"""),"Biocurator")</f>
        <v>Biocurator</v>
      </c>
      <c r="J192" s="55"/>
      <c r="K192" s="55" t="str">
        <f>IFERROR(__xludf.DUMMYFUNCTION("""COMPUTED_VALUE"""),"Gene-Disease Validity")</f>
        <v>Gene-Disease Validity</v>
      </c>
      <c r="L192" s="55"/>
      <c r="M192" s="55"/>
      <c r="N192" s="55"/>
      <c r="O192" s="55"/>
      <c r="P192" s="55"/>
      <c r="Q192" s="55"/>
      <c r="R192" s="55"/>
      <c r="S192" s="55"/>
      <c r="T192" s="55"/>
      <c r="U192" s="55"/>
      <c r="V192" s="55"/>
      <c r="W192" s="55"/>
      <c r="X192" s="55"/>
      <c r="Y192" s="55"/>
      <c r="Z192" s="55"/>
    </row>
    <row r="193">
      <c r="A193" s="55" t="str">
        <f>IFERROR(__xludf.DUMMYFUNCTION("""COMPUTED_VALUE"""),"Unresponsive")</f>
        <v>Unresponsive</v>
      </c>
      <c r="B193" s="55" t="str">
        <f>IFERROR(__xludf.DUMMYFUNCTION("""COMPUTED_VALUE"""),"")</f>
        <v/>
      </c>
      <c r="C193" s="55" t="str">
        <f>IFERROR(__xludf.DUMMYFUNCTION("""COMPUTED_VALUE"""),"")</f>
        <v/>
      </c>
      <c r="D193" s="55" t="str">
        <f>IFERROR(__xludf.DUMMYFUNCTION("""COMPUTED_VALUE"""),"")</f>
        <v/>
      </c>
      <c r="E193" s="55" t="str">
        <f>IFERROR(__xludf.DUMMYFUNCTION("""COMPUTED_VALUE"""),"Variant Pathogenicity")</f>
        <v>Variant Pathogenicity</v>
      </c>
      <c r="F193" s="55" t="str">
        <f>IFERROR(__xludf.DUMMYFUNCTION("""COMPUTED_VALUE"""),"")</f>
        <v/>
      </c>
      <c r="G193" s="55" t="str">
        <f>IFERROR(__xludf.DUMMYFUNCTION("""COMPUTED_VALUE"""),"Bryan Gall")</f>
        <v>Bryan Gall</v>
      </c>
      <c r="H193" s="55" t="str">
        <f>IFERROR(__xludf.DUMMYFUNCTION("""COMPUTED_VALUE"""),"bgall005@gmail.com")</f>
        <v>bgall005@gmail.com</v>
      </c>
      <c r="I193" s="55" t="str">
        <f>IFERROR(__xludf.DUMMYFUNCTION("""COMPUTED_VALUE"""),"Variant Analyst/Scientist - Industry")</f>
        <v>Variant Analyst/Scientist - Industry</v>
      </c>
      <c r="J193" s="55"/>
      <c r="K193" s="55" t="str">
        <f>IFERROR(__xludf.DUMMYFUNCTION("""COMPUTED_VALUE"""),"Variant Pathogenicity")</f>
        <v>Variant Pathogenicity</v>
      </c>
      <c r="L193" s="55"/>
      <c r="M193" s="55"/>
      <c r="N193" s="55"/>
      <c r="O193" s="55"/>
      <c r="P193" s="55"/>
      <c r="Q193" s="55"/>
      <c r="R193" s="55"/>
      <c r="S193" s="55"/>
      <c r="T193" s="55"/>
      <c r="U193" s="55"/>
      <c r="V193" s="55"/>
      <c r="W193" s="55"/>
      <c r="X193" s="55"/>
      <c r="Y193" s="55"/>
      <c r="Z193" s="55"/>
    </row>
    <row r="194">
      <c r="A194" s="55" t="str">
        <f>IFERROR(__xludf.DUMMYFUNCTION("""COMPUTED_VALUE"""),"Contacted")</f>
        <v>Contacted</v>
      </c>
      <c r="B194" s="55" t="str">
        <f>IFERROR(__xludf.DUMMYFUNCTION("""COMPUTED_VALUE"""),"")</f>
        <v/>
      </c>
      <c r="C194" s="93">
        <f>IFERROR(__xludf.DUMMYFUNCTION("""COMPUTED_VALUE"""),43692.0)</f>
        <v>43692</v>
      </c>
      <c r="D194" s="55" t="str">
        <f>IFERROR(__xludf.DUMMYFUNCTION("""COMPUTED_VALUE"""),"Yes")</f>
        <v>Yes</v>
      </c>
      <c r="E194" s="55" t="str">
        <f>IFERROR(__xludf.DUMMYFUNCTION("""COMPUTED_VALUE"""),"Gene Disease Validity")</f>
        <v>Gene Disease Validity</v>
      </c>
      <c r="F194" s="55" t="str">
        <f>IFERROR(__xludf.DUMMYFUNCTION("""COMPUTED_VALUE"""),"")</f>
        <v/>
      </c>
      <c r="G194" s="55" t="str">
        <f>IFERROR(__xludf.DUMMYFUNCTION("""COMPUTED_VALUE"""),"Hwaida Hannoush")</f>
        <v>Hwaida Hannoush</v>
      </c>
      <c r="H194" s="55" t="str">
        <f>IFERROR(__xludf.DUMMYFUNCTION("""COMPUTED_VALUE"""),"hhannoush@acmg.net")</f>
        <v>hhannoush@acmg.net</v>
      </c>
      <c r="I194" s="55" t="str">
        <f>IFERROR(__xludf.DUMMYFUNCTION("""COMPUTED_VALUE"""),"Post Doc/Resident/Fellow (MD and/or PhD)")</f>
        <v>Post Doc/Resident/Fellow (MD and/or PhD)</v>
      </c>
      <c r="J194" s="55"/>
      <c r="K194" s="55" t="str">
        <f>IFERROR(__xludf.DUMMYFUNCTION("""COMPUTED_VALUE"""),"Gene-Disease Validity")</f>
        <v>Gene-Disease Validity</v>
      </c>
      <c r="L194" s="55"/>
      <c r="M194" s="55"/>
      <c r="N194" s="55"/>
      <c r="O194" s="55"/>
      <c r="P194" s="55"/>
      <c r="Q194" s="55"/>
      <c r="R194" s="55"/>
      <c r="S194" s="55"/>
      <c r="T194" s="55"/>
      <c r="U194" s="55"/>
      <c r="V194" s="55"/>
      <c r="W194" s="55"/>
      <c r="X194" s="55"/>
      <c r="Y194" s="55"/>
      <c r="Z194" s="55"/>
    </row>
    <row r="195">
      <c r="A195" s="55" t="str">
        <f>IFERROR(__xludf.DUMMYFUNCTION("""COMPUTED_VALUE"""),"Contacted")</f>
        <v>Contacted</v>
      </c>
      <c r="B195" s="94">
        <f>IFERROR(__xludf.DUMMYFUNCTION("""COMPUTED_VALUE"""),43689.0)</f>
        <v>43689</v>
      </c>
      <c r="C195" s="55" t="str">
        <f>IFERROR(__xludf.DUMMYFUNCTION("""COMPUTED_VALUE"""),"")</f>
        <v/>
      </c>
      <c r="D195" s="55" t="str">
        <f>IFERROR(__xludf.DUMMYFUNCTION("""COMPUTED_VALUE"""),"")</f>
        <v/>
      </c>
      <c r="E195" s="55" t="str">
        <f>IFERROR(__xludf.DUMMYFUNCTION("""COMPUTED_VALUE"""),"Actionability")</f>
        <v>Actionability</v>
      </c>
      <c r="F195" s="55" t="str">
        <f>IFERROR(__xludf.DUMMYFUNCTION("""COMPUTED_VALUE"""),"")</f>
        <v/>
      </c>
      <c r="G195" s="55" t="str">
        <f>IFERROR(__xludf.DUMMYFUNCTION("""COMPUTED_VALUE"""),"Rawan Awwad")</f>
        <v>Rawan Awwad</v>
      </c>
      <c r="H195" s="55" t="str">
        <f>IFERROR(__xludf.DUMMYFUNCTION("""COMPUTED_VALUE"""),"rawan.awwad@gmail.com")</f>
        <v>rawan.awwad@gmail.com</v>
      </c>
      <c r="I195" s="55" t="str">
        <f>IFERROR(__xludf.DUMMYFUNCTION("""COMPUTED_VALUE"""),"Genetic counselor")</f>
        <v>Genetic counselor</v>
      </c>
      <c r="J195" s="55"/>
      <c r="K195" s="55" t="str">
        <f>IFERROR(__xludf.DUMMYFUNCTION("""COMPUTED_VALUE"""),"Clinical Actionability")</f>
        <v>Clinical Actionability</v>
      </c>
      <c r="L195" s="55"/>
      <c r="M195" s="55"/>
      <c r="N195" s="55"/>
      <c r="O195" s="55"/>
      <c r="P195" s="55"/>
      <c r="Q195" s="55"/>
      <c r="R195" s="55"/>
      <c r="S195" s="55"/>
      <c r="T195" s="55"/>
      <c r="U195" s="55"/>
      <c r="V195" s="55"/>
      <c r="W195" s="55"/>
      <c r="X195" s="55"/>
      <c r="Y195" s="55"/>
      <c r="Z195" s="55"/>
    </row>
    <row r="196">
      <c r="A196" s="55" t="str">
        <f>IFERROR(__xludf.DUMMYFUNCTION("""COMPUTED_VALUE"""),"Unresponsive")</f>
        <v>Unresponsive</v>
      </c>
      <c r="B196" s="94" t="str">
        <f>IFERROR(__xludf.DUMMYFUNCTION("""COMPUTED_VALUE"""),"")</f>
        <v/>
      </c>
      <c r="C196" s="55" t="str">
        <f>IFERROR(__xludf.DUMMYFUNCTION("""COMPUTED_VALUE"""),"")</f>
        <v/>
      </c>
      <c r="D196" s="55" t="str">
        <f>IFERROR(__xludf.DUMMYFUNCTION("""COMPUTED_VALUE"""),"")</f>
        <v/>
      </c>
      <c r="E196" s="55" t="str">
        <f>IFERROR(__xludf.DUMMYFUNCTION("""COMPUTED_VALUE"""),"Variant Pathogenicity")</f>
        <v>Variant Pathogenicity</v>
      </c>
      <c r="F196" s="55" t="str">
        <f>IFERROR(__xludf.DUMMYFUNCTION("""COMPUTED_VALUE"""),"")</f>
        <v/>
      </c>
      <c r="G196" s="55" t="str">
        <f>IFERROR(__xludf.DUMMYFUNCTION("""COMPUTED_VALUE"""),"Yanhui Li")</f>
        <v>Yanhui Li</v>
      </c>
      <c r="H196" s="55" t="str">
        <f>IFERROR(__xludf.DUMMYFUNCTION("""COMPUTED_VALUE"""),"yxl280@gmail.com")</f>
        <v>yxl280@gmail.com</v>
      </c>
      <c r="I196" s="55" t="str">
        <f>IFERROR(__xludf.DUMMYFUNCTION("""COMPUTED_VALUE"""),"Post Doc/Resident/Fellow (MD and/or PhD)")</f>
        <v>Post Doc/Resident/Fellow (MD and/or PhD)</v>
      </c>
      <c r="J196" s="55"/>
      <c r="K196" s="55" t="str">
        <f>IFERROR(__xludf.DUMMYFUNCTION("""COMPUTED_VALUE"""),"Variant Pathogenicity")</f>
        <v>Variant Pathogenicity</v>
      </c>
      <c r="L196" s="55"/>
      <c r="M196" s="55"/>
      <c r="N196" s="55"/>
      <c r="O196" s="55"/>
      <c r="P196" s="55"/>
      <c r="Q196" s="55"/>
      <c r="R196" s="55"/>
      <c r="S196" s="55"/>
      <c r="T196" s="55"/>
      <c r="U196" s="55"/>
      <c r="V196" s="55"/>
      <c r="W196" s="55"/>
      <c r="X196" s="55"/>
      <c r="Y196" s="55"/>
      <c r="Z196" s="55"/>
    </row>
    <row r="197">
      <c r="A197" s="55" t="str">
        <f>IFERROR(__xludf.DUMMYFUNCTION("""COMPUTED_VALUE"""),"Contacted")</f>
        <v>Contacted</v>
      </c>
      <c r="B197" s="94">
        <f>IFERROR(__xludf.DUMMYFUNCTION("""COMPUTED_VALUE"""),43689.0)</f>
        <v>43689</v>
      </c>
      <c r="C197" s="55" t="str">
        <f>IFERROR(__xludf.DUMMYFUNCTION("""COMPUTED_VALUE"""),"")</f>
        <v/>
      </c>
      <c r="D197" s="55" t="str">
        <f>IFERROR(__xludf.DUMMYFUNCTION("""COMPUTED_VALUE"""),"")</f>
        <v/>
      </c>
      <c r="E197" s="55" t="str">
        <f>IFERROR(__xludf.DUMMYFUNCTION("""COMPUTED_VALUE"""),"Actionability")</f>
        <v>Actionability</v>
      </c>
      <c r="F197" s="55" t="str">
        <f>IFERROR(__xludf.DUMMYFUNCTION("""COMPUTED_VALUE"""),"")</f>
        <v/>
      </c>
      <c r="G197" s="55" t="str">
        <f>IFERROR(__xludf.DUMMYFUNCTION("""COMPUTED_VALUE"""),"Leila Jamal")</f>
        <v>Leila Jamal</v>
      </c>
      <c r="H197" s="55" t="str">
        <f>IFERROR(__xludf.DUMMYFUNCTION("""COMPUTED_VALUE"""),"leila.jamal@nih.gov")</f>
        <v>leila.jamal@nih.gov</v>
      </c>
      <c r="I197" s="55" t="str">
        <f>IFERROR(__xludf.DUMMYFUNCTION("""COMPUTED_VALUE"""),"Genetic counselor")</f>
        <v>Genetic counselor</v>
      </c>
      <c r="J197" s="55"/>
      <c r="K197" s="55" t="str">
        <f>IFERROR(__xludf.DUMMYFUNCTION("""COMPUTED_VALUE"""),"Clinical Actionability")</f>
        <v>Clinical Actionability</v>
      </c>
      <c r="L197" s="55"/>
      <c r="M197" s="55"/>
      <c r="N197" s="55"/>
      <c r="O197" s="55"/>
      <c r="P197" s="55"/>
      <c r="Q197" s="55"/>
      <c r="R197" s="55"/>
      <c r="S197" s="55"/>
      <c r="T197" s="55"/>
      <c r="U197" s="55"/>
      <c r="V197" s="55"/>
      <c r="W197" s="55"/>
      <c r="X197" s="55"/>
      <c r="Y197" s="55"/>
      <c r="Z197" s="55"/>
    </row>
    <row r="198">
      <c r="A198" s="55" t="str">
        <f>IFERROR(__xludf.DUMMYFUNCTION("""COMPUTED_VALUE"""),"Contacted")</f>
        <v>Contacted</v>
      </c>
      <c r="B198" s="94">
        <f>IFERROR(__xludf.DUMMYFUNCTION("""COMPUTED_VALUE"""),43819.0)</f>
        <v>43819</v>
      </c>
      <c r="C198" s="55" t="str">
        <f>IFERROR(__xludf.DUMMYFUNCTION("""COMPUTED_VALUE"""),"")</f>
        <v/>
      </c>
      <c r="D198" s="55" t="str">
        <f>IFERROR(__xludf.DUMMYFUNCTION("""COMPUTED_VALUE"""),"")</f>
        <v/>
      </c>
      <c r="E198" s="55" t="str">
        <f>IFERROR(__xludf.DUMMYFUNCTION("""COMPUTED_VALUE"""),"Variant Pathogenicity")</f>
        <v>Variant Pathogenicity</v>
      </c>
      <c r="F198" s="55" t="str">
        <f>IFERROR(__xludf.DUMMYFUNCTION("""COMPUTED_VALUE"""),"")</f>
        <v/>
      </c>
      <c r="G198" s="55" t="str">
        <f>IFERROR(__xludf.DUMMYFUNCTION("""COMPUTED_VALUE"""),"Shahad Rahawi")</f>
        <v>Shahad Rahawi</v>
      </c>
      <c r="H198" s="55" t="str">
        <f>IFERROR(__xludf.DUMMYFUNCTION("""COMPUTED_VALUE"""),"shahadrahawi@gmail.com")</f>
        <v>shahadrahawi@gmail.com</v>
      </c>
      <c r="I198" s="55" t="str">
        <f>IFERROR(__xludf.DUMMYFUNCTION("""COMPUTED_VALUE"""),"Genetic counselor")</f>
        <v>Genetic counselor</v>
      </c>
      <c r="J198" s="55"/>
      <c r="K198" s="55" t="str">
        <f>IFERROR(__xludf.DUMMYFUNCTION("""COMPUTED_VALUE"""),"Variant Pathogenicity")</f>
        <v>Variant Pathogenicity</v>
      </c>
      <c r="L198" s="55"/>
      <c r="M198" s="55"/>
      <c r="N198" s="55"/>
      <c r="O198" s="55"/>
      <c r="P198" s="55"/>
      <c r="Q198" s="55"/>
      <c r="R198" s="55"/>
      <c r="S198" s="55"/>
      <c r="T198" s="55"/>
      <c r="U198" s="55"/>
      <c r="V198" s="55"/>
      <c r="W198" s="55"/>
      <c r="X198" s="55"/>
      <c r="Y198" s="55"/>
      <c r="Z198" s="55"/>
    </row>
    <row r="199">
      <c r="A199" s="55" t="str">
        <f>IFERROR(__xludf.DUMMYFUNCTION("""COMPUTED_VALUE"""),"Declined")</f>
        <v>Declined</v>
      </c>
      <c r="B199" s="94">
        <f>IFERROR(__xludf.DUMMYFUNCTION("""COMPUTED_VALUE"""),43689.0)</f>
        <v>43689</v>
      </c>
      <c r="C199" s="55" t="str">
        <f>IFERROR(__xludf.DUMMYFUNCTION("""COMPUTED_VALUE"""),"")</f>
        <v/>
      </c>
      <c r="D199" s="55" t="str">
        <f>IFERROR(__xludf.DUMMYFUNCTION("""COMPUTED_VALUE"""),"")</f>
        <v/>
      </c>
      <c r="E199" s="55" t="str">
        <f>IFERROR(__xludf.DUMMYFUNCTION("""COMPUTED_VALUE"""),"Actionability")</f>
        <v>Actionability</v>
      </c>
      <c r="F199" s="55" t="str">
        <f>IFERROR(__xludf.DUMMYFUNCTION("""COMPUTED_VALUE"""),"")</f>
        <v/>
      </c>
      <c r="G199" s="55" t="str">
        <f>IFERROR(__xludf.DUMMYFUNCTION("""COMPUTED_VALUE"""),"Parham Habibzadeh")</f>
        <v>Parham Habibzadeh</v>
      </c>
      <c r="H199" s="55" t="str">
        <f>IFERROR(__xludf.DUMMYFUNCTION("""COMPUTED_VALUE"""),"parham.habibzadeh@yahoo.com")</f>
        <v>parham.habibzadeh@yahoo.com</v>
      </c>
      <c r="I199" s="55" t="str">
        <f>IFERROR(__xludf.DUMMYFUNCTION("""COMPUTED_VALUE"""),"Scientific Researcher")</f>
        <v>Scientific Researcher</v>
      </c>
      <c r="J199" s="55"/>
      <c r="K199" s="55" t="str">
        <f>IFERROR(__xludf.DUMMYFUNCTION("""COMPUTED_VALUE"""),"Clinical Actionability")</f>
        <v>Clinical Actionability</v>
      </c>
      <c r="L199" s="55"/>
      <c r="M199" s="55"/>
      <c r="N199" s="55"/>
      <c r="O199" s="55"/>
      <c r="P199" s="55"/>
      <c r="Q199" s="55"/>
      <c r="R199" s="55"/>
      <c r="S199" s="55"/>
      <c r="T199" s="55"/>
      <c r="U199" s="55"/>
      <c r="V199" s="55"/>
      <c r="W199" s="55"/>
      <c r="X199" s="55"/>
      <c r="Y199" s="55"/>
      <c r="Z199" s="55"/>
    </row>
    <row r="200">
      <c r="A200" s="55" t="str">
        <f>IFERROR(__xludf.DUMMYFUNCTION("""COMPUTED_VALUE"""),"Contacted")</f>
        <v>Contacted</v>
      </c>
      <c r="B200" s="94">
        <f>IFERROR(__xludf.DUMMYFUNCTION("""COMPUTED_VALUE"""),43717.0)</f>
        <v>43717</v>
      </c>
      <c r="C200" s="93">
        <f>IFERROR(__xludf.DUMMYFUNCTION("""COMPUTED_VALUE"""),43769.0)</f>
        <v>43769</v>
      </c>
      <c r="D200" s="55" t="str">
        <f>IFERROR(__xludf.DUMMYFUNCTION("""COMPUTED_VALUE"""),"Yes")</f>
        <v>Yes</v>
      </c>
      <c r="E200" s="55" t="str">
        <f>IFERROR(__xludf.DUMMYFUNCTION("""COMPUTED_VALUE"""),"Actionability")</f>
        <v>Actionability</v>
      </c>
      <c r="F200" s="55" t="str">
        <f>IFERROR(__xludf.DUMMYFUNCTION("""COMPUTED_VALUE"""),"Actionability")</f>
        <v>Actionability</v>
      </c>
      <c r="G200" s="55" t="str">
        <f>IFERROR(__xludf.DUMMYFUNCTION("""COMPUTED_VALUE"""),"Xiaolin Hu")</f>
        <v>Xiaolin Hu</v>
      </c>
      <c r="H200" s="55" t="str">
        <f>IFERROR(__xludf.DUMMYFUNCTION("""COMPUTED_VALUE"""),"xiaolin.hu@cchmc.org")</f>
        <v>xiaolin.hu@cchmc.org</v>
      </c>
      <c r="I200" s="55" t="str">
        <f>IFERROR(__xludf.DUMMYFUNCTION("""COMPUTED_VALUE"""),"Post Doc/Resident/Fellow (MD and/or PhD)")</f>
        <v>Post Doc/Resident/Fellow (MD and/or PhD)</v>
      </c>
      <c r="J200" s="55"/>
      <c r="K200" s="55" t="str">
        <f>IFERROR(__xludf.DUMMYFUNCTION("""COMPUTED_VALUE"""),"Clinical Actionability")</f>
        <v>Clinical Actionability</v>
      </c>
      <c r="L200" s="55"/>
      <c r="M200" s="55"/>
      <c r="N200" s="55"/>
      <c r="O200" s="55"/>
      <c r="P200" s="55"/>
      <c r="Q200" s="55"/>
      <c r="R200" s="55"/>
      <c r="S200" s="55"/>
      <c r="T200" s="55"/>
      <c r="U200" s="55"/>
      <c r="V200" s="55"/>
      <c r="W200" s="55"/>
      <c r="X200" s="55"/>
      <c r="Y200" s="55"/>
      <c r="Z200" s="55"/>
    </row>
    <row r="201">
      <c r="A201" s="55" t="str">
        <f>IFERROR(__xludf.DUMMYFUNCTION("""COMPUTED_VALUE"""),"Contacted")</f>
        <v>Contacted</v>
      </c>
      <c r="B201" s="94">
        <f>IFERROR(__xludf.DUMMYFUNCTION("""COMPUTED_VALUE"""),43819.0)</f>
        <v>43819</v>
      </c>
      <c r="C201" s="55" t="str">
        <f>IFERROR(__xludf.DUMMYFUNCTION("""COMPUTED_VALUE"""),"")</f>
        <v/>
      </c>
      <c r="D201" s="55" t="str">
        <f>IFERROR(__xludf.DUMMYFUNCTION("""COMPUTED_VALUE"""),"")</f>
        <v/>
      </c>
      <c r="E201" s="55" t="str">
        <f>IFERROR(__xludf.DUMMYFUNCTION("""COMPUTED_VALUE"""),"Variant Pathogenicity")</f>
        <v>Variant Pathogenicity</v>
      </c>
      <c r="F201" s="55" t="str">
        <f>IFERROR(__xludf.DUMMYFUNCTION("""COMPUTED_VALUE"""),"")</f>
        <v/>
      </c>
      <c r="G201" s="55" t="str">
        <f>IFERROR(__xludf.DUMMYFUNCTION("""COMPUTED_VALUE"""),"Leighton Telling")</f>
        <v>Leighton Telling</v>
      </c>
      <c r="H201" s="55" t="str">
        <f>IFERROR(__xludf.DUMMYFUNCTION("""COMPUTED_VALUE"""),"lptellin@ncsu.edu")</f>
        <v>lptellin@ncsu.edu</v>
      </c>
      <c r="I201" s="55" t="str">
        <f>IFERROR(__xludf.DUMMYFUNCTION("""COMPUTED_VALUE"""),"Former UNC ClinGen Research Assistant")</f>
        <v>Former UNC ClinGen Research Assistant</v>
      </c>
      <c r="J201" s="55"/>
      <c r="K201" s="55" t="str">
        <f>IFERROR(__xludf.DUMMYFUNCTION("""COMPUTED_VALUE"""),"Variant Pathogenicity")</f>
        <v>Variant Pathogenicity</v>
      </c>
      <c r="L201" s="55"/>
      <c r="M201" s="55"/>
      <c r="N201" s="55"/>
      <c r="O201" s="55"/>
      <c r="P201" s="55"/>
      <c r="Q201" s="55"/>
      <c r="R201" s="55"/>
      <c r="S201" s="55"/>
      <c r="T201" s="55"/>
      <c r="U201" s="55"/>
      <c r="V201" s="55"/>
      <c r="W201" s="55"/>
      <c r="X201" s="55"/>
      <c r="Y201" s="55"/>
      <c r="Z201" s="55"/>
    </row>
    <row r="202">
      <c r="A202" s="55" t="str">
        <f>IFERROR(__xludf.DUMMYFUNCTION("""COMPUTED_VALUE"""),"Assigned")</f>
        <v>Assigned</v>
      </c>
      <c r="B202" s="94">
        <f>IFERROR(__xludf.DUMMYFUNCTION("""COMPUTED_VALUE"""),43705.0)</f>
        <v>43705</v>
      </c>
      <c r="C202" s="93">
        <f>IFERROR(__xludf.DUMMYFUNCTION("""COMPUTED_VALUE"""),43719.0)</f>
        <v>43719</v>
      </c>
      <c r="D202" s="55" t="str">
        <f>IFERROR(__xludf.DUMMYFUNCTION("""COMPUTED_VALUE"""),"Yes")</f>
        <v>Yes</v>
      </c>
      <c r="E202" s="55" t="str">
        <f>IFERROR(__xludf.DUMMYFUNCTION("""COMPUTED_VALUE"""),"Somatic Cancer")</f>
        <v>Somatic Cancer</v>
      </c>
      <c r="F202" s="55" t="str">
        <f>IFERROR(__xludf.DUMMYFUNCTION("""COMPUTED_VALUE"""),"Pediatric cancer and Hematological cancer taskforce")</f>
        <v>Pediatric cancer and Hematological cancer taskforce</v>
      </c>
      <c r="G202" s="55" t="str">
        <f>IFERROR(__xludf.DUMMYFUNCTION("""COMPUTED_VALUE"""),"Panieh Terraf")</f>
        <v>Panieh Terraf</v>
      </c>
      <c r="H202" s="55" t="str">
        <f>IFERROR(__xludf.DUMMYFUNCTION("""COMPUTED_VALUE"""),"pterraf@bwh.harvard.edu")</f>
        <v>pterraf@bwh.harvard.edu</v>
      </c>
      <c r="I202" s="55" t="str">
        <f>IFERROR(__xludf.DUMMYFUNCTION("""COMPUTED_VALUE"""),"Clinical laboratory geneticist")</f>
        <v>Clinical laboratory geneticist</v>
      </c>
      <c r="J202" s="55"/>
      <c r="K202" s="55" t="str">
        <f>IFERROR(__xludf.DUMMYFUNCTION("""COMPUTED_VALUE"""),"Somatic Cancer")</f>
        <v>Somatic Cancer</v>
      </c>
      <c r="L202" s="55"/>
      <c r="M202" s="55"/>
      <c r="N202" s="55"/>
      <c r="O202" s="55"/>
      <c r="P202" s="55"/>
      <c r="Q202" s="55"/>
      <c r="R202" s="55"/>
      <c r="S202" s="55"/>
      <c r="T202" s="55"/>
      <c r="U202" s="55"/>
      <c r="V202" s="55"/>
      <c r="W202" s="55"/>
      <c r="X202" s="55"/>
      <c r="Y202" s="55"/>
      <c r="Z202" s="55"/>
    </row>
    <row r="203">
      <c r="A203" s="55" t="str">
        <f>IFERROR(__xludf.DUMMYFUNCTION("""COMPUTED_VALUE"""),"Contacted")</f>
        <v>Contacted</v>
      </c>
      <c r="B203" s="94">
        <f>IFERROR(__xludf.DUMMYFUNCTION("""COMPUTED_VALUE"""),43819.0)</f>
        <v>43819</v>
      </c>
      <c r="C203" s="55" t="str">
        <f>IFERROR(__xludf.DUMMYFUNCTION("""COMPUTED_VALUE"""),"")</f>
        <v/>
      </c>
      <c r="D203" s="55" t="str">
        <f>IFERROR(__xludf.DUMMYFUNCTION("""COMPUTED_VALUE"""),"")</f>
        <v/>
      </c>
      <c r="E203" s="55" t="str">
        <f>IFERROR(__xludf.DUMMYFUNCTION("""COMPUTED_VALUE"""),"Gene Disease Validity")</f>
        <v>Gene Disease Validity</v>
      </c>
      <c r="F203" s="55" t="str">
        <f>IFERROR(__xludf.DUMMYFUNCTION("""COMPUTED_VALUE"""),"")</f>
        <v/>
      </c>
      <c r="G203" s="55" t="str">
        <f>IFERROR(__xludf.DUMMYFUNCTION("""COMPUTED_VALUE"""),"Jennifer Hull")</f>
        <v>Jennifer Hull</v>
      </c>
      <c r="H203" s="55" t="str">
        <f>IFERROR(__xludf.DUMMYFUNCTION("""COMPUTED_VALUE"""),"jhull86@gmail.com")</f>
        <v>jhull86@gmail.com</v>
      </c>
      <c r="I203" s="55" t="str">
        <f>IFERROR(__xludf.DUMMYFUNCTION("""COMPUTED_VALUE"""),"Graduate Student")</f>
        <v>Graduate Student</v>
      </c>
      <c r="J203" s="55"/>
      <c r="K203" s="55" t="str">
        <f>IFERROR(__xludf.DUMMYFUNCTION("""COMPUTED_VALUE"""),"Gene-Disease Validity")</f>
        <v>Gene-Disease Validity</v>
      </c>
      <c r="L203" s="55"/>
      <c r="M203" s="55"/>
      <c r="N203" s="55"/>
      <c r="O203" s="55"/>
      <c r="P203" s="55"/>
      <c r="Q203" s="55"/>
      <c r="R203" s="55"/>
      <c r="S203" s="55"/>
      <c r="T203" s="55"/>
      <c r="U203" s="55"/>
      <c r="V203" s="55"/>
      <c r="W203" s="55"/>
      <c r="X203" s="55"/>
      <c r="Y203" s="55"/>
      <c r="Z203" s="55"/>
    </row>
    <row r="204">
      <c r="A204" s="55" t="str">
        <f>IFERROR(__xludf.DUMMYFUNCTION("""COMPUTED_VALUE"""),"Contacted")</f>
        <v>Contacted</v>
      </c>
      <c r="B204" s="94">
        <f>IFERROR(__xludf.DUMMYFUNCTION("""COMPUTED_VALUE"""),43705.0)</f>
        <v>43705</v>
      </c>
      <c r="C204" s="93">
        <f>IFERROR(__xludf.DUMMYFUNCTION("""COMPUTED_VALUE"""),43719.0)</f>
        <v>43719</v>
      </c>
      <c r="D204" s="55" t="str">
        <f>IFERROR(__xludf.DUMMYFUNCTION("""COMPUTED_VALUE"""),"Yes")</f>
        <v>Yes</v>
      </c>
      <c r="E204" s="55" t="str">
        <f>IFERROR(__xludf.DUMMYFUNCTION("""COMPUTED_VALUE"""),"Somatic Cancer")</f>
        <v>Somatic Cancer</v>
      </c>
      <c r="F204" s="55" t="str">
        <f>IFERROR(__xludf.DUMMYFUNCTION("""COMPUTED_VALUE"""),"")</f>
        <v/>
      </c>
      <c r="G204" s="55" t="str">
        <f>IFERROR(__xludf.DUMMYFUNCTION("""COMPUTED_VALUE"""),"Eric Kil")</f>
        <v>Eric Kil</v>
      </c>
      <c r="H204" s="55" t="str">
        <f>IFERROR(__xludf.DUMMYFUNCTION("""COMPUTED_VALUE"""),"ekil18@students.kgi.edu")</f>
        <v>ekil18@students.kgi.edu</v>
      </c>
      <c r="I204" s="55" t="str">
        <f>IFERROR(__xludf.DUMMYFUNCTION("""COMPUTED_VALUE"""),"Graduate Student")</f>
        <v>Graduate Student</v>
      </c>
      <c r="J204" s="55"/>
      <c r="K204" s="55" t="str">
        <f>IFERROR(__xludf.DUMMYFUNCTION("""COMPUTED_VALUE"""),"Somatic Cancer")</f>
        <v>Somatic Cancer</v>
      </c>
      <c r="L204" s="55"/>
      <c r="M204" s="55"/>
      <c r="N204" s="55"/>
      <c r="O204" s="55"/>
      <c r="P204" s="55"/>
      <c r="Q204" s="55"/>
      <c r="R204" s="55"/>
      <c r="S204" s="55"/>
      <c r="T204" s="55"/>
      <c r="U204" s="55"/>
      <c r="V204" s="55"/>
      <c r="W204" s="55"/>
      <c r="X204" s="55"/>
      <c r="Y204" s="55"/>
      <c r="Z204" s="55"/>
    </row>
    <row r="205">
      <c r="A205" s="55" t="str">
        <f>IFERROR(__xludf.DUMMYFUNCTION("""COMPUTED_VALUE"""),"Assigned")</f>
        <v>Assigned</v>
      </c>
      <c r="B205" s="94">
        <f>IFERROR(__xludf.DUMMYFUNCTION("""COMPUTED_VALUE"""),43705.0)</f>
        <v>43705</v>
      </c>
      <c r="C205" s="93">
        <f>IFERROR(__xludf.DUMMYFUNCTION("""COMPUTED_VALUE"""),43719.0)</f>
        <v>43719</v>
      </c>
      <c r="D205" s="55" t="str">
        <f>IFERROR(__xludf.DUMMYFUNCTION("""COMPUTED_VALUE"""),"Yes")</f>
        <v>Yes</v>
      </c>
      <c r="E205" s="55" t="str">
        <f>IFERROR(__xludf.DUMMYFUNCTION("""COMPUTED_VALUE"""),"Somatic Cancer")</f>
        <v>Somatic Cancer</v>
      </c>
      <c r="F205" s="55" t="str">
        <f>IFERROR(__xludf.DUMMYFUNCTION("""COMPUTED_VALUE"""),"Genitourinary cancer taskforce")</f>
        <v>Genitourinary cancer taskforce</v>
      </c>
      <c r="G205" s="55" t="str">
        <f>IFERROR(__xludf.DUMMYFUNCTION("""COMPUTED_VALUE"""),"Joseph Steward")</f>
        <v>Joseph Steward</v>
      </c>
      <c r="H205" s="55" t="str">
        <f>IFERROR(__xludf.DUMMYFUNCTION("""COMPUTED_VALUE"""),"jsteward2930@gmail.com")</f>
        <v>jsteward2930@gmail.com</v>
      </c>
      <c r="I205" s="55" t="str">
        <f>IFERROR(__xludf.DUMMYFUNCTION("""COMPUTED_VALUE"""),"Scientific Researcher")</f>
        <v>Scientific Researcher</v>
      </c>
      <c r="J205" s="55"/>
      <c r="K205" s="55" t="str">
        <f>IFERROR(__xludf.DUMMYFUNCTION("""COMPUTED_VALUE"""),"Somatic Cancer")</f>
        <v>Somatic Cancer</v>
      </c>
      <c r="L205" s="55"/>
      <c r="M205" s="55"/>
      <c r="N205" s="55"/>
      <c r="O205" s="55"/>
      <c r="P205" s="55"/>
      <c r="Q205" s="55"/>
      <c r="R205" s="55"/>
      <c r="S205" s="55"/>
      <c r="T205" s="55"/>
      <c r="U205" s="55"/>
      <c r="V205" s="55"/>
      <c r="W205" s="55"/>
      <c r="X205" s="55"/>
      <c r="Y205" s="55"/>
      <c r="Z205" s="55"/>
    </row>
    <row r="206">
      <c r="A206" s="55" t="str">
        <f>IFERROR(__xludf.DUMMYFUNCTION("""COMPUTED_VALUE"""),"Unassigned")</f>
        <v>Unassigned</v>
      </c>
      <c r="B206" s="55" t="str">
        <f>IFERROR(__xludf.DUMMYFUNCTION("""COMPUTED_VALUE"""),"")</f>
        <v/>
      </c>
      <c r="C206" s="55" t="str">
        <f>IFERROR(__xludf.DUMMYFUNCTION("""COMPUTED_VALUE"""),"")</f>
        <v/>
      </c>
      <c r="D206" s="55" t="str">
        <f>IFERROR(__xludf.DUMMYFUNCTION("""COMPUTED_VALUE"""),"")</f>
        <v/>
      </c>
      <c r="E206" s="55" t="str">
        <f>IFERROR(__xludf.DUMMYFUNCTION("""COMPUTED_VALUE"""),"Baseline")</f>
        <v>Baseline</v>
      </c>
      <c r="F206" s="55" t="str">
        <f>IFERROR(__xludf.DUMMYFUNCTION("""COMPUTED_VALUE"""),"")</f>
        <v/>
      </c>
      <c r="G206" s="55" t="str">
        <f>IFERROR(__xludf.DUMMYFUNCTION("""COMPUTED_VALUE"""),"NANDITA MULLAPUDI")</f>
        <v>NANDITA MULLAPUDI</v>
      </c>
      <c r="H206" s="55" t="str">
        <f>IFERROR(__xludf.DUMMYFUNCTION("""COMPUTED_VALUE"""),"mnandita@gmail.com")</f>
        <v>mnandita@gmail.com</v>
      </c>
      <c r="I206" s="55" t="str">
        <f>IFERROR(__xludf.DUMMYFUNCTION("""COMPUTED_VALUE"""),"Scientific Researcher")</f>
        <v>Scientific Researcher</v>
      </c>
      <c r="J206" s="55"/>
      <c r="K206" s="55" t="str">
        <f>IFERROR(__xludf.DUMMYFUNCTION("""COMPUTED_VALUE"""),"")</f>
        <v/>
      </c>
      <c r="L206" s="55"/>
      <c r="M206" s="55"/>
      <c r="N206" s="55"/>
      <c r="O206" s="55"/>
      <c r="P206" s="55"/>
      <c r="Q206" s="55"/>
      <c r="R206" s="55"/>
      <c r="S206" s="55"/>
      <c r="T206" s="55"/>
      <c r="U206" s="55"/>
      <c r="V206" s="55"/>
      <c r="W206" s="55"/>
      <c r="X206" s="55"/>
      <c r="Y206" s="55"/>
      <c r="Z206" s="55"/>
    </row>
    <row r="207">
      <c r="A207" s="55" t="str">
        <f>IFERROR(__xludf.DUMMYFUNCTION("""COMPUTED_VALUE"""),"Contacted")</f>
        <v>Contacted</v>
      </c>
      <c r="B207" s="94">
        <f>IFERROR(__xludf.DUMMYFUNCTION("""COMPUTED_VALUE"""),43819.0)</f>
        <v>43819</v>
      </c>
      <c r="C207" s="55" t="str">
        <f>IFERROR(__xludf.DUMMYFUNCTION("""COMPUTED_VALUE"""),"")</f>
        <v/>
      </c>
      <c r="D207" s="55" t="str">
        <f>IFERROR(__xludf.DUMMYFUNCTION("""COMPUTED_VALUE"""),"")</f>
        <v/>
      </c>
      <c r="E207" s="55" t="str">
        <f>IFERROR(__xludf.DUMMYFUNCTION("""COMPUTED_VALUE"""),"Variant Pathogenicity")</f>
        <v>Variant Pathogenicity</v>
      </c>
      <c r="F207" s="55" t="str">
        <f>IFERROR(__xludf.DUMMYFUNCTION("""COMPUTED_VALUE"""),"")</f>
        <v/>
      </c>
      <c r="G207" s="55" t="str">
        <f>IFERROR(__xludf.DUMMYFUNCTION("""COMPUTED_VALUE"""),"Georgios Tsaousis")</f>
        <v>Georgios Tsaousis</v>
      </c>
      <c r="H207" s="55" t="str">
        <f>IFERROR(__xludf.DUMMYFUNCTION("""COMPUTED_VALUE"""),"gtsaousis@genekor.com")</f>
        <v>gtsaousis@genekor.com</v>
      </c>
      <c r="I207" s="55" t="str">
        <f>IFERROR(__xludf.DUMMYFUNCTION("""COMPUTED_VALUE"""),"Variant Analyst/Scientist - Industry")</f>
        <v>Variant Analyst/Scientist - Industry</v>
      </c>
      <c r="J207" s="55"/>
      <c r="K207" s="55" t="str">
        <f>IFERROR(__xludf.DUMMYFUNCTION("""COMPUTED_VALUE"""),"Variant Pathogenicity")</f>
        <v>Variant Pathogenicity</v>
      </c>
      <c r="L207" s="55"/>
      <c r="M207" s="55"/>
      <c r="N207" s="55"/>
      <c r="O207" s="55"/>
      <c r="P207" s="55"/>
      <c r="Q207" s="55"/>
      <c r="R207" s="55"/>
      <c r="S207" s="55"/>
      <c r="T207" s="55"/>
      <c r="U207" s="55"/>
      <c r="V207" s="55"/>
      <c r="W207" s="55"/>
      <c r="X207" s="55"/>
      <c r="Y207" s="55"/>
      <c r="Z207" s="55"/>
    </row>
    <row r="208">
      <c r="A208" s="55" t="str">
        <f>IFERROR(__xludf.DUMMYFUNCTION("""COMPUTED_VALUE"""),"Contacted")</f>
        <v>Contacted</v>
      </c>
      <c r="B208" s="94">
        <f>IFERROR(__xludf.DUMMYFUNCTION("""COMPUTED_VALUE"""),43819.0)</f>
        <v>43819</v>
      </c>
      <c r="C208" s="55" t="str">
        <f>IFERROR(__xludf.DUMMYFUNCTION("""COMPUTED_VALUE"""),"")</f>
        <v/>
      </c>
      <c r="D208" s="55" t="str">
        <f>IFERROR(__xludf.DUMMYFUNCTION("""COMPUTED_VALUE"""),"")</f>
        <v/>
      </c>
      <c r="E208" s="55" t="str">
        <f>IFERROR(__xludf.DUMMYFUNCTION("""COMPUTED_VALUE"""),"Variant Pathogenicity")</f>
        <v>Variant Pathogenicity</v>
      </c>
      <c r="F208" s="55" t="str">
        <f>IFERROR(__xludf.DUMMYFUNCTION("""COMPUTED_VALUE"""),"")</f>
        <v/>
      </c>
      <c r="G208" s="55" t="str">
        <f>IFERROR(__xludf.DUMMYFUNCTION("""COMPUTED_VALUE"""),"Jessica Hatton")</f>
        <v>Jessica Hatton</v>
      </c>
      <c r="H208" s="55" t="str">
        <f>IFERROR(__xludf.DUMMYFUNCTION("""COMPUTED_VALUE"""),"jessica.hatton@nih.gov")</f>
        <v>jessica.hatton@nih.gov</v>
      </c>
      <c r="I208" s="55" t="str">
        <f>IFERROR(__xludf.DUMMYFUNCTION("""COMPUTED_VALUE"""),"Genetic counselor")</f>
        <v>Genetic counselor</v>
      </c>
      <c r="J208" s="55"/>
      <c r="K208" s="55" t="str">
        <f>IFERROR(__xludf.DUMMYFUNCTION("""COMPUTED_VALUE"""),"Variant Pathogenicity")</f>
        <v>Variant Pathogenicity</v>
      </c>
      <c r="L208" s="55"/>
      <c r="M208" s="55"/>
      <c r="N208" s="55"/>
      <c r="O208" s="55"/>
      <c r="P208" s="55"/>
      <c r="Q208" s="55"/>
      <c r="R208" s="55"/>
      <c r="S208" s="55"/>
      <c r="T208" s="55"/>
      <c r="U208" s="55"/>
      <c r="V208" s="55"/>
      <c r="W208" s="55"/>
      <c r="X208" s="55"/>
      <c r="Y208" s="55"/>
      <c r="Z208" s="55"/>
    </row>
    <row r="209">
      <c r="A209" s="55" t="str">
        <f>IFERROR(__xludf.DUMMYFUNCTION("""COMPUTED_VALUE"""),"Contacted")</f>
        <v>Contacted</v>
      </c>
      <c r="B209" s="94">
        <f>IFERROR(__xludf.DUMMYFUNCTION("""COMPUTED_VALUE"""),43819.0)</f>
        <v>43819</v>
      </c>
      <c r="C209" s="55" t="str">
        <f>IFERROR(__xludf.DUMMYFUNCTION("""COMPUTED_VALUE"""),"")</f>
        <v/>
      </c>
      <c r="D209" s="55" t="str">
        <f>IFERROR(__xludf.DUMMYFUNCTION("""COMPUTED_VALUE"""),"")</f>
        <v/>
      </c>
      <c r="E209" s="55" t="str">
        <f>IFERROR(__xludf.DUMMYFUNCTION("""COMPUTED_VALUE"""),"Variant Pathogenicity")</f>
        <v>Variant Pathogenicity</v>
      </c>
      <c r="F209" s="55" t="str">
        <f>IFERROR(__xludf.DUMMYFUNCTION("""COMPUTED_VALUE"""),"")</f>
        <v/>
      </c>
      <c r="G209" s="55" t="str">
        <f>IFERROR(__xludf.DUMMYFUNCTION("""COMPUTED_VALUE"""),"Xia Tian")</f>
        <v>Xia Tian</v>
      </c>
      <c r="H209" s="55" t="str">
        <f>IFERROR(__xludf.DUMMYFUNCTION("""COMPUTED_VALUE"""),"xtian@wuxinextcode.com")</f>
        <v>xtian@wuxinextcode.com</v>
      </c>
      <c r="I209" s="55" t="str">
        <f>IFERROR(__xludf.DUMMYFUNCTION("""COMPUTED_VALUE"""),"Variant Analyst/Scientist - Industry")</f>
        <v>Variant Analyst/Scientist - Industry</v>
      </c>
      <c r="J209" s="55"/>
      <c r="K209" s="55" t="str">
        <f>IFERROR(__xludf.DUMMYFUNCTION("""COMPUTED_VALUE"""),"Variant Pathogenicity")</f>
        <v>Variant Pathogenicity</v>
      </c>
      <c r="L209" s="55"/>
      <c r="M209" s="55"/>
      <c r="N209" s="55"/>
      <c r="O209" s="55"/>
      <c r="P209" s="55"/>
      <c r="Q209" s="55"/>
      <c r="R209" s="55"/>
      <c r="S209" s="55"/>
      <c r="T209" s="55"/>
      <c r="U209" s="55"/>
      <c r="V209" s="55"/>
      <c r="W209" s="55"/>
      <c r="X209" s="55"/>
      <c r="Y209" s="55"/>
      <c r="Z209" s="55"/>
    </row>
    <row r="210">
      <c r="A210" s="55" t="str">
        <f>IFERROR(__xludf.DUMMYFUNCTION("""COMPUTED_VALUE"""),"Contacted")</f>
        <v>Contacted</v>
      </c>
      <c r="B210" s="94">
        <f>IFERROR(__xludf.DUMMYFUNCTION("""COMPUTED_VALUE"""),43819.0)</f>
        <v>43819</v>
      </c>
      <c r="C210" s="55" t="str">
        <f>IFERROR(__xludf.DUMMYFUNCTION("""COMPUTED_VALUE"""),"")</f>
        <v/>
      </c>
      <c r="D210" s="55" t="str">
        <f>IFERROR(__xludf.DUMMYFUNCTION("""COMPUTED_VALUE"""),"")</f>
        <v/>
      </c>
      <c r="E210" s="55" t="str">
        <f>IFERROR(__xludf.DUMMYFUNCTION("""COMPUTED_VALUE"""),"Gene Disease Validity")</f>
        <v>Gene Disease Validity</v>
      </c>
      <c r="F210" s="55" t="str">
        <f>IFERROR(__xludf.DUMMYFUNCTION("""COMPUTED_VALUE"""),"")</f>
        <v/>
      </c>
      <c r="G210" s="55" t="str">
        <f>IFERROR(__xludf.DUMMYFUNCTION("""COMPUTED_VALUE"""),"MEGHA DANI")</f>
        <v>MEGHA DANI</v>
      </c>
      <c r="H210" s="55" t="str">
        <f>IFERROR(__xludf.DUMMYFUNCTION("""COMPUTED_VALUE"""),"meghamdani@gmail.com")</f>
        <v>meghamdani@gmail.com</v>
      </c>
      <c r="I210" s="55" t="str">
        <f>IFERROR(__xludf.DUMMYFUNCTION("""COMPUTED_VALUE"""),"I owned and worked for my clinical biochemistry/diagnostics laboratory but I have not done Genetics for lack for facilities.  I want to learn Genetics, its use in identification of various genetic disorders, learning new genetic techniques")</f>
        <v>I owned and worked for my clinical biochemistry/diagnostics laboratory but I have not done Genetics for lack for facilities.  I want to learn Genetics, its use in identification of various genetic disorders, learning new genetic techniques</v>
      </c>
      <c r="J210" s="55"/>
      <c r="K210" s="55" t="str">
        <f>IFERROR(__xludf.DUMMYFUNCTION("""COMPUTED_VALUE"""),"Gene-Disease Validity")</f>
        <v>Gene-Disease Validity</v>
      </c>
      <c r="L210" s="55"/>
      <c r="M210" s="55"/>
      <c r="N210" s="55"/>
      <c r="O210" s="55"/>
      <c r="P210" s="55"/>
      <c r="Q210" s="55"/>
      <c r="R210" s="55"/>
      <c r="S210" s="55"/>
      <c r="T210" s="55"/>
      <c r="U210" s="55"/>
      <c r="V210" s="55"/>
      <c r="W210" s="55"/>
      <c r="X210" s="55"/>
      <c r="Y210" s="55"/>
      <c r="Z210" s="55"/>
    </row>
    <row r="211">
      <c r="A211" s="55" t="str">
        <f>IFERROR(__xludf.DUMMYFUNCTION("""COMPUTED_VALUE"""),"Contacted")</f>
        <v>Contacted</v>
      </c>
      <c r="B211" s="55" t="str">
        <f>IFERROR(__xludf.DUMMYFUNCTION("""COMPUTED_VALUE"""),"")</f>
        <v/>
      </c>
      <c r="C211" s="93">
        <f>IFERROR(__xludf.DUMMYFUNCTION("""COMPUTED_VALUE"""),43692.0)</f>
        <v>43692</v>
      </c>
      <c r="D211" s="55" t="str">
        <f>IFERROR(__xludf.DUMMYFUNCTION("""COMPUTED_VALUE"""),"Yes")</f>
        <v>Yes</v>
      </c>
      <c r="E211" s="55" t="str">
        <f>IFERROR(__xludf.DUMMYFUNCTION("""COMPUTED_VALUE"""),"Gene Disease Validity")</f>
        <v>Gene Disease Validity</v>
      </c>
      <c r="F211" s="55" t="str">
        <f>IFERROR(__xludf.DUMMYFUNCTION("""COMPUTED_VALUE"""),"")</f>
        <v/>
      </c>
      <c r="G211" s="55" t="str">
        <f>IFERROR(__xludf.DUMMYFUNCTION("""COMPUTED_VALUE"""),"SAILATHA RAVI")</f>
        <v>SAILATHA RAVI</v>
      </c>
      <c r="H211" s="55" t="str">
        <f>IFERROR(__xludf.DUMMYFUNCTION("""COMPUTED_VALUE"""),"sailatha.ravi@gmail.com")</f>
        <v>sailatha.ravi@gmail.com</v>
      </c>
      <c r="I211" s="55" t="str">
        <f>IFERROR(__xludf.DUMMYFUNCTION("""COMPUTED_VALUE"""),"Post Doc/Resident/Fellow (MD and/or PhD)")</f>
        <v>Post Doc/Resident/Fellow (MD and/or PhD)</v>
      </c>
      <c r="J211" s="55"/>
      <c r="K211" s="55" t="str">
        <f>IFERROR(__xludf.DUMMYFUNCTION("""COMPUTED_VALUE"""),"Gene-Disease Validity")</f>
        <v>Gene-Disease Validity</v>
      </c>
      <c r="L211" s="55"/>
      <c r="M211" s="55"/>
      <c r="N211" s="55"/>
      <c r="O211" s="55"/>
      <c r="P211" s="55"/>
      <c r="Q211" s="55"/>
      <c r="R211" s="55"/>
      <c r="S211" s="55"/>
      <c r="T211" s="55"/>
      <c r="U211" s="55"/>
      <c r="V211" s="55"/>
      <c r="W211" s="55"/>
      <c r="X211" s="55"/>
      <c r="Y211" s="55"/>
      <c r="Z211" s="55"/>
    </row>
    <row r="212">
      <c r="A212" s="55" t="str">
        <f>IFERROR(__xludf.DUMMYFUNCTION("""COMPUTED_VALUE"""),"Contacted")</f>
        <v>Contacted</v>
      </c>
      <c r="B212" s="94">
        <f>IFERROR(__xludf.DUMMYFUNCTION("""COMPUTED_VALUE"""),43819.0)</f>
        <v>43819</v>
      </c>
      <c r="C212" s="55" t="str">
        <f>IFERROR(__xludf.DUMMYFUNCTION("""COMPUTED_VALUE"""),"")</f>
        <v/>
      </c>
      <c r="D212" s="55" t="str">
        <f>IFERROR(__xludf.DUMMYFUNCTION("""COMPUTED_VALUE"""),"")</f>
        <v/>
      </c>
      <c r="E212" s="55" t="str">
        <f>IFERROR(__xludf.DUMMYFUNCTION("""COMPUTED_VALUE"""),"Variant Pathogenicity")</f>
        <v>Variant Pathogenicity</v>
      </c>
      <c r="F212" s="55" t="str">
        <f>IFERROR(__xludf.DUMMYFUNCTION("""COMPUTED_VALUE"""),"")</f>
        <v/>
      </c>
      <c r="G212" s="55" t="str">
        <f>IFERROR(__xludf.DUMMYFUNCTION("""COMPUTED_VALUE"""),"Pamela Ajuyah")</f>
        <v>Pamela Ajuyah</v>
      </c>
      <c r="H212" s="55" t="str">
        <f>IFERROR(__xludf.DUMMYFUNCTION("""COMPUTED_VALUE"""),"pamela.a.ajuyah@gmail.com")</f>
        <v>pamela.a.ajuyah@gmail.com</v>
      </c>
      <c r="I212" s="55" t="str">
        <f>IFERROR(__xludf.DUMMYFUNCTION("""COMPUTED_VALUE"""),"Variant Analyst/Scientist - Industry")</f>
        <v>Variant Analyst/Scientist - Industry</v>
      </c>
      <c r="J212" s="55"/>
      <c r="K212" s="55" t="str">
        <f>IFERROR(__xludf.DUMMYFUNCTION("""COMPUTED_VALUE"""),"Variant Pathogenicity")</f>
        <v>Variant Pathogenicity</v>
      </c>
      <c r="L212" s="55"/>
      <c r="M212" s="55"/>
      <c r="N212" s="55"/>
      <c r="O212" s="55"/>
      <c r="P212" s="55"/>
      <c r="Q212" s="55"/>
      <c r="R212" s="55"/>
      <c r="S212" s="55"/>
      <c r="T212" s="55"/>
      <c r="U212" s="55"/>
      <c r="V212" s="55"/>
      <c r="W212" s="55"/>
      <c r="X212" s="55"/>
      <c r="Y212" s="55"/>
      <c r="Z212" s="55"/>
    </row>
    <row r="213">
      <c r="A213" s="55" t="str">
        <f>IFERROR(__xludf.DUMMYFUNCTION("""COMPUTED_VALUE"""),"Contacted")</f>
        <v>Contacted</v>
      </c>
      <c r="B213" s="94">
        <f>IFERROR(__xludf.DUMMYFUNCTION("""COMPUTED_VALUE"""),43819.0)</f>
        <v>43819</v>
      </c>
      <c r="C213" s="55" t="str">
        <f>IFERROR(__xludf.DUMMYFUNCTION("""COMPUTED_VALUE"""),"")</f>
        <v/>
      </c>
      <c r="D213" s="55" t="str">
        <f>IFERROR(__xludf.DUMMYFUNCTION("""COMPUTED_VALUE"""),"")</f>
        <v/>
      </c>
      <c r="E213" s="55" t="str">
        <f>IFERROR(__xludf.DUMMYFUNCTION("""COMPUTED_VALUE"""),"Gene Disease Validity")</f>
        <v>Gene Disease Validity</v>
      </c>
      <c r="F213" s="55" t="str">
        <f>IFERROR(__xludf.DUMMYFUNCTION("""COMPUTED_VALUE"""),"")</f>
        <v/>
      </c>
      <c r="G213" s="55" t="str">
        <f>IFERROR(__xludf.DUMMYFUNCTION("""COMPUTED_VALUE"""),"Yasser Sullcahuaman Allende")</f>
        <v>Yasser Sullcahuaman Allende</v>
      </c>
      <c r="H213" s="55" t="str">
        <f>IFERROR(__xludf.DUMMYFUNCTION("""COMPUTED_VALUE"""),"ysullcahuaman@hotmail.com")</f>
        <v>ysullcahuaman@hotmail.com</v>
      </c>
      <c r="I213" s="55" t="str">
        <f>IFERROR(__xludf.DUMMYFUNCTION("""COMPUTED_VALUE"""),"Clinical Medical Geneticist")</f>
        <v>Clinical Medical Geneticist</v>
      </c>
      <c r="J213" s="55"/>
      <c r="K213" s="55" t="str">
        <f>IFERROR(__xludf.DUMMYFUNCTION("""COMPUTED_VALUE"""),"Gene-Disease Validity")</f>
        <v>Gene-Disease Validity</v>
      </c>
      <c r="L213" s="55"/>
      <c r="M213" s="55"/>
      <c r="N213" s="55"/>
      <c r="O213" s="55"/>
      <c r="P213" s="55"/>
      <c r="Q213" s="55"/>
      <c r="R213" s="55"/>
      <c r="S213" s="55"/>
      <c r="T213" s="55"/>
      <c r="U213" s="55"/>
      <c r="V213" s="55"/>
      <c r="W213" s="55"/>
      <c r="X213" s="55"/>
      <c r="Y213" s="55"/>
      <c r="Z213" s="55"/>
    </row>
    <row r="214">
      <c r="A214" s="55" t="str">
        <f>IFERROR(__xludf.DUMMYFUNCTION("""COMPUTED_VALUE"""),"Declined")</f>
        <v>Declined</v>
      </c>
      <c r="B214" s="94">
        <f>IFERROR(__xludf.DUMMYFUNCTION("""COMPUTED_VALUE"""),43717.0)</f>
        <v>43717</v>
      </c>
      <c r="C214" s="55" t="str">
        <f>IFERROR(__xludf.DUMMYFUNCTION("""COMPUTED_VALUE"""),"")</f>
        <v/>
      </c>
      <c r="D214" s="55" t="str">
        <f>IFERROR(__xludf.DUMMYFUNCTION("""COMPUTED_VALUE"""),"")</f>
        <v/>
      </c>
      <c r="E214" s="55" t="str">
        <f>IFERROR(__xludf.DUMMYFUNCTION("""COMPUTED_VALUE"""),"Actionability")</f>
        <v>Actionability</v>
      </c>
      <c r="F214" s="55" t="str">
        <f>IFERROR(__xludf.DUMMYFUNCTION("""COMPUTED_VALUE"""),"")</f>
        <v/>
      </c>
      <c r="G214" s="55" t="str">
        <f>IFERROR(__xludf.DUMMYFUNCTION("""COMPUTED_VALUE"""),"Ellie Jhun")</f>
        <v>Ellie Jhun</v>
      </c>
      <c r="H214" s="55" t="str">
        <f>IFERROR(__xludf.DUMMYFUNCTION("""COMPUTED_VALUE"""),"ejhun@base10genetics.com")</f>
        <v>ejhun@base10genetics.com</v>
      </c>
      <c r="I214" s="55" t="str">
        <f>IFERROR(__xludf.DUMMYFUNCTION("""COMPUTED_VALUE"""),"Variant Analyst/Scientist - Industry")</f>
        <v>Variant Analyst/Scientist - Industry</v>
      </c>
      <c r="J214" s="55"/>
      <c r="K214" s="55" t="str">
        <f>IFERROR(__xludf.DUMMYFUNCTION("""COMPUTED_VALUE"""),"Clinical Actionability")</f>
        <v>Clinical Actionability</v>
      </c>
      <c r="L214" s="55"/>
      <c r="M214" s="55"/>
      <c r="N214" s="55"/>
      <c r="O214" s="55"/>
      <c r="P214" s="55"/>
      <c r="Q214" s="55"/>
      <c r="R214" s="55"/>
      <c r="S214" s="55"/>
      <c r="T214" s="55"/>
      <c r="U214" s="55"/>
      <c r="V214" s="55"/>
      <c r="W214" s="55"/>
      <c r="X214" s="55"/>
      <c r="Y214" s="55"/>
      <c r="Z214" s="55"/>
    </row>
    <row r="215">
      <c r="A215" s="55" t="str">
        <f>IFERROR(__xludf.DUMMYFUNCTION("""COMPUTED_VALUE"""),"Contacted")</f>
        <v>Contacted</v>
      </c>
      <c r="B215" s="94">
        <f>IFERROR(__xludf.DUMMYFUNCTION("""COMPUTED_VALUE"""),43819.0)</f>
        <v>43819</v>
      </c>
      <c r="C215" s="55" t="str">
        <f>IFERROR(__xludf.DUMMYFUNCTION("""COMPUTED_VALUE"""),"")</f>
        <v/>
      </c>
      <c r="D215" s="55" t="str">
        <f>IFERROR(__xludf.DUMMYFUNCTION("""COMPUTED_VALUE"""),"")</f>
        <v/>
      </c>
      <c r="E215" s="55" t="str">
        <f>IFERROR(__xludf.DUMMYFUNCTION("""COMPUTED_VALUE"""),"Variant Pathogenicity")</f>
        <v>Variant Pathogenicity</v>
      </c>
      <c r="F215" s="55" t="str">
        <f>IFERROR(__xludf.DUMMYFUNCTION("""COMPUTED_VALUE"""),"")</f>
        <v/>
      </c>
      <c r="G215" s="55" t="str">
        <f>IFERROR(__xludf.DUMMYFUNCTION("""COMPUTED_VALUE"""),"Venkatesan Sengoda Gounder")</f>
        <v>Venkatesan Sengoda Gounder</v>
      </c>
      <c r="H215" s="55" t="str">
        <f>IFERROR(__xludf.DUMMYFUNCTION("""COMPUTED_VALUE"""),"agrivenkat@gmail.com")</f>
        <v>agrivenkat@gmail.com</v>
      </c>
      <c r="I215" s="55" t="str">
        <f>IFERROR(__xludf.DUMMYFUNCTION("""COMPUTED_VALUE"""),"Scientific Researcher")</f>
        <v>Scientific Researcher</v>
      </c>
      <c r="J215" s="55"/>
      <c r="K215" s="55" t="str">
        <f>IFERROR(__xludf.DUMMYFUNCTION("""COMPUTED_VALUE"""),"Variant Pathogenicity")</f>
        <v>Variant Pathogenicity</v>
      </c>
      <c r="L215" s="55"/>
      <c r="M215" s="55"/>
      <c r="N215" s="55"/>
      <c r="O215" s="55"/>
      <c r="P215" s="55"/>
      <c r="Q215" s="55"/>
      <c r="R215" s="55"/>
      <c r="S215" s="55"/>
      <c r="T215" s="55"/>
      <c r="U215" s="55"/>
      <c r="V215" s="55"/>
      <c r="W215" s="55"/>
      <c r="X215" s="55"/>
      <c r="Y215" s="55"/>
      <c r="Z215" s="55"/>
    </row>
    <row r="216">
      <c r="A216" s="55" t="str">
        <f>IFERROR(__xludf.DUMMYFUNCTION("""COMPUTED_VALUE"""),"Contacted")</f>
        <v>Contacted</v>
      </c>
      <c r="B216" s="94">
        <f>IFERROR(__xludf.DUMMYFUNCTION("""COMPUTED_VALUE"""),43819.0)</f>
        <v>43819</v>
      </c>
      <c r="C216" s="55" t="str">
        <f>IFERROR(__xludf.DUMMYFUNCTION("""COMPUTED_VALUE"""),"")</f>
        <v/>
      </c>
      <c r="D216" s="55" t="str">
        <f>IFERROR(__xludf.DUMMYFUNCTION("""COMPUTED_VALUE"""),"")</f>
        <v/>
      </c>
      <c r="E216" s="55" t="str">
        <f>IFERROR(__xludf.DUMMYFUNCTION("""COMPUTED_VALUE"""),"Variant Pathogenicity")</f>
        <v>Variant Pathogenicity</v>
      </c>
      <c r="F216" s="55" t="str">
        <f>IFERROR(__xludf.DUMMYFUNCTION("""COMPUTED_VALUE"""),"")</f>
        <v/>
      </c>
      <c r="G216" s="55" t="str">
        <f>IFERROR(__xludf.DUMMYFUNCTION("""COMPUTED_VALUE"""),"Ronaldo da Silva Francisco Junior")</f>
        <v>Ronaldo da Silva Francisco Junior</v>
      </c>
      <c r="H216" s="55" t="str">
        <f>IFERROR(__xludf.DUMMYFUNCTION("""COMPUTED_VALUE"""),"ronaldoj@lncc.br")</f>
        <v>ronaldoj@lncc.br</v>
      </c>
      <c r="I216" s="55" t="str">
        <f>IFERROR(__xludf.DUMMYFUNCTION("""COMPUTED_VALUE"""),"Variant Analyst/Scientist - Academic")</f>
        <v>Variant Analyst/Scientist - Academic</v>
      </c>
      <c r="J216" s="55"/>
      <c r="K216" s="55" t="str">
        <f>IFERROR(__xludf.DUMMYFUNCTION("""COMPUTED_VALUE"""),"Variant Pathogenicity")</f>
        <v>Variant Pathogenicity</v>
      </c>
      <c r="L216" s="55"/>
      <c r="M216" s="55"/>
      <c r="N216" s="55"/>
      <c r="O216" s="55"/>
      <c r="P216" s="55"/>
      <c r="Q216" s="55"/>
      <c r="R216" s="55"/>
      <c r="S216" s="55"/>
      <c r="T216" s="55"/>
      <c r="U216" s="55"/>
      <c r="V216" s="55"/>
      <c r="W216" s="55"/>
      <c r="X216" s="55"/>
      <c r="Y216" s="55"/>
      <c r="Z216" s="55"/>
    </row>
    <row r="217">
      <c r="A217" s="55" t="str">
        <f>IFERROR(__xludf.DUMMYFUNCTION("""COMPUTED_VALUE"""),"Contacted")</f>
        <v>Contacted</v>
      </c>
      <c r="B217" s="94">
        <f>IFERROR(__xludf.DUMMYFUNCTION("""COMPUTED_VALUE"""),43819.0)</f>
        <v>43819</v>
      </c>
      <c r="C217" s="55" t="str">
        <f>IFERROR(__xludf.DUMMYFUNCTION("""COMPUTED_VALUE"""),"")</f>
        <v/>
      </c>
      <c r="D217" s="55" t="str">
        <f>IFERROR(__xludf.DUMMYFUNCTION("""COMPUTED_VALUE"""),"")</f>
        <v/>
      </c>
      <c r="E217" s="55" t="str">
        <f>IFERROR(__xludf.DUMMYFUNCTION("""COMPUTED_VALUE"""),"Gene Disease Validity")</f>
        <v>Gene Disease Validity</v>
      </c>
      <c r="F217" s="55" t="str">
        <f>IFERROR(__xludf.DUMMYFUNCTION("""COMPUTED_VALUE"""),"")</f>
        <v/>
      </c>
      <c r="G217" s="55" t="str">
        <f>IFERROR(__xludf.DUMMYFUNCTION("""COMPUTED_VALUE"""),"Krista Bluske")</f>
        <v>Krista Bluske</v>
      </c>
      <c r="H217" s="55" t="str">
        <f>IFERROR(__xludf.DUMMYFUNCTION("""COMPUTED_VALUE"""),"kbluske@illumina.com")</f>
        <v>kbluske@illumina.com</v>
      </c>
      <c r="I217" s="55" t="str">
        <f>IFERROR(__xludf.DUMMYFUNCTION("""COMPUTED_VALUE"""),"Variant Analyst/Scientist - Industry")</f>
        <v>Variant Analyst/Scientist - Industry</v>
      </c>
      <c r="J217" s="55"/>
      <c r="K217" s="55" t="str">
        <f>IFERROR(__xludf.DUMMYFUNCTION("""COMPUTED_VALUE"""),"Gene-Disease Validity")</f>
        <v>Gene-Disease Validity</v>
      </c>
      <c r="L217" s="55"/>
      <c r="M217" s="55"/>
      <c r="N217" s="55"/>
      <c r="O217" s="55"/>
      <c r="P217" s="55"/>
      <c r="Q217" s="55"/>
      <c r="R217" s="55"/>
      <c r="S217" s="55"/>
      <c r="T217" s="55"/>
      <c r="U217" s="55"/>
      <c r="V217" s="55"/>
      <c r="W217" s="55"/>
      <c r="X217" s="55"/>
      <c r="Y217" s="55"/>
      <c r="Z217" s="55"/>
    </row>
    <row r="218">
      <c r="A218" s="55" t="str">
        <f>IFERROR(__xludf.DUMMYFUNCTION("""COMPUTED_VALUE"""),"Contacted")</f>
        <v>Contacted</v>
      </c>
      <c r="B218" s="94">
        <f>IFERROR(__xludf.DUMMYFUNCTION("""COMPUTED_VALUE"""),43819.0)</f>
        <v>43819</v>
      </c>
      <c r="C218" s="55" t="str">
        <f>IFERROR(__xludf.DUMMYFUNCTION("""COMPUTED_VALUE"""),"")</f>
        <v/>
      </c>
      <c r="D218" s="55" t="str">
        <f>IFERROR(__xludf.DUMMYFUNCTION("""COMPUTED_VALUE"""),"")</f>
        <v/>
      </c>
      <c r="E218" s="55" t="str">
        <f>IFERROR(__xludf.DUMMYFUNCTION("""COMPUTED_VALUE"""),"Variant Pathogenicity")</f>
        <v>Variant Pathogenicity</v>
      </c>
      <c r="F218" s="55" t="str">
        <f>IFERROR(__xludf.DUMMYFUNCTION("""COMPUTED_VALUE"""),"")</f>
        <v/>
      </c>
      <c r="G218" s="55" t="str">
        <f>IFERROR(__xludf.DUMMYFUNCTION("""COMPUTED_VALUE"""),"Raman Bansal")</f>
        <v>Raman Bansal</v>
      </c>
      <c r="H218" s="55" t="str">
        <f>IFERROR(__xludf.DUMMYFUNCTION("""COMPUTED_VALUE"""),"rbansal.osu@gmail.com")</f>
        <v>rbansal.osu@gmail.com</v>
      </c>
      <c r="I218" s="55" t="str">
        <f>IFERROR(__xludf.DUMMYFUNCTION("""COMPUTED_VALUE"""),"Scientific Researcher")</f>
        <v>Scientific Researcher</v>
      </c>
      <c r="J218" s="55"/>
      <c r="K218" s="55" t="str">
        <f>IFERROR(__xludf.DUMMYFUNCTION("""COMPUTED_VALUE"""),"Variant Pathogenicity")</f>
        <v>Variant Pathogenicity</v>
      </c>
      <c r="L218" s="55"/>
      <c r="M218" s="55"/>
      <c r="N218" s="55"/>
      <c r="O218" s="55"/>
      <c r="P218" s="55"/>
      <c r="Q218" s="55"/>
      <c r="R218" s="55"/>
      <c r="S218" s="55"/>
      <c r="T218" s="55"/>
      <c r="U218" s="55"/>
      <c r="V218" s="55"/>
      <c r="W218" s="55"/>
      <c r="X218" s="55"/>
      <c r="Y218" s="55"/>
      <c r="Z218" s="55"/>
    </row>
    <row r="219">
      <c r="A219" s="55" t="str">
        <f>IFERROR(__xludf.DUMMYFUNCTION("""COMPUTED_VALUE"""),"Assigned")</f>
        <v>Assigned</v>
      </c>
      <c r="B219" s="94">
        <f>IFERROR(__xludf.DUMMYFUNCTION("""COMPUTED_VALUE"""),43705.0)</f>
        <v>43705</v>
      </c>
      <c r="C219" s="94">
        <f>IFERROR(__xludf.DUMMYFUNCTION("""COMPUTED_VALUE"""),43719.0)</f>
        <v>43719</v>
      </c>
      <c r="D219" s="55" t="str">
        <f>IFERROR(__xludf.DUMMYFUNCTION("""COMPUTED_VALUE"""),"Yes")</f>
        <v>Yes</v>
      </c>
      <c r="E219" s="55" t="str">
        <f>IFERROR(__xludf.DUMMYFUNCTION("""COMPUTED_VALUE"""),"Somatic Cancer")</f>
        <v>Somatic Cancer</v>
      </c>
      <c r="F219" s="55" t="str">
        <f>IFERROR(__xludf.DUMMYFUNCTION("""COMPUTED_VALUE"""),"Hematological Cancer taskforce")</f>
        <v>Hematological Cancer taskforce</v>
      </c>
      <c r="G219" s="55" t="str">
        <f>IFERROR(__xludf.DUMMYFUNCTION("""COMPUTED_VALUE"""),"FENGLI ZHANG")</f>
        <v>FENGLI ZHANG</v>
      </c>
      <c r="H219" s="55" t="str">
        <f>IFERROR(__xludf.DUMMYFUNCTION("""COMPUTED_VALUE"""),"fengli.zhang@slh.wisc.edu")</f>
        <v>fengli.zhang@slh.wisc.edu</v>
      </c>
      <c r="I219" s="55" t="str">
        <f>IFERROR(__xludf.DUMMYFUNCTION("""COMPUTED_VALUE"""),"Clinical laboratory geneticist")</f>
        <v>Clinical laboratory geneticist</v>
      </c>
      <c r="J219" s="55"/>
      <c r="K219" s="55" t="str">
        <f>IFERROR(__xludf.DUMMYFUNCTION("""COMPUTED_VALUE"""),"Somatic Cancer")</f>
        <v>Somatic Cancer</v>
      </c>
      <c r="L219" s="55"/>
      <c r="M219" s="55"/>
      <c r="N219" s="55"/>
      <c r="O219" s="55"/>
      <c r="P219" s="55"/>
      <c r="Q219" s="55"/>
      <c r="R219" s="55"/>
      <c r="S219" s="55"/>
      <c r="T219" s="55"/>
      <c r="U219" s="55"/>
      <c r="V219" s="55"/>
      <c r="W219" s="55"/>
      <c r="X219" s="55"/>
      <c r="Y219" s="55"/>
      <c r="Z219" s="55"/>
    </row>
    <row r="220">
      <c r="A220" s="55" t="str">
        <f>IFERROR(__xludf.DUMMYFUNCTION("""COMPUTED_VALUE"""),"Contacted")</f>
        <v>Contacted</v>
      </c>
      <c r="B220" s="94">
        <f>IFERROR(__xludf.DUMMYFUNCTION("""COMPUTED_VALUE"""),43819.0)</f>
        <v>43819</v>
      </c>
      <c r="C220" s="55" t="str">
        <f>IFERROR(__xludf.DUMMYFUNCTION("""COMPUTED_VALUE"""),"")</f>
        <v/>
      </c>
      <c r="D220" s="55" t="str">
        <f>IFERROR(__xludf.DUMMYFUNCTION("""COMPUTED_VALUE"""),"")</f>
        <v/>
      </c>
      <c r="E220" s="55" t="str">
        <f>IFERROR(__xludf.DUMMYFUNCTION("""COMPUTED_VALUE"""),"Gene Disease Validity")</f>
        <v>Gene Disease Validity</v>
      </c>
      <c r="F220" s="55" t="str">
        <f>IFERROR(__xludf.DUMMYFUNCTION("""COMPUTED_VALUE"""),"")</f>
        <v/>
      </c>
      <c r="G220" s="55" t="str">
        <f>IFERROR(__xludf.DUMMYFUNCTION("""COMPUTED_VALUE"""),"Amanda Clause")</f>
        <v>Amanda Clause</v>
      </c>
      <c r="H220" s="55" t="str">
        <f>IFERROR(__xludf.DUMMYFUNCTION("""COMPUTED_VALUE"""),"aclause@illumina.com")</f>
        <v>aclause@illumina.com</v>
      </c>
      <c r="I220" s="55" t="str">
        <f>IFERROR(__xludf.DUMMYFUNCTION("""COMPUTED_VALUE"""),"Variant Analyst/Scientist - Industry")</f>
        <v>Variant Analyst/Scientist - Industry</v>
      </c>
      <c r="J220" s="55"/>
      <c r="K220" s="55" t="str">
        <f>IFERROR(__xludf.DUMMYFUNCTION("""COMPUTED_VALUE"""),"Gene-Disease Validity")</f>
        <v>Gene-Disease Validity</v>
      </c>
      <c r="L220" s="55"/>
      <c r="M220" s="55"/>
      <c r="N220" s="55"/>
      <c r="O220" s="55"/>
      <c r="P220" s="55"/>
      <c r="Q220" s="55"/>
      <c r="R220" s="55"/>
      <c r="S220" s="55"/>
      <c r="T220" s="55"/>
      <c r="U220" s="55"/>
      <c r="V220" s="55"/>
      <c r="W220" s="55"/>
      <c r="X220" s="55"/>
      <c r="Y220" s="55"/>
      <c r="Z220" s="55"/>
    </row>
    <row r="221">
      <c r="A221" s="55" t="str">
        <f>IFERROR(__xludf.DUMMYFUNCTION("""COMPUTED_VALUE"""),"Contacted")</f>
        <v>Contacted</v>
      </c>
      <c r="B221" s="94">
        <f>IFERROR(__xludf.DUMMYFUNCTION("""COMPUTED_VALUE"""),43819.0)</f>
        <v>43819</v>
      </c>
      <c r="C221" s="55" t="str">
        <f>IFERROR(__xludf.DUMMYFUNCTION("""COMPUTED_VALUE"""),"")</f>
        <v/>
      </c>
      <c r="D221" s="55" t="str">
        <f>IFERROR(__xludf.DUMMYFUNCTION("""COMPUTED_VALUE"""),"")</f>
        <v/>
      </c>
      <c r="E221" s="55" t="str">
        <f>IFERROR(__xludf.DUMMYFUNCTION("""COMPUTED_VALUE"""),"Variant Pathogenicity")</f>
        <v>Variant Pathogenicity</v>
      </c>
      <c r="F221" s="55" t="str">
        <f>IFERROR(__xludf.DUMMYFUNCTION("""COMPUTED_VALUE"""),"")</f>
        <v/>
      </c>
      <c r="G221" s="55" t="str">
        <f>IFERROR(__xludf.DUMMYFUNCTION("""COMPUTED_VALUE"""),"Sara Spencer")</f>
        <v>Sara Spencer</v>
      </c>
      <c r="H221" s="55" t="str">
        <f>IFERROR(__xludf.DUMMYFUNCTION("""COMPUTED_VALUE"""),"saspence@nm.org")</f>
        <v>saspence@nm.org</v>
      </c>
      <c r="I221" s="55" t="str">
        <f>IFERROR(__xludf.DUMMYFUNCTION("""COMPUTED_VALUE"""),"Genetic counselor")</f>
        <v>Genetic counselor</v>
      </c>
      <c r="J221" s="55"/>
      <c r="K221" s="55" t="str">
        <f>IFERROR(__xludf.DUMMYFUNCTION("""COMPUTED_VALUE"""),"Variant Pathogenicity")</f>
        <v>Variant Pathogenicity</v>
      </c>
      <c r="L221" s="55"/>
      <c r="M221" s="55"/>
      <c r="N221" s="55"/>
      <c r="O221" s="55"/>
      <c r="P221" s="55"/>
      <c r="Q221" s="55"/>
      <c r="R221" s="55"/>
      <c r="S221" s="55"/>
      <c r="T221" s="55"/>
      <c r="U221" s="55"/>
      <c r="V221" s="55"/>
      <c r="W221" s="55"/>
      <c r="X221" s="55"/>
      <c r="Y221" s="55"/>
      <c r="Z221" s="55"/>
    </row>
    <row r="222">
      <c r="A222" s="55" t="str">
        <f>IFERROR(__xludf.DUMMYFUNCTION("""COMPUTED_VALUE"""),"Unassigned")</f>
        <v>Unassigned</v>
      </c>
      <c r="B222" s="55" t="str">
        <f>IFERROR(__xludf.DUMMYFUNCTION("""COMPUTED_VALUE"""),"")</f>
        <v/>
      </c>
      <c r="C222" s="55" t="str">
        <f>IFERROR(__xludf.DUMMYFUNCTION("""COMPUTED_VALUE"""),"")</f>
        <v/>
      </c>
      <c r="D222" s="55" t="str">
        <f>IFERROR(__xludf.DUMMYFUNCTION("""COMPUTED_VALUE"""),"")</f>
        <v/>
      </c>
      <c r="E222" s="55" t="str">
        <f>IFERROR(__xludf.DUMMYFUNCTION("""COMPUTED_VALUE"""),"Dosage Sensitivity")</f>
        <v>Dosage Sensitivity</v>
      </c>
      <c r="F222" s="55" t="str">
        <f>IFERROR(__xludf.DUMMYFUNCTION("""COMPUTED_VALUE"""),"")</f>
        <v/>
      </c>
      <c r="G222" s="55" t="str">
        <f>IFERROR(__xludf.DUMMYFUNCTION("""COMPUTED_VALUE"""),"Niroshi Senaratne")</f>
        <v>Niroshi Senaratne</v>
      </c>
      <c r="H222" s="55" t="str">
        <f>IFERROR(__xludf.DUMMYFUNCTION("""COMPUTED_VALUE"""),"niroshi.senaratne@gmail.com")</f>
        <v>niroshi.senaratne@gmail.com</v>
      </c>
      <c r="I222" s="55" t="str">
        <f>IFERROR(__xludf.DUMMYFUNCTION("""COMPUTED_VALUE"""),"Clinical laboratory geneticist")</f>
        <v>Clinical laboratory geneticist</v>
      </c>
      <c r="J222" s="55"/>
      <c r="K222" s="55" t="str">
        <f>IFERROR(__xludf.DUMMYFUNCTION("""COMPUTED_VALUE"""),"Dosage Sensitivity")</f>
        <v>Dosage Sensitivity</v>
      </c>
      <c r="L222" s="55"/>
      <c r="M222" s="55"/>
      <c r="N222" s="55"/>
      <c r="O222" s="55"/>
      <c r="P222" s="55"/>
      <c r="Q222" s="55"/>
      <c r="R222" s="55"/>
      <c r="S222" s="55"/>
      <c r="T222" s="55"/>
      <c r="U222" s="55"/>
      <c r="V222" s="55"/>
      <c r="W222" s="55"/>
      <c r="X222" s="55"/>
      <c r="Y222" s="55"/>
      <c r="Z222" s="55"/>
    </row>
    <row r="223">
      <c r="A223" s="55" t="str">
        <f>IFERROR(__xludf.DUMMYFUNCTION("""COMPUTED_VALUE"""),"Contacted")</f>
        <v>Contacted</v>
      </c>
      <c r="B223" s="94">
        <f>IFERROR(__xludf.DUMMYFUNCTION("""COMPUTED_VALUE"""),43819.0)</f>
        <v>43819</v>
      </c>
      <c r="C223" s="55" t="str">
        <f>IFERROR(__xludf.DUMMYFUNCTION("""COMPUTED_VALUE"""),"")</f>
        <v/>
      </c>
      <c r="D223" s="55" t="str">
        <f>IFERROR(__xludf.DUMMYFUNCTION("""COMPUTED_VALUE"""),"")</f>
        <v/>
      </c>
      <c r="E223" s="55" t="str">
        <f>IFERROR(__xludf.DUMMYFUNCTION("""COMPUTED_VALUE"""),"Variant Pathogenicity")</f>
        <v>Variant Pathogenicity</v>
      </c>
      <c r="F223" s="55" t="str">
        <f>IFERROR(__xludf.DUMMYFUNCTION("""COMPUTED_VALUE"""),"")</f>
        <v/>
      </c>
      <c r="G223" s="55" t="str">
        <f>IFERROR(__xludf.DUMMYFUNCTION("""COMPUTED_VALUE"""),"Madhu Ouseph")</f>
        <v>Madhu Ouseph</v>
      </c>
      <c r="H223" s="55" t="str">
        <f>IFERROR(__xludf.DUMMYFUNCTION("""COMPUTED_VALUE"""),"mouseph@stanford.edu")</f>
        <v>mouseph@stanford.edu</v>
      </c>
      <c r="I223" s="55" t="str">
        <f>IFERROR(__xludf.DUMMYFUNCTION("""COMPUTED_VALUE"""),"Post Doc/Resident/Fellow (MD and/or PhD)")</f>
        <v>Post Doc/Resident/Fellow (MD and/or PhD)</v>
      </c>
      <c r="J223" s="55"/>
      <c r="K223" s="55" t="str">
        <f>IFERROR(__xludf.DUMMYFUNCTION("""COMPUTED_VALUE"""),"Variant Pathogenicity")</f>
        <v>Variant Pathogenicity</v>
      </c>
      <c r="L223" s="55"/>
      <c r="M223" s="55"/>
      <c r="N223" s="55"/>
      <c r="O223" s="55"/>
      <c r="P223" s="55"/>
      <c r="Q223" s="55"/>
      <c r="R223" s="55"/>
      <c r="S223" s="55"/>
      <c r="T223" s="55"/>
      <c r="U223" s="55"/>
      <c r="V223" s="55"/>
      <c r="W223" s="55"/>
      <c r="X223" s="55"/>
      <c r="Y223" s="55"/>
      <c r="Z223" s="55"/>
    </row>
    <row r="224">
      <c r="A224" s="55" t="str">
        <f>IFERROR(__xludf.DUMMYFUNCTION("""COMPUTED_VALUE"""),"Contacted")</f>
        <v>Contacted</v>
      </c>
      <c r="B224" s="94">
        <f>IFERROR(__xludf.DUMMYFUNCTION("""COMPUTED_VALUE"""),43819.0)</f>
        <v>43819</v>
      </c>
      <c r="C224" s="55" t="str">
        <f>IFERROR(__xludf.DUMMYFUNCTION("""COMPUTED_VALUE"""),"")</f>
        <v/>
      </c>
      <c r="D224" s="55" t="str">
        <f>IFERROR(__xludf.DUMMYFUNCTION("""COMPUTED_VALUE"""),"")</f>
        <v/>
      </c>
      <c r="E224" s="55" t="str">
        <f>IFERROR(__xludf.DUMMYFUNCTION("""COMPUTED_VALUE"""),"Variant Pathogenicity")</f>
        <v>Variant Pathogenicity</v>
      </c>
      <c r="F224" s="55" t="str">
        <f>IFERROR(__xludf.DUMMYFUNCTION("""COMPUTED_VALUE"""),"")</f>
        <v/>
      </c>
      <c r="G224" s="55" t="str">
        <f>IFERROR(__xludf.DUMMYFUNCTION("""COMPUTED_VALUE"""),"Janey Youngblom")</f>
        <v>Janey Youngblom</v>
      </c>
      <c r="H224" s="55" t="str">
        <f>IFERROR(__xludf.DUMMYFUNCTION("""COMPUTED_VALUE"""),"jyoungblom1@csustan.edu")</f>
        <v>jyoungblom1@csustan.edu</v>
      </c>
      <c r="I224" s="55" t="str">
        <f>IFERROR(__xludf.DUMMYFUNCTION("""COMPUTED_VALUE"""),"Scientific Researcher")</f>
        <v>Scientific Researcher</v>
      </c>
      <c r="J224" s="55"/>
      <c r="K224" s="55" t="str">
        <f>IFERROR(__xludf.DUMMYFUNCTION("""COMPUTED_VALUE"""),"Variant Pathogenicity")</f>
        <v>Variant Pathogenicity</v>
      </c>
      <c r="L224" s="55"/>
      <c r="M224" s="55"/>
      <c r="N224" s="55"/>
      <c r="O224" s="55"/>
      <c r="P224" s="55"/>
      <c r="Q224" s="55"/>
      <c r="R224" s="55"/>
      <c r="S224" s="55"/>
      <c r="T224" s="55"/>
      <c r="U224" s="55"/>
      <c r="V224" s="55"/>
      <c r="W224" s="55"/>
      <c r="X224" s="55"/>
      <c r="Y224" s="55"/>
      <c r="Z224" s="55"/>
    </row>
    <row r="225">
      <c r="A225" s="55" t="str">
        <f>IFERROR(__xludf.DUMMYFUNCTION("""COMPUTED_VALUE"""),"Assigned")</f>
        <v>Assigned</v>
      </c>
      <c r="B225" s="94">
        <f>IFERROR(__xludf.DUMMYFUNCTION("""COMPUTED_VALUE"""),43717.0)</f>
        <v>43717</v>
      </c>
      <c r="C225" s="93">
        <f>IFERROR(__xludf.DUMMYFUNCTION("""COMPUTED_VALUE"""),43678.0)</f>
        <v>43678</v>
      </c>
      <c r="D225" s="55" t="str">
        <f>IFERROR(__xludf.DUMMYFUNCTION("""COMPUTED_VALUE"""),"Yes")</f>
        <v>Yes</v>
      </c>
      <c r="E225" s="55" t="str">
        <f>IFERROR(__xludf.DUMMYFUNCTION("""COMPUTED_VALUE"""),"Actionability")</f>
        <v>Actionability</v>
      </c>
      <c r="F225" s="55" t="str">
        <f>IFERROR(__xludf.DUMMYFUNCTION("""COMPUTED_VALUE"""),"")</f>
        <v/>
      </c>
      <c r="G225" s="55" t="str">
        <f>IFERROR(__xludf.DUMMYFUNCTION("""COMPUTED_VALUE"""),"Andrew Stergachis")</f>
        <v>Andrew Stergachis</v>
      </c>
      <c r="H225" s="55" t="str">
        <f>IFERROR(__xludf.DUMMYFUNCTION("""COMPUTED_VALUE"""),"astergachis@bwh.harvard.edu")</f>
        <v>astergachis@bwh.harvard.edu</v>
      </c>
      <c r="I225" s="55" t="str">
        <f>IFERROR(__xludf.DUMMYFUNCTION("""COMPUTED_VALUE"""),"Post Doc/Resident/Fellow (MD and/or PhD)")</f>
        <v>Post Doc/Resident/Fellow (MD and/or PhD)</v>
      </c>
      <c r="J225" s="55"/>
      <c r="K225" s="55" t="str">
        <f>IFERROR(__xludf.DUMMYFUNCTION("""COMPUTED_VALUE"""),"Clinical Actionability")</f>
        <v>Clinical Actionability</v>
      </c>
      <c r="L225" s="55"/>
      <c r="M225" s="55"/>
      <c r="N225" s="55"/>
      <c r="O225" s="55"/>
      <c r="P225" s="55"/>
      <c r="Q225" s="55"/>
      <c r="R225" s="55"/>
      <c r="S225" s="55"/>
      <c r="T225" s="55"/>
      <c r="U225" s="55"/>
      <c r="V225" s="55"/>
      <c r="W225" s="55"/>
      <c r="X225" s="55"/>
      <c r="Y225" s="55"/>
      <c r="Z225" s="55"/>
    </row>
    <row r="226">
      <c r="A226" s="55" t="str">
        <f>IFERROR(__xludf.DUMMYFUNCTION("""COMPUTED_VALUE"""),"Contacted")</f>
        <v>Contacted</v>
      </c>
      <c r="B226" s="94">
        <f>IFERROR(__xludf.DUMMYFUNCTION("""COMPUTED_VALUE"""),43717.0)</f>
        <v>43717</v>
      </c>
      <c r="C226" s="55" t="str">
        <f>IFERROR(__xludf.DUMMYFUNCTION("""COMPUTED_VALUE"""),"")</f>
        <v/>
      </c>
      <c r="D226" s="55" t="str">
        <f>IFERROR(__xludf.DUMMYFUNCTION("""COMPUTED_VALUE"""),"")</f>
        <v/>
      </c>
      <c r="E226" s="55" t="str">
        <f>IFERROR(__xludf.DUMMYFUNCTION("""COMPUTED_VALUE"""),"Actionability")</f>
        <v>Actionability</v>
      </c>
      <c r="F226" s="55" t="str">
        <f>IFERROR(__xludf.DUMMYFUNCTION("""COMPUTED_VALUE"""),"")</f>
        <v/>
      </c>
      <c r="G226" s="55" t="str">
        <f>IFERROR(__xludf.DUMMYFUNCTION("""COMPUTED_VALUE"""),"Lalitha Venkateswaran")</f>
        <v>Lalitha Venkateswaran</v>
      </c>
      <c r="H226" s="55" t="str">
        <f>IFERROR(__xludf.DUMMYFUNCTION("""COMPUTED_VALUE"""),"lalithapv19@gmail.com")</f>
        <v>lalithapv19@gmail.com</v>
      </c>
      <c r="I226" s="55" t="str">
        <f>IFERROR(__xludf.DUMMYFUNCTION("""COMPUTED_VALUE"""),"Variant Analyst/Scientist - Industry")</f>
        <v>Variant Analyst/Scientist - Industry</v>
      </c>
      <c r="J226" s="55"/>
      <c r="K226" s="55" t="str">
        <f>IFERROR(__xludf.DUMMYFUNCTION("""COMPUTED_VALUE"""),"Clinical Actionability")</f>
        <v>Clinical Actionability</v>
      </c>
      <c r="L226" s="55"/>
      <c r="M226" s="55"/>
      <c r="N226" s="55"/>
      <c r="O226" s="55"/>
      <c r="P226" s="55"/>
      <c r="Q226" s="55"/>
      <c r="R226" s="55"/>
      <c r="S226" s="55"/>
      <c r="T226" s="55"/>
      <c r="U226" s="55"/>
      <c r="V226" s="55"/>
      <c r="W226" s="55"/>
      <c r="X226" s="55"/>
      <c r="Y226" s="55"/>
      <c r="Z226" s="55"/>
    </row>
    <row r="227">
      <c r="A227" s="55" t="str">
        <f>IFERROR(__xludf.DUMMYFUNCTION("""COMPUTED_VALUE"""),"Contacted")</f>
        <v>Contacted</v>
      </c>
      <c r="B227" s="94">
        <f>IFERROR(__xludf.DUMMYFUNCTION("""COMPUTED_VALUE"""),43819.0)</f>
        <v>43819</v>
      </c>
      <c r="C227" s="55" t="str">
        <f>IFERROR(__xludf.DUMMYFUNCTION("""COMPUTED_VALUE"""),"")</f>
        <v/>
      </c>
      <c r="D227" s="55" t="str">
        <f>IFERROR(__xludf.DUMMYFUNCTION("""COMPUTED_VALUE"""),"")</f>
        <v/>
      </c>
      <c r="E227" s="55" t="str">
        <f>IFERROR(__xludf.DUMMYFUNCTION("""COMPUTED_VALUE"""),"Variant Pathogenicity")</f>
        <v>Variant Pathogenicity</v>
      </c>
      <c r="F227" s="55" t="str">
        <f>IFERROR(__xludf.DUMMYFUNCTION("""COMPUTED_VALUE"""),"")</f>
        <v/>
      </c>
      <c r="G227" s="55" t="str">
        <f>IFERROR(__xludf.DUMMYFUNCTION("""COMPUTED_VALUE"""),"Caterina Clementi")</f>
        <v>Caterina Clementi</v>
      </c>
      <c r="H227" s="55" t="str">
        <f>IFERROR(__xludf.DUMMYFUNCTION("""COMPUTED_VALUE"""),"caterina.clementi@gmail.com")</f>
        <v>caterina.clementi@gmail.com</v>
      </c>
      <c r="I227" s="55" t="str">
        <f>IFERROR(__xludf.DUMMYFUNCTION("""COMPUTED_VALUE"""),"Variant Analyst/Scientist - Industry")</f>
        <v>Variant Analyst/Scientist - Industry</v>
      </c>
      <c r="J227" s="55"/>
      <c r="K227" s="55" t="str">
        <f>IFERROR(__xludf.DUMMYFUNCTION("""COMPUTED_VALUE"""),"Variant Pathogenicity")</f>
        <v>Variant Pathogenicity</v>
      </c>
      <c r="L227" s="55"/>
      <c r="M227" s="55"/>
      <c r="N227" s="55"/>
      <c r="O227" s="55"/>
      <c r="P227" s="55"/>
      <c r="Q227" s="55"/>
      <c r="R227" s="55"/>
      <c r="S227" s="55"/>
      <c r="T227" s="55"/>
      <c r="U227" s="55"/>
      <c r="V227" s="55"/>
      <c r="W227" s="55"/>
      <c r="X227" s="55"/>
      <c r="Y227" s="55"/>
      <c r="Z227" s="55"/>
    </row>
    <row r="228">
      <c r="A228" s="55" t="str">
        <f>IFERROR(__xludf.DUMMYFUNCTION("""COMPUTED_VALUE"""),"Contacted")</f>
        <v>Contacted</v>
      </c>
      <c r="B228" s="94">
        <f>IFERROR(__xludf.DUMMYFUNCTION("""COMPUTED_VALUE"""),43819.0)</f>
        <v>43819</v>
      </c>
      <c r="C228" s="55" t="str">
        <f>IFERROR(__xludf.DUMMYFUNCTION("""COMPUTED_VALUE"""),"")</f>
        <v/>
      </c>
      <c r="D228" s="55" t="str">
        <f>IFERROR(__xludf.DUMMYFUNCTION("""COMPUTED_VALUE"""),"")</f>
        <v/>
      </c>
      <c r="E228" s="55" t="str">
        <f>IFERROR(__xludf.DUMMYFUNCTION("""COMPUTED_VALUE"""),"Variant Pathogenicity")</f>
        <v>Variant Pathogenicity</v>
      </c>
      <c r="F228" s="55" t="str">
        <f>IFERROR(__xludf.DUMMYFUNCTION("""COMPUTED_VALUE"""),"")</f>
        <v/>
      </c>
      <c r="G228" s="55" t="str">
        <f>IFERROR(__xludf.DUMMYFUNCTION("""COMPUTED_VALUE"""),"Catherine Spellicy")</f>
        <v>Catherine Spellicy</v>
      </c>
      <c r="H228" s="55" t="str">
        <f>IFERROR(__xludf.DUMMYFUNCTION("""COMPUTED_VALUE"""),"cspellic@counsyl.com")</f>
        <v>cspellic@counsyl.com</v>
      </c>
      <c r="I228" s="55" t="str">
        <f>IFERROR(__xludf.DUMMYFUNCTION("""COMPUTED_VALUE"""),"Clinical laboratory geneticist")</f>
        <v>Clinical laboratory geneticist</v>
      </c>
      <c r="J228" s="55"/>
      <c r="K228" s="55" t="str">
        <f>IFERROR(__xludf.DUMMYFUNCTION("""COMPUTED_VALUE"""),"Variant Pathogenicity")</f>
        <v>Variant Pathogenicity</v>
      </c>
      <c r="L228" s="55"/>
      <c r="M228" s="55"/>
      <c r="N228" s="55"/>
      <c r="O228" s="55"/>
      <c r="P228" s="55"/>
      <c r="Q228" s="55"/>
      <c r="R228" s="55"/>
      <c r="S228" s="55"/>
      <c r="T228" s="55"/>
      <c r="U228" s="55"/>
      <c r="V228" s="55"/>
      <c r="W228" s="55"/>
      <c r="X228" s="55"/>
      <c r="Y228" s="55"/>
      <c r="Z228" s="55"/>
    </row>
    <row r="229">
      <c r="A229" s="55" t="str">
        <f>IFERROR(__xludf.DUMMYFUNCTION("""COMPUTED_VALUE"""),"Contacted")</f>
        <v>Contacted</v>
      </c>
      <c r="B229" s="94">
        <f>IFERROR(__xludf.DUMMYFUNCTION("""COMPUTED_VALUE"""),43819.0)</f>
        <v>43819</v>
      </c>
      <c r="C229" s="55" t="str">
        <f>IFERROR(__xludf.DUMMYFUNCTION("""COMPUTED_VALUE"""),"")</f>
        <v/>
      </c>
      <c r="D229" s="55" t="str">
        <f>IFERROR(__xludf.DUMMYFUNCTION("""COMPUTED_VALUE"""),"")</f>
        <v/>
      </c>
      <c r="E229" s="55" t="str">
        <f>IFERROR(__xludf.DUMMYFUNCTION("""COMPUTED_VALUE"""),"Gene Disease Validity")</f>
        <v>Gene Disease Validity</v>
      </c>
      <c r="F229" s="55" t="str">
        <f>IFERROR(__xludf.DUMMYFUNCTION("""COMPUTED_VALUE"""),"")</f>
        <v/>
      </c>
      <c r="G229" s="55" t="str">
        <f>IFERROR(__xludf.DUMMYFUNCTION("""COMPUTED_VALUE"""),"Julie P Taylor")</f>
        <v>Julie P Taylor</v>
      </c>
      <c r="H229" s="55" t="str">
        <f>IFERROR(__xludf.DUMMYFUNCTION("""COMPUTED_VALUE"""),"jtaylor1@illumina.com")</f>
        <v>jtaylor1@illumina.com</v>
      </c>
      <c r="I229" s="55" t="str">
        <f>IFERROR(__xludf.DUMMYFUNCTION("""COMPUTED_VALUE"""),"Biocurator")</f>
        <v>Biocurator</v>
      </c>
      <c r="J229" s="55"/>
      <c r="K229" s="55" t="str">
        <f>IFERROR(__xludf.DUMMYFUNCTION("""COMPUTED_VALUE"""),"Gene-Disease Validity")</f>
        <v>Gene-Disease Validity</v>
      </c>
      <c r="L229" s="55"/>
      <c r="M229" s="55"/>
      <c r="N229" s="55"/>
      <c r="O229" s="55"/>
      <c r="P229" s="55"/>
      <c r="Q229" s="55"/>
      <c r="R229" s="55"/>
      <c r="S229" s="55"/>
      <c r="T229" s="55"/>
      <c r="U229" s="55"/>
      <c r="V229" s="55"/>
      <c r="W229" s="55"/>
      <c r="X229" s="55"/>
      <c r="Y229" s="55"/>
      <c r="Z229" s="55"/>
    </row>
    <row r="230">
      <c r="A230" s="55" t="str">
        <f>IFERROR(__xludf.DUMMYFUNCTION("""COMPUTED_VALUE"""),"Contacted")</f>
        <v>Contacted</v>
      </c>
      <c r="B230" s="94">
        <f>IFERROR(__xludf.DUMMYFUNCTION("""COMPUTED_VALUE"""),43840.0)</f>
        <v>43840</v>
      </c>
      <c r="C230" s="55" t="str">
        <f>IFERROR(__xludf.DUMMYFUNCTION("""COMPUTED_VALUE"""),"")</f>
        <v/>
      </c>
      <c r="D230" s="55" t="str">
        <f>IFERROR(__xludf.DUMMYFUNCTION("""COMPUTED_VALUE"""),"")</f>
        <v/>
      </c>
      <c r="E230" s="55" t="str">
        <f>IFERROR(__xludf.DUMMYFUNCTION("""COMPUTED_VALUE"""),"Gene Disease Validity")</f>
        <v>Gene Disease Validity</v>
      </c>
      <c r="F230" s="55" t="str">
        <f>IFERROR(__xludf.DUMMYFUNCTION("""COMPUTED_VALUE"""),"")</f>
        <v/>
      </c>
      <c r="G230" s="55" t="str">
        <f>IFERROR(__xludf.DUMMYFUNCTION("""COMPUTED_VALUE"""),"Charlene Preys")</f>
        <v>Charlene Preys</v>
      </c>
      <c r="H230" s="55" t="str">
        <f>IFERROR(__xludf.DUMMYFUNCTION("""COMPUTED_VALUE"""),"clpreys@bwh.harvard.edu")</f>
        <v>clpreys@bwh.harvard.edu</v>
      </c>
      <c r="I230" s="55" t="str">
        <f>IFERROR(__xludf.DUMMYFUNCTION("""COMPUTED_VALUE"""),"Undergraduate Student")</f>
        <v>Undergraduate Student</v>
      </c>
      <c r="J230" s="55"/>
      <c r="K230" s="55" t="str">
        <f>IFERROR(__xludf.DUMMYFUNCTION("""COMPUTED_VALUE"""),"Gene-Disease Validity")</f>
        <v>Gene-Disease Validity</v>
      </c>
      <c r="L230" s="55"/>
      <c r="M230" s="55"/>
      <c r="N230" s="55"/>
      <c r="O230" s="55"/>
      <c r="P230" s="55"/>
      <c r="Q230" s="55"/>
      <c r="R230" s="55"/>
      <c r="S230" s="55"/>
      <c r="T230" s="55"/>
      <c r="U230" s="55"/>
      <c r="V230" s="55"/>
      <c r="W230" s="55"/>
      <c r="X230" s="55"/>
      <c r="Y230" s="55"/>
      <c r="Z230" s="55"/>
    </row>
    <row r="231">
      <c r="A231" s="55" t="str">
        <f>IFERROR(__xludf.DUMMYFUNCTION("""COMPUTED_VALUE"""),"Contacted")</f>
        <v>Contacted</v>
      </c>
      <c r="B231" s="94">
        <f>IFERROR(__xludf.DUMMYFUNCTION("""COMPUTED_VALUE"""),43819.0)</f>
        <v>43819</v>
      </c>
      <c r="C231" s="55" t="str">
        <f>IFERROR(__xludf.DUMMYFUNCTION("""COMPUTED_VALUE"""),"")</f>
        <v/>
      </c>
      <c r="D231" s="55" t="str">
        <f>IFERROR(__xludf.DUMMYFUNCTION("""COMPUTED_VALUE"""),"")</f>
        <v/>
      </c>
      <c r="E231" s="55" t="str">
        <f>IFERROR(__xludf.DUMMYFUNCTION("""COMPUTED_VALUE"""),"Variant Pathogenicity")</f>
        <v>Variant Pathogenicity</v>
      </c>
      <c r="F231" s="55" t="str">
        <f>IFERROR(__xludf.DUMMYFUNCTION("""COMPUTED_VALUE"""),"")</f>
        <v/>
      </c>
      <c r="G231" s="55" t="str">
        <f>IFERROR(__xludf.DUMMYFUNCTION("""COMPUTED_VALUE"""),"Edgar Ramirez")</f>
        <v>Edgar Ramirez</v>
      </c>
      <c r="H231" s="55" t="str">
        <f>IFERROR(__xludf.DUMMYFUNCTION("""COMPUTED_VALUE"""),"e.ramirezr@hotmail.com")</f>
        <v>e.ramirezr@hotmail.com</v>
      </c>
      <c r="I231" s="55" t="str">
        <f>IFERROR(__xludf.DUMMYFUNCTION("""COMPUTED_VALUE"""),"Scientific Researcher")</f>
        <v>Scientific Researcher</v>
      </c>
      <c r="J231" s="55"/>
      <c r="K231" s="55" t="str">
        <f>IFERROR(__xludf.DUMMYFUNCTION("""COMPUTED_VALUE"""),"Variant Pathogenicity")</f>
        <v>Variant Pathogenicity</v>
      </c>
      <c r="L231" s="55"/>
      <c r="M231" s="55"/>
      <c r="N231" s="55"/>
      <c r="O231" s="55"/>
      <c r="P231" s="55"/>
      <c r="Q231" s="55"/>
      <c r="R231" s="55"/>
      <c r="S231" s="55"/>
      <c r="T231" s="55"/>
      <c r="U231" s="55"/>
      <c r="V231" s="55"/>
      <c r="W231" s="55"/>
      <c r="X231" s="55"/>
      <c r="Y231" s="55"/>
      <c r="Z231" s="55"/>
    </row>
    <row r="232">
      <c r="A232" s="55" t="str">
        <f>IFERROR(__xludf.DUMMYFUNCTION("""COMPUTED_VALUE"""),"Contacted")</f>
        <v>Contacted</v>
      </c>
      <c r="B232" s="94">
        <f>IFERROR(__xludf.DUMMYFUNCTION("""COMPUTED_VALUE"""),43819.0)</f>
        <v>43819</v>
      </c>
      <c r="C232" s="55" t="str">
        <f>IFERROR(__xludf.DUMMYFUNCTION("""COMPUTED_VALUE"""),"")</f>
        <v/>
      </c>
      <c r="D232" s="55" t="str">
        <f>IFERROR(__xludf.DUMMYFUNCTION("""COMPUTED_VALUE"""),"")</f>
        <v/>
      </c>
      <c r="E232" s="55" t="str">
        <f>IFERROR(__xludf.DUMMYFUNCTION("""COMPUTED_VALUE"""),"Gene Disease Validity")</f>
        <v>Gene Disease Validity</v>
      </c>
      <c r="F232" s="55" t="str">
        <f>IFERROR(__xludf.DUMMYFUNCTION("""COMPUTED_VALUE"""),"")</f>
        <v/>
      </c>
      <c r="G232" s="55" t="str">
        <f>IFERROR(__xludf.DUMMYFUNCTION("""COMPUTED_VALUE"""),"Laura Roht")</f>
        <v>Laura Roht</v>
      </c>
      <c r="H232" s="55" t="str">
        <f>IFERROR(__xludf.DUMMYFUNCTION("""COMPUTED_VALUE"""),"laura.roht@kliinikum.ee")</f>
        <v>laura.roht@kliinikum.ee</v>
      </c>
      <c r="I232" s="55" t="str">
        <f>IFERROR(__xludf.DUMMYFUNCTION("""COMPUTED_VALUE"""),"Clinical Medical Geneticist")</f>
        <v>Clinical Medical Geneticist</v>
      </c>
      <c r="J232" s="55"/>
      <c r="K232" s="55" t="str">
        <f>IFERROR(__xludf.DUMMYFUNCTION("""COMPUTED_VALUE"""),"Gene-Disease Validity")</f>
        <v>Gene-Disease Validity</v>
      </c>
      <c r="L232" s="55"/>
      <c r="M232" s="55"/>
      <c r="N232" s="55"/>
      <c r="O232" s="55"/>
      <c r="P232" s="55"/>
      <c r="Q232" s="55"/>
      <c r="R232" s="55"/>
      <c r="S232" s="55"/>
      <c r="T232" s="55"/>
      <c r="U232" s="55"/>
      <c r="V232" s="55"/>
      <c r="W232" s="55"/>
      <c r="X232" s="55"/>
      <c r="Y232" s="55"/>
      <c r="Z232" s="55"/>
    </row>
    <row r="233">
      <c r="A233" s="55" t="str">
        <f>IFERROR(__xludf.DUMMYFUNCTION("""COMPUTED_VALUE"""),"Contacted")</f>
        <v>Contacted</v>
      </c>
      <c r="B233" s="55" t="str">
        <f>IFERROR(__xludf.DUMMYFUNCTION("""COMPUTED_VALUE"""),"")</f>
        <v/>
      </c>
      <c r="C233" s="55" t="str">
        <f>IFERROR(__xludf.DUMMYFUNCTION("""COMPUTED_VALUE"""),"")</f>
        <v/>
      </c>
      <c r="D233" s="55" t="str">
        <f>IFERROR(__xludf.DUMMYFUNCTION("""COMPUTED_VALUE"""),"")</f>
        <v/>
      </c>
      <c r="E233" s="55" t="str">
        <f>IFERROR(__xludf.DUMMYFUNCTION("""COMPUTED_VALUE"""),"NA")</f>
        <v>NA</v>
      </c>
      <c r="F233" s="55" t="str">
        <f>IFERROR(__xludf.DUMMYFUNCTION("""COMPUTED_VALUE"""),"")</f>
        <v/>
      </c>
      <c r="G233" s="55" t="str">
        <f>IFERROR(__xludf.DUMMYFUNCTION("""COMPUTED_VALUE"""),"Donia Hany Mostafa ")</f>
        <v>Donia Hany Mostafa </v>
      </c>
      <c r="H233" s="55" t="str">
        <f>IFERROR(__xludf.DUMMYFUNCTION("""COMPUTED_VALUE"""),"donia.1518105@stemkalubya.moe.edu.eg")</f>
        <v>donia.1518105@stemkalubya.moe.edu.eg</v>
      </c>
      <c r="I233" s="55" t="str">
        <f>IFERROR(__xludf.DUMMYFUNCTION("""COMPUTED_VALUE"""),"Undergraduate Student")</f>
        <v>Undergraduate Student</v>
      </c>
      <c r="J233" s="55"/>
      <c r="K233" s="55" t="str">
        <f>IFERROR(__xludf.DUMMYFUNCTION("""COMPUTED_VALUE"""),"Somatic Cancer")</f>
        <v>Somatic Cancer</v>
      </c>
      <c r="L233" s="55"/>
      <c r="M233" s="55"/>
      <c r="N233" s="55"/>
      <c r="O233" s="55"/>
      <c r="P233" s="55"/>
      <c r="Q233" s="55"/>
      <c r="R233" s="55"/>
      <c r="S233" s="55"/>
      <c r="T233" s="55"/>
      <c r="U233" s="55"/>
      <c r="V233" s="55"/>
      <c r="W233" s="55"/>
      <c r="X233" s="55"/>
      <c r="Y233" s="55"/>
      <c r="Z233" s="55"/>
    </row>
    <row r="234">
      <c r="A234" s="55" t="str">
        <f>IFERROR(__xludf.DUMMYFUNCTION("""COMPUTED_VALUE"""),"Contacted")</f>
        <v>Contacted</v>
      </c>
      <c r="B234" s="94">
        <f>IFERROR(__xludf.DUMMYFUNCTION("""COMPUTED_VALUE"""),43819.0)</f>
        <v>43819</v>
      </c>
      <c r="C234" s="55" t="str">
        <f>IFERROR(__xludf.DUMMYFUNCTION("""COMPUTED_VALUE"""),"")</f>
        <v/>
      </c>
      <c r="D234" s="55" t="str">
        <f>IFERROR(__xludf.DUMMYFUNCTION("""COMPUTED_VALUE"""),"")</f>
        <v/>
      </c>
      <c r="E234" s="55" t="str">
        <f>IFERROR(__xludf.DUMMYFUNCTION("""COMPUTED_VALUE"""),"Variant Pathogenicity")</f>
        <v>Variant Pathogenicity</v>
      </c>
      <c r="F234" s="55" t="str">
        <f>IFERROR(__xludf.DUMMYFUNCTION("""COMPUTED_VALUE"""),"")</f>
        <v/>
      </c>
      <c r="G234" s="55" t="str">
        <f>IFERROR(__xludf.DUMMYFUNCTION("""COMPUTED_VALUE"""),"Xin Chen")</f>
        <v>Xin Chen</v>
      </c>
      <c r="H234" s="55" t="str">
        <f>IFERROR(__xludf.DUMMYFUNCTION("""COMPUTED_VALUE"""),"chenx30nju@gmail.com")</f>
        <v>chenx30nju@gmail.com</v>
      </c>
      <c r="I234" s="55" t="str">
        <f>IFERROR(__xludf.DUMMYFUNCTION("""COMPUTED_VALUE"""),"Post Doc/Resident/Fellow (MD and/or PhD)")</f>
        <v>Post Doc/Resident/Fellow (MD and/or PhD)</v>
      </c>
      <c r="J234" s="55"/>
      <c r="K234" s="55" t="str">
        <f>IFERROR(__xludf.DUMMYFUNCTION("""COMPUTED_VALUE"""),"Variant Pathogenicity")</f>
        <v>Variant Pathogenicity</v>
      </c>
      <c r="L234" s="55"/>
      <c r="M234" s="55"/>
      <c r="N234" s="55"/>
      <c r="O234" s="55"/>
      <c r="P234" s="55"/>
      <c r="Q234" s="55"/>
      <c r="R234" s="55"/>
      <c r="S234" s="55"/>
      <c r="T234" s="55"/>
      <c r="U234" s="55"/>
      <c r="V234" s="55"/>
      <c r="W234" s="55"/>
      <c r="X234" s="55"/>
      <c r="Y234" s="55"/>
      <c r="Z234" s="55"/>
    </row>
    <row r="235">
      <c r="A235" s="55" t="str">
        <f>IFERROR(__xludf.DUMMYFUNCTION("""COMPUTED_VALUE"""),"Contacted")</f>
        <v>Contacted</v>
      </c>
      <c r="B235" s="55" t="str">
        <f>IFERROR(__xludf.DUMMYFUNCTION("""COMPUTED_VALUE"""),"")</f>
        <v/>
      </c>
      <c r="C235" s="94">
        <f>IFERROR(__xludf.DUMMYFUNCTION("""COMPUTED_VALUE"""),43626.0)</f>
        <v>43626</v>
      </c>
      <c r="D235" s="55" t="str">
        <f>IFERROR(__xludf.DUMMYFUNCTION("""COMPUTED_VALUE"""),"Yes")</f>
        <v>Yes</v>
      </c>
      <c r="E235" s="55" t="str">
        <f>IFERROR(__xludf.DUMMYFUNCTION("""COMPUTED_VALUE"""),"Variant Pathogenicity")</f>
        <v>Variant Pathogenicity</v>
      </c>
      <c r="F235" s="55" t="str">
        <f>IFERROR(__xludf.DUMMYFUNCTION("""COMPUTED_VALUE"""),"")</f>
        <v/>
      </c>
      <c r="G235" s="55" t="str">
        <f>IFERROR(__xludf.DUMMYFUNCTION("""COMPUTED_VALUE"""),"Tomohiko Ai")</f>
        <v>Tomohiko Ai</v>
      </c>
      <c r="H235" s="55" t="str">
        <f>IFERROR(__xludf.DUMMYFUNCTION("""COMPUTED_VALUE"""),"Tomohiko.Ai@osumc.edu")</f>
        <v>Tomohiko.Ai@osumc.edu</v>
      </c>
      <c r="I235" s="55" t="str">
        <f>IFERROR(__xludf.DUMMYFUNCTION("""COMPUTED_VALUE"""),"Scientific Researcher")</f>
        <v>Scientific Researcher</v>
      </c>
      <c r="J235" s="55"/>
      <c r="K235" s="55" t="str">
        <f>IFERROR(__xludf.DUMMYFUNCTION("""COMPUTED_VALUE"""),"Variant Pathogenicity")</f>
        <v>Variant Pathogenicity</v>
      </c>
      <c r="L235" s="55"/>
      <c r="M235" s="55"/>
      <c r="N235" s="55"/>
      <c r="O235" s="55"/>
      <c r="P235" s="55"/>
      <c r="Q235" s="55"/>
      <c r="R235" s="55"/>
      <c r="S235" s="55"/>
      <c r="T235" s="55"/>
      <c r="U235" s="55"/>
      <c r="V235" s="55"/>
      <c r="W235" s="55"/>
      <c r="X235" s="55"/>
      <c r="Y235" s="55"/>
      <c r="Z235" s="55"/>
    </row>
    <row r="236">
      <c r="A236" s="55" t="str">
        <f>IFERROR(__xludf.DUMMYFUNCTION("""COMPUTED_VALUE"""),"Contacted")</f>
        <v>Contacted</v>
      </c>
      <c r="B236" s="55" t="str">
        <f>IFERROR(__xludf.DUMMYFUNCTION("""COMPUTED_VALUE"""),"")</f>
        <v/>
      </c>
      <c r="C236" s="94">
        <f>IFERROR(__xludf.DUMMYFUNCTION("""COMPUTED_VALUE"""),43585.0)</f>
        <v>43585</v>
      </c>
      <c r="D236" s="55" t="str">
        <f>IFERROR(__xludf.DUMMYFUNCTION("""COMPUTED_VALUE"""),"Yes")</f>
        <v>Yes</v>
      </c>
      <c r="E236" s="55" t="str">
        <f>IFERROR(__xludf.DUMMYFUNCTION("""COMPUTED_VALUE"""),"Gene Disease Validity")</f>
        <v>Gene Disease Validity</v>
      </c>
      <c r="F236" s="55" t="str">
        <f>IFERROR(__xludf.DUMMYFUNCTION("""COMPUTED_VALUE"""),"")</f>
        <v/>
      </c>
      <c r="G236" s="55" t="str">
        <f>IFERROR(__xludf.DUMMYFUNCTION("""COMPUTED_VALUE"""),"Coumarane Mani")</f>
        <v>Coumarane Mani</v>
      </c>
      <c r="H236" s="55" t="str">
        <f>IFERROR(__xludf.DUMMYFUNCTION("""COMPUTED_VALUE"""),"coumarane.mani@aruplab.com")</f>
        <v>coumarane.mani@aruplab.com</v>
      </c>
      <c r="I236" s="55" t="str">
        <f>IFERROR(__xludf.DUMMYFUNCTION("""COMPUTED_VALUE"""),"Variant Analyst/Scientist - Industry")</f>
        <v>Variant Analyst/Scientist - Industry</v>
      </c>
      <c r="J236" s="55"/>
      <c r="K236" s="55" t="str">
        <f>IFERROR(__xludf.DUMMYFUNCTION("""COMPUTED_VALUE"""),"Gene-Disease Validity")</f>
        <v>Gene-Disease Validity</v>
      </c>
      <c r="L236" s="55"/>
      <c r="M236" s="55"/>
      <c r="N236" s="55"/>
      <c r="O236" s="55"/>
      <c r="P236" s="55"/>
      <c r="Q236" s="55"/>
      <c r="R236" s="55"/>
      <c r="S236" s="55"/>
      <c r="T236" s="55"/>
      <c r="U236" s="55"/>
      <c r="V236" s="55"/>
      <c r="W236" s="55"/>
      <c r="X236" s="55"/>
      <c r="Y236" s="55"/>
      <c r="Z236" s="55"/>
    </row>
    <row r="237">
      <c r="A237" s="55" t="str">
        <f>IFERROR(__xludf.DUMMYFUNCTION("""COMPUTED_VALUE"""),"Contacted")</f>
        <v>Contacted</v>
      </c>
      <c r="B237" s="55" t="str">
        <f>IFERROR(__xludf.DUMMYFUNCTION("""COMPUTED_VALUE"""),"")</f>
        <v/>
      </c>
      <c r="C237" s="94">
        <f>IFERROR(__xludf.DUMMYFUNCTION("""COMPUTED_VALUE"""),43605.0)</f>
        <v>43605</v>
      </c>
      <c r="D237" s="55" t="str">
        <f>IFERROR(__xludf.DUMMYFUNCTION("""COMPUTED_VALUE"""),"Yes")</f>
        <v>Yes</v>
      </c>
      <c r="E237" s="55" t="str">
        <f>IFERROR(__xludf.DUMMYFUNCTION("""COMPUTED_VALUE"""),"Variant Pathogenicity")</f>
        <v>Variant Pathogenicity</v>
      </c>
      <c r="F237" s="55" t="str">
        <f>IFERROR(__xludf.DUMMYFUNCTION("""COMPUTED_VALUE"""),"")</f>
        <v/>
      </c>
      <c r="G237" s="55" t="str">
        <f>IFERROR(__xludf.DUMMYFUNCTION("""COMPUTED_VALUE"""),"Coumarane Mani")</f>
        <v>Coumarane Mani</v>
      </c>
      <c r="H237" s="55" t="str">
        <f>IFERROR(__xludf.DUMMYFUNCTION("""COMPUTED_VALUE"""),"coumarane.mani@aruplab.com")</f>
        <v>coumarane.mani@aruplab.com</v>
      </c>
      <c r="I237" s="55" t="str">
        <f>IFERROR(__xludf.DUMMYFUNCTION("""COMPUTED_VALUE"""),"Variant Analyst/Scientist - Industry")</f>
        <v>Variant Analyst/Scientist - Industry</v>
      </c>
      <c r="J237" s="55"/>
      <c r="K237" s="55" t="str">
        <f>IFERROR(__xludf.DUMMYFUNCTION("""COMPUTED_VALUE"""),"Variant Pathogenicity")</f>
        <v>Variant Pathogenicity</v>
      </c>
      <c r="L237" s="55"/>
      <c r="M237" s="55"/>
      <c r="N237" s="55"/>
      <c r="O237" s="55"/>
      <c r="P237" s="55"/>
      <c r="Q237" s="55"/>
      <c r="R237" s="55"/>
      <c r="S237" s="55"/>
      <c r="T237" s="55"/>
      <c r="U237" s="55"/>
      <c r="V237" s="55"/>
      <c r="W237" s="55"/>
      <c r="X237" s="55"/>
      <c r="Y237" s="55"/>
      <c r="Z237" s="55"/>
    </row>
    <row r="238">
      <c r="A238" s="55" t="str">
        <f>IFERROR(__xludf.DUMMYFUNCTION("""COMPUTED_VALUE"""),"Contacted")</f>
        <v>Contacted</v>
      </c>
      <c r="B238" s="55" t="str">
        <f>IFERROR(__xludf.DUMMYFUNCTION("""COMPUTED_VALUE"""),"")</f>
        <v/>
      </c>
      <c r="C238" s="94">
        <f>IFERROR(__xludf.DUMMYFUNCTION("""COMPUTED_VALUE"""),47258.0)</f>
        <v>47258</v>
      </c>
      <c r="D238" s="55" t="str">
        <f>IFERROR(__xludf.DUMMYFUNCTION("""COMPUTED_VALUE"""),"Yes")</f>
        <v>Yes</v>
      </c>
      <c r="E238" s="55" t="str">
        <f>IFERROR(__xludf.DUMMYFUNCTION("""COMPUTED_VALUE"""),"Variant Pathogenicity")</f>
        <v>Variant Pathogenicity</v>
      </c>
      <c r="F238" s="55" t="str">
        <f>IFERROR(__xludf.DUMMYFUNCTION("""COMPUTED_VALUE"""),"")</f>
        <v/>
      </c>
      <c r="G238" s="55" t="str">
        <f>IFERROR(__xludf.DUMMYFUNCTION("""COMPUTED_VALUE"""),"Diogo Ventura Lovato")</f>
        <v>Diogo Ventura Lovato</v>
      </c>
      <c r="H238" s="55" t="str">
        <f>IFERROR(__xludf.DUMMYFUNCTION("""COMPUTED_VALUE"""),"diogo.v.lovato@gmail.com")</f>
        <v>diogo.v.lovato@gmail.com</v>
      </c>
      <c r="I238" s="55" t="str">
        <f>IFERROR(__xludf.DUMMYFUNCTION("""COMPUTED_VALUE"""),"Clinical laboratory geneticist")</f>
        <v>Clinical laboratory geneticist</v>
      </c>
      <c r="J238" s="55"/>
      <c r="K238" s="55" t="str">
        <f>IFERROR(__xludf.DUMMYFUNCTION("""COMPUTED_VALUE"""),"Variant Pathogenicity")</f>
        <v>Variant Pathogenicity</v>
      </c>
      <c r="L238" s="55"/>
      <c r="M238" s="55"/>
      <c r="N238" s="55"/>
      <c r="O238" s="55"/>
      <c r="P238" s="55"/>
      <c r="Q238" s="55"/>
      <c r="R238" s="55"/>
      <c r="S238" s="55"/>
      <c r="T238" s="55"/>
      <c r="U238" s="55"/>
      <c r="V238" s="55"/>
      <c r="W238" s="55"/>
      <c r="X238" s="55"/>
      <c r="Y238" s="55"/>
      <c r="Z238" s="55"/>
    </row>
    <row r="239">
      <c r="A239" s="55" t="str">
        <f>IFERROR(__xludf.DUMMYFUNCTION("""COMPUTED_VALUE"""),"Contacted")</f>
        <v>Contacted</v>
      </c>
      <c r="B239" s="55" t="str">
        <f>IFERROR(__xludf.DUMMYFUNCTION("""COMPUTED_VALUE"""),"")</f>
        <v/>
      </c>
      <c r="C239" s="94">
        <f>IFERROR(__xludf.DUMMYFUNCTION("""COMPUTED_VALUE"""),43626.0)</f>
        <v>43626</v>
      </c>
      <c r="D239" s="55" t="str">
        <f>IFERROR(__xludf.DUMMYFUNCTION("""COMPUTED_VALUE"""),"Yes")</f>
        <v>Yes</v>
      </c>
      <c r="E239" s="55" t="str">
        <f>IFERROR(__xludf.DUMMYFUNCTION("""COMPUTED_VALUE"""),"Variant Pathogenicity")</f>
        <v>Variant Pathogenicity</v>
      </c>
      <c r="F239" s="55" t="str">
        <f>IFERROR(__xludf.DUMMYFUNCTION("""COMPUTED_VALUE"""),"")</f>
        <v/>
      </c>
      <c r="G239" s="55" t="str">
        <f>IFERROR(__xludf.DUMMYFUNCTION("""COMPUTED_VALUE"""),"Elaine Spector")</f>
        <v>Elaine Spector</v>
      </c>
      <c r="H239" s="55" t="str">
        <f>IFERROR(__xludf.DUMMYFUNCTION("""COMPUTED_VALUE"""),"elaine.spector@childrenscolorado.org")</f>
        <v>elaine.spector@childrenscolorado.org</v>
      </c>
      <c r="I239" s="55" t="str">
        <f>IFERROR(__xludf.DUMMYFUNCTION("""COMPUTED_VALUE"""),"Clinical laboratory geneticist")</f>
        <v>Clinical laboratory geneticist</v>
      </c>
      <c r="J239" s="55"/>
      <c r="K239" s="55" t="str">
        <f>IFERROR(__xludf.DUMMYFUNCTION("""COMPUTED_VALUE"""),"Variant Pathogenicity")</f>
        <v>Variant Pathogenicity</v>
      </c>
      <c r="L239" s="55"/>
      <c r="M239" s="55"/>
      <c r="N239" s="55"/>
      <c r="O239" s="55"/>
      <c r="P239" s="55"/>
      <c r="Q239" s="55"/>
      <c r="R239" s="55"/>
      <c r="S239" s="55"/>
      <c r="T239" s="55"/>
      <c r="U239" s="55"/>
      <c r="V239" s="55"/>
      <c r="W239" s="55"/>
      <c r="X239" s="55"/>
      <c r="Y239" s="55"/>
      <c r="Z239" s="55"/>
    </row>
    <row r="240">
      <c r="A240" s="55" t="str">
        <f>IFERROR(__xludf.DUMMYFUNCTION("""COMPUTED_VALUE"""),"Contacted")</f>
        <v>Contacted</v>
      </c>
      <c r="B240" s="55" t="str">
        <f>IFERROR(__xludf.DUMMYFUNCTION("""COMPUTED_VALUE"""),"")</f>
        <v/>
      </c>
      <c r="C240" s="94">
        <f>IFERROR(__xludf.DUMMYFUNCTION("""COMPUTED_VALUE"""),43608.0)</f>
        <v>43608</v>
      </c>
      <c r="D240" s="55" t="str">
        <f>IFERROR(__xludf.DUMMYFUNCTION("""COMPUTED_VALUE"""),"Yes")</f>
        <v>Yes</v>
      </c>
      <c r="E240" s="55" t="str">
        <f>IFERROR(__xludf.DUMMYFUNCTION("""COMPUTED_VALUE"""),"Variant Pathogenicity")</f>
        <v>Variant Pathogenicity</v>
      </c>
      <c r="F240" s="55" t="str">
        <f>IFERROR(__xludf.DUMMYFUNCTION("""COMPUTED_VALUE"""),"TP53")</f>
        <v>TP53</v>
      </c>
      <c r="G240" s="55" t="str">
        <f>IFERROR(__xludf.DUMMYFUNCTION("""COMPUTED_VALUE"""),"Laura Fuqua")</f>
        <v>Laura Fuqua</v>
      </c>
      <c r="H240" s="55" t="str">
        <f>IFERROR(__xludf.DUMMYFUNCTION("""COMPUTED_VALUE"""),"laura.fuqua@gmail.com")</f>
        <v>laura.fuqua@gmail.com</v>
      </c>
      <c r="I240" s="55" t="str">
        <f>IFERROR(__xludf.DUMMYFUNCTION("""COMPUTED_VALUE"""),"Genetic counselor")</f>
        <v>Genetic counselor</v>
      </c>
      <c r="J240" s="55"/>
      <c r="K240" s="55" t="str">
        <f>IFERROR(__xludf.DUMMYFUNCTION("""COMPUTED_VALUE"""),"Variant Pathogenicity")</f>
        <v>Variant Pathogenicity</v>
      </c>
      <c r="L240" s="55"/>
      <c r="M240" s="55"/>
      <c r="N240" s="55"/>
      <c r="O240" s="55"/>
      <c r="P240" s="55"/>
      <c r="Q240" s="55"/>
      <c r="R240" s="55"/>
      <c r="S240" s="55"/>
      <c r="T240" s="55"/>
      <c r="U240" s="55"/>
      <c r="V240" s="55"/>
      <c r="W240" s="55"/>
      <c r="X240" s="55"/>
      <c r="Y240" s="55"/>
      <c r="Z240" s="55"/>
    </row>
    <row r="241">
      <c r="A241" s="55" t="str">
        <f>IFERROR(__xludf.DUMMYFUNCTION("""COMPUTED_VALUE"""),"Unassigned")</f>
        <v>Unassigned</v>
      </c>
      <c r="B241" s="55" t="str">
        <f>IFERROR(__xludf.DUMMYFUNCTION("""COMPUTED_VALUE"""),"")</f>
        <v/>
      </c>
      <c r="C241" s="55" t="str">
        <f>IFERROR(__xludf.DUMMYFUNCTION("""COMPUTED_VALUE"""),"")</f>
        <v/>
      </c>
      <c r="D241" s="55" t="str">
        <f>IFERROR(__xludf.DUMMYFUNCTION("""COMPUTED_VALUE"""),"")</f>
        <v/>
      </c>
      <c r="E241" s="55" t="str">
        <f>IFERROR(__xludf.DUMMYFUNCTION("""COMPUTED_VALUE"""),"NA")</f>
        <v>NA</v>
      </c>
      <c r="F241" s="55" t="str">
        <f>IFERROR(__xludf.DUMMYFUNCTION("""COMPUTED_VALUE"""),"")</f>
        <v/>
      </c>
      <c r="G241" s="55" t="str">
        <f>IFERROR(__xludf.DUMMYFUNCTION("""COMPUTED_VALUE"""),"Kelly McGoldrick")</f>
        <v>Kelly McGoldrick</v>
      </c>
      <c r="H241" s="55" t="str">
        <f>IFERROR(__xludf.DUMMYFUNCTION("""COMPUTED_VALUE"""),"kmcgoldrick@ambrygenetics.com")</f>
        <v>kmcgoldrick@ambrygenetics.com</v>
      </c>
      <c r="I241" s="55" t="str">
        <f>IFERROR(__xludf.DUMMYFUNCTION("""COMPUTED_VALUE"""),"Variant Analyst/Scientist - Industry")</f>
        <v>Variant Analyst/Scientist - Industry</v>
      </c>
      <c r="J241" s="55"/>
      <c r="K241" s="55" t="str">
        <f>IFERROR(__xludf.DUMMYFUNCTION("""COMPUTED_VALUE"""),"")</f>
        <v/>
      </c>
      <c r="L241" s="55"/>
      <c r="M241" s="55"/>
      <c r="N241" s="55"/>
      <c r="O241" s="55"/>
      <c r="P241" s="55"/>
      <c r="Q241" s="55"/>
      <c r="R241" s="55"/>
      <c r="S241" s="55"/>
      <c r="T241" s="55"/>
      <c r="U241" s="55"/>
      <c r="V241" s="55"/>
      <c r="W241" s="55"/>
      <c r="X241" s="55"/>
      <c r="Y241" s="55"/>
      <c r="Z241" s="55"/>
    </row>
    <row r="242">
      <c r="A242" s="55" t="str">
        <f>IFERROR(__xludf.DUMMYFUNCTION("""COMPUTED_VALUE"""),"Contacted")</f>
        <v>Contacted</v>
      </c>
      <c r="B242" s="94">
        <f>IFERROR(__xludf.DUMMYFUNCTION("""COMPUTED_VALUE"""),43819.0)</f>
        <v>43819</v>
      </c>
      <c r="C242" s="55" t="str">
        <f>IFERROR(__xludf.DUMMYFUNCTION("""COMPUTED_VALUE"""),"")</f>
        <v/>
      </c>
      <c r="D242" s="55" t="str">
        <f>IFERROR(__xludf.DUMMYFUNCTION("""COMPUTED_VALUE"""),"")</f>
        <v/>
      </c>
      <c r="E242" s="55" t="str">
        <f>IFERROR(__xludf.DUMMYFUNCTION("""COMPUTED_VALUE"""),"Variant Pathogenicity")</f>
        <v>Variant Pathogenicity</v>
      </c>
      <c r="F242" s="55" t="str">
        <f>IFERROR(__xludf.DUMMYFUNCTION("""COMPUTED_VALUE"""),"")</f>
        <v/>
      </c>
      <c r="G242" s="55" t="str">
        <f>IFERROR(__xludf.DUMMYFUNCTION("""COMPUTED_VALUE"""),"Patricia Harper")</f>
        <v>Patricia Harper</v>
      </c>
      <c r="H242" s="55" t="str">
        <f>IFERROR(__xludf.DUMMYFUNCTION("""COMPUTED_VALUE"""),"pharper@cheo.on.ca")</f>
        <v>pharper@cheo.on.ca</v>
      </c>
      <c r="I242" s="55" t="str">
        <f>IFERROR(__xludf.DUMMYFUNCTION("""COMPUTED_VALUE"""),"Genetic counselor")</f>
        <v>Genetic counselor</v>
      </c>
      <c r="J242" s="55"/>
      <c r="K242" s="55" t="str">
        <f>IFERROR(__xludf.DUMMYFUNCTION("""COMPUTED_VALUE"""),"Variant Pathogenicity")</f>
        <v>Variant Pathogenicity</v>
      </c>
      <c r="L242" s="55"/>
      <c r="M242" s="55"/>
      <c r="N242" s="55"/>
      <c r="O242" s="55"/>
      <c r="P242" s="55"/>
      <c r="Q242" s="55"/>
      <c r="R242" s="55"/>
      <c r="S242" s="55"/>
      <c r="T242" s="55"/>
      <c r="U242" s="55"/>
      <c r="V242" s="55"/>
      <c r="W242" s="55"/>
      <c r="X242" s="55"/>
      <c r="Y242" s="55"/>
      <c r="Z242" s="55"/>
    </row>
    <row r="243">
      <c r="A243" s="55" t="str">
        <f>IFERROR(__xludf.DUMMYFUNCTION("""COMPUTED_VALUE"""),"Unassigned")</f>
        <v>Unassigned</v>
      </c>
      <c r="B243" s="55" t="str">
        <f>IFERROR(__xludf.DUMMYFUNCTION("""COMPUTED_VALUE"""),"")</f>
        <v/>
      </c>
      <c r="C243" s="55" t="str">
        <f>IFERROR(__xludf.DUMMYFUNCTION("""COMPUTED_VALUE"""),"")</f>
        <v/>
      </c>
      <c r="D243" s="55" t="str">
        <f>IFERROR(__xludf.DUMMYFUNCTION("""COMPUTED_VALUE"""),"")</f>
        <v/>
      </c>
      <c r="E243" s="55" t="str">
        <f>IFERROR(__xludf.DUMMYFUNCTION("""COMPUTED_VALUE"""),"Somatic Cancer")</f>
        <v>Somatic Cancer</v>
      </c>
      <c r="F243" s="55" t="str">
        <f>IFERROR(__xludf.DUMMYFUNCTION("""COMPUTED_VALUE"""),"")</f>
        <v/>
      </c>
      <c r="G243" s="55" t="str">
        <f>IFERROR(__xludf.DUMMYFUNCTION("""COMPUTED_VALUE"""),"Rasha hekal ")</f>
        <v>Rasha hekal </v>
      </c>
      <c r="H243" s="55" t="str">
        <f>IFERROR(__xludf.DUMMYFUNCTION("""COMPUTED_VALUE"""),"rasha.hekal.152003@gmail.com")</f>
        <v>rasha.hekal.152003@gmail.com</v>
      </c>
      <c r="I243" s="55" t="str">
        <f>IFERROR(__xludf.DUMMYFUNCTION("""COMPUTED_VALUE"""),"Undergraduate Student")</f>
        <v>Undergraduate Student</v>
      </c>
      <c r="J243" s="55"/>
      <c r="K243" s="55" t="str">
        <f>IFERROR(__xludf.DUMMYFUNCTION("""COMPUTED_VALUE"""),"Somatic Cancer")</f>
        <v>Somatic Cancer</v>
      </c>
      <c r="L243" s="55"/>
      <c r="M243" s="55"/>
      <c r="N243" s="55"/>
      <c r="O243" s="55"/>
      <c r="P243" s="55"/>
      <c r="Q243" s="55"/>
      <c r="R243" s="55"/>
      <c r="S243" s="55"/>
      <c r="T243" s="55"/>
      <c r="U243" s="55"/>
      <c r="V243" s="55"/>
      <c r="W243" s="55"/>
      <c r="X243" s="55"/>
      <c r="Y243" s="55"/>
      <c r="Z243" s="55"/>
    </row>
    <row r="244">
      <c r="A244" s="55" t="str">
        <f>IFERROR(__xludf.DUMMYFUNCTION("""COMPUTED_VALUE"""),"Unassigned")</f>
        <v>Unassigned</v>
      </c>
      <c r="B244" s="55" t="str">
        <f>IFERROR(__xludf.DUMMYFUNCTION("""COMPUTED_VALUE"""),"")</f>
        <v/>
      </c>
      <c r="C244" s="55" t="str">
        <f>IFERROR(__xludf.DUMMYFUNCTION("""COMPUTED_VALUE"""),"")</f>
        <v/>
      </c>
      <c r="D244" s="55" t="str">
        <f>IFERROR(__xludf.DUMMYFUNCTION("""COMPUTED_VALUE"""),"")</f>
        <v/>
      </c>
      <c r="E244" s="55" t="str">
        <f>IFERROR(__xludf.DUMMYFUNCTION("""COMPUTED_VALUE"""),"Somatic Cancer")</f>
        <v>Somatic Cancer</v>
      </c>
      <c r="F244" s="55" t="str">
        <f>IFERROR(__xludf.DUMMYFUNCTION("""COMPUTED_VALUE"""),"")</f>
        <v/>
      </c>
      <c r="G244" s="55" t="str">
        <f>IFERROR(__xludf.DUMMYFUNCTION("""COMPUTED_VALUE"""),"Nihal Ahmed ")</f>
        <v>Nihal Ahmed </v>
      </c>
      <c r="H244" s="55" t="str">
        <f>IFERROR(__xludf.DUMMYFUNCTION("""COMPUTED_VALUE"""),"nihalahmed087@gmail.com")</f>
        <v>nihalahmed087@gmail.com</v>
      </c>
      <c r="I244" s="55" t="str">
        <f>IFERROR(__xludf.DUMMYFUNCTION("""COMPUTED_VALUE"""),"Undergraduate Student")</f>
        <v>Undergraduate Student</v>
      </c>
      <c r="J244" s="55"/>
      <c r="K244" s="55" t="str">
        <f>IFERROR(__xludf.DUMMYFUNCTION("""COMPUTED_VALUE"""),"Somatic Cancer")</f>
        <v>Somatic Cancer</v>
      </c>
      <c r="L244" s="55"/>
      <c r="M244" s="55"/>
      <c r="N244" s="55"/>
      <c r="O244" s="55"/>
      <c r="P244" s="55"/>
      <c r="Q244" s="55"/>
      <c r="R244" s="55"/>
      <c r="S244" s="55"/>
      <c r="T244" s="55"/>
      <c r="U244" s="55"/>
      <c r="V244" s="55"/>
      <c r="W244" s="55"/>
      <c r="X244" s="55"/>
      <c r="Y244" s="55"/>
      <c r="Z244" s="55"/>
    </row>
    <row r="245">
      <c r="A245" s="55" t="str">
        <f>IFERROR(__xludf.DUMMYFUNCTION("""COMPUTED_VALUE"""),"Contacted")</f>
        <v>Contacted</v>
      </c>
      <c r="B245" s="94">
        <f>IFERROR(__xludf.DUMMYFUNCTION("""COMPUTED_VALUE"""),43819.0)</f>
        <v>43819</v>
      </c>
      <c r="C245" s="105">
        <f>IFERROR(__xludf.DUMMYFUNCTION("""COMPUTED_VALUE"""),43846.0)</f>
        <v>43846</v>
      </c>
      <c r="D245" s="55" t="str">
        <f>IFERROR(__xludf.DUMMYFUNCTION("""COMPUTED_VALUE"""),"Yes")</f>
        <v>Yes</v>
      </c>
      <c r="E245" s="55" t="str">
        <f>IFERROR(__xludf.DUMMYFUNCTION("""COMPUTED_VALUE"""),"Gene Disease Validity")</f>
        <v>Gene Disease Validity</v>
      </c>
      <c r="F245" s="55" t="str">
        <f>IFERROR(__xludf.DUMMYFUNCTION("""COMPUTED_VALUE"""),"")</f>
        <v/>
      </c>
      <c r="G245" s="55" t="str">
        <f>IFERROR(__xludf.DUMMYFUNCTION("""COMPUTED_VALUE"""),"Xiaoting Ma")</f>
        <v>Xiaoting Ma</v>
      </c>
      <c r="H245" s="55" t="str">
        <f>IFERROR(__xludf.DUMMYFUNCTION("""COMPUTED_VALUE"""),"Xiaoting.Ma@childrens.harvard.edu")</f>
        <v>Xiaoting.Ma@childrens.harvard.edu</v>
      </c>
      <c r="I245" s="55" t="str">
        <f>IFERROR(__xludf.DUMMYFUNCTION("""COMPUTED_VALUE"""),"Post Doc/Resident/Fellow (MD and/or PhD)")</f>
        <v>Post Doc/Resident/Fellow (MD and/or PhD)</v>
      </c>
      <c r="J245" s="55"/>
      <c r="K245" s="55" t="str">
        <f>IFERROR(__xludf.DUMMYFUNCTION("""COMPUTED_VALUE"""),"Gene-Disease Validity")</f>
        <v>Gene-Disease Validity</v>
      </c>
      <c r="L245" s="55"/>
      <c r="M245" s="55"/>
      <c r="N245" s="55"/>
      <c r="O245" s="55"/>
      <c r="P245" s="55"/>
      <c r="Q245" s="55"/>
      <c r="R245" s="55"/>
      <c r="S245" s="55"/>
      <c r="T245" s="55"/>
      <c r="U245" s="55"/>
      <c r="V245" s="55"/>
      <c r="W245" s="55"/>
      <c r="X245" s="55"/>
      <c r="Y245" s="55"/>
      <c r="Z245" s="55"/>
    </row>
    <row r="246">
      <c r="A246" s="55" t="str">
        <f>IFERROR(__xludf.DUMMYFUNCTION("""COMPUTED_VALUE"""),"Contacted")</f>
        <v>Contacted</v>
      </c>
      <c r="B246" s="94">
        <f>IFERROR(__xludf.DUMMYFUNCTION("""COMPUTED_VALUE"""),43819.0)</f>
        <v>43819</v>
      </c>
      <c r="C246" s="55" t="str">
        <f>IFERROR(__xludf.DUMMYFUNCTION("""COMPUTED_VALUE"""),"")</f>
        <v/>
      </c>
      <c r="D246" s="55" t="str">
        <f>IFERROR(__xludf.DUMMYFUNCTION("""COMPUTED_VALUE"""),"")</f>
        <v/>
      </c>
      <c r="E246" s="55" t="str">
        <f>IFERROR(__xludf.DUMMYFUNCTION("""COMPUTED_VALUE"""),"Variant Pathogenicity")</f>
        <v>Variant Pathogenicity</v>
      </c>
      <c r="F246" s="55" t="str">
        <f>IFERROR(__xludf.DUMMYFUNCTION("""COMPUTED_VALUE"""),"")</f>
        <v/>
      </c>
      <c r="G246" s="55" t="str">
        <f>IFERROR(__xludf.DUMMYFUNCTION("""COMPUTED_VALUE"""),"Saja El Yaacoub")</f>
        <v>Saja El Yaacoub</v>
      </c>
      <c r="H246" s="55" t="str">
        <f>IFERROR(__xludf.DUMMYFUNCTION("""COMPUTED_VALUE"""),"saja.alyaacoub@live.com")</f>
        <v>saja.alyaacoub@live.com</v>
      </c>
      <c r="I246" s="55" t="str">
        <f>IFERROR(__xludf.DUMMYFUNCTION("""COMPUTED_VALUE"""),"Graduate Student")</f>
        <v>Graduate Student</v>
      </c>
      <c r="J246" s="55"/>
      <c r="K246" s="55" t="str">
        <f>IFERROR(__xludf.DUMMYFUNCTION("""COMPUTED_VALUE"""),"Variant Pathogenicity")</f>
        <v>Variant Pathogenicity</v>
      </c>
      <c r="L246" s="55"/>
      <c r="M246" s="55"/>
      <c r="N246" s="55"/>
      <c r="O246" s="55"/>
      <c r="P246" s="55"/>
      <c r="Q246" s="55"/>
      <c r="R246" s="55"/>
      <c r="S246" s="55"/>
      <c r="T246" s="55"/>
      <c r="U246" s="55"/>
      <c r="V246" s="55"/>
      <c r="W246" s="55"/>
      <c r="X246" s="55"/>
      <c r="Y246" s="55"/>
      <c r="Z246" s="55"/>
    </row>
    <row r="247">
      <c r="A247" s="55" t="str">
        <f>IFERROR(__xludf.DUMMYFUNCTION("""COMPUTED_VALUE"""),"Unresponsive")</f>
        <v>Unresponsive</v>
      </c>
      <c r="B247" s="55" t="str">
        <f>IFERROR(__xludf.DUMMYFUNCTION("""COMPUTED_VALUE"""),"")</f>
        <v/>
      </c>
      <c r="C247" s="55" t="str">
        <f>IFERROR(__xludf.DUMMYFUNCTION("""COMPUTED_VALUE"""),"")</f>
        <v/>
      </c>
      <c r="D247" s="55" t="str">
        <f>IFERROR(__xludf.DUMMYFUNCTION("""COMPUTED_VALUE"""),"")</f>
        <v/>
      </c>
      <c r="E247" s="55" t="str">
        <f>IFERROR(__xludf.DUMMYFUNCTION("""COMPUTED_VALUE"""),"Actionability")</f>
        <v>Actionability</v>
      </c>
      <c r="F247" s="55" t="str">
        <f>IFERROR(__xludf.DUMMYFUNCTION("""COMPUTED_VALUE"""),"")</f>
        <v/>
      </c>
      <c r="G247" s="55" t="str">
        <f>IFERROR(__xludf.DUMMYFUNCTION("""COMPUTED_VALUE"""),"Andrew Langlois")</f>
        <v>Andrew Langlois</v>
      </c>
      <c r="H247" s="55" t="str">
        <f>IFERROR(__xludf.DUMMYFUNCTION("""COMPUTED_VALUE"""),"andrewlanglois001@gmail.com")</f>
        <v>andrewlanglois001@gmail.com</v>
      </c>
      <c r="I247" s="55" t="str">
        <f>IFERROR(__xludf.DUMMYFUNCTION("""COMPUTED_VALUE"""),"Graduate Student")</f>
        <v>Graduate Student</v>
      </c>
      <c r="J247" s="55"/>
      <c r="K247" s="55" t="str">
        <f>IFERROR(__xludf.DUMMYFUNCTION("""COMPUTED_VALUE"""),"Clinical Actionability")</f>
        <v>Clinical Actionability</v>
      </c>
      <c r="L247" s="55"/>
      <c r="M247" s="55"/>
      <c r="N247" s="55"/>
      <c r="O247" s="55"/>
      <c r="P247" s="55"/>
      <c r="Q247" s="55"/>
      <c r="R247" s="55"/>
      <c r="S247" s="55"/>
      <c r="T247" s="55"/>
      <c r="U247" s="55"/>
      <c r="V247" s="55"/>
      <c r="W247" s="55"/>
      <c r="X247" s="55"/>
      <c r="Y247" s="55"/>
      <c r="Z247" s="55"/>
    </row>
    <row r="248">
      <c r="A248" s="55" t="str">
        <f>IFERROR(__xludf.DUMMYFUNCTION("""COMPUTED_VALUE"""),"Contacted")</f>
        <v>Contacted</v>
      </c>
      <c r="B248" s="94">
        <f>IFERROR(__xludf.DUMMYFUNCTION("""COMPUTED_VALUE"""),43819.0)</f>
        <v>43819</v>
      </c>
      <c r="C248" s="55" t="str">
        <f>IFERROR(__xludf.DUMMYFUNCTION("""COMPUTED_VALUE"""),"")</f>
        <v/>
      </c>
      <c r="D248" s="55" t="str">
        <f>IFERROR(__xludf.DUMMYFUNCTION("""COMPUTED_VALUE"""),"")</f>
        <v/>
      </c>
      <c r="E248" s="55" t="str">
        <f>IFERROR(__xludf.DUMMYFUNCTION("""COMPUTED_VALUE"""),"Variant Pathogenicity")</f>
        <v>Variant Pathogenicity</v>
      </c>
      <c r="F248" s="55" t="str">
        <f>IFERROR(__xludf.DUMMYFUNCTION("""COMPUTED_VALUE"""),"")</f>
        <v/>
      </c>
      <c r="G248" s="55" t="str">
        <f>IFERROR(__xludf.DUMMYFUNCTION("""COMPUTED_VALUE"""),"Brandon Chalazan")</f>
        <v>Brandon Chalazan</v>
      </c>
      <c r="H248" s="55" t="str">
        <f>IFERROR(__xludf.DUMMYFUNCTION("""COMPUTED_VALUE"""),"brandon.chalazan@cw.bc.ca")</f>
        <v>brandon.chalazan@cw.bc.ca</v>
      </c>
      <c r="I248" s="55" t="str">
        <f>IFERROR(__xludf.DUMMYFUNCTION("""COMPUTED_VALUE"""),"Post Doc/Resident/Fellow (MD and/or PhD)")</f>
        <v>Post Doc/Resident/Fellow (MD and/or PhD)</v>
      </c>
      <c r="J248" s="55"/>
      <c r="K248" s="55" t="str">
        <f>IFERROR(__xludf.DUMMYFUNCTION("""COMPUTED_VALUE"""),"Variant Pathogenicity")</f>
        <v>Variant Pathogenicity</v>
      </c>
      <c r="L248" s="55"/>
      <c r="M248" s="55"/>
      <c r="N248" s="55"/>
      <c r="O248" s="55"/>
      <c r="P248" s="55"/>
      <c r="Q248" s="55"/>
      <c r="R248" s="55"/>
      <c r="S248" s="55"/>
      <c r="T248" s="55"/>
      <c r="U248" s="55"/>
      <c r="V248" s="55"/>
      <c r="W248" s="55"/>
      <c r="X248" s="55"/>
      <c r="Y248" s="55"/>
      <c r="Z248" s="55"/>
    </row>
    <row r="249">
      <c r="A249" s="55" t="str">
        <f>IFERROR(__xludf.DUMMYFUNCTION("""COMPUTED_VALUE"""),"Contacted")</f>
        <v>Contacted</v>
      </c>
      <c r="B249" s="94">
        <f>IFERROR(__xludf.DUMMYFUNCTION("""COMPUTED_VALUE"""),43819.0)</f>
        <v>43819</v>
      </c>
      <c r="C249" s="55" t="str">
        <f>IFERROR(__xludf.DUMMYFUNCTION("""COMPUTED_VALUE"""),"")</f>
        <v/>
      </c>
      <c r="D249" s="55" t="str">
        <f>IFERROR(__xludf.DUMMYFUNCTION("""COMPUTED_VALUE"""),"")</f>
        <v/>
      </c>
      <c r="E249" s="55" t="str">
        <f>IFERROR(__xludf.DUMMYFUNCTION("""COMPUTED_VALUE"""),"Variant Pathogenicity")</f>
        <v>Variant Pathogenicity</v>
      </c>
      <c r="F249" s="55" t="str">
        <f>IFERROR(__xludf.DUMMYFUNCTION("""COMPUTED_VALUE"""),"")</f>
        <v/>
      </c>
      <c r="G249" s="55" t="str">
        <f>IFERROR(__xludf.DUMMYFUNCTION("""COMPUTED_VALUE"""),"jean-leon chong")</f>
        <v>jean-leon chong</v>
      </c>
      <c r="H249" s="55" t="str">
        <f>IFERROR(__xludf.DUMMYFUNCTION("""COMPUTED_VALUE"""),"leon0044@gmail.com")</f>
        <v>leon0044@gmail.com</v>
      </c>
      <c r="I249" s="55" t="str">
        <f>IFERROR(__xludf.DUMMYFUNCTION("""COMPUTED_VALUE"""),"biochemical genetics lab director")</f>
        <v>biochemical genetics lab director</v>
      </c>
      <c r="J249" s="55"/>
      <c r="K249" s="55" t="str">
        <f>IFERROR(__xludf.DUMMYFUNCTION("""COMPUTED_VALUE"""),"Variant Pathogenicity")</f>
        <v>Variant Pathogenicity</v>
      </c>
      <c r="L249" s="55"/>
      <c r="M249" s="55"/>
      <c r="N249" s="55"/>
      <c r="O249" s="55"/>
      <c r="P249" s="55"/>
      <c r="Q249" s="55"/>
      <c r="R249" s="55"/>
      <c r="S249" s="55"/>
      <c r="T249" s="55"/>
      <c r="U249" s="55"/>
      <c r="V249" s="55"/>
      <c r="W249" s="55"/>
      <c r="X249" s="55"/>
      <c r="Y249" s="55"/>
      <c r="Z249" s="55"/>
    </row>
    <row r="250">
      <c r="A250" s="55" t="str">
        <f>IFERROR(__xludf.DUMMYFUNCTION("""COMPUTED_VALUE"""),"Contacted")</f>
        <v>Contacted</v>
      </c>
      <c r="B250" s="94">
        <f>IFERROR(__xludf.DUMMYFUNCTION("""COMPUTED_VALUE"""),43819.0)</f>
        <v>43819</v>
      </c>
      <c r="C250" s="55" t="str">
        <f>IFERROR(__xludf.DUMMYFUNCTION("""COMPUTED_VALUE"""),"")</f>
        <v/>
      </c>
      <c r="D250" s="55" t="str">
        <f>IFERROR(__xludf.DUMMYFUNCTION("""COMPUTED_VALUE"""),"")</f>
        <v/>
      </c>
      <c r="E250" s="55" t="str">
        <f>IFERROR(__xludf.DUMMYFUNCTION("""COMPUTED_VALUE"""),"Variant Pathogenicity")</f>
        <v>Variant Pathogenicity</v>
      </c>
      <c r="F250" s="55" t="str">
        <f>IFERROR(__xludf.DUMMYFUNCTION("""COMPUTED_VALUE"""),"")</f>
        <v/>
      </c>
      <c r="G250" s="55" t="str">
        <f>IFERROR(__xludf.DUMMYFUNCTION("""COMPUTED_VALUE"""),"Terra Brannan")</f>
        <v>Terra Brannan</v>
      </c>
      <c r="H250" s="55" t="str">
        <f>IFERROR(__xludf.DUMMYFUNCTION("""COMPUTED_VALUE"""),"tbrannan@ambrygen.com")</f>
        <v>tbrannan@ambrygen.com</v>
      </c>
      <c r="I250" s="55" t="str">
        <f>IFERROR(__xludf.DUMMYFUNCTION("""COMPUTED_VALUE"""),"Variant Analyst/Scientist - Industry")</f>
        <v>Variant Analyst/Scientist - Industry</v>
      </c>
      <c r="J250" s="55"/>
      <c r="K250" s="55" t="str">
        <f>IFERROR(__xludf.DUMMYFUNCTION("""COMPUTED_VALUE"""),"Variant Pathogenicity")</f>
        <v>Variant Pathogenicity</v>
      </c>
      <c r="L250" s="55"/>
      <c r="M250" s="55"/>
      <c r="N250" s="55"/>
      <c r="O250" s="55"/>
      <c r="P250" s="55"/>
      <c r="Q250" s="55"/>
      <c r="R250" s="55"/>
      <c r="S250" s="55"/>
      <c r="T250" s="55"/>
      <c r="U250" s="55"/>
      <c r="V250" s="55"/>
      <c r="W250" s="55"/>
      <c r="X250" s="55"/>
      <c r="Y250" s="55"/>
      <c r="Z250" s="55"/>
    </row>
    <row r="251">
      <c r="A251" s="55" t="str">
        <f>IFERROR(__xludf.DUMMYFUNCTION("""COMPUTED_VALUE"""),"Unassigned")</f>
        <v>Unassigned</v>
      </c>
      <c r="B251" s="55" t="str">
        <f>IFERROR(__xludf.DUMMYFUNCTION("""COMPUTED_VALUE"""),"")</f>
        <v/>
      </c>
      <c r="C251" s="55" t="str">
        <f>IFERROR(__xludf.DUMMYFUNCTION("""COMPUTED_VALUE"""),"")</f>
        <v/>
      </c>
      <c r="D251" s="55" t="str">
        <f>IFERROR(__xludf.DUMMYFUNCTION("""COMPUTED_VALUE"""),"")</f>
        <v/>
      </c>
      <c r="E251" s="55" t="str">
        <f>IFERROR(__xludf.DUMMYFUNCTION("""COMPUTED_VALUE"""),"Dosage Sensitivity")</f>
        <v>Dosage Sensitivity</v>
      </c>
      <c r="F251" s="55" t="str">
        <f>IFERROR(__xludf.DUMMYFUNCTION("""COMPUTED_VALUE"""),"")</f>
        <v/>
      </c>
      <c r="G251" s="55" t="str">
        <f>IFERROR(__xludf.DUMMYFUNCTION("""COMPUTED_VALUE"""),"Ankita Patel")</f>
        <v>Ankita Patel</v>
      </c>
      <c r="H251" s="55" t="str">
        <f>IFERROR(__xludf.DUMMYFUNCTION("""COMPUTED_VALUE"""),"aspatel1@yahoo.com")</f>
        <v>aspatel1@yahoo.com</v>
      </c>
      <c r="I251" s="55" t="str">
        <f>IFERROR(__xludf.DUMMYFUNCTION("""COMPUTED_VALUE"""),"Independent cytogenetic consultant")</f>
        <v>Independent cytogenetic consultant</v>
      </c>
      <c r="J251" s="55"/>
      <c r="K251" s="55" t="str">
        <f>IFERROR(__xludf.DUMMYFUNCTION("""COMPUTED_VALUE"""),"Dosage Sensitivity")</f>
        <v>Dosage Sensitivity</v>
      </c>
      <c r="L251" s="55"/>
      <c r="M251" s="55"/>
      <c r="N251" s="55"/>
      <c r="O251" s="55"/>
      <c r="P251" s="55"/>
      <c r="Q251" s="55"/>
      <c r="R251" s="55"/>
      <c r="S251" s="55"/>
      <c r="T251" s="55"/>
      <c r="U251" s="55"/>
      <c r="V251" s="55"/>
      <c r="W251" s="55"/>
      <c r="X251" s="55"/>
      <c r="Y251" s="55"/>
      <c r="Z251" s="55"/>
    </row>
    <row r="252">
      <c r="A252" s="55" t="str">
        <f>IFERROR(__xludf.DUMMYFUNCTION("""COMPUTED_VALUE"""),"Contacted")</f>
        <v>Contacted</v>
      </c>
      <c r="B252" s="94">
        <f>IFERROR(__xludf.DUMMYFUNCTION("""COMPUTED_VALUE"""),43819.0)</f>
        <v>43819</v>
      </c>
      <c r="C252" s="55" t="str">
        <f>IFERROR(__xludf.DUMMYFUNCTION("""COMPUTED_VALUE"""),"")</f>
        <v/>
      </c>
      <c r="D252" s="55" t="str">
        <f>IFERROR(__xludf.DUMMYFUNCTION("""COMPUTED_VALUE"""),"")</f>
        <v/>
      </c>
      <c r="E252" s="55" t="str">
        <f>IFERROR(__xludf.DUMMYFUNCTION("""COMPUTED_VALUE"""),"Variant Pathogenicity")</f>
        <v>Variant Pathogenicity</v>
      </c>
      <c r="F252" s="55" t="str">
        <f>IFERROR(__xludf.DUMMYFUNCTION("""COMPUTED_VALUE"""),"")</f>
        <v/>
      </c>
      <c r="G252" s="55" t="str">
        <f>IFERROR(__xludf.DUMMYFUNCTION("""COMPUTED_VALUE"""),"Jordan Stern")</f>
        <v>Jordan Stern</v>
      </c>
      <c r="H252" s="55" t="str">
        <f>IFERROR(__xludf.DUMMYFUNCTION("""COMPUTED_VALUE"""),"jordanjnstern@gmail.com")</f>
        <v>jordanjnstern@gmail.com</v>
      </c>
      <c r="I252" s="55" t="str">
        <f>IFERROR(__xludf.DUMMYFUNCTION("""COMPUTED_VALUE"""),"Undergraduate Student")</f>
        <v>Undergraduate Student</v>
      </c>
      <c r="J252" s="55"/>
      <c r="K252" s="55" t="str">
        <f>IFERROR(__xludf.DUMMYFUNCTION("""COMPUTED_VALUE"""),"Variant Pathogenicity")</f>
        <v>Variant Pathogenicity</v>
      </c>
      <c r="L252" s="55"/>
      <c r="M252" s="55"/>
      <c r="N252" s="55"/>
      <c r="O252" s="55"/>
      <c r="P252" s="55"/>
      <c r="Q252" s="55"/>
      <c r="R252" s="55"/>
      <c r="S252" s="55"/>
      <c r="T252" s="55"/>
      <c r="U252" s="55"/>
      <c r="V252" s="55"/>
      <c r="W252" s="55"/>
      <c r="X252" s="55"/>
      <c r="Y252" s="55"/>
      <c r="Z252" s="55"/>
    </row>
    <row r="253">
      <c r="A253" s="55" t="str">
        <f>IFERROR(__xludf.DUMMYFUNCTION("""COMPUTED_VALUE"""),"Unresponsive")</f>
        <v>Unresponsive</v>
      </c>
      <c r="B253" s="55" t="str">
        <f>IFERROR(__xludf.DUMMYFUNCTION("""COMPUTED_VALUE"""),"")</f>
        <v/>
      </c>
      <c r="C253" s="55" t="str">
        <f>IFERROR(__xludf.DUMMYFUNCTION("""COMPUTED_VALUE"""),"")</f>
        <v/>
      </c>
      <c r="D253" s="55" t="str">
        <f>IFERROR(__xludf.DUMMYFUNCTION("""COMPUTED_VALUE"""),"")</f>
        <v/>
      </c>
      <c r="E253" s="55" t="str">
        <f>IFERROR(__xludf.DUMMYFUNCTION("""COMPUTED_VALUE"""),"Actionability")</f>
        <v>Actionability</v>
      </c>
      <c r="F253" s="55" t="str">
        <f>IFERROR(__xludf.DUMMYFUNCTION("""COMPUTED_VALUE"""),"")</f>
        <v/>
      </c>
      <c r="G253" s="55" t="str">
        <f>IFERROR(__xludf.DUMMYFUNCTION("""COMPUTED_VALUE"""),"Sally Pea ")</f>
        <v>Sally Pea </v>
      </c>
      <c r="H253" s="55" t="str">
        <f>IFERROR(__xludf.DUMMYFUNCTION("""COMPUTED_VALUE"""),"spea@live.com")</f>
        <v>spea@live.com</v>
      </c>
      <c r="I253" s="55" t="str">
        <f>IFERROR(__xludf.DUMMYFUNCTION("""COMPUTED_VALUE"""),"Citizen Scientist/Patient Advocate")</f>
        <v>Citizen Scientist/Patient Advocate</v>
      </c>
      <c r="J253" s="55"/>
      <c r="K253" s="55" t="str">
        <f>IFERROR(__xludf.DUMMYFUNCTION("""COMPUTED_VALUE"""),"Clinical Actionability")</f>
        <v>Clinical Actionability</v>
      </c>
      <c r="L253" s="55"/>
      <c r="M253" s="55"/>
      <c r="N253" s="55"/>
      <c r="O253" s="55"/>
      <c r="P253" s="55"/>
      <c r="Q253" s="55"/>
      <c r="R253" s="55"/>
      <c r="S253" s="55"/>
      <c r="T253" s="55"/>
      <c r="U253" s="55"/>
      <c r="V253" s="55"/>
      <c r="W253" s="55"/>
      <c r="X253" s="55"/>
      <c r="Y253" s="55"/>
      <c r="Z253" s="55"/>
    </row>
    <row r="254">
      <c r="A254" s="55" t="str">
        <f>IFERROR(__xludf.DUMMYFUNCTION("""COMPUTED_VALUE"""),"Contacted")</f>
        <v>Contacted</v>
      </c>
      <c r="B254" s="94">
        <f>IFERROR(__xludf.DUMMYFUNCTION("""COMPUTED_VALUE"""),43819.0)</f>
        <v>43819</v>
      </c>
      <c r="C254" s="55" t="str">
        <f>IFERROR(__xludf.DUMMYFUNCTION("""COMPUTED_VALUE"""),"")</f>
        <v/>
      </c>
      <c r="D254" s="55" t="str">
        <f>IFERROR(__xludf.DUMMYFUNCTION("""COMPUTED_VALUE"""),"")</f>
        <v/>
      </c>
      <c r="E254" s="55" t="str">
        <f>IFERROR(__xludf.DUMMYFUNCTION("""COMPUTED_VALUE"""),"Gene Disease Validity")</f>
        <v>Gene Disease Validity</v>
      </c>
      <c r="F254" s="55" t="str">
        <f>IFERROR(__xludf.DUMMYFUNCTION("""COMPUTED_VALUE"""),"")</f>
        <v/>
      </c>
      <c r="G254" s="55" t="str">
        <f>IFERROR(__xludf.DUMMYFUNCTION("""COMPUTED_VALUE"""),"Sali Farhan")</f>
        <v>Sali Farhan</v>
      </c>
      <c r="H254" s="55" t="str">
        <f>IFERROR(__xludf.DUMMYFUNCTION("""COMPUTED_VALUE"""),"sfarhan@broadinstitute.org")</f>
        <v>sfarhan@broadinstitute.org</v>
      </c>
      <c r="I254" s="55" t="str">
        <f>IFERROR(__xludf.DUMMYFUNCTION("""COMPUTED_VALUE"""),"Post Doc/Resident/Fellow (MD and/or PhD)")</f>
        <v>Post Doc/Resident/Fellow (MD and/or PhD)</v>
      </c>
      <c r="J254" s="55"/>
      <c r="K254" s="55" t="str">
        <f>IFERROR(__xludf.DUMMYFUNCTION("""COMPUTED_VALUE"""),"Gene-Disease Validity")</f>
        <v>Gene-Disease Validity</v>
      </c>
      <c r="L254" s="55"/>
      <c r="M254" s="55"/>
      <c r="N254" s="55"/>
      <c r="O254" s="55"/>
      <c r="P254" s="55"/>
      <c r="Q254" s="55"/>
      <c r="R254" s="55"/>
      <c r="S254" s="55"/>
      <c r="T254" s="55"/>
      <c r="U254" s="55"/>
      <c r="V254" s="55"/>
      <c r="W254" s="55"/>
      <c r="X254" s="55"/>
      <c r="Y254" s="55"/>
      <c r="Z254" s="55"/>
    </row>
    <row r="255">
      <c r="A255" s="55" t="str">
        <f>IFERROR(__xludf.DUMMYFUNCTION("""COMPUTED_VALUE"""),"Contacted")</f>
        <v>Contacted</v>
      </c>
      <c r="B255" s="55" t="str">
        <f>IFERROR(__xludf.DUMMYFUNCTION("""COMPUTED_VALUE"""),"")</f>
        <v/>
      </c>
      <c r="C255" s="105">
        <f>IFERROR(__xludf.DUMMYFUNCTION("""COMPUTED_VALUE"""),43846.0)</f>
        <v>43846</v>
      </c>
      <c r="D255" s="55" t="str">
        <f>IFERROR(__xludf.DUMMYFUNCTION("""COMPUTED_VALUE"""),"Yes")</f>
        <v>Yes</v>
      </c>
      <c r="E255" s="55" t="str">
        <f>IFERROR(__xludf.DUMMYFUNCTION("""COMPUTED_VALUE"""),"Gene Disease Validity")</f>
        <v>Gene Disease Validity</v>
      </c>
      <c r="F255" s="55" t="str">
        <f>IFERROR(__xludf.DUMMYFUNCTION("""COMPUTED_VALUE"""),"")</f>
        <v/>
      </c>
      <c r="G255" s="55" t="str">
        <f>IFERROR(__xludf.DUMMYFUNCTION("""COMPUTED_VALUE"""),"Julie Kim ")</f>
        <v>Julie Kim </v>
      </c>
      <c r="H255" s="55" t="str">
        <f>IFERROR(__xludf.DUMMYFUNCTION("""COMPUTED_VALUE"""),"serin.kim@nih.gov")</f>
        <v>serin.kim@nih.gov</v>
      </c>
      <c r="I255" s="55" t="str">
        <f>IFERROR(__xludf.DUMMYFUNCTION("""COMPUTED_VALUE"""),"Scientific Program Analyst at NHGRI")</f>
        <v>Scientific Program Analyst at NHGRI</v>
      </c>
      <c r="J255" s="55"/>
      <c r="K255" s="55" t="str">
        <f>IFERROR(__xludf.DUMMYFUNCTION("""COMPUTED_VALUE"""),"Gene-Disease Validity")</f>
        <v>Gene-Disease Validity</v>
      </c>
      <c r="L255" s="55"/>
      <c r="M255" s="55"/>
      <c r="N255" s="55"/>
      <c r="O255" s="55"/>
      <c r="P255" s="55"/>
      <c r="Q255" s="55"/>
      <c r="R255" s="55"/>
      <c r="S255" s="55"/>
      <c r="T255" s="55"/>
      <c r="U255" s="55"/>
      <c r="V255" s="55"/>
      <c r="W255" s="55"/>
      <c r="X255" s="55"/>
      <c r="Y255" s="55"/>
      <c r="Z255" s="55"/>
    </row>
    <row r="256">
      <c r="A256" s="55" t="str">
        <f>IFERROR(__xludf.DUMMYFUNCTION("""COMPUTED_VALUE"""),"Contacted")</f>
        <v>Contacted</v>
      </c>
      <c r="B256" s="94">
        <f>IFERROR(__xludf.DUMMYFUNCTION("""COMPUTED_VALUE"""),43819.0)</f>
        <v>43819</v>
      </c>
      <c r="C256" s="55" t="str">
        <f>IFERROR(__xludf.DUMMYFUNCTION("""COMPUTED_VALUE"""),"")</f>
        <v/>
      </c>
      <c r="D256" s="55" t="str">
        <f>IFERROR(__xludf.DUMMYFUNCTION("""COMPUTED_VALUE"""),"")</f>
        <v/>
      </c>
      <c r="E256" s="55" t="str">
        <f>IFERROR(__xludf.DUMMYFUNCTION("""COMPUTED_VALUE"""),"Variant Pathogenicity")</f>
        <v>Variant Pathogenicity</v>
      </c>
      <c r="F256" s="55" t="str">
        <f>IFERROR(__xludf.DUMMYFUNCTION("""COMPUTED_VALUE"""),"")</f>
        <v/>
      </c>
      <c r="G256" s="55" t="str">
        <f>IFERROR(__xludf.DUMMYFUNCTION("""COMPUTED_VALUE"""),"Jamie Maciaszek")</f>
        <v>Jamie Maciaszek</v>
      </c>
      <c r="H256" s="55" t="str">
        <f>IFERROR(__xludf.DUMMYFUNCTION("""COMPUTED_VALUE"""),"jamie.maciaszek@stjude.org")</f>
        <v>jamie.maciaszek@stjude.org</v>
      </c>
      <c r="I256" s="55" t="str">
        <f>IFERROR(__xludf.DUMMYFUNCTION("""COMPUTED_VALUE"""),"Scientific Researcher")</f>
        <v>Scientific Researcher</v>
      </c>
      <c r="J256" s="55"/>
      <c r="K256" s="55" t="str">
        <f>IFERROR(__xludf.DUMMYFUNCTION("""COMPUTED_VALUE"""),"Variant Pathogenicity")</f>
        <v>Variant Pathogenicity</v>
      </c>
      <c r="L256" s="55"/>
      <c r="M256" s="55"/>
      <c r="N256" s="55"/>
      <c r="O256" s="55"/>
      <c r="P256" s="55"/>
      <c r="Q256" s="55"/>
      <c r="R256" s="55"/>
      <c r="S256" s="55"/>
      <c r="T256" s="55"/>
      <c r="U256" s="55"/>
      <c r="V256" s="55"/>
      <c r="W256" s="55"/>
      <c r="X256" s="55"/>
      <c r="Y256" s="55"/>
      <c r="Z256" s="55"/>
    </row>
    <row r="257">
      <c r="A257" s="55" t="str">
        <f>IFERROR(__xludf.DUMMYFUNCTION("""COMPUTED_VALUE"""),"Contacted")</f>
        <v>Contacted</v>
      </c>
      <c r="B257" s="94">
        <f>IFERROR(__xludf.DUMMYFUNCTION("""COMPUTED_VALUE"""),43819.0)</f>
        <v>43819</v>
      </c>
      <c r="C257" s="55" t="str">
        <f>IFERROR(__xludf.DUMMYFUNCTION("""COMPUTED_VALUE"""),"")</f>
        <v/>
      </c>
      <c r="D257" s="55" t="str">
        <f>IFERROR(__xludf.DUMMYFUNCTION("""COMPUTED_VALUE"""),"")</f>
        <v/>
      </c>
      <c r="E257" s="55" t="str">
        <f>IFERROR(__xludf.DUMMYFUNCTION("""COMPUTED_VALUE"""),"Variant Pathogenicity")</f>
        <v>Variant Pathogenicity</v>
      </c>
      <c r="F257" s="55" t="str">
        <f>IFERROR(__xludf.DUMMYFUNCTION("""COMPUTED_VALUE"""),"")</f>
        <v/>
      </c>
      <c r="G257" s="55" t="str">
        <f>IFERROR(__xludf.DUMMYFUNCTION("""COMPUTED_VALUE"""),"Olivier Bluteau")</f>
        <v>Olivier Bluteau</v>
      </c>
      <c r="H257" s="55" t="str">
        <f>IFERROR(__xludf.DUMMYFUNCTION("""COMPUTED_VALUE"""),"olivier.bluteau@aphp.fr")</f>
        <v>olivier.bluteau@aphp.fr</v>
      </c>
      <c r="I257" s="55" t="str">
        <f>IFERROR(__xludf.DUMMYFUNCTION("""COMPUTED_VALUE"""),"Variant Analyst/Scientist - Academic")</f>
        <v>Variant Analyst/Scientist - Academic</v>
      </c>
      <c r="J257" s="55"/>
      <c r="K257" s="55" t="str">
        <f>IFERROR(__xludf.DUMMYFUNCTION("""COMPUTED_VALUE"""),"Variant Pathogenicity")</f>
        <v>Variant Pathogenicity</v>
      </c>
      <c r="L257" s="55"/>
      <c r="M257" s="55"/>
      <c r="N257" s="55"/>
      <c r="O257" s="55"/>
      <c r="P257" s="55"/>
      <c r="Q257" s="55"/>
      <c r="R257" s="55"/>
      <c r="S257" s="55"/>
      <c r="T257" s="55"/>
      <c r="U257" s="55"/>
      <c r="V257" s="55"/>
      <c r="W257" s="55"/>
      <c r="X257" s="55"/>
      <c r="Y257" s="55"/>
      <c r="Z257" s="55"/>
    </row>
    <row r="258">
      <c r="A258" s="55" t="str">
        <f>IFERROR(__xludf.DUMMYFUNCTION("""COMPUTED_VALUE"""),"Unassigned")</f>
        <v>Unassigned</v>
      </c>
      <c r="B258" s="55" t="str">
        <f>IFERROR(__xludf.DUMMYFUNCTION("""COMPUTED_VALUE"""),"")</f>
        <v/>
      </c>
      <c r="C258" s="55" t="str">
        <f>IFERROR(__xludf.DUMMYFUNCTION("""COMPUTED_VALUE"""),"")</f>
        <v/>
      </c>
      <c r="D258" s="55" t="str">
        <f>IFERROR(__xludf.DUMMYFUNCTION("""COMPUTED_VALUE"""),"")</f>
        <v/>
      </c>
      <c r="E258" s="55" t="str">
        <f>IFERROR(__xludf.DUMMYFUNCTION("""COMPUTED_VALUE"""),"Somatic Cancer")</f>
        <v>Somatic Cancer</v>
      </c>
      <c r="F258" s="55" t="str">
        <f>IFERROR(__xludf.DUMMYFUNCTION("""COMPUTED_VALUE"""),"")</f>
        <v/>
      </c>
      <c r="G258" s="55" t="str">
        <f>IFERROR(__xludf.DUMMYFUNCTION("""COMPUTED_VALUE"""),"Zonggao Shi")</f>
        <v>Zonggao Shi</v>
      </c>
      <c r="H258" s="55" t="str">
        <f>IFERROR(__xludf.DUMMYFUNCTION("""COMPUTED_VALUE"""),"zshi1@stjude.org")</f>
        <v>zshi1@stjude.org</v>
      </c>
      <c r="I258" s="55" t="str">
        <f>IFERROR(__xludf.DUMMYFUNCTION("""COMPUTED_VALUE"""),"Variant Analyst/Scientist - Academic")</f>
        <v>Variant Analyst/Scientist - Academic</v>
      </c>
      <c r="J258" s="55"/>
      <c r="K258" s="55" t="str">
        <f>IFERROR(__xludf.DUMMYFUNCTION("""COMPUTED_VALUE"""),"Somatic Cancer")</f>
        <v>Somatic Cancer</v>
      </c>
      <c r="L258" s="55"/>
      <c r="M258" s="55"/>
      <c r="N258" s="55"/>
      <c r="O258" s="55"/>
      <c r="P258" s="55"/>
      <c r="Q258" s="55"/>
      <c r="R258" s="55"/>
      <c r="S258" s="55"/>
      <c r="T258" s="55"/>
      <c r="U258" s="55"/>
      <c r="V258" s="55"/>
      <c r="W258" s="55"/>
      <c r="X258" s="55"/>
      <c r="Y258" s="55"/>
      <c r="Z258" s="55"/>
    </row>
    <row r="259">
      <c r="A259" s="55" t="str">
        <f>IFERROR(__xludf.DUMMYFUNCTION("""COMPUTED_VALUE"""),"Contacted")</f>
        <v>Contacted</v>
      </c>
      <c r="B259" s="94">
        <f>IFERROR(__xludf.DUMMYFUNCTION("""COMPUTED_VALUE"""),43819.0)</f>
        <v>43819</v>
      </c>
      <c r="C259" s="55" t="str">
        <f>IFERROR(__xludf.DUMMYFUNCTION("""COMPUTED_VALUE"""),"")</f>
        <v/>
      </c>
      <c r="D259" s="55" t="str">
        <f>IFERROR(__xludf.DUMMYFUNCTION("""COMPUTED_VALUE"""),"")</f>
        <v/>
      </c>
      <c r="E259" s="55" t="str">
        <f>IFERROR(__xludf.DUMMYFUNCTION("""COMPUTED_VALUE"""),"Variant Pathogenicity")</f>
        <v>Variant Pathogenicity</v>
      </c>
      <c r="F259" s="55" t="str">
        <f>IFERROR(__xludf.DUMMYFUNCTION("""COMPUTED_VALUE"""),"")</f>
        <v/>
      </c>
      <c r="G259" s="55" t="str">
        <f>IFERROR(__xludf.DUMMYFUNCTION("""COMPUTED_VALUE"""),"Linlin Zhang")</f>
        <v>Linlin Zhang</v>
      </c>
      <c r="H259" s="55" t="str">
        <f>IFERROR(__xludf.DUMMYFUNCTION("""COMPUTED_VALUE"""),"linlinzhang277@gmail.com")</f>
        <v>linlinzhang277@gmail.com</v>
      </c>
      <c r="I259" s="55" t="str">
        <f>IFERROR(__xludf.DUMMYFUNCTION("""COMPUTED_VALUE"""),"Clinical laboratory geneticist")</f>
        <v>Clinical laboratory geneticist</v>
      </c>
      <c r="J259" s="55"/>
      <c r="K259" s="55" t="str">
        <f>IFERROR(__xludf.DUMMYFUNCTION("""COMPUTED_VALUE"""),"Variant Pathogenicity")</f>
        <v>Variant Pathogenicity</v>
      </c>
      <c r="L259" s="55"/>
      <c r="M259" s="55"/>
      <c r="N259" s="55"/>
      <c r="O259" s="55"/>
      <c r="P259" s="55"/>
      <c r="Q259" s="55"/>
      <c r="R259" s="55"/>
      <c r="S259" s="55"/>
      <c r="T259" s="55"/>
      <c r="U259" s="55"/>
      <c r="V259" s="55"/>
      <c r="W259" s="55"/>
      <c r="X259" s="55"/>
      <c r="Y259" s="55"/>
      <c r="Z259" s="55"/>
    </row>
    <row r="260">
      <c r="A260" s="55" t="str">
        <f>IFERROR(__xludf.DUMMYFUNCTION("""COMPUTED_VALUE"""),"Contacted")</f>
        <v>Contacted</v>
      </c>
      <c r="B260" s="94">
        <f>IFERROR(__xludf.DUMMYFUNCTION("""COMPUTED_VALUE"""),43819.0)</f>
        <v>43819</v>
      </c>
      <c r="C260" s="55" t="str">
        <f>IFERROR(__xludf.DUMMYFUNCTION("""COMPUTED_VALUE"""),"")</f>
        <v/>
      </c>
      <c r="D260" s="55" t="str">
        <f>IFERROR(__xludf.DUMMYFUNCTION("""COMPUTED_VALUE"""),"")</f>
        <v/>
      </c>
      <c r="E260" s="55" t="str">
        <f>IFERROR(__xludf.DUMMYFUNCTION("""COMPUTED_VALUE"""),"Variant Pathogenicity")</f>
        <v>Variant Pathogenicity</v>
      </c>
      <c r="F260" s="55" t="str">
        <f>IFERROR(__xludf.DUMMYFUNCTION("""COMPUTED_VALUE"""),"")</f>
        <v/>
      </c>
      <c r="G260" s="55" t="str">
        <f>IFERROR(__xludf.DUMMYFUNCTION("""COMPUTED_VALUE"""),"Marco Montes de Oca")</f>
        <v>Marco Montes de Oca</v>
      </c>
      <c r="H260" s="55" t="str">
        <f>IFERROR(__xludf.DUMMYFUNCTION("""COMPUTED_VALUE"""),"montesm@student.unimelb.edu.au")</f>
        <v>montesm@student.unimelb.edu.au</v>
      </c>
      <c r="I260" s="55" t="str">
        <f>IFERROR(__xludf.DUMMYFUNCTION("""COMPUTED_VALUE"""),"Graduate Student")</f>
        <v>Graduate Student</v>
      </c>
      <c r="J260" s="55"/>
      <c r="K260" s="55" t="str">
        <f>IFERROR(__xludf.DUMMYFUNCTION("""COMPUTED_VALUE"""),"Variant Pathogenicity")</f>
        <v>Variant Pathogenicity</v>
      </c>
      <c r="L260" s="55"/>
      <c r="M260" s="55"/>
      <c r="N260" s="55"/>
      <c r="O260" s="55"/>
      <c r="P260" s="55"/>
      <c r="Q260" s="55"/>
      <c r="R260" s="55"/>
      <c r="S260" s="55"/>
      <c r="T260" s="55"/>
      <c r="U260" s="55"/>
      <c r="V260" s="55"/>
      <c r="W260" s="55"/>
      <c r="X260" s="55"/>
      <c r="Y260" s="55"/>
      <c r="Z260" s="55"/>
    </row>
    <row r="261">
      <c r="A261" s="55" t="str">
        <f>IFERROR(__xludf.DUMMYFUNCTION("""COMPUTED_VALUE"""),"Contacted")</f>
        <v>Contacted</v>
      </c>
      <c r="B261" s="94">
        <f>IFERROR(__xludf.DUMMYFUNCTION("""COMPUTED_VALUE"""),43819.0)</f>
        <v>43819</v>
      </c>
      <c r="C261" s="55" t="str">
        <f>IFERROR(__xludf.DUMMYFUNCTION("""COMPUTED_VALUE"""),"")</f>
        <v/>
      </c>
      <c r="D261" s="55" t="str">
        <f>IFERROR(__xludf.DUMMYFUNCTION("""COMPUTED_VALUE"""),"")</f>
        <v/>
      </c>
      <c r="E261" s="55" t="str">
        <f>IFERROR(__xludf.DUMMYFUNCTION("""COMPUTED_VALUE"""),"Variant Pathogenicity")</f>
        <v>Variant Pathogenicity</v>
      </c>
      <c r="F261" s="55" t="str">
        <f>IFERROR(__xludf.DUMMYFUNCTION("""COMPUTED_VALUE"""),"")</f>
        <v/>
      </c>
      <c r="G261" s="55" t="str">
        <f>IFERROR(__xludf.DUMMYFUNCTION("""COMPUTED_VALUE"""),"Heather Harris")</f>
        <v>Heather Harris</v>
      </c>
      <c r="H261" s="55" t="str">
        <f>IFERROR(__xludf.DUMMYFUNCTION("""COMPUTED_VALUE"""),"heatherkharris1@gmail.com")</f>
        <v>heatherkharris1@gmail.com</v>
      </c>
      <c r="I261" s="55" t="str">
        <f>IFERROR(__xludf.DUMMYFUNCTION("""COMPUTED_VALUE"""),"Genetic counselor")</f>
        <v>Genetic counselor</v>
      </c>
      <c r="J261" s="55"/>
      <c r="K261" s="55" t="str">
        <f>IFERROR(__xludf.DUMMYFUNCTION("""COMPUTED_VALUE"""),"Variant Pathogenicity")</f>
        <v>Variant Pathogenicity</v>
      </c>
      <c r="L261" s="55"/>
      <c r="M261" s="55"/>
      <c r="N261" s="55"/>
      <c r="O261" s="55"/>
      <c r="P261" s="55"/>
      <c r="Q261" s="55"/>
      <c r="R261" s="55"/>
      <c r="S261" s="55"/>
      <c r="T261" s="55"/>
      <c r="U261" s="55"/>
      <c r="V261" s="55"/>
      <c r="W261" s="55"/>
      <c r="X261" s="55"/>
      <c r="Y261" s="55"/>
      <c r="Z261" s="55"/>
    </row>
    <row r="262">
      <c r="A262" s="55" t="str">
        <f>IFERROR(__xludf.DUMMYFUNCTION("""COMPUTED_VALUE"""),"Contacted")</f>
        <v>Contacted</v>
      </c>
      <c r="B262" s="94">
        <f>IFERROR(__xludf.DUMMYFUNCTION("""COMPUTED_VALUE"""),43819.0)</f>
        <v>43819</v>
      </c>
      <c r="C262" s="55" t="str">
        <f>IFERROR(__xludf.DUMMYFUNCTION("""COMPUTED_VALUE"""),"")</f>
        <v/>
      </c>
      <c r="D262" s="55" t="str">
        <f>IFERROR(__xludf.DUMMYFUNCTION("""COMPUTED_VALUE"""),"")</f>
        <v/>
      </c>
      <c r="E262" s="55" t="str">
        <f>IFERROR(__xludf.DUMMYFUNCTION("""COMPUTED_VALUE"""),"Variant Pathogenicity")</f>
        <v>Variant Pathogenicity</v>
      </c>
      <c r="F262" s="55" t="str">
        <f>IFERROR(__xludf.DUMMYFUNCTION("""COMPUTED_VALUE"""),"")</f>
        <v/>
      </c>
      <c r="G262" s="55" t="str">
        <f>IFERROR(__xludf.DUMMYFUNCTION("""COMPUTED_VALUE"""),"Kaitlin Lenhart")</f>
        <v>Kaitlin Lenhart</v>
      </c>
      <c r="H262" s="55" t="str">
        <f>IFERROR(__xludf.DUMMYFUNCTION("""COMPUTED_VALUE"""),"kaitlin.lenhart@slh.wisc.edu")</f>
        <v>kaitlin.lenhart@slh.wisc.edu</v>
      </c>
      <c r="I262" s="55" t="str">
        <f>IFERROR(__xludf.DUMMYFUNCTION("""COMPUTED_VALUE"""),"Clinical laboratory geneticist")</f>
        <v>Clinical laboratory geneticist</v>
      </c>
      <c r="J262" s="55"/>
      <c r="K262" s="55" t="str">
        <f>IFERROR(__xludf.DUMMYFUNCTION("""COMPUTED_VALUE"""),"Variant Pathogenicity")</f>
        <v>Variant Pathogenicity</v>
      </c>
      <c r="L262" s="55"/>
      <c r="M262" s="55"/>
      <c r="N262" s="55"/>
      <c r="O262" s="55"/>
      <c r="P262" s="55"/>
      <c r="Q262" s="55"/>
      <c r="R262" s="55"/>
      <c r="S262" s="55"/>
      <c r="T262" s="55"/>
      <c r="U262" s="55"/>
      <c r="V262" s="55"/>
      <c r="W262" s="55"/>
      <c r="X262" s="55"/>
      <c r="Y262" s="55"/>
      <c r="Z262" s="55"/>
    </row>
    <row r="263">
      <c r="A263" s="55" t="str">
        <f>IFERROR(__xludf.DUMMYFUNCTION("""COMPUTED_VALUE"""),"Contacted")</f>
        <v>Contacted</v>
      </c>
      <c r="B263" s="94">
        <f>IFERROR(__xludf.DUMMYFUNCTION("""COMPUTED_VALUE"""),43819.0)</f>
        <v>43819</v>
      </c>
      <c r="C263" s="55" t="str">
        <f>IFERROR(__xludf.DUMMYFUNCTION("""COMPUTED_VALUE"""),"")</f>
        <v/>
      </c>
      <c r="D263" s="55" t="str">
        <f>IFERROR(__xludf.DUMMYFUNCTION("""COMPUTED_VALUE"""),"")</f>
        <v/>
      </c>
      <c r="E263" s="55" t="str">
        <f>IFERROR(__xludf.DUMMYFUNCTION("""COMPUTED_VALUE"""),"Variant Pathogenicity")</f>
        <v>Variant Pathogenicity</v>
      </c>
      <c r="F263" s="55" t="str">
        <f>IFERROR(__xludf.DUMMYFUNCTION("""COMPUTED_VALUE"""),"")</f>
        <v/>
      </c>
      <c r="G263" s="55" t="str">
        <f>IFERROR(__xludf.DUMMYFUNCTION("""COMPUTED_VALUE"""),"YANYI YAO")</f>
        <v>YANYI YAO</v>
      </c>
      <c r="H263" s="55" t="str">
        <f>IFERROR(__xludf.DUMMYFUNCTION("""COMPUTED_VALUE"""),"yaoyanyi@hotmail.com")</f>
        <v>yaoyanyi@hotmail.com</v>
      </c>
      <c r="I263" s="55" t="str">
        <f>IFERROR(__xludf.DUMMYFUNCTION("""COMPUTED_VALUE"""),"Post Doc/Resident/Fellow (MD and/or PhD)")</f>
        <v>Post Doc/Resident/Fellow (MD and/or PhD)</v>
      </c>
      <c r="J263" s="55"/>
      <c r="K263" s="55" t="str">
        <f>IFERROR(__xludf.DUMMYFUNCTION("""COMPUTED_VALUE"""),"Variant Pathogenicity")</f>
        <v>Variant Pathogenicity</v>
      </c>
      <c r="L263" s="55"/>
      <c r="M263" s="55"/>
      <c r="N263" s="55"/>
      <c r="O263" s="55"/>
      <c r="P263" s="55"/>
      <c r="Q263" s="55"/>
      <c r="R263" s="55"/>
      <c r="S263" s="55"/>
      <c r="T263" s="55"/>
      <c r="U263" s="55"/>
      <c r="V263" s="55"/>
      <c r="W263" s="55"/>
      <c r="X263" s="55"/>
      <c r="Y263" s="55"/>
      <c r="Z263" s="55"/>
    </row>
    <row r="264">
      <c r="A264" s="55" t="str">
        <f>IFERROR(__xludf.DUMMYFUNCTION("""COMPUTED_VALUE"""),"Contacted")</f>
        <v>Contacted</v>
      </c>
      <c r="B264" s="94">
        <f>IFERROR(__xludf.DUMMYFUNCTION("""COMPUTED_VALUE"""),43819.0)</f>
        <v>43819</v>
      </c>
      <c r="C264" s="105">
        <f>IFERROR(__xludf.DUMMYFUNCTION("""COMPUTED_VALUE"""),43846.0)</f>
        <v>43846</v>
      </c>
      <c r="D264" s="55" t="str">
        <f>IFERROR(__xludf.DUMMYFUNCTION("""COMPUTED_VALUE"""),"Yes")</f>
        <v>Yes</v>
      </c>
      <c r="E264" s="55" t="str">
        <f>IFERROR(__xludf.DUMMYFUNCTION("""COMPUTED_VALUE"""),"Gene Disease Validity")</f>
        <v>Gene Disease Validity</v>
      </c>
      <c r="F264" s="55" t="str">
        <f>IFERROR(__xludf.DUMMYFUNCTION("""COMPUTED_VALUE"""),"")</f>
        <v/>
      </c>
      <c r="G264" s="55" t="str">
        <f>IFERROR(__xludf.DUMMYFUNCTION("""COMPUTED_VALUE"""),"Ikeoluwa Osei-Owusu")</f>
        <v>Ikeoluwa Osei-Owusu</v>
      </c>
      <c r="H264" s="55" t="str">
        <f>IFERROR(__xludf.DUMMYFUNCTION("""COMPUTED_VALUE"""),"ikeoluwa@jhmi.edu")</f>
        <v>ikeoluwa@jhmi.edu</v>
      </c>
      <c r="I264" s="55" t="str">
        <f>IFERROR(__xludf.DUMMYFUNCTION("""COMPUTED_VALUE"""),"Graduate Student")</f>
        <v>Graduate Student</v>
      </c>
      <c r="J264" s="55"/>
      <c r="K264" s="55" t="str">
        <f>IFERROR(__xludf.DUMMYFUNCTION("""COMPUTED_VALUE"""),"Gene-Disease Validity")</f>
        <v>Gene-Disease Validity</v>
      </c>
      <c r="L264" s="55"/>
      <c r="M264" s="55"/>
      <c r="N264" s="55"/>
      <c r="O264" s="55"/>
      <c r="P264" s="55"/>
      <c r="Q264" s="55"/>
      <c r="R264" s="55"/>
      <c r="S264" s="55"/>
      <c r="T264" s="55"/>
      <c r="U264" s="55"/>
      <c r="V264" s="55"/>
      <c r="W264" s="55"/>
      <c r="X264" s="55"/>
      <c r="Y264" s="55"/>
      <c r="Z264" s="55"/>
    </row>
    <row r="265">
      <c r="A265" s="55" t="str">
        <f>IFERROR(__xludf.DUMMYFUNCTION("""COMPUTED_VALUE"""),"Contacted")</f>
        <v>Contacted</v>
      </c>
      <c r="B265" s="94">
        <f>IFERROR(__xludf.DUMMYFUNCTION("""COMPUTED_VALUE"""),43819.0)</f>
        <v>43819</v>
      </c>
      <c r="C265" s="55" t="str">
        <f>IFERROR(__xludf.DUMMYFUNCTION("""COMPUTED_VALUE"""),"")</f>
        <v/>
      </c>
      <c r="D265" s="55" t="str">
        <f>IFERROR(__xludf.DUMMYFUNCTION("""COMPUTED_VALUE"""),"")</f>
        <v/>
      </c>
      <c r="E265" s="55" t="str">
        <f>IFERROR(__xludf.DUMMYFUNCTION("""COMPUTED_VALUE"""),"Variant Pathogenicity")</f>
        <v>Variant Pathogenicity</v>
      </c>
      <c r="F265" s="55" t="str">
        <f>IFERROR(__xludf.DUMMYFUNCTION("""COMPUTED_VALUE"""),"")</f>
        <v/>
      </c>
      <c r="G265" s="55" t="str">
        <f>IFERROR(__xludf.DUMMYFUNCTION("""COMPUTED_VALUE"""),"Daniela Martiniuc")</f>
        <v>Daniela Martiniuc</v>
      </c>
      <c r="H265" s="55" t="str">
        <f>IFERROR(__xludf.DUMMYFUNCTION("""COMPUTED_VALUE"""),"dmartiniuc@ucdavis.edu")</f>
        <v>dmartiniuc@ucdavis.edu</v>
      </c>
      <c r="I265" s="55" t="str">
        <f>IFERROR(__xludf.DUMMYFUNCTION("""COMPUTED_VALUE"""),"Genetic counselor")</f>
        <v>Genetic counselor</v>
      </c>
      <c r="J265" s="55"/>
      <c r="K265" s="55" t="str">
        <f>IFERROR(__xludf.DUMMYFUNCTION("""COMPUTED_VALUE"""),"Variant Pathogenicity")</f>
        <v>Variant Pathogenicity</v>
      </c>
      <c r="L265" s="55"/>
      <c r="M265" s="55"/>
      <c r="N265" s="55"/>
      <c r="O265" s="55"/>
      <c r="P265" s="55"/>
      <c r="Q265" s="55"/>
      <c r="R265" s="55"/>
      <c r="S265" s="55"/>
      <c r="T265" s="55"/>
      <c r="U265" s="55"/>
      <c r="V265" s="55"/>
      <c r="W265" s="55"/>
      <c r="X265" s="55"/>
      <c r="Y265" s="55"/>
      <c r="Z265" s="55"/>
    </row>
    <row r="266">
      <c r="A266" s="55" t="str">
        <f>IFERROR(__xludf.DUMMYFUNCTION("""COMPUTED_VALUE"""),"Unassigned")</f>
        <v>Unassigned</v>
      </c>
      <c r="B266" s="55" t="str">
        <f>IFERROR(__xludf.DUMMYFUNCTION("""COMPUTED_VALUE"""),"")</f>
        <v/>
      </c>
      <c r="C266" s="55" t="str">
        <f>IFERROR(__xludf.DUMMYFUNCTION("""COMPUTED_VALUE"""),"")</f>
        <v/>
      </c>
      <c r="D266" s="55" t="str">
        <f>IFERROR(__xludf.DUMMYFUNCTION("""COMPUTED_VALUE"""),"")</f>
        <v/>
      </c>
      <c r="E266" s="55" t="str">
        <f>IFERROR(__xludf.DUMMYFUNCTION("""COMPUTED_VALUE"""),"Somatic Cancer")</f>
        <v>Somatic Cancer</v>
      </c>
      <c r="F266" s="55" t="str">
        <f>IFERROR(__xludf.DUMMYFUNCTION("""COMPUTED_VALUE"""),"")</f>
        <v/>
      </c>
      <c r="G266" s="55" t="str">
        <f>IFERROR(__xludf.DUMMYFUNCTION("""COMPUTED_VALUE"""),"Emilie Lalonde")</f>
        <v>Emilie Lalonde</v>
      </c>
      <c r="H266" s="55" t="str">
        <f>IFERROR(__xludf.DUMMYFUNCTION("""COMPUTED_VALUE"""),"lalondee@email.chop.edu")</f>
        <v>lalondee@email.chop.edu</v>
      </c>
      <c r="I266" s="55" t="str">
        <f>IFERROR(__xludf.DUMMYFUNCTION("""COMPUTED_VALUE"""),"Clinical laboratory geneticist")</f>
        <v>Clinical laboratory geneticist</v>
      </c>
      <c r="J266" s="55"/>
      <c r="K266" s="55" t="str">
        <f>IFERROR(__xludf.DUMMYFUNCTION("""COMPUTED_VALUE"""),"Somatic Cancer")</f>
        <v>Somatic Cancer</v>
      </c>
      <c r="L266" s="55"/>
      <c r="M266" s="55"/>
      <c r="N266" s="55"/>
      <c r="O266" s="55"/>
      <c r="P266" s="55"/>
      <c r="Q266" s="55"/>
      <c r="R266" s="55"/>
      <c r="S266" s="55"/>
      <c r="T266" s="55"/>
      <c r="U266" s="55"/>
      <c r="V266" s="55"/>
      <c r="W266" s="55"/>
      <c r="X266" s="55"/>
      <c r="Y266" s="55"/>
      <c r="Z266" s="55"/>
    </row>
    <row r="267">
      <c r="A267" s="55" t="str">
        <f>IFERROR(__xludf.DUMMYFUNCTION("""COMPUTED_VALUE"""),"Contacted")</f>
        <v>Contacted</v>
      </c>
      <c r="B267" s="94">
        <f>IFERROR(__xludf.DUMMYFUNCTION("""COMPUTED_VALUE"""),43819.0)</f>
        <v>43819</v>
      </c>
      <c r="C267" s="55" t="str">
        <f>IFERROR(__xludf.DUMMYFUNCTION("""COMPUTED_VALUE"""),"")</f>
        <v/>
      </c>
      <c r="D267" s="55" t="str">
        <f>IFERROR(__xludf.DUMMYFUNCTION("""COMPUTED_VALUE"""),"")</f>
        <v/>
      </c>
      <c r="E267" s="55" t="str">
        <f>IFERROR(__xludf.DUMMYFUNCTION("""COMPUTED_VALUE"""),"Variant Pathogenicity")</f>
        <v>Variant Pathogenicity</v>
      </c>
      <c r="F267" s="55" t="str">
        <f>IFERROR(__xludf.DUMMYFUNCTION("""COMPUTED_VALUE"""),"")</f>
        <v/>
      </c>
      <c r="G267" s="55" t="str">
        <f>IFERROR(__xludf.DUMMYFUNCTION("""COMPUTED_VALUE"""),"Elizabeth Ewen")</f>
        <v>Elizabeth Ewen</v>
      </c>
      <c r="H267" s="55" t="str">
        <f>IFERROR(__xludf.DUMMYFUNCTION("""COMPUTED_VALUE"""),"elizabeth.ewen@agilent.com")</f>
        <v>elizabeth.ewen@agilent.com</v>
      </c>
      <c r="I267" s="55" t="str">
        <f>IFERROR(__xludf.DUMMYFUNCTION("""COMPUTED_VALUE"""),"Variant Analyst/Scientist - Industry")</f>
        <v>Variant Analyst/Scientist - Industry</v>
      </c>
      <c r="J267" s="55"/>
      <c r="K267" s="55" t="str">
        <f>IFERROR(__xludf.DUMMYFUNCTION("""COMPUTED_VALUE"""),"Variant Pathogenicity")</f>
        <v>Variant Pathogenicity</v>
      </c>
      <c r="L267" s="55"/>
      <c r="M267" s="55"/>
      <c r="N267" s="55"/>
      <c r="O267" s="55"/>
      <c r="P267" s="55"/>
      <c r="Q267" s="55"/>
      <c r="R267" s="55"/>
      <c r="S267" s="55"/>
      <c r="T267" s="55"/>
      <c r="U267" s="55"/>
      <c r="V267" s="55"/>
      <c r="W267" s="55"/>
      <c r="X267" s="55"/>
      <c r="Y267" s="55"/>
      <c r="Z267" s="55"/>
    </row>
    <row r="268">
      <c r="A268" s="55" t="str">
        <f>IFERROR(__xludf.DUMMYFUNCTION("""COMPUTED_VALUE"""),"Unassigned")</f>
        <v>Unassigned</v>
      </c>
      <c r="B268" s="55" t="str">
        <f>IFERROR(__xludf.DUMMYFUNCTION("""COMPUTED_VALUE"""),"")</f>
        <v/>
      </c>
      <c r="C268" s="55" t="str">
        <f>IFERROR(__xludf.DUMMYFUNCTION("""COMPUTED_VALUE"""),"")</f>
        <v/>
      </c>
      <c r="D268" s="55" t="str">
        <f>IFERROR(__xludf.DUMMYFUNCTION("""COMPUTED_VALUE"""),"")</f>
        <v/>
      </c>
      <c r="E268" s="55" t="str">
        <f>IFERROR(__xludf.DUMMYFUNCTION("""COMPUTED_VALUE"""),"Somatic Cancer")</f>
        <v>Somatic Cancer</v>
      </c>
      <c r="F268" s="55" t="str">
        <f>IFERROR(__xludf.DUMMYFUNCTION("""COMPUTED_VALUE"""),"")</f>
        <v/>
      </c>
      <c r="G268" s="55" t="str">
        <f>IFERROR(__xludf.DUMMYFUNCTION("""COMPUTED_VALUE"""),"KC Vavra")</f>
        <v>KC Vavra</v>
      </c>
      <c r="H268" s="55" t="str">
        <f>IFERROR(__xludf.DUMMYFUNCTION("""COMPUTED_VALUE"""),"kc.vavra@agilent.com")</f>
        <v>kc.vavra@agilent.com</v>
      </c>
      <c r="I268" s="55" t="str">
        <f>IFERROR(__xludf.DUMMYFUNCTION("""COMPUTED_VALUE"""),"Citizen Scientist/Patient Advocate")</f>
        <v>Citizen Scientist/Patient Advocate</v>
      </c>
      <c r="J268" s="55"/>
      <c r="K268" s="55" t="str">
        <f>IFERROR(__xludf.DUMMYFUNCTION("""COMPUTED_VALUE"""),"Somatic Cancer")</f>
        <v>Somatic Cancer</v>
      </c>
      <c r="L268" s="55"/>
      <c r="M268" s="55"/>
      <c r="N268" s="55"/>
      <c r="O268" s="55"/>
      <c r="P268" s="55"/>
      <c r="Q268" s="55"/>
      <c r="R268" s="55"/>
      <c r="S268" s="55"/>
      <c r="T268" s="55"/>
      <c r="U268" s="55"/>
      <c r="V268" s="55"/>
      <c r="W268" s="55"/>
      <c r="X268" s="55"/>
      <c r="Y268" s="55"/>
      <c r="Z268" s="55"/>
    </row>
    <row r="269">
      <c r="A269" s="55" t="str">
        <f>IFERROR(__xludf.DUMMYFUNCTION("""COMPUTED_VALUE"""),"Contacted")</f>
        <v>Contacted</v>
      </c>
      <c r="B269" s="94">
        <f>IFERROR(__xludf.DUMMYFUNCTION("""COMPUTED_VALUE"""),43819.0)</f>
        <v>43819</v>
      </c>
      <c r="C269" s="105">
        <f>IFERROR(__xludf.DUMMYFUNCTION("""COMPUTED_VALUE"""),43846.0)</f>
        <v>43846</v>
      </c>
      <c r="D269" s="55" t="str">
        <f>IFERROR(__xludf.DUMMYFUNCTION("""COMPUTED_VALUE"""),"Yes")</f>
        <v>Yes</v>
      </c>
      <c r="E269" s="55" t="str">
        <f>IFERROR(__xludf.DUMMYFUNCTION("""COMPUTED_VALUE"""),"Gene Disease Validity")</f>
        <v>Gene Disease Validity</v>
      </c>
      <c r="F269" s="55" t="str">
        <f>IFERROR(__xludf.DUMMYFUNCTION("""COMPUTED_VALUE"""),"")</f>
        <v/>
      </c>
      <c r="G269" s="55" t="str">
        <f>IFERROR(__xludf.DUMMYFUNCTION("""COMPUTED_VALUE"""),"Beth Stronach")</f>
        <v>Beth Stronach</v>
      </c>
      <c r="H269" s="55" t="str">
        <f>IFERROR(__xludf.DUMMYFUNCTION("""COMPUTED_VALUE"""),"stronach@pitt.edu")</f>
        <v>stronach@pitt.edu</v>
      </c>
      <c r="I269" s="55" t="str">
        <f>IFERROR(__xludf.DUMMYFUNCTION("""COMPUTED_VALUE"""),"Scientific Researcher")</f>
        <v>Scientific Researcher</v>
      </c>
      <c r="J269" s="55"/>
      <c r="K269" s="55" t="str">
        <f>IFERROR(__xludf.DUMMYFUNCTION("""COMPUTED_VALUE"""),"Gene-Disease Validity")</f>
        <v>Gene-Disease Validity</v>
      </c>
      <c r="L269" s="55"/>
      <c r="M269" s="55"/>
      <c r="N269" s="55"/>
      <c r="O269" s="55"/>
      <c r="P269" s="55"/>
      <c r="Q269" s="55"/>
      <c r="R269" s="55"/>
      <c r="S269" s="55"/>
      <c r="T269" s="55"/>
      <c r="U269" s="55"/>
      <c r="V269" s="55"/>
      <c r="W269" s="55"/>
      <c r="X269" s="55"/>
      <c r="Y269" s="55"/>
      <c r="Z269" s="55"/>
    </row>
    <row r="270">
      <c r="A270" s="55" t="str">
        <f>IFERROR(__xludf.DUMMYFUNCTION("""COMPUTED_VALUE"""),"Unassigned")</f>
        <v>Unassigned</v>
      </c>
      <c r="B270" s="55" t="str">
        <f>IFERROR(__xludf.DUMMYFUNCTION("""COMPUTED_VALUE"""),"")</f>
        <v/>
      </c>
      <c r="C270" s="55" t="str">
        <f>IFERROR(__xludf.DUMMYFUNCTION("""COMPUTED_VALUE"""),"")</f>
        <v/>
      </c>
      <c r="D270" s="55" t="str">
        <f>IFERROR(__xludf.DUMMYFUNCTION("""COMPUTED_VALUE"""),"")</f>
        <v/>
      </c>
      <c r="E270" s="55" t="str">
        <f>IFERROR(__xludf.DUMMYFUNCTION("""COMPUTED_VALUE"""),"Somatic Cancer")</f>
        <v>Somatic Cancer</v>
      </c>
      <c r="F270" s="55" t="str">
        <f>IFERROR(__xludf.DUMMYFUNCTION("""COMPUTED_VALUE"""),"")</f>
        <v/>
      </c>
      <c r="G270" s="55" t="str">
        <f>IFERROR(__xludf.DUMMYFUNCTION("""COMPUTED_VALUE"""),"Eileen Chen")</f>
        <v>Eileen Chen</v>
      </c>
      <c r="H270" s="55" t="str">
        <f>IFERROR(__xludf.DUMMYFUNCTION("""COMPUTED_VALUE"""),"eileen.chen.x.q@sgh.com.sg")</f>
        <v>eileen.chen.x.q@sgh.com.sg</v>
      </c>
      <c r="I270" s="55" t="str">
        <f>IFERROR(__xludf.DUMMYFUNCTION("""COMPUTED_VALUE"""),"Variant Analyst/Scientist - Academic")</f>
        <v>Variant Analyst/Scientist - Academic</v>
      </c>
      <c r="J270" s="55"/>
      <c r="K270" s="55" t="str">
        <f>IFERROR(__xludf.DUMMYFUNCTION("""COMPUTED_VALUE"""),"Somatic Cancer")</f>
        <v>Somatic Cancer</v>
      </c>
      <c r="L270" s="55"/>
      <c r="M270" s="55"/>
      <c r="N270" s="55"/>
      <c r="O270" s="55"/>
      <c r="P270" s="55"/>
      <c r="Q270" s="55"/>
      <c r="R270" s="55"/>
      <c r="S270" s="55"/>
      <c r="T270" s="55"/>
      <c r="U270" s="55"/>
      <c r="V270" s="55"/>
      <c r="W270" s="55"/>
      <c r="X270" s="55"/>
      <c r="Y270" s="55"/>
      <c r="Z270" s="55"/>
    </row>
    <row r="271">
      <c r="A271" s="55" t="str">
        <f>IFERROR(__xludf.DUMMYFUNCTION("""COMPUTED_VALUE"""),"Contacted")</f>
        <v>Contacted</v>
      </c>
      <c r="B271" s="94">
        <f>IFERROR(__xludf.DUMMYFUNCTION("""COMPUTED_VALUE"""),43819.0)</f>
        <v>43819</v>
      </c>
      <c r="C271" s="55" t="str">
        <f>IFERROR(__xludf.DUMMYFUNCTION("""COMPUTED_VALUE"""),"")</f>
        <v/>
      </c>
      <c r="D271" s="55" t="str">
        <f>IFERROR(__xludf.DUMMYFUNCTION("""COMPUTED_VALUE"""),"")</f>
        <v/>
      </c>
      <c r="E271" s="55" t="str">
        <f>IFERROR(__xludf.DUMMYFUNCTION("""COMPUTED_VALUE"""),"Variant Pathogenicity")</f>
        <v>Variant Pathogenicity</v>
      </c>
      <c r="F271" s="55" t="str">
        <f>IFERROR(__xludf.DUMMYFUNCTION("""COMPUTED_VALUE"""),"")</f>
        <v/>
      </c>
      <c r="G271" s="55" t="str">
        <f>IFERROR(__xludf.DUMMYFUNCTION("""COMPUTED_VALUE"""),"Jennifer Sloan")</f>
        <v>Jennifer Sloan</v>
      </c>
      <c r="H271" s="55" t="str">
        <f>IFERROR(__xludf.DUMMYFUNCTION("""COMPUTED_VALUE"""),"jsloan@mail.nih.gov")</f>
        <v>jsloan@mail.nih.gov</v>
      </c>
      <c r="I271" s="55" t="str">
        <f>IFERROR(__xludf.DUMMYFUNCTION("""COMPUTED_VALUE"""),"Genetic counselor")</f>
        <v>Genetic counselor</v>
      </c>
      <c r="J271" s="55"/>
      <c r="K271" s="55" t="str">
        <f>IFERROR(__xludf.DUMMYFUNCTION("""COMPUTED_VALUE"""),"Variant Pathogenicity")</f>
        <v>Variant Pathogenicity</v>
      </c>
      <c r="L271" s="55"/>
      <c r="M271" s="55"/>
      <c r="N271" s="55"/>
      <c r="O271" s="55"/>
      <c r="P271" s="55"/>
      <c r="Q271" s="55"/>
      <c r="R271" s="55"/>
      <c r="S271" s="55"/>
      <c r="T271" s="55"/>
      <c r="U271" s="55"/>
      <c r="V271" s="55"/>
      <c r="W271" s="55"/>
      <c r="X271" s="55"/>
      <c r="Y271" s="55"/>
      <c r="Z271" s="55"/>
    </row>
    <row r="272">
      <c r="A272" s="55" t="str">
        <f>IFERROR(__xludf.DUMMYFUNCTION("""COMPUTED_VALUE"""),"Contacted")</f>
        <v>Contacted</v>
      </c>
      <c r="B272" s="94">
        <f>IFERROR(__xludf.DUMMYFUNCTION("""COMPUTED_VALUE"""),43819.0)</f>
        <v>43819</v>
      </c>
      <c r="C272" s="55" t="str">
        <f>IFERROR(__xludf.DUMMYFUNCTION("""COMPUTED_VALUE"""),"")</f>
        <v/>
      </c>
      <c r="D272" s="55" t="str">
        <f>IFERROR(__xludf.DUMMYFUNCTION("""COMPUTED_VALUE"""),"")</f>
        <v/>
      </c>
      <c r="E272" s="55" t="str">
        <f>IFERROR(__xludf.DUMMYFUNCTION("""COMPUTED_VALUE"""),"Gene Disease Validity")</f>
        <v>Gene Disease Validity</v>
      </c>
      <c r="F272" s="55" t="str">
        <f>IFERROR(__xludf.DUMMYFUNCTION("""COMPUTED_VALUE"""),"")</f>
        <v/>
      </c>
      <c r="G272" s="55" t="str">
        <f>IFERROR(__xludf.DUMMYFUNCTION("""COMPUTED_VALUE"""),"Vasiliki Rahimzadeh")</f>
        <v>Vasiliki Rahimzadeh</v>
      </c>
      <c r="H272" s="55" t="str">
        <f>IFERROR(__xludf.DUMMYFUNCTION("""COMPUTED_VALUE"""),"vrahim@stanford.edu")</f>
        <v>vrahim@stanford.edu</v>
      </c>
      <c r="I272" s="55" t="str">
        <f>IFERROR(__xludf.DUMMYFUNCTION("""COMPUTED_VALUE"""),"Postdoctoral fellow ")</f>
        <v>Postdoctoral fellow </v>
      </c>
      <c r="J272" s="55"/>
      <c r="K272" s="55" t="str">
        <f>IFERROR(__xludf.DUMMYFUNCTION("""COMPUTED_VALUE"""),"Gene-Disease Validity")</f>
        <v>Gene-Disease Validity</v>
      </c>
      <c r="L272" s="55"/>
      <c r="M272" s="55"/>
      <c r="N272" s="55"/>
      <c r="O272" s="55"/>
      <c r="P272" s="55"/>
      <c r="Q272" s="55"/>
      <c r="R272" s="55"/>
      <c r="S272" s="55"/>
      <c r="T272" s="55"/>
      <c r="U272" s="55"/>
      <c r="V272" s="55"/>
      <c r="W272" s="55"/>
      <c r="X272" s="55"/>
      <c r="Y272" s="55"/>
      <c r="Z272" s="55"/>
    </row>
    <row r="273">
      <c r="A273" s="55" t="str">
        <f>IFERROR(__xludf.DUMMYFUNCTION("""COMPUTED_VALUE"""),"Contacted")</f>
        <v>Contacted</v>
      </c>
      <c r="B273" s="94">
        <f>IFERROR(__xludf.DUMMYFUNCTION("""COMPUTED_VALUE"""),43819.0)</f>
        <v>43819</v>
      </c>
      <c r="C273" s="55" t="str">
        <f>IFERROR(__xludf.DUMMYFUNCTION("""COMPUTED_VALUE"""),"")</f>
        <v/>
      </c>
      <c r="D273" s="55" t="str">
        <f>IFERROR(__xludf.DUMMYFUNCTION("""COMPUTED_VALUE"""),"")</f>
        <v/>
      </c>
      <c r="E273" s="55" t="str">
        <f>IFERROR(__xludf.DUMMYFUNCTION("""COMPUTED_VALUE"""),"Variant Pathogenicity")</f>
        <v>Variant Pathogenicity</v>
      </c>
      <c r="F273" s="55" t="str">
        <f>IFERROR(__xludf.DUMMYFUNCTION("""COMPUTED_VALUE"""),"")</f>
        <v/>
      </c>
      <c r="G273" s="55" t="str">
        <f>IFERROR(__xludf.DUMMYFUNCTION("""COMPUTED_VALUE"""),"Guadalupe Carvajal")</f>
        <v>Guadalupe Carvajal</v>
      </c>
      <c r="H273" s="55" t="str">
        <f>IFERROR(__xludf.DUMMYFUNCTION("""COMPUTED_VALUE"""),"gcarvajal18@students.kgi.edu")</f>
        <v>gcarvajal18@students.kgi.edu</v>
      </c>
      <c r="I273" s="55" t="str">
        <f>IFERROR(__xludf.DUMMYFUNCTION("""COMPUTED_VALUE"""),"Genetic counselor")</f>
        <v>Genetic counselor</v>
      </c>
      <c r="J273" s="55"/>
      <c r="K273" s="55" t="str">
        <f>IFERROR(__xludf.DUMMYFUNCTION("""COMPUTED_VALUE"""),"Variant Pathogenicity")</f>
        <v>Variant Pathogenicity</v>
      </c>
      <c r="L273" s="55"/>
      <c r="M273" s="55"/>
      <c r="N273" s="55"/>
      <c r="O273" s="55"/>
      <c r="P273" s="55"/>
      <c r="Q273" s="55"/>
      <c r="R273" s="55"/>
      <c r="S273" s="55"/>
      <c r="T273" s="55"/>
      <c r="U273" s="55"/>
      <c r="V273" s="55"/>
      <c r="W273" s="55"/>
      <c r="X273" s="55"/>
      <c r="Y273" s="55"/>
      <c r="Z273" s="55"/>
    </row>
    <row r="274">
      <c r="A274" s="55" t="str">
        <f>IFERROR(__xludf.DUMMYFUNCTION("""COMPUTED_VALUE"""),"Contacted")</f>
        <v>Contacted</v>
      </c>
      <c r="B274" s="94">
        <f>IFERROR(__xludf.DUMMYFUNCTION("""COMPUTED_VALUE"""),43819.0)</f>
        <v>43819</v>
      </c>
      <c r="C274" s="55" t="str">
        <f>IFERROR(__xludf.DUMMYFUNCTION("""COMPUTED_VALUE"""),"")</f>
        <v/>
      </c>
      <c r="D274" s="55" t="str">
        <f>IFERROR(__xludf.DUMMYFUNCTION("""COMPUTED_VALUE"""),"")</f>
        <v/>
      </c>
      <c r="E274" s="55" t="str">
        <f>IFERROR(__xludf.DUMMYFUNCTION("""COMPUTED_VALUE"""),"Variant Pathogenicity")</f>
        <v>Variant Pathogenicity</v>
      </c>
      <c r="F274" s="55" t="str">
        <f>IFERROR(__xludf.DUMMYFUNCTION("""COMPUTED_VALUE"""),"")</f>
        <v/>
      </c>
      <c r="G274" s="55" t="str">
        <f>IFERROR(__xludf.DUMMYFUNCTION("""COMPUTED_VALUE"""),"Liang Guo")</f>
        <v>Liang Guo</v>
      </c>
      <c r="H274" s="55" t="str">
        <f>IFERROR(__xludf.DUMMYFUNCTION("""COMPUTED_VALUE"""),"lguo@cvpath.org")</f>
        <v>lguo@cvpath.org</v>
      </c>
      <c r="I274" s="55" t="str">
        <f>IFERROR(__xludf.DUMMYFUNCTION("""COMPUTED_VALUE"""),"Scientific Researcher")</f>
        <v>Scientific Researcher</v>
      </c>
      <c r="J274" s="55"/>
      <c r="K274" s="55" t="str">
        <f>IFERROR(__xludf.DUMMYFUNCTION("""COMPUTED_VALUE"""),"Variant Pathogenicity")</f>
        <v>Variant Pathogenicity</v>
      </c>
      <c r="L274" s="55"/>
      <c r="M274" s="55"/>
      <c r="N274" s="55"/>
      <c r="O274" s="55"/>
      <c r="P274" s="55"/>
      <c r="Q274" s="55"/>
      <c r="R274" s="55"/>
      <c r="S274" s="55"/>
      <c r="T274" s="55"/>
      <c r="U274" s="55"/>
      <c r="V274" s="55"/>
      <c r="W274" s="55"/>
      <c r="X274" s="55"/>
      <c r="Y274" s="55"/>
      <c r="Z274" s="55"/>
    </row>
    <row r="275">
      <c r="A275" s="55" t="str">
        <f>IFERROR(__xludf.DUMMYFUNCTION("""COMPUTED_VALUE"""),"Contacted")</f>
        <v>Contacted</v>
      </c>
      <c r="B275" s="94">
        <f>IFERROR(__xludf.DUMMYFUNCTION("""COMPUTED_VALUE"""),43819.0)</f>
        <v>43819</v>
      </c>
      <c r="C275" s="55" t="str">
        <f>IFERROR(__xludf.DUMMYFUNCTION("""COMPUTED_VALUE"""),"")</f>
        <v/>
      </c>
      <c r="D275" s="55" t="str">
        <f>IFERROR(__xludf.DUMMYFUNCTION("""COMPUTED_VALUE"""),"")</f>
        <v/>
      </c>
      <c r="E275" s="55" t="str">
        <f>IFERROR(__xludf.DUMMYFUNCTION("""COMPUTED_VALUE"""),"Gene Disease Validity")</f>
        <v>Gene Disease Validity</v>
      </c>
      <c r="F275" s="55" t="str">
        <f>IFERROR(__xludf.DUMMYFUNCTION("""COMPUTED_VALUE"""),"")</f>
        <v/>
      </c>
      <c r="G275" s="55" t="str">
        <f>IFERROR(__xludf.DUMMYFUNCTION("""COMPUTED_VALUE"""),"Sha Tang")</f>
        <v>Sha Tang</v>
      </c>
      <c r="H275" s="55" t="str">
        <f>IFERROR(__xludf.DUMMYFUNCTION("""COMPUTED_VALUE"""),"stang@wuxinextcode.cm")</f>
        <v>stang@wuxinextcode.cm</v>
      </c>
      <c r="I275" s="55" t="str">
        <f>IFERROR(__xludf.DUMMYFUNCTION("""COMPUTED_VALUE"""),"Clinical laboratory geneticist")</f>
        <v>Clinical laboratory geneticist</v>
      </c>
      <c r="J275" s="55"/>
      <c r="K275" s="55" t="str">
        <f>IFERROR(__xludf.DUMMYFUNCTION("""COMPUTED_VALUE"""),"Gene-Disease Validity")</f>
        <v>Gene-Disease Validity</v>
      </c>
      <c r="L275" s="55"/>
      <c r="M275" s="55"/>
      <c r="N275" s="55"/>
      <c r="O275" s="55"/>
      <c r="P275" s="55"/>
      <c r="Q275" s="55"/>
      <c r="R275" s="55"/>
      <c r="S275" s="55"/>
      <c r="T275" s="55"/>
      <c r="U275" s="55"/>
      <c r="V275" s="55"/>
      <c r="W275" s="55"/>
      <c r="X275" s="55"/>
      <c r="Y275" s="55"/>
      <c r="Z275" s="55"/>
    </row>
    <row r="276">
      <c r="A276" s="55" t="str">
        <f>IFERROR(__xludf.DUMMYFUNCTION("""COMPUTED_VALUE"""),"Contacted")</f>
        <v>Contacted</v>
      </c>
      <c r="B276" s="94">
        <f>IFERROR(__xludf.DUMMYFUNCTION("""COMPUTED_VALUE"""),43819.0)</f>
        <v>43819</v>
      </c>
      <c r="C276" s="55" t="str">
        <f>IFERROR(__xludf.DUMMYFUNCTION("""COMPUTED_VALUE"""),"")</f>
        <v/>
      </c>
      <c r="D276" s="55" t="str">
        <f>IFERROR(__xludf.DUMMYFUNCTION("""COMPUTED_VALUE"""),"")</f>
        <v/>
      </c>
      <c r="E276" s="55" t="str">
        <f>IFERROR(__xludf.DUMMYFUNCTION("""COMPUTED_VALUE"""),"Gene Disease Validity")</f>
        <v>Gene Disease Validity</v>
      </c>
      <c r="F276" s="55" t="str">
        <f>IFERROR(__xludf.DUMMYFUNCTION("""COMPUTED_VALUE"""),"")</f>
        <v/>
      </c>
      <c r="G276" s="55" t="str">
        <f>IFERROR(__xludf.DUMMYFUNCTION("""COMPUTED_VALUE"""),"Steve Waring")</f>
        <v>Steve Waring</v>
      </c>
      <c r="H276" s="55" t="str">
        <f>IFERROR(__xludf.DUMMYFUNCTION("""COMPUTED_VALUE"""),"stephen.waring@essentiahealth.org")</f>
        <v>stephen.waring@essentiahealth.org</v>
      </c>
      <c r="I276" s="55" t="str">
        <f>IFERROR(__xludf.DUMMYFUNCTION("""COMPUTED_VALUE"""),"Scientific Researcher")</f>
        <v>Scientific Researcher</v>
      </c>
      <c r="J276" s="55"/>
      <c r="K276" s="55" t="str">
        <f>IFERROR(__xludf.DUMMYFUNCTION("""COMPUTED_VALUE"""),"Gene-Disease Validity")</f>
        <v>Gene-Disease Validity</v>
      </c>
      <c r="L276" s="55"/>
      <c r="M276" s="55"/>
      <c r="N276" s="55"/>
      <c r="O276" s="55"/>
      <c r="P276" s="55"/>
      <c r="Q276" s="55"/>
      <c r="R276" s="55"/>
      <c r="S276" s="55"/>
      <c r="T276" s="55"/>
      <c r="U276" s="55"/>
      <c r="V276" s="55"/>
      <c r="W276" s="55"/>
      <c r="X276" s="55"/>
      <c r="Y276" s="55"/>
      <c r="Z276" s="55"/>
    </row>
    <row r="277">
      <c r="A277" s="55" t="str">
        <f>IFERROR(__xludf.DUMMYFUNCTION("""COMPUTED_VALUE"""),"Contacted")</f>
        <v>Contacted</v>
      </c>
      <c r="B277" s="94">
        <f>IFERROR(__xludf.DUMMYFUNCTION("""COMPUTED_VALUE"""),43819.0)</f>
        <v>43819</v>
      </c>
      <c r="C277" s="55" t="str">
        <f>IFERROR(__xludf.DUMMYFUNCTION("""COMPUTED_VALUE"""),"")</f>
        <v/>
      </c>
      <c r="D277" s="55" t="str">
        <f>IFERROR(__xludf.DUMMYFUNCTION("""COMPUTED_VALUE"""),"")</f>
        <v/>
      </c>
      <c r="E277" s="55" t="str">
        <f>IFERROR(__xludf.DUMMYFUNCTION("""COMPUTED_VALUE"""),"Variant Pathogenicity")</f>
        <v>Variant Pathogenicity</v>
      </c>
      <c r="F277" s="55" t="str">
        <f>IFERROR(__xludf.DUMMYFUNCTION("""COMPUTED_VALUE"""),"")</f>
        <v/>
      </c>
      <c r="G277" s="55" t="str">
        <f>IFERROR(__xludf.DUMMYFUNCTION("""COMPUTED_VALUE"""),"Abul Kalam Azad")</f>
        <v>Abul Kalam Azad</v>
      </c>
      <c r="H277" s="55" t="str">
        <f>IFERROR(__xludf.DUMMYFUNCTION("""COMPUTED_VALUE"""),"azadak@gmail.com")</f>
        <v>azadak@gmail.com</v>
      </c>
      <c r="I277" s="55" t="str">
        <f>IFERROR(__xludf.DUMMYFUNCTION("""COMPUTED_VALUE"""),"Post Doc/Resident/Fellow (MD and/or PhD)")</f>
        <v>Post Doc/Resident/Fellow (MD and/or PhD)</v>
      </c>
      <c r="J277" s="55"/>
      <c r="K277" s="55" t="str">
        <f>IFERROR(__xludf.DUMMYFUNCTION("""COMPUTED_VALUE"""),"Variant Pathogenicity")</f>
        <v>Variant Pathogenicity</v>
      </c>
      <c r="L277" s="55"/>
      <c r="M277" s="55"/>
      <c r="N277" s="55"/>
      <c r="O277" s="55"/>
      <c r="P277" s="55"/>
      <c r="Q277" s="55"/>
      <c r="R277" s="55"/>
      <c r="S277" s="55"/>
      <c r="T277" s="55"/>
      <c r="U277" s="55"/>
      <c r="V277" s="55"/>
      <c r="W277" s="55"/>
      <c r="X277" s="55"/>
      <c r="Y277" s="55"/>
      <c r="Z277" s="55"/>
    </row>
    <row r="278">
      <c r="A278" s="55" t="str">
        <f>IFERROR(__xludf.DUMMYFUNCTION("""COMPUTED_VALUE"""),"Unassigned")</f>
        <v>Unassigned</v>
      </c>
      <c r="B278" s="55" t="str">
        <f>IFERROR(__xludf.DUMMYFUNCTION("""COMPUTED_VALUE"""),"")</f>
        <v/>
      </c>
      <c r="C278" s="55" t="str">
        <f>IFERROR(__xludf.DUMMYFUNCTION("""COMPUTED_VALUE"""),"")</f>
        <v/>
      </c>
      <c r="D278" s="55" t="str">
        <f>IFERROR(__xludf.DUMMYFUNCTION("""COMPUTED_VALUE"""),"")</f>
        <v/>
      </c>
      <c r="E278" s="55" t="str">
        <f>IFERROR(__xludf.DUMMYFUNCTION("""COMPUTED_VALUE"""),"Somatic Cancer")</f>
        <v>Somatic Cancer</v>
      </c>
      <c r="F278" s="55" t="str">
        <f>IFERROR(__xludf.DUMMYFUNCTION("""COMPUTED_VALUE"""),"")</f>
        <v/>
      </c>
      <c r="G278" s="55" t="str">
        <f>IFERROR(__xludf.DUMMYFUNCTION("""COMPUTED_VALUE"""),"Qing Zhang")</f>
        <v>Qing Zhang</v>
      </c>
      <c r="H278" s="55" t="str">
        <f>IFERROR(__xludf.DUMMYFUNCTION("""COMPUTED_VALUE"""),"qz1seattle@yahoo.com")</f>
        <v>qz1seattle@yahoo.com</v>
      </c>
      <c r="I278" s="55" t="str">
        <f>IFERROR(__xludf.DUMMYFUNCTION("""COMPUTED_VALUE"""),"Scientific Researcher")</f>
        <v>Scientific Researcher</v>
      </c>
      <c r="J278" s="55"/>
      <c r="K278" s="55" t="str">
        <f>IFERROR(__xludf.DUMMYFUNCTION("""COMPUTED_VALUE"""),"Somatic Cancer")</f>
        <v>Somatic Cancer</v>
      </c>
      <c r="L278" s="55"/>
      <c r="M278" s="55"/>
      <c r="N278" s="55"/>
      <c r="O278" s="55"/>
      <c r="P278" s="55"/>
      <c r="Q278" s="55"/>
      <c r="R278" s="55"/>
      <c r="S278" s="55"/>
      <c r="T278" s="55"/>
      <c r="U278" s="55"/>
      <c r="V278" s="55"/>
      <c r="W278" s="55"/>
      <c r="X278" s="55"/>
      <c r="Y278" s="55"/>
      <c r="Z278" s="55"/>
    </row>
    <row r="279">
      <c r="A279" s="55" t="str">
        <f>IFERROR(__xludf.DUMMYFUNCTION("""COMPUTED_VALUE"""),"Unassigned")</f>
        <v>Unassigned</v>
      </c>
      <c r="B279" s="55" t="str">
        <f>IFERROR(__xludf.DUMMYFUNCTION("""COMPUTED_VALUE"""),"")</f>
        <v/>
      </c>
      <c r="C279" s="55" t="str">
        <f>IFERROR(__xludf.DUMMYFUNCTION("""COMPUTED_VALUE"""),"")</f>
        <v/>
      </c>
      <c r="D279" s="55" t="str">
        <f>IFERROR(__xludf.DUMMYFUNCTION("""COMPUTED_VALUE"""),"")</f>
        <v/>
      </c>
      <c r="E279" s="55" t="str">
        <f>IFERROR(__xludf.DUMMYFUNCTION("""COMPUTED_VALUE"""),"NA")</f>
        <v>NA</v>
      </c>
      <c r="F279" s="55" t="str">
        <f>IFERROR(__xludf.DUMMYFUNCTION("""COMPUTED_VALUE"""),"")</f>
        <v/>
      </c>
      <c r="G279" s="55" t="str">
        <f>IFERROR(__xludf.DUMMYFUNCTION("""COMPUTED_VALUE"""),"Cassandra Barrett")</f>
        <v>Cassandra Barrett</v>
      </c>
      <c r="H279" s="55" t="str">
        <f>IFERROR(__xludf.DUMMYFUNCTION("""COMPUTED_VALUE"""),"cas9bar@gmail.com")</f>
        <v>cas9bar@gmail.com</v>
      </c>
      <c r="I279" s="55" t="str">
        <f>IFERROR(__xludf.DUMMYFUNCTION("""COMPUTED_VALUE"""),"PhD in genetic engineering; currently in a genetic counseling graduate program")</f>
        <v>PhD in genetic engineering; currently in a genetic counseling graduate program</v>
      </c>
      <c r="J279" s="55"/>
      <c r="K279" s="55" t="str">
        <f>IFERROR(__xludf.DUMMYFUNCTION("""COMPUTED_VALUE"""),"Dosage Sensitivity")</f>
        <v>Dosage Sensitivity</v>
      </c>
      <c r="L279" s="55"/>
      <c r="M279" s="55"/>
      <c r="N279" s="55"/>
      <c r="O279" s="55"/>
      <c r="P279" s="55"/>
      <c r="Q279" s="55"/>
      <c r="R279" s="55"/>
      <c r="S279" s="55"/>
      <c r="T279" s="55"/>
      <c r="U279" s="55"/>
      <c r="V279" s="55"/>
      <c r="W279" s="55"/>
      <c r="X279" s="55"/>
      <c r="Y279" s="55"/>
      <c r="Z279" s="55"/>
    </row>
    <row r="280">
      <c r="A280" s="55" t="str">
        <f>IFERROR(__xludf.DUMMYFUNCTION("""COMPUTED_VALUE"""),"Contacted")</f>
        <v>Contacted</v>
      </c>
      <c r="B280" s="94">
        <f>IFERROR(__xludf.DUMMYFUNCTION("""COMPUTED_VALUE"""),43819.0)</f>
        <v>43819</v>
      </c>
      <c r="C280" s="55" t="str">
        <f>IFERROR(__xludf.DUMMYFUNCTION("""COMPUTED_VALUE"""),"")</f>
        <v/>
      </c>
      <c r="D280" s="55" t="str">
        <f>IFERROR(__xludf.DUMMYFUNCTION("""COMPUTED_VALUE"""),"")</f>
        <v/>
      </c>
      <c r="E280" s="55" t="str">
        <f>IFERROR(__xludf.DUMMYFUNCTION("""COMPUTED_VALUE"""),"Variant Pathogenicity")</f>
        <v>Variant Pathogenicity</v>
      </c>
      <c r="F280" s="55" t="str">
        <f>IFERROR(__xludf.DUMMYFUNCTION("""COMPUTED_VALUE"""),"")</f>
        <v/>
      </c>
      <c r="G280" s="55" t="str">
        <f>IFERROR(__xludf.DUMMYFUNCTION("""COMPUTED_VALUE"""),"Celeste Bento")</f>
        <v>Celeste Bento</v>
      </c>
      <c r="H280" s="55" t="str">
        <f>IFERROR(__xludf.DUMMYFUNCTION("""COMPUTED_VALUE"""),"celeste.bento@chuc.min-saude.pt")</f>
        <v>celeste.bento@chuc.min-saude.pt</v>
      </c>
      <c r="I280" s="55" t="str">
        <f>IFERROR(__xludf.DUMMYFUNCTION("""COMPUTED_VALUE"""),"Clinical laboratory geneticist")</f>
        <v>Clinical laboratory geneticist</v>
      </c>
      <c r="J280" s="55"/>
      <c r="K280" s="55" t="str">
        <f>IFERROR(__xludf.DUMMYFUNCTION("""COMPUTED_VALUE"""),"Variant Pathogenicity")</f>
        <v>Variant Pathogenicity</v>
      </c>
      <c r="L280" s="55"/>
      <c r="M280" s="55"/>
      <c r="N280" s="55"/>
      <c r="O280" s="55"/>
      <c r="P280" s="55"/>
      <c r="Q280" s="55"/>
      <c r="R280" s="55"/>
      <c r="S280" s="55"/>
      <c r="T280" s="55"/>
      <c r="U280" s="55"/>
      <c r="V280" s="55"/>
      <c r="W280" s="55"/>
      <c r="X280" s="55"/>
      <c r="Y280" s="55"/>
      <c r="Z280" s="55"/>
    </row>
    <row r="281">
      <c r="A281" s="55" t="str">
        <f>IFERROR(__xludf.DUMMYFUNCTION("""COMPUTED_VALUE"""),"Unassigned")</f>
        <v>Unassigned</v>
      </c>
      <c r="B281" s="55" t="str">
        <f>IFERROR(__xludf.DUMMYFUNCTION("""COMPUTED_VALUE"""),"")</f>
        <v/>
      </c>
      <c r="C281" s="55" t="str">
        <f>IFERROR(__xludf.DUMMYFUNCTION("""COMPUTED_VALUE"""),"")</f>
        <v/>
      </c>
      <c r="D281" s="55" t="str">
        <f>IFERROR(__xludf.DUMMYFUNCTION("""COMPUTED_VALUE"""),"")</f>
        <v/>
      </c>
      <c r="E281" s="55" t="str">
        <f>IFERROR(__xludf.DUMMYFUNCTION("""COMPUTED_VALUE"""),"Somatic Cancer")</f>
        <v>Somatic Cancer</v>
      </c>
      <c r="F281" s="55" t="str">
        <f>IFERROR(__xludf.DUMMYFUNCTION("""COMPUTED_VALUE"""),"")</f>
        <v/>
      </c>
      <c r="G281" s="55" t="str">
        <f>IFERROR(__xludf.DUMMYFUNCTION("""COMPUTED_VALUE"""),"Gokce Toruner")</f>
        <v>Gokce Toruner</v>
      </c>
      <c r="H281" s="55" t="str">
        <f>IFERROR(__xludf.DUMMYFUNCTION("""COMPUTED_VALUE"""),"gatoruner@mdanderson.org")</f>
        <v>gatoruner@mdanderson.org</v>
      </c>
      <c r="I281" s="55" t="str">
        <f>IFERROR(__xludf.DUMMYFUNCTION("""COMPUTED_VALUE"""),"Clinical laboratory geneticist")</f>
        <v>Clinical laboratory geneticist</v>
      </c>
      <c r="J281" s="55"/>
      <c r="K281" s="55" t="str">
        <f>IFERROR(__xludf.DUMMYFUNCTION("""COMPUTED_VALUE"""),"Somatic Cancer")</f>
        <v>Somatic Cancer</v>
      </c>
      <c r="L281" s="55"/>
      <c r="M281" s="55"/>
      <c r="N281" s="55"/>
      <c r="O281" s="55"/>
      <c r="P281" s="55"/>
      <c r="Q281" s="55"/>
      <c r="R281" s="55"/>
      <c r="S281" s="55"/>
      <c r="T281" s="55"/>
      <c r="U281" s="55"/>
      <c r="V281" s="55"/>
      <c r="W281" s="55"/>
      <c r="X281" s="55"/>
      <c r="Y281" s="55"/>
      <c r="Z281" s="55"/>
    </row>
    <row r="282">
      <c r="A282" s="55" t="str">
        <f>IFERROR(__xludf.DUMMYFUNCTION("""COMPUTED_VALUE"""),"Assigned")</f>
        <v>Assigned</v>
      </c>
      <c r="B282" s="93">
        <f>IFERROR(__xludf.DUMMYFUNCTION("""COMPUTED_VALUE"""),44160.0)</f>
        <v>44160</v>
      </c>
      <c r="C282" s="93">
        <f>IFERROR(__xludf.DUMMYFUNCTION("""COMPUTED_VALUE"""),43859.0)</f>
        <v>43859</v>
      </c>
      <c r="D282" s="55" t="str">
        <f>IFERROR(__xludf.DUMMYFUNCTION("""COMPUTED_VALUE"""),"Yes")</f>
        <v>Yes</v>
      </c>
      <c r="E282" s="55" t="str">
        <f>IFERROR(__xludf.DUMMYFUNCTION("""COMPUTED_VALUE"""),"Actionability")</f>
        <v>Actionability</v>
      </c>
      <c r="F282" s="55" t="str">
        <f>IFERROR(__xludf.DUMMYFUNCTION("""COMPUTED_VALUE"""),"")</f>
        <v/>
      </c>
      <c r="G282" s="55" t="str">
        <f>IFERROR(__xludf.DUMMYFUNCTION("""COMPUTED_VALUE"""),"Larissa Waldman")</f>
        <v>Larissa Waldman</v>
      </c>
      <c r="H282" s="55" t="str">
        <f>IFERROR(__xludf.DUMMYFUNCTION("""COMPUTED_VALUE"""),"larissa.waldman@gmail.com")</f>
        <v>larissa.waldman@gmail.com</v>
      </c>
      <c r="I282" s="55" t="str">
        <f>IFERROR(__xludf.DUMMYFUNCTION("""COMPUTED_VALUE"""),"Genetic counselor")</f>
        <v>Genetic counselor</v>
      </c>
      <c r="J282" s="55"/>
      <c r="K282" s="55" t="str">
        <f>IFERROR(__xludf.DUMMYFUNCTION("""COMPUTED_VALUE"""),"Clinical Actionability")</f>
        <v>Clinical Actionability</v>
      </c>
      <c r="L282" s="55"/>
      <c r="M282" s="55"/>
      <c r="N282" s="55"/>
      <c r="O282" s="55"/>
      <c r="P282" s="55"/>
      <c r="Q282" s="55"/>
      <c r="R282" s="55"/>
      <c r="S282" s="55"/>
      <c r="T282" s="55"/>
      <c r="U282" s="55"/>
      <c r="V282" s="55"/>
      <c r="W282" s="55"/>
      <c r="X282" s="55"/>
      <c r="Y282" s="55"/>
      <c r="Z282" s="55"/>
    </row>
    <row r="283">
      <c r="A283" s="55" t="str">
        <f>IFERROR(__xludf.DUMMYFUNCTION("""COMPUTED_VALUE"""),"Contacted")</f>
        <v>Contacted</v>
      </c>
      <c r="B283" s="94">
        <f>IFERROR(__xludf.DUMMYFUNCTION("""COMPUTED_VALUE"""),43819.0)</f>
        <v>43819</v>
      </c>
      <c r="C283" s="55" t="str">
        <f>IFERROR(__xludf.DUMMYFUNCTION("""COMPUTED_VALUE"""),"")</f>
        <v/>
      </c>
      <c r="D283" s="55" t="str">
        <f>IFERROR(__xludf.DUMMYFUNCTION("""COMPUTED_VALUE"""),"")</f>
        <v/>
      </c>
      <c r="E283" s="55" t="str">
        <f>IFERROR(__xludf.DUMMYFUNCTION("""COMPUTED_VALUE"""),"Variant Pathogenicity")</f>
        <v>Variant Pathogenicity</v>
      </c>
      <c r="F283" s="55" t="str">
        <f>IFERROR(__xludf.DUMMYFUNCTION("""COMPUTED_VALUE"""),"")</f>
        <v/>
      </c>
      <c r="G283" s="55" t="str">
        <f>IFERROR(__xludf.DUMMYFUNCTION("""COMPUTED_VALUE"""),"Prasad Rao Kopparapu")</f>
        <v>Prasad Rao Kopparapu</v>
      </c>
      <c r="H283" s="55" t="str">
        <f>IFERROR(__xludf.DUMMYFUNCTION("""COMPUTED_VALUE"""),"prasaad82@gmail.com")</f>
        <v>prasaad82@gmail.com</v>
      </c>
      <c r="I283" s="55" t="str">
        <f>IFERROR(__xludf.DUMMYFUNCTION("""COMPUTED_VALUE"""),"Post Doc/Resident/Fellow (MD and/or PhD)")</f>
        <v>Post Doc/Resident/Fellow (MD and/or PhD)</v>
      </c>
      <c r="J283" s="55"/>
      <c r="K283" s="55" t="str">
        <f>IFERROR(__xludf.DUMMYFUNCTION("""COMPUTED_VALUE"""),"Variant Pathogenicity")</f>
        <v>Variant Pathogenicity</v>
      </c>
      <c r="L283" s="55"/>
      <c r="M283" s="55"/>
      <c r="N283" s="55"/>
      <c r="O283" s="55"/>
      <c r="P283" s="55"/>
      <c r="Q283" s="55"/>
      <c r="R283" s="55"/>
      <c r="S283" s="55"/>
      <c r="T283" s="55"/>
      <c r="U283" s="55"/>
      <c r="V283" s="55"/>
      <c r="W283" s="55"/>
      <c r="X283" s="55"/>
      <c r="Y283" s="55"/>
      <c r="Z283" s="55"/>
    </row>
    <row r="284">
      <c r="A284" s="55" t="str">
        <f>IFERROR(__xludf.DUMMYFUNCTION("""COMPUTED_VALUE"""),"Contacted")</f>
        <v>Contacted</v>
      </c>
      <c r="B284" s="94">
        <f>IFERROR(__xludf.DUMMYFUNCTION("""COMPUTED_VALUE"""),43819.0)</f>
        <v>43819</v>
      </c>
      <c r="C284" s="55" t="str">
        <f>IFERROR(__xludf.DUMMYFUNCTION("""COMPUTED_VALUE"""),"")</f>
        <v/>
      </c>
      <c r="D284" s="55" t="str">
        <f>IFERROR(__xludf.DUMMYFUNCTION("""COMPUTED_VALUE"""),"")</f>
        <v/>
      </c>
      <c r="E284" s="55" t="str">
        <f>IFERROR(__xludf.DUMMYFUNCTION("""COMPUTED_VALUE"""),"Gene Disease Validity")</f>
        <v>Gene Disease Validity</v>
      </c>
      <c r="F284" s="55" t="str">
        <f>IFERROR(__xludf.DUMMYFUNCTION("""COMPUTED_VALUE"""),"")</f>
        <v/>
      </c>
      <c r="G284" s="55" t="str">
        <f>IFERROR(__xludf.DUMMYFUNCTION("""COMPUTED_VALUE"""),"Mansour Zamanpoor")</f>
        <v>Mansour Zamanpoor</v>
      </c>
      <c r="H284" s="55" t="str">
        <f>IFERROR(__xludf.DUMMYFUNCTION("""COMPUTED_VALUE"""),"mansour.zamanpoor@ccdhb.org.nz")</f>
        <v>mansour.zamanpoor@ccdhb.org.nz</v>
      </c>
      <c r="I284" s="55" t="str">
        <f>IFERROR(__xludf.DUMMYFUNCTION("""COMPUTED_VALUE"""),"Clinical laboratory geneticist")</f>
        <v>Clinical laboratory geneticist</v>
      </c>
      <c r="J284" s="55"/>
      <c r="K284" s="55" t="str">
        <f>IFERROR(__xludf.DUMMYFUNCTION("""COMPUTED_VALUE"""),"Gene-Disease Validity")</f>
        <v>Gene-Disease Validity</v>
      </c>
      <c r="L284" s="55"/>
      <c r="M284" s="55"/>
      <c r="N284" s="55"/>
      <c r="O284" s="55"/>
      <c r="P284" s="55"/>
      <c r="Q284" s="55"/>
      <c r="R284" s="55"/>
      <c r="S284" s="55"/>
      <c r="T284" s="55"/>
      <c r="U284" s="55"/>
      <c r="V284" s="55"/>
      <c r="W284" s="55"/>
      <c r="X284" s="55"/>
      <c r="Y284" s="55"/>
      <c r="Z284" s="55"/>
    </row>
    <row r="285">
      <c r="A285" s="55" t="str">
        <f>IFERROR(__xludf.DUMMYFUNCTION("""COMPUTED_VALUE"""),"Assigned")</f>
        <v>Assigned</v>
      </c>
      <c r="B285" s="93">
        <f>IFERROR(__xludf.DUMMYFUNCTION("""COMPUTED_VALUE"""),43808.0)</f>
        <v>43808</v>
      </c>
      <c r="C285" s="93">
        <f>IFERROR(__xludf.DUMMYFUNCTION("""COMPUTED_VALUE"""),43859.0)</f>
        <v>43859</v>
      </c>
      <c r="D285" s="55" t="str">
        <f>IFERROR(__xludf.DUMMYFUNCTION("""COMPUTED_VALUE"""),"Yes")</f>
        <v>Yes</v>
      </c>
      <c r="E285" s="55" t="str">
        <f>IFERROR(__xludf.DUMMYFUNCTION("""COMPUTED_VALUE"""),"Actionability")</f>
        <v>Actionability</v>
      </c>
      <c r="F285" s="55" t="str">
        <f>IFERROR(__xludf.DUMMYFUNCTION("""COMPUTED_VALUE"""),"")</f>
        <v/>
      </c>
      <c r="G285" s="55" t="str">
        <f>IFERROR(__xludf.DUMMYFUNCTION("""COMPUTED_VALUE"""),"Mark Shlapobersky")</f>
        <v>Mark Shlapobersky</v>
      </c>
      <c r="H285" s="55" t="str">
        <f>IFERROR(__xludf.DUMMYFUNCTION("""COMPUTED_VALUE"""),"marks@bmc.gov.il")</f>
        <v>marks@bmc.gov.il</v>
      </c>
      <c r="I285" s="55" t="str">
        <f>IFERROR(__xludf.DUMMYFUNCTION("""COMPUTED_VALUE"""),"Director of Pathology lab")</f>
        <v>Director of Pathology lab</v>
      </c>
      <c r="J285" s="55"/>
      <c r="K285" s="55" t="str">
        <f>IFERROR(__xludf.DUMMYFUNCTION("""COMPUTED_VALUE"""),"Clinical Actionability")</f>
        <v>Clinical Actionability</v>
      </c>
      <c r="L285" s="55"/>
      <c r="M285" s="55"/>
      <c r="N285" s="55"/>
      <c r="O285" s="55"/>
      <c r="P285" s="55"/>
      <c r="Q285" s="55"/>
      <c r="R285" s="55"/>
      <c r="S285" s="55"/>
      <c r="T285" s="55"/>
      <c r="U285" s="55"/>
      <c r="V285" s="55"/>
      <c r="W285" s="55"/>
      <c r="X285" s="55"/>
      <c r="Y285" s="55"/>
      <c r="Z285" s="55"/>
    </row>
    <row r="286">
      <c r="A286" s="55" t="str">
        <f>IFERROR(__xludf.DUMMYFUNCTION("""COMPUTED_VALUE"""),"Contacted")</f>
        <v>Contacted</v>
      </c>
      <c r="B286" s="94">
        <f>IFERROR(__xludf.DUMMYFUNCTION("""COMPUTED_VALUE"""),43819.0)</f>
        <v>43819</v>
      </c>
      <c r="C286" s="105">
        <f>IFERROR(__xludf.DUMMYFUNCTION("""COMPUTED_VALUE"""),43846.0)</f>
        <v>43846</v>
      </c>
      <c r="D286" s="55" t="str">
        <f>IFERROR(__xludf.DUMMYFUNCTION("""COMPUTED_VALUE"""),"Yes")</f>
        <v>Yes</v>
      </c>
      <c r="E286" s="55" t="str">
        <f>IFERROR(__xludf.DUMMYFUNCTION("""COMPUTED_VALUE"""),"Gene Disease Validity")</f>
        <v>Gene Disease Validity</v>
      </c>
      <c r="F286" s="55" t="str">
        <f>IFERROR(__xludf.DUMMYFUNCTION("""COMPUTED_VALUE"""),"")</f>
        <v/>
      </c>
      <c r="G286" s="55" t="str">
        <f>IFERROR(__xludf.DUMMYFUNCTION("""COMPUTED_VALUE"""),"Marie-Luise Brennan")</f>
        <v>Marie-Luise Brennan</v>
      </c>
      <c r="H286" s="55" t="str">
        <f>IFERROR(__xludf.DUMMYFUNCTION("""COMPUTED_VALUE"""),"mbrennan@acmg.net")</f>
        <v>mbrennan@acmg.net</v>
      </c>
      <c r="I286" s="55" t="str">
        <f>IFERROR(__xludf.DUMMYFUNCTION("""COMPUTED_VALUE"""),"Clinical Medical Geneticist")</f>
        <v>Clinical Medical Geneticist</v>
      </c>
      <c r="J286" s="55"/>
      <c r="K286" s="55" t="str">
        <f>IFERROR(__xludf.DUMMYFUNCTION("""COMPUTED_VALUE"""),"Gene-Disease Validity")</f>
        <v>Gene-Disease Validity</v>
      </c>
      <c r="L286" s="55"/>
      <c r="M286" s="55"/>
      <c r="N286" s="55"/>
      <c r="O286" s="55"/>
      <c r="P286" s="55"/>
      <c r="Q286" s="55"/>
      <c r="R286" s="55"/>
      <c r="S286" s="55"/>
      <c r="T286" s="55"/>
      <c r="U286" s="55"/>
      <c r="V286" s="55"/>
      <c r="W286" s="55"/>
      <c r="X286" s="55"/>
      <c r="Y286" s="55"/>
      <c r="Z286" s="55"/>
    </row>
    <row r="287">
      <c r="A287" s="55" t="str">
        <f>IFERROR(__xludf.DUMMYFUNCTION("""COMPUTED_VALUE"""),"Contacted")</f>
        <v>Contacted</v>
      </c>
      <c r="B287" s="94">
        <f>IFERROR(__xludf.DUMMYFUNCTION("""COMPUTED_VALUE"""),43819.0)</f>
        <v>43819</v>
      </c>
      <c r="C287" s="55" t="str">
        <f>IFERROR(__xludf.DUMMYFUNCTION("""COMPUTED_VALUE"""),"")</f>
        <v/>
      </c>
      <c r="D287" s="55" t="str">
        <f>IFERROR(__xludf.DUMMYFUNCTION("""COMPUTED_VALUE"""),"")</f>
        <v/>
      </c>
      <c r="E287" s="55" t="str">
        <f>IFERROR(__xludf.DUMMYFUNCTION("""COMPUTED_VALUE"""),"Variant Pathogenicity")</f>
        <v>Variant Pathogenicity</v>
      </c>
      <c r="F287" s="55" t="str">
        <f>IFERROR(__xludf.DUMMYFUNCTION("""COMPUTED_VALUE"""),"")</f>
        <v/>
      </c>
      <c r="G287" s="55" t="str">
        <f>IFERROR(__xludf.DUMMYFUNCTION("""COMPUTED_VALUE"""),"Shawn Gessay")</f>
        <v>Shawn Gessay</v>
      </c>
      <c r="H287" s="55" t="str">
        <f>IFERROR(__xludf.DUMMYFUNCTION("""COMPUTED_VALUE"""),"gessays75@gmail.com")</f>
        <v>gessays75@gmail.com</v>
      </c>
      <c r="I287" s="55" t="str">
        <f>IFERROR(__xludf.DUMMYFUNCTION("""COMPUTED_VALUE"""),"Genetic counselor")</f>
        <v>Genetic counselor</v>
      </c>
      <c r="J287" s="55"/>
      <c r="K287" s="55" t="str">
        <f>IFERROR(__xludf.DUMMYFUNCTION("""COMPUTED_VALUE"""),"Variant Pathogenicity")</f>
        <v>Variant Pathogenicity</v>
      </c>
      <c r="L287" s="55"/>
      <c r="M287" s="55"/>
      <c r="N287" s="55"/>
      <c r="O287" s="55"/>
      <c r="P287" s="55"/>
      <c r="Q287" s="55"/>
      <c r="R287" s="55"/>
      <c r="S287" s="55"/>
      <c r="T287" s="55"/>
      <c r="U287" s="55"/>
      <c r="V287" s="55"/>
      <c r="W287" s="55"/>
      <c r="X287" s="55"/>
      <c r="Y287" s="55"/>
      <c r="Z287" s="55"/>
    </row>
    <row r="288">
      <c r="A288" s="55" t="str">
        <f>IFERROR(__xludf.DUMMYFUNCTION("""COMPUTED_VALUE"""),"Contacted")</f>
        <v>Contacted</v>
      </c>
      <c r="B288" s="94">
        <f>IFERROR(__xludf.DUMMYFUNCTION("""COMPUTED_VALUE"""),43819.0)</f>
        <v>43819</v>
      </c>
      <c r="C288" s="55" t="str">
        <f>IFERROR(__xludf.DUMMYFUNCTION("""COMPUTED_VALUE"""),"")</f>
        <v/>
      </c>
      <c r="D288" s="55" t="str">
        <f>IFERROR(__xludf.DUMMYFUNCTION("""COMPUTED_VALUE"""),"")</f>
        <v/>
      </c>
      <c r="E288" s="55" t="str">
        <f>IFERROR(__xludf.DUMMYFUNCTION("""COMPUTED_VALUE"""),"Variant Pathogenicity")</f>
        <v>Variant Pathogenicity</v>
      </c>
      <c r="F288" s="55" t="str">
        <f>IFERROR(__xludf.DUMMYFUNCTION("""COMPUTED_VALUE"""),"")</f>
        <v/>
      </c>
      <c r="G288" s="55" t="str">
        <f>IFERROR(__xludf.DUMMYFUNCTION("""COMPUTED_VALUE"""),"Angela Hoang")</f>
        <v>Angela Hoang</v>
      </c>
      <c r="H288" s="55" t="str">
        <f>IFERROR(__xludf.DUMMYFUNCTION("""COMPUTED_VALUE"""),"ahoang18@students.kgi.edu")</f>
        <v>ahoang18@students.kgi.edu</v>
      </c>
      <c r="I288" s="55" t="str">
        <f>IFERROR(__xludf.DUMMYFUNCTION("""COMPUTED_VALUE"""),"Graduate Student")</f>
        <v>Graduate Student</v>
      </c>
      <c r="J288" s="55"/>
      <c r="K288" s="55" t="str">
        <f>IFERROR(__xludf.DUMMYFUNCTION("""COMPUTED_VALUE"""),"Variant Pathogenicity")</f>
        <v>Variant Pathogenicity</v>
      </c>
      <c r="L288" s="55"/>
      <c r="M288" s="55"/>
      <c r="N288" s="55"/>
      <c r="O288" s="55"/>
      <c r="P288" s="55"/>
      <c r="Q288" s="55"/>
      <c r="R288" s="55"/>
      <c r="S288" s="55"/>
      <c r="T288" s="55"/>
      <c r="U288" s="55"/>
      <c r="V288" s="55"/>
      <c r="W288" s="55"/>
      <c r="X288" s="55"/>
      <c r="Y288" s="55"/>
      <c r="Z288" s="55"/>
    </row>
    <row r="289">
      <c r="A289" s="55" t="str">
        <f>IFERROR(__xludf.DUMMYFUNCTION("""COMPUTED_VALUE"""),"Contacted")</f>
        <v>Contacted</v>
      </c>
      <c r="B289" s="94">
        <f>IFERROR(__xludf.DUMMYFUNCTION("""COMPUTED_VALUE"""),43819.0)</f>
        <v>43819</v>
      </c>
      <c r="C289" s="55" t="str">
        <f>IFERROR(__xludf.DUMMYFUNCTION("""COMPUTED_VALUE"""),"")</f>
        <v/>
      </c>
      <c r="D289" s="55" t="str">
        <f>IFERROR(__xludf.DUMMYFUNCTION("""COMPUTED_VALUE"""),"")</f>
        <v/>
      </c>
      <c r="E289" s="55" t="str">
        <f>IFERROR(__xludf.DUMMYFUNCTION("""COMPUTED_VALUE"""),"Variant Pathogenicity")</f>
        <v>Variant Pathogenicity</v>
      </c>
      <c r="F289" s="55" t="str">
        <f>IFERROR(__xludf.DUMMYFUNCTION("""COMPUTED_VALUE"""),"")</f>
        <v/>
      </c>
      <c r="G289" s="55" t="str">
        <f>IFERROR(__xludf.DUMMYFUNCTION("""COMPUTED_VALUE"""),"Poornima Vijayan")</f>
        <v>Poornima Vijayan</v>
      </c>
      <c r="H289" s="55" t="str">
        <f>IFERROR(__xludf.DUMMYFUNCTION("""COMPUTED_VALUE"""),"poornima2785@gmail.com")</f>
        <v>poornima2785@gmail.com</v>
      </c>
      <c r="I289" s="55" t="str">
        <f>IFERROR(__xludf.DUMMYFUNCTION("""COMPUTED_VALUE"""),"Graduate Student")</f>
        <v>Graduate Student</v>
      </c>
      <c r="J289" s="55"/>
      <c r="K289" s="55" t="str">
        <f>IFERROR(__xludf.DUMMYFUNCTION("""COMPUTED_VALUE"""),"Variant Pathogenicity")</f>
        <v>Variant Pathogenicity</v>
      </c>
      <c r="L289" s="55"/>
      <c r="M289" s="55"/>
      <c r="N289" s="55"/>
      <c r="O289" s="55"/>
      <c r="P289" s="55"/>
      <c r="Q289" s="55"/>
      <c r="R289" s="55"/>
      <c r="S289" s="55"/>
      <c r="T289" s="55"/>
      <c r="U289" s="55"/>
      <c r="V289" s="55"/>
      <c r="W289" s="55"/>
      <c r="X289" s="55"/>
      <c r="Y289" s="55"/>
      <c r="Z289" s="55"/>
    </row>
    <row r="290">
      <c r="A290" s="55" t="str">
        <f>IFERROR(__xludf.DUMMYFUNCTION("""COMPUTED_VALUE"""),"Contacted")</f>
        <v>Contacted</v>
      </c>
      <c r="B290" s="94">
        <f>IFERROR(__xludf.DUMMYFUNCTION("""COMPUTED_VALUE"""),43819.0)</f>
        <v>43819</v>
      </c>
      <c r="C290" s="105">
        <f>IFERROR(__xludf.DUMMYFUNCTION("""COMPUTED_VALUE"""),43846.0)</f>
        <v>43846</v>
      </c>
      <c r="D290" s="55" t="str">
        <f>IFERROR(__xludf.DUMMYFUNCTION("""COMPUTED_VALUE"""),"Yes")</f>
        <v>Yes</v>
      </c>
      <c r="E290" s="55" t="str">
        <f>IFERROR(__xludf.DUMMYFUNCTION("""COMPUTED_VALUE"""),"Gene Disease Validity")</f>
        <v>Gene Disease Validity</v>
      </c>
      <c r="F290" s="55" t="str">
        <f>IFERROR(__xludf.DUMMYFUNCTION("""COMPUTED_VALUE"""),"")</f>
        <v/>
      </c>
      <c r="G290" s="55" t="str">
        <f>IFERROR(__xludf.DUMMYFUNCTION("""COMPUTED_VALUE"""),"Adriana Bastos Carvalho")</f>
        <v>Adriana Bastos Carvalho</v>
      </c>
      <c r="H290" s="55" t="str">
        <f>IFERROR(__xludf.DUMMYFUNCTION("""COMPUTED_VALUE"""),"carvalhoab@biof.ufrj.br")</f>
        <v>carvalhoab@biof.ufrj.br</v>
      </c>
      <c r="I290" s="55" t="str">
        <f>IFERROR(__xludf.DUMMYFUNCTION("""COMPUTED_VALUE"""),"Scientific Researcher")</f>
        <v>Scientific Researcher</v>
      </c>
      <c r="J290" s="55"/>
      <c r="K290" s="55" t="str">
        <f>IFERROR(__xludf.DUMMYFUNCTION("""COMPUTED_VALUE"""),"Gene-Disease Validity")</f>
        <v>Gene-Disease Validity</v>
      </c>
      <c r="L290" s="55"/>
      <c r="M290" s="55"/>
      <c r="N290" s="55"/>
      <c r="O290" s="55"/>
      <c r="P290" s="55"/>
      <c r="Q290" s="55"/>
      <c r="R290" s="55"/>
      <c r="S290" s="55"/>
      <c r="T290" s="55"/>
      <c r="U290" s="55"/>
      <c r="V290" s="55"/>
      <c r="W290" s="55"/>
      <c r="X290" s="55"/>
      <c r="Y290" s="55"/>
      <c r="Z290" s="55"/>
    </row>
    <row r="291">
      <c r="A291" s="55" t="str">
        <f>IFERROR(__xludf.DUMMYFUNCTION("""COMPUTED_VALUE"""),"Contacted")</f>
        <v>Contacted</v>
      </c>
      <c r="B291" s="94">
        <f>IFERROR(__xludf.DUMMYFUNCTION("""COMPUTED_VALUE"""),43819.0)</f>
        <v>43819</v>
      </c>
      <c r="C291" s="55" t="str">
        <f>IFERROR(__xludf.DUMMYFUNCTION("""COMPUTED_VALUE"""),"")</f>
        <v/>
      </c>
      <c r="D291" s="55" t="str">
        <f>IFERROR(__xludf.DUMMYFUNCTION("""COMPUTED_VALUE"""),"")</f>
        <v/>
      </c>
      <c r="E291" s="55" t="str">
        <f>IFERROR(__xludf.DUMMYFUNCTION("""COMPUTED_VALUE"""),"Gene Disease Validity")</f>
        <v>Gene Disease Validity</v>
      </c>
      <c r="F291" s="55" t="str">
        <f>IFERROR(__xludf.DUMMYFUNCTION("""COMPUTED_VALUE"""),"")</f>
        <v/>
      </c>
      <c r="G291" s="55" t="str">
        <f>IFERROR(__xludf.DUMMYFUNCTION("""COMPUTED_VALUE"""),"Megan Puckelwartz")</f>
        <v>Megan Puckelwartz</v>
      </c>
      <c r="H291" s="55" t="str">
        <f>IFERROR(__xludf.DUMMYFUNCTION("""COMPUTED_VALUE"""),"m.puckelwartz@northwestern.edu")</f>
        <v>m.puckelwartz@northwestern.edu</v>
      </c>
      <c r="I291" s="55" t="str">
        <f>IFERROR(__xludf.DUMMYFUNCTION("""COMPUTED_VALUE"""),"Scientific Researcher")</f>
        <v>Scientific Researcher</v>
      </c>
      <c r="J291" s="55"/>
      <c r="K291" s="55" t="str">
        <f>IFERROR(__xludf.DUMMYFUNCTION("""COMPUTED_VALUE"""),"Gene-Disease Validity")</f>
        <v>Gene-Disease Validity</v>
      </c>
      <c r="L291" s="55"/>
      <c r="M291" s="55"/>
      <c r="N291" s="55"/>
      <c r="O291" s="55"/>
      <c r="P291" s="55"/>
      <c r="Q291" s="55"/>
      <c r="R291" s="55"/>
      <c r="S291" s="55"/>
      <c r="T291" s="55"/>
      <c r="U291" s="55"/>
      <c r="V291" s="55"/>
      <c r="W291" s="55"/>
      <c r="X291" s="55"/>
      <c r="Y291" s="55"/>
      <c r="Z291" s="55"/>
    </row>
    <row r="292">
      <c r="A292" s="55" t="str">
        <f>IFERROR(__xludf.DUMMYFUNCTION("""COMPUTED_VALUE"""),"Unassigned")</f>
        <v>Unassigned</v>
      </c>
      <c r="B292" s="55" t="str">
        <f>IFERROR(__xludf.DUMMYFUNCTION("""COMPUTED_VALUE"""),"")</f>
        <v/>
      </c>
      <c r="C292" s="55" t="str">
        <f>IFERROR(__xludf.DUMMYFUNCTION("""COMPUTED_VALUE"""),"")</f>
        <v/>
      </c>
      <c r="D292" s="55" t="str">
        <f>IFERROR(__xludf.DUMMYFUNCTION("""COMPUTED_VALUE"""),"")</f>
        <v/>
      </c>
      <c r="E292" s="55" t="str">
        <f>IFERROR(__xludf.DUMMYFUNCTION("""COMPUTED_VALUE"""),"Somatic Cancer")</f>
        <v>Somatic Cancer</v>
      </c>
      <c r="F292" s="55" t="str">
        <f>IFERROR(__xludf.DUMMYFUNCTION("""COMPUTED_VALUE"""),"")</f>
        <v/>
      </c>
      <c r="G292" s="55" t="str">
        <f>IFERROR(__xludf.DUMMYFUNCTION("""COMPUTED_VALUE"""),"Nicole Hinceman")</f>
        <v>Nicole Hinceman</v>
      </c>
      <c r="H292" s="55" t="str">
        <f>IFERROR(__xludf.DUMMYFUNCTION("""COMPUTED_VALUE"""),"nhinceman@genedx.com")</f>
        <v>nhinceman@genedx.com</v>
      </c>
      <c r="I292" s="55" t="str">
        <f>IFERROR(__xludf.DUMMYFUNCTION("""COMPUTED_VALUE"""),"Prospective Genetic Counseling Student &amp; Variant Analyst (currently a Genetic Counseling Assistant)")</f>
        <v>Prospective Genetic Counseling Student &amp; Variant Analyst (currently a Genetic Counseling Assistant)</v>
      </c>
      <c r="J292" s="55"/>
      <c r="K292" s="55" t="str">
        <f>IFERROR(__xludf.DUMMYFUNCTION("""COMPUTED_VALUE"""),"Somatic Cancer")</f>
        <v>Somatic Cancer</v>
      </c>
      <c r="L292" s="55"/>
      <c r="M292" s="55"/>
      <c r="N292" s="55"/>
      <c r="O292" s="55"/>
      <c r="P292" s="55"/>
      <c r="Q292" s="55"/>
      <c r="R292" s="55"/>
      <c r="S292" s="55"/>
      <c r="T292" s="55"/>
      <c r="U292" s="55"/>
      <c r="V292" s="55"/>
      <c r="W292" s="55"/>
      <c r="X292" s="55"/>
      <c r="Y292" s="55"/>
      <c r="Z292" s="55"/>
    </row>
    <row r="293">
      <c r="A293" s="55" t="str">
        <f>IFERROR(__xludf.DUMMYFUNCTION("""COMPUTED_VALUE"""),"Unassigned")</f>
        <v>Unassigned</v>
      </c>
      <c r="B293" s="55" t="str">
        <f>IFERROR(__xludf.DUMMYFUNCTION("""COMPUTED_VALUE"""),"")</f>
        <v/>
      </c>
      <c r="C293" s="55" t="str">
        <f>IFERROR(__xludf.DUMMYFUNCTION("""COMPUTED_VALUE"""),"")</f>
        <v/>
      </c>
      <c r="D293" s="55" t="str">
        <f>IFERROR(__xludf.DUMMYFUNCTION("""COMPUTED_VALUE"""),"")</f>
        <v/>
      </c>
      <c r="E293" s="55" t="str">
        <f>IFERROR(__xludf.DUMMYFUNCTION("""COMPUTED_VALUE"""),"NA")</f>
        <v>NA</v>
      </c>
      <c r="F293" s="55" t="str">
        <f>IFERROR(__xludf.DUMMYFUNCTION("""COMPUTED_VALUE"""),"")</f>
        <v/>
      </c>
      <c r="G293" s="55" t="str">
        <f>IFERROR(__xludf.DUMMYFUNCTION("""COMPUTED_VALUE"""),"Ekaterini Iordanou")</f>
        <v>Ekaterini Iordanou</v>
      </c>
      <c r="H293" s="55" t="str">
        <f>IFERROR(__xludf.DUMMYFUNCTION("""COMPUTED_VALUE"""),"iordanoue@childrensdayton.org")</f>
        <v>iordanoue@childrensdayton.org</v>
      </c>
      <c r="I293" s="55" t="str">
        <f>IFERROR(__xludf.DUMMYFUNCTION("""COMPUTED_VALUE"""),"Clinical laboratory geneticist")</f>
        <v>Clinical laboratory geneticist</v>
      </c>
      <c r="J293" s="55"/>
      <c r="K293" s="55" t="str">
        <f>IFERROR(__xludf.DUMMYFUNCTION("""COMPUTED_VALUE"""),"Dosage Sensitivity")</f>
        <v>Dosage Sensitivity</v>
      </c>
      <c r="L293" s="55"/>
      <c r="M293" s="55"/>
      <c r="N293" s="55"/>
      <c r="O293" s="55"/>
      <c r="P293" s="55"/>
      <c r="Q293" s="55"/>
      <c r="R293" s="55"/>
      <c r="S293" s="55"/>
      <c r="T293" s="55"/>
      <c r="U293" s="55"/>
      <c r="V293" s="55"/>
      <c r="W293" s="55"/>
      <c r="X293" s="55"/>
      <c r="Y293" s="55"/>
      <c r="Z293" s="55"/>
    </row>
    <row r="294">
      <c r="A294" s="55" t="str">
        <f>IFERROR(__xludf.DUMMYFUNCTION("""COMPUTED_VALUE"""),"Contacted")</f>
        <v>Contacted</v>
      </c>
      <c r="B294" s="55" t="str">
        <f>IFERROR(__xludf.DUMMYFUNCTION("""COMPUTED_VALUE"""),"")</f>
        <v/>
      </c>
      <c r="C294" s="55" t="str">
        <f>IFERROR(__xludf.DUMMYFUNCTION("""COMPUTED_VALUE"""),"")</f>
        <v/>
      </c>
      <c r="D294" s="55" t="str">
        <f>IFERROR(__xludf.DUMMYFUNCTION("""COMPUTED_VALUE"""),"")</f>
        <v/>
      </c>
      <c r="E294" s="55" t="str">
        <f>IFERROR(__xludf.DUMMYFUNCTION("""COMPUTED_VALUE"""),"Actionability")</f>
        <v>Actionability</v>
      </c>
      <c r="F294" s="55" t="str">
        <f>IFERROR(__xludf.DUMMYFUNCTION("""COMPUTED_VALUE"""),"")</f>
        <v/>
      </c>
      <c r="G294" s="55" t="str">
        <f>IFERROR(__xludf.DUMMYFUNCTION("""COMPUTED_VALUE"""),"Laurie Connors")</f>
        <v>Laurie Connors</v>
      </c>
      <c r="H294" s="55" t="str">
        <f>IFERROR(__xludf.DUMMYFUNCTION("""COMPUTED_VALUE"""),"laurie.m.connors@vanderbilt.edu")</f>
        <v>laurie.m.connors@vanderbilt.edu</v>
      </c>
      <c r="I294" s="55" t="str">
        <f>IFERROR(__xludf.DUMMYFUNCTION("""COMPUTED_VALUE"""),"Clinical geneticist, Genetic Nurse Practitioner")</f>
        <v>Clinical geneticist, Genetic Nurse Practitioner</v>
      </c>
      <c r="J294" s="55"/>
      <c r="K294" s="55" t="str">
        <f>IFERROR(__xludf.DUMMYFUNCTION("""COMPUTED_VALUE"""),"Clinical Actionability")</f>
        <v>Clinical Actionability</v>
      </c>
      <c r="L294" s="55"/>
      <c r="M294" s="55"/>
      <c r="N294" s="55"/>
      <c r="O294" s="55"/>
      <c r="P294" s="55"/>
      <c r="Q294" s="55"/>
      <c r="R294" s="55"/>
      <c r="S294" s="55"/>
      <c r="T294" s="55"/>
      <c r="U294" s="55"/>
      <c r="V294" s="55"/>
      <c r="W294" s="55"/>
      <c r="X294" s="55"/>
      <c r="Y294" s="55"/>
      <c r="Z294" s="55"/>
    </row>
    <row r="295">
      <c r="A295" s="55" t="str">
        <f>IFERROR(__xludf.DUMMYFUNCTION("""COMPUTED_VALUE"""),"Contacted")</f>
        <v>Contacted</v>
      </c>
      <c r="B295" s="94">
        <f>IFERROR(__xludf.DUMMYFUNCTION("""COMPUTED_VALUE"""),43819.0)</f>
        <v>43819</v>
      </c>
      <c r="C295" s="105">
        <f>IFERROR(__xludf.DUMMYFUNCTION("""COMPUTED_VALUE"""),43846.0)</f>
        <v>43846</v>
      </c>
      <c r="D295" s="55" t="str">
        <f>IFERROR(__xludf.DUMMYFUNCTION("""COMPUTED_VALUE"""),"Yes")</f>
        <v>Yes</v>
      </c>
      <c r="E295" s="55" t="str">
        <f>IFERROR(__xludf.DUMMYFUNCTION("""COMPUTED_VALUE"""),"Gene Disease Validity")</f>
        <v>Gene Disease Validity</v>
      </c>
      <c r="F295" s="55" t="str">
        <f>IFERROR(__xludf.DUMMYFUNCTION("""COMPUTED_VALUE"""),"")</f>
        <v/>
      </c>
      <c r="G295" s="55" t="str">
        <f>IFERROR(__xludf.DUMMYFUNCTION("""COMPUTED_VALUE"""),"Tess Levy")</f>
        <v>Tess Levy</v>
      </c>
      <c r="H295" s="55" t="str">
        <f>IFERROR(__xludf.DUMMYFUNCTION("""COMPUTED_VALUE"""),"tess.levy@mssm.edu")</f>
        <v>tess.levy@mssm.edu</v>
      </c>
      <c r="I295" s="55" t="str">
        <f>IFERROR(__xludf.DUMMYFUNCTION("""COMPUTED_VALUE"""),"Genetic counselor")</f>
        <v>Genetic counselor</v>
      </c>
      <c r="J295" s="55"/>
      <c r="K295" s="55" t="str">
        <f>IFERROR(__xludf.DUMMYFUNCTION("""COMPUTED_VALUE"""),"Gene-Disease Validity")</f>
        <v>Gene-Disease Validity</v>
      </c>
      <c r="L295" s="55"/>
      <c r="M295" s="55"/>
      <c r="N295" s="55"/>
      <c r="O295" s="55"/>
      <c r="P295" s="55"/>
      <c r="Q295" s="55"/>
      <c r="R295" s="55"/>
      <c r="S295" s="55"/>
      <c r="T295" s="55"/>
      <c r="U295" s="55"/>
      <c r="V295" s="55"/>
      <c r="W295" s="55"/>
      <c r="X295" s="55"/>
      <c r="Y295" s="55"/>
      <c r="Z295" s="55"/>
    </row>
    <row r="296">
      <c r="A296" s="55" t="str">
        <f>IFERROR(__xludf.DUMMYFUNCTION("""COMPUTED_VALUE"""),"Contacted")</f>
        <v>Contacted</v>
      </c>
      <c r="B296" s="94">
        <f>IFERROR(__xludf.DUMMYFUNCTION("""COMPUTED_VALUE"""),43819.0)</f>
        <v>43819</v>
      </c>
      <c r="C296" s="105">
        <f>IFERROR(__xludf.DUMMYFUNCTION("""COMPUTED_VALUE"""),43846.0)</f>
        <v>43846</v>
      </c>
      <c r="D296" s="55" t="str">
        <f>IFERROR(__xludf.DUMMYFUNCTION("""COMPUTED_VALUE"""),"Yes")</f>
        <v>Yes</v>
      </c>
      <c r="E296" s="55" t="str">
        <f>IFERROR(__xludf.DUMMYFUNCTION("""COMPUTED_VALUE"""),"Gene Disease Validity")</f>
        <v>Gene Disease Validity</v>
      </c>
      <c r="F296" s="55" t="str">
        <f>IFERROR(__xludf.DUMMYFUNCTION("""COMPUTED_VALUE"""),"")</f>
        <v/>
      </c>
      <c r="G296" s="55" t="str">
        <f>IFERROR(__xludf.DUMMYFUNCTION("""COMPUTED_VALUE"""),"Xiaoyan Guo ")</f>
        <v>Xiaoyan Guo </v>
      </c>
      <c r="H296" s="55" t="str">
        <f>IFERROR(__xludf.DUMMYFUNCTION("""COMPUTED_VALUE"""),"540842557@qq.com")</f>
        <v>540842557@qq.com</v>
      </c>
      <c r="I296" s="55" t="str">
        <f>IFERROR(__xludf.DUMMYFUNCTION("""COMPUTED_VALUE"""),"Post Doc/Resident/Fellow (MD and/or PhD)")</f>
        <v>Post Doc/Resident/Fellow (MD and/or PhD)</v>
      </c>
      <c r="J296" s="55"/>
      <c r="K296" s="55" t="str">
        <f>IFERROR(__xludf.DUMMYFUNCTION("""COMPUTED_VALUE"""),"Gene-Disease Validity")</f>
        <v>Gene-Disease Validity</v>
      </c>
      <c r="L296" s="55"/>
      <c r="M296" s="55"/>
      <c r="N296" s="55"/>
      <c r="O296" s="55"/>
      <c r="P296" s="55"/>
      <c r="Q296" s="55"/>
      <c r="R296" s="55"/>
      <c r="S296" s="55"/>
      <c r="T296" s="55"/>
      <c r="U296" s="55"/>
      <c r="V296" s="55"/>
      <c r="W296" s="55"/>
      <c r="X296" s="55"/>
      <c r="Y296" s="55"/>
      <c r="Z296" s="55"/>
    </row>
    <row r="297">
      <c r="A297" s="55" t="str">
        <f>IFERROR(__xludf.DUMMYFUNCTION("""COMPUTED_VALUE"""),"Unassigned")</f>
        <v>Unassigned</v>
      </c>
      <c r="B297" s="55" t="str">
        <f>IFERROR(__xludf.DUMMYFUNCTION("""COMPUTED_VALUE"""),"")</f>
        <v/>
      </c>
      <c r="C297" s="55" t="str">
        <f>IFERROR(__xludf.DUMMYFUNCTION("""COMPUTED_VALUE"""),"")</f>
        <v/>
      </c>
      <c r="D297" s="55" t="str">
        <f>IFERROR(__xludf.DUMMYFUNCTION("""COMPUTED_VALUE"""),"")</f>
        <v/>
      </c>
      <c r="E297" s="55" t="str">
        <f>IFERROR(__xludf.DUMMYFUNCTION("""COMPUTED_VALUE"""),"NA")</f>
        <v>NA</v>
      </c>
      <c r="F297" s="55" t="str">
        <f>IFERROR(__xludf.DUMMYFUNCTION("""COMPUTED_VALUE"""),"")</f>
        <v/>
      </c>
      <c r="G297" s="55" t="str">
        <f>IFERROR(__xludf.DUMMYFUNCTION("""COMPUTED_VALUE"""),"Benjamin Clyde")</f>
        <v>Benjamin Clyde</v>
      </c>
      <c r="H297" s="55" t="str">
        <f>IFERROR(__xludf.DUMMYFUNCTION("""COMPUTED_VALUE"""),"benjamin.clyde@aruplab.com")</f>
        <v>benjamin.clyde@aruplab.com</v>
      </c>
      <c r="I297" s="55" t="str">
        <f>IFERROR(__xludf.DUMMYFUNCTION("""COMPUTED_VALUE"""),"Variant Analyst/Scientist - Industry")</f>
        <v>Variant Analyst/Scientist - Industry</v>
      </c>
      <c r="J297" s="55"/>
      <c r="K297" s="55" t="str">
        <f>IFERROR(__xludf.DUMMYFUNCTION("""COMPUTED_VALUE"""),"Dosage Sensitivity")</f>
        <v>Dosage Sensitivity</v>
      </c>
      <c r="L297" s="55"/>
      <c r="M297" s="55"/>
      <c r="N297" s="55"/>
      <c r="O297" s="55"/>
      <c r="P297" s="55"/>
      <c r="Q297" s="55"/>
      <c r="R297" s="55"/>
      <c r="S297" s="55"/>
      <c r="T297" s="55"/>
      <c r="U297" s="55"/>
      <c r="V297" s="55"/>
      <c r="W297" s="55"/>
      <c r="X297" s="55"/>
      <c r="Y297" s="55"/>
      <c r="Z297" s="55"/>
    </row>
    <row r="298">
      <c r="A298" s="55" t="str">
        <f>IFERROR(__xludf.DUMMYFUNCTION("""COMPUTED_VALUE"""),"Unassigned")</f>
        <v>Unassigned</v>
      </c>
      <c r="B298" s="55" t="str">
        <f>IFERROR(__xludf.DUMMYFUNCTION("""COMPUTED_VALUE"""),"")</f>
        <v/>
      </c>
      <c r="C298" s="55" t="str">
        <f>IFERROR(__xludf.DUMMYFUNCTION("""COMPUTED_VALUE"""),"")</f>
        <v/>
      </c>
      <c r="D298" s="55" t="str">
        <f>IFERROR(__xludf.DUMMYFUNCTION("""COMPUTED_VALUE"""),"")</f>
        <v/>
      </c>
      <c r="E298" s="55" t="str">
        <f>IFERROR(__xludf.DUMMYFUNCTION("""COMPUTED_VALUE"""),"Somatic Cancer")</f>
        <v>Somatic Cancer</v>
      </c>
      <c r="F298" s="55" t="str">
        <f>IFERROR(__xludf.DUMMYFUNCTION("""COMPUTED_VALUE"""),"")</f>
        <v/>
      </c>
      <c r="G298" s="55" t="str">
        <f>IFERROR(__xludf.DUMMYFUNCTION("""COMPUTED_VALUE"""),"cynthia chow")</f>
        <v>cynthia chow</v>
      </c>
      <c r="H298" s="55" t="str">
        <f>IFERROR(__xludf.DUMMYFUNCTION("""COMPUTED_VALUE"""),"cchow3@bccancer.bc.ca")</f>
        <v>cchow3@bccancer.bc.ca</v>
      </c>
      <c r="I298" s="55" t="str">
        <f>IFERROR(__xludf.DUMMYFUNCTION("""COMPUTED_VALUE"""),"Variant Analyst for an In-house Oncopanel and Myeloid Panels")</f>
        <v>Variant Analyst for an In-house Oncopanel and Myeloid Panels</v>
      </c>
      <c r="J298" s="55"/>
      <c r="K298" s="55" t="str">
        <f>IFERROR(__xludf.DUMMYFUNCTION("""COMPUTED_VALUE"""),"Somatic Cancer")</f>
        <v>Somatic Cancer</v>
      </c>
      <c r="L298" s="55"/>
      <c r="M298" s="55"/>
      <c r="N298" s="55"/>
      <c r="O298" s="55"/>
      <c r="P298" s="55"/>
      <c r="Q298" s="55"/>
      <c r="R298" s="55"/>
      <c r="S298" s="55"/>
      <c r="T298" s="55"/>
      <c r="U298" s="55"/>
      <c r="V298" s="55"/>
      <c r="W298" s="55"/>
      <c r="X298" s="55"/>
      <c r="Y298" s="55"/>
      <c r="Z298" s="55"/>
    </row>
    <row r="299">
      <c r="A299" s="55" t="str">
        <f>IFERROR(__xludf.DUMMYFUNCTION("""COMPUTED_VALUE"""),"Contacted")</f>
        <v>Contacted</v>
      </c>
      <c r="B299" s="94">
        <f>IFERROR(__xludf.DUMMYFUNCTION("""COMPUTED_VALUE"""),43819.0)</f>
        <v>43819</v>
      </c>
      <c r="C299" s="55" t="str">
        <f>IFERROR(__xludf.DUMMYFUNCTION("""COMPUTED_VALUE"""),"")</f>
        <v/>
      </c>
      <c r="D299" s="55" t="str">
        <f>IFERROR(__xludf.DUMMYFUNCTION("""COMPUTED_VALUE"""),"")</f>
        <v/>
      </c>
      <c r="E299" s="55" t="str">
        <f>IFERROR(__xludf.DUMMYFUNCTION("""COMPUTED_VALUE"""),"Gene Disease Validity")</f>
        <v>Gene Disease Validity</v>
      </c>
      <c r="F299" s="55" t="str">
        <f>IFERROR(__xludf.DUMMYFUNCTION("""COMPUTED_VALUE"""),"")</f>
        <v/>
      </c>
      <c r="G299" s="55" t="str">
        <f>IFERROR(__xludf.DUMMYFUNCTION("""COMPUTED_VALUE"""),"Marco Leung")</f>
        <v>Marco Leung</v>
      </c>
      <c r="H299" s="55" t="str">
        <f>IFERROR(__xludf.DUMMYFUNCTION("""COMPUTED_VALUE"""),"marcoleung@me.com")</f>
        <v>marcoleung@me.com</v>
      </c>
      <c r="I299" s="55" t="str">
        <f>IFERROR(__xludf.DUMMYFUNCTION("""COMPUTED_VALUE"""),"Clinical laboratory geneticist")</f>
        <v>Clinical laboratory geneticist</v>
      </c>
      <c r="J299" s="55"/>
      <c r="K299" s="55" t="str">
        <f>IFERROR(__xludf.DUMMYFUNCTION("""COMPUTED_VALUE"""),"Gene-Disease Validity")</f>
        <v>Gene-Disease Validity</v>
      </c>
      <c r="L299" s="55"/>
      <c r="M299" s="55"/>
      <c r="N299" s="55"/>
      <c r="O299" s="55"/>
      <c r="P299" s="55"/>
      <c r="Q299" s="55"/>
      <c r="R299" s="55"/>
      <c r="S299" s="55"/>
      <c r="T299" s="55"/>
      <c r="U299" s="55"/>
      <c r="V299" s="55"/>
      <c r="W299" s="55"/>
      <c r="X299" s="55"/>
      <c r="Y299" s="55"/>
      <c r="Z299" s="55"/>
    </row>
    <row r="300">
      <c r="A300" s="55" t="str">
        <f>IFERROR(__xludf.DUMMYFUNCTION("""COMPUTED_VALUE"""),"Contacted")</f>
        <v>Contacted</v>
      </c>
      <c r="B300" s="94">
        <f>IFERROR(__xludf.DUMMYFUNCTION("""COMPUTED_VALUE"""),43819.0)</f>
        <v>43819</v>
      </c>
      <c r="C300" s="105">
        <f>IFERROR(__xludf.DUMMYFUNCTION("""COMPUTED_VALUE"""),43846.0)</f>
        <v>43846</v>
      </c>
      <c r="D300" s="55" t="str">
        <f>IFERROR(__xludf.DUMMYFUNCTION("""COMPUTED_VALUE"""),"Yes")</f>
        <v>Yes</v>
      </c>
      <c r="E300" s="55" t="str">
        <f>IFERROR(__xludf.DUMMYFUNCTION("""COMPUTED_VALUE"""),"Gene Disease Validity")</f>
        <v>Gene Disease Validity</v>
      </c>
      <c r="F300" s="55" t="str">
        <f>IFERROR(__xludf.DUMMYFUNCTION("""COMPUTED_VALUE"""),"")</f>
        <v/>
      </c>
      <c r="G300" s="55" t="str">
        <f>IFERROR(__xludf.DUMMYFUNCTION("""COMPUTED_VALUE"""),"Thanuja Selvanayagam")</f>
        <v>Thanuja Selvanayagam</v>
      </c>
      <c r="H300" s="55" t="str">
        <f>IFERROR(__xludf.DUMMYFUNCTION("""COMPUTED_VALUE"""),"tselvanayagam@cheo.on.ca")</f>
        <v>tselvanayagam@cheo.on.ca</v>
      </c>
      <c r="I300" s="55" t="str">
        <f>IFERROR(__xludf.DUMMYFUNCTION("""COMPUTED_VALUE"""),"Genetic counselor")</f>
        <v>Genetic counselor</v>
      </c>
      <c r="J300" s="55"/>
      <c r="K300" s="55" t="str">
        <f>IFERROR(__xludf.DUMMYFUNCTION("""COMPUTED_VALUE"""),"Gene-Disease Validity")</f>
        <v>Gene-Disease Validity</v>
      </c>
      <c r="L300" s="55"/>
      <c r="M300" s="55"/>
      <c r="N300" s="55"/>
      <c r="O300" s="55"/>
      <c r="P300" s="55"/>
      <c r="Q300" s="55"/>
      <c r="R300" s="55"/>
      <c r="S300" s="55"/>
      <c r="T300" s="55"/>
      <c r="U300" s="55"/>
      <c r="V300" s="55"/>
      <c r="W300" s="55"/>
      <c r="X300" s="55"/>
      <c r="Y300" s="55"/>
      <c r="Z300" s="55"/>
    </row>
    <row r="301">
      <c r="A301" s="55" t="str">
        <f>IFERROR(__xludf.DUMMYFUNCTION("""COMPUTED_VALUE"""),"Assigned")</f>
        <v>Assigned</v>
      </c>
      <c r="B301" s="93">
        <f>IFERROR(__xludf.DUMMYFUNCTION("""COMPUTED_VALUE"""),43860.0)</f>
        <v>43860</v>
      </c>
      <c r="C301" s="55" t="str">
        <f>IFERROR(__xludf.DUMMYFUNCTION("""COMPUTED_VALUE"""),"")</f>
        <v/>
      </c>
      <c r="D301" s="55" t="str">
        <f>IFERROR(__xludf.DUMMYFUNCTION("""COMPUTED_VALUE"""),"")</f>
        <v/>
      </c>
      <c r="E301" s="55" t="str">
        <f>IFERROR(__xludf.DUMMYFUNCTION("""COMPUTED_VALUE"""),"Actionability")</f>
        <v>Actionability</v>
      </c>
      <c r="F301" s="55" t="str">
        <f>IFERROR(__xludf.DUMMYFUNCTION("""COMPUTED_VALUE"""),"")</f>
        <v/>
      </c>
      <c r="G301" s="55" t="str">
        <f>IFERROR(__xludf.DUMMYFUNCTION("""COMPUTED_VALUE"""),"Shrutika Jadhav")</f>
        <v>Shrutika Jadhav</v>
      </c>
      <c r="H301" s="55" t="str">
        <f>IFERROR(__xludf.DUMMYFUNCTION("""COMPUTED_VALUE"""),"shrutikajadhav18@gmail.com")</f>
        <v>shrutikajadhav18@gmail.com</v>
      </c>
      <c r="I301" s="55" t="str">
        <f>IFERROR(__xludf.DUMMYFUNCTION("""COMPUTED_VALUE"""),"Graduate Student")</f>
        <v>Graduate Student</v>
      </c>
      <c r="J301" s="55"/>
      <c r="K301" s="55" t="str">
        <f>IFERROR(__xludf.DUMMYFUNCTION("""COMPUTED_VALUE"""),"Clinical Actionability")</f>
        <v>Clinical Actionability</v>
      </c>
      <c r="L301" s="55"/>
      <c r="M301" s="55"/>
      <c r="N301" s="55"/>
      <c r="O301" s="55"/>
      <c r="P301" s="55"/>
      <c r="Q301" s="55"/>
      <c r="R301" s="55"/>
      <c r="S301" s="55"/>
      <c r="T301" s="55"/>
      <c r="U301" s="55"/>
      <c r="V301" s="55"/>
      <c r="W301" s="55"/>
      <c r="X301" s="55"/>
      <c r="Y301" s="55"/>
      <c r="Z301" s="55"/>
    </row>
    <row r="302">
      <c r="A302" s="55" t="str">
        <f>IFERROR(__xludf.DUMMYFUNCTION("""COMPUTED_VALUE"""),"Contacted")</f>
        <v>Contacted</v>
      </c>
      <c r="B302" s="94">
        <f>IFERROR(__xludf.DUMMYFUNCTION("""COMPUTED_VALUE"""),43838.0)</f>
        <v>43838</v>
      </c>
      <c r="C302" s="55" t="str">
        <f>IFERROR(__xludf.DUMMYFUNCTION("""COMPUTED_VALUE"""),"")</f>
        <v/>
      </c>
      <c r="D302" s="55" t="str">
        <f>IFERROR(__xludf.DUMMYFUNCTION("""COMPUTED_VALUE"""),"")</f>
        <v/>
      </c>
      <c r="E302" s="55" t="str">
        <f>IFERROR(__xludf.DUMMYFUNCTION("""COMPUTED_VALUE"""),"Gene Disease Validity")</f>
        <v>Gene Disease Validity</v>
      </c>
      <c r="F302" s="55" t="str">
        <f>IFERROR(__xludf.DUMMYFUNCTION("""COMPUTED_VALUE"""),"")</f>
        <v/>
      </c>
      <c r="G302" s="55" t="str">
        <f>IFERROR(__xludf.DUMMYFUNCTION("""COMPUTED_VALUE"""),"JACQUELINE BATANIAN")</f>
        <v>JACQUELINE BATANIAN</v>
      </c>
      <c r="H302" s="55" t="str">
        <f>IFERROR(__xludf.DUMMYFUNCTION("""COMPUTED_VALUE"""),"JACQUELINE.BATANIAN@HEALTH.SLU.EDU")</f>
        <v>JACQUELINE.BATANIAN@HEALTH.SLU.EDU</v>
      </c>
      <c r="I302" s="55" t="str">
        <f>IFERROR(__xludf.DUMMYFUNCTION("""COMPUTED_VALUE"""),"Clinical laboratory geneticist")</f>
        <v>Clinical laboratory geneticist</v>
      </c>
      <c r="J302" s="55"/>
      <c r="K302" s="55" t="str">
        <f>IFERROR(__xludf.DUMMYFUNCTION("""COMPUTED_VALUE"""),"Gene-Disease Validity")</f>
        <v>Gene-Disease Validity</v>
      </c>
      <c r="L302" s="55"/>
      <c r="M302" s="55"/>
      <c r="N302" s="55"/>
      <c r="O302" s="55"/>
      <c r="P302" s="55"/>
      <c r="Q302" s="55"/>
      <c r="R302" s="55"/>
      <c r="S302" s="55"/>
      <c r="T302" s="55"/>
      <c r="U302" s="55"/>
      <c r="V302" s="55"/>
      <c r="W302" s="55"/>
      <c r="X302" s="55"/>
      <c r="Y302" s="55"/>
      <c r="Z302" s="55"/>
    </row>
    <row r="303">
      <c r="A303" s="55" t="str">
        <f>IFERROR(__xludf.DUMMYFUNCTION("""COMPUTED_VALUE"""),"Unassigned")</f>
        <v>Unassigned</v>
      </c>
      <c r="B303" s="55" t="str">
        <f>IFERROR(__xludf.DUMMYFUNCTION("""COMPUTED_VALUE"""),"")</f>
        <v/>
      </c>
      <c r="C303" s="55" t="str">
        <f>IFERROR(__xludf.DUMMYFUNCTION("""COMPUTED_VALUE"""),"")</f>
        <v/>
      </c>
      <c r="D303" s="55" t="str">
        <f>IFERROR(__xludf.DUMMYFUNCTION("""COMPUTED_VALUE"""),"")</f>
        <v/>
      </c>
      <c r="E303" s="55" t="str">
        <f>IFERROR(__xludf.DUMMYFUNCTION("""COMPUTED_VALUE"""),"NA")</f>
        <v>NA</v>
      </c>
      <c r="F303" s="55" t="str">
        <f>IFERROR(__xludf.DUMMYFUNCTION("""COMPUTED_VALUE"""),"")</f>
        <v/>
      </c>
      <c r="G303" s="55" t="str">
        <f>IFERROR(__xludf.DUMMYFUNCTION("""COMPUTED_VALUE"""),"Nan Jiang")</f>
        <v>Nan Jiang</v>
      </c>
      <c r="H303" s="55" t="str">
        <f>IFERROR(__xludf.DUMMYFUNCTION("""COMPUTED_VALUE"""),"nj2421@cumc.columbia.edu")</f>
        <v>nj2421@cumc.columbia.edu</v>
      </c>
      <c r="I303" s="55" t="str">
        <f>IFERROR(__xludf.DUMMYFUNCTION("""COMPUTED_VALUE"""),"Post Doc/Resident/Fellow (MD and/or PhD)")</f>
        <v>Post Doc/Resident/Fellow (MD and/or PhD)</v>
      </c>
      <c r="J303" s="55"/>
      <c r="K303" s="55" t="str">
        <f>IFERROR(__xludf.DUMMYFUNCTION("""COMPUTED_VALUE"""),"Somatic Cancer")</f>
        <v>Somatic Cancer</v>
      </c>
      <c r="L303" s="55"/>
      <c r="M303" s="55"/>
      <c r="N303" s="55"/>
      <c r="O303" s="55"/>
      <c r="P303" s="55"/>
      <c r="Q303" s="55"/>
      <c r="R303" s="55"/>
      <c r="S303" s="55"/>
      <c r="T303" s="55"/>
      <c r="U303" s="55"/>
      <c r="V303" s="55"/>
      <c r="W303" s="55"/>
      <c r="X303" s="55"/>
      <c r="Y303" s="55"/>
      <c r="Z303" s="55"/>
    </row>
    <row r="304">
      <c r="A304" s="55" t="str">
        <f>IFERROR(__xludf.DUMMYFUNCTION("""COMPUTED_VALUE"""),"Unassigned")</f>
        <v>Unassigned</v>
      </c>
      <c r="B304" s="55" t="str">
        <f>IFERROR(__xludf.DUMMYFUNCTION("""COMPUTED_VALUE"""),"")</f>
        <v/>
      </c>
      <c r="C304" s="55" t="str">
        <f>IFERROR(__xludf.DUMMYFUNCTION("""COMPUTED_VALUE"""),"")</f>
        <v/>
      </c>
      <c r="D304" s="55" t="str">
        <f>IFERROR(__xludf.DUMMYFUNCTION("""COMPUTED_VALUE"""),"")</f>
        <v/>
      </c>
      <c r="E304" s="55" t="str">
        <f>IFERROR(__xludf.DUMMYFUNCTION("""COMPUTED_VALUE"""),"NA")</f>
        <v>NA</v>
      </c>
      <c r="F304" s="55" t="str">
        <f>IFERROR(__xludf.DUMMYFUNCTION("""COMPUTED_VALUE"""),"")</f>
        <v/>
      </c>
      <c r="G304" s="55" t="str">
        <f>IFERROR(__xludf.DUMMYFUNCTION("""COMPUTED_VALUE"""),"Jaime Nagy")</f>
        <v>Jaime Nagy</v>
      </c>
      <c r="H304" s="55" t="str">
        <f>IFERROR(__xludf.DUMMYFUNCTION("""COMPUTED_VALUE"""),"jaime-nagy@uiowa.edu")</f>
        <v>jaime-nagy@uiowa.edu</v>
      </c>
      <c r="I304" s="55" t="str">
        <f>IFERROR(__xludf.DUMMYFUNCTION("""COMPUTED_VALUE"""),"Clinical laboratory geneticist")</f>
        <v>Clinical laboratory geneticist</v>
      </c>
      <c r="J304" s="55"/>
      <c r="K304" s="55" t="str">
        <f>IFERROR(__xludf.DUMMYFUNCTION("""COMPUTED_VALUE"""),"Dosage Sensitivity")</f>
        <v>Dosage Sensitivity</v>
      </c>
      <c r="L304" s="55"/>
      <c r="M304" s="55"/>
      <c r="N304" s="55"/>
      <c r="O304" s="55"/>
      <c r="P304" s="55"/>
      <c r="Q304" s="55"/>
      <c r="R304" s="55"/>
      <c r="S304" s="55"/>
      <c r="T304" s="55"/>
      <c r="U304" s="55"/>
      <c r="V304" s="55"/>
      <c r="W304" s="55"/>
      <c r="X304" s="55"/>
      <c r="Y304" s="55"/>
      <c r="Z304" s="55"/>
    </row>
    <row r="305">
      <c r="A305" s="55" t="str">
        <f>IFERROR(__xludf.DUMMYFUNCTION("""COMPUTED_VALUE"""),"Unassigned")</f>
        <v>Unassigned</v>
      </c>
      <c r="B305" s="55" t="str">
        <f>IFERROR(__xludf.DUMMYFUNCTION("""COMPUTED_VALUE"""),"")</f>
        <v/>
      </c>
      <c r="C305" s="55" t="str">
        <f>IFERROR(__xludf.DUMMYFUNCTION("""COMPUTED_VALUE"""),"")</f>
        <v/>
      </c>
      <c r="D305" s="55" t="str">
        <f>IFERROR(__xludf.DUMMYFUNCTION("""COMPUTED_VALUE"""),"")</f>
        <v/>
      </c>
      <c r="E305" s="55" t="str">
        <f>IFERROR(__xludf.DUMMYFUNCTION("""COMPUTED_VALUE"""),"NA")</f>
        <v>NA</v>
      </c>
      <c r="F305" s="55" t="str">
        <f>IFERROR(__xludf.DUMMYFUNCTION("""COMPUTED_VALUE"""),"")</f>
        <v/>
      </c>
      <c r="G305" s="55" t="str">
        <f>IFERROR(__xludf.DUMMYFUNCTION("""COMPUTED_VALUE"""),"Indu Raja")</f>
        <v>Indu Raja</v>
      </c>
      <c r="H305" s="55" t="str">
        <f>IFERROR(__xludf.DUMMYFUNCTION("""COMPUTED_VALUE"""),"indudraja@gmail.com")</f>
        <v>indudraja@gmail.com</v>
      </c>
      <c r="I305" s="55" t="str">
        <f>IFERROR(__xludf.DUMMYFUNCTION("""COMPUTED_VALUE"""),"Laboratory Technologist")</f>
        <v>Laboratory Technologist</v>
      </c>
      <c r="J305" s="55"/>
      <c r="K305" s="55" t="str">
        <f>IFERROR(__xludf.DUMMYFUNCTION("""COMPUTED_VALUE"""),"Gene-Disease Validity")</f>
        <v>Gene-Disease Validity</v>
      </c>
      <c r="L305" s="55"/>
      <c r="M305" s="55"/>
      <c r="N305" s="55"/>
      <c r="O305" s="55"/>
      <c r="P305" s="55"/>
      <c r="Q305" s="55"/>
      <c r="R305" s="55"/>
      <c r="S305" s="55"/>
      <c r="T305" s="55"/>
      <c r="U305" s="55"/>
      <c r="V305" s="55"/>
      <c r="W305" s="55"/>
      <c r="X305" s="55"/>
      <c r="Y305" s="55"/>
      <c r="Z305" s="55"/>
    </row>
    <row r="306">
      <c r="A306" s="55" t="str">
        <f>IFERROR(__xludf.DUMMYFUNCTION("""COMPUTED_VALUE"""),"Contacted")</f>
        <v>Contacted</v>
      </c>
      <c r="B306" s="105">
        <f>IFERROR(__xludf.DUMMYFUNCTION("""COMPUTED_VALUE"""),43847.0)</f>
        <v>43847</v>
      </c>
      <c r="C306" s="55" t="str">
        <f>IFERROR(__xludf.DUMMYFUNCTION("""COMPUTED_VALUE"""),"")</f>
        <v/>
      </c>
      <c r="D306" s="55" t="str">
        <f>IFERROR(__xludf.DUMMYFUNCTION("""COMPUTED_VALUE"""),"")</f>
        <v/>
      </c>
      <c r="E306" s="55" t="str">
        <f>IFERROR(__xludf.DUMMYFUNCTION("""COMPUTED_VALUE"""),"Variant Pathogenicity")</f>
        <v>Variant Pathogenicity</v>
      </c>
      <c r="F306" s="55" t="str">
        <f>IFERROR(__xludf.DUMMYFUNCTION("""COMPUTED_VALUE"""),"")</f>
        <v/>
      </c>
      <c r="G306" s="55" t="str">
        <f>IFERROR(__xludf.DUMMYFUNCTION("""COMPUTED_VALUE"""),"Kendrah Kidd")</f>
        <v>Kendrah Kidd</v>
      </c>
      <c r="H306" s="55" t="str">
        <f>IFERROR(__xludf.DUMMYFUNCTION("""COMPUTED_VALUE"""),"kkidd@wakehealth.edu")</f>
        <v>kkidd@wakehealth.edu</v>
      </c>
      <c r="I306" s="55" t="str">
        <f>IFERROR(__xludf.DUMMYFUNCTION("""COMPUTED_VALUE"""),"Scientific Researcher")</f>
        <v>Scientific Researcher</v>
      </c>
      <c r="J306" s="55"/>
      <c r="K306" s="55" t="str">
        <f>IFERROR(__xludf.DUMMYFUNCTION("""COMPUTED_VALUE"""),"Variant Pathogenicity")</f>
        <v>Variant Pathogenicity</v>
      </c>
      <c r="L306" s="55"/>
      <c r="M306" s="55"/>
      <c r="N306" s="55"/>
      <c r="O306" s="55"/>
      <c r="P306" s="55"/>
      <c r="Q306" s="55"/>
      <c r="R306" s="55"/>
      <c r="S306" s="55"/>
      <c r="T306" s="55"/>
      <c r="U306" s="55"/>
      <c r="V306" s="55"/>
      <c r="W306" s="55"/>
      <c r="X306" s="55"/>
      <c r="Y306" s="55"/>
      <c r="Z306" s="55"/>
    </row>
    <row r="307">
      <c r="A307" s="55" t="str">
        <f>IFERROR(__xludf.DUMMYFUNCTION("""COMPUTED_VALUE"""),"Unassigned")</f>
        <v>Unassigned</v>
      </c>
      <c r="B307" s="55" t="str">
        <f>IFERROR(__xludf.DUMMYFUNCTION("""COMPUTED_VALUE"""),"")</f>
        <v/>
      </c>
      <c r="C307" s="55" t="str">
        <f>IFERROR(__xludf.DUMMYFUNCTION("""COMPUTED_VALUE"""),"")</f>
        <v/>
      </c>
      <c r="D307" s="55" t="str">
        <f>IFERROR(__xludf.DUMMYFUNCTION("""COMPUTED_VALUE"""),"")</f>
        <v/>
      </c>
      <c r="E307" s="55" t="str">
        <f>IFERROR(__xludf.DUMMYFUNCTION("""COMPUTED_VALUE"""),"NA")</f>
        <v>NA</v>
      </c>
      <c r="F307" s="55" t="str">
        <f>IFERROR(__xludf.DUMMYFUNCTION("""COMPUTED_VALUE"""),"")</f>
        <v/>
      </c>
      <c r="G307" s="55" t="str">
        <f>IFERROR(__xludf.DUMMYFUNCTION("""COMPUTED_VALUE"""),"Joanne Adelberg")</f>
        <v>Joanne Adelberg</v>
      </c>
      <c r="H307" s="55" t="str">
        <f>IFERROR(__xludf.DUMMYFUNCTION("""COMPUTED_VALUE"""),"joanneadelberg@gmail.com")</f>
        <v>joanneadelberg@gmail.com</v>
      </c>
      <c r="I307" s="55" t="str">
        <f>IFERROR(__xludf.DUMMYFUNCTION("""COMPUTED_VALUE"""),"Scientific Researcher")</f>
        <v>Scientific Researcher</v>
      </c>
      <c r="J307" s="55"/>
      <c r="K307" s="55" t="str">
        <f>IFERROR(__xludf.DUMMYFUNCTION("""COMPUTED_VALUE"""),"Gene-Disease Validity")</f>
        <v>Gene-Disease Validity</v>
      </c>
      <c r="L307" s="55"/>
      <c r="M307" s="55"/>
      <c r="N307" s="55"/>
      <c r="O307" s="55"/>
      <c r="P307" s="55"/>
      <c r="Q307" s="55"/>
      <c r="R307" s="55"/>
      <c r="S307" s="55"/>
      <c r="T307" s="55"/>
      <c r="U307" s="55"/>
      <c r="V307" s="55"/>
      <c r="W307" s="55"/>
      <c r="X307" s="55"/>
      <c r="Y307" s="55"/>
      <c r="Z307" s="55"/>
    </row>
    <row r="308">
      <c r="A308" s="55" t="str">
        <f>IFERROR(__xludf.DUMMYFUNCTION("""COMPUTED_VALUE"""),"Contacted")</f>
        <v>Contacted</v>
      </c>
      <c r="B308" s="55" t="str">
        <f>IFERROR(__xludf.DUMMYFUNCTION("""COMPUTED_VALUE"""),"")</f>
        <v/>
      </c>
      <c r="C308" s="105">
        <f>IFERROR(__xludf.DUMMYFUNCTION("""COMPUTED_VALUE"""),43846.0)</f>
        <v>43846</v>
      </c>
      <c r="D308" s="55" t="str">
        <f>IFERROR(__xludf.DUMMYFUNCTION("""COMPUTED_VALUE"""),"Yes")</f>
        <v>Yes</v>
      </c>
      <c r="E308" s="55" t="str">
        <f>IFERROR(__xludf.DUMMYFUNCTION("""COMPUTED_VALUE"""),"Gene Disease Validity")</f>
        <v>Gene Disease Validity</v>
      </c>
      <c r="F308" s="55" t="str">
        <f>IFERROR(__xludf.DUMMYFUNCTION("""COMPUTED_VALUE"""),"")</f>
        <v/>
      </c>
      <c r="G308" s="55" t="str">
        <f>IFERROR(__xludf.DUMMYFUNCTION("""COMPUTED_VALUE"""),"Julie Hathaway")</f>
        <v>Julie Hathaway</v>
      </c>
      <c r="H308" s="55" t="str">
        <f>IFERROR(__xludf.DUMMYFUNCTION("""COMPUTED_VALUE"""),"julie.hathaway@blueprintgenetics.com")</f>
        <v>julie.hathaway@blueprintgenetics.com</v>
      </c>
      <c r="I308" s="55" t="str">
        <f>IFERROR(__xludf.DUMMYFUNCTION("""COMPUTED_VALUE"""),"Genetic counselor")</f>
        <v>Genetic counselor</v>
      </c>
      <c r="J308" s="55"/>
      <c r="K308" s="55" t="str">
        <f>IFERROR(__xludf.DUMMYFUNCTION("""COMPUTED_VALUE"""),"Gene-Disease Validity")</f>
        <v>Gene-Disease Validity</v>
      </c>
      <c r="L308" s="55"/>
      <c r="M308" s="55"/>
      <c r="N308" s="55"/>
      <c r="O308" s="55"/>
      <c r="P308" s="55"/>
      <c r="Q308" s="55"/>
      <c r="R308" s="55"/>
      <c r="S308" s="55"/>
      <c r="T308" s="55"/>
      <c r="U308" s="55"/>
      <c r="V308" s="55"/>
      <c r="W308" s="55"/>
      <c r="X308" s="55"/>
      <c r="Y308" s="55"/>
      <c r="Z308" s="55"/>
    </row>
    <row r="309">
      <c r="A309" s="55" t="str">
        <f>IFERROR(__xludf.DUMMYFUNCTION("""COMPUTED_VALUE"""),"Contacted")</f>
        <v>Contacted</v>
      </c>
      <c r="B309" s="55" t="str">
        <f>IFERROR(__xludf.DUMMYFUNCTION("""COMPUTED_VALUE"""),"")</f>
        <v/>
      </c>
      <c r="C309" s="105">
        <f>IFERROR(__xludf.DUMMYFUNCTION("""COMPUTED_VALUE"""),43846.0)</f>
        <v>43846</v>
      </c>
      <c r="D309" s="55" t="str">
        <f>IFERROR(__xludf.DUMMYFUNCTION("""COMPUTED_VALUE"""),"Yes")</f>
        <v>Yes</v>
      </c>
      <c r="E309" s="55" t="str">
        <f>IFERROR(__xludf.DUMMYFUNCTION("""COMPUTED_VALUE"""),"Gene Disease Validity")</f>
        <v>Gene Disease Validity</v>
      </c>
      <c r="F309" s="55" t="str">
        <f>IFERROR(__xludf.DUMMYFUNCTION("""COMPUTED_VALUE"""),"")</f>
        <v/>
      </c>
      <c r="G309" s="55" t="str">
        <f>IFERROR(__xludf.DUMMYFUNCTION("""COMPUTED_VALUE"""),"Devon Thrush")</f>
        <v>Devon Thrush</v>
      </c>
      <c r="H309" s="55" t="str">
        <f>IFERROR(__xludf.DUMMYFUNCTION("""COMPUTED_VALUE"""),"dthrush@ambrygen.com")</f>
        <v>dthrush@ambrygen.com</v>
      </c>
      <c r="I309" s="55" t="str">
        <f>IFERROR(__xludf.DUMMYFUNCTION("""COMPUTED_VALUE"""),"Genetic counselor")</f>
        <v>Genetic counselor</v>
      </c>
      <c r="J309" s="55"/>
      <c r="K309" s="55" t="str">
        <f>IFERROR(__xludf.DUMMYFUNCTION("""COMPUTED_VALUE"""),"Gene-Disease Validity")</f>
        <v>Gene-Disease Validity</v>
      </c>
      <c r="L309" s="55"/>
      <c r="M309" s="55"/>
      <c r="N309" s="55"/>
      <c r="O309" s="55"/>
      <c r="P309" s="55"/>
      <c r="Q309" s="55"/>
      <c r="R309" s="55"/>
      <c r="S309" s="55"/>
      <c r="T309" s="55"/>
      <c r="U309" s="55"/>
      <c r="V309" s="55"/>
      <c r="W309" s="55"/>
      <c r="X309" s="55"/>
      <c r="Y309" s="55"/>
      <c r="Z309" s="55"/>
    </row>
    <row r="310">
      <c r="A310" s="55" t="str">
        <f>IFERROR(__xludf.DUMMYFUNCTION("""COMPUTED_VALUE"""),"Contacted")</f>
        <v>Contacted</v>
      </c>
      <c r="B310" s="105">
        <f>IFERROR(__xludf.DUMMYFUNCTION("""COMPUTED_VALUE"""),43482.0)</f>
        <v>43482</v>
      </c>
      <c r="C310" s="105">
        <f>IFERROR(__xludf.DUMMYFUNCTION("""COMPUTED_VALUE"""),43846.0)</f>
        <v>43846</v>
      </c>
      <c r="D310" s="55" t="str">
        <f>IFERROR(__xludf.DUMMYFUNCTION("""COMPUTED_VALUE"""),"Yes")</f>
        <v>Yes</v>
      </c>
      <c r="E310" s="55" t="str">
        <f>IFERROR(__xludf.DUMMYFUNCTION("""COMPUTED_VALUE"""),"Variant Pathogenicity")</f>
        <v>Variant Pathogenicity</v>
      </c>
      <c r="F310" s="55" t="str">
        <f>IFERROR(__xludf.DUMMYFUNCTION("""COMPUTED_VALUE"""),"")</f>
        <v/>
      </c>
      <c r="G310" s="55" t="str">
        <f>IFERROR(__xludf.DUMMYFUNCTION("""COMPUTED_VALUE"""),"Adriana Bastos Carvalho")</f>
        <v>Adriana Bastos Carvalho</v>
      </c>
      <c r="H310" s="55" t="str">
        <f>IFERROR(__xludf.DUMMYFUNCTION("""COMPUTED_VALUE"""),"carvalhoab@biof.ufrj.br")</f>
        <v>carvalhoab@biof.ufrj.br</v>
      </c>
      <c r="I310" s="55" t="str">
        <f>IFERROR(__xludf.DUMMYFUNCTION("""COMPUTED_VALUE"""),"Scientific Researcher")</f>
        <v>Scientific Researcher</v>
      </c>
      <c r="J310" s="55"/>
      <c r="K310" s="55" t="str">
        <f>IFERROR(__xludf.DUMMYFUNCTION("""COMPUTED_VALUE"""),"Variant Pathogenicity")</f>
        <v>Variant Pathogenicity</v>
      </c>
      <c r="L310" s="55"/>
      <c r="M310" s="55"/>
      <c r="N310" s="55"/>
      <c r="O310" s="55"/>
      <c r="P310" s="55"/>
      <c r="Q310" s="55"/>
      <c r="R310" s="55"/>
      <c r="S310" s="55"/>
      <c r="T310" s="55"/>
      <c r="U310" s="55"/>
      <c r="V310" s="55"/>
      <c r="W310" s="55"/>
      <c r="X310" s="55"/>
      <c r="Y310" s="55"/>
      <c r="Z310" s="55"/>
    </row>
    <row r="311">
      <c r="A311" s="55" t="str">
        <f>IFERROR(__xludf.DUMMYFUNCTION("""COMPUTED_VALUE"""),"Contacted")</f>
        <v>Contacted</v>
      </c>
      <c r="B311" s="55" t="str">
        <f>IFERROR(__xludf.DUMMYFUNCTION("""COMPUTED_VALUE"""),"")</f>
        <v/>
      </c>
      <c r="C311" s="105">
        <f>IFERROR(__xludf.DUMMYFUNCTION("""COMPUTED_VALUE"""),43846.0)</f>
        <v>43846</v>
      </c>
      <c r="D311" s="55" t="str">
        <f>IFERROR(__xludf.DUMMYFUNCTION("""COMPUTED_VALUE"""),"Yes")</f>
        <v>Yes</v>
      </c>
      <c r="E311" s="55" t="str">
        <f>IFERROR(__xludf.DUMMYFUNCTION("""COMPUTED_VALUE"""),"Gene Disease Validity")</f>
        <v>Gene Disease Validity</v>
      </c>
      <c r="F311" s="55" t="str">
        <f>IFERROR(__xludf.DUMMYFUNCTION("""COMPUTED_VALUE"""),"")</f>
        <v/>
      </c>
      <c r="G311" s="55" t="str">
        <f>IFERROR(__xludf.DUMMYFUNCTION("""COMPUTED_VALUE"""),"Shiloh Martin")</f>
        <v>Shiloh Martin</v>
      </c>
      <c r="H311" s="55" t="str">
        <f>IFERROR(__xludf.DUMMYFUNCTION("""COMPUTED_VALUE"""),"shiloh.martin@invitae.com")</f>
        <v>shiloh.martin@invitae.com</v>
      </c>
      <c r="I311" s="55" t="str">
        <f>IFERROR(__xludf.DUMMYFUNCTION("""COMPUTED_VALUE"""),"Variant Analyst/Scientist - Industry")</f>
        <v>Variant Analyst/Scientist - Industry</v>
      </c>
      <c r="J311" s="55"/>
      <c r="K311" s="55" t="str">
        <f>IFERROR(__xludf.DUMMYFUNCTION("""COMPUTED_VALUE"""),"Gene-Disease Validity")</f>
        <v>Gene-Disease Validity</v>
      </c>
      <c r="L311" s="55"/>
      <c r="M311" s="55"/>
      <c r="N311" s="55"/>
      <c r="O311" s="55"/>
      <c r="P311" s="55"/>
      <c r="Q311" s="55"/>
      <c r="R311" s="55"/>
      <c r="S311" s="55"/>
      <c r="T311" s="55"/>
      <c r="U311" s="55"/>
      <c r="V311" s="55"/>
      <c r="W311" s="55"/>
      <c r="X311" s="55"/>
      <c r="Y311" s="55"/>
      <c r="Z311" s="55"/>
    </row>
    <row r="312">
      <c r="A312" s="55" t="str">
        <f>IFERROR(__xludf.DUMMYFUNCTION("""COMPUTED_VALUE"""),"Unassigned")</f>
        <v>Unassigned</v>
      </c>
      <c r="B312" s="55" t="str">
        <f>IFERROR(__xludf.DUMMYFUNCTION("""COMPUTED_VALUE"""),"")</f>
        <v/>
      </c>
      <c r="C312" s="55" t="str">
        <f>IFERROR(__xludf.DUMMYFUNCTION("""COMPUTED_VALUE"""),"")</f>
        <v/>
      </c>
      <c r="D312" s="55" t="str">
        <f>IFERROR(__xludf.DUMMYFUNCTION("""COMPUTED_VALUE"""),"")</f>
        <v/>
      </c>
      <c r="E312" s="55" t="str">
        <f>IFERROR(__xludf.DUMMYFUNCTION("""COMPUTED_VALUE"""),"NA")</f>
        <v>NA</v>
      </c>
      <c r="F312" s="55" t="str">
        <f>IFERROR(__xludf.DUMMYFUNCTION("""COMPUTED_VALUE"""),"")</f>
        <v/>
      </c>
      <c r="G312" s="55" t="str">
        <f>IFERROR(__xludf.DUMMYFUNCTION("""COMPUTED_VALUE"""),"Jennifer Holle")</f>
        <v>Jennifer Holle</v>
      </c>
      <c r="H312" s="55" t="str">
        <f>IFERROR(__xludf.DUMMYFUNCTION("""COMPUTED_VALUE"""),"jennifer.holle@invitae.com")</f>
        <v>jennifer.holle@invitae.com</v>
      </c>
      <c r="I312" s="55" t="str">
        <f>IFERROR(__xludf.DUMMYFUNCTION("""COMPUTED_VALUE"""),"Variant Analyst/Scientist - Industry")</f>
        <v>Variant Analyst/Scientist - Industry</v>
      </c>
      <c r="J312" s="55"/>
      <c r="K312" s="55" t="str">
        <f>IFERROR(__xludf.DUMMYFUNCTION("""COMPUTED_VALUE"""),"Gene-Disease Validity")</f>
        <v>Gene-Disease Validity</v>
      </c>
      <c r="L312" s="55"/>
      <c r="M312" s="55"/>
      <c r="N312" s="55"/>
      <c r="O312" s="55"/>
      <c r="P312" s="55"/>
      <c r="Q312" s="55"/>
      <c r="R312" s="55"/>
      <c r="S312" s="55"/>
      <c r="T312" s="55"/>
      <c r="U312" s="55"/>
      <c r="V312" s="55"/>
      <c r="W312" s="55"/>
      <c r="X312" s="55"/>
      <c r="Y312" s="55"/>
      <c r="Z312" s="55"/>
    </row>
    <row r="313">
      <c r="A313" s="55" t="str">
        <f>IFERROR(__xludf.DUMMYFUNCTION("""COMPUTED_VALUE"""),"Unassigned")</f>
        <v>Unassigned</v>
      </c>
      <c r="B313" s="55" t="str">
        <f>IFERROR(__xludf.DUMMYFUNCTION("""COMPUTED_VALUE"""),"")</f>
        <v/>
      </c>
      <c r="C313" s="55" t="str">
        <f>IFERROR(__xludf.DUMMYFUNCTION("""COMPUTED_VALUE"""),"")</f>
        <v/>
      </c>
      <c r="D313" s="55" t="str">
        <f>IFERROR(__xludf.DUMMYFUNCTION("""COMPUTED_VALUE"""),"")</f>
        <v/>
      </c>
      <c r="E313" s="55" t="str">
        <f>IFERROR(__xludf.DUMMYFUNCTION("""COMPUTED_VALUE"""),"NA")</f>
        <v>NA</v>
      </c>
      <c r="F313" s="55" t="str">
        <f>IFERROR(__xludf.DUMMYFUNCTION("""COMPUTED_VALUE"""),"")</f>
        <v/>
      </c>
      <c r="G313" s="55" t="str">
        <f>IFERROR(__xludf.DUMMYFUNCTION("""COMPUTED_VALUE"""),"Emily Hansen-Kiss")</f>
        <v>Emily Hansen-Kiss</v>
      </c>
      <c r="H313" s="55" t="str">
        <f>IFERROR(__xludf.DUMMYFUNCTION("""COMPUTED_VALUE"""),"Emily.HansenKiss@uth.tmc.edu")</f>
        <v>Emily.HansenKiss@uth.tmc.edu</v>
      </c>
      <c r="I313" s="55" t="str">
        <f>IFERROR(__xludf.DUMMYFUNCTION("""COMPUTED_VALUE"""),"Genetic counselor")</f>
        <v>Genetic counselor</v>
      </c>
      <c r="J313" s="55"/>
      <c r="K313" s="55" t="str">
        <f>IFERROR(__xludf.DUMMYFUNCTION("""COMPUTED_VALUE"""),"Variant Pathogenicity")</f>
        <v>Variant Pathogenicity</v>
      </c>
      <c r="L313" s="55"/>
      <c r="M313" s="55"/>
      <c r="N313" s="55"/>
      <c r="O313" s="55"/>
      <c r="P313" s="55"/>
      <c r="Q313" s="55"/>
      <c r="R313" s="55"/>
      <c r="S313" s="55"/>
      <c r="T313" s="55"/>
      <c r="U313" s="55"/>
      <c r="V313" s="55"/>
      <c r="W313" s="55"/>
      <c r="X313" s="55"/>
      <c r="Y313" s="55"/>
      <c r="Z313" s="55"/>
    </row>
    <row r="314">
      <c r="A314" s="55" t="str">
        <f>IFERROR(__xludf.DUMMYFUNCTION("""COMPUTED_VALUE"""),"Unassigned")</f>
        <v>Unassigned</v>
      </c>
      <c r="B314" s="55" t="str">
        <f>IFERROR(__xludf.DUMMYFUNCTION("""COMPUTED_VALUE"""),"")</f>
        <v/>
      </c>
      <c r="C314" s="55" t="str">
        <f>IFERROR(__xludf.DUMMYFUNCTION("""COMPUTED_VALUE"""),"")</f>
        <v/>
      </c>
      <c r="D314" s="55" t="str">
        <f>IFERROR(__xludf.DUMMYFUNCTION("""COMPUTED_VALUE"""),"")</f>
        <v/>
      </c>
      <c r="E314" s="55" t="str">
        <f>IFERROR(__xludf.DUMMYFUNCTION("""COMPUTED_VALUE"""),"NA")</f>
        <v>NA</v>
      </c>
      <c r="F314" s="55" t="str">
        <f>IFERROR(__xludf.DUMMYFUNCTION("""COMPUTED_VALUE"""),"")</f>
        <v/>
      </c>
      <c r="G314" s="55" t="str">
        <f>IFERROR(__xludf.DUMMYFUNCTION("""COMPUTED_VALUE"""),"Chitra Chandrasekaran")</f>
        <v>Chitra Chandrasekaran</v>
      </c>
      <c r="H314" s="55" t="str">
        <f>IFERROR(__xludf.DUMMYFUNCTION("""COMPUTED_VALUE"""),"cchandrasekaran@txwes.edu")</f>
        <v>cchandrasekaran@txwes.edu</v>
      </c>
      <c r="I314" s="55" t="str">
        <f>IFERROR(__xludf.DUMMYFUNCTION("""COMPUTED_VALUE"""),"Biology Professor")</f>
        <v>Biology Professor</v>
      </c>
      <c r="J314" s="55"/>
      <c r="K314" s="55" t="str">
        <f>IFERROR(__xludf.DUMMYFUNCTION("""COMPUTED_VALUE"""),"Gene-Disease Validity")</f>
        <v>Gene-Disease Validity</v>
      </c>
      <c r="L314" s="55"/>
      <c r="M314" s="55"/>
      <c r="N314" s="55"/>
      <c r="O314" s="55"/>
      <c r="P314" s="55"/>
      <c r="Q314" s="55"/>
      <c r="R314" s="55"/>
      <c r="S314" s="55"/>
      <c r="T314" s="55"/>
      <c r="U314" s="55"/>
      <c r="V314" s="55"/>
      <c r="W314" s="55"/>
      <c r="X314" s="55"/>
      <c r="Y314" s="55"/>
      <c r="Z314" s="55"/>
    </row>
    <row r="315">
      <c r="A315" s="55" t="str">
        <f>IFERROR(__xludf.DUMMYFUNCTION("""COMPUTED_VALUE"""),"Unassigned")</f>
        <v>Unassigned</v>
      </c>
      <c r="B315" s="55" t="str">
        <f>IFERROR(__xludf.DUMMYFUNCTION("""COMPUTED_VALUE"""),"")</f>
        <v/>
      </c>
      <c r="C315" s="55" t="str">
        <f>IFERROR(__xludf.DUMMYFUNCTION("""COMPUTED_VALUE"""),"")</f>
        <v/>
      </c>
      <c r="D315" s="55" t="str">
        <f>IFERROR(__xludf.DUMMYFUNCTION("""COMPUTED_VALUE"""),"")</f>
        <v/>
      </c>
      <c r="E315" s="55" t="str">
        <f>IFERROR(__xludf.DUMMYFUNCTION("""COMPUTED_VALUE"""),"NA")</f>
        <v>NA</v>
      </c>
      <c r="F315" s="55" t="str">
        <f>IFERROR(__xludf.DUMMYFUNCTION("""COMPUTED_VALUE"""),"")</f>
        <v/>
      </c>
      <c r="G315" s="55" t="str">
        <f>IFERROR(__xludf.DUMMYFUNCTION("""COMPUTED_VALUE"""),"Silke Waap")</f>
        <v>Silke Waap</v>
      </c>
      <c r="H315" s="55" t="str">
        <f>IFERROR(__xludf.DUMMYFUNCTION("""COMPUTED_VALUE"""),"silkewaap@gmail.com")</f>
        <v>silkewaap@gmail.com</v>
      </c>
      <c r="I315" s="55" t="str">
        <f>IFERROR(__xludf.DUMMYFUNCTION("""COMPUTED_VALUE"""),"Scientific Researcher")</f>
        <v>Scientific Researcher</v>
      </c>
      <c r="J315" s="55"/>
      <c r="K315" s="55" t="str">
        <f>IFERROR(__xludf.DUMMYFUNCTION("""COMPUTED_VALUE"""),"Gene-Disease Validity")</f>
        <v>Gene-Disease Validity</v>
      </c>
      <c r="L315" s="55"/>
      <c r="M315" s="55"/>
      <c r="N315" s="55"/>
      <c r="O315" s="55"/>
      <c r="P315" s="55"/>
      <c r="Q315" s="55"/>
      <c r="R315" s="55"/>
      <c r="S315" s="55"/>
      <c r="T315" s="55"/>
      <c r="U315" s="55"/>
      <c r="V315" s="55"/>
      <c r="W315" s="55"/>
      <c r="X315" s="55"/>
      <c r="Y315" s="55"/>
      <c r="Z315" s="55"/>
    </row>
    <row r="316">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row>
    <row r="317">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row>
    <row r="318">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row>
    <row r="319">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row>
    <row r="320">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row>
    <row r="321">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row>
    <row r="322">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row>
    <row r="323">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row>
    <row r="324">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row>
    <row r="325">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row>
    <row r="326">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row>
    <row r="327">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row>
    <row r="328">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row>
    <row r="329">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row>
    <row r="330">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row>
    <row r="331">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row>
    <row r="332">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row>
    <row r="333">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row>
    <row r="334">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row>
    <row r="335">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row>
    <row r="336">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row>
    <row r="337">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row>
    <row r="338">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row>
    <row r="339">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row>
    <row r="340">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row>
    <row r="341">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row>
    <row r="342">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row>
    <row r="343">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row>
    <row r="344">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row>
    <row r="345">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row>
    <row r="346">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row>
    <row r="347">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row>
    <row r="348">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row>
    <row r="349">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row>
    <row r="350">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row>
    <row r="351">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row>
    <row r="352">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row>
    <row r="353">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row>
    <row r="354">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row>
    <row r="355">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row>
    <row r="356">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row>
    <row r="357">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row>
    <row r="358">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row>
    <row r="359">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row>
    <row r="360">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row>
    <row r="361">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row>
    <row r="362">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row>
    <row r="363">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row>
    <row r="364">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row>
    <row r="365">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row>
    <row r="366">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row>
    <row r="367">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row>
    <row r="368">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row>
    <row r="369">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row>
    <row r="370">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row>
    <row r="371">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row>
    <row r="372">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row>
    <row r="373">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row>
    <row r="374">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row>
    <row r="375">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row>
    <row r="376">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row>
    <row r="377">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row>
    <row r="378">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row>
    <row r="379">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row>
    <row r="380">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row>
    <row r="381">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row>
    <row r="382">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row>
    <row r="383">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row>
    <row r="384">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row>
    <row r="385">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row>
    <row r="386">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row>
    <row r="387">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row>
    <row r="388">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row>
    <row r="389">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row>
    <row r="390">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row>
    <row r="391">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row>
    <row r="392">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row>
    <row r="393">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row>
    <row r="394">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row>
    <row r="395">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row>
    <row r="396">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row>
    <row r="397">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row>
    <row r="398">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row>
    <row r="399">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row>
    <row r="400">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row>
    <row r="401">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row>
    <row r="402">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row>
    <row r="403">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row>
    <row r="404">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row>
    <row r="405">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row>
    <row r="406">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row>
    <row r="407">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row>
    <row r="408">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row>
    <row r="409">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row>
    <row r="410">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row>
    <row r="411">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row>
    <row r="412">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row>
    <row r="413">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row>
    <row r="414">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row>
    <row r="415">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row>
    <row r="416">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row>
    <row r="417">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row>
    <row r="418">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row>
    <row r="419">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row>
    <row r="420">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row>
    <row r="421">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row>
    <row r="422">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row>
    <row r="423">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row>
    <row r="424">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row>
    <row r="425">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row>
    <row r="426">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row>
    <row r="427">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row>
    <row r="428">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row>
    <row r="429">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row>
    <row r="430">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row>
    <row r="431">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row>
    <row r="432">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row>
    <row r="433">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row>
    <row r="434">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row>
    <row r="435">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row>
    <row r="436">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row>
    <row r="437">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row>
    <row r="438">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row>
    <row r="439">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row>
    <row r="440">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row>
    <row r="441">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row>
    <row r="442">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row>
    <row r="443">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row>
    <row r="444">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row>
    <row r="445">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row>
    <row r="446">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row>
    <row r="447">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row>
    <row r="448">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row>
    <row r="449">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row>
    <row r="450">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row>
    <row r="451">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row>
    <row r="452">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row>
    <row r="453">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row>
    <row r="454">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row>
    <row r="455">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row>
    <row r="456">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row>
    <row r="457">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row>
    <row r="458">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row>
    <row r="459">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row>
    <row r="460">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row>
    <row r="461">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row>
    <row r="462">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row>
    <row r="463">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row>
    <row r="464">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row>
    <row r="465">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row>
    <row r="466">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row>
    <row r="467">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row>
    <row r="468">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row>
    <row r="469">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row>
    <row r="470">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row>
    <row r="471">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row>
    <row r="472">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row>
    <row r="473">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row>
    <row r="474">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row>
    <row r="475">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row>
    <row r="476">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row>
    <row r="477">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row>
    <row r="478">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row>
    <row r="479">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row>
    <row r="480">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row>
    <row r="481">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row>
    <row r="482">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row>
    <row r="483">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row>
    <row r="484">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row>
    <row r="485">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row>
    <row r="486">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row>
    <row r="487">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row>
    <row r="488">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row>
    <row r="489">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row>
    <row r="490">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row>
    <row r="491">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row>
    <row r="492">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row>
    <row r="493">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row>
    <row r="494">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row>
    <row r="495">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row>
    <row r="496">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row>
    <row r="497">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row>
    <row r="498">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row>
    <row r="499">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row>
    <row r="500">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row>
    <row r="501">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row>
    <row r="502">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row>
    <row r="503">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row>
    <row r="504">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row>
    <row r="505">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row>
    <row r="506">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row>
    <row r="507">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row>
    <row r="508">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row>
    <row r="509">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row>
    <row r="510">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row>
    <row r="511">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row>
    <row r="512">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row>
    <row r="513">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row>
    <row r="514">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row>
    <row r="515">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row>
    <row r="516">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row>
    <row r="517">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row>
    <row r="518">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row>
    <row r="519">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row>
    <row r="520">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row>
    <row r="521">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row>
    <row r="522">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row>
    <row r="523">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row>
    <row r="524">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row>
    <row r="525">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row>
    <row r="526">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row>
    <row r="527">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row>
    <row r="528">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row>
    <row r="529">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row>
    <row r="530">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row>
    <row r="531">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row>
    <row r="532">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row>
    <row r="533">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row>
    <row r="534">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row>
    <row r="535">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row>
    <row r="536">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row>
    <row r="537">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row>
    <row r="538">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row>
    <row r="539">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row>
    <row r="540">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row>
    <row r="541">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row>
    <row r="542">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row>
    <row r="543">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row>
    <row r="544">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row>
    <row r="545">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row>
    <row r="546">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row>
    <row r="547">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row>
    <row r="548">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row>
    <row r="549">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row>
    <row r="550">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row>
    <row r="551">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row>
    <row r="552">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row>
    <row r="553">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row>
    <row r="554">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row>
    <row r="555">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row>
    <row r="556">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row>
    <row r="557">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row>
    <row r="558">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row>
    <row r="559">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row>
    <row r="560">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row>
    <row r="561">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row>
    <row r="562">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row>
    <row r="563">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row>
    <row r="564">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row>
    <row r="565">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row>
    <row r="566">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row>
    <row r="567">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row>
    <row r="568">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row>
    <row r="569">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row>
    <row r="570">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row>
    <row r="571">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row>
    <row r="572">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row>
    <row r="573">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row>
    <row r="574">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row>
    <row r="575">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row>
    <row r="576">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row>
    <row r="577">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row>
    <row r="578">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row>
    <row r="579">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row>
    <row r="580">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row>
    <row r="581">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row>
    <row r="582">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row>
    <row r="583">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row>
    <row r="584">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row>
    <row r="585">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row>
    <row r="586">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row>
    <row r="587">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row>
    <row r="588">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row>
    <row r="589">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row>
    <row r="590">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row>
    <row r="591">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row>
    <row r="592">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row>
    <row r="593">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row>
    <row r="594">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row>
    <row r="595">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row>
    <row r="596">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row>
    <row r="597">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row>
    <row r="598">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row>
    <row r="599">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row>
    <row r="600">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row>
    <row r="601">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row>
    <row r="602">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row>
    <row r="603">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row>
    <row r="604">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row>
    <row r="605">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row>
    <row r="606">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row>
    <row r="607">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row>
    <row r="608">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row>
    <row r="609">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row>
    <row r="610">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row>
    <row r="611">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row>
    <row r="612">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row>
    <row r="613">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row>
    <row r="614">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row>
    <row r="615">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row>
    <row r="616">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row>
    <row r="617">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row>
    <row r="618">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row>
    <row r="619">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row>
    <row r="620">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row>
    <row r="621">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row>
    <row r="622">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row>
    <row r="623">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row>
    <row r="624">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row>
    <row r="625">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row>
    <row r="626">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row>
    <row r="627">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row>
    <row r="628">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row>
    <row r="629">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row>
    <row r="630">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row>
    <row r="631">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row>
    <row r="632">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row>
    <row r="633">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row>
    <row r="634">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row>
    <row r="635">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row>
    <row r="636">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row>
    <row r="637">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row>
    <row r="638">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row>
    <row r="639">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row>
    <row r="640">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row>
    <row r="641">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row>
    <row r="642">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row>
    <row r="643">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row>
    <row r="644">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row>
    <row r="645">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row>
    <row r="646">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row>
    <row r="647">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row>
    <row r="648">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row>
    <row r="649">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row>
    <row r="650">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row>
    <row r="651">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row>
    <row r="652">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row>
    <row r="653">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row>
    <row r="654">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row>
    <row r="655">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row>
    <row r="656">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row>
    <row r="657">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row>
    <row r="658">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row>
    <row r="659">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row>
    <row r="660">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row>
    <row r="661">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row>
    <row r="662">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row>
    <row r="663">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row>
    <row r="664">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row>
    <row r="665">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row>
    <row r="666">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row>
    <row r="667">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row>
    <row r="668">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row>
    <row r="669">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row>
    <row r="670">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row>
    <row r="671">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row>
    <row r="672">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row>
    <row r="673">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row>
    <row r="674">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row>
    <row r="675">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row>
    <row r="676">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row>
    <row r="677">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row>
    <row r="678">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row>
    <row r="679">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row>
    <row r="680">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row>
    <row r="681">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row>
    <row r="682">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row>
    <row r="683">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row>
    <row r="684">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row>
    <row r="685">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row>
    <row r="686">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row>
    <row r="687">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row>
    <row r="688">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row>
    <row r="689">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row>
    <row r="690">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row>
    <row r="691">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row>
    <row r="692">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row>
    <row r="693">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row>
    <row r="694">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row>
    <row r="695">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row>
    <row r="696">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row>
    <row r="697">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row>
    <row r="698">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row>
    <row r="699">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row>
    <row r="700">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row>
    <row r="701">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row>
    <row r="702">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row>
    <row r="703">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row>
    <row r="704">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row>
    <row r="705">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row>
    <row r="706">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row>
    <row r="707">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row>
    <row r="708">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row>
    <row r="709">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row>
    <row r="710">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row>
    <row r="711">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row>
    <row r="712">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row>
    <row r="713">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row>
    <row r="714">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row>
    <row r="715">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row>
    <row r="716">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row>
    <row r="717">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row>
    <row r="718">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row>
    <row r="719">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row>
    <row r="720">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row>
    <row r="721">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row>
    <row r="722">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row>
    <row r="723">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row>
    <row r="724">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row>
    <row r="725">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row>
    <row r="726">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row>
    <row r="727">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row>
    <row r="728">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row>
    <row r="729">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row>
    <row r="730">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row>
    <row r="731">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row>
    <row r="732">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row>
    <row r="733">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row>
    <row r="734">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row>
    <row r="735">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row>
    <row r="736">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row>
    <row r="737">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row>
    <row r="738">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row>
    <row r="739">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row>
    <row r="740">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row>
    <row r="741">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row>
    <row r="742">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row>
    <row r="743">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row>
    <row r="744">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row>
    <row r="745">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row>
    <row r="746">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row>
    <row r="747">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row>
    <row r="748">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row>
    <row r="749">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row>
    <row r="750">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row>
    <row r="751">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row>
    <row r="752">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row>
    <row r="753">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row>
    <row r="754">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row>
    <row r="755">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row>
    <row r="756">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row>
    <row r="757">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row>
    <row r="758">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row>
    <row r="759">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row>
    <row r="760">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row>
    <row r="761">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row>
    <row r="762">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row>
    <row r="763">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row>
    <row r="764">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row>
    <row r="765">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row>
    <row r="766">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row>
    <row r="767">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row>
    <row r="768">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row>
    <row r="769">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row>
    <row r="770">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row>
    <row r="771">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row>
    <row r="772">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row>
    <row r="773">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row>
    <row r="774">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row>
    <row r="775">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row>
    <row r="776">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row>
    <row r="777">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row>
    <row r="778">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row>
    <row r="779">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row>
    <row r="780">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row>
    <row r="781">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row>
    <row r="782">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row>
    <row r="783">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row>
    <row r="784">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row>
    <row r="785">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row>
    <row r="786">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row>
    <row r="787">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row>
    <row r="788">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row>
    <row r="789">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row>
    <row r="790">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row>
    <row r="791">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row>
    <row r="792">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row>
    <row r="793">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row>
    <row r="794">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row>
    <row r="795">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row>
    <row r="796">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row>
    <row r="797">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row>
    <row r="798">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row>
    <row r="799">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row>
    <row r="800">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row>
    <row r="801">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row>
    <row r="802">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row>
    <row r="803">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row>
    <row r="804">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row>
    <row r="805">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row>
    <row r="806">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row>
    <row r="807">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row>
    <row r="808">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row>
    <row r="809">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row>
    <row r="810">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row>
    <row r="811">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row>
    <row r="812">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row>
    <row r="813">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row>
    <row r="814">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row>
    <row r="815">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row>
    <row r="816">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row>
    <row r="817">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row>
    <row r="818">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row>
    <row r="819">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row>
    <row r="820">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row>
    <row r="821">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row>
    <row r="822">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row>
    <row r="823">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row>
    <row r="824">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row>
    <row r="825">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row>
    <row r="826">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row>
    <row r="827">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row>
    <row r="828">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row>
    <row r="829">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row>
    <row r="830">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row>
    <row r="831">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row>
    <row r="832">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row>
    <row r="833">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row>
    <row r="834">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row>
    <row r="835">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row>
    <row r="836">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row>
    <row r="837">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row>
    <row r="838">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row>
    <row r="839">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row>
    <row r="840">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row>
    <row r="841">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row>
    <row r="842">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row>
    <row r="843">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row>
    <row r="844">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row>
    <row r="845">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row>
    <row r="846">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row>
    <row r="847">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row>
    <row r="848">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row>
    <row r="849">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row>
    <row r="850">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row>
    <row r="851">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row>
    <row r="852">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row>
    <row r="853">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row>
    <row r="854">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row>
    <row r="855">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row>
    <row r="856">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row>
    <row r="857">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row>
    <row r="858">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row>
    <row r="859">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row>
    <row r="860">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row>
    <row r="861">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row>
    <row r="862">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row>
    <row r="863">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row>
    <row r="864">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row>
    <row r="865">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row>
    <row r="866">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row>
    <row r="867">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row>
    <row r="868">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row>
    <row r="869">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row>
    <row r="870">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row>
    <row r="871">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row>
    <row r="872">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row>
    <row r="873">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row>
    <row r="874">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row>
    <row r="875">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row>
    <row r="876">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row>
    <row r="877">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row>
    <row r="878">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row>
    <row r="879">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row>
    <row r="880">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row>
    <row r="881">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row>
    <row r="882">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row>
    <row r="883">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row>
    <row r="884">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row>
    <row r="885">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row>
    <row r="886">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row>
    <row r="887">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row>
    <row r="888">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row>
    <row r="889">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row>
    <row r="890">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row>
    <row r="891">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row>
    <row r="892">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row>
    <row r="893">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row>
    <row r="894">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row>
    <row r="895">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row>
    <row r="896">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row>
    <row r="897">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row>
    <row r="898">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row>
    <row r="899">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row>
    <row r="900">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row>
    <row r="901">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row>
    <row r="902">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row>
    <row r="903">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row>
    <row r="904">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row>
    <row r="905">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row>
    <row r="906">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row>
    <row r="907">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row>
    <row r="908">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row>
    <row r="909">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row>
    <row r="910">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row>
    <row r="911">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row>
    <row r="912">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row>
    <row r="913">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row>
    <row r="914">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row>
    <row r="915">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row>
    <row r="916">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row>
    <row r="917">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row>
    <row r="918">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row>
    <row r="919">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row>
    <row r="920">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row>
    <row r="921">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row>
    <row r="922">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row>
    <row r="923">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row>
    <row r="924">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row>
    <row r="925">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row>
    <row r="926">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row>
    <row r="927">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row>
    <row r="928">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row>
    <row r="929">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row>
    <row r="930">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row>
    <row r="931">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row>
    <row r="932">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row>
    <row r="933">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row>
    <row r="934">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row>
    <row r="935">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row>
    <row r="936">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row>
    <row r="937">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row>
    <row r="938">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row>
    <row r="939">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row>
    <row r="940">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row>
    <row r="941">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row>
    <row r="942">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row>
    <row r="943">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row>
    <row r="944">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row>
    <row r="945">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row>
    <row r="946">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row>
    <row r="947">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row>
    <row r="948">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row>
    <row r="949">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row>
    <row r="950">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row>
    <row r="951">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row>
    <row r="952">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row>
    <row r="953">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row>
    <row r="954">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row>
    <row r="955">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row>
    <row r="956">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row>
    <row r="957">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row>
    <row r="958">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row>
    <row r="959">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row>
    <row r="960">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row>
    <row r="961">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row>
    <row r="962">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row>
    <row r="963">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row>
    <row r="964">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row>
    <row r="965">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row>
    <row r="966">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row>
    <row r="967">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row>
    <row r="968">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row>
    <row r="969">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row>
    <row r="970">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row>
    <row r="971">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row>
    <row r="972">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row>
    <row r="973">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row>
    <row r="974">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row>
    <row r="975">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row>
    <row r="976">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row>
    <row r="977">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row>
    <row r="978">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row>
    <row r="979">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row>
    <row r="980">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row>
    <row r="981">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row>
    <row r="982">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row>
    <row r="983">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row>
    <row r="984">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row>
    <row r="985">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row>
    <row r="986">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row>
    <row r="987">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row>
    <row r="988">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row>
    <row r="989">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row>
    <row r="990">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row>
    <row r="991">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row>
    <row r="992">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row>
    <row r="993">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row>
    <row r="994">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row>
    <row r="995">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row>
    <row r="996">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row>
    <row r="997">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row>
    <row r="998">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row>
    <row r="999">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row>
    <row r="1000">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row>
  </sheetData>
  <mergeCells count="2">
    <mergeCell ref="A1:F1"/>
    <mergeCell ref="G1:H1"/>
  </mergeCells>
  <conditionalFormatting sqref="A1:A1000">
    <cfRule type="containsText" dxfId="0" priority="1" operator="containsText" text="Unassigned">
      <formula>NOT(ISERROR(SEARCH(("Unassigned"),(A1))))</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29"/>
    <col customWidth="1" min="2" max="2" width="15.43"/>
    <col customWidth="1" min="3" max="3" width="14.43"/>
    <col customWidth="1" min="4" max="4" width="19.0"/>
    <col customWidth="1" min="5" max="5" width="20.0"/>
    <col customWidth="1" min="6" max="6" width="28.43"/>
    <col customWidth="1" min="7" max="7" width="13.43"/>
    <col customWidth="1" min="8" max="8" width="17.86"/>
    <col customWidth="1" min="9" max="9" width="23.0"/>
    <col customWidth="1" min="10" max="10" width="28.86"/>
    <col customWidth="1" min="11" max="11" width="60.0"/>
  </cols>
  <sheetData>
    <row r="1">
      <c r="A1" s="8" t="s">
        <v>7</v>
      </c>
      <c r="B1" s="9"/>
      <c r="C1" s="9"/>
      <c r="D1" s="9"/>
      <c r="E1" s="9"/>
      <c r="F1" s="9"/>
      <c r="G1" s="22"/>
      <c r="H1" s="106" t="s">
        <v>38</v>
      </c>
    </row>
    <row r="2">
      <c r="A2" s="107" t="s">
        <v>0</v>
      </c>
      <c r="B2" s="108" t="s">
        <v>72</v>
      </c>
      <c r="C2" s="108" t="s">
        <v>73</v>
      </c>
      <c r="D2" s="109" t="s">
        <v>74</v>
      </c>
      <c r="E2" s="109" t="s">
        <v>333</v>
      </c>
      <c r="F2" s="109" t="s">
        <v>334</v>
      </c>
      <c r="G2" s="108" t="s">
        <v>327</v>
      </c>
      <c r="H2" s="110" t="s">
        <v>335</v>
      </c>
      <c r="I2" s="111" t="s">
        <v>336</v>
      </c>
      <c r="J2" s="111" t="s">
        <v>337</v>
      </c>
      <c r="K2" s="112" t="s">
        <v>338</v>
      </c>
    </row>
    <row r="3">
      <c r="A3" t="str">
        <f>IFERROR(__xludf.DUMMYFUNCTION("filter(Assignments!B3:B1000,Assignments!P3:P1000=""Clinical Actionability"", Assignments!O3:O1000=""Comprehensive"")"),"Unresponsive")</f>
        <v>Unresponsive</v>
      </c>
      <c r="B3" t="str">
        <f>IFERROR(__xludf.DUMMYFUNCTION("filter(Assignments!C3:C1000,Assignments!P3:P1000=""Clinical Actionability"",Assignments!O3:O1000=""Comprehensive"")"),"")</f>
        <v/>
      </c>
      <c r="C3" t="str">
        <f>IFERROR(__xludf.DUMMYFUNCTION("filter(Assignments!D3:D1000,Assignments!P3:P1000=""Clinical Actionability"",Assignments!O3:O1000=""Comprehensive"")"),"")</f>
        <v/>
      </c>
      <c r="D3" s="68" t="str">
        <f>IFERROR(__xludf.DUMMYFUNCTION("filter(Assignments!E3:E1000,Assignments!P3:P1000=""Clinical Actionability"",Assignments!O3:O1000=""Comprehensive"")"),"No")</f>
        <v>No</v>
      </c>
      <c r="E3" s="68" t="str">
        <f>IFERROR(__xludf.DUMMYFUNCTION("filter(Assignments!F3:F1000,Assignments!P3:P1000=""Clinical Actionability"",Assignments!O3:O1000=""Comprehensive"")"),"No")</f>
        <v>No</v>
      </c>
      <c r="F3" s="55" t="str">
        <f>IFERROR(__xludf.DUMMYFUNCTION("filter(Assignments!G3:G1000,Assignments!P3:P1000=""Clinical Actionability"",Assignments!O3:O1000=""Comprehensive"")"),"Actionability")</f>
        <v>Actionability</v>
      </c>
      <c r="G3" t="str">
        <f>IFERROR(__xludf.DUMMYFUNCTION("filter(Assignments!H3:H1000,Assignments!P3:P1000=""Clinical Actionability"",Assignments!O3:O1000=""Comprehensive"")"),"")</f>
        <v/>
      </c>
      <c r="H3" t="str">
        <f>IFERROR(__xludf.DUMMYFUNCTION("filter(Assignments!L3:L1000,Assignments!P3:P1000=""Clinical Actionability"",Assignments!O3:O1000=""Comprehensive"")"),"Edwin Kim")</f>
        <v>Edwin Kim</v>
      </c>
      <c r="I3" t="str">
        <f>IFERROR(__xludf.DUMMYFUNCTION("filter(Assignments!M3:M1000,Assignments!P3:P1000=""Clinical Actionability"",Assignments!O3:O1000=""Comprehensive"")"),"Edwinkimmd@gmail.com")</f>
        <v>Edwinkimmd@gmail.com</v>
      </c>
      <c r="J3" s="55" t="str">
        <f>IFERROR(__xludf.DUMMYFUNCTION("filter(Assignments!O3:O1000,Assignments!P3:P1000=""Clinical Actionability"",Assignments!O3:O1000=""Comprehensive"")"),"Comprehensive")</f>
        <v>Comprehensive</v>
      </c>
      <c r="K3" t="str">
        <f>IFERROR(__xludf.DUMMYFUNCTION("filter(Assignments!W3:W1000,Assignments!P3:P1000=""Clinical Actionability"",Assignments!O3:O1000=""Comprehensive"")"),"Possibly after gaining some more exposure and increasing experience.")</f>
        <v>Possibly after gaining some more exposure and increasing experience.</v>
      </c>
    </row>
    <row r="4">
      <c r="A4" t="str">
        <f>IFERROR(__xludf.DUMMYFUNCTION("""COMPUTED_VALUE"""),"Contacted")</f>
        <v>Contacted</v>
      </c>
      <c r="B4" t="str">
        <f>IFERROR(__xludf.DUMMYFUNCTION("""COMPUTED_VALUE"""),"")</f>
        <v/>
      </c>
      <c r="C4" s="113">
        <f>IFERROR(__xludf.DUMMYFUNCTION("""COMPUTED_VALUE"""),43678.0)</f>
        <v>43678</v>
      </c>
      <c r="D4" s="55" t="str">
        <f>IFERROR(__xludf.DUMMYFUNCTION("""COMPUTED_VALUE"""),"Yes")</f>
        <v>Yes</v>
      </c>
      <c r="E4" s="55" t="str">
        <f>IFERROR(__xludf.DUMMYFUNCTION("""COMPUTED_VALUE"""),"No")</f>
        <v>No</v>
      </c>
      <c r="F4" s="55" t="str">
        <f>IFERROR(__xludf.DUMMYFUNCTION("""COMPUTED_VALUE"""),"Actionability")</f>
        <v>Actionability</v>
      </c>
      <c r="G4" t="str">
        <f>IFERROR(__xludf.DUMMYFUNCTION("""COMPUTED_VALUE"""),"")</f>
        <v/>
      </c>
      <c r="H4" t="str">
        <f>IFERROR(__xludf.DUMMYFUNCTION("""COMPUTED_VALUE"""),"Juan Carlos Diaz ")</f>
        <v>Juan Carlos Diaz </v>
      </c>
      <c r="I4" t="str">
        <f>IFERROR(__xludf.DUMMYFUNCTION("""COMPUTED_VALUE"""),"cuallijuan@hotmail.com ")</f>
        <v>cuallijuan@hotmail.com </v>
      </c>
      <c r="J4" s="55" t="str">
        <f>IFERROR(__xludf.DUMMYFUNCTION("""COMPUTED_VALUE"""),"Comprehensive")</f>
        <v>Comprehensive</v>
      </c>
      <c r="K4" t="str">
        <f>IFERROR(__xludf.DUMMYFUNCTION("""COMPUTED_VALUE"""),"Gene Curation Expert Panels")</f>
        <v>Gene Curation Expert Panels</v>
      </c>
    </row>
    <row r="5">
      <c r="A5" t="str">
        <f>IFERROR(__xludf.DUMMYFUNCTION("""COMPUTED_VALUE"""),"Contacted")</f>
        <v>Contacted</v>
      </c>
      <c r="B5" t="str">
        <f>IFERROR(__xludf.DUMMYFUNCTION("""COMPUTED_VALUE"""),"")</f>
        <v/>
      </c>
      <c r="C5" s="113">
        <f>IFERROR(__xludf.DUMMYFUNCTION("""COMPUTED_VALUE"""),43678.0)</f>
        <v>43678</v>
      </c>
      <c r="D5" s="55" t="str">
        <f>IFERROR(__xludf.DUMMYFUNCTION("""COMPUTED_VALUE"""),"Yes")</f>
        <v>Yes</v>
      </c>
      <c r="E5" s="55" t="str">
        <f>IFERROR(__xludf.DUMMYFUNCTION("""COMPUTED_VALUE"""),"No")</f>
        <v>No</v>
      </c>
      <c r="F5" s="55" t="str">
        <f>IFERROR(__xludf.DUMMYFUNCTION("""COMPUTED_VALUE"""),"Actionability")</f>
        <v>Actionability</v>
      </c>
      <c r="G5" t="str">
        <f>IFERROR(__xludf.DUMMYFUNCTION("""COMPUTED_VALUE"""),"")</f>
        <v/>
      </c>
      <c r="H5" t="str">
        <f>IFERROR(__xludf.DUMMYFUNCTION("""COMPUTED_VALUE"""),"Rhea Vallente")</f>
        <v>Rhea Vallente</v>
      </c>
      <c r="I5" t="str">
        <f>IFERROR(__xludf.DUMMYFUNCTION("""COMPUTED_VALUE"""),"rvallente@fulgentgenetics.com")</f>
        <v>rvallente@fulgentgenetics.com</v>
      </c>
      <c r="J5" s="55" t="str">
        <f>IFERROR(__xludf.DUMMYFUNCTION("""COMPUTED_VALUE"""),"Comprehensive")</f>
        <v>Comprehensive</v>
      </c>
      <c r="K5" t="str">
        <f>IFERROR(__xludf.DUMMYFUNCTION("""COMPUTED_VALUE"""),"Hearing loss")</f>
        <v>Hearing loss</v>
      </c>
    </row>
    <row r="6">
      <c r="A6" t="str">
        <f>IFERROR(__xludf.DUMMYFUNCTION("""COMPUTED_VALUE"""),"Contacted")</f>
        <v>Contacted</v>
      </c>
      <c r="B6" t="str">
        <f>IFERROR(__xludf.DUMMYFUNCTION("""COMPUTED_VALUE"""),"")</f>
        <v/>
      </c>
      <c r="C6" s="114">
        <f>IFERROR(__xludf.DUMMYFUNCTION("""COMPUTED_VALUE"""),43567.0)</f>
        <v>43567</v>
      </c>
      <c r="D6" s="55" t="str">
        <f>IFERROR(__xludf.DUMMYFUNCTION("""COMPUTED_VALUE"""),"Yes")</f>
        <v>Yes</v>
      </c>
      <c r="E6" s="55" t="str">
        <f>IFERROR(__xludf.DUMMYFUNCTION("""COMPUTED_VALUE"""),"Yes")</f>
        <v>Yes</v>
      </c>
      <c r="F6" s="55" t="str">
        <f>IFERROR(__xludf.DUMMYFUNCTION("""COMPUTED_VALUE"""),"Actionability")</f>
        <v>Actionability</v>
      </c>
      <c r="G6" t="str">
        <f>IFERROR(__xludf.DUMMYFUNCTION("""COMPUTED_VALUE"""),"Actionability")</f>
        <v>Actionability</v>
      </c>
      <c r="H6" t="str">
        <f>IFERROR(__xludf.DUMMYFUNCTION("""COMPUTED_VALUE"""),"Melissa Murfin")</f>
        <v>Melissa Murfin</v>
      </c>
      <c r="I6" t="str">
        <f>IFERROR(__xludf.DUMMYFUNCTION("""COMPUTED_VALUE"""),"mmurfin@elon.edu")</f>
        <v>mmurfin@elon.edu</v>
      </c>
      <c r="J6" s="55" t="str">
        <f>IFERROR(__xludf.DUMMYFUNCTION("""COMPUTED_VALUE"""),"Comprehensive")</f>
        <v>Comprehensive</v>
      </c>
      <c r="K6" t="str">
        <f>IFERROR(__xludf.DUMMYFUNCTION("""COMPUTED_VALUE"""),"I am open to any opportunity")</f>
        <v>I am open to any opportunity</v>
      </c>
    </row>
    <row r="7">
      <c r="A7" t="str">
        <f>IFERROR(__xludf.DUMMYFUNCTION("""COMPUTED_VALUE"""),"Contacted")</f>
        <v>Contacted</v>
      </c>
      <c r="B7" t="str">
        <f>IFERROR(__xludf.DUMMYFUNCTION("""COMPUTED_VALUE"""),"")</f>
        <v/>
      </c>
      <c r="C7" s="114">
        <f>IFERROR(__xludf.DUMMYFUNCTION("""COMPUTED_VALUE"""),43567.0)</f>
        <v>43567</v>
      </c>
      <c r="D7" s="55" t="str">
        <f>IFERROR(__xludf.DUMMYFUNCTION("""COMPUTED_VALUE"""),"Yes")</f>
        <v>Yes</v>
      </c>
      <c r="E7" s="55" t="str">
        <f>IFERROR(__xludf.DUMMYFUNCTION("""COMPUTED_VALUE"""),"No")</f>
        <v>No</v>
      </c>
      <c r="F7" s="55" t="str">
        <f>IFERROR(__xludf.DUMMYFUNCTION("""COMPUTED_VALUE"""),"Actionability")</f>
        <v>Actionability</v>
      </c>
      <c r="G7" t="str">
        <f>IFERROR(__xludf.DUMMYFUNCTION("""COMPUTED_VALUE"""),"")</f>
        <v/>
      </c>
      <c r="H7" t="str">
        <f>IFERROR(__xludf.DUMMYFUNCTION("""COMPUTED_VALUE"""),"Marwan Shinawi")</f>
        <v>Marwan Shinawi</v>
      </c>
      <c r="I7" t="str">
        <f>IFERROR(__xludf.DUMMYFUNCTION("""COMPUTED_VALUE"""),"mshinawi@wustl.edu")</f>
        <v>mshinawi@wustl.edu</v>
      </c>
      <c r="J7" s="55" t="str">
        <f>IFERROR(__xludf.DUMMYFUNCTION("""COMPUTED_VALUE"""),"Comprehensive")</f>
        <v>Comprehensive</v>
      </c>
      <c r="K7" t="str">
        <f>IFERROR(__xludf.DUMMYFUNCTION("""COMPUTED_VALUE"""),"Autism and Intellectual Disability Gene Curation Expert Panel")</f>
        <v>Autism and Intellectual Disability Gene Curation Expert Panel</v>
      </c>
    </row>
    <row r="8">
      <c r="A8" t="str">
        <f>IFERROR(__xludf.DUMMYFUNCTION("""COMPUTED_VALUE"""),"Assigned")</f>
        <v>Assigned</v>
      </c>
      <c r="B8" s="115">
        <f>IFERROR(__xludf.DUMMYFUNCTION("""COMPUTED_VALUE"""),43434.0)</f>
        <v>43434</v>
      </c>
      <c r="C8" s="114">
        <f>IFERROR(__xludf.DUMMYFUNCTION("""COMPUTED_VALUE"""),43522.0)</f>
        <v>43522</v>
      </c>
      <c r="D8" s="55" t="str">
        <f>IFERROR(__xludf.DUMMYFUNCTION("""COMPUTED_VALUE"""),"Yes")</f>
        <v>Yes</v>
      </c>
      <c r="E8" s="55" t="str">
        <f>IFERROR(__xludf.DUMMYFUNCTION("""COMPUTED_VALUE"""),"Yes")</f>
        <v>Yes</v>
      </c>
      <c r="F8" s="55" t="str">
        <f>IFERROR(__xludf.DUMMYFUNCTION("""COMPUTED_VALUE"""),"Actionability")</f>
        <v>Actionability</v>
      </c>
      <c r="G8" t="str">
        <f>IFERROR(__xludf.DUMMYFUNCTION("""COMPUTED_VALUE"""),"Actionability")</f>
        <v>Actionability</v>
      </c>
      <c r="H8" t="str">
        <f>IFERROR(__xludf.DUMMYFUNCTION("""COMPUTED_VALUE"""),"Kylin Boehler")</f>
        <v>Kylin Boehler</v>
      </c>
      <c r="I8" t="str">
        <f>IFERROR(__xludf.DUMMYFUNCTION("""COMPUTED_VALUE"""),"kylin.y.boehler@questdiagnostics.com")</f>
        <v>kylin.y.boehler@questdiagnostics.com</v>
      </c>
      <c r="J8" s="55" t="str">
        <f>IFERROR(__xludf.DUMMYFUNCTION("""COMPUTED_VALUE"""),"Comprehensive")</f>
        <v>Comprehensive</v>
      </c>
      <c r="K8" t="str">
        <f>IFERROR(__xludf.DUMMYFUNCTION("""COMPUTED_VALUE"""),"I am mainly interested in the Hereditary Cancer Gene Dosage Sensitivity Curation group.")</f>
        <v>I am mainly interested in the Hereditary Cancer Gene Dosage Sensitivity Curation group.</v>
      </c>
    </row>
    <row r="9">
      <c r="A9" t="str">
        <f>IFERROR(__xludf.DUMMYFUNCTION("""COMPUTED_VALUE"""),"Unresponsive")</f>
        <v>Unresponsive</v>
      </c>
      <c r="B9" s="115">
        <f>IFERROR(__xludf.DUMMYFUNCTION("""COMPUTED_VALUE"""),43434.0)</f>
        <v>43434</v>
      </c>
      <c r="C9" t="str">
        <f>IFERROR(__xludf.DUMMYFUNCTION("""COMPUTED_VALUE"""),"")</f>
        <v/>
      </c>
      <c r="D9" s="55" t="str">
        <f>IFERROR(__xludf.DUMMYFUNCTION("""COMPUTED_VALUE"""),"No")</f>
        <v>No</v>
      </c>
      <c r="E9" s="55" t="str">
        <f>IFERROR(__xludf.DUMMYFUNCTION("""COMPUTED_VALUE"""),"No")</f>
        <v>No</v>
      </c>
      <c r="F9" s="55" t="str">
        <f>IFERROR(__xludf.DUMMYFUNCTION("""COMPUTED_VALUE"""),"Actionability")</f>
        <v>Actionability</v>
      </c>
      <c r="G9" t="str">
        <f>IFERROR(__xludf.DUMMYFUNCTION("""COMPUTED_VALUE"""),"")</f>
        <v/>
      </c>
      <c r="H9" t="str">
        <f>IFERROR(__xludf.DUMMYFUNCTION("""COMPUTED_VALUE"""),"Lisa Diller")</f>
        <v>Lisa Diller</v>
      </c>
      <c r="I9" t="str">
        <f>IFERROR(__xludf.DUMMYFUNCTION("""COMPUTED_VALUE"""),"lisa_diller@dfci.harvard.edu")</f>
        <v>lisa_diller@dfci.harvard.edu</v>
      </c>
      <c r="J9" s="55" t="str">
        <f>IFERROR(__xludf.DUMMYFUNCTION("""COMPUTED_VALUE"""),"Comprehensive")</f>
        <v>Comprehensive</v>
      </c>
      <c r="K9" t="str">
        <f>IFERROR(__xludf.DUMMYFUNCTION("""COMPUTED_VALUE"""),"Hereditary Cancer")</f>
        <v>Hereditary Cancer</v>
      </c>
    </row>
    <row r="10">
      <c r="A10" t="str">
        <f>IFERROR(__xludf.DUMMYFUNCTION("""COMPUTED_VALUE"""),"Unresponsive")</f>
        <v>Unresponsive</v>
      </c>
      <c r="B10" s="115">
        <f>IFERROR(__xludf.DUMMYFUNCTION("""COMPUTED_VALUE"""),43434.0)</f>
        <v>43434</v>
      </c>
      <c r="C10" s="114">
        <f>IFERROR(__xludf.DUMMYFUNCTION("""COMPUTED_VALUE"""),43567.0)</f>
        <v>43567</v>
      </c>
      <c r="D10" s="55" t="str">
        <f>IFERROR(__xludf.DUMMYFUNCTION("""COMPUTED_VALUE"""),"Yes")</f>
        <v>Yes</v>
      </c>
      <c r="E10" s="55" t="str">
        <f>IFERROR(__xludf.DUMMYFUNCTION("""COMPUTED_VALUE"""),"No")</f>
        <v>No</v>
      </c>
      <c r="F10" s="55" t="str">
        <f>IFERROR(__xludf.DUMMYFUNCTION("""COMPUTED_VALUE"""),"Actionability")</f>
        <v>Actionability</v>
      </c>
      <c r="G10" t="str">
        <f>IFERROR(__xludf.DUMMYFUNCTION("""COMPUTED_VALUE"""),"")</f>
        <v/>
      </c>
      <c r="H10" t="str">
        <f>IFERROR(__xludf.DUMMYFUNCTION("""COMPUTED_VALUE"""),"Nharimann Azima")</f>
        <v>Nharimann Azima</v>
      </c>
      <c r="I10" t="str">
        <f>IFERROR(__xludf.DUMMYFUNCTION("""COMPUTED_VALUE"""),"naa3f@gwu.edu")</f>
        <v>naa3f@gwu.edu</v>
      </c>
      <c r="J10" s="55" t="str">
        <f>IFERROR(__xludf.DUMMYFUNCTION("""COMPUTED_VALUE"""),"Comprehensive")</f>
        <v>Comprehensive</v>
      </c>
      <c r="K10" t="str">
        <f>IFERROR(__xludf.DUMMYFUNCTION("""COMPUTED_VALUE"""),"I am flexible")</f>
        <v>I am flexible</v>
      </c>
    </row>
    <row r="11">
      <c r="A11" t="str">
        <f>IFERROR(__xludf.DUMMYFUNCTION("""COMPUTED_VALUE"""),"Assigned")</f>
        <v>Assigned</v>
      </c>
      <c r="B11" s="115">
        <f>IFERROR(__xludf.DUMMYFUNCTION("""COMPUTED_VALUE"""),43434.0)</f>
        <v>43434</v>
      </c>
      <c r="C11" s="113">
        <f>IFERROR(__xludf.DUMMYFUNCTION("""COMPUTED_VALUE"""),43678.0)</f>
        <v>43678</v>
      </c>
      <c r="D11" s="55" t="str">
        <f>IFERROR(__xludf.DUMMYFUNCTION("""COMPUTED_VALUE"""),"Yes")</f>
        <v>Yes</v>
      </c>
      <c r="E11" s="55" t="str">
        <f>IFERROR(__xludf.DUMMYFUNCTION("""COMPUTED_VALUE"""),"Yes")</f>
        <v>Yes</v>
      </c>
      <c r="F11" s="55" t="str">
        <f>IFERROR(__xludf.DUMMYFUNCTION("""COMPUTED_VALUE"""),"Actionability")</f>
        <v>Actionability</v>
      </c>
      <c r="G11" t="str">
        <f>IFERROR(__xludf.DUMMYFUNCTION("""COMPUTED_VALUE"""),"Actionability")</f>
        <v>Actionability</v>
      </c>
      <c r="H11" t="str">
        <f>IFERROR(__xludf.DUMMYFUNCTION("""COMPUTED_VALUE"""),"Krzysztof Szczaluba")</f>
        <v>Krzysztof Szczaluba</v>
      </c>
      <c r="I11" t="str">
        <f>IFERROR(__xludf.DUMMYFUNCTION("""COMPUTED_VALUE"""),"krzysztof.szczaluba@gmail.com")</f>
        <v>krzysztof.szczaluba@gmail.com</v>
      </c>
      <c r="J11" s="55" t="str">
        <f>IFERROR(__xludf.DUMMYFUNCTION("""COMPUTED_VALUE"""),"Comprehensive")</f>
        <v>Comprehensive</v>
      </c>
      <c r="K11" t="str">
        <f>IFERROR(__xludf.DUMMYFUNCTION("""COMPUTED_VALUE"""),"autism/ID, epi, brovca")</f>
        <v>autism/ID, epi, brovca</v>
      </c>
    </row>
    <row r="12">
      <c r="A12" t="str">
        <f>IFERROR(__xludf.DUMMYFUNCTION("""COMPUTED_VALUE"""),"Unresponsive")</f>
        <v>Unresponsive</v>
      </c>
      <c r="B12" s="115">
        <f>IFERROR(__xludf.DUMMYFUNCTION("""COMPUTED_VALUE"""),43434.0)</f>
        <v>43434</v>
      </c>
      <c r="C12" t="str">
        <f>IFERROR(__xludf.DUMMYFUNCTION("""COMPUTED_VALUE"""),"")</f>
        <v/>
      </c>
      <c r="D12" s="55" t="str">
        <f>IFERROR(__xludf.DUMMYFUNCTION("""COMPUTED_VALUE"""),"No")</f>
        <v>No</v>
      </c>
      <c r="E12" s="55" t="str">
        <f>IFERROR(__xludf.DUMMYFUNCTION("""COMPUTED_VALUE"""),"No")</f>
        <v>No</v>
      </c>
      <c r="F12" s="55" t="str">
        <f>IFERROR(__xludf.DUMMYFUNCTION("""COMPUTED_VALUE"""),"Actionability")</f>
        <v>Actionability</v>
      </c>
      <c r="G12" t="str">
        <f>IFERROR(__xludf.DUMMYFUNCTION("""COMPUTED_VALUE"""),"")</f>
        <v/>
      </c>
      <c r="H12" t="str">
        <f>IFERROR(__xludf.DUMMYFUNCTION("""COMPUTED_VALUE"""),"Robin Bennett")</f>
        <v>Robin Bennett</v>
      </c>
      <c r="I12" t="str">
        <f>IFERROR(__xludf.DUMMYFUNCTION("""COMPUTED_VALUE"""),"robinb@uw.edu")</f>
        <v>robinb@uw.edu</v>
      </c>
      <c r="J12" s="55" t="str">
        <f>IFERROR(__xludf.DUMMYFUNCTION("""COMPUTED_VALUE"""),"Comprehensive")</f>
        <v>Comprehensive</v>
      </c>
      <c r="K12" t="str">
        <f>IFERROR(__xludf.DUMMYFUNCTION("""COMPUTED_VALUE"""),"Variant curation expert panels: PTEN, VHL, CDH1, Colorectal cancer, breast-ovarian")</f>
        <v>Variant curation expert panels: PTEN, VHL, CDH1, Colorectal cancer, breast-ovarian</v>
      </c>
    </row>
    <row r="13">
      <c r="A13" t="str">
        <f>IFERROR(__xludf.DUMMYFUNCTION("""COMPUTED_VALUE"""),"Unresponsive")</f>
        <v>Unresponsive</v>
      </c>
      <c r="B13" s="115">
        <f>IFERROR(__xludf.DUMMYFUNCTION("""COMPUTED_VALUE"""),43434.0)</f>
        <v>43434</v>
      </c>
      <c r="C13" s="114">
        <f>IFERROR(__xludf.DUMMYFUNCTION("""COMPUTED_VALUE"""),43522.0)</f>
        <v>43522</v>
      </c>
      <c r="D13" s="55" t="str">
        <f>IFERROR(__xludf.DUMMYFUNCTION("""COMPUTED_VALUE"""),"Yes")</f>
        <v>Yes</v>
      </c>
      <c r="E13" s="55" t="str">
        <f>IFERROR(__xludf.DUMMYFUNCTION("""COMPUTED_VALUE"""),"No")</f>
        <v>No</v>
      </c>
      <c r="F13" s="55" t="str">
        <f>IFERROR(__xludf.DUMMYFUNCTION("""COMPUTED_VALUE"""),"Actionability")</f>
        <v>Actionability</v>
      </c>
      <c r="G13" t="str">
        <f>IFERROR(__xludf.DUMMYFUNCTION("""COMPUTED_VALUE"""),"Actionability")</f>
        <v>Actionability</v>
      </c>
      <c r="H13" t="str">
        <f>IFERROR(__xludf.DUMMYFUNCTION("""COMPUTED_VALUE"""),"Fiona Curtis")</f>
        <v>Fiona Curtis</v>
      </c>
      <c r="I13" t="str">
        <f>IFERROR(__xludf.DUMMYFUNCTION("""COMPUTED_VALUE"""),"fionakatherinecurtis@yahoo.ca")</f>
        <v>fionakatherinecurtis@yahoo.ca</v>
      </c>
      <c r="J13" s="55" t="str">
        <f>IFERROR(__xludf.DUMMYFUNCTION("""COMPUTED_VALUE"""),"Comprehensive")</f>
        <v>Comprehensive</v>
      </c>
      <c r="K13" t="str">
        <f>IFERROR(__xludf.DUMMYFUNCTION("""COMPUTED_VALUE"""),"inherited cardiomyopathy or other CV diseases")</f>
        <v>inherited cardiomyopathy or other CV diseases</v>
      </c>
    </row>
    <row r="14">
      <c r="A14" t="str">
        <f>IFERROR(__xludf.DUMMYFUNCTION("""COMPUTED_VALUE"""),"Unresponsive")</f>
        <v>Unresponsive</v>
      </c>
      <c r="B14" s="115">
        <f>IFERROR(__xludf.DUMMYFUNCTION("""COMPUTED_VALUE"""),43434.0)</f>
        <v>43434</v>
      </c>
      <c r="C14" t="str">
        <f>IFERROR(__xludf.DUMMYFUNCTION("""COMPUTED_VALUE"""),"")</f>
        <v/>
      </c>
      <c r="D14" s="55" t="str">
        <f>IFERROR(__xludf.DUMMYFUNCTION("""COMPUTED_VALUE"""),"No")</f>
        <v>No</v>
      </c>
      <c r="E14" s="55" t="str">
        <f>IFERROR(__xludf.DUMMYFUNCTION("""COMPUTED_VALUE"""),"No")</f>
        <v>No</v>
      </c>
      <c r="F14" s="55" t="str">
        <f>IFERROR(__xludf.DUMMYFUNCTION("""COMPUTED_VALUE"""),"Actionability")</f>
        <v>Actionability</v>
      </c>
      <c r="G14" t="str">
        <f>IFERROR(__xludf.DUMMYFUNCTION("""COMPUTED_VALUE"""),"")</f>
        <v/>
      </c>
      <c r="H14" t="str">
        <f>IFERROR(__xludf.DUMMYFUNCTION("""COMPUTED_VALUE"""),"Jennifer Marie Lee")</f>
        <v>Jennifer Marie Lee</v>
      </c>
      <c r="I14" t="str">
        <f>IFERROR(__xludf.DUMMYFUNCTION("""COMPUTED_VALUE"""),"Jennifer.Lee2@nih.gov")</f>
        <v>Jennifer.Lee2@nih.gov</v>
      </c>
      <c r="J14" s="55" t="str">
        <f>IFERROR(__xludf.DUMMYFUNCTION("""COMPUTED_VALUE"""),"Comprehensive")</f>
        <v>Comprehensive</v>
      </c>
      <c r="K14" t="str">
        <f>IFERROR(__xludf.DUMMYFUNCTION("""COMPUTED_VALUE"""),"NA")</f>
        <v>NA</v>
      </c>
    </row>
    <row r="15">
      <c r="A15" t="str">
        <f>IFERROR(__xludf.DUMMYFUNCTION("""COMPUTED_VALUE"""),"Follow up email")</f>
        <v>Follow up email</v>
      </c>
      <c r="B15" t="str">
        <f>IFERROR(__xludf.DUMMYFUNCTION("""COMPUTED_VALUE"""),"12/18/18 (assigned)
declined(5-2-19)
Renewed interest 8/12/19")</f>
        <v>12/18/18 (assigned)
declined(5-2-19)
Renewed interest 8/12/19</v>
      </c>
      <c r="C15" s="113">
        <f>IFERROR(__xludf.DUMMYFUNCTION("""COMPUTED_VALUE"""),43769.0)</f>
        <v>43769</v>
      </c>
      <c r="D15" s="55" t="str">
        <f>IFERROR(__xludf.DUMMYFUNCTION("""COMPUTED_VALUE"""),"Yes")</f>
        <v>Yes</v>
      </c>
      <c r="E15" s="55" t="str">
        <f>IFERROR(__xludf.DUMMYFUNCTION("""COMPUTED_VALUE"""),"Yes")</f>
        <v>Yes</v>
      </c>
      <c r="F15" s="55" t="str">
        <f>IFERROR(__xludf.DUMMYFUNCTION("""COMPUTED_VALUE"""),"Actionability")</f>
        <v>Actionability</v>
      </c>
      <c r="G15" t="str">
        <f>IFERROR(__xludf.DUMMYFUNCTION("""COMPUTED_VALUE"""),"Actionability")</f>
        <v>Actionability</v>
      </c>
      <c r="H15" t="str">
        <f>IFERROR(__xludf.DUMMYFUNCTION("""COMPUTED_VALUE"""),"Morgan Similuk")</f>
        <v>Morgan Similuk</v>
      </c>
      <c r="I15" t="str">
        <f>IFERROR(__xludf.DUMMYFUNCTION("""COMPUTED_VALUE"""),"Morgan.similuk@nih.gov")</f>
        <v>Morgan.similuk@nih.gov</v>
      </c>
      <c r="J15" s="55" t="str">
        <f>IFERROR(__xludf.DUMMYFUNCTION("""COMPUTED_VALUE"""),"Comprehensive")</f>
        <v>Comprehensive</v>
      </c>
      <c r="K15" t="str">
        <f>IFERROR(__xludf.DUMMYFUNCTION("""COMPUTED_VALUE"""),"NA")</f>
        <v>NA</v>
      </c>
    </row>
    <row r="16">
      <c r="A16" t="str">
        <f>IFERROR(__xludf.DUMMYFUNCTION("""COMPUTED_VALUE"""),"Unresponsive")</f>
        <v>Unresponsive</v>
      </c>
      <c r="B16" s="115">
        <f>IFERROR(__xludf.DUMMYFUNCTION("""COMPUTED_VALUE"""),43452.0)</f>
        <v>43452</v>
      </c>
      <c r="C16" s="113">
        <f>IFERROR(__xludf.DUMMYFUNCTION("""COMPUTED_VALUE"""),43678.0)</f>
        <v>43678</v>
      </c>
      <c r="D16" s="55" t="str">
        <f>IFERROR(__xludf.DUMMYFUNCTION("""COMPUTED_VALUE"""),"Yes")</f>
        <v>Yes</v>
      </c>
      <c r="E16" s="55" t="str">
        <f>IFERROR(__xludf.DUMMYFUNCTION("""COMPUTED_VALUE"""),"No")</f>
        <v>No</v>
      </c>
      <c r="F16" s="55" t="str">
        <f>IFERROR(__xludf.DUMMYFUNCTION("""COMPUTED_VALUE"""),"Actionability")</f>
        <v>Actionability</v>
      </c>
      <c r="G16" t="str">
        <f>IFERROR(__xludf.DUMMYFUNCTION("""COMPUTED_VALUE"""),"")</f>
        <v/>
      </c>
      <c r="H16" t="str">
        <f>IFERROR(__xludf.DUMMYFUNCTION("""COMPUTED_VALUE"""),"Sandra P Smieszek")</f>
        <v>Sandra P Smieszek</v>
      </c>
      <c r="I16" t="str">
        <f>IFERROR(__xludf.DUMMYFUNCTION("""COMPUTED_VALUE"""),"sps92@case.edu")</f>
        <v>sps92@case.edu</v>
      </c>
      <c r="J16" s="55" t="str">
        <f>IFERROR(__xludf.DUMMYFUNCTION("""COMPUTED_VALUE"""),"Comprehensive")</f>
        <v>Comprehensive</v>
      </c>
      <c r="K16" t="str">
        <f>IFERROR(__xludf.DUMMYFUNCTION("""COMPUTED_VALUE"""),"Autism")</f>
        <v>Autism</v>
      </c>
    </row>
    <row r="17">
      <c r="A17" t="str">
        <f>IFERROR(__xludf.DUMMYFUNCTION("""COMPUTED_VALUE"""),"Unresponsive")</f>
        <v>Unresponsive</v>
      </c>
      <c r="B17" t="str">
        <f>IFERROR(__xludf.DUMMYFUNCTION("""COMPUTED_VALUE"""),"")</f>
        <v/>
      </c>
      <c r="C17" t="str">
        <f>IFERROR(__xludf.DUMMYFUNCTION("""COMPUTED_VALUE"""),"")</f>
        <v/>
      </c>
      <c r="D17" s="55" t="str">
        <f>IFERROR(__xludf.DUMMYFUNCTION("""COMPUTED_VALUE"""),"No")</f>
        <v>No</v>
      </c>
      <c r="E17" s="55" t="str">
        <f>IFERROR(__xludf.DUMMYFUNCTION("""COMPUTED_VALUE"""),"No")</f>
        <v>No</v>
      </c>
      <c r="F17" s="55" t="str">
        <f>IFERROR(__xludf.DUMMYFUNCTION("""COMPUTED_VALUE"""),"Actionability")</f>
        <v>Actionability</v>
      </c>
      <c r="G17" t="str">
        <f>IFERROR(__xludf.DUMMYFUNCTION("""COMPUTED_VALUE"""),"")</f>
        <v/>
      </c>
      <c r="H17" t="str">
        <f>IFERROR(__xludf.DUMMYFUNCTION("""COMPUTED_VALUE"""),"Samata Singhi")</f>
        <v>Samata Singhi</v>
      </c>
      <c r="I17" t="str">
        <f>IFERROR(__xludf.DUMMYFUNCTION("""COMPUTED_VALUE"""),"samata.singhi@gmail.com")</f>
        <v>samata.singhi@gmail.com</v>
      </c>
      <c r="J17" s="55" t="str">
        <f>IFERROR(__xludf.DUMMYFUNCTION("""COMPUTED_VALUE"""),"Comprehensive")</f>
        <v>Comprehensive</v>
      </c>
      <c r="K17" t="str">
        <f>IFERROR(__xludf.DUMMYFUNCTION("""COMPUTED_VALUE"""),"Epilepsy")</f>
        <v>Epilepsy</v>
      </c>
    </row>
    <row r="18">
      <c r="A18" t="str">
        <f>IFERROR(__xludf.DUMMYFUNCTION("""COMPUTED_VALUE"""),"Unresponsive")</f>
        <v>Unresponsive</v>
      </c>
      <c r="B18" t="str">
        <f>IFERROR(__xludf.DUMMYFUNCTION("""COMPUTED_VALUE"""),"")</f>
        <v/>
      </c>
      <c r="C18" s="114">
        <f>IFERROR(__xludf.DUMMYFUNCTION("""COMPUTED_VALUE"""),43567.0)</f>
        <v>43567</v>
      </c>
      <c r="D18" s="55" t="str">
        <f>IFERROR(__xludf.DUMMYFUNCTION("""COMPUTED_VALUE"""),"Yes")</f>
        <v>Yes</v>
      </c>
      <c r="E18" s="55" t="str">
        <f>IFERROR(__xludf.DUMMYFUNCTION("""COMPUTED_VALUE"""),"Yes")</f>
        <v>Yes</v>
      </c>
      <c r="F18" s="55" t="str">
        <f>IFERROR(__xludf.DUMMYFUNCTION("""COMPUTED_VALUE"""),"Actionability")</f>
        <v>Actionability</v>
      </c>
      <c r="G18" t="str">
        <f>IFERROR(__xludf.DUMMYFUNCTION("""COMPUTED_VALUE"""),"Actionability")</f>
        <v>Actionability</v>
      </c>
      <c r="H18" t="str">
        <f>IFERROR(__xludf.DUMMYFUNCTION("""COMPUTED_VALUE"""),"Ramesh Vaidyanathan")</f>
        <v>Ramesh Vaidyanathan</v>
      </c>
      <c r="I18" t="str">
        <f>IFERROR(__xludf.DUMMYFUNCTION("""COMPUTED_VALUE"""),"vaid@rocketmail.com")</f>
        <v>vaid@rocketmail.com</v>
      </c>
      <c r="J18" s="55" t="str">
        <f>IFERROR(__xludf.DUMMYFUNCTION("""COMPUTED_VALUE"""),"Comprehensive")</f>
        <v>Comprehensive</v>
      </c>
      <c r="K18" t="str">
        <f>IFERROR(__xludf.DUMMYFUNCTION("""COMPUTED_VALUE"""),"")</f>
        <v/>
      </c>
    </row>
    <row r="19">
      <c r="A19" t="str">
        <f>IFERROR(__xludf.DUMMYFUNCTION("""COMPUTED_VALUE"""),"Unresponsive")</f>
        <v>Unresponsive</v>
      </c>
      <c r="B19" t="str">
        <f>IFERROR(__xludf.DUMMYFUNCTION("""COMPUTED_VALUE"""),"")</f>
        <v/>
      </c>
      <c r="C19" s="114">
        <f>IFERROR(__xludf.DUMMYFUNCTION("""COMPUTED_VALUE"""),43567.0)</f>
        <v>43567</v>
      </c>
      <c r="D19" s="55" t="str">
        <f>IFERROR(__xludf.DUMMYFUNCTION("""COMPUTED_VALUE"""),"Yes")</f>
        <v>Yes</v>
      </c>
      <c r="E19" s="55" t="str">
        <f>IFERROR(__xludf.DUMMYFUNCTION("""COMPUTED_VALUE"""),"Yes")</f>
        <v>Yes</v>
      </c>
      <c r="F19" s="55" t="str">
        <f>IFERROR(__xludf.DUMMYFUNCTION("""COMPUTED_VALUE"""),"Actionability")</f>
        <v>Actionability</v>
      </c>
      <c r="G19" t="str">
        <f>IFERROR(__xludf.DUMMYFUNCTION("""COMPUTED_VALUE"""),"Actionability")</f>
        <v>Actionability</v>
      </c>
      <c r="H19" t="str">
        <f>IFERROR(__xludf.DUMMYFUNCTION("""COMPUTED_VALUE"""),"Lesley Northrop")</f>
        <v>Lesley Northrop</v>
      </c>
      <c r="I19" t="str">
        <f>IFERROR(__xludf.DUMMYFUNCTION("""COMPUTED_VALUE"""),"lesleyenorthrop@gmail.com")</f>
        <v>lesleyenorthrop@gmail.com</v>
      </c>
      <c r="J19" s="55" t="str">
        <f>IFERROR(__xludf.DUMMYFUNCTION("""COMPUTED_VALUE"""),"Comprehensive")</f>
        <v>Comprehensive</v>
      </c>
      <c r="K19" t="str">
        <f>IFERROR(__xludf.DUMMYFUNCTION("""COMPUTED_VALUE"""),"Gene Curation - Epilepsy or Autism &amp; ID")</f>
        <v>Gene Curation - Epilepsy or Autism &amp; ID</v>
      </c>
    </row>
    <row r="20">
      <c r="A20" t="str">
        <f>IFERROR(__xludf.DUMMYFUNCTION("""COMPUTED_VALUE"""),"Unresponsive")</f>
        <v>Unresponsive</v>
      </c>
      <c r="B20" t="str">
        <f>IFERROR(__xludf.DUMMYFUNCTION("""COMPUTED_VALUE"""),"7-9-19 (status changed to unresponsive)")</f>
        <v>7-9-19 (status changed to unresponsive)</v>
      </c>
      <c r="C20" t="str">
        <f>IFERROR(__xludf.DUMMYFUNCTION("""COMPUTED_VALUE"""),"")</f>
        <v/>
      </c>
      <c r="D20" s="55" t="str">
        <f>IFERROR(__xludf.DUMMYFUNCTION("""COMPUTED_VALUE"""),"No")</f>
        <v>No</v>
      </c>
      <c r="E20" s="55" t="str">
        <f>IFERROR(__xludf.DUMMYFUNCTION("""COMPUTED_VALUE"""),"No")</f>
        <v>No</v>
      </c>
      <c r="F20" s="55" t="str">
        <f>IFERROR(__xludf.DUMMYFUNCTION("""COMPUTED_VALUE"""),"Actionability")</f>
        <v>Actionability</v>
      </c>
      <c r="G20" t="str">
        <f>IFERROR(__xludf.DUMMYFUNCTION("""COMPUTED_VALUE"""),"")</f>
        <v/>
      </c>
      <c r="H20" t="str">
        <f>IFERROR(__xludf.DUMMYFUNCTION("""COMPUTED_VALUE"""),"Alka Chaubey")</f>
        <v>Alka Chaubey</v>
      </c>
      <c r="I20" t="str">
        <f>IFERROR(__xludf.DUMMYFUNCTION("""COMPUTED_VALUE"""),"")</f>
        <v/>
      </c>
      <c r="J20" s="55" t="str">
        <f>IFERROR(__xludf.DUMMYFUNCTION("""COMPUTED_VALUE"""),"Comprehensive")</f>
        <v>Comprehensive</v>
      </c>
      <c r="K20" t="str">
        <f>IFERROR(__xludf.DUMMYFUNCTION("""COMPUTED_VALUE"""),"Dosage sensitivity and somatic cancer ")</f>
        <v>Dosage sensitivity and somatic cancer </v>
      </c>
    </row>
    <row r="21">
      <c r="A21" t="str">
        <f>IFERROR(__xludf.DUMMYFUNCTION("""COMPUTED_VALUE"""),"Contacted")</f>
        <v>Contacted</v>
      </c>
      <c r="B21" t="str">
        <f>IFERROR(__xludf.DUMMYFUNCTION("""COMPUTED_VALUE"""),"")</f>
        <v/>
      </c>
      <c r="C21" s="113">
        <f>IFERROR(__xludf.DUMMYFUNCTION("""COMPUTED_VALUE"""),43594.0)</f>
        <v>43594</v>
      </c>
      <c r="D21" s="55" t="str">
        <f>IFERROR(__xludf.DUMMYFUNCTION("""COMPUTED_VALUE"""),"Yes")</f>
        <v>Yes</v>
      </c>
      <c r="E21" s="55" t="str">
        <f>IFERROR(__xludf.DUMMYFUNCTION("""COMPUTED_VALUE"""),"Yes")</f>
        <v>Yes</v>
      </c>
      <c r="F21" s="55" t="str">
        <f>IFERROR(__xludf.DUMMYFUNCTION("""COMPUTED_VALUE"""),"Actionability")</f>
        <v>Actionability</v>
      </c>
      <c r="G21" t="str">
        <f>IFERROR(__xludf.DUMMYFUNCTION("""COMPUTED_VALUE"""),"Actionability")</f>
        <v>Actionability</v>
      </c>
      <c r="H21" t="str">
        <f>IFERROR(__xludf.DUMMYFUNCTION("""COMPUTED_VALUE"""),"Karen Hanson")</f>
        <v>Karen Hanson</v>
      </c>
      <c r="I21" t="str">
        <f>IFERROR(__xludf.DUMMYFUNCTION("""COMPUTED_VALUE"""),"krhms3@gmail.com")</f>
        <v>krhms3@gmail.com</v>
      </c>
      <c r="J21" s="55" t="str">
        <f>IFERROR(__xludf.DUMMYFUNCTION("""COMPUTED_VALUE"""),"Comprehensive")</f>
        <v>Comprehensive</v>
      </c>
      <c r="K21" t="str">
        <f>IFERROR(__xludf.DUMMYFUNCTION("""COMPUTED_VALUE"""),"brain malformations, cancer")</f>
        <v>brain malformations, cancer</v>
      </c>
    </row>
    <row r="22">
      <c r="A22" t="str">
        <f>IFERROR(__xludf.DUMMYFUNCTION("""COMPUTED_VALUE"""),"Assigned")</f>
        <v>Assigned</v>
      </c>
      <c r="B22" s="113">
        <f>IFERROR(__xludf.DUMMYFUNCTION("""COMPUTED_VALUE"""),43787.0)</f>
        <v>43787</v>
      </c>
      <c r="C22" t="str">
        <f>IFERROR(__xludf.DUMMYFUNCTION("""COMPUTED_VALUE"""),"")</f>
        <v/>
      </c>
      <c r="D22" s="55" t="str">
        <f>IFERROR(__xludf.DUMMYFUNCTION("""COMPUTED_VALUE"""),"No")</f>
        <v>No</v>
      </c>
      <c r="E22" s="55" t="str">
        <f>IFERROR(__xludf.DUMMYFUNCTION("""COMPUTED_VALUE"""),"No")</f>
        <v>No</v>
      </c>
      <c r="F22" s="55" t="str">
        <f>IFERROR(__xludf.DUMMYFUNCTION("""COMPUTED_VALUE"""),"Actionability")</f>
        <v>Actionability</v>
      </c>
      <c r="G22" t="str">
        <f>IFERROR(__xludf.DUMMYFUNCTION("""COMPUTED_VALUE"""),"")</f>
        <v/>
      </c>
      <c r="H22" t="str">
        <f>IFERROR(__xludf.DUMMYFUNCTION("""COMPUTED_VALUE"""),"Fareed Al Qusous")</f>
        <v>Fareed Al Qusous</v>
      </c>
      <c r="I22" t="str">
        <f>IFERROR(__xludf.DUMMYFUNCTION("""COMPUTED_VALUE"""),"Fareedh.al.qusous@hotmail.com")</f>
        <v>Fareedh.al.qusous@hotmail.com</v>
      </c>
      <c r="J22" s="55" t="str">
        <f>IFERROR(__xludf.DUMMYFUNCTION("""COMPUTED_VALUE"""),"Comprehensive")</f>
        <v>Comprehensive</v>
      </c>
      <c r="K22" t="str">
        <f>IFERROR(__xludf.DUMMYFUNCTION("""COMPUTED_VALUE"""),"")</f>
        <v/>
      </c>
    </row>
    <row r="23">
      <c r="A23" t="str">
        <f>IFERROR(__xludf.DUMMYFUNCTION("""COMPUTED_VALUE"""),"Contacted")</f>
        <v>Contacted</v>
      </c>
      <c r="B23" s="115">
        <f>IFERROR(__xludf.DUMMYFUNCTION("""COMPUTED_VALUE"""),43689.0)</f>
        <v>43689</v>
      </c>
      <c r="C23" s="115">
        <f>IFERROR(__xludf.DUMMYFUNCTION("""COMPUTED_VALUE"""),43768.0)</f>
        <v>43768</v>
      </c>
      <c r="D23" s="55" t="str">
        <f>IFERROR(__xludf.DUMMYFUNCTION("""COMPUTED_VALUE"""),"Yes")</f>
        <v>Yes</v>
      </c>
      <c r="E23" s="55" t="str">
        <f>IFERROR(__xludf.DUMMYFUNCTION("""COMPUTED_VALUE"""),"Yes")</f>
        <v>Yes</v>
      </c>
      <c r="F23" s="55" t="str">
        <f>IFERROR(__xludf.DUMMYFUNCTION("""COMPUTED_VALUE"""),"Actionability")</f>
        <v>Actionability</v>
      </c>
      <c r="G23" t="str">
        <f>IFERROR(__xludf.DUMMYFUNCTION("""COMPUTED_VALUE"""),"Actionability")</f>
        <v>Actionability</v>
      </c>
      <c r="H23" t="str">
        <f>IFERROR(__xludf.DUMMYFUNCTION("""COMPUTED_VALUE"""),"Gifty Bhat")</f>
        <v>Gifty Bhat</v>
      </c>
      <c r="I23" t="str">
        <f>IFERROR(__xludf.DUMMYFUNCTION("""COMPUTED_VALUE"""),"drgiftybhat@gmail.com")</f>
        <v>drgiftybhat@gmail.com</v>
      </c>
      <c r="J23" s="55" t="str">
        <f>IFERROR(__xludf.DUMMYFUNCTION("""COMPUTED_VALUE"""),"Comprehensive")</f>
        <v>Comprehensive</v>
      </c>
      <c r="K23" t="str">
        <f>IFERROR(__xludf.DUMMYFUNCTION("""COMPUTED_VALUE"""),"Intellectual disability and autism")</f>
        <v>Intellectual disability and autism</v>
      </c>
    </row>
    <row r="24">
      <c r="A24" t="str">
        <f>IFERROR(__xludf.DUMMYFUNCTION("""COMPUTED_VALUE"""),"Contacted")</f>
        <v>Contacted</v>
      </c>
      <c r="B24" s="115">
        <f>IFERROR(__xludf.DUMMYFUNCTION("""COMPUTED_VALUE"""),43689.0)</f>
        <v>43689</v>
      </c>
      <c r="C24" t="str">
        <f>IFERROR(__xludf.DUMMYFUNCTION("""COMPUTED_VALUE"""),"")</f>
        <v/>
      </c>
      <c r="D24" s="55" t="str">
        <f>IFERROR(__xludf.DUMMYFUNCTION("""COMPUTED_VALUE"""),"")</f>
        <v/>
      </c>
      <c r="E24" s="55" t="str">
        <f>IFERROR(__xludf.DUMMYFUNCTION("""COMPUTED_VALUE"""),"No")</f>
        <v>No</v>
      </c>
      <c r="F24" s="55" t="str">
        <f>IFERROR(__xludf.DUMMYFUNCTION("""COMPUTED_VALUE"""),"Actionability")</f>
        <v>Actionability</v>
      </c>
      <c r="G24" t="str">
        <f>IFERROR(__xludf.DUMMYFUNCTION("""COMPUTED_VALUE"""),"")</f>
        <v/>
      </c>
      <c r="H24" t="str">
        <f>IFERROR(__xludf.DUMMYFUNCTION("""COMPUTED_VALUE"""),"Léon Tshilolo")</f>
        <v>Léon Tshilolo</v>
      </c>
      <c r="I24" t="str">
        <f>IFERROR(__xludf.DUMMYFUNCTION("""COMPUTED_VALUE"""),"leon.tshilolo2012@gmail.com")</f>
        <v>leon.tshilolo2012@gmail.com</v>
      </c>
      <c r="J24" s="55" t="str">
        <f>IFERROR(__xludf.DUMMYFUNCTION("""COMPUTED_VALUE"""),"Comprehensive")</f>
        <v>Comprehensive</v>
      </c>
      <c r="K24" t="str">
        <f>IFERROR(__xludf.DUMMYFUNCTION("""COMPUTED_VALUE"""),"hemoglobinopathies")</f>
        <v>hemoglobinopathies</v>
      </c>
    </row>
    <row r="25">
      <c r="A25" t="str">
        <f>IFERROR(__xludf.DUMMYFUNCTION("""COMPUTED_VALUE"""),"Unresponsive")</f>
        <v>Unresponsive</v>
      </c>
      <c r="B25" s="115">
        <f>IFERROR(__xludf.DUMMYFUNCTION("""COMPUTED_VALUE"""),43689.0)</f>
        <v>43689</v>
      </c>
      <c r="C25" t="str">
        <f>IFERROR(__xludf.DUMMYFUNCTION("""COMPUTED_VALUE"""),"")</f>
        <v/>
      </c>
      <c r="D25" s="55" t="str">
        <f>IFERROR(__xludf.DUMMYFUNCTION("""COMPUTED_VALUE"""),"")</f>
        <v/>
      </c>
      <c r="E25" s="55" t="str">
        <f>IFERROR(__xludf.DUMMYFUNCTION("""COMPUTED_VALUE"""),"No")</f>
        <v>No</v>
      </c>
      <c r="F25" s="55" t="str">
        <f>IFERROR(__xludf.DUMMYFUNCTION("""COMPUTED_VALUE"""),"Actionability")</f>
        <v>Actionability</v>
      </c>
      <c r="G25" t="str">
        <f>IFERROR(__xludf.DUMMYFUNCTION("""COMPUTED_VALUE"""),"")</f>
        <v/>
      </c>
      <c r="H25" t="str">
        <f>IFERROR(__xludf.DUMMYFUNCTION("""COMPUTED_VALUE"""),"Altovise Ewing")</f>
        <v>Altovise Ewing</v>
      </c>
      <c r="I25" t="str">
        <f>IFERROR(__xludf.DUMMYFUNCTION("""COMPUTED_VALUE"""),"altovisee@gmail.com")</f>
        <v>altovisee@gmail.com</v>
      </c>
      <c r="J25" s="55" t="str">
        <f>IFERROR(__xludf.DUMMYFUNCTION("""COMPUTED_VALUE"""),"Comprehensive")</f>
        <v>Comprehensive</v>
      </c>
      <c r="K25" t="str">
        <f>IFERROR(__xludf.DUMMYFUNCTION("""COMPUTED_VALUE"""),"Hereditary cancer")</f>
        <v>Hereditary cancer</v>
      </c>
    </row>
    <row r="26">
      <c r="A26" t="str">
        <f>IFERROR(__xludf.DUMMYFUNCTION("""COMPUTED_VALUE"""),"Contacted")</f>
        <v>Contacted</v>
      </c>
      <c r="B26" s="115">
        <f>IFERROR(__xludf.DUMMYFUNCTION("""COMPUTED_VALUE"""),43689.0)</f>
        <v>43689</v>
      </c>
      <c r="C26" s="113">
        <f>IFERROR(__xludf.DUMMYFUNCTION("""COMPUTED_VALUE"""),43768.0)</f>
        <v>43768</v>
      </c>
      <c r="D26" s="55" t="str">
        <f>IFERROR(__xludf.DUMMYFUNCTION("""COMPUTED_VALUE"""),"Yes")</f>
        <v>Yes</v>
      </c>
      <c r="E26" s="55" t="str">
        <f>IFERROR(__xludf.DUMMYFUNCTION("""COMPUTED_VALUE"""),"Yes")</f>
        <v>Yes</v>
      </c>
      <c r="F26" s="55" t="str">
        <f>IFERROR(__xludf.DUMMYFUNCTION("""COMPUTED_VALUE"""),"Actionability")</f>
        <v>Actionability</v>
      </c>
      <c r="G26" t="str">
        <f>IFERROR(__xludf.DUMMYFUNCTION("""COMPUTED_VALUE"""),"Actionability")</f>
        <v>Actionability</v>
      </c>
      <c r="H26" t="str">
        <f>IFERROR(__xludf.DUMMYFUNCTION("""COMPUTED_VALUE"""),"Greg Lennon")</f>
        <v>Greg Lennon</v>
      </c>
      <c r="I26" t="str">
        <f>IFERROR(__xludf.DUMMYFUNCTION("""COMPUTED_VALUE"""),"greg.lennon@gmail.com")</f>
        <v>greg.lennon@gmail.com</v>
      </c>
      <c r="J26" s="55" t="str">
        <f>IFERROR(__xludf.DUMMYFUNCTION("""COMPUTED_VALUE"""),"Comprehensive")</f>
        <v>Comprehensive</v>
      </c>
      <c r="K26" t="str">
        <f>IFERROR(__xludf.DUMMYFUNCTION("""COMPUTED_VALUE"""),"Actionability Working Group")</f>
        <v>Actionability Working Group</v>
      </c>
    </row>
    <row r="27">
      <c r="A27" t="str">
        <f>IFERROR(__xludf.DUMMYFUNCTION("""COMPUTED_VALUE"""),"Contacted")</f>
        <v>Contacted</v>
      </c>
      <c r="B27" s="115">
        <f>IFERROR(__xludf.DUMMYFUNCTION("""COMPUTED_VALUE"""),43689.0)</f>
        <v>43689</v>
      </c>
      <c r="C27" t="str">
        <f>IFERROR(__xludf.DUMMYFUNCTION("""COMPUTED_VALUE"""),"")</f>
        <v/>
      </c>
      <c r="D27" s="55" t="str">
        <f>IFERROR(__xludf.DUMMYFUNCTION("""COMPUTED_VALUE"""),"Yes")</f>
        <v>Yes</v>
      </c>
      <c r="E27" s="55" t="str">
        <f>IFERROR(__xludf.DUMMYFUNCTION("""COMPUTED_VALUE"""),"No")</f>
        <v>No</v>
      </c>
      <c r="F27" s="55" t="str">
        <f>IFERROR(__xludf.DUMMYFUNCTION("""COMPUTED_VALUE"""),"Actionability")</f>
        <v>Actionability</v>
      </c>
      <c r="G27" t="str">
        <f>IFERROR(__xludf.DUMMYFUNCTION("""COMPUTED_VALUE"""),"")</f>
        <v/>
      </c>
      <c r="H27" t="str">
        <f>IFERROR(__xludf.DUMMYFUNCTION("""COMPUTED_VALUE"""),"Generoso")</f>
        <v>Generoso</v>
      </c>
      <c r="I27" t="str">
        <f>IFERROR(__xludf.DUMMYFUNCTION("""COMPUTED_VALUE"""),"generoso@dantelabs.com")</f>
        <v>generoso@dantelabs.com</v>
      </c>
      <c r="J27" s="55" t="str">
        <f>IFERROR(__xludf.DUMMYFUNCTION("""COMPUTED_VALUE"""),"Comprehensive")</f>
        <v>Comprehensive</v>
      </c>
      <c r="K27" t="str">
        <f>IFERROR(__xludf.DUMMYFUNCTION("""COMPUTED_VALUE"""),"")</f>
        <v/>
      </c>
    </row>
    <row r="28">
      <c r="A28" t="str">
        <f>IFERROR(__xludf.DUMMYFUNCTION("""COMPUTED_VALUE"""),"Contacted")</f>
        <v>Contacted</v>
      </c>
      <c r="B28" s="115">
        <f>IFERROR(__xludf.DUMMYFUNCTION("""COMPUTED_VALUE"""),43689.0)</f>
        <v>43689</v>
      </c>
      <c r="C28" s="113">
        <f>IFERROR(__xludf.DUMMYFUNCTION("""COMPUTED_VALUE"""),43769.0)</f>
        <v>43769</v>
      </c>
      <c r="D28" s="55" t="str">
        <f>IFERROR(__xludf.DUMMYFUNCTION("""COMPUTED_VALUE"""),"Yes")</f>
        <v>Yes</v>
      </c>
      <c r="E28" s="55" t="str">
        <f>IFERROR(__xludf.DUMMYFUNCTION("""COMPUTED_VALUE"""),"Yes")</f>
        <v>Yes</v>
      </c>
      <c r="F28" s="55" t="str">
        <f>IFERROR(__xludf.DUMMYFUNCTION("""COMPUTED_VALUE"""),"Actionability")</f>
        <v>Actionability</v>
      </c>
      <c r="G28" t="str">
        <f>IFERROR(__xludf.DUMMYFUNCTION("""COMPUTED_VALUE"""),"Actionability")</f>
        <v>Actionability</v>
      </c>
      <c r="H28" t="str">
        <f>IFERROR(__xludf.DUMMYFUNCTION("""COMPUTED_VALUE"""),"Abul Kalam Azad")</f>
        <v>Abul Kalam Azad</v>
      </c>
      <c r="I28" t="str">
        <f>IFERROR(__xludf.DUMMYFUNCTION("""COMPUTED_VALUE"""),"azadak@gmail.com")</f>
        <v>azadak@gmail.com</v>
      </c>
      <c r="J28" s="55" t="str">
        <f>IFERROR(__xludf.DUMMYFUNCTION("""COMPUTED_VALUE"""),"Comprehensive")</f>
        <v>Comprehensive</v>
      </c>
      <c r="K28" t="str">
        <f>IFERROR(__xludf.DUMMYFUNCTION("""COMPUTED_VALUE"""),"")</f>
        <v/>
      </c>
    </row>
    <row r="29">
      <c r="A29" t="str">
        <f>IFERROR(__xludf.DUMMYFUNCTION("""COMPUTED_VALUE"""),"Contacted")</f>
        <v>Contacted</v>
      </c>
      <c r="B29" s="115">
        <f>IFERROR(__xludf.DUMMYFUNCTION("""COMPUTED_VALUE"""),43689.0)</f>
        <v>43689</v>
      </c>
      <c r="C29" t="str">
        <f>IFERROR(__xludf.DUMMYFUNCTION("""COMPUTED_VALUE"""),"")</f>
        <v/>
      </c>
      <c r="D29" s="55" t="str">
        <f>IFERROR(__xludf.DUMMYFUNCTION("""COMPUTED_VALUE"""),"")</f>
        <v/>
      </c>
      <c r="E29" s="55" t="str">
        <f>IFERROR(__xludf.DUMMYFUNCTION("""COMPUTED_VALUE"""),"No")</f>
        <v>No</v>
      </c>
      <c r="F29" s="55" t="str">
        <f>IFERROR(__xludf.DUMMYFUNCTION("""COMPUTED_VALUE"""),"Actionability")</f>
        <v>Actionability</v>
      </c>
      <c r="G29" t="str">
        <f>IFERROR(__xludf.DUMMYFUNCTION("""COMPUTED_VALUE"""),"")</f>
        <v/>
      </c>
      <c r="H29" t="str">
        <f>IFERROR(__xludf.DUMMYFUNCTION("""COMPUTED_VALUE"""),"Agnes Sebastian")</f>
        <v>Agnes Sebastian</v>
      </c>
      <c r="I29" t="str">
        <f>IFERROR(__xludf.DUMMYFUNCTION("""COMPUTED_VALUE"""),"agnes.sebastian@mail.utoronto.ca")</f>
        <v>agnes.sebastian@mail.utoronto.ca</v>
      </c>
      <c r="J29" s="55" t="str">
        <f>IFERROR(__xludf.DUMMYFUNCTION("""COMPUTED_VALUE"""),"Comprehensive")</f>
        <v>Comprehensive</v>
      </c>
      <c r="K29" t="str">
        <f>IFERROR(__xludf.DUMMYFUNCTION("""COMPUTED_VALUE"""),"No - any group related to cancer or hearing loss is preferable")</f>
        <v>No - any group related to cancer or hearing loss is preferable</v>
      </c>
    </row>
    <row r="30">
      <c r="A30" t="str">
        <f>IFERROR(__xludf.DUMMYFUNCTION("""COMPUTED_VALUE"""),"Contacted")</f>
        <v>Contacted</v>
      </c>
      <c r="B30" s="115">
        <f>IFERROR(__xludf.DUMMYFUNCTION("""COMPUTED_VALUE"""),43689.0)</f>
        <v>43689</v>
      </c>
      <c r="C30" t="str">
        <f>IFERROR(__xludf.DUMMYFUNCTION("""COMPUTED_VALUE"""),"")</f>
        <v/>
      </c>
      <c r="D30" s="55" t="str">
        <f>IFERROR(__xludf.DUMMYFUNCTION("""COMPUTED_VALUE"""),"")</f>
        <v/>
      </c>
      <c r="E30" s="55" t="str">
        <f>IFERROR(__xludf.DUMMYFUNCTION("""COMPUTED_VALUE"""),"No")</f>
        <v>No</v>
      </c>
      <c r="F30" s="55" t="str">
        <f>IFERROR(__xludf.DUMMYFUNCTION("""COMPUTED_VALUE"""),"Actionability")</f>
        <v>Actionability</v>
      </c>
      <c r="G30" t="str">
        <f>IFERROR(__xludf.DUMMYFUNCTION("""COMPUTED_VALUE"""),"")</f>
        <v/>
      </c>
      <c r="H30" t="str">
        <f>IFERROR(__xludf.DUMMYFUNCTION("""COMPUTED_VALUE"""),"Terri McVeigh")</f>
        <v>Terri McVeigh</v>
      </c>
      <c r="I30" t="str">
        <f>IFERROR(__xludf.DUMMYFUNCTION("""COMPUTED_VALUE"""),"terri.mcveigh@rmh.nhs.uk")</f>
        <v>terri.mcveigh@rmh.nhs.uk</v>
      </c>
      <c r="J30" s="55" t="str">
        <f>IFERROR(__xludf.DUMMYFUNCTION("""COMPUTED_VALUE"""),"Comprehensive")</f>
        <v>Comprehensive</v>
      </c>
      <c r="K30" t="str">
        <f>IFERROR(__xludf.DUMMYFUNCTION("""COMPUTED_VALUE"""),"")</f>
        <v/>
      </c>
    </row>
    <row r="31">
      <c r="A31" t="str">
        <f>IFERROR(__xludf.DUMMYFUNCTION("""COMPUTED_VALUE"""),"Contacted")</f>
        <v>Contacted</v>
      </c>
      <c r="B31" s="115">
        <f>IFERROR(__xludf.DUMMYFUNCTION("""COMPUTED_VALUE"""),43689.0)</f>
        <v>43689</v>
      </c>
      <c r="C31" t="str">
        <f>IFERROR(__xludf.DUMMYFUNCTION("""COMPUTED_VALUE"""),"")</f>
        <v/>
      </c>
      <c r="D31" s="55" t="str">
        <f>IFERROR(__xludf.DUMMYFUNCTION("""COMPUTED_VALUE"""),"")</f>
        <v/>
      </c>
      <c r="E31" s="55" t="str">
        <f>IFERROR(__xludf.DUMMYFUNCTION("""COMPUTED_VALUE"""),"No")</f>
        <v>No</v>
      </c>
      <c r="F31" s="55" t="str">
        <f>IFERROR(__xludf.DUMMYFUNCTION("""COMPUTED_VALUE"""),"Actionability")</f>
        <v>Actionability</v>
      </c>
      <c r="G31" t="str">
        <f>IFERROR(__xludf.DUMMYFUNCTION("""COMPUTED_VALUE"""),"")</f>
        <v/>
      </c>
      <c r="H31" t="str">
        <f>IFERROR(__xludf.DUMMYFUNCTION("""COMPUTED_VALUE"""),"Rawan Awwad")</f>
        <v>Rawan Awwad</v>
      </c>
      <c r="I31" t="str">
        <f>IFERROR(__xludf.DUMMYFUNCTION("""COMPUTED_VALUE"""),"rawan.awwad@gmail.com")</f>
        <v>rawan.awwad@gmail.com</v>
      </c>
      <c r="J31" s="55" t="str">
        <f>IFERROR(__xludf.DUMMYFUNCTION("""COMPUTED_VALUE"""),"Comprehensive")</f>
        <v>Comprehensive</v>
      </c>
      <c r="K31" t="str">
        <f>IFERROR(__xludf.DUMMYFUNCTION("""COMPUTED_VALUE"""),"Clinical actionability for Peds ")</f>
        <v>Clinical actionability for Peds </v>
      </c>
    </row>
    <row r="32">
      <c r="A32" t="str">
        <f>IFERROR(__xludf.DUMMYFUNCTION("""COMPUTED_VALUE"""),"Contacted")</f>
        <v>Contacted</v>
      </c>
      <c r="B32" s="115">
        <f>IFERROR(__xludf.DUMMYFUNCTION("""COMPUTED_VALUE"""),43689.0)</f>
        <v>43689</v>
      </c>
      <c r="C32" t="str">
        <f>IFERROR(__xludf.DUMMYFUNCTION("""COMPUTED_VALUE"""),"")</f>
        <v/>
      </c>
      <c r="D32" s="55" t="str">
        <f>IFERROR(__xludf.DUMMYFUNCTION("""COMPUTED_VALUE"""),"")</f>
        <v/>
      </c>
      <c r="E32" s="55" t="str">
        <f>IFERROR(__xludf.DUMMYFUNCTION("""COMPUTED_VALUE"""),"No")</f>
        <v>No</v>
      </c>
      <c r="F32" s="55" t="str">
        <f>IFERROR(__xludf.DUMMYFUNCTION("""COMPUTED_VALUE"""),"Actionability")</f>
        <v>Actionability</v>
      </c>
      <c r="G32" t="str">
        <f>IFERROR(__xludf.DUMMYFUNCTION("""COMPUTED_VALUE"""),"")</f>
        <v/>
      </c>
      <c r="H32" t="str">
        <f>IFERROR(__xludf.DUMMYFUNCTION("""COMPUTED_VALUE"""),"Leila Jamal")</f>
        <v>Leila Jamal</v>
      </c>
      <c r="I32" t="str">
        <f>IFERROR(__xludf.DUMMYFUNCTION("""COMPUTED_VALUE"""),"leila.jamal@nih.gov")</f>
        <v>leila.jamal@nih.gov</v>
      </c>
      <c r="J32" s="55" t="str">
        <f>IFERROR(__xludf.DUMMYFUNCTION("""COMPUTED_VALUE"""),"Comprehensive")</f>
        <v>Comprehensive</v>
      </c>
      <c r="K32" t="str">
        <f>IFERROR(__xludf.DUMMYFUNCTION("""COMPUTED_VALUE"""),"I am most interested in the Pediatric Actionability Working Group and/or the Charcot-Marie-Tooth Gene Curation Group.  I would consider joining other gene or variant curation working groups as well.   ")</f>
        <v>I am most interested in the Pediatric Actionability Working Group and/or the Charcot-Marie-Tooth Gene Curation Group.  I would consider joining other gene or variant curation working groups as well.   </v>
      </c>
    </row>
    <row r="33">
      <c r="A33" t="str">
        <f>IFERROR(__xludf.DUMMYFUNCTION("""COMPUTED_VALUE"""),"Declined")</f>
        <v>Declined</v>
      </c>
      <c r="B33" s="115">
        <f>IFERROR(__xludf.DUMMYFUNCTION("""COMPUTED_VALUE"""),43689.0)</f>
        <v>43689</v>
      </c>
      <c r="C33" t="str">
        <f>IFERROR(__xludf.DUMMYFUNCTION("""COMPUTED_VALUE"""),"")</f>
        <v/>
      </c>
      <c r="D33" s="55" t="str">
        <f>IFERROR(__xludf.DUMMYFUNCTION("""COMPUTED_VALUE"""),"")</f>
        <v/>
      </c>
      <c r="E33" s="55" t="str">
        <f>IFERROR(__xludf.DUMMYFUNCTION("""COMPUTED_VALUE"""),"No")</f>
        <v>No</v>
      </c>
      <c r="F33" s="55" t="str">
        <f>IFERROR(__xludf.DUMMYFUNCTION("""COMPUTED_VALUE"""),"Actionability")</f>
        <v>Actionability</v>
      </c>
      <c r="G33" t="str">
        <f>IFERROR(__xludf.DUMMYFUNCTION("""COMPUTED_VALUE"""),"")</f>
        <v/>
      </c>
      <c r="H33" t="str">
        <f>IFERROR(__xludf.DUMMYFUNCTION("""COMPUTED_VALUE"""),"Parham Habibzadeh")</f>
        <v>Parham Habibzadeh</v>
      </c>
      <c r="I33" t="str">
        <f>IFERROR(__xludf.DUMMYFUNCTION("""COMPUTED_VALUE"""),"parham.habibzadeh@yahoo.com")</f>
        <v>parham.habibzadeh@yahoo.com</v>
      </c>
      <c r="J33" s="55" t="str">
        <f>IFERROR(__xludf.DUMMYFUNCTION("""COMPUTED_VALUE"""),"Comprehensive")</f>
        <v>Comprehensive</v>
      </c>
      <c r="K33" t="str">
        <f>IFERROR(__xludf.DUMMYFUNCTION("""COMPUTED_VALUE"""),"Cardiomyopathy, Brain Malformations")</f>
        <v>Cardiomyopathy, Brain Malformations</v>
      </c>
    </row>
    <row r="34">
      <c r="A34" t="str">
        <f>IFERROR(__xludf.DUMMYFUNCTION("""COMPUTED_VALUE"""),"Contacted")</f>
        <v>Contacted</v>
      </c>
      <c r="B34" s="115">
        <f>IFERROR(__xludf.DUMMYFUNCTION("""COMPUTED_VALUE"""),43717.0)</f>
        <v>43717</v>
      </c>
      <c r="C34" s="113">
        <f>IFERROR(__xludf.DUMMYFUNCTION("""COMPUTED_VALUE"""),43769.0)</f>
        <v>43769</v>
      </c>
      <c r="D34" s="55" t="str">
        <f>IFERROR(__xludf.DUMMYFUNCTION("""COMPUTED_VALUE"""),"Yes")</f>
        <v>Yes</v>
      </c>
      <c r="E34" s="55" t="str">
        <f>IFERROR(__xludf.DUMMYFUNCTION("""COMPUTED_VALUE"""),"Yes")</f>
        <v>Yes</v>
      </c>
      <c r="F34" s="55" t="str">
        <f>IFERROR(__xludf.DUMMYFUNCTION("""COMPUTED_VALUE"""),"Actionability")</f>
        <v>Actionability</v>
      </c>
      <c r="G34" t="str">
        <f>IFERROR(__xludf.DUMMYFUNCTION("""COMPUTED_VALUE"""),"Actionability")</f>
        <v>Actionability</v>
      </c>
      <c r="H34" t="str">
        <f>IFERROR(__xludf.DUMMYFUNCTION("""COMPUTED_VALUE"""),"Xiaolin Hu")</f>
        <v>Xiaolin Hu</v>
      </c>
      <c r="I34" t="str">
        <f>IFERROR(__xludf.DUMMYFUNCTION("""COMPUTED_VALUE"""),"xiaolin.hu@cchmc.org")</f>
        <v>xiaolin.hu@cchmc.org</v>
      </c>
      <c r="J34" s="55" t="str">
        <f>IFERROR(__xludf.DUMMYFUNCTION("""COMPUTED_VALUE"""),"Comprehensive")</f>
        <v>Comprehensive</v>
      </c>
      <c r="K34" t="str">
        <f>IFERROR(__xludf.DUMMYFUNCTION("""COMPUTED_VALUE"""),"hereditary cancer, somatic cancer, Mitochondrial Diseases")</f>
        <v>hereditary cancer, somatic cancer, Mitochondrial Diseases</v>
      </c>
    </row>
    <row r="35">
      <c r="A35" t="str">
        <f>IFERROR(__xludf.DUMMYFUNCTION("""COMPUTED_VALUE"""),"Declined")</f>
        <v>Declined</v>
      </c>
      <c r="B35" s="115">
        <f>IFERROR(__xludf.DUMMYFUNCTION("""COMPUTED_VALUE"""),43717.0)</f>
        <v>43717</v>
      </c>
      <c r="C35" t="str">
        <f>IFERROR(__xludf.DUMMYFUNCTION("""COMPUTED_VALUE"""),"")</f>
        <v/>
      </c>
      <c r="D35" s="55" t="str">
        <f>IFERROR(__xludf.DUMMYFUNCTION("""COMPUTED_VALUE"""),"")</f>
        <v/>
      </c>
      <c r="E35" s="55" t="str">
        <f>IFERROR(__xludf.DUMMYFUNCTION("""COMPUTED_VALUE"""),"No")</f>
        <v>No</v>
      </c>
      <c r="F35" s="55" t="str">
        <f>IFERROR(__xludf.DUMMYFUNCTION("""COMPUTED_VALUE"""),"Actionability")</f>
        <v>Actionability</v>
      </c>
      <c r="G35" t="str">
        <f>IFERROR(__xludf.DUMMYFUNCTION("""COMPUTED_VALUE"""),"")</f>
        <v/>
      </c>
      <c r="H35" t="str">
        <f>IFERROR(__xludf.DUMMYFUNCTION("""COMPUTED_VALUE"""),"Ellie Jhun")</f>
        <v>Ellie Jhun</v>
      </c>
      <c r="I35" t="str">
        <f>IFERROR(__xludf.DUMMYFUNCTION("""COMPUTED_VALUE"""),"ejhun@base10genetics.com")</f>
        <v>ejhun@base10genetics.com</v>
      </c>
      <c r="J35" s="55" t="str">
        <f>IFERROR(__xludf.DUMMYFUNCTION("""COMPUTED_VALUE"""),"Comprehensive")</f>
        <v>Comprehensive</v>
      </c>
      <c r="K35" t="str">
        <f>IFERROR(__xludf.DUMMYFUNCTION("""COMPUTED_VALUE"""),"")</f>
        <v/>
      </c>
    </row>
    <row r="36">
      <c r="A36" t="str">
        <f>IFERROR(__xludf.DUMMYFUNCTION("""COMPUTED_VALUE"""),"Assigned")</f>
        <v>Assigned</v>
      </c>
      <c r="B36" s="115">
        <f>IFERROR(__xludf.DUMMYFUNCTION("""COMPUTED_VALUE"""),43717.0)</f>
        <v>43717</v>
      </c>
      <c r="C36" s="113">
        <f>IFERROR(__xludf.DUMMYFUNCTION("""COMPUTED_VALUE"""),43678.0)</f>
        <v>43678</v>
      </c>
      <c r="D36" s="55" t="str">
        <f>IFERROR(__xludf.DUMMYFUNCTION("""COMPUTED_VALUE"""),"Yes")</f>
        <v>Yes</v>
      </c>
      <c r="E36" s="55" t="str">
        <f>IFERROR(__xludf.DUMMYFUNCTION("""COMPUTED_VALUE"""),"Yes")</f>
        <v>Yes</v>
      </c>
      <c r="F36" s="55" t="str">
        <f>IFERROR(__xludf.DUMMYFUNCTION("""COMPUTED_VALUE"""),"Actionability")</f>
        <v>Actionability</v>
      </c>
      <c r="G36" t="str">
        <f>IFERROR(__xludf.DUMMYFUNCTION("""COMPUTED_VALUE"""),"")</f>
        <v/>
      </c>
      <c r="H36" t="str">
        <f>IFERROR(__xludf.DUMMYFUNCTION("""COMPUTED_VALUE"""),"Andrew Stergachis")</f>
        <v>Andrew Stergachis</v>
      </c>
      <c r="I36" t="str">
        <f>IFERROR(__xludf.DUMMYFUNCTION("""COMPUTED_VALUE"""),"astergachis@bwh.harvard.edu")</f>
        <v>astergachis@bwh.harvard.edu</v>
      </c>
      <c r="J36" s="55" t="str">
        <f>IFERROR(__xludf.DUMMYFUNCTION("""COMPUTED_VALUE"""),"Comprehensive")</f>
        <v>Comprehensive</v>
      </c>
      <c r="K36" t="str">
        <f>IFERROR(__xludf.DUMMYFUNCTION("""COMPUTED_VALUE"""),"Possibly ")</f>
        <v>Possibly </v>
      </c>
    </row>
    <row r="37">
      <c r="A37" t="str">
        <f>IFERROR(__xludf.DUMMYFUNCTION("""COMPUTED_VALUE"""),"Contacted")</f>
        <v>Contacted</v>
      </c>
      <c r="B37" s="115">
        <f>IFERROR(__xludf.DUMMYFUNCTION("""COMPUTED_VALUE"""),43717.0)</f>
        <v>43717</v>
      </c>
      <c r="C37" t="str">
        <f>IFERROR(__xludf.DUMMYFUNCTION("""COMPUTED_VALUE"""),"")</f>
        <v/>
      </c>
      <c r="D37" s="55" t="str">
        <f>IFERROR(__xludf.DUMMYFUNCTION("""COMPUTED_VALUE"""),"")</f>
        <v/>
      </c>
      <c r="E37" s="55" t="str">
        <f>IFERROR(__xludf.DUMMYFUNCTION("""COMPUTED_VALUE"""),"No")</f>
        <v>No</v>
      </c>
      <c r="F37" s="55" t="str">
        <f>IFERROR(__xludf.DUMMYFUNCTION("""COMPUTED_VALUE"""),"Actionability")</f>
        <v>Actionability</v>
      </c>
      <c r="G37" t="str">
        <f>IFERROR(__xludf.DUMMYFUNCTION("""COMPUTED_VALUE"""),"")</f>
        <v/>
      </c>
      <c r="H37" t="str">
        <f>IFERROR(__xludf.DUMMYFUNCTION("""COMPUTED_VALUE"""),"Lalitha Venkateswaran")</f>
        <v>Lalitha Venkateswaran</v>
      </c>
      <c r="I37" t="str">
        <f>IFERROR(__xludf.DUMMYFUNCTION("""COMPUTED_VALUE"""),"lalithapv19@gmail.com")</f>
        <v>lalithapv19@gmail.com</v>
      </c>
      <c r="J37" s="55" t="str">
        <f>IFERROR(__xludf.DUMMYFUNCTION("""COMPUTED_VALUE"""),"Comprehensive")</f>
        <v>Comprehensive</v>
      </c>
      <c r="K37" t="str">
        <f>IFERROR(__xludf.DUMMYFUNCTION("""COMPUTED_VALUE"""),"")</f>
        <v/>
      </c>
    </row>
    <row r="38">
      <c r="A38" t="str">
        <f>IFERROR(__xludf.DUMMYFUNCTION("""COMPUTED_VALUE"""),"Unresponsive")</f>
        <v>Unresponsive</v>
      </c>
      <c r="B38" t="str">
        <f>IFERROR(__xludf.DUMMYFUNCTION("""COMPUTED_VALUE"""),"")</f>
        <v/>
      </c>
      <c r="C38" t="str">
        <f>IFERROR(__xludf.DUMMYFUNCTION("""COMPUTED_VALUE"""),"")</f>
        <v/>
      </c>
      <c r="D38" s="55" t="str">
        <f>IFERROR(__xludf.DUMMYFUNCTION("""COMPUTED_VALUE"""),"")</f>
        <v/>
      </c>
      <c r="E38" s="55" t="str">
        <f>IFERROR(__xludf.DUMMYFUNCTION("""COMPUTED_VALUE"""),"No")</f>
        <v>No</v>
      </c>
      <c r="F38" s="55" t="str">
        <f>IFERROR(__xludf.DUMMYFUNCTION("""COMPUTED_VALUE"""),"Actionability")</f>
        <v>Actionability</v>
      </c>
      <c r="G38" t="str">
        <f>IFERROR(__xludf.DUMMYFUNCTION("""COMPUTED_VALUE"""),"")</f>
        <v/>
      </c>
      <c r="H38" t="str">
        <f>IFERROR(__xludf.DUMMYFUNCTION("""COMPUTED_VALUE"""),"Andrew Langlois")</f>
        <v>Andrew Langlois</v>
      </c>
      <c r="I38" t="str">
        <f>IFERROR(__xludf.DUMMYFUNCTION("""COMPUTED_VALUE"""),"andrewlanglois001@gmail.com")</f>
        <v>andrewlanglois001@gmail.com</v>
      </c>
      <c r="J38" s="55" t="str">
        <f>IFERROR(__xludf.DUMMYFUNCTION("""COMPUTED_VALUE"""),"Comprehensive")</f>
        <v>Comprehensive</v>
      </c>
      <c r="K38" t="str">
        <f>IFERROR(__xludf.DUMMYFUNCTION("""COMPUTED_VALUE"""),"")</f>
        <v/>
      </c>
    </row>
    <row r="39">
      <c r="A39" t="str">
        <f>IFERROR(__xludf.DUMMYFUNCTION("""COMPUTED_VALUE"""),"Unresponsive")</f>
        <v>Unresponsive</v>
      </c>
      <c r="B39" t="str">
        <f>IFERROR(__xludf.DUMMYFUNCTION("""COMPUTED_VALUE"""),"")</f>
        <v/>
      </c>
      <c r="C39" t="str">
        <f>IFERROR(__xludf.DUMMYFUNCTION("""COMPUTED_VALUE"""),"")</f>
        <v/>
      </c>
      <c r="D39" s="55" t="str">
        <f>IFERROR(__xludf.DUMMYFUNCTION("""COMPUTED_VALUE"""),"")</f>
        <v/>
      </c>
      <c r="E39" s="55" t="str">
        <f>IFERROR(__xludf.DUMMYFUNCTION("""COMPUTED_VALUE"""),"No")</f>
        <v>No</v>
      </c>
      <c r="F39" s="55" t="str">
        <f>IFERROR(__xludf.DUMMYFUNCTION("""COMPUTED_VALUE"""),"Actionability")</f>
        <v>Actionability</v>
      </c>
      <c r="G39" t="str">
        <f>IFERROR(__xludf.DUMMYFUNCTION("""COMPUTED_VALUE"""),"")</f>
        <v/>
      </c>
      <c r="H39" t="str">
        <f>IFERROR(__xludf.DUMMYFUNCTION("""COMPUTED_VALUE"""),"Sally Pea ")</f>
        <v>Sally Pea </v>
      </c>
      <c r="I39" t="str">
        <f>IFERROR(__xludf.DUMMYFUNCTION("""COMPUTED_VALUE"""),"spea@live.com")</f>
        <v>spea@live.com</v>
      </c>
      <c r="J39" s="55" t="str">
        <f>IFERROR(__xludf.DUMMYFUNCTION("""COMPUTED_VALUE"""),"Comprehensive")</f>
        <v>Comprehensive</v>
      </c>
      <c r="K39" t="str">
        <f>IFERROR(__xludf.DUMMYFUNCTION("""COMPUTED_VALUE"""),"Congenital Myopathies or Limb Girdle Dystrophies or anywhere needed")</f>
        <v>Congenital Myopathies or Limb Girdle Dystrophies or anywhere needed</v>
      </c>
    </row>
    <row r="40">
      <c r="A40" t="str">
        <f>IFERROR(__xludf.DUMMYFUNCTION("""COMPUTED_VALUE"""),"Assigned")</f>
        <v>Assigned</v>
      </c>
      <c r="B40" s="113">
        <f>IFERROR(__xludf.DUMMYFUNCTION("""COMPUTED_VALUE"""),44160.0)</f>
        <v>44160</v>
      </c>
      <c r="C40" s="113">
        <f>IFERROR(__xludf.DUMMYFUNCTION("""COMPUTED_VALUE"""),43859.0)</f>
        <v>43859</v>
      </c>
      <c r="D40" s="55" t="str">
        <f>IFERROR(__xludf.DUMMYFUNCTION("""COMPUTED_VALUE"""),"Yes")</f>
        <v>Yes</v>
      </c>
      <c r="E40" s="55" t="str">
        <f>IFERROR(__xludf.DUMMYFUNCTION("""COMPUTED_VALUE"""),"No")</f>
        <v>No</v>
      </c>
      <c r="F40" s="55" t="str">
        <f>IFERROR(__xludf.DUMMYFUNCTION("""COMPUTED_VALUE"""),"Actionability")</f>
        <v>Actionability</v>
      </c>
      <c r="G40" t="str">
        <f>IFERROR(__xludf.DUMMYFUNCTION("""COMPUTED_VALUE"""),"")</f>
        <v/>
      </c>
      <c r="H40" t="str">
        <f>IFERROR(__xludf.DUMMYFUNCTION("""COMPUTED_VALUE"""),"Larissa Waldman")</f>
        <v>Larissa Waldman</v>
      </c>
      <c r="I40" t="str">
        <f>IFERROR(__xludf.DUMMYFUNCTION("""COMPUTED_VALUE"""),"larissa.waldman@gmail.com")</f>
        <v>larissa.waldman@gmail.com</v>
      </c>
      <c r="J40" s="55" t="str">
        <f>IFERROR(__xludf.DUMMYFUNCTION("""COMPUTED_VALUE"""),"Comprehensive")</f>
        <v>Comprehensive</v>
      </c>
      <c r="K40" t="str">
        <f>IFERROR(__xludf.DUMMYFUNCTION("""COMPUTED_VALUE"""),"Hereditary cancer, myeloid malignancy, pediatric somatic")</f>
        <v>Hereditary cancer, myeloid malignancy, pediatric somatic</v>
      </c>
    </row>
    <row r="41">
      <c r="A41" t="str">
        <f>IFERROR(__xludf.DUMMYFUNCTION("""COMPUTED_VALUE"""),"Assigned")</f>
        <v>Assigned</v>
      </c>
      <c r="B41" s="113">
        <f>IFERROR(__xludf.DUMMYFUNCTION("""COMPUTED_VALUE"""),43808.0)</f>
        <v>43808</v>
      </c>
      <c r="C41" s="113">
        <f>IFERROR(__xludf.DUMMYFUNCTION("""COMPUTED_VALUE"""),43859.0)</f>
        <v>43859</v>
      </c>
      <c r="D41" s="55" t="str">
        <f>IFERROR(__xludf.DUMMYFUNCTION("""COMPUTED_VALUE"""),"Yes")</f>
        <v>Yes</v>
      </c>
      <c r="E41" s="55" t="str">
        <f>IFERROR(__xludf.DUMMYFUNCTION("""COMPUTED_VALUE"""),"No")</f>
        <v>No</v>
      </c>
      <c r="F41" s="55" t="str">
        <f>IFERROR(__xludf.DUMMYFUNCTION("""COMPUTED_VALUE"""),"Actionability")</f>
        <v>Actionability</v>
      </c>
      <c r="G41" t="str">
        <f>IFERROR(__xludf.DUMMYFUNCTION("""COMPUTED_VALUE"""),"")</f>
        <v/>
      </c>
      <c r="H41" t="str">
        <f>IFERROR(__xludf.DUMMYFUNCTION("""COMPUTED_VALUE"""),"Mark Shlapobersky")</f>
        <v>Mark Shlapobersky</v>
      </c>
      <c r="I41" t="str">
        <f>IFERROR(__xludf.DUMMYFUNCTION("""COMPUTED_VALUE"""),"marks@bmc.gov.il")</f>
        <v>marks@bmc.gov.il</v>
      </c>
      <c r="J41" s="55" t="str">
        <f>IFERROR(__xludf.DUMMYFUNCTION("""COMPUTED_VALUE"""),"Comprehensive")</f>
        <v>Comprehensive</v>
      </c>
      <c r="K41" t="str">
        <f>IFERROR(__xludf.DUMMYFUNCTION("""COMPUTED_VALUE"""),"")</f>
        <v/>
      </c>
    </row>
    <row r="42">
      <c r="A42" t="str">
        <f>IFERROR(__xludf.DUMMYFUNCTION("""COMPUTED_VALUE"""),"Contacted")</f>
        <v>Contacted</v>
      </c>
      <c r="B42" t="str">
        <f>IFERROR(__xludf.DUMMYFUNCTION("""COMPUTED_VALUE"""),"")</f>
        <v/>
      </c>
      <c r="C42" t="str">
        <f>IFERROR(__xludf.DUMMYFUNCTION("""COMPUTED_VALUE"""),"")</f>
        <v/>
      </c>
      <c r="D42" s="55" t="str">
        <f>IFERROR(__xludf.DUMMYFUNCTION("""COMPUTED_VALUE"""),"")</f>
        <v/>
      </c>
      <c r="E42" s="55" t="str">
        <f>IFERROR(__xludf.DUMMYFUNCTION("""COMPUTED_VALUE"""),"No")</f>
        <v>No</v>
      </c>
      <c r="F42" s="55" t="str">
        <f>IFERROR(__xludf.DUMMYFUNCTION("""COMPUTED_VALUE"""),"Actionability")</f>
        <v>Actionability</v>
      </c>
      <c r="G42" t="str">
        <f>IFERROR(__xludf.DUMMYFUNCTION("""COMPUTED_VALUE"""),"")</f>
        <v/>
      </c>
      <c r="H42" t="str">
        <f>IFERROR(__xludf.DUMMYFUNCTION("""COMPUTED_VALUE"""),"Laurie Connors")</f>
        <v>Laurie Connors</v>
      </c>
      <c r="I42" t="str">
        <f>IFERROR(__xludf.DUMMYFUNCTION("""COMPUTED_VALUE"""),"laurie.m.connors@vanderbilt.edu")</f>
        <v>laurie.m.connors@vanderbilt.edu</v>
      </c>
      <c r="J42" s="55" t="str">
        <f>IFERROR(__xludf.DUMMYFUNCTION("""COMPUTED_VALUE"""),"Comprehensive")</f>
        <v>Comprehensive</v>
      </c>
      <c r="K42" t="str">
        <f>IFERROR(__xludf.DUMMYFUNCTION("""COMPUTED_VALUE"""),"Hereditary Cancer, PTEN, VHL")</f>
        <v>Hereditary Cancer, PTEN, VHL</v>
      </c>
    </row>
    <row r="43">
      <c r="A43" t="str">
        <f>IFERROR(__xludf.DUMMYFUNCTION("""COMPUTED_VALUE"""),"Assigned")</f>
        <v>Assigned</v>
      </c>
      <c r="B43" s="113">
        <f>IFERROR(__xludf.DUMMYFUNCTION("""COMPUTED_VALUE"""),43860.0)</f>
        <v>43860</v>
      </c>
      <c r="C43" t="str">
        <f>IFERROR(__xludf.DUMMYFUNCTION("""COMPUTED_VALUE"""),"")</f>
        <v/>
      </c>
      <c r="D43" s="55" t="str">
        <f>IFERROR(__xludf.DUMMYFUNCTION("""COMPUTED_VALUE"""),"")</f>
        <v/>
      </c>
      <c r="E43" s="55" t="str">
        <f>IFERROR(__xludf.DUMMYFUNCTION("""COMPUTED_VALUE"""),"No")</f>
        <v>No</v>
      </c>
      <c r="F43" s="55" t="str">
        <f>IFERROR(__xludf.DUMMYFUNCTION("""COMPUTED_VALUE"""),"Actionability")</f>
        <v>Actionability</v>
      </c>
      <c r="G43" t="str">
        <f>IFERROR(__xludf.DUMMYFUNCTION("""COMPUTED_VALUE"""),"")</f>
        <v/>
      </c>
      <c r="H43" t="str">
        <f>IFERROR(__xludf.DUMMYFUNCTION("""COMPUTED_VALUE"""),"Shrutika Jadhav")</f>
        <v>Shrutika Jadhav</v>
      </c>
      <c r="I43" t="str">
        <f>IFERROR(__xludf.DUMMYFUNCTION("""COMPUTED_VALUE"""),"shrutikajadhav18@gmail.com")</f>
        <v>shrutikajadhav18@gmail.com</v>
      </c>
      <c r="J43" s="55" t="str">
        <f>IFERROR(__xludf.DUMMYFUNCTION("""COMPUTED_VALUE"""),"Comprehensive")</f>
        <v>Comprehensive</v>
      </c>
      <c r="K43" t="str">
        <f>IFERROR(__xludf.DUMMYFUNCTION("""COMPUTED_VALUE"""),"Brain Malformations, Intellectual Disability and Autism, Pediatric ")</f>
        <v>Brain Malformations, Intellectual Disability and Autism, Pediatric </v>
      </c>
    </row>
    <row r="44">
      <c r="D44" s="55"/>
      <c r="E44" s="55"/>
      <c r="F44" s="55"/>
      <c r="J44" s="55"/>
    </row>
    <row r="45">
      <c r="D45" s="55"/>
      <c r="E45" s="55"/>
      <c r="F45" s="55"/>
      <c r="J45" s="55"/>
    </row>
    <row r="46">
      <c r="D46" s="55"/>
      <c r="E46" s="55"/>
      <c r="F46" s="55"/>
      <c r="J46" s="55"/>
    </row>
    <row r="47">
      <c r="D47" s="55"/>
      <c r="E47" s="55"/>
      <c r="F47" s="55"/>
      <c r="J47" s="55"/>
    </row>
    <row r="48">
      <c r="D48" s="55"/>
      <c r="E48" s="55"/>
      <c r="F48" s="55"/>
      <c r="J48" s="55"/>
    </row>
    <row r="49">
      <c r="D49" s="55"/>
      <c r="E49" s="55"/>
      <c r="F49" s="55"/>
      <c r="J49" s="55"/>
    </row>
    <row r="50">
      <c r="D50" s="55"/>
      <c r="E50" s="55"/>
      <c r="F50" s="55"/>
      <c r="J50" s="55"/>
    </row>
    <row r="51">
      <c r="D51" s="55"/>
      <c r="E51" s="55"/>
      <c r="F51" s="55"/>
      <c r="J51" s="55"/>
    </row>
    <row r="52">
      <c r="D52" s="55"/>
      <c r="E52" s="55"/>
      <c r="F52" s="55"/>
      <c r="J52" s="55"/>
    </row>
    <row r="53">
      <c r="D53" s="55"/>
      <c r="E53" s="55"/>
      <c r="F53" s="55"/>
      <c r="J53" s="55"/>
    </row>
    <row r="54">
      <c r="D54" s="55"/>
      <c r="E54" s="55"/>
      <c r="F54" s="55"/>
      <c r="J54" s="55"/>
    </row>
    <row r="55">
      <c r="D55" s="55"/>
      <c r="E55" s="55"/>
      <c r="F55" s="55"/>
      <c r="J55" s="55"/>
    </row>
    <row r="56">
      <c r="D56" s="55"/>
      <c r="E56" s="55"/>
      <c r="F56" s="55"/>
      <c r="J56" s="55"/>
    </row>
    <row r="57">
      <c r="D57" s="55"/>
      <c r="E57" s="55"/>
      <c r="F57" s="55"/>
      <c r="J57" s="55"/>
    </row>
    <row r="58">
      <c r="D58" s="55"/>
      <c r="E58" s="55"/>
      <c r="F58" s="55"/>
      <c r="J58" s="55"/>
    </row>
    <row r="59">
      <c r="D59" s="55"/>
      <c r="E59" s="55"/>
      <c r="F59" s="55"/>
      <c r="J59" s="55"/>
    </row>
    <row r="60">
      <c r="D60" s="55"/>
      <c r="E60" s="55"/>
      <c r="F60" s="55"/>
      <c r="J60" s="55"/>
    </row>
    <row r="61">
      <c r="D61" s="55"/>
      <c r="E61" s="55"/>
      <c r="F61" s="55"/>
      <c r="J61" s="55"/>
    </row>
    <row r="62">
      <c r="D62" s="55"/>
      <c r="E62" s="55"/>
      <c r="F62" s="55"/>
      <c r="J62" s="55"/>
    </row>
    <row r="63">
      <c r="D63" s="55"/>
      <c r="E63" s="55"/>
      <c r="F63" s="55"/>
      <c r="J63" s="55"/>
    </row>
    <row r="64">
      <c r="D64" s="55"/>
      <c r="E64" s="55"/>
      <c r="F64" s="55"/>
      <c r="J64" s="55"/>
    </row>
    <row r="65">
      <c r="D65" s="55"/>
      <c r="E65" s="55"/>
      <c r="F65" s="55"/>
      <c r="J65" s="55"/>
    </row>
    <row r="66">
      <c r="D66" s="55"/>
      <c r="E66" s="55"/>
      <c r="F66" s="55"/>
      <c r="J66" s="55"/>
    </row>
    <row r="67">
      <c r="D67" s="55"/>
      <c r="E67" s="55"/>
      <c r="F67" s="55"/>
      <c r="J67" s="55"/>
    </row>
    <row r="68">
      <c r="D68" s="55"/>
      <c r="E68" s="55"/>
      <c r="F68" s="55"/>
      <c r="J68" s="55"/>
    </row>
    <row r="69">
      <c r="D69" s="55"/>
      <c r="E69" s="55"/>
      <c r="F69" s="55"/>
      <c r="J69" s="55"/>
    </row>
    <row r="70">
      <c r="D70" s="55"/>
      <c r="E70" s="55"/>
      <c r="F70" s="55"/>
      <c r="J70" s="55"/>
    </row>
    <row r="71">
      <c r="D71" s="55"/>
      <c r="E71" s="55"/>
      <c r="F71" s="55"/>
      <c r="J71" s="55"/>
    </row>
    <row r="72">
      <c r="D72" s="55"/>
      <c r="E72" s="55"/>
      <c r="F72" s="55"/>
      <c r="J72" s="55"/>
    </row>
    <row r="73">
      <c r="D73" s="55"/>
      <c r="E73" s="55"/>
      <c r="F73" s="55"/>
      <c r="J73" s="55"/>
    </row>
    <row r="74">
      <c r="D74" s="55"/>
      <c r="E74" s="55"/>
      <c r="F74" s="55"/>
      <c r="J74" s="55"/>
    </row>
    <row r="75">
      <c r="D75" s="55"/>
      <c r="E75" s="55"/>
      <c r="F75" s="55"/>
      <c r="J75" s="55"/>
    </row>
    <row r="76">
      <c r="D76" s="55"/>
      <c r="E76" s="55"/>
      <c r="F76" s="55"/>
      <c r="J76" s="55"/>
    </row>
    <row r="77">
      <c r="D77" s="55"/>
      <c r="E77" s="55"/>
      <c r="F77" s="55"/>
      <c r="J77" s="55"/>
    </row>
    <row r="78">
      <c r="D78" s="55"/>
      <c r="E78" s="55"/>
      <c r="F78" s="55"/>
      <c r="J78" s="55"/>
    </row>
    <row r="79">
      <c r="D79" s="55"/>
      <c r="E79" s="55"/>
      <c r="F79" s="55"/>
      <c r="J79" s="55"/>
    </row>
    <row r="80">
      <c r="D80" s="55"/>
      <c r="E80" s="55"/>
      <c r="F80" s="55"/>
      <c r="J80" s="55"/>
    </row>
    <row r="81">
      <c r="D81" s="55"/>
      <c r="E81" s="55"/>
      <c r="F81" s="55"/>
      <c r="J81" s="55"/>
    </row>
    <row r="82">
      <c r="D82" s="55"/>
      <c r="E82" s="55"/>
      <c r="F82" s="55"/>
      <c r="J82" s="55"/>
    </row>
    <row r="83">
      <c r="D83" s="55"/>
      <c r="E83" s="55"/>
      <c r="F83" s="55"/>
      <c r="J83" s="55"/>
    </row>
    <row r="84">
      <c r="D84" s="55"/>
      <c r="E84" s="55"/>
      <c r="F84" s="55"/>
      <c r="J84" s="55"/>
    </row>
    <row r="85">
      <c r="D85" s="55"/>
      <c r="E85" s="55"/>
      <c r="F85" s="55"/>
      <c r="J85" s="55"/>
    </row>
    <row r="86">
      <c r="D86" s="55"/>
      <c r="E86" s="55"/>
      <c r="F86" s="55"/>
      <c r="J86" s="55"/>
    </row>
    <row r="87">
      <c r="D87" s="55"/>
      <c r="E87" s="55"/>
      <c r="F87" s="55"/>
      <c r="J87" s="55"/>
    </row>
    <row r="88">
      <c r="D88" s="55"/>
      <c r="E88" s="55"/>
      <c r="F88" s="55"/>
      <c r="J88" s="55"/>
    </row>
    <row r="89">
      <c r="D89" s="55"/>
      <c r="E89" s="55"/>
      <c r="F89" s="55"/>
      <c r="J89" s="55"/>
    </row>
    <row r="90">
      <c r="D90" s="55"/>
      <c r="E90" s="55"/>
      <c r="F90" s="55"/>
      <c r="J90" s="55"/>
    </row>
    <row r="91">
      <c r="D91" s="55"/>
      <c r="E91" s="55"/>
      <c r="F91" s="55"/>
      <c r="J91" s="55"/>
    </row>
    <row r="92">
      <c r="D92" s="55"/>
      <c r="E92" s="55"/>
      <c r="F92" s="55"/>
      <c r="J92" s="55"/>
    </row>
    <row r="93">
      <c r="D93" s="55"/>
      <c r="E93" s="55"/>
      <c r="F93" s="55"/>
      <c r="J93" s="55"/>
    </row>
    <row r="94">
      <c r="D94" s="55"/>
      <c r="E94" s="55"/>
      <c r="F94" s="55"/>
      <c r="J94" s="55"/>
    </row>
    <row r="95">
      <c r="D95" s="55"/>
      <c r="E95" s="55"/>
      <c r="F95" s="55"/>
      <c r="J95" s="55"/>
    </row>
    <row r="96">
      <c r="D96" s="55"/>
      <c r="E96" s="55"/>
      <c r="F96" s="55"/>
      <c r="J96" s="55"/>
    </row>
    <row r="97">
      <c r="D97" s="55"/>
      <c r="E97" s="55"/>
      <c r="F97" s="55"/>
      <c r="J97" s="55"/>
    </row>
    <row r="98">
      <c r="D98" s="55"/>
      <c r="E98" s="55"/>
      <c r="F98" s="55"/>
      <c r="J98" s="55"/>
    </row>
    <row r="99">
      <c r="D99" s="55"/>
      <c r="E99" s="55"/>
      <c r="F99" s="55"/>
      <c r="J99" s="55"/>
    </row>
    <row r="100">
      <c r="D100" s="55"/>
      <c r="E100" s="55"/>
      <c r="F100" s="55"/>
      <c r="J100" s="55"/>
    </row>
    <row r="101">
      <c r="D101" s="55"/>
      <c r="E101" s="55"/>
      <c r="F101" s="55"/>
      <c r="J101" s="55"/>
    </row>
    <row r="102">
      <c r="D102" s="55"/>
      <c r="E102" s="55"/>
      <c r="F102" s="55"/>
      <c r="J102" s="55"/>
    </row>
    <row r="103">
      <c r="D103" s="55"/>
      <c r="E103" s="55"/>
      <c r="F103" s="55"/>
      <c r="J103" s="55"/>
    </row>
    <row r="104">
      <c r="D104" s="55"/>
      <c r="E104" s="55"/>
      <c r="F104" s="55"/>
      <c r="J104" s="55"/>
    </row>
    <row r="105">
      <c r="D105" s="55"/>
      <c r="E105" s="55"/>
      <c r="F105" s="55"/>
      <c r="J105" s="55"/>
    </row>
    <row r="106">
      <c r="D106" s="55"/>
      <c r="E106" s="55"/>
      <c r="F106" s="55"/>
      <c r="J106" s="55"/>
    </row>
    <row r="107">
      <c r="D107" s="55"/>
      <c r="E107" s="55"/>
      <c r="F107" s="55"/>
      <c r="J107" s="55"/>
    </row>
    <row r="108">
      <c r="D108" s="55"/>
      <c r="E108" s="55"/>
      <c r="F108" s="55"/>
      <c r="J108" s="55"/>
    </row>
    <row r="109">
      <c r="D109" s="55"/>
      <c r="E109" s="55"/>
      <c r="F109" s="55"/>
      <c r="J109" s="55"/>
    </row>
    <row r="110">
      <c r="D110" s="55"/>
      <c r="E110" s="55"/>
      <c r="F110" s="55"/>
      <c r="J110" s="55"/>
    </row>
    <row r="111">
      <c r="D111" s="55"/>
      <c r="E111" s="55"/>
      <c r="F111" s="55"/>
      <c r="J111" s="55"/>
    </row>
    <row r="112">
      <c r="D112" s="55"/>
      <c r="E112" s="55"/>
      <c r="F112" s="55"/>
      <c r="J112" s="55"/>
    </row>
    <row r="113">
      <c r="D113" s="55"/>
      <c r="E113" s="55"/>
      <c r="F113" s="55"/>
      <c r="J113" s="55"/>
    </row>
    <row r="114">
      <c r="D114" s="55"/>
      <c r="E114" s="55"/>
      <c r="F114" s="55"/>
      <c r="J114" s="55"/>
    </row>
    <row r="115">
      <c r="D115" s="55"/>
      <c r="E115" s="55"/>
      <c r="F115" s="55"/>
      <c r="J115" s="55"/>
    </row>
    <row r="116">
      <c r="D116" s="55"/>
      <c r="E116" s="55"/>
      <c r="F116" s="55"/>
      <c r="J116" s="55"/>
    </row>
    <row r="117">
      <c r="D117" s="55"/>
      <c r="E117" s="55"/>
      <c r="F117" s="55"/>
      <c r="J117" s="55"/>
    </row>
    <row r="118">
      <c r="D118" s="55"/>
      <c r="E118" s="55"/>
      <c r="F118" s="55"/>
      <c r="J118" s="55"/>
    </row>
    <row r="119">
      <c r="D119" s="55"/>
      <c r="E119" s="55"/>
      <c r="F119" s="55"/>
      <c r="J119" s="55"/>
    </row>
    <row r="120">
      <c r="D120" s="55"/>
      <c r="E120" s="55"/>
      <c r="F120" s="55"/>
      <c r="J120" s="55"/>
    </row>
    <row r="121">
      <c r="D121" s="55"/>
      <c r="E121" s="55"/>
      <c r="F121" s="55"/>
      <c r="J121" s="55"/>
    </row>
    <row r="122">
      <c r="D122" s="55"/>
      <c r="E122" s="55"/>
      <c r="F122" s="55"/>
      <c r="J122" s="55"/>
    </row>
    <row r="123">
      <c r="D123" s="55"/>
      <c r="E123" s="55"/>
      <c r="F123" s="55"/>
      <c r="J123" s="55"/>
    </row>
    <row r="124">
      <c r="D124" s="55"/>
      <c r="E124" s="55"/>
      <c r="F124" s="55"/>
      <c r="J124" s="55"/>
    </row>
    <row r="125">
      <c r="D125" s="55"/>
      <c r="E125" s="55"/>
      <c r="F125" s="55"/>
      <c r="J125" s="55"/>
    </row>
    <row r="126">
      <c r="D126" s="55"/>
      <c r="E126" s="55"/>
      <c r="F126" s="55"/>
      <c r="J126" s="55"/>
    </row>
    <row r="127">
      <c r="D127" s="55"/>
      <c r="E127" s="55"/>
      <c r="F127" s="55"/>
      <c r="J127" s="55"/>
    </row>
    <row r="128">
      <c r="D128" s="55"/>
      <c r="E128" s="55"/>
      <c r="F128" s="55"/>
      <c r="J128" s="55"/>
    </row>
    <row r="129">
      <c r="D129" s="55"/>
      <c r="E129" s="55"/>
      <c r="F129" s="55"/>
      <c r="J129" s="55"/>
    </row>
    <row r="130">
      <c r="D130" s="55"/>
      <c r="E130" s="55"/>
      <c r="F130" s="55"/>
      <c r="J130" s="55"/>
    </row>
    <row r="131">
      <c r="D131" s="55"/>
      <c r="E131" s="55"/>
      <c r="F131" s="55"/>
      <c r="J131" s="55"/>
    </row>
    <row r="132">
      <c r="D132" s="55"/>
      <c r="E132" s="55"/>
      <c r="F132" s="55"/>
      <c r="J132" s="55"/>
    </row>
    <row r="133">
      <c r="D133" s="55"/>
      <c r="E133" s="55"/>
      <c r="F133" s="55"/>
      <c r="J133" s="55"/>
    </row>
    <row r="134">
      <c r="D134" s="55"/>
      <c r="E134" s="55"/>
      <c r="F134" s="55"/>
      <c r="J134" s="55"/>
    </row>
    <row r="135">
      <c r="D135" s="55"/>
      <c r="E135" s="55"/>
      <c r="F135" s="55"/>
      <c r="J135" s="55"/>
    </row>
    <row r="136">
      <c r="D136" s="55"/>
      <c r="E136" s="55"/>
      <c r="F136" s="55"/>
      <c r="J136" s="55"/>
    </row>
    <row r="137">
      <c r="D137" s="55"/>
      <c r="E137" s="55"/>
      <c r="F137" s="55"/>
      <c r="J137" s="55"/>
    </row>
    <row r="138">
      <c r="D138" s="55"/>
      <c r="E138" s="55"/>
      <c r="F138" s="55"/>
      <c r="J138" s="55"/>
    </row>
    <row r="139">
      <c r="D139" s="55"/>
      <c r="E139" s="55"/>
      <c r="F139" s="55"/>
      <c r="J139" s="55"/>
    </row>
    <row r="140">
      <c r="D140" s="55"/>
      <c r="E140" s="55"/>
      <c r="F140" s="55"/>
      <c r="J140" s="55"/>
    </row>
    <row r="141">
      <c r="D141" s="55"/>
      <c r="E141" s="55"/>
      <c r="F141" s="55"/>
      <c r="J141" s="55"/>
    </row>
    <row r="142">
      <c r="D142" s="55"/>
      <c r="E142" s="55"/>
      <c r="F142" s="55"/>
      <c r="J142" s="55"/>
    </row>
    <row r="143">
      <c r="D143" s="55"/>
      <c r="E143" s="55"/>
      <c r="F143" s="55"/>
      <c r="J143" s="55"/>
    </row>
    <row r="144">
      <c r="D144" s="55"/>
      <c r="E144" s="55"/>
      <c r="F144" s="55"/>
      <c r="J144" s="55"/>
    </row>
    <row r="145">
      <c r="D145" s="55"/>
      <c r="E145" s="55"/>
      <c r="F145" s="55"/>
      <c r="J145" s="55"/>
    </row>
    <row r="146">
      <c r="D146" s="55"/>
      <c r="E146" s="55"/>
      <c r="F146" s="55"/>
      <c r="J146" s="55"/>
    </row>
    <row r="147">
      <c r="D147" s="55"/>
      <c r="E147" s="55"/>
      <c r="F147" s="55"/>
      <c r="J147" s="55"/>
    </row>
    <row r="148">
      <c r="D148" s="55"/>
      <c r="E148" s="55"/>
      <c r="F148" s="55"/>
      <c r="J148" s="55"/>
    </row>
    <row r="149">
      <c r="D149" s="55"/>
      <c r="E149" s="55"/>
      <c r="F149" s="55"/>
      <c r="J149" s="55"/>
    </row>
    <row r="150">
      <c r="D150" s="55"/>
      <c r="E150" s="55"/>
      <c r="F150" s="55"/>
      <c r="J150" s="55"/>
    </row>
    <row r="151">
      <c r="D151" s="55"/>
      <c r="E151" s="55"/>
      <c r="F151" s="55"/>
      <c r="J151" s="55"/>
    </row>
    <row r="152">
      <c r="D152" s="55"/>
      <c r="E152" s="55"/>
      <c r="F152" s="55"/>
      <c r="J152" s="55"/>
    </row>
    <row r="153">
      <c r="D153" s="55"/>
      <c r="E153" s="55"/>
      <c r="F153" s="55"/>
      <c r="J153" s="55"/>
    </row>
    <row r="154">
      <c r="D154" s="55"/>
      <c r="E154" s="55"/>
      <c r="F154" s="55"/>
      <c r="J154" s="55"/>
    </row>
    <row r="155">
      <c r="D155" s="55"/>
      <c r="E155" s="55"/>
      <c r="F155" s="55"/>
      <c r="J155" s="55"/>
    </row>
    <row r="156">
      <c r="D156" s="55"/>
      <c r="E156" s="55"/>
      <c r="F156" s="55"/>
      <c r="J156" s="55"/>
    </row>
    <row r="157">
      <c r="D157" s="55"/>
      <c r="E157" s="55"/>
      <c r="F157" s="55"/>
      <c r="J157" s="55"/>
    </row>
    <row r="158">
      <c r="D158" s="55"/>
      <c r="E158" s="55"/>
      <c r="F158" s="55"/>
      <c r="J158" s="55"/>
    </row>
    <row r="159">
      <c r="D159" s="55"/>
      <c r="E159" s="55"/>
      <c r="F159" s="55"/>
      <c r="J159" s="55"/>
    </row>
    <row r="160">
      <c r="D160" s="55"/>
      <c r="E160" s="55"/>
      <c r="F160" s="55"/>
      <c r="J160" s="55"/>
    </row>
    <row r="161">
      <c r="D161" s="55"/>
      <c r="E161" s="55"/>
      <c r="F161" s="55"/>
      <c r="J161" s="55"/>
    </row>
    <row r="162">
      <c r="D162" s="55"/>
      <c r="E162" s="55"/>
      <c r="F162" s="55"/>
      <c r="J162" s="55"/>
    </row>
    <row r="163">
      <c r="D163" s="55"/>
      <c r="E163" s="55"/>
      <c r="F163" s="55"/>
      <c r="J163" s="55"/>
    </row>
    <row r="164">
      <c r="D164" s="55"/>
      <c r="E164" s="55"/>
      <c r="F164" s="55"/>
      <c r="J164" s="55"/>
    </row>
    <row r="165">
      <c r="D165" s="55"/>
      <c r="E165" s="55"/>
      <c r="F165" s="55"/>
      <c r="J165" s="55"/>
    </row>
    <row r="166">
      <c r="D166" s="55"/>
      <c r="E166" s="55"/>
      <c r="F166" s="55"/>
      <c r="J166" s="55"/>
    </row>
    <row r="167">
      <c r="D167" s="55"/>
      <c r="E167" s="55"/>
      <c r="F167" s="55"/>
      <c r="J167" s="55"/>
    </row>
    <row r="168">
      <c r="D168" s="55"/>
      <c r="E168" s="55"/>
      <c r="F168" s="55"/>
      <c r="J168" s="55"/>
    </row>
    <row r="169">
      <c r="D169" s="55"/>
      <c r="E169" s="55"/>
      <c r="F169" s="55"/>
      <c r="J169" s="55"/>
    </row>
    <row r="170">
      <c r="D170" s="55"/>
      <c r="E170" s="55"/>
      <c r="F170" s="55"/>
      <c r="J170" s="55"/>
    </row>
    <row r="171">
      <c r="D171" s="55"/>
      <c r="E171" s="55"/>
      <c r="F171" s="55"/>
      <c r="J171" s="55"/>
    </row>
    <row r="172">
      <c r="D172" s="55"/>
      <c r="E172" s="55"/>
      <c r="F172" s="55"/>
      <c r="J172" s="55"/>
    </row>
    <row r="173">
      <c r="D173" s="55"/>
      <c r="E173" s="55"/>
      <c r="F173" s="55"/>
      <c r="J173" s="55"/>
    </row>
    <row r="174">
      <c r="D174" s="55"/>
      <c r="E174" s="55"/>
      <c r="F174" s="55"/>
      <c r="J174" s="55"/>
    </row>
    <row r="175">
      <c r="D175" s="55"/>
      <c r="E175" s="55"/>
      <c r="F175" s="55"/>
      <c r="J175" s="55"/>
    </row>
    <row r="176">
      <c r="D176" s="55"/>
      <c r="E176" s="55"/>
      <c r="F176" s="55"/>
      <c r="J176" s="55"/>
    </row>
    <row r="177">
      <c r="D177" s="55"/>
      <c r="E177" s="55"/>
      <c r="F177" s="55"/>
      <c r="J177" s="55"/>
    </row>
    <row r="178">
      <c r="D178" s="55"/>
      <c r="E178" s="55"/>
      <c r="F178" s="55"/>
      <c r="J178" s="55"/>
    </row>
    <row r="179">
      <c r="D179" s="55"/>
      <c r="E179" s="55"/>
      <c r="F179" s="55"/>
      <c r="J179" s="55"/>
    </row>
    <row r="180">
      <c r="D180" s="55"/>
      <c r="E180" s="55"/>
      <c r="F180" s="55"/>
      <c r="J180" s="55"/>
    </row>
    <row r="181">
      <c r="D181" s="55"/>
      <c r="E181" s="55"/>
      <c r="F181" s="55"/>
      <c r="J181" s="55"/>
    </row>
    <row r="182">
      <c r="D182" s="55"/>
      <c r="E182" s="55"/>
      <c r="F182" s="55"/>
      <c r="J182" s="55"/>
    </row>
    <row r="183">
      <c r="D183" s="55"/>
      <c r="E183" s="55"/>
      <c r="F183" s="55"/>
      <c r="J183" s="55"/>
    </row>
    <row r="184">
      <c r="D184" s="55"/>
      <c r="E184" s="55"/>
      <c r="F184" s="55"/>
      <c r="J184" s="55"/>
    </row>
    <row r="185">
      <c r="D185" s="55"/>
      <c r="E185" s="55"/>
      <c r="F185" s="55"/>
      <c r="J185" s="55"/>
    </row>
    <row r="186">
      <c r="D186" s="55"/>
      <c r="E186" s="55"/>
      <c r="F186" s="55"/>
      <c r="J186" s="55"/>
    </row>
    <row r="187">
      <c r="D187" s="55"/>
      <c r="E187" s="55"/>
      <c r="F187" s="55"/>
      <c r="J187" s="55"/>
    </row>
    <row r="188">
      <c r="D188" s="55"/>
      <c r="E188" s="55"/>
      <c r="F188" s="55"/>
      <c r="J188" s="55"/>
    </row>
    <row r="189">
      <c r="D189" s="55"/>
      <c r="E189" s="55"/>
      <c r="F189" s="55"/>
      <c r="J189" s="55"/>
    </row>
    <row r="190">
      <c r="D190" s="55"/>
      <c r="E190" s="55"/>
      <c r="F190" s="55"/>
      <c r="J190" s="55"/>
    </row>
    <row r="191">
      <c r="D191" s="55"/>
      <c r="E191" s="55"/>
      <c r="F191" s="55"/>
      <c r="J191" s="55"/>
    </row>
    <row r="192">
      <c r="D192" s="55"/>
      <c r="E192" s="55"/>
      <c r="F192" s="55"/>
      <c r="J192" s="55"/>
    </row>
    <row r="193">
      <c r="D193" s="55"/>
      <c r="E193" s="55"/>
      <c r="F193" s="55"/>
      <c r="J193" s="55"/>
    </row>
    <row r="194">
      <c r="D194" s="55"/>
      <c r="E194" s="55"/>
      <c r="F194" s="55"/>
      <c r="J194" s="55"/>
    </row>
    <row r="195">
      <c r="D195" s="55"/>
      <c r="E195" s="55"/>
      <c r="F195" s="55"/>
      <c r="J195" s="55"/>
    </row>
    <row r="196">
      <c r="D196" s="55"/>
      <c r="E196" s="55"/>
      <c r="F196" s="55"/>
      <c r="J196" s="55"/>
    </row>
    <row r="197">
      <c r="D197" s="55"/>
      <c r="E197" s="55"/>
      <c r="F197" s="55"/>
      <c r="J197" s="55"/>
    </row>
    <row r="198">
      <c r="D198" s="55"/>
      <c r="E198" s="55"/>
      <c r="F198" s="55"/>
      <c r="J198" s="55"/>
    </row>
    <row r="199">
      <c r="D199" s="55"/>
      <c r="E199" s="55"/>
      <c r="F199" s="55"/>
      <c r="J199" s="55"/>
    </row>
    <row r="200">
      <c r="D200" s="55"/>
      <c r="E200" s="55"/>
      <c r="F200" s="55"/>
      <c r="J200" s="55"/>
    </row>
    <row r="201">
      <c r="D201" s="55"/>
      <c r="E201" s="55"/>
      <c r="F201" s="55"/>
      <c r="J201" s="55"/>
    </row>
    <row r="202">
      <c r="D202" s="55"/>
      <c r="E202" s="55"/>
      <c r="F202" s="55"/>
      <c r="J202" s="55"/>
    </row>
    <row r="203">
      <c r="D203" s="55"/>
      <c r="E203" s="55"/>
      <c r="F203" s="55"/>
      <c r="J203" s="55"/>
    </row>
    <row r="204">
      <c r="D204" s="55"/>
      <c r="E204" s="55"/>
      <c r="F204" s="55"/>
      <c r="J204" s="55"/>
    </row>
    <row r="205">
      <c r="D205" s="55"/>
      <c r="E205" s="55"/>
      <c r="F205" s="55"/>
      <c r="J205" s="55"/>
    </row>
    <row r="206">
      <c r="D206" s="55"/>
      <c r="E206" s="55"/>
      <c r="F206" s="55"/>
      <c r="J206" s="55"/>
    </row>
    <row r="207">
      <c r="D207" s="55"/>
      <c r="E207" s="55"/>
      <c r="F207" s="55"/>
      <c r="J207" s="55"/>
    </row>
    <row r="208">
      <c r="D208" s="55"/>
      <c r="E208" s="55"/>
      <c r="F208" s="55"/>
      <c r="J208" s="55"/>
    </row>
    <row r="209">
      <c r="D209" s="55"/>
      <c r="E209" s="55"/>
      <c r="F209" s="55"/>
      <c r="J209" s="55"/>
    </row>
    <row r="210">
      <c r="D210" s="55"/>
      <c r="E210" s="55"/>
      <c r="F210" s="55"/>
      <c r="J210" s="55"/>
    </row>
    <row r="211">
      <c r="D211" s="55"/>
      <c r="E211" s="55"/>
      <c r="F211" s="55"/>
      <c r="J211" s="55"/>
    </row>
    <row r="212">
      <c r="D212" s="55"/>
      <c r="E212" s="55"/>
      <c r="F212" s="55"/>
      <c r="J212" s="55"/>
    </row>
    <row r="213">
      <c r="D213" s="55"/>
      <c r="E213" s="55"/>
      <c r="F213" s="55"/>
      <c r="J213" s="55"/>
    </row>
    <row r="214">
      <c r="D214" s="55"/>
      <c r="E214" s="55"/>
      <c r="F214" s="55"/>
      <c r="J214" s="55"/>
    </row>
    <row r="215">
      <c r="D215" s="55"/>
      <c r="E215" s="55"/>
      <c r="F215" s="55"/>
      <c r="J215" s="55"/>
    </row>
    <row r="216">
      <c r="D216" s="55"/>
      <c r="E216" s="55"/>
      <c r="F216" s="55"/>
      <c r="J216" s="55"/>
    </row>
    <row r="217">
      <c r="D217" s="55"/>
      <c r="E217" s="55"/>
      <c r="F217" s="55"/>
      <c r="J217" s="55"/>
    </row>
    <row r="218">
      <c r="D218" s="55"/>
      <c r="E218" s="55"/>
      <c r="F218" s="55"/>
      <c r="J218" s="55"/>
    </row>
    <row r="219">
      <c r="D219" s="55"/>
      <c r="E219" s="55"/>
      <c r="F219" s="55"/>
      <c r="J219" s="55"/>
    </row>
    <row r="220">
      <c r="D220" s="55"/>
      <c r="E220" s="55"/>
      <c r="F220" s="55"/>
      <c r="J220" s="55"/>
    </row>
    <row r="221">
      <c r="D221" s="55"/>
      <c r="E221" s="55"/>
      <c r="F221" s="55"/>
      <c r="J221" s="55"/>
    </row>
    <row r="222">
      <c r="D222" s="55"/>
      <c r="E222" s="55"/>
      <c r="F222" s="55"/>
      <c r="J222" s="55"/>
    </row>
    <row r="223">
      <c r="D223" s="55"/>
      <c r="E223" s="55"/>
      <c r="F223" s="55"/>
      <c r="J223" s="55"/>
    </row>
    <row r="224">
      <c r="D224" s="55"/>
      <c r="E224" s="55"/>
      <c r="F224" s="55"/>
      <c r="J224" s="55"/>
    </row>
    <row r="225">
      <c r="D225" s="55"/>
      <c r="E225" s="55"/>
      <c r="F225" s="55"/>
      <c r="J225" s="55"/>
    </row>
    <row r="226">
      <c r="D226" s="55"/>
      <c r="E226" s="55"/>
      <c r="F226" s="55"/>
      <c r="J226" s="55"/>
    </row>
    <row r="227">
      <c r="D227" s="55"/>
      <c r="E227" s="55"/>
      <c r="F227" s="55"/>
      <c r="J227" s="55"/>
    </row>
    <row r="228">
      <c r="D228" s="55"/>
      <c r="E228" s="55"/>
      <c r="F228" s="55"/>
      <c r="J228" s="55"/>
    </row>
    <row r="229">
      <c r="D229" s="55"/>
      <c r="E229" s="55"/>
      <c r="F229" s="55"/>
      <c r="J229" s="55"/>
    </row>
    <row r="230">
      <c r="D230" s="55"/>
      <c r="E230" s="55"/>
      <c r="F230" s="55"/>
      <c r="J230" s="55"/>
    </row>
    <row r="231">
      <c r="D231" s="55"/>
      <c r="E231" s="55"/>
      <c r="F231" s="55"/>
      <c r="J231" s="55"/>
    </row>
    <row r="232">
      <c r="D232" s="55"/>
      <c r="E232" s="55"/>
      <c r="F232" s="55"/>
      <c r="J232" s="55"/>
    </row>
    <row r="233">
      <c r="D233" s="55"/>
      <c r="E233" s="55"/>
      <c r="F233" s="55"/>
      <c r="J233" s="55"/>
    </row>
    <row r="234">
      <c r="D234" s="55"/>
      <c r="E234" s="55"/>
      <c r="F234" s="55"/>
      <c r="J234" s="55"/>
    </row>
    <row r="235">
      <c r="D235" s="55"/>
      <c r="E235" s="55"/>
      <c r="F235" s="55"/>
      <c r="J235" s="55"/>
    </row>
    <row r="236">
      <c r="D236" s="55"/>
      <c r="E236" s="55"/>
      <c r="F236" s="55"/>
      <c r="J236" s="55"/>
    </row>
    <row r="237">
      <c r="D237" s="55"/>
      <c r="E237" s="55"/>
      <c r="F237" s="55"/>
      <c r="J237" s="55"/>
    </row>
    <row r="238">
      <c r="D238" s="55"/>
      <c r="E238" s="55"/>
      <c r="F238" s="55"/>
      <c r="J238" s="55"/>
    </row>
    <row r="239">
      <c r="D239" s="55"/>
      <c r="E239" s="55"/>
      <c r="F239" s="55"/>
      <c r="J239" s="55"/>
    </row>
    <row r="240">
      <c r="D240" s="55"/>
      <c r="E240" s="55"/>
      <c r="F240" s="55"/>
      <c r="J240" s="55"/>
    </row>
    <row r="241">
      <c r="D241" s="55"/>
      <c r="E241" s="55"/>
      <c r="F241" s="55"/>
      <c r="J241" s="55"/>
    </row>
    <row r="242">
      <c r="D242" s="55"/>
      <c r="E242" s="55"/>
      <c r="F242" s="55"/>
      <c r="J242" s="55"/>
    </row>
    <row r="243">
      <c r="D243" s="55"/>
      <c r="E243" s="55"/>
      <c r="F243" s="55"/>
      <c r="J243" s="55"/>
    </row>
    <row r="244">
      <c r="D244" s="55"/>
      <c r="E244" s="55"/>
      <c r="F244" s="55"/>
      <c r="J244" s="55"/>
    </row>
    <row r="245">
      <c r="D245" s="55"/>
      <c r="E245" s="55"/>
      <c r="F245" s="55"/>
      <c r="J245" s="55"/>
    </row>
    <row r="246">
      <c r="D246" s="55"/>
      <c r="E246" s="55"/>
      <c r="F246" s="55"/>
      <c r="J246" s="55"/>
    </row>
    <row r="247">
      <c r="D247" s="55"/>
      <c r="E247" s="55"/>
      <c r="F247" s="55"/>
      <c r="J247" s="55"/>
    </row>
    <row r="248">
      <c r="D248" s="55"/>
      <c r="E248" s="55"/>
      <c r="F248" s="55"/>
      <c r="J248" s="55"/>
    </row>
    <row r="249">
      <c r="D249" s="55"/>
      <c r="E249" s="55"/>
      <c r="F249" s="55"/>
      <c r="J249" s="55"/>
    </row>
    <row r="250">
      <c r="D250" s="55"/>
      <c r="E250" s="55"/>
      <c r="F250" s="55"/>
      <c r="J250" s="55"/>
    </row>
    <row r="251">
      <c r="D251" s="55"/>
      <c r="E251" s="55"/>
      <c r="F251" s="55"/>
      <c r="J251" s="55"/>
    </row>
    <row r="252">
      <c r="D252" s="55"/>
      <c r="E252" s="55"/>
      <c r="F252" s="55"/>
      <c r="J252" s="55"/>
    </row>
    <row r="253">
      <c r="D253" s="55"/>
      <c r="E253" s="55"/>
      <c r="F253" s="55"/>
      <c r="J253" s="55"/>
    </row>
    <row r="254">
      <c r="D254" s="55"/>
      <c r="E254" s="55"/>
      <c r="F254" s="55"/>
      <c r="J254" s="55"/>
    </row>
    <row r="255">
      <c r="D255" s="55"/>
      <c r="E255" s="55"/>
      <c r="F255" s="55"/>
      <c r="J255" s="55"/>
    </row>
    <row r="256">
      <c r="D256" s="55"/>
      <c r="E256" s="55"/>
      <c r="F256" s="55"/>
      <c r="J256" s="55"/>
    </row>
    <row r="257">
      <c r="D257" s="55"/>
      <c r="E257" s="55"/>
      <c r="F257" s="55"/>
      <c r="J257" s="55"/>
    </row>
    <row r="258">
      <c r="D258" s="55"/>
      <c r="E258" s="55"/>
      <c r="F258" s="55"/>
      <c r="J258" s="55"/>
    </row>
    <row r="259">
      <c r="D259" s="55"/>
      <c r="E259" s="55"/>
      <c r="F259" s="55"/>
      <c r="J259" s="55"/>
    </row>
    <row r="260">
      <c r="D260" s="55"/>
      <c r="E260" s="55"/>
      <c r="F260" s="55"/>
      <c r="J260" s="55"/>
    </row>
    <row r="261">
      <c r="D261" s="55"/>
      <c r="E261" s="55"/>
      <c r="F261" s="55"/>
      <c r="J261" s="55"/>
    </row>
    <row r="262">
      <c r="D262" s="55"/>
      <c r="E262" s="55"/>
      <c r="F262" s="55"/>
      <c r="J262" s="55"/>
    </row>
    <row r="263">
      <c r="D263" s="55"/>
      <c r="E263" s="55"/>
      <c r="F263" s="55"/>
      <c r="J263" s="55"/>
    </row>
    <row r="264">
      <c r="D264" s="55"/>
      <c r="E264" s="55"/>
      <c r="F264" s="55"/>
      <c r="J264" s="55"/>
    </row>
    <row r="265">
      <c r="D265" s="55"/>
      <c r="E265" s="55"/>
      <c r="F265" s="55"/>
      <c r="J265" s="55"/>
    </row>
    <row r="266">
      <c r="D266" s="55"/>
      <c r="E266" s="55"/>
      <c r="F266" s="55"/>
      <c r="J266" s="55"/>
    </row>
    <row r="267">
      <c r="D267" s="55"/>
      <c r="E267" s="55"/>
      <c r="F267" s="55"/>
      <c r="J267" s="55"/>
    </row>
    <row r="268">
      <c r="D268" s="55"/>
      <c r="E268" s="55"/>
      <c r="F268" s="55"/>
      <c r="J268" s="55"/>
    </row>
    <row r="269">
      <c r="D269" s="55"/>
      <c r="E269" s="55"/>
      <c r="F269" s="55"/>
      <c r="J269" s="55"/>
    </row>
    <row r="270">
      <c r="D270" s="55"/>
      <c r="E270" s="55"/>
      <c r="F270" s="55"/>
      <c r="J270" s="55"/>
    </row>
    <row r="271">
      <c r="D271" s="55"/>
      <c r="E271" s="55"/>
      <c r="F271" s="55"/>
      <c r="J271" s="55"/>
    </row>
    <row r="272">
      <c r="D272" s="55"/>
      <c r="E272" s="55"/>
      <c r="F272" s="55"/>
      <c r="J272" s="55"/>
    </row>
    <row r="273">
      <c r="D273" s="55"/>
      <c r="E273" s="55"/>
      <c r="F273" s="55"/>
      <c r="J273" s="55"/>
    </row>
    <row r="274">
      <c r="D274" s="55"/>
      <c r="E274" s="55"/>
      <c r="F274" s="55"/>
      <c r="J274" s="55"/>
    </row>
    <row r="275">
      <c r="D275" s="55"/>
      <c r="E275" s="55"/>
      <c r="F275" s="55"/>
      <c r="J275" s="55"/>
    </row>
    <row r="276">
      <c r="D276" s="55"/>
      <c r="E276" s="55"/>
      <c r="F276" s="55"/>
      <c r="J276" s="55"/>
    </row>
    <row r="277">
      <c r="D277" s="55"/>
      <c r="E277" s="55"/>
      <c r="F277" s="55"/>
      <c r="J277" s="55"/>
    </row>
    <row r="278">
      <c r="D278" s="55"/>
      <c r="E278" s="55"/>
      <c r="F278" s="55"/>
      <c r="J278" s="55"/>
    </row>
    <row r="279">
      <c r="D279" s="55"/>
      <c r="E279" s="55"/>
      <c r="F279" s="55"/>
      <c r="J279" s="55"/>
    </row>
    <row r="280">
      <c r="D280" s="55"/>
      <c r="E280" s="55"/>
      <c r="F280" s="55"/>
      <c r="J280" s="55"/>
    </row>
    <row r="281">
      <c r="D281" s="55"/>
      <c r="E281" s="55"/>
      <c r="F281" s="55"/>
      <c r="J281" s="55"/>
    </row>
    <row r="282">
      <c r="D282" s="55"/>
      <c r="E282" s="55"/>
      <c r="F282" s="55"/>
      <c r="J282" s="55"/>
    </row>
    <row r="283">
      <c r="D283" s="55"/>
      <c r="E283" s="55"/>
      <c r="F283" s="55"/>
      <c r="J283" s="55"/>
    </row>
    <row r="284">
      <c r="D284" s="55"/>
      <c r="E284" s="55"/>
      <c r="F284" s="55"/>
      <c r="J284" s="55"/>
    </row>
    <row r="285">
      <c r="D285" s="55"/>
      <c r="E285" s="55"/>
      <c r="F285" s="55"/>
      <c r="J285" s="55"/>
    </row>
    <row r="286">
      <c r="D286" s="55"/>
      <c r="E286" s="55"/>
      <c r="F286" s="55"/>
      <c r="J286" s="55"/>
    </row>
    <row r="287">
      <c r="D287" s="55"/>
      <c r="E287" s="55"/>
      <c r="F287" s="55"/>
      <c r="J287" s="55"/>
    </row>
    <row r="288">
      <c r="D288" s="55"/>
      <c r="E288" s="55"/>
      <c r="F288" s="55"/>
      <c r="J288" s="55"/>
    </row>
    <row r="289">
      <c r="D289" s="55"/>
      <c r="E289" s="55"/>
      <c r="F289" s="55"/>
      <c r="J289" s="55"/>
    </row>
    <row r="290">
      <c r="D290" s="55"/>
      <c r="E290" s="55"/>
      <c r="F290" s="55"/>
      <c r="J290" s="55"/>
    </row>
    <row r="291">
      <c r="D291" s="55"/>
      <c r="E291" s="55"/>
      <c r="F291" s="55"/>
      <c r="J291" s="55"/>
    </row>
    <row r="292">
      <c r="D292" s="55"/>
      <c r="E292" s="55"/>
      <c r="F292" s="55"/>
      <c r="J292" s="55"/>
    </row>
    <row r="293">
      <c r="D293" s="55"/>
      <c r="E293" s="55"/>
      <c r="F293" s="55"/>
      <c r="J293" s="55"/>
    </row>
    <row r="294">
      <c r="D294" s="55"/>
      <c r="E294" s="55"/>
      <c r="F294" s="55"/>
      <c r="J294" s="55"/>
    </row>
    <row r="295">
      <c r="D295" s="55"/>
      <c r="E295" s="55"/>
      <c r="F295" s="55"/>
      <c r="J295" s="55"/>
    </row>
    <row r="296">
      <c r="D296" s="55"/>
      <c r="E296" s="55"/>
      <c r="F296" s="55"/>
      <c r="J296" s="55"/>
    </row>
    <row r="297">
      <c r="D297" s="55"/>
      <c r="E297" s="55"/>
      <c r="F297" s="55"/>
      <c r="J297" s="55"/>
    </row>
    <row r="298">
      <c r="D298" s="55"/>
      <c r="E298" s="55"/>
      <c r="F298" s="55"/>
      <c r="J298" s="55"/>
    </row>
    <row r="299">
      <c r="D299" s="55"/>
      <c r="E299" s="55"/>
      <c r="F299" s="55"/>
      <c r="J299" s="55"/>
    </row>
    <row r="300">
      <c r="D300" s="55"/>
      <c r="E300" s="55"/>
      <c r="F300" s="55"/>
      <c r="J300" s="55"/>
    </row>
    <row r="301">
      <c r="D301" s="55"/>
      <c r="E301" s="55"/>
      <c r="F301" s="55"/>
      <c r="J301" s="55"/>
    </row>
    <row r="302">
      <c r="D302" s="55"/>
      <c r="E302" s="55"/>
      <c r="F302" s="55"/>
      <c r="J302" s="55"/>
    </row>
    <row r="303">
      <c r="D303" s="55"/>
      <c r="E303" s="55"/>
      <c r="F303" s="55"/>
      <c r="J303" s="55"/>
    </row>
    <row r="304">
      <c r="D304" s="55"/>
      <c r="E304" s="55"/>
      <c r="F304" s="55"/>
      <c r="J304" s="55"/>
    </row>
    <row r="305">
      <c r="D305" s="55"/>
      <c r="E305" s="55"/>
      <c r="F305" s="55"/>
      <c r="J305" s="55"/>
    </row>
    <row r="306">
      <c r="D306" s="55"/>
      <c r="E306" s="55"/>
      <c r="F306" s="55"/>
      <c r="J306" s="55"/>
    </row>
    <row r="307">
      <c r="D307" s="55"/>
      <c r="E307" s="55"/>
      <c r="F307" s="55"/>
      <c r="J307" s="55"/>
    </row>
    <row r="308">
      <c r="D308" s="55"/>
      <c r="E308" s="55"/>
      <c r="F308" s="55"/>
      <c r="J308" s="55"/>
    </row>
    <row r="309">
      <c r="D309" s="55"/>
      <c r="E309" s="55"/>
      <c r="F309" s="55"/>
      <c r="J309" s="55"/>
    </row>
    <row r="310">
      <c r="D310" s="55"/>
      <c r="E310" s="55"/>
      <c r="F310" s="55"/>
      <c r="J310" s="55"/>
    </row>
    <row r="311">
      <c r="D311" s="55"/>
      <c r="E311" s="55"/>
      <c r="F311" s="55"/>
      <c r="J311" s="55"/>
    </row>
    <row r="312">
      <c r="D312" s="55"/>
      <c r="E312" s="55"/>
      <c r="F312" s="55"/>
      <c r="J312" s="55"/>
    </row>
    <row r="313">
      <c r="D313" s="55"/>
      <c r="E313" s="55"/>
      <c r="F313" s="55"/>
      <c r="J313" s="55"/>
    </row>
    <row r="314">
      <c r="D314" s="55"/>
      <c r="E314" s="55"/>
      <c r="F314" s="55"/>
      <c r="J314" s="55"/>
    </row>
    <row r="315">
      <c r="D315" s="55"/>
      <c r="E315" s="55"/>
      <c r="F315" s="55"/>
      <c r="J315" s="55"/>
    </row>
    <row r="316">
      <c r="D316" s="55"/>
      <c r="E316" s="55"/>
      <c r="F316" s="55"/>
      <c r="J316" s="55"/>
    </row>
    <row r="317">
      <c r="D317" s="55"/>
      <c r="E317" s="55"/>
      <c r="F317" s="55"/>
      <c r="J317" s="55"/>
    </row>
    <row r="318">
      <c r="D318" s="55"/>
      <c r="E318" s="55"/>
      <c r="F318" s="55"/>
      <c r="J318" s="55"/>
    </row>
    <row r="319">
      <c r="D319" s="55"/>
      <c r="E319" s="55"/>
      <c r="F319" s="55"/>
      <c r="J319" s="55"/>
    </row>
    <row r="320">
      <c r="D320" s="55"/>
      <c r="E320" s="55"/>
      <c r="F320" s="55"/>
      <c r="J320" s="55"/>
    </row>
    <row r="321">
      <c r="D321" s="55"/>
      <c r="E321" s="55"/>
      <c r="F321" s="55"/>
      <c r="J321" s="55"/>
    </row>
    <row r="322">
      <c r="D322" s="55"/>
      <c r="E322" s="55"/>
      <c r="F322" s="55"/>
      <c r="J322" s="55"/>
    </row>
    <row r="323">
      <c r="D323" s="55"/>
      <c r="E323" s="55"/>
      <c r="F323" s="55"/>
      <c r="J323" s="55"/>
    </row>
    <row r="324">
      <c r="D324" s="55"/>
      <c r="E324" s="55"/>
      <c r="F324" s="55"/>
      <c r="J324" s="55"/>
    </row>
    <row r="325">
      <c r="D325" s="55"/>
      <c r="E325" s="55"/>
      <c r="F325" s="55"/>
      <c r="J325" s="55"/>
    </row>
    <row r="326">
      <c r="D326" s="55"/>
      <c r="E326" s="55"/>
      <c r="F326" s="55"/>
      <c r="J326" s="55"/>
    </row>
    <row r="327">
      <c r="D327" s="55"/>
      <c r="E327" s="55"/>
      <c r="F327" s="55"/>
      <c r="J327" s="55"/>
    </row>
    <row r="328">
      <c r="D328" s="55"/>
      <c r="E328" s="55"/>
      <c r="F328" s="55"/>
      <c r="J328" s="55"/>
    </row>
    <row r="329">
      <c r="D329" s="55"/>
      <c r="E329" s="55"/>
      <c r="F329" s="55"/>
      <c r="J329" s="55"/>
    </row>
    <row r="330">
      <c r="D330" s="55"/>
      <c r="E330" s="55"/>
      <c r="F330" s="55"/>
      <c r="J330" s="55"/>
    </row>
    <row r="331">
      <c r="D331" s="55"/>
      <c r="E331" s="55"/>
      <c r="F331" s="55"/>
      <c r="J331" s="55"/>
    </row>
    <row r="332">
      <c r="D332" s="55"/>
      <c r="E332" s="55"/>
      <c r="F332" s="55"/>
      <c r="J332" s="55"/>
    </row>
    <row r="333">
      <c r="D333" s="55"/>
      <c r="E333" s="55"/>
      <c r="F333" s="55"/>
      <c r="J333" s="55"/>
    </row>
    <row r="334">
      <c r="D334" s="55"/>
      <c r="E334" s="55"/>
      <c r="F334" s="55"/>
      <c r="J334" s="55"/>
    </row>
    <row r="335">
      <c r="D335" s="55"/>
      <c r="E335" s="55"/>
      <c r="F335" s="55"/>
      <c r="J335" s="55"/>
    </row>
    <row r="336">
      <c r="D336" s="55"/>
      <c r="E336" s="55"/>
      <c r="F336" s="55"/>
      <c r="J336" s="55"/>
    </row>
    <row r="337">
      <c r="D337" s="55"/>
      <c r="E337" s="55"/>
      <c r="F337" s="55"/>
      <c r="J337" s="55"/>
    </row>
    <row r="338">
      <c r="D338" s="55"/>
      <c r="E338" s="55"/>
      <c r="F338" s="55"/>
      <c r="J338" s="55"/>
    </row>
    <row r="339">
      <c r="D339" s="55"/>
      <c r="E339" s="55"/>
      <c r="F339" s="55"/>
      <c r="J339" s="55"/>
    </row>
    <row r="340">
      <c r="D340" s="55"/>
      <c r="E340" s="55"/>
      <c r="F340" s="55"/>
      <c r="J340" s="55"/>
    </row>
    <row r="341">
      <c r="D341" s="55"/>
      <c r="E341" s="55"/>
      <c r="F341" s="55"/>
      <c r="J341" s="55"/>
    </row>
    <row r="342">
      <c r="D342" s="55"/>
      <c r="E342" s="55"/>
      <c r="F342" s="55"/>
      <c r="J342" s="55"/>
    </row>
    <row r="343">
      <c r="D343" s="55"/>
      <c r="E343" s="55"/>
      <c r="F343" s="55"/>
      <c r="J343" s="55"/>
    </row>
    <row r="344">
      <c r="D344" s="55"/>
      <c r="E344" s="55"/>
      <c r="F344" s="55"/>
      <c r="J344" s="55"/>
    </row>
    <row r="345">
      <c r="D345" s="55"/>
      <c r="E345" s="55"/>
      <c r="F345" s="55"/>
      <c r="J345" s="55"/>
    </row>
    <row r="346">
      <c r="D346" s="55"/>
      <c r="E346" s="55"/>
      <c r="F346" s="55"/>
      <c r="J346" s="55"/>
    </row>
    <row r="347">
      <c r="D347" s="55"/>
      <c r="E347" s="55"/>
      <c r="F347" s="55"/>
      <c r="J347" s="55"/>
    </row>
    <row r="348">
      <c r="D348" s="55"/>
      <c r="E348" s="55"/>
      <c r="F348" s="55"/>
      <c r="J348" s="55"/>
    </row>
    <row r="349">
      <c r="D349" s="55"/>
      <c r="E349" s="55"/>
      <c r="F349" s="55"/>
      <c r="J349" s="55"/>
    </row>
    <row r="350">
      <c r="D350" s="55"/>
      <c r="E350" s="55"/>
      <c r="F350" s="55"/>
      <c r="J350" s="55"/>
    </row>
    <row r="351">
      <c r="D351" s="55"/>
      <c r="E351" s="55"/>
      <c r="F351" s="55"/>
      <c r="J351" s="55"/>
    </row>
    <row r="352">
      <c r="D352" s="55"/>
      <c r="E352" s="55"/>
      <c r="F352" s="55"/>
      <c r="J352" s="55"/>
    </row>
    <row r="353">
      <c r="D353" s="55"/>
      <c r="E353" s="55"/>
      <c r="F353" s="55"/>
      <c r="J353" s="55"/>
    </row>
    <row r="354">
      <c r="D354" s="55"/>
      <c r="E354" s="55"/>
      <c r="F354" s="55"/>
      <c r="J354" s="55"/>
    </row>
    <row r="355">
      <c r="D355" s="55"/>
      <c r="E355" s="55"/>
      <c r="F355" s="55"/>
      <c r="J355" s="55"/>
    </row>
    <row r="356">
      <c r="D356" s="55"/>
      <c r="E356" s="55"/>
      <c r="F356" s="55"/>
      <c r="J356" s="55"/>
    </row>
    <row r="357">
      <c r="D357" s="55"/>
      <c r="E357" s="55"/>
      <c r="F357" s="55"/>
      <c r="J357" s="55"/>
    </row>
    <row r="358">
      <c r="D358" s="55"/>
      <c r="E358" s="55"/>
      <c r="F358" s="55"/>
      <c r="J358" s="55"/>
    </row>
    <row r="359">
      <c r="D359" s="55"/>
      <c r="E359" s="55"/>
      <c r="F359" s="55"/>
      <c r="J359" s="55"/>
    </row>
    <row r="360">
      <c r="D360" s="55"/>
      <c r="E360" s="55"/>
      <c r="F360" s="55"/>
      <c r="J360" s="55"/>
    </row>
    <row r="361">
      <c r="D361" s="55"/>
      <c r="E361" s="55"/>
      <c r="F361" s="55"/>
      <c r="J361" s="55"/>
    </row>
    <row r="362">
      <c r="D362" s="55"/>
      <c r="E362" s="55"/>
      <c r="F362" s="55"/>
      <c r="J362" s="55"/>
    </row>
    <row r="363">
      <c r="D363" s="55"/>
      <c r="E363" s="55"/>
      <c r="F363" s="55"/>
      <c r="J363" s="55"/>
    </row>
    <row r="364">
      <c r="D364" s="55"/>
      <c r="E364" s="55"/>
      <c r="F364" s="55"/>
      <c r="J364" s="55"/>
    </row>
    <row r="365">
      <c r="D365" s="55"/>
      <c r="E365" s="55"/>
      <c r="F365" s="55"/>
      <c r="J365" s="55"/>
    </row>
    <row r="366">
      <c r="D366" s="55"/>
      <c r="E366" s="55"/>
      <c r="F366" s="55"/>
      <c r="J366" s="55"/>
    </row>
    <row r="367">
      <c r="D367" s="55"/>
      <c r="E367" s="55"/>
      <c r="F367" s="55"/>
      <c r="J367" s="55"/>
    </row>
    <row r="368">
      <c r="D368" s="55"/>
      <c r="E368" s="55"/>
      <c r="F368" s="55"/>
      <c r="J368" s="55"/>
    </row>
    <row r="369">
      <c r="D369" s="55"/>
      <c r="E369" s="55"/>
      <c r="F369" s="55"/>
      <c r="J369" s="55"/>
    </row>
    <row r="370">
      <c r="D370" s="55"/>
      <c r="E370" s="55"/>
      <c r="F370" s="55"/>
      <c r="J370" s="55"/>
    </row>
    <row r="371">
      <c r="D371" s="55"/>
      <c r="E371" s="55"/>
      <c r="F371" s="55"/>
      <c r="J371" s="55"/>
    </row>
    <row r="372">
      <c r="D372" s="55"/>
      <c r="E372" s="55"/>
      <c r="F372" s="55"/>
      <c r="J372" s="55"/>
    </row>
    <row r="373">
      <c r="D373" s="55"/>
      <c r="E373" s="55"/>
      <c r="F373" s="55"/>
      <c r="J373" s="55"/>
    </row>
    <row r="374">
      <c r="D374" s="55"/>
      <c r="E374" s="55"/>
      <c r="F374" s="55"/>
      <c r="J374" s="55"/>
    </row>
    <row r="375">
      <c r="D375" s="55"/>
      <c r="E375" s="55"/>
      <c r="F375" s="55"/>
      <c r="J375" s="55"/>
    </row>
    <row r="376">
      <c r="D376" s="55"/>
      <c r="E376" s="55"/>
      <c r="F376" s="55"/>
      <c r="J376" s="55"/>
    </row>
    <row r="377">
      <c r="D377" s="55"/>
      <c r="E377" s="55"/>
      <c r="F377" s="55"/>
      <c r="J377" s="55"/>
    </row>
    <row r="378">
      <c r="D378" s="55"/>
      <c r="E378" s="55"/>
      <c r="F378" s="55"/>
      <c r="J378" s="55"/>
    </row>
    <row r="379">
      <c r="D379" s="55"/>
      <c r="E379" s="55"/>
      <c r="F379" s="55"/>
      <c r="J379" s="55"/>
    </row>
    <row r="380">
      <c r="D380" s="55"/>
      <c r="E380" s="55"/>
      <c r="F380" s="55"/>
      <c r="J380" s="55"/>
    </row>
    <row r="381">
      <c r="D381" s="55"/>
      <c r="E381" s="55"/>
      <c r="F381" s="55"/>
      <c r="J381" s="55"/>
    </row>
    <row r="382">
      <c r="D382" s="55"/>
      <c r="E382" s="55"/>
      <c r="F382" s="55"/>
      <c r="J382" s="55"/>
    </row>
    <row r="383">
      <c r="D383" s="55"/>
      <c r="E383" s="55"/>
      <c r="F383" s="55"/>
      <c r="J383" s="55"/>
    </row>
    <row r="384">
      <c r="D384" s="55"/>
      <c r="E384" s="55"/>
      <c r="F384" s="55"/>
      <c r="J384" s="55"/>
    </row>
    <row r="385">
      <c r="D385" s="55"/>
      <c r="E385" s="55"/>
      <c r="F385" s="55"/>
      <c r="J385" s="55"/>
    </row>
    <row r="386">
      <c r="D386" s="55"/>
      <c r="E386" s="55"/>
      <c r="F386" s="55"/>
      <c r="J386" s="55"/>
    </row>
    <row r="387">
      <c r="D387" s="55"/>
      <c r="E387" s="55"/>
      <c r="F387" s="55"/>
      <c r="J387" s="55"/>
    </row>
    <row r="388">
      <c r="D388" s="55"/>
      <c r="E388" s="55"/>
      <c r="F388" s="55"/>
      <c r="J388" s="55"/>
    </row>
    <row r="389">
      <c r="D389" s="55"/>
      <c r="E389" s="55"/>
      <c r="F389" s="55"/>
      <c r="J389" s="55"/>
    </row>
    <row r="390">
      <c r="D390" s="55"/>
      <c r="E390" s="55"/>
      <c r="F390" s="55"/>
      <c r="J390" s="55"/>
    </row>
    <row r="391">
      <c r="D391" s="55"/>
      <c r="E391" s="55"/>
      <c r="F391" s="55"/>
      <c r="J391" s="55"/>
    </row>
    <row r="392">
      <c r="D392" s="55"/>
      <c r="E392" s="55"/>
      <c r="F392" s="55"/>
      <c r="J392" s="55"/>
    </row>
    <row r="393">
      <c r="D393" s="55"/>
      <c r="E393" s="55"/>
      <c r="F393" s="55"/>
      <c r="J393" s="55"/>
    </row>
    <row r="394">
      <c r="D394" s="55"/>
      <c r="E394" s="55"/>
      <c r="F394" s="55"/>
      <c r="J394" s="55"/>
    </row>
    <row r="395">
      <c r="D395" s="55"/>
      <c r="E395" s="55"/>
      <c r="F395" s="55"/>
      <c r="J395" s="55"/>
    </row>
    <row r="396">
      <c r="D396" s="55"/>
      <c r="E396" s="55"/>
      <c r="F396" s="55"/>
      <c r="J396" s="55"/>
    </row>
    <row r="397">
      <c r="D397" s="55"/>
      <c r="E397" s="55"/>
      <c r="F397" s="55"/>
      <c r="J397" s="55"/>
    </row>
    <row r="398">
      <c r="D398" s="55"/>
      <c r="E398" s="55"/>
      <c r="F398" s="55"/>
      <c r="J398" s="55"/>
    </row>
    <row r="399">
      <c r="D399" s="55"/>
      <c r="E399" s="55"/>
      <c r="F399" s="55"/>
      <c r="J399" s="55"/>
    </row>
    <row r="400">
      <c r="D400" s="55"/>
      <c r="E400" s="55"/>
      <c r="F400" s="55"/>
      <c r="J400" s="55"/>
    </row>
    <row r="401">
      <c r="D401" s="55"/>
      <c r="E401" s="55"/>
      <c r="F401" s="55"/>
      <c r="J401" s="55"/>
    </row>
    <row r="402">
      <c r="D402" s="55"/>
      <c r="E402" s="55"/>
      <c r="F402" s="55"/>
      <c r="J402" s="55"/>
    </row>
    <row r="403">
      <c r="D403" s="55"/>
      <c r="E403" s="55"/>
      <c r="F403" s="55"/>
      <c r="J403" s="55"/>
    </row>
    <row r="404">
      <c r="D404" s="55"/>
      <c r="E404" s="55"/>
      <c r="F404" s="55"/>
      <c r="J404" s="55"/>
    </row>
    <row r="405">
      <c r="D405" s="55"/>
      <c r="E405" s="55"/>
      <c r="F405" s="55"/>
      <c r="J405" s="55"/>
    </row>
    <row r="406">
      <c r="D406" s="55"/>
      <c r="E406" s="55"/>
      <c r="F406" s="55"/>
      <c r="J406" s="55"/>
    </row>
    <row r="407">
      <c r="D407" s="55"/>
      <c r="E407" s="55"/>
      <c r="F407" s="55"/>
      <c r="J407" s="55"/>
    </row>
    <row r="408">
      <c r="D408" s="55"/>
      <c r="E408" s="55"/>
      <c r="F408" s="55"/>
      <c r="J408" s="55"/>
    </row>
    <row r="409">
      <c r="D409" s="55"/>
      <c r="E409" s="55"/>
      <c r="F409" s="55"/>
      <c r="J409" s="55"/>
    </row>
    <row r="410">
      <c r="D410" s="55"/>
      <c r="E410" s="55"/>
      <c r="F410" s="55"/>
      <c r="J410" s="55"/>
    </row>
    <row r="411">
      <c r="D411" s="55"/>
      <c r="E411" s="55"/>
      <c r="F411" s="55"/>
      <c r="J411" s="55"/>
    </row>
    <row r="412">
      <c r="D412" s="55"/>
      <c r="E412" s="55"/>
      <c r="F412" s="55"/>
      <c r="J412" s="55"/>
    </row>
    <row r="413">
      <c r="D413" s="55"/>
      <c r="E413" s="55"/>
      <c r="F413" s="55"/>
      <c r="J413" s="55"/>
    </row>
    <row r="414">
      <c r="D414" s="55"/>
      <c r="E414" s="55"/>
      <c r="F414" s="55"/>
      <c r="J414" s="55"/>
    </row>
    <row r="415">
      <c r="D415" s="55"/>
      <c r="E415" s="55"/>
      <c r="F415" s="55"/>
      <c r="J415" s="55"/>
    </row>
    <row r="416">
      <c r="D416" s="55"/>
      <c r="E416" s="55"/>
      <c r="F416" s="55"/>
      <c r="J416" s="55"/>
    </row>
    <row r="417">
      <c r="D417" s="55"/>
      <c r="E417" s="55"/>
      <c r="F417" s="55"/>
      <c r="J417" s="55"/>
    </row>
    <row r="418">
      <c r="D418" s="55"/>
      <c r="E418" s="55"/>
      <c r="F418" s="55"/>
      <c r="J418" s="55"/>
    </row>
    <row r="419">
      <c r="D419" s="55"/>
      <c r="E419" s="55"/>
      <c r="F419" s="55"/>
      <c r="J419" s="55"/>
    </row>
    <row r="420">
      <c r="D420" s="55"/>
      <c r="E420" s="55"/>
      <c r="F420" s="55"/>
      <c r="J420" s="55"/>
    </row>
    <row r="421">
      <c r="D421" s="55"/>
      <c r="E421" s="55"/>
      <c r="F421" s="55"/>
      <c r="J421" s="55"/>
    </row>
    <row r="422">
      <c r="D422" s="55"/>
      <c r="E422" s="55"/>
      <c r="F422" s="55"/>
      <c r="J422" s="55"/>
    </row>
    <row r="423">
      <c r="D423" s="55"/>
      <c r="E423" s="55"/>
      <c r="F423" s="55"/>
      <c r="J423" s="55"/>
    </row>
    <row r="424">
      <c r="D424" s="55"/>
      <c r="E424" s="55"/>
      <c r="F424" s="55"/>
      <c r="J424" s="55"/>
    </row>
    <row r="425">
      <c r="D425" s="55"/>
      <c r="E425" s="55"/>
      <c r="F425" s="55"/>
      <c r="J425" s="55"/>
    </row>
    <row r="426">
      <c r="D426" s="55"/>
      <c r="E426" s="55"/>
      <c r="F426" s="55"/>
      <c r="J426" s="55"/>
    </row>
    <row r="427">
      <c r="D427" s="55"/>
      <c r="E427" s="55"/>
      <c r="F427" s="55"/>
      <c r="J427" s="55"/>
    </row>
    <row r="428">
      <c r="D428" s="55"/>
      <c r="E428" s="55"/>
      <c r="F428" s="55"/>
      <c r="J428" s="55"/>
    </row>
    <row r="429">
      <c r="D429" s="55"/>
      <c r="E429" s="55"/>
      <c r="F429" s="55"/>
      <c r="J429" s="55"/>
    </row>
    <row r="430">
      <c r="D430" s="55"/>
      <c r="E430" s="55"/>
      <c r="F430" s="55"/>
      <c r="J430" s="55"/>
    </row>
    <row r="431">
      <c r="D431" s="55"/>
      <c r="E431" s="55"/>
      <c r="F431" s="55"/>
      <c r="J431" s="55"/>
    </row>
    <row r="432">
      <c r="D432" s="55"/>
      <c r="E432" s="55"/>
      <c r="F432" s="55"/>
      <c r="J432" s="55"/>
    </row>
    <row r="433">
      <c r="D433" s="55"/>
      <c r="E433" s="55"/>
      <c r="F433" s="55"/>
      <c r="J433" s="55"/>
    </row>
    <row r="434">
      <c r="D434" s="55"/>
      <c r="E434" s="55"/>
      <c r="F434" s="55"/>
      <c r="J434" s="55"/>
    </row>
    <row r="435">
      <c r="D435" s="55"/>
      <c r="E435" s="55"/>
      <c r="F435" s="55"/>
      <c r="J435" s="55"/>
    </row>
    <row r="436">
      <c r="D436" s="55"/>
      <c r="E436" s="55"/>
      <c r="F436" s="55"/>
      <c r="J436" s="55"/>
    </row>
    <row r="437">
      <c r="D437" s="55"/>
      <c r="E437" s="55"/>
      <c r="F437" s="55"/>
      <c r="J437" s="55"/>
    </row>
    <row r="438">
      <c r="D438" s="55"/>
      <c r="E438" s="55"/>
      <c r="F438" s="55"/>
      <c r="J438" s="55"/>
    </row>
    <row r="439">
      <c r="D439" s="55"/>
      <c r="E439" s="55"/>
      <c r="F439" s="55"/>
      <c r="J439" s="55"/>
    </row>
    <row r="440">
      <c r="D440" s="55"/>
      <c r="E440" s="55"/>
      <c r="F440" s="55"/>
      <c r="J440" s="55"/>
    </row>
    <row r="441">
      <c r="D441" s="55"/>
      <c r="E441" s="55"/>
      <c r="F441" s="55"/>
      <c r="J441" s="55"/>
    </row>
    <row r="442">
      <c r="D442" s="55"/>
      <c r="E442" s="55"/>
      <c r="F442" s="55"/>
      <c r="J442" s="55"/>
    </row>
    <row r="443">
      <c r="D443" s="55"/>
      <c r="E443" s="55"/>
      <c r="F443" s="55"/>
      <c r="J443" s="55"/>
    </row>
    <row r="444">
      <c r="D444" s="55"/>
      <c r="E444" s="55"/>
      <c r="F444" s="55"/>
      <c r="J444" s="55"/>
    </row>
    <row r="445">
      <c r="D445" s="55"/>
      <c r="E445" s="55"/>
      <c r="F445" s="55"/>
      <c r="J445" s="55"/>
    </row>
    <row r="446">
      <c r="D446" s="55"/>
      <c r="E446" s="55"/>
      <c r="F446" s="55"/>
      <c r="J446" s="55"/>
    </row>
    <row r="447">
      <c r="D447" s="55"/>
      <c r="E447" s="55"/>
      <c r="F447" s="55"/>
      <c r="J447" s="55"/>
    </row>
    <row r="448">
      <c r="D448" s="55"/>
      <c r="E448" s="55"/>
      <c r="F448" s="55"/>
      <c r="J448" s="55"/>
    </row>
    <row r="449">
      <c r="D449" s="55"/>
      <c r="E449" s="55"/>
      <c r="F449" s="55"/>
      <c r="J449" s="55"/>
    </row>
    <row r="450">
      <c r="D450" s="55"/>
      <c r="E450" s="55"/>
      <c r="F450" s="55"/>
      <c r="J450" s="55"/>
    </row>
    <row r="451">
      <c r="D451" s="55"/>
      <c r="E451" s="55"/>
      <c r="F451" s="55"/>
      <c r="J451" s="55"/>
    </row>
    <row r="452">
      <c r="D452" s="55"/>
      <c r="E452" s="55"/>
      <c r="F452" s="55"/>
      <c r="J452" s="55"/>
    </row>
    <row r="453">
      <c r="D453" s="55"/>
      <c r="E453" s="55"/>
      <c r="F453" s="55"/>
      <c r="J453" s="55"/>
    </row>
    <row r="454">
      <c r="D454" s="55"/>
      <c r="E454" s="55"/>
      <c r="F454" s="55"/>
      <c r="J454" s="55"/>
    </row>
    <row r="455">
      <c r="D455" s="55"/>
      <c r="E455" s="55"/>
      <c r="F455" s="55"/>
      <c r="J455" s="55"/>
    </row>
    <row r="456">
      <c r="D456" s="55"/>
      <c r="E456" s="55"/>
      <c r="F456" s="55"/>
      <c r="J456" s="55"/>
    </row>
    <row r="457">
      <c r="D457" s="55"/>
      <c r="E457" s="55"/>
      <c r="F457" s="55"/>
      <c r="J457" s="55"/>
    </row>
    <row r="458">
      <c r="D458" s="55"/>
      <c r="E458" s="55"/>
      <c r="F458" s="55"/>
      <c r="J458" s="55"/>
    </row>
    <row r="459">
      <c r="D459" s="55"/>
      <c r="E459" s="55"/>
      <c r="F459" s="55"/>
      <c r="J459" s="55"/>
    </row>
    <row r="460">
      <c r="D460" s="55"/>
      <c r="E460" s="55"/>
      <c r="F460" s="55"/>
      <c r="J460" s="55"/>
    </row>
    <row r="461">
      <c r="D461" s="55"/>
      <c r="E461" s="55"/>
      <c r="F461" s="55"/>
      <c r="J461" s="55"/>
    </row>
    <row r="462">
      <c r="D462" s="55"/>
      <c r="E462" s="55"/>
      <c r="F462" s="55"/>
      <c r="J462" s="55"/>
    </row>
    <row r="463">
      <c r="D463" s="55"/>
      <c r="E463" s="55"/>
      <c r="F463" s="55"/>
      <c r="J463" s="55"/>
    </row>
    <row r="464">
      <c r="D464" s="55"/>
      <c r="E464" s="55"/>
      <c r="F464" s="55"/>
      <c r="J464" s="55"/>
    </row>
    <row r="465">
      <c r="D465" s="55"/>
      <c r="E465" s="55"/>
      <c r="F465" s="55"/>
      <c r="J465" s="55"/>
    </row>
    <row r="466">
      <c r="D466" s="55"/>
      <c r="E466" s="55"/>
      <c r="F466" s="55"/>
      <c r="J466" s="55"/>
    </row>
    <row r="467">
      <c r="D467" s="55"/>
      <c r="E467" s="55"/>
      <c r="F467" s="55"/>
      <c r="J467" s="55"/>
    </row>
    <row r="468">
      <c r="D468" s="55"/>
      <c r="E468" s="55"/>
      <c r="F468" s="55"/>
      <c r="J468" s="55"/>
    </row>
    <row r="469">
      <c r="D469" s="55"/>
      <c r="E469" s="55"/>
      <c r="F469" s="55"/>
      <c r="J469" s="55"/>
    </row>
    <row r="470">
      <c r="D470" s="55"/>
      <c r="E470" s="55"/>
      <c r="F470" s="55"/>
      <c r="J470" s="55"/>
    </row>
    <row r="471">
      <c r="D471" s="55"/>
      <c r="E471" s="55"/>
      <c r="F471" s="55"/>
      <c r="J471" s="55"/>
    </row>
    <row r="472">
      <c r="D472" s="55"/>
      <c r="E472" s="55"/>
      <c r="F472" s="55"/>
      <c r="J472" s="55"/>
    </row>
    <row r="473">
      <c r="D473" s="55"/>
      <c r="E473" s="55"/>
      <c r="F473" s="55"/>
      <c r="J473" s="55"/>
    </row>
    <row r="474">
      <c r="D474" s="55"/>
      <c r="E474" s="55"/>
      <c r="F474" s="55"/>
      <c r="J474" s="55"/>
    </row>
    <row r="475">
      <c r="D475" s="55"/>
      <c r="E475" s="55"/>
      <c r="F475" s="55"/>
      <c r="J475" s="55"/>
    </row>
    <row r="476">
      <c r="D476" s="55"/>
      <c r="E476" s="55"/>
      <c r="F476" s="55"/>
      <c r="J476" s="55"/>
    </row>
    <row r="477">
      <c r="D477" s="55"/>
      <c r="E477" s="55"/>
      <c r="F477" s="55"/>
      <c r="J477" s="55"/>
    </row>
    <row r="478">
      <c r="D478" s="55"/>
      <c r="E478" s="55"/>
      <c r="F478" s="55"/>
      <c r="J478" s="55"/>
    </row>
    <row r="479">
      <c r="D479" s="55"/>
      <c r="E479" s="55"/>
      <c r="F479" s="55"/>
      <c r="J479" s="55"/>
    </row>
    <row r="480">
      <c r="D480" s="55"/>
      <c r="E480" s="55"/>
      <c r="F480" s="55"/>
      <c r="J480" s="55"/>
    </row>
    <row r="481">
      <c r="D481" s="55"/>
      <c r="E481" s="55"/>
      <c r="F481" s="55"/>
      <c r="J481" s="55"/>
    </row>
    <row r="482">
      <c r="D482" s="55"/>
      <c r="E482" s="55"/>
      <c r="F482" s="55"/>
      <c r="J482" s="55"/>
    </row>
    <row r="483">
      <c r="D483" s="55"/>
      <c r="E483" s="55"/>
      <c r="F483" s="55"/>
      <c r="J483" s="55"/>
    </row>
    <row r="484">
      <c r="D484" s="55"/>
      <c r="E484" s="55"/>
      <c r="F484" s="55"/>
      <c r="J484" s="55"/>
    </row>
    <row r="485">
      <c r="D485" s="55"/>
      <c r="E485" s="55"/>
      <c r="F485" s="55"/>
      <c r="J485" s="55"/>
    </row>
    <row r="486">
      <c r="D486" s="55"/>
      <c r="E486" s="55"/>
      <c r="F486" s="55"/>
      <c r="J486" s="55"/>
    </row>
    <row r="487">
      <c r="D487" s="55"/>
      <c r="E487" s="55"/>
      <c r="F487" s="55"/>
      <c r="J487" s="55"/>
    </row>
    <row r="488">
      <c r="D488" s="55"/>
      <c r="E488" s="55"/>
      <c r="F488" s="55"/>
      <c r="J488" s="55"/>
    </row>
    <row r="489">
      <c r="D489" s="55"/>
      <c r="E489" s="55"/>
      <c r="F489" s="55"/>
      <c r="J489" s="55"/>
    </row>
    <row r="490">
      <c r="D490" s="55"/>
      <c r="E490" s="55"/>
      <c r="F490" s="55"/>
      <c r="J490" s="55"/>
    </row>
    <row r="491">
      <c r="D491" s="55"/>
      <c r="E491" s="55"/>
      <c r="F491" s="55"/>
      <c r="J491" s="55"/>
    </row>
    <row r="492">
      <c r="D492" s="55"/>
      <c r="E492" s="55"/>
      <c r="F492" s="55"/>
      <c r="J492" s="55"/>
    </row>
    <row r="493">
      <c r="D493" s="55"/>
      <c r="E493" s="55"/>
      <c r="F493" s="55"/>
      <c r="J493" s="55"/>
    </row>
    <row r="494">
      <c r="D494" s="55"/>
      <c r="E494" s="55"/>
      <c r="F494" s="55"/>
      <c r="J494" s="55"/>
    </row>
    <row r="495">
      <c r="D495" s="55"/>
      <c r="E495" s="55"/>
      <c r="F495" s="55"/>
      <c r="J495" s="55"/>
    </row>
    <row r="496">
      <c r="D496" s="55"/>
      <c r="E496" s="55"/>
      <c r="F496" s="55"/>
      <c r="J496" s="55"/>
    </row>
    <row r="497">
      <c r="D497" s="55"/>
      <c r="E497" s="55"/>
      <c r="F497" s="55"/>
      <c r="J497" s="55"/>
    </row>
    <row r="498">
      <c r="D498" s="55"/>
      <c r="E498" s="55"/>
      <c r="F498" s="55"/>
      <c r="J498" s="55"/>
    </row>
    <row r="499">
      <c r="D499" s="55"/>
      <c r="E499" s="55"/>
      <c r="F499" s="55"/>
      <c r="J499" s="55"/>
    </row>
    <row r="500">
      <c r="D500" s="55"/>
      <c r="E500" s="55"/>
      <c r="F500" s="55"/>
      <c r="J500" s="55"/>
    </row>
    <row r="501">
      <c r="D501" s="55"/>
      <c r="E501" s="55"/>
      <c r="F501" s="55"/>
      <c r="J501" s="55"/>
    </row>
    <row r="502">
      <c r="D502" s="55"/>
      <c r="E502" s="55"/>
      <c r="F502" s="55"/>
      <c r="J502" s="55"/>
    </row>
    <row r="503">
      <c r="D503" s="55"/>
      <c r="E503" s="55"/>
      <c r="F503" s="55"/>
      <c r="J503" s="55"/>
    </row>
    <row r="504">
      <c r="D504" s="55"/>
      <c r="E504" s="55"/>
      <c r="F504" s="55"/>
      <c r="J504" s="55"/>
    </row>
    <row r="505">
      <c r="D505" s="55"/>
      <c r="E505" s="55"/>
      <c r="F505" s="55"/>
      <c r="J505" s="55"/>
    </row>
    <row r="506">
      <c r="D506" s="55"/>
      <c r="E506" s="55"/>
      <c r="F506" s="55"/>
      <c r="J506" s="55"/>
    </row>
    <row r="507">
      <c r="D507" s="55"/>
      <c r="E507" s="55"/>
      <c r="F507" s="55"/>
      <c r="J507" s="55"/>
    </row>
    <row r="508">
      <c r="D508" s="55"/>
      <c r="E508" s="55"/>
      <c r="F508" s="55"/>
      <c r="J508" s="55"/>
    </row>
    <row r="509">
      <c r="D509" s="55"/>
      <c r="E509" s="55"/>
      <c r="F509" s="55"/>
      <c r="J509" s="55"/>
    </row>
    <row r="510">
      <c r="D510" s="55"/>
      <c r="E510" s="55"/>
      <c r="F510" s="55"/>
      <c r="J510" s="55"/>
    </row>
    <row r="511">
      <c r="D511" s="55"/>
      <c r="E511" s="55"/>
      <c r="F511" s="55"/>
      <c r="J511" s="55"/>
    </row>
    <row r="512">
      <c r="D512" s="55"/>
      <c r="E512" s="55"/>
      <c r="F512" s="55"/>
      <c r="J512" s="55"/>
    </row>
    <row r="513">
      <c r="D513" s="55"/>
      <c r="E513" s="55"/>
      <c r="F513" s="55"/>
      <c r="J513" s="55"/>
    </row>
    <row r="514">
      <c r="D514" s="55"/>
      <c r="E514" s="55"/>
      <c r="F514" s="55"/>
      <c r="J514" s="55"/>
    </row>
    <row r="515">
      <c r="D515" s="55"/>
      <c r="E515" s="55"/>
      <c r="F515" s="55"/>
      <c r="J515" s="55"/>
    </row>
    <row r="516">
      <c r="D516" s="55"/>
      <c r="E516" s="55"/>
      <c r="F516" s="55"/>
      <c r="J516" s="55"/>
    </row>
    <row r="517">
      <c r="D517" s="55"/>
      <c r="E517" s="55"/>
      <c r="F517" s="55"/>
      <c r="J517" s="55"/>
    </row>
    <row r="518">
      <c r="D518" s="55"/>
      <c r="E518" s="55"/>
      <c r="F518" s="55"/>
      <c r="J518" s="55"/>
    </row>
    <row r="519">
      <c r="D519" s="55"/>
      <c r="E519" s="55"/>
      <c r="F519" s="55"/>
      <c r="J519" s="55"/>
    </row>
    <row r="520">
      <c r="D520" s="55"/>
      <c r="E520" s="55"/>
      <c r="F520" s="55"/>
      <c r="J520" s="55"/>
    </row>
    <row r="521">
      <c r="D521" s="55"/>
      <c r="E521" s="55"/>
      <c r="F521" s="55"/>
      <c r="J521" s="55"/>
    </row>
    <row r="522">
      <c r="D522" s="55"/>
      <c r="E522" s="55"/>
      <c r="F522" s="55"/>
      <c r="J522" s="55"/>
    </row>
    <row r="523">
      <c r="D523" s="55"/>
      <c r="E523" s="55"/>
      <c r="F523" s="55"/>
      <c r="J523" s="55"/>
    </row>
    <row r="524">
      <c r="D524" s="55"/>
      <c r="E524" s="55"/>
      <c r="F524" s="55"/>
      <c r="J524" s="55"/>
    </row>
    <row r="525">
      <c r="D525" s="55"/>
      <c r="E525" s="55"/>
      <c r="F525" s="55"/>
      <c r="J525" s="55"/>
    </row>
    <row r="526">
      <c r="D526" s="55"/>
      <c r="E526" s="55"/>
      <c r="F526" s="55"/>
      <c r="J526" s="55"/>
    </row>
    <row r="527">
      <c r="D527" s="55"/>
      <c r="E527" s="55"/>
      <c r="F527" s="55"/>
      <c r="J527" s="55"/>
    </row>
    <row r="528">
      <c r="D528" s="55"/>
      <c r="E528" s="55"/>
      <c r="F528" s="55"/>
      <c r="J528" s="55"/>
    </row>
    <row r="529">
      <c r="D529" s="55"/>
      <c r="E529" s="55"/>
      <c r="F529" s="55"/>
      <c r="J529" s="55"/>
    </row>
    <row r="530">
      <c r="D530" s="55"/>
      <c r="E530" s="55"/>
      <c r="F530" s="55"/>
      <c r="J530" s="55"/>
    </row>
    <row r="531">
      <c r="D531" s="55"/>
      <c r="E531" s="55"/>
      <c r="F531" s="55"/>
      <c r="J531" s="55"/>
    </row>
    <row r="532">
      <c r="D532" s="55"/>
      <c r="E532" s="55"/>
      <c r="F532" s="55"/>
      <c r="J532" s="55"/>
    </row>
    <row r="533">
      <c r="D533" s="55"/>
      <c r="E533" s="55"/>
      <c r="F533" s="55"/>
      <c r="J533" s="55"/>
    </row>
    <row r="534">
      <c r="D534" s="55"/>
      <c r="E534" s="55"/>
      <c r="F534" s="55"/>
      <c r="J534" s="55"/>
    </row>
    <row r="535">
      <c r="D535" s="55"/>
      <c r="E535" s="55"/>
      <c r="F535" s="55"/>
      <c r="J535" s="55"/>
    </row>
    <row r="536">
      <c r="D536" s="55"/>
      <c r="E536" s="55"/>
      <c r="F536" s="55"/>
      <c r="J536" s="55"/>
    </row>
    <row r="537">
      <c r="D537" s="55"/>
      <c r="E537" s="55"/>
      <c r="F537" s="55"/>
      <c r="J537" s="55"/>
    </row>
    <row r="538">
      <c r="D538" s="55"/>
      <c r="E538" s="55"/>
      <c r="F538" s="55"/>
      <c r="J538" s="55"/>
    </row>
    <row r="539">
      <c r="D539" s="55"/>
      <c r="E539" s="55"/>
      <c r="F539" s="55"/>
      <c r="J539" s="55"/>
    </row>
    <row r="540">
      <c r="D540" s="55"/>
      <c r="E540" s="55"/>
      <c r="F540" s="55"/>
      <c r="J540" s="55"/>
    </row>
    <row r="541">
      <c r="D541" s="55"/>
      <c r="E541" s="55"/>
      <c r="F541" s="55"/>
      <c r="J541" s="55"/>
    </row>
    <row r="542">
      <c r="D542" s="55"/>
      <c r="E542" s="55"/>
      <c r="F542" s="55"/>
      <c r="J542" s="55"/>
    </row>
    <row r="543">
      <c r="D543" s="55"/>
      <c r="E543" s="55"/>
      <c r="F543" s="55"/>
      <c r="J543" s="55"/>
    </row>
    <row r="544">
      <c r="D544" s="55"/>
      <c r="E544" s="55"/>
      <c r="F544" s="55"/>
      <c r="J544" s="55"/>
    </row>
    <row r="545">
      <c r="D545" s="55"/>
      <c r="E545" s="55"/>
      <c r="F545" s="55"/>
      <c r="J545" s="55"/>
    </row>
    <row r="546">
      <c r="D546" s="55"/>
      <c r="E546" s="55"/>
      <c r="F546" s="55"/>
      <c r="J546" s="55"/>
    </row>
    <row r="547">
      <c r="D547" s="55"/>
      <c r="E547" s="55"/>
      <c r="F547" s="55"/>
      <c r="J547" s="55"/>
    </row>
    <row r="548">
      <c r="D548" s="55"/>
      <c r="E548" s="55"/>
      <c r="F548" s="55"/>
      <c r="J548" s="55"/>
    </row>
    <row r="549">
      <c r="D549" s="55"/>
      <c r="E549" s="55"/>
      <c r="F549" s="55"/>
      <c r="J549" s="55"/>
    </row>
    <row r="550">
      <c r="D550" s="55"/>
      <c r="E550" s="55"/>
      <c r="F550" s="55"/>
      <c r="J550" s="55"/>
    </row>
    <row r="551">
      <c r="D551" s="55"/>
      <c r="E551" s="55"/>
      <c r="F551" s="55"/>
      <c r="J551" s="55"/>
    </row>
    <row r="552">
      <c r="D552" s="55"/>
      <c r="E552" s="55"/>
      <c r="F552" s="55"/>
      <c r="J552" s="55"/>
    </row>
    <row r="553">
      <c r="D553" s="55"/>
      <c r="E553" s="55"/>
      <c r="F553" s="55"/>
      <c r="J553" s="55"/>
    </row>
    <row r="554">
      <c r="D554" s="55"/>
      <c r="E554" s="55"/>
      <c r="F554" s="55"/>
      <c r="J554" s="55"/>
    </row>
    <row r="555">
      <c r="D555" s="55"/>
      <c r="E555" s="55"/>
      <c r="F555" s="55"/>
      <c r="J555" s="55"/>
    </row>
    <row r="556">
      <c r="D556" s="55"/>
      <c r="E556" s="55"/>
      <c r="F556" s="55"/>
      <c r="J556" s="55"/>
    </row>
    <row r="557">
      <c r="D557" s="55"/>
      <c r="E557" s="55"/>
      <c r="F557" s="55"/>
      <c r="J557" s="55"/>
    </row>
    <row r="558">
      <c r="D558" s="55"/>
      <c r="E558" s="55"/>
      <c r="F558" s="55"/>
      <c r="J558" s="55"/>
    </row>
    <row r="559">
      <c r="D559" s="55"/>
      <c r="E559" s="55"/>
      <c r="F559" s="55"/>
      <c r="J559" s="55"/>
    </row>
    <row r="560">
      <c r="D560" s="55"/>
      <c r="E560" s="55"/>
      <c r="F560" s="55"/>
      <c r="J560" s="55"/>
    </row>
    <row r="561">
      <c r="D561" s="55"/>
      <c r="E561" s="55"/>
      <c r="F561" s="55"/>
      <c r="J561" s="55"/>
    </row>
    <row r="562">
      <c r="D562" s="55"/>
      <c r="E562" s="55"/>
      <c r="F562" s="55"/>
      <c r="J562" s="55"/>
    </row>
    <row r="563">
      <c r="D563" s="55"/>
      <c r="E563" s="55"/>
      <c r="F563" s="55"/>
      <c r="J563" s="55"/>
    </row>
    <row r="564">
      <c r="D564" s="55"/>
      <c r="E564" s="55"/>
      <c r="F564" s="55"/>
      <c r="J564" s="55"/>
    </row>
    <row r="565">
      <c r="D565" s="55"/>
      <c r="E565" s="55"/>
      <c r="F565" s="55"/>
      <c r="J565" s="55"/>
    </row>
    <row r="566">
      <c r="D566" s="55"/>
      <c r="E566" s="55"/>
      <c r="F566" s="55"/>
      <c r="J566" s="55"/>
    </row>
    <row r="567">
      <c r="D567" s="55"/>
      <c r="E567" s="55"/>
      <c r="F567" s="55"/>
      <c r="J567" s="55"/>
    </row>
    <row r="568">
      <c r="D568" s="55"/>
      <c r="E568" s="55"/>
      <c r="F568" s="55"/>
      <c r="J568" s="55"/>
    </row>
    <row r="569">
      <c r="D569" s="55"/>
      <c r="E569" s="55"/>
      <c r="F569" s="55"/>
      <c r="J569" s="55"/>
    </row>
    <row r="570">
      <c r="D570" s="55"/>
      <c r="E570" s="55"/>
      <c r="F570" s="55"/>
      <c r="J570" s="55"/>
    </row>
    <row r="571">
      <c r="D571" s="55"/>
      <c r="E571" s="55"/>
      <c r="F571" s="55"/>
      <c r="J571" s="55"/>
    </row>
    <row r="572">
      <c r="D572" s="55"/>
      <c r="E572" s="55"/>
      <c r="F572" s="55"/>
      <c r="J572" s="55"/>
    </row>
    <row r="573">
      <c r="D573" s="55"/>
      <c r="E573" s="55"/>
      <c r="F573" s="55"/>
      <c r="J573" s="55"/>
    </row>
    <row r="574">
      <c r="D574" s="55"/>
      <c r="E574" s="55"/>
      <c r="F574" s="55"/>
      <c r="J574" s="55"/>
    </row>
    <row r="575">
      <c r="D575" s="55"/>
      <c r="E575" s="55"/>
      <c r="F575" s="55"/>
      <c r="J575" s="55"/>
    </row>
    <row r="576">
      <c r="D576" s="55"/>
      <c r="E576" s="55"/>
      <c r="F576" s="55"/>
      <c r="J576" s="55"/>
    </row>
    <row r="577">
      <c r="D577" s="55"/>
      <c r="E577" s="55"/>
      <c r="F577" s="55"/>
      <c r="J577" s="55"/>
    </row>
    <row r="578">
      <c r="D578" s="55"/>
      <c r="E578" s="55"/>
      <c r="F578" s="55"/>
      <c r="J578" s="55"/>
    </row>
    <row r="579">
      <c r="D579" s="55"/>
      <c r="E579" s="55"/>
      <c r="F579" s="55"/>
      <c r="J579" s="55"/>
    </row>
    <row r="580">
      <c r="D580" s="55"/>
      <c r="E580" s="55"/>
      <c r="F580" s="55"/>
      <c r="J580" s="55"/>
    </row>
    <row r="581">
      <c r="D581" s="55"/>
      <c r="E581" s="55"/>
      <c r="F581" s="55"/>
      <c r="J581" s="55"/>
    </row>
    <row r="582">
      <c r="D582" s="55"/>
      <c r="E582" s="55"/>
      <c r="F582" s="55"/>
      <c r="J582" s="55"/>
    </row>
    <row r="583">
      <c r="D583" s="55"/>
      <c r="E583" s="55"/>
      <c r="F583" s="55"/>
      <c r="J583" s="55"/>
    </row>
    <row r="584">
      <c r="D584" s="55"/>
      <c r="E584" s="55"/>
      <c r="F584" s="55"/>
      <c r="J584" s="55"/>
    </row>
    <row r="585">
      <c r="D585" s="55"/>
      <c r="E585" s="55"/>
      <c r="F585" s="55"/>
      <c r="J585" s="55"/>
    </row>
    <row r="586">
      <c r="D586" s="55"/>
      <c r="E586" s="55"/>
      <c r="F586" s="55"/>
      <c r="J586" s="55"/>
    </row>
    <row r="587">
      <c r="D587" s="55"/>
      <c r="E587" s="55"/>
      <c r="F587" s="55"/>
      <c r="J587" s="55"/>
    </row>
    <row r="588">
      <c r="D588" s="55"/>
      <c r="E588" s="55"/>
      <c r="F588" s="55"/>
      <c r="J588" s="55"/>
    </row>
    <row r="589">
      <c r="D589" s="55"/>
      <c r="E589" s="55"/>
      <c r="F589" s="55"/>
      <c r="J589" s="55"/>
    </row>
    <row r="590">
      <c r="D590" s="55"/>
      <c r="E590" s="55"/>
      <c r="F590" s="55"/>
      <c r="J590" s="55"/>
    </row>
    <row r="591">
      <c r="D591" s="55"/>
      <c r="E591" s="55"/>
      <c r="F591" s="55"/>
      <c r="J591" s="55"/>
    </row>
    <row r="592">
      <c r="D592" s="55"/>
      <c r="E592" s="55"/>
      <c r="F592" s="55"/>
      <c r="J592" s="55"/>
    </row>
    <row r="593">
      <c r="D593" s="55"/>
      <c r="E593" s="55"/>
      <c r="F593" s="55"/>
      <c r="J593" s="55"/>
    </row>
    <row r="594">
      <c r="D594" s="55"/>
      <c r="E594" s="55"/>
      <c r="F594" s="55"/>
      <c r="J594" s="55"/>
    </row>
    <row r="595">
      <c r="D595" s="55"/>
      <c r="E595" s="55"/>
      <c r="F595" s="55"/>
      <c r="J595" s="55"/>
    </row>
    <row r="596">
      <c r="D596" s="55"/>
      <c r="E596" s="55"/>
      <c r="F596" s="55"/>
      <c r="J596" s="55"/>
    </row>
    <row r="597">
      <c r="D597" s="55"/>
      <c r="E597" s="55"/>
      <c r="F597" s="55"/>
      <c r="J597" s="55"/>
    </row>
    <row r="598">
      <c r="D598" s="55"/>
      <c r="E598" s="55"/>
      <c r="F598" s="55"/>
      <c r="J598" s="55"/>
    </row>
    <row r="599">
      <c r="D599" s="55"/>
      <c r="E599" s="55"/>
      <c r="F599" s="55"/>
      <c r="J599" s="55"/>
    </row>
    <row r="600">
      <c r="D600" s="55"/>
      <c r="E600" s="55"/>
      <c r="F600" s="55"/>
      <c r="J600" s="55"/>
    </row>
    <row r="601">
      <c r="D601" s="55"/>
      <c r="E601" s="55"/>
      <c r="F601" s="55"/>
      <c r="J601" s="55"/>
    </row>
    <row r="602">
      <c r="D602" s="55"/>
      <c r="E602" s="55"/>
      <c r="F602" s="55"/>
      <c r="J602" s="55"/>
    </row>
    <row r="603">
      <c r="D603" s="55"/>
      <c r="E603" s="55"/>
      <c r="F603" s="55"/>
      <c r="J603" s="55"/>
    </row>
    <row r="604">
      <c r="D604" s="55"/>
      <c r="E604" s="55"/>
      <c r="F604" s="55"/>
      <c r="J604" s="55"/>
    </row>
    <row r="605">
      <c r="D605" s="55"/>
      <c r="E605" s="55"/>
      <c r="F605" s="55"/>
      <c r="J605" s="55"/>
    </row>
    <row r="606">
      <c r="D606" s="55"/>
      <c r="E606" s="55"/>
      <c r="F606" s="55"/>
      <c r="J606" s="55"/>
    </row>
    <row r="607">
      <c r="D607" s="55"/>
      <c r="E607" s="55"/>
      <c r="F607" s="55"/>
      <c r="J607" s="55"/>
    </row>
    <row r="608">
      <c r="D608" s="55"/>
      <c r="E608" s="55"/>
      <c r="F608" s="55"/>
      <c r="J608" s="55"/>
    </row>
    <row r="609">
      <c r="D609" s="55"/>
      <c r="E609" s="55"/>
      <c r="F609" s="55"/>
      <c r="J609" s="55"/>
    </row>
    <row r="610">
      <c r="D610" s="55"/>
      <c r="E610" s="55"/>
      <c r="F610" s="55"/>
      <c r="J610" s="55"/>
    </row>
    <row r="611">
      <c r="D611" s="55"/>
      <c r="E611" s="55"/>
      <c r="F611" s="55"/>
      <c r="J611" s="55"/>
    </row>
    <row r="612">
      <c r="D612" s="55"/>
      <c r="E612" s="55"/>
      <c r="F612" s="55"/>
      <c r="J612" s="55"/>
    </row>
    <row r="613">
      <c r="D613" s="55"/>
      <c r="E613" s="55"/>
      <c r="F613" s="55"/>
      <c r="J613" s="55"/>
    </row>
    <row r="614">
      <c r="D614" s="55"/>
      <c r="E614" s="55"/>
      <c r="F614" s="55"/>
      <c r="J614" s="55"/>
    </row>
    <row r="615">
      <c r="D615" s="55"/>
      <c r="E615" s="55"/>
      <c r="F615" s="55"/>
      <c r="J615" s="55"/>
    </row>
    <row r="616">
      <c r="D616" s="55"/>
      <c r="E616" s="55"/>
      <c r="F616" s="55"/>
      <c r="J616" s="55"/>
    </row>
    <row r="617">
      <c r="D617" s="55"/>
      <c r="E617" s="55"/>
      <c r="F617" s="55"/>
      <c r="J617" s="55"/>
    </row>
    <row r="618">
      <c r="D618" s="55"/>
      <c r="E618" s="55"/>
      <c r="F618" s="55"/>
      <c r="J618" s="55"/>
    </row>
    <row r="619">
      <c r="D619" s="55"/>
      <c r="E619" s="55"/>
      <c r="F619" s="55"/>
      <c r="J619" s="55"/>
    </row>
    <row r="620">
      <c r="D620" s="55"/>
      <c r="E620" s="55"/>
      <c r="F620" s="55"/>
      <c r="J620" s="55"/>
    </row>
    <row r="621">
      <c r="D621" s="55"/>
      <c r="E621" s="55"/>
      <c r="F621" s="55"/>
      <c r="J621" s="55"/>
    </row>
    <row r="622">
      <c r="D622" s="55"/>
      <c r="E622" s="55"/>
      <c r="F622" s="55"/>
      <c r="J622" s="55"/>
    </row>
    <row r="623">
      <c r="D623" s="55"/>
      <c r="E623" s="55"/>
      <c r="F623" s="55"/>
      <c r="J623" s="55"/>
    </row>
    <row r="624">
      <c r="D624" s="55"/>
      <c r="E624" s="55"/>
      <c r="F624" s="55"/>
      <c r="J624" s="55"/>
    </row>
    <row r="625">
      <c r="D625" s="55"/>
      <c r="E625" s="55"/>
      <c r="F625" s="55"/>
      <c r="J625" s="55"/>
    </row>
    <row r="626">
      <c r="D626" s="55"/>
      <c r="E626" s="55"/>
      <c r="F626" s="55"/>
      <c r="J626" s="55"/>
    </row>
    <row r="627">
      <c r="D627" s="55"/>
      <c r="E627" s="55"/>
      <c r="F627" s="55"/>
      <c r="J627" s="55"/>
    </row>
    <row r="628">
      <c r="D628" s="55"/>
      <c r="E628" s="55"/>
      <c r="F628" s="55"/>
      <c r="J628" s="55"/>
    </row>
    <row r="629">
      <c r="D629" s="55"/>
      <c r="E629" s="55"/>
      <c r="F629" s="55"/>
      <c r="J629" s="55"/>
    </row>
    <row r="630">
      <c r="D630" s="55"/>
      <c r="E630" s="55"/>
      <c r="F630" s="55"/>
      <c r="J630" s="55"/>
    </row>
    <row r="631">
      <c r="D631" s="55"/>
      <c r="E631" s="55"/>
      <c r="F631" s="55"/>
      <c r="J631" s="55"/>
    </row>
    <row r="632">
      <c r="D632" s="55"/>
      <c r="E632" s="55"/>
      <c r="F632" s="55"/>
      <c r="J632" s="55"/>
    </row>
    <row r="633">
      <c r="D633" s="55"/>
      <c r="E633" s="55"/>
      <c r="F633" s="55"/>
      <c r="J633" s="55"/>
    </row>
    <row r="634">
      <c r="D634" s="55"/>
      <c r="E634" s="55"/>
      <c r="F634" s="55"/>
      <c r="J634" s="55"/>
    </row>
    <row r="635">
      <c r="D635" s="55"/>
      <c r="E635" s="55"/>
      <c r="F635" s="55"/>
      <c r="J635" s="55"/>
    </row>
    <row r="636">
      <c r="D636" s="55"/>
      <c r="E636" s="55"/>
      <c r="F636" s="55"/>
      <c r="J636" s="55"/>
    </row>
    <row r="637">
      <c r="D637" s="55"/>
      <c r="E637" s="55"/>
      <c r="F637" s="55"/>
      <c r="J637" s="55"/>
    </row>
    <row r="638">
      <c r="D638" s="55"/>
      <c r="E638" s="55"/>
      <c r="F638" s="55"/>
      <c r="J638" s="55"/>
    </row>
    <row r="639">
      <c r="D639" s="55"/>
      <c r="E639" s="55"/>
      <c r="F639" s="55"/>
      <c r="J639" s="55"/>
    </row>
    <row r="640">
      <c r="D640" s="55"/>
      <c r="E640" s="55"/>
      <c r="F640" s="55"/>
      <c r="J640" s="55"/>
    </row>
    <row r="641">
      <c r="D641" s="55"/>
      <c r="E641" s="55"/>
      <c r="F641" s="55"/>
      <c r="J641" s="55"/>
    </row>
    <row r="642">
      <c r="D642" s="55"/>
      <c r="E642" s="55"/>
      <c r="F642" s="55"/>
      <c r="J642" s="55"/>
    </row>
    <row r="643">
      <c r="D643" s="55"/>
      <c r="E643" s="55"/>
      <c r="F643" s="55"/>
      <c r="J643" s="55"/>
    </row>
    <row r="644">
      <c r="D644" s="55"/>
      <c r="E644" s="55"/>
      <c r="F644" s="55"/>
      <c r="J644" s="55"/>
    </row>
    <row r="645">
      <c r="D645" s="55"/>
      <c r="E645" s="55"/>
      <c r="F645" s="55"/>
      <c r="J645" s="55"/>
    </row>
    <row r="646">
      <c r="D646" s="55"/>
      <c r="E646" s="55"/>
      <c r="F646" s="55"/>
      <c r="J646" s="55"/>
    </row>
    <row r="647">
      <c r="D647" s="55"/>
      <c r="E647" s="55"/>
      <c r="F647" s="55"/>
      <c r="J647" s="55"/>
    </row>
    <row r="648">
      <c r="D648" s="55"/>
      <c r="E648" s="55"/>
      <c r="F648" s="55"/>
      <c r="J648" s="55"/>
    </row>
    <row r="649">
      <c r="D649" s="55"/>
      <c r="E649" s="55"/>
      <c r="F649" s="55"/>
      <c r="J649" s="55"/>
    </row>
    <row r="650">
      <c r="D650" s="55"/>
      <c r="E650" s="55"/>
      <c r="F650" s="55"/>
      <c r="J650" s="55"/>
    </row>
    <row r="651">
      <c r="D651" s="55"/>
      <c r="E651" s="55"/>
      <c r="F651" s="55"/>
      <c r="J651" s="55"/>
    </row>
    <row r="652">
      <c r="D652" s="55"/>
      <c r="E652" s="55"/>
      <c r="F652" s="55"/>
      <c r="J652" s="55"/>
    </row>
    <row r="653">
      <c r="D653" s="55"/>
      <c r="E653" s="55"/>
      <c r="F653" s="55"/>
      <c r="J653" s="55"/>
    </row>
    <row r="654">
      <c r="D654" s="55"/>
      <c r="E654" s="55"/>
      <c r="F654" s="55"/>
      <c r="J654" s="55"/>
    </row>
    <row r="655">
      <c r="D655" s="55"/>
      <c r="E655" s="55"/>
      <c r="F655" s="55"/>
      <c r="J655" s="55"/>
    </row>
    <row r="656">
      <c r="D656" s="55"/>
      <c r="E656" s="55"/>
      <c r="F656" s="55"/>
      <c r="J656" s="55"/>
    </row>
    <row r="657">
      <c r="D657" s="55"/>
      <c r="E657" s="55"/>
      <c r="F657" s="55"/>
      <c r="J657" s="55"/>
    </row>
    <row r="658">
      <c r="D658" s="55"/>
      <c r="E658" s="55"/>
      <c r="F658" s="55"/>
      <c r="J658" s="55"/>
    </row>
    <row r="659">
      <c r="D659" s="55"/>
      <c r="E659" s="55"/>
      <c r="F659" s="55"/>
      <c r="J659" s="55"/>
    </row>
    <row r="660">
      <c r="D660" s="55"/>
      <c r="E660" s="55"/>
      <c r="F660" s="55"/>
      <c r="J660" s="55"/>
    </row>
    <row r="661">
      <c r="D661" s="55"/>
      <c r="E661" s="55"/>
      <c r="F661" s="55"/>
      <c r="J661" s="55"/>
    </row>
    <row r="662">
      <c r="D662" s="55"/>
      <c r="E662" s="55"/>
      <c r="F662" s="55"/>
      <c r="J662" s="55"/>
    </row>
    <row r="663">
      <c r="D663" s="55"/>
      <c r="E663" s="55"/>
      <c r="F663" s="55"/>
      <c r="J663" s="55"/>
    </row>
    <row r="664">
      <c r="D664" s="55"/>
      <c r="E664" s="55"/>
      <c r="F664" s="55"/>
      <c r="J664" s="55"/>
    </row>
    <row r="665">
      <c r="D665" s="55"/>
      <c r="E665" s="55"/>
      <c r="F665" s="55"/>
      <c r="J665" s="55"/>
    </row>
    <row r="666">
      <c r="D666" s="55"/>
      <c r="E666" s="55"/>
      <c r="F666" s="55"/>
      <c r="J666" s="55"/>
    </row>
    <row r="667">
      <c r="D667" s="55"/>
      <c r="E667" s="55"/>
      <c r="F667" s="55"/>
      <c r="J667" s="55"/>
    </row>
    <row r="668">
      <c r="D668" s="55"/>
      <c r="E668" s="55"/>
      <c r="F668" s="55"/>
      <c r="J668" s="55"/>
    </row>
    <row r="669">
      <c r="D669" s="55"/>
      <c r="E669" s="55"/>
      <c r="F669" s="55"/>
      <c r="J669" s="55"/>
    </row>
    <row r="670">
      <c r="D670" s="55"/>
      <c r="E670" s="55"/>
      <c r="F670" s="55"/>
      <c r="J670" s="55"/>
    </row>
    <row r="671">
      <c r="D671" s="55"/>
      <c r="E671" s="55"/>
      <c r="F671" s="55"/>
      <c r="J671" s="55"/>
    </row>
    <row r="672">
      <c r="D672" s="55"/>
      <c r="E672" s="55"/>
      <c r="F672" s="55"/>
      <c r="J672" s="55"/>
    </row>
    <row r="673">
      <c r="D673" s="55"/>
      <c r="E673" s="55"/>
      <c r="F673" s="55"/>
      <c r="J673" s="55"/>
    </row>
    <row r="674">
      <c r="D674" s="55"/>
      <c r="E674" s="55"/>
      <c r="F674" s="55"/>
      <c r="J674" s="55"/>
    </row>
    <row r="675">
      <c r="D675" s="55"/>
      <c r="E675" s="55"/>
      <c r="F675" s="55"/>
      <c r="J675" s="55"/>
    </row>
    <row r="676">
      <c r="D676" s="55"/>
      <c r="E676" s="55"/>
      <c r="F676" s="55"/>
      <c r="J676" s="55"/>
    </row>
    <row r="677">
      <c r="D677" s="55"/>
      <c r="E677" s="55"/>
      <c r="F677" s="55"/>
      <c r="J677" s="55"/>
    </row>
    <row r="678">
      <c r="D678" s="55"/>
      <c r="E678" s="55"/>
      <c r="F678" s="55"/>
      <c r="J678" s="55"/>
    </row>
    <row r="679">
      <c r="D679" s="55"/>
      <c r="E679" s="55"/>
      <c r="F679" s="55"/>
      <c r="J679" s="55"/>
    </row>
    <row r="680">
      <c r="D680" s="55"/>
      <c r="E680" s="55"/>
      <c r="F680" s="55"/>
      <c r="J680" s="55"/>
    </row>
    <row r="681">
      <c r="D681" s="55"/>
      <c r="E681" s="55"/>
      <c r="F681" s="55"/>
      <c r="J681" s="55"/>
    </row>
    <row r="682">
      <c r="D682" s="55"/>
      <c r="E682" s="55"/>
      <c r="F682" s="55"/>
      <c r="J682" s="55"/>
    </row>
    <row r="683">
      <c r="D683" s="55"/>
      <c r="E683" s="55"/>
      <c r="F683" s="55"/>
      <c r="J683" s="55"/>
    </row>
    <row r="684">
      <c r="D684" s="55"/>
      <c r="E684" s="55"/>
      <c r="F684" s="55"/>
      <c r="J684" s="55"/>
    </row>
    <row r="685">
      <c r="D685" s="55"/>
      <c r="E685" s="55"/>
      <c r="F685" s="55"/>
      <c r="J685" s="55"/>
    </row>
    <row r="686">
      <c r="D686" s="55"/>
      <c r="E686" s="55"/>
      <c r="F686" s="55"/>
      <c r="J686" s="55"/>
    </row>
    <row r="687">
      <c r="D687" s="55"/>
      <c r="E687" s="55"/>
      <c r="F687" s="55"/>
      <c r="J687" s="55"/>
    </row>
    <row r="688">
      <c r="D688" s="55"/>
      <c r="E688" s="55"/>
      <c r="F688" s="55"/>
      <c r="J688" s="55"/>
    </row>
    <row r="689">
      <c r="D689" s="55"/>
      <c r="E689" s="55"/>
      <c r="F689" s="55"/>
      <c r="J689" s="55"/>
    </row>
    <row r="690">
      <c r="D690" s="55"/>
      <c r="E690" s="55"/>
      <c r="F690" s="55"/>
      <c r="J690" s="55"/>
    </row>
    <row r="691">
      <c r="D691" s="55"/>
      <c r="E691" s="55"/>
      <c r="F691" s="55"/>
      <c r="J691" s="55"/>
    </row>
    <row r="692">
      <c r="D692" s="55"/>
      <c r="E692" s="55"/>
      <c r="F692" s="55"/>
      <c r="J692" s="55"/>
    </row>
    <row r="693">
      <c r="D693" s="55"/>
      <c r="E693" s="55"/>
      <c r="F693" s="55"/>
      <c r="J693" s="55"/>
    </row>
    <row r="694">
      <c r="D694" s="55"/>
      <c r="E694" s="55"/>
      <c r="F694" s="55"/>
      <c r="J694" s="55"/>
    </row>
    <row r="695">
      <c r="D695" s="55"/>
      <c r="E695" s="55"/>
      <c r="F695" s="55"/>
      <c r="J695" s="55"/>
    </row>
    <row r="696">
      <c r="D696" s="55"/>
      <c r="E696" s="55"/>
      <c r="F696" s="55"/>
      <c r="J696" s="55"/>
    </row>
    <row r="697">
      <c r="D697" s="55"/>
      <c r="E697" s="55"/>
      <c r="F697" s="55"/>
      <c r="J697" s="55"/>
    </row>
    <row r="698">
      <c r="D698" s="55"/>
      <c r="E698" s="55"/>
      <c r="F698" s="55"/>
      <c r="J698" s="55"/>
    </row>
    <row r="699">
      <c r="D699" s="55"/>
      <c r="E699" s="55"/>
      <c r="F699" s="55"/>
      <c r="J699" s="55"/>
    </row>
    <row r="700">
      <c r="D700" s="55"/>
      <c r="E700" s="55"/>
      <c r="F700" s="55"/>
      <c r="J700" s="55"/>
    </row>
    <row r="701">
      <c r="D701" s="55"/>
      <c r="E701" s="55"/>
      <c r="F701" s="55"/>
      <c r="J701" s="55"/>
    </row>
    <row r="702">
      <c r="D702" s="55"/>
      <c r="E702" s="55"/>
      <c r="F702" s="55"/>
      <c r="J702" s="55"/>
    </row>
    <row r="703">
      <c r="D703" s="55"/>
      <c r="E703" s="55"/>
      <c r="F703" s="55"/>
      <c r="J703" s="55"/>
    </row>
    <row r="704">
      <c r="D704" s="55"/>
      <c r="E704" s="55"/>
      <c r="F704" s="55"/>
      <c r="J704" s="55"/>
    </row>
    <row r="705">
      <c r="D705" s="55"/>
      <c r="E705" s="55"/>
      <c r="F705" s="55"/>
      <c r="J705" s="55"/>
    </row>
    <row r="706">
      <c r="D706" s="55"/>
      <c r="E706" s="55"/>
      <c r="F706" s="55"/>
      <c r="J706" s="55"/>
    </row>
    <row r="707">
      <c r="D707" s="55"/>
      <c r="E707" s="55"/>
      <c r="F707" s="55"/>
      <c r="J707" s="55"/>
    </row>
    <row r="708">
      <c r="D708" s="55"/>
      <c r="E708" s="55"/>
      <c r="F708" s="55"/>
      <c r="J708" s="55"/>
    </row>
    <row r="709">
      <c r="D709" s="55"/>
      <c r="E709" s="55"/>
      <c r="F709" s="55"/>
      <c r="J709" s="55"/>
    </row>
    <row r="710">
      <c r="D710" s="55"/>
      <c r="E710" s="55"/>
      <c r="F710" s="55"/>
      <c r="J710" s="55"/>
    </row>
    <row r="711">
      <c r="D711" s="55"/>
      <c r="E711" s="55"/>
      <c r="F711" s="55"/>
      <c r="J711" s="55"/>
    </row>
    <row r="712">
      <c r="D712" s="55"/>
      <c r="E712" s="55"/>
      <c r="F712" s="55"/>
      <c r="J712" s="55"/>
    </row>
    <row r="713">
      <c r="D713" s="55"/>
      <c r="E713" s="55"/>
      <c r="F713" s="55"/>
      <c r="J713" s="55"/>
    </row>
    <row r="714">
      <c r="D714" s="55"/>
      <c r="E714" s="55"/>
      <c r="F714" s="55"/>
      <c r="J714" s="55"/>
    </row>
    <row r="715">
      <c r="D715" s="55"/>
      <c r="E715" s="55"/>
      <c r="F715" s="55"/>
      <c r="J715" s="55"/>
    </row>
    <row r="716">
      <c r="D716" s="55"/>
      <c r="E716" s="55"/>
      <c r="F716" s="55"/>
      <c r="J716" s="55"/>
    </row>
    <row r="717">
      <c r="D717" s="55"/>
      <c r="E717" s="55"/>
      <c r="F717" s="55"/>
      <c r="J717" s="55"/>
    </row>
    <row r="718">
      <c r="D718" s="55"/>
      <c r="E718" s="55"/>
      <c r="F718" s="55"/>
      <c r="J718" s="55"/>
    </row>
    <row r="719">
      <c r="D719" s="55"/>
      <c r="E719" s="55"/>
      <c r="F719" s="55"/>
      <c r="J719" s="55"/>
    </row>
    <row r="720">
      <c r="D720" s="55"/>
      <c r="E720" s="55"/>
      <c r="F720" s="55"/>
      <c r="J720" s="55"/>
    </row>
    <row r="721">
      <c r="D721" s="55"/>
      <c r="E721" s="55"/>
      <c r="F721" s="55"/>
      <c r="J721" s="55"/>
    </row>
    <row r="722">
      <c r="D722" s="55"/>
      <c r="E722" s="55"/>
      <c r="F722" s="55"/>
      <c r="J722" s="55"/>
    </row>
    <row r="723">
      <c r="D723" s="55"/>
      <c r="E723" s="55"/>
      <c r="F723" s="55"/>
      <c r="J723" s="55"/>
    </row>
    <row r="724">
      <c r="D724" s="55"/>
      <c r="E724" s="55"/>
      <c r="F724" s="55"/>
      <c r="J724" s="55"/>
    </row>
    <row r="725">
      <c r="D725" s="55"/>
      <c r="E725" s="55"/>
      <c r="F725" s="55"/>
      <c r="J725" s="55"/>
    </row>
    <row r="726">
      <c r="D726" s="55"/>
      <c r="E726" s="55"/>
      <c r="F726" s="55"/>
      <c r="J726" s="55"/>
    </row>
    <row r="727">
      <c r="D727" s="55"/>
      <c r="E727" s="55"/>
      <c r="F727" s="55"/>
      <c r="J727" s="55"/>
    </row>
    <row r="728">
      <c r="D728" s="55"/>
      <c r="E728" s="55"/>
      <c r="F728" s="55"/>
      <c r="J728" s="55"/>
    </row>
    <row r="729">
      <c r="D729" s="55"/>
      <c r="E729" s="55"/>
      <c r="F729" s="55"/>
      <c r="J729" s="55"/>
    </row>
    <row r="730">
      <c r="D730" s="55"/>
      <c r="E730" s="55"/>
      <c r="F730" s="55"/>
      <c r="J730" s="55"/>
    </row>
    <row r="731">
      <c r="D731" s="55"/>
      <c r="E731" s="55"/>
      <c r="F731" s="55"/>
      <c r="J731" s="55"/>
    </row>
    <row r="732">
      <c r="D732" s="55"/>
      <c r="E732" s="55"/>
      <c r="F732" s="55"/>
      <c r="J732" s="55"/>
    </row>
    <row r="733">
      <c r="D733" s="55"/>
      <c r="E733" s="55"/>
      <c r="F733" s="55"/>
      <c r="J733" s="55"/>
    </row>
    <row r="734">
      <c r="D734" s="55"/>
      <c r="E734" s="55"/>
      <c r="F734" s="55"/>
      <c r="J734" s="55"/>
    </row>
    <row r="735">
      <c r="D735" s="55"/>
      <c r="E735" s="55"/>
      <c r="F735" s="55"/>
      <c r="J735" s="55"/>
    </row>
    <row r="736">
      <c r="D736" s="55"/>
      <c r="E736" s="55"/>
      <c r="F736" s="55"/>
      <c r="J736" s="55"/>
    </row>
    <row r="737">
      <c r="D737" s="55"/>
      <c r="E737" s="55"/>
      <c r="F737" s="55"/>
      <c r="J737" s="55"/>
    </row>
    <row r="738">
      <c r="D738" s="55"/>
      <c r="E738" s="55"/>
      <c r="F738" s="55"/>
      <c r="J738" s="55"/>
    </row>
    <row r="739">
      <c r="D739" s="55"/>
      <c r="E739" s="55"/>
      <c r="F739" s="55"/>
      <c r="J739" s="55"/>
    </row>
    <row r="740">
      <c r="D740" s="55"/>
      <c r="E740" s="55"/>
      <c r="F740" s="55"/>
      <c r="J740" s="55"/>
    </row>
    <row r="741">
      <c r="D741" s="55"/>
      <c r="E741" s="55"/>
      <c r="F741" s="55"/>
      <c r="J741" s="55"/>
    </row>
    <row r="742">
      <c r="D742" s="55"/>
      <c r="E742" s="55"/>
      <c r="F742" s="55"/>
      <c r="J742" s="55"/>
    </row>
    <row r="743">
      <c r="D743" s="55"/>
      <c r="E743" s="55"/>
      <c r="F743" s="55"/>
      <c r="J743" s="55"/>
    </row>
    <row r="744">
      <c r="D744" s="55"/>
      <c r="E744" s="55"/>
      <c r="F744" s="55"/>
      <c r="J744" s="55"/>
    </row>
    <row r="745">
      <c r="D745" s="55"/>
      <c r="E745" s="55"/>
      <c r="F745" s="55"/>
      <c r="J745" s="55"/>
    </row>
    <row r="746">
      <c r="D746" s="55"/>
      <c r="E746" s="55"/>
      <c r="F746" s="55"/>
      <c r="J746" s="55"/>
    </row>
    <row r="747">
      <c r="D747" s="55"/>
      <c r="E747" s="55"/>
      <c r="F747" s="55"/>
      <c r="J747" s="55"/>
    </row>
    <row r="748">
      <c r="D748" s="55"/>
      <c r="E748" s="55"/>
      <c r="F748" s="55"/>
      <c r="J748" s="55"/>
    </row>
    <row r="749">
      <c r="D749" s="55"/>
      <c r="E749" s="55"/>
      <c r="F749" s="55"/>
      <c r="J749" s="55"/>
    </row>
    <row r="750">
      <c r="D750" s="55"/>
      <c r="E750" s="55"/>
      <c r="F750" s="55"/>
      <c r="J750" s="55"/>
    </row>
    <row r="751">
      <c r="D751" s="55"/>
      <c r="E751" s="55"/>
      <c r="F751" s="55"/>
      <c r="J751" s="55"/>
    </row>
    <row r="752">
      <c r="D752" s="55"/>
      <c r="E752" s="55"/>
      <c r="F752" s="55"/>
      <c r="J752" s="55"/>
    </row>
    <row r="753">
      <c r="D753" s="55"/>
      <c r="E753" s="55"/>
      <c r="F753" s="55"/>
      <c r="J753" s="55"/>
    </row>
    <row r="754">
      <c r="D754" s="55"/>
      <c r="E754" s="55"/>
      <c r="F754" s="55"/>
      <c r="J754" s="55"/>
    </row>
    <row r="755">
      <c r="D755" s="55"/>
      <c r="E755" s="55"/>
      <c r="F755" s="55"/>
      <c r="J755" s="55"/>
    </row>
    <row r="756">
      <c r="D756" s="55"/>
      <c r="E756" s="55"/>
      <c r="F756" s="55"/>
      <c r="J756" s="55"/>
    </row>
    <row r="757">
      <c r="D757" s="55"/>
      <c r="E757" s="55"/>
      <c r="F757" s="55"/>
      <c r="J757" s="55"/>
    </row>
    <row r="758">
      <c r="D758" s="55"/>
      <c r="E758" s="55"/>
      <c r="F758" s="55"/>
      <c r="J758" s="55"/>
    </row>
    <row r="759">
      <c r="D759" s="55"/>
      <c r="E759" s="55"/>
      <c r="F759" s="55"/>
      <c r="J759" s="55"/>
    </row>
    <row r="760">
      <c r="D760" s="55"/>
      <c r="E760" s="55"/>
      <c r="F760" s="55"/>
      <c r="J760" s="55"/>
    </row>
    <row r="761">
      <c r="D761" s="55"/>
      <c r="E761" s="55"/>
      <c r="F761" s="55"/>
      <c r="J761" s="55"/>
    </row>
    <row r="762">
      <c r="D762" s="55"/>
      <c r="E762" s="55"/>
      <c r="F762" s="55"/>
      <c r="J762" s="55"/>
    </row>
    <row r="763">
      <c r="D763" s="55"/>
      <c r="E763" s="55"/>
      <c r="F763" s="55"/>
      <c r="J763" s="55"/>
    </row>
    <row r="764">
      <c r="D764" s="55"/>
      <c r="E764" s="55"/>
      <c r="F764" s="55"/>
      <c r="J764" s="55"/>
    </row>
    <row r="765">
      <c r="D765" s="55"/>
      <c r="E765" s="55"/>
      <c r="F765" s="55"/>
      <c r="J765" s="55"/>
    </row>
    <row r="766">
      <c r="D766" s="55"/>
      <c r="E766" s="55"/>
      <c r="F766" s="55"/>
      <c r="J766" s="55"/>
    </row>
    <row r="767">
      <c r="D767" s="55"/>
      <c r="E767" s="55"/>
      <c r="F767" s="55"/>
      <c r="J767" s="55"/>
    </row>
    <row r="768">
      <c r="D768" s="55"/>
      <c r="E768" s="55"/>
      <c r="F768" s="55"/>
      <c r="J768" s="55"/>
    </row>
    <row r="769">
      <c r="D769" s="55"/>
      <c r="E769" s="55"/>
      <c r="F769" s="55"/>
      <c r="J769" s="55"/>
    </row>
    <row r="770">
      <c r="D770" s="55"/>
      <c r="E770" s="55"/>
      <c r="F770" s="55"/>
      <c r="J770" s="55"/>
    </row>
    <row r="771">
      <c r="D771" s="55"/>
      <c r="E771" s="55"/>
      <c r="F771" s="55"/>
      <c r="J771" s="55"/>
    </row>
    <row r="772">
      <c r="D772" s="55"/>
      <c r="E772" s="55"/>
      <c r="F772" s="55"/>
      <c r="J772" s="55"/>
    </row>
    <row r="773">
      <c r="D773" s="55"/>
      <c r="E773" s="55"/>
      <c r="F773" s="55"/>
      <c r="J773" s="55"/>
    </row>
    <row r="774">
      <c r="D774" s="55"/>
      <c r="E774" s="55"/>
      <c r="F774" s="55"/>
      <c r="J774" s="55"/>
    </row>
    <row r="775">
      <c r="D775" s="55"/>
      <c r="E775" s="55"/>
      <c r="F775" s="55"/>
      <c r="J775" s="55"/>
    </row>
    <row r="776">
      <c r="D776" s="55"/>
      <c r="E776" s="55"/>
      <c r="F776" s="55"/>
      <c r="J776" s="55"/>
    </row>
    <row r="777">
      <c r="D777" s="55"/>
      <c r="E777" s="55"/>
      <c r="F777" s="55"/>
      <c r="J777" s="55"/>
    </row>
    <row r="778">
      <c r="D778" s="55"/>
      <c r="E778" s="55"/>
      <c r="F778" s="55"/>
      <c r="J778" s="55"/>
    </row>
    <row r="779">
      <c r="D779" s="55"/>
      <c r="E779" s="55"/>
      <c r="F779" s="55"/>
      <c r="J779" s="55"/>
    </row>
    <row r="780">
      <c r="D780" s="55"/>
      <c r="E780" s="55"/>
      <c r="F780" s="55"/>
      <c r="J780" s="55"/>
    </row>
    <row r="781">
      <c r="D781" s="55"/>
      <c r="E781" s="55"/>
      <c r="F781" s="55"/>
      <c r="J781" s="55"/>
    </row>
    <row r="782">
      <c r="D782" s="55"/>
      <c r="E782" s="55"/>
      <c r="F782" s="55"/>
      <c r="J782" s="55"/>
    </row>
    <row r="783">
      <c r="D783" s="55"/>
      <c r="E783" s="55"/>
      <c r="F783" s="55"/>
      <c r="J783" s="55"/>
    </row>
    <row r="784">
      <c r="D784" s="55"/>
      <c r="E784" s="55"/>
      <c r="F784" s="55"/>
      <c r="J784" s="55"/>
    </row>
    <row r="785">
      <c r="D785" s="55"/>
      <c r="E785" s="55"/>
      <c r="F785" s="55"/>
      <c r="J785" s="55"/>
    </row>
    <row r="786">
      <c r="D786" s="55"/>
      <c r="E786" s="55"/>
      <c r="F786" s="55"/>
      <c r="J786" s="55"/>
    </row>
    <row r="787">
      <c r="D787" s="55"/>
      <c r="E787" s="55"/>
      <c r="F787" s="55"/>
      <c r="J787" s="55"/>
    </row>
    <row r="788">
      <c r="D788" s="55"/>
      <c r="E788" s="55"/>
      <c r="F788" s="55"/>
      <c r="J788" s="55"/>
    </row>
    <row r="789">
      <c r="D789" s="55"/>
      <c r="E789" s="55"/>
      <c r="F789" s="55"/>
      <c r="J789" s="55"/>
    </row>
    <row r="790">
      <c r="D790" s="55"/>
      <c r="E790" s="55"/>
      <c r="F790" s="55"/>
      <c r="J790" s="55"/>
    </row>
    <row r="791">
      <c r="D791" s="55"/>
      <c r="E791" s="55"/>
      <c r="F791" s="55"/>
      <c r="J791" s="55"/>
    </row>
    <row r="792">
      <c r="D792" s="55"/>
      <c r="E792" s="55"/>
      <c r="F792" s="55"/>
      <c r="J792" s="55"/>
    </row>
    <row r="793">
      <c r="D793" s="55"/>
      <c r="E793" s="55"/>
      <c r="F793" s="55"/>
      <c r="J793" s="55"/>
    </row>
    <row r="794">
      <c r="D794" s="55"/>
      <c r="E794" s="55"/>
      <c r="F794" s="55"/>
      <c r="J794" s="55"/>
    </row>
    <row r="795">
      <c r="D795" s="55"/>
      <c r="E795" s="55"/>
      <c r="F795" s="55"/>
      <c r="J795" s="55"/>
    </row>
    <row r="796">
      <c r="D796" s="55"/>
      <c r="E796" s="55"/>
      <c r="F796" s="55"/>
      <c r="J796" s="55"/>
    </row>
    <row r="797">
      <c r="D797" s="55"/>
      <c r="E797" s="55"/>
      <c r="F797" s="55"/>
      <c r="J797" s="55"/>
    </row>
    <row r="798">
      <c r="D798" s="55"/>
      <c r="E798" s="55"/>
      <c r="F798" s="55"/>
      <c r="J798" s="55"/>
    </row>
    <row r="799">
      <c r="D799" s="55"/>
      <c r="E799" s="55"/>
      <c r="F799" s="55"/>
      <c r="J799" s="55"/>
    </row>
    <row r="800">
      <c r="D800" s="55"/>
      <c r="E800" s="55"/>
      <c r="F800" s="55"/>
      <c r="J800" s="55"/>
    </row>
    <row r="801">
      <c r="D801" s="55"/>
      <c r="E801" s="55"/>
      <c r="F801" s="55"/>
      <c r="J801" s="55"/>
    </row>
    <row r="802">
      <c r="D802" s="55"/>
      <c r="E802" s="55"/>
      <c r="F802" s="55"/>
      <c r="J802" s="55"/>
    </row>
    <row r="803">
      <c r="D803" s="55"/>
      <c r="E803" s="55"/>
      <c r="F803" s="55"/>
      <c r="J803" s="55"/>
    </row>
    <row r="804">
      <c r="D804" s="55"/>
      <c r="E804" s="55"/>
      <c r="F804" s="55"/>
      <c r="J804" s="55"/>
    </row>
    <row r="805">
      <c r="D805" s="55"/>
      <c r="E805" s="55"/>
      <c r="F805" s="55"/>
      <c r="J805" s="55"/>
    </row>
    <row r="806">
      <c r="D806" s="55"/>
      <c r="E806" s="55"/>
      <c r="F806" s="55"/>
      <c r="J806" s="55"/>
    </row>
    <row r="807">
      <c r="D807" s="55"/>
      <c r="E807" s="55"/>
      <c r="F807" s="55"/>
      <c r="J807" s="55"/>
    </row>
    <row r="808">
      <c r="D808" s="55"/>
      <c r="E808" s="55"/>
      <c r="F808" s="55"/>
      <c r="J808" s="55"/>
    </row>
    <row r="809">
      <c r="D809" s="55"/>
      <c r="E809" s="55"/>
      <c r="F809" s="55"/>
      <c r="J809" s="55"/>
    </row>
    <row r="810">
      <c r="D810" s="55"/>
      <c r="E810" s="55"/>
      <c r="F810" s="55"/>
      <c r="J810" s="55"/>
    </row>
    <row r="811">
      <c r="D811" s="55"/>
      <c r="E811" s="55"/>
      <c r="F811" s="55"/>
      <c r="J811" s="55"/>
    </row>
    <row r="812">
      <c r="D812" s="55"/>
      <c r="E812" s="55"/>
      <c r="F812" s="55"/>
      <c r="J812" s="55"/>
    </row>
    <row r="813">
      <c r="D813" s="55"/>
      <c r="E813" s="55"/>
      <c r="F813" s="55"/>
      <c r="J813" s="55"/>
    </row>
    <row r="814">
      <c r="D814" s="55"/>
      <c r="E814" s="55"/>
      <c r="F814" s="55"/>
      <c r="J814" s="55"/>
    </row>
    <row r="815">
      <c r="D815" s="55"/>
      <c r="E815" s="55"/>
      <c r="F815" s="55"/>
      <c r="J815" s="55"/>
    </row>
    <row r="816">
      <c r="D816" s="55"/>
      <c r="E816" s="55"/>
      <c r="F816" s="55"/>
      <c r="J816" s="55"/>
    </row>
    <row r="817">
      <c r="D817" s="55"/>
      <c r="E817" s="55"/>
      <c r="F817" s="55"/>
      <c r="J817" s="55"/>
    </row>
    <row r="818">
      <c r="D818" s="55"/>
      <c r="E818" s="55"/>
      <c r="F818" s="55"/>
      <c r="J818" s="55"/>
    </row>
    <row r="819">
      <c r="D819" s="55"/>
      <c r="E819" s="55"/>
      <c r="F819" s="55"/>
      <c r="J819" s="55"/>
    </row>
    <row r="820">
      <c r="D820" s="55"/>
      <c r="E820" s="55"/>
      <c r="F820" s="55"/>
      <c r="J820" s="55"/>
    </row>
    <row r="821">
      <c r="D821" s="55"/>
      <c r="E821" s="55"/>
      <c r="F821" s="55"/>
      <c r="J821" s="55"/>
    </row>
    <row r="822">
      <c r="D822" s="55"/>
      <c r="E822" s="55"/>
      <c r="F822" s="55"/>
      <c r="J822" s="55"/>
    </row>
    <row r="823">
      <c r="D823" s="55"/>
      <c r="E823" s="55"/>
      <c r="F823" s="55"/>
      <c r="J823" s="55"/>
    </row>
    <row r="824">
      <c r="D824" s="55"/>
      <c r="E824" s="55"/>
      <c r="F824" s="55"/>
      <c r="J824" s="55"/>
    </row>
    <row r="825">
      <c r="D825" s="55"/>
      <c r="E825" s="55"/>
      <c r="F825" s="55"/>
      <c r="J825" s="55"/>
    </row>
    <row r="826">
      <c r="D826" s="55"/>
      <c r="E826" s="55"/>
      <c r="F826" s="55"/>
      <c r="J826" s="55"/>
    </row>
    <row r="827">
      <c r="D827" s="55"/>
      <c r="E827" s="55"/>
      <c r="F827" s="55"/>
      <c r="J827" s="55"/>
    </row>
    <row r="828">
      <c r="D828" s="55"/>
      <c r="E828" s="55"/>
      <c r="F828" s="55"/>
      <c r="J828" s="55"/>
    </row>
    <row r="829">
      <c r="D829" s="55"/>
      <c r="E829" s="55"/>
      <c r="F829" s="55"/>
      <c r="J829" s="55"/>
    </row>
    <row r="830">
      <c r="D830" s="55"/>
      <c r="E830" s="55"/>
      <c r="F830" s="55"/>
      <c r="J830" s="55"/>
    </row>
    <row r="831">
      <c r="D831" s="55"/>
      <c r="E831" s="55"/>
      <c r="F831" s="55"/>
      <c r="J831" s="55"/>
    </row>
    <row r="832">
      <c r="D832" s="55"/>
      <c r="E832" s="55"/>
      <c r="F832" s="55"/>
      <c r="J832" s="55"/>
    </row>
    <row r="833">
      <c r="D833" s="55"/>
      <c r="E833" s="55"/>
      <c r="F833" s="55"/>
      <c r="J833" s="55"/>
    </row>
    <row r="834">
      <c r="D834" s="55"/>
      <c r="E834" s="55"/>
      <c r="F834" s="55"/>
      <c r="J834" s="55"/>
    </row>
    <row r="835">
      <c r="D835" s="55"/>
      <c r="E835" s="55"/>
      <c r="F835" s="55"/>
      <c r="J835" s="55"/>
    </row>
    <row r="836">
      <c r="D836" s="55"/>
      <c r="E836" s="55"/>
      <c r="F836" s="55"/>
      <c r="J836" s="55"/>
    </row>
    <row r="837">
      <c r="D837" s="55"/>
      <c r="E837" s="55"/>
      <c r="F837" s="55"/>
      <c r="J837" s="55"/>
    </row>
    <row r="838">
      <c r="D838" s="55"/>
      <c r="E838" s="55"/>
      <c r="F838" s="55"/>
      <c r="J838" s="55"/>
    </row>
    <row r="839">
      <c r="D839" s="55"/>
      <c r="E839" s="55"/>
      <c r="F839" s="55"/>
      <c r="J839" s="55"/>
    </row>
    <row r="840">
      <c r="D840" s="55"/>
      <c r="E840" s="55"/>
      <c r="F840" s="55"/>
      <c r="J840" s="55"/>
    </row>
    <row r="841">
      <c r="D841" s="55"/>
      <c r="E841" s="55"/>
      <c r="F841" s="55"/>
      <c r="J841" s="55"/>
    </row>
    <row r="842">
      <c r="D842" s="55"/>
      <c r="E842" s="55"/>
      <c r="F842" s="55"/>
      <c r="J842" s="55"/>
    </row>
    <row r="843">
      <c r="D843" s="55"/>
      <c r="E843" s="55"/>
      <c r="F843" s="55"/>
      <c r="J843" s="55"/>
    </row>
    <row r="844">
      <c r="D844" s="55"/>
      <c r="E844" s="55"/>
      <c r="F844" s="55"/>
      <c r="J844" s="55"/>
    </row>
    <row r="845">
      <c r="D845" s="55"/>
      <c r="E845" s="55"/>
      <c r="F845" s="55"/>
      <c r="J845" s="55"/>
    </row>
    <row r="846">
      <c r="D846" s="55"/>
      <c r="E846" s="55"/>
      <c r="F846" s="55"/>
      <c r="J846" s="55"/>
    </row>
    <row r="847">
      <c r="D847" s="55"/>
      <c r="E847" s="55"/>
      <c r="F847" s="55"/>
      <c r="J847" s="55"/>
    </row>
    <row r="848">
      <c r="D848" s="55"/>
      <c r="E848" s="55"/>
      <c r="F848" s="55"/>
      <c r="J848" s="55"/>
    </row>
    <row r="849">
      <c r="D849" s="55"/>
      <c r="E849" s="55"/>
      <c r="F849" s="55"/>
      <c r="J849" s="55"/>
    </row>
    <row r="850">
      <c r="D850" s="55"/>
      <c r="E850" s="55"/>
      <c r="F850" s="55"/>
      <c r="J850" s="55"/>
    </row>
    <row r="851">
      <c r="D851" s="55"/>
      <c r="E851" s="55"/>
      <c r="F851" s="55"/>
      <c r="J851" s="55"/>
    </row>
    <row r="852">
      <c r="D852" s="55"/>
      <c r="E852" s="55"/>
      <c r="F852" s="55"/>
      <c r="J852" s="55"/>
    </row>
    <row r="853">
      <c r="D853" s="55"/>
      <c r="E853" s="55"/>
      <c r="F853" s="55"/>
      <c r="J853" s="55"/>
    </row>
    <row r="854">
      <c r="D854" s="55"/>
      <c r="E854" s="55"/>
      <c r="F854" s="55"/>
      <c r="J854" s="55"/>
    </row>
    <row r="855">
      <c r="D855" s="55"/>
      <c r="E855" s="55"/>
      <c r="F855" s="55"/>
      <c r="J855" s="55"/>
    </row>
    <row r="856">
      <c r="D856" s="55"/>
      <c r="E856" s="55"/>
      <c r="F856" s="55"/>
      <c r="J856" s="55"/>
    </row>
    <row r="857">
      <c r="D857" s="55"/>
      <c r="E857" s="55"/>
      <c r="F857" s="55"/>
      <c r="J857" s="55"/>
    </row>
    <row r="858">
      <c r="D858" s="55"/>
      <c r="E858" s="55"/>
      <c r="F858" s="55"/>
      <c r="J858" s="55"/>
    </row>
    <row r="859">
      <c r="D859" s="55"/>
      <c r="E859" s="55"/>
      <c r="F859" s="55"/>
      <c r="J859" s="55"/>
    </row>
    <row r="860">
      <c r="D860" s="55"/>
      <c r="E860" s="55"/>
      <c r="F860" s="55"/>
      <c r="J860" s="55"/>
    </row>
    <row r="861">
      <c r="D861" s="55"/>
      <c r="E861" s="55"/>
      <c r="F861" s="55"/>
      <c r="J861" s="55"/>
    </row>
    <row r="862">
      <c r="D862" s="55"/>
      <c r="E862" s="55"/>
      <c r="F862" s="55"/>
      <c r="J862" s="55"/>
    </row>
    <row r="863">
      <c r="D863" s="55"/>
      <c r="E863" s="55"/>
      <c r="F863" s="55"/>
      <c r="J863" s="55"/>
    </row>
    <row r="864">
      <c r="D864" s="55"/>
      <c r="E864" s="55"/>
      <c r="F864" s="55"/>
      <c r="J864" s="55"/>
    </row>
    <row r="865">
      <c r="D865" s="55"/>
      <c r="E865" s="55"/>
      <c r="F865" s="55"/>
      <c r="J865" s="55"/>
    </row>
    <row r="866">
      <c r="D866" s="55"/>
      <c r="E866" s="55"/>
      <c r="F866" s="55"/>
      <c r="J866" s="55"/>
    </row>
    <row r="867">
      <c r="D867" s="55"/>
      <c r="E867" s="55"/>
      <c r="F867" s="55"/>
      <c r="J867" s="55"/>
    </row>
    <row r="868">
      <c r="D868" s="55"/>
      <c r="E868" s="55"/>
      <c r="F868" s="55"/>
      <c r="J868" s="55"/>
    </row>
    <row r="869">
      <c r="D869" s="55"/>
      <c r="E869" s="55"/>
      <c r="F869" s="55"/>
      <c r="J869" s="55"/>
    </row>
    <row r="870">
      <c r="D870" s="55"/>
      <c r="E870" s="55"/>
      <c r="F870" s="55"/>
      <c r="J870" s="55"/>
    </row>
    <row r="871">
      <c r="D871" s="55"/>
      <c r="E871" s="55"/>
      <c r="F871" s="55"/>
      <c r="J871" s="55"/>
    </row>
    <row r="872">
      <c r="D872" s="55"/>
      <c r="E872" s="55"/>
      <c r="F872" s="55"/>
      <c r="J872" s="55"/>
    </row>
    <row r="873">
      <c r="D873" s="55"/>
      <c r="E873" s="55"/>
      <c r="F873" s="55"/>
      <c r="J873" s="55"/>
    </row>
    <row r="874">
      <c r="D874" s="55"/>
      <c r="E874" s="55"/>
      <c r="F874" s="55"/>
      <c r="J874" s="55"/>
    </row>
    <row r="875">
      <c r="D875" s="55"/>
      <c r="E875" s="55"/>
      <c r="F875" s="55"/>
      <c r="J875" s="55"/>
    </row>
    <row r="876">
      <c r="D876" s="55"/>
      <c r="E876" s="55"/>
      <c r="F876" s="55"/>
      <c r="J876" s="55"/>
    </row>
    <row r="877">
      <c r="D877" s="55"/>
      <c r="E877" s="55"/>
      <c r="F877" s="55"/>
      <c r="J877" s="55"/>
    </row>
    <row r="878">
      <c r="D878" s="55"/>
      <c r="E878" s="55"/>
      <c r="F878" s="55"/>
      <c r="J878" s="55"/>
    </row>
    <row r="879">
      <c r="D879" s="55"/>
      <c r="E879" s="55"/>
      <c r="F879" s="55"/>
      <c r="J879" s="55"/>
    </row>
    <row r="880">
      <c r="D880" s="55"/>
      <c r="E880" s="55"/>
      <c r="F880" s="55"/>
      <c r="J880" s="55"/>
    </row>
    <row r="881">
      <c r="D881" s="55"/>
      <c r="E881" s="55"/>
      <c r="F881" s="55"/>
      <c r="J881" s="55"/>
    </row>
    <row r="882">
      <c r="D882" s="55"/>
      <c r="E882" s="55"/>
      <c r="F882" s="55"/>
      <c r="J882" s="55"/>
    </row>
    <row r="883">
      <c r="D883" s="55"/>
      <c r="E883" s="55"/>
      <c r="F883" s="55"/>
      <c r="J883" s="55"/>
    </row>
    <row r="884">
      <c r="D884" s="55"/>
      <c r="E884" s="55"/>
      <c r="F884" s="55"/>
      <c r="J884" s="55"/>
    </row>
    <row r="885">
      <c r="D885" s="55"/>
      <c r="E885" s="55"/>
      <c r="F885" s="55"/>
      <c r="J885" s="55"/>
    </row>
    <row r="886">
      <c r="D886" s="55"/>
      <c r="E886" s="55"/>
      <c r="F886" s="55"/>
      <c r="J886" s="55"/>
    </row>
    <row r="887">
      <c r="D887" s="55"/>
      <c r="E887" s="55"/>
      <c r="F887" s="55"/>
      <c r="J887" s="55"/>
    </row>
    <row r="888">
      <c r="D888" s="55"/>
      <c r="E888" s="55"/>
      <c r="F888" s="55"/>
      <c r="J888" s="55"/>
    </row>
    <row r="889">
      <c r="D889" s="55"/>
      <c r="E889" s="55"/>
      <c r="F889" s="55"/>
      <c r="J889" s="55"/>
    </row>
    <row r="890">
      <c r="D890" s="55"/>
      <c r="E890" s="55"/>
      <c r="F890" s="55"/>
      <c r="J890" s="55"/>
    </row>
    <row r="891">
      <c r="D891" s="55"/>
      <c r="E891" s="55"/>
      <c r="F891" s="55"/>
      <c r="J891" s="55"/>
    </row>
    <row r="892">
      <c r="D892" s="55"/>
      <c r="E892" s="55"/>
      <c r="F892" s="55"/>
      <c r="J892" s="55"/>
    </row>
    <row r="893">
      <c r="D893" s="55"/>
      <c r="E893" s="55"/>
      <c r="F893" s="55"/>
      <c r="J893" s="55"/>
    </row>
    <row r="894">
      <c r="D894" s="55"/>
      <c r="E894" s="55"/>
      <c r="F894" s="55"/>
      <c r="J894" s="55"/>
    </row>
    <row r="895">
      <c r="D895" s="55"/>
      <c r="E895" s="55"/>
      <c r="F895" s="55"/>
      <c r="J895" s="55"/>
    </row>
    <row r="896">
      <c r="D896" s="55"/>
      <c r="E896" s="55"/>
      <c r="F896" s="55"/>
      <c r="J896" s="55"/>
    </row>
    <row r="897">
      <c r="D897" s="55"/>
      <c r="E897" s="55"/>
      <c r="F897" s="55"/>
      <c r="J897" s="55"/>
    </row>
    <row r="898">
      <c r="D898" s="55"/>
      <c r="E898" s="55"/>
      <c r="F898" s="55"/>
      <c r="J898" s="55"/>
    </row>
    <row r="899">
      <c r="D899" s="55"/>
      <c r="E899" s="55"/>
      <c r="F899" s="55"/>
      <c r="J899" s="55"/>
    </row>
    <row r="900">
      <c r="D900" s="55"/>
      <c r="E900" s="55"/>
      <c r="F900" s="55"/>
      <c r="J900" s="55"/>
    </row>
    <row r="901">
      <c r="D901" s="55"/>
      <c r="E901" s="55"/>
      <c r="F901" s="55"/>
      <c r="J901" s="55"/>
    </row>
    <row r="902">
      <c r="D902" s="55"/>
      <c r="E902" s="55"/>
      <c r="F902" s="55"/>
      <c r="J902" s="55"/>
    </row>
    <row r="903">
      <c r="D903" s="55"/>
      <c r="E903" s="55"/>
      <c r="F903" s="55"/>
      <c r="J903" s="55"/>
    </row>
    <row r="904">
      <c r="D904" s="55"/>
      <c r="E904" s="55"/>
      <c r="F904" s="55"/>
      <c r="J904" s="55"/>
    </row>
    <row r="905">
      <c r="D905" s="55"/>
      <c r="E905" s="55"/>
      <c r="F905" s="55"/>
      <c r="J905" s="55"/>
    </row>
    <row r="906">
      <c r="D906" s="55"/>
      <c r="E906" s="55"/>
      <c r="F906" s="55"/>
      <c r="J906" s="55"/>
    </row>
    <row r="907">
      <c r="D907" s="55"/>
      <c r="E907" s="55"/>
      <c r="F907" s="55"/>
      <c r="J907" s="55"/>
    </row>
    <row r="908">
      <c r="D908" s="55"/>
      <c r="E908" s="55"/>
      <c r="F908" s="55"/>
      <c r="J908" s="55"/>
    </row>
    <row r="909">
      <c r="D909" s="55"/>
      <c r="E909" s="55"/>
      <c r="F909" s="55"/>
      <c r="J909" s="55"/>
    </row>
    <row r="910">
      <c r="D910" s="55"/>
      <c r="E910" s="55"/>
      <c r="F910" s="55"/>
      <c r="J910" s="55"/>
    </row>
    <row r="911">
      <c r="D911" s="55"/>
      <c r="E911" s="55"/>
      <c r="F911" s="55"/>
      <c r="J911" s="55"/>
    </row>
    <row r="912">
      <c r="D912" s="55"/>
      <c r="E912" s="55"/>
      <c r="F912" s="55"/>
      <c r="J912" s="55"/>
    </row>
    <row r="913">
      <c r="D913" s="55"/>
      <c r="E913" s="55"/>
      <c r="F913" s="55"/>
      <c r="J913" s="55"/>
    </row>
    <row r="914">
      <c r="D914" s="55"/>
      <c r="E914" s="55"/>
      <c r="F914" s="55"/>
      <c r="J914" s="55"/>
    </row>
    <row r="915">
      <c r="D915" s="55"/>
      <c r="E915" s="55"/>
      <c r="F915" s="55"/>
      <c r="J915" s="55"/>
    </row>
    <row r="916">
      <c r="D916" s="55"/>
      <c r="E916" s="55"/>
      <c r="F916" s="55"/>
      <c r="J916" s="55"/>
    </row>
    <row r="917">
      <c r="D917" s="55"/>
      <c r="E917" s="55"/>
      <c r="F917" s="55"/>
      <c r="J917" s="55"/>
    </row>
    <row r="918">
      <c r="D918" s="55"/>
      <c r="E918" s="55"/>
      <c r="F918" s="55"/>
      <c r="J918" s="55"/>
    </row>
    <row r="919">
      <c r="D919" s="55"/>
      <c r="E919" s="55"/>
      <c r="F919" s="55"/>
      <c r="J919" s="55"/>
    </row>
    <row r="920">
      <c r="D920" s="55"/>
      <c r="E920" s="55"/>
      <c r="F920" s="55"/>
      <c r="J920" s="55"/>
    </row>
    <row r="921">
      <c r="D921" s="55"/>
      <c r="E921" s="55"/>
      <c r="F921" s="55"/>
      <c r="J921" s="55"/>
    </row>
    <row r="922">
      <c r="D922" s="55"/>
      <c r="E922" s="55"/>
      <c r="F922" s="55"/>
      <c r="J922" s="55"/>
    </row>
    <row r="923">
      <c r="D923" s="55"/>
      <c r="E923" s="55"/>
      <c r="F923" s="55"/>
      <c r="J923" s="55"/>
    </row>
    <row r="924">
      <c r="D924" s="55"/>
      <c r="E924" s="55"/>
      <c r="F924" s="55"/>
      <c r="J924" s="55"/>
    </row>
    <row r="925">
      <c r="D925" s="55"/>
      <c r="E925" s="55"/>
      <c r="F925" s="55"/>
      <c r="J925" s="55"/>
    </row>
    <row r="926">
      <c r="D926" s="55"/>
      <c r="E926" s="55"/>
      <c r="F926" s="55"/>
      <c r="J926" s="55"/>
    </row>
    <row r="927">
      <c r="D927" s="55"/>
      <c r="E927" s="55"/>
      <c r="F927" s="55"/>
      <c r="J927" s="55"/>
    </row>
    <row r="928">
      <c r="D928" s="55"/>
      <c r="E928" s="55"/>
      <c r="F928" s="55"/>
      <c r="J928" s="55"/>
    </row>
    <row r="929">
      <c r="D929" s="55"/>
      <c r="E929" s="55"/>
      <c r="F929" s="55"/>
      <c r="J929" s="55"/>
    </row>
    <row r="930">
      <c r="D930" s="55"/>
      <c r="E930" s="55"/>
      <c r="F930" s="55"/>
      <c r="J930" s="55"/>
    </row>
    <row r="931">
      <c r="D931" s="55"/>
      <c r="E931" s="55"/>
      <c r="F931" s="55"/>
      <c r="J931" s="55"/>
    </row>
    <row r="932">
      <c r="D932" s="55"/>
      <c r="E932" s="55"/>
      <c r="F932" s="55"/>
      <c r="J932" s="55"/>
    </row>
    <row r="933">
      <c r="D933" s="55"/>
      <c r="E933" s="55"/>
      <c r="F933" s="55"/>
      <c r="J933" s="55"/>
    </row>
    <row r="934">
      <c r="D934" s="55"/>
      <c r="E934" s="55"/>
      <c r="F934" s="55"/>
      <c r="J934" s="55"/>
    </row>
    <row r="935">
      <c r="D935" s="55"/>
      <c r="E935" s="55"/>
      <c r="F935" s="55"/>
      <c r="J935" s="55"/>
    </row>
    <row r="936">
      <c r="D936" s="55"/>
      <c r="E936" s="55"/>
      <c r="F936" s="55"/>
      <c r="J936" s="55"/>
    </row>
    <row r="937">
      <c r="D937" s="55"/>
      <c r="E937" s="55"/>
      <c r="F937" s="55"/>
      <c r="J937" s="55"/>
    </row>
    <row r="938">
      <c r="D938" s="55"/>
      <c r="E938" s="55"/>
      <c r="F938" s="55"/>
      <c r="J938" s="55"/>
    </row>
    <row r="939">
      <c r="D939" s="55"/>
      <c r="E939" s="55"/>
      <c r="F939" s="55"/>
      <c r="J939" s="55"/>
    </row>
    <row r="940">
      <c r="D940" s="55"/>
      <c r="E940" s="55"/>
      <c r="F940" s="55"/>
      <c r="J940" s="55"/>
    </row>
    <row r="941">
      <c r="D941" s="55"/>
      <c r="E941" s="55"/>
      <c r="F941" s="55"/>
      <c r="J941" s="55"/>
    </row>
    <row r="942">
      <c r="D942" s="55"/>
      <c r="E942" s="55"/>
      <c r="F942" s="55"/>
      <c r="J942" s="55"/>
    </row>
    <row r="943">
      <c r="D943" s="55"/>
      <c r="E943" s="55"/>
      <c r="F943" s="55"/>
      <c r="J943" s="55"/>
    </row>
    <row r="944">
      <c r="D944" s="55"/>
      <c r="E944" s="55"/>
      <c r="F944" s="55"/>
      <c r="J944" s="55"/>
    </row>
    <row r="945">
      <c r="D945" s="55"/>
      <c r="E945" s="55"/>
      <c r="F945" s="55"/>
      <c r="J945" s="55"/>
    </row>
    <row r="946">
      <c r="D946" s="55"/>
      <c r="E946" s="55"/>
      <c r="F946" s="55"/>
      <c r="J946" s="55"/>
    </row>
    <row r="947">
      <c r="D947" s="55"/>
      <c r="E947" s="55"/>
      <c r="F947" s="55"/>
      <c r="J947" s="55"/>
    </row>
    <row r="948">
      <c r="D948" s="55"/>
      <c r="E948" s="55"/>
      <c r="F948" s="55"/>
      <c r="J948" s="55"/>
    </row>
    <row r="949">
      <c r="D949" s="55"/>
      <c r="E949" s="55"/>
      <c r="F949" s="55"/>
      <c r="J949" s="55"/>
    </row>
    <row r="950">
      <c r="D950" s="55"/>
      <c r="E950" s="55"/>
      <c r="F950" s="55"/>
      <c r="J950" s="55"/>
    </row>
    <row r="951">
      <c r="D951" s="55"/>
      <c r="E951" s="55"/>
      <c r="F951" s="55"/>
      <c r="J951" s="55"/>
    </row>
    <row r="952">
      <c r="D952" s="55"/>
      <c r="E952" s="55"/>
      <c r="F952" s="55"/>
      <c r="J952" s="55"/>
    </row>
    <row r="953">
      <c r="D953" s="55"/>
      <c r="E953" s="55"/>
      <c r="F953" s="55"/>
      <c r="J953" s="55"/>
    </row>
    <row r="954">
      <c r="D954" s="55"/>
      <c r="E954" s="55"/>
      <c r="F954" s="55"/>
      <c r="J954" s="55"/>
    </row>
    <row r="955">
      <c r="D955" s="55"/>
      <c r="E955" s="55"/>
      <c r="F955" s="55"/>
      <c r="J955" s="55"/>
    </row>
    <row r="956">
      <c r="D956" s="55"/>
      <c r="E956" s="55"/>
      <c r="F956" s="55"/>
      <c r="J956" s="55"/>
    </row>
    <row r="957">
      <c r="D957" s="55"/>
      <c r="E957" s="55"/>
      <c r="F957" s="55"/>
      <c r="J957" s="55"/>
    </row>
    <row r="958">
      <c r="D958" s="55"/>
      <c r="E958" s="55"/>
      <c r="F958" s="55"/>
      <c r="J958" s="55"/>
    </row>
    <row r="959">
      <c r="D959" s="55"/>
      <c r="E959" s="55"/>
      <c r="F959" s="55"/>
      <c r="J959" s="55"/>
    </row>
    <row r="960">
      <c r="D960" s="55"/>
      <c r="E960" s="55"/>
      <c r="F960" s="55"/>
      <c r="J960" s="55"/>
    </row>
    <row r="961">
      <c r="D961" s="55"/>
      <c r="E961" s="55"/>
      <c r="F961" s="55"/>
      <c r="J961" s="55"/>
    </row>
    <row r="962">
      <c r="D962" s="55"/>
      <c r="E962" s="55"/>
      <c r="F962" s="55"/>
      <c r="J962" s="55"/>
    </row>
    <row r="963">
      <c r="D963" s="55"/>
      <c r="E963" s="55"/>
      <c r="F963" s="55"/>
      <c r="J963" s="55"/>
    </row>
    <row r="964">
      <c r="D964" s="55"/>
      <c r="E964" s="55"/>
      <c r="F964" s="55"/>
      <c r="J964" s="55"/>
    </row>
    <row r="965">
      <c r="D965" s="55"/>
      <c r="E965" s="55"/>
      <c r="F965" s="55"/>
      <c r="J965" s="55"/>
    </row>
    <row r="966">
      <c r="D966" s="55"/>
      <c r="E966" s="55"/>
      <c r="F966" s="55"/>
      <c r="J966" s="55"/>
    </row>
    <row r="967">
      <c r="D967" s="55"/>
      <c r="E967" s="55"/>
      <c r="F967" s="55"/>
      <c r="J967" s="55"/>
    </row>
    <row r="968">
      <c r="D968" s="55"/>
      <c r="E968" s="55"/>
      <c r="F968" s="55"/>
      <c r="J968" s="55"/>
    </row>
    <row r="969">
      <c r="D969" s="55"/>
      <c r="E969" s="55"/>
      <c r="F969" s="55"/>
      <c r="J969" s="55"/>
    </row>
    <row r="970">
      <c r="D970" s="55"/>
      <c r="E970" s="55"/>
      <c r="F970" s="55"/>
      <c r="J970" s="55"/>
    </row>
    <row r="971">
      <c r="D971" s="55"/>
      <c r="E971" s="55"/>
      <c r="F971" s="55"/>
      <c r="J971" s="55"/>
    </row>
    <row r="972">
      <c r="D972" s="55"/>
      <c r="E972" s="55"/>
      <c r="F972" s="55"/>
      <c r="J972" s="55"/>
    </row>
    <row r="973">
      <c r="D973" s="55"/>
      <c r="E973" s="55"/>
      <c r="F973" s="55"/>
      <c r="J973" s="55"/>
    </row>
    <row r="974">
      <c r="D974" s="55"/>
      <c r="E974" s="55"/>
      <c r="F974" s="55"/>
      <c r="J974" s="55"/>
    </row>
    <row r="975">
      <c r="D975" s="55"/>
      <c r="E975" s="55"/>
      <c r="F975" s="55"/>
      <c r="J975" s="55"/>
    </row>
    <row r="976">
      <c r="D976" s="55"/>
      <c r="E976" s="55"/>
      <c r="F976" s="55"/>
      <c r="J976" s="55"/>
    </row>
    <row r="977">
      <c r="D977" s="55"/>
      <c r="E977" s="55"/>
      <c r="F977" s="55"/>
      <c r="J977" s="55"/>
    </row>
    <row r="978">
      <c r="D978" s="55"/>
      <c r="E978" s="55"/>
      <c r="F978" s="55"/>
      <c r="J978" s="55"/>
    </row>
    <row r="979">
      <c r="D979" s="55"/>
      <c r="E979" s="55"/>
      <c r="F979" s="55"/>
      <c r="J979" s="55"/>
    </row>
    <row r="980">
      <c r="D980" s="55"/>
      <c r="E980" s="55"/>
      <c r="F980" s="55"/>
      <c r="J980" s="55"/>
    </row>
    <row r="981">
      <c r="D981" s="55"/>
      <c r="E981" s="55"/>
      <c r="F981" s="55"/>
      <c r="J981" s="55"/>
    </row>
    <row r="982">
      <c r="D982" s="55"/>
      <c r="E982" s="55"/>
      <c r="F982" s="55"/>
      <c r="J982" s="55"/>
    </row>
    <row r="983">
      <c r="D983" s="55"/>
      <c r="E983" s="55"/>
      <c r="F983" s="55"/>
      <c r="J983" s="55"/>
    </row>
    <row r="984">
      <c r="D984" s="55"/>
      <c r="E984" s="55"/>
      <c r="F984" s="55"/>
      <c r="J984" s="55"/>
    </row>
    <row r="985">
      <c r="D985" s="55"/>
      <c r="E985" s="55"/>
      <c r="F985" s="55"/>
      <c r="J985" s="55"/>
    </row>
    <row r="986">
      <c r="D986" s="55"/>
      <c r="E986" s="55"/>
      <c r="F986" s="55"/>
      <c r="J986" s="55"/>
    </row>
    <row r="987">
      <c r="D987" s="55"/>
      <c r="E987" s="55"/>
      <c r="F987" s="55"/>
      <c r="J987" s="55"/>
    </row>
    <row r="988">
      <c r="D988" s="55"/>
      <c r="E988" s="55"/>
      <c r="F988" s="55"/>
      <c r="J988" s="55"/>
    </row>
    <row r="989">
      <c r="D989" s="55"/>
      <c r="E989" s="55"/>
      <c r="F989" s="55"/>
      <c r="J989" s="55"/>
    </row>
    <row r="990">
      <c r="D990" s="55"/>
      <c r="E990" s="55"/>
      <c r="F990" s="55"/>
      <c r="J990" s="55"/>
    </row>
    <row r="991">
      <c r="D991" s="55"/>
      <c r="E991" s="55"/>
      <c r="F991" s="55"/>
      <c r="J991" s="55"/>
    </row>
    <row r="992">
      <c r="D992" s="55"/>
      <c r="E992" s="55"/>
      <c r="F992" s="55"/>
      <c r="J992" s="55"/>
    </row>
    <row r="993">
      <c r="D993" s="55"/>
      <c r="E993" s="55"/>
      <c r="F993" s="55"/>
      <c r="J993" s="55"/>
    </row>
    <row r="994">
      <c r="D994" s="55"/>
      <c r="E994" s="55"/>
      <c r="F994" s="55"/>
      <c r="J994" s="55"/>
    </row>
    <row r="995">
      <c r="D995" s="55"/>
      <c r="E995" s="55"/>
      <c r="F995" s="55"/>
      <c r="J995" s="55"/>
    </row>
    <row r="996">
      <c r="D996" s="55"/>
      <c r="E996" s="55"/>
      <c r="F996" s="55"/>
      <c r="J996" s="55"/>
    </row>
    <row r="997">
      <c r="D997" s="55"/>
      <c r="E997" s="55"/>
      <c r="F997" s="55"/>
      <c r="J997" s="55"/>
    </row>
    <row r="998">
      <c r="D998" s="55"/>
      <c r="E998" s="55"/>
      <c r="F998" s="55"/>
      <c r="J998" s="55"/>
    </row>
    <row r="999">
      <c r="D999" s="55"/>
      <c r="E999" s="55"/>
      <c r="F999" s="55"/>
      <c r="J999" s="55"/>
    </row>
    <row r="1000">
      <c r="D1000" s="55"/>
      <c r="E1000" s="55"/>
      <c r="F1000" s="55"/>
      <c r="J1000" s="55"/>
    </row>
  </sheetData>
  <mergeCells count="2">
    <mergeCell ref="A1:G1"/>
    <mergeCell ref="H1:K1"/>
  </mergeCells>
  <conditionalFormatting sqref="A1:A1000">
    <cfRule type="containsText" dxfId="0" priority="1" operator="containsText" text="Unassigned">
      <formula>NOT(ISERROR(SEARCH(("Unassigned"),(A1))))</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14"/>
    <col customWidth="1" min="2" max="2" width="15.29"/>
    <col customWidth="1" min="3" max="3" width="17.71"/>
    <col customWidth="1" min="4" max="4" width="18.0"/>
    <col customWidth="1" min="5" max="5" width="19.57"/>
    <col customWidth="1" min="6" max="6" width="28.71"/>
    <col customWidth="1" min="7" max="7" width="15.43"/>
    <col customWidth="1" min="8" max="8" width="22.0"/>
    <col customWidth="1" min="9" max="9" width="32.43"/>
    <col customWidth="1" min="10" max="10" width="30.86"/>
    <col customWidth="1" min="11" max="11" width="34.86"/>
    <col customWidth="1" min="12" max="12" width="28.86"/>
  </cols>
  <sheetData>
    <row r="1">
      <c r="A1" s="8" t="s">
        <v>7</v>
      </c>
      <c r="B1" s="9"/>
      <c r="C1" s="9"/>
      <c r="D1" s="9"/>
      <c r="E1" s="9"/>
      <c r="F1" s="9"/>
      <c r="G1" s="22"/>
      <c r="H1" s="106" t="s">
        <v>38</v>
      </c>
    </row>
    <row r="2">
      <c r="A2" s="107" t="s">
        <v>0</v>
      </c>
      <c r="B2" s="108" t="s">
        <v>72</v>
      </c>
      <c r="C2" s="108" t="s">
        <v>73</v>
      </c>
      <c r="D2" s="109" t="s">
        <v>74</v>
      </c>
      <c r="E2" s="109" t="s">
        <v>333</v>
      </c>
      <c r="F2" s="109" t="s">
        <v>334</v>
      </c>
      <c r="G2" s="108" t="s">
        <v>327</v>
      </c>
      <c r="H2" s="110" t="s">
        <v>335</v>
      </c>
      <c r="I2" s="111" t="s">
        <v>336</v>
      </c>
      <c r="J2" s="111" t="s">
        <v>337</v>
      </c>
      <c r="K2" s="112" t="s">
        <v>338</v>
      </c>
      <c r="L2" s="116" t="s">
        <v>347</v>
      </c>
    </row>
    <row r="3">
      <c r="A3" t="str">
        <f>IFERROR(__xludf.DUMMYFUNCTION("filter(Assignments!B3:B1000,Assignments!P3:P1000=""Gene-Disease Validity"",Assignments!O3:O1000=""Comprehensive"")"),"Contacted")</f>
        <v>Contacted</v>
      </c>
      <c r="B3" t="str">
        <f>IFERROR(__xludf.DUMMYFUNCTION("filter(Assignments!C3:C1000,Assignments!P3:P1000=""Gene-Disease Validity"",Assignments!O3:O1000=""Comprehensive"")"),"")</f>
        <v/>
      </c>
      <c r="C3" s="117">
        <f>IFERROR(__xludf.DUMMYFUNCTION("filter(Assignments!D3:D1000,Assignments!P3:P1000=""Gene-Disease Validity"",Assignments!O3:O1000=""Comprehensive"")"),43570.0)</f>
        <v>43570</v>
      </c>
      <c r="D3" s="68" t="str">
        <f>IFERROR(__xludf.DUMMYFUNCTION("filter(Assignments!E3:E1000,Assignments!P3:P1000=""Gene-Disease Validity"",Assignments!O3:O1000=""Comprehensive"")"),"Yes")</f>
        <v>Yes</v>
      </c>
      <c r="E3" s="68" t="str">
        <f>IFERROR(__xludf.DUMMYFUNCTION("filter(Assignments!F3:F1000,Assignments!P3:P1000=""Gene-Disease Validity"",Assignments!O3:O1000=""Comprehensive"")"),"Yes")</f>
        <v>Yes</v>
      </c>
      <c r="F3" s="55" t="str">
        <f>IFERROR(__xludf.DUMMYFUNCTION("filter(Assignments!G3:G1000,Assignments!P3:P1000=""Gene-Disease Validity"",Assignments!O3:O1000=""Comprehensive"")"),"Gene Disease Validity")</f>
        <v>Gene Disease Validity</v>
      </c>
      <c r="G3" t="str">
        <f>IFERROR(__xludf.DUMMYFUNCTION("filter(Assignments!H3:H1000,Assignments!P3:P1000=""Gene-Disease Validity"",Assignments!O3:O1000=""Comprehensive"")"),"Epilepsy")</f>
        <v>Epilepsy</v>
      </c>
      <c r="H3" t="str">
        <f>IFERROR(__xludf.DUMMYFUNCTION("filter(Assignments!L3:L1000,Assignments!P3:P1000=""Gene-Disease Validity"",Assignments!O3:O1000=""Comprehensive"")"),"Xiaodong Wang")</f>
        <v>Xiaodong Wang</v>
      </c>
      <c r="I3" t="str">
        <f>IFERROR(__xludf.DUMMYFUNCTION("filter(Assignments!M3:M1000,Assignments!P3:P1000=""Gene-Disease Validity"",Assignments!O3:O1000=""Comprehensive"")"),"xdwang@ciphergene.com")</f>
        <v>xdwang@ciphergene.com</v>
      </c>
      <c r="J3" s="55" t="str">
        <f>IFERROR(__xludf.DUMMYFUNCTION("filter(Assignments!O3:O1000,Assignments!P3:P1000=""Gene-Disease Validity"",Assignments!O3:O1000=""Comprehensive"")"),"Comprehensive")</f>
        <v>Comprehensive</v>
      </c>
      <c r="K3" t="str">
        <f>IFERROR(__xludf.DUMMYFUNCTION("filter(Assignments!W3:W1000,Assignments!P3:P1000=""Gene-Disease Validity"",Assignments!O3:O1000=""Comprehensive"")"),"Epilepsy group")</f>
        <v>Epilepsy group</v>
      </c>
    </row>
    <row r="4">
      <c r="A4" t="str">
        <f>IFERROR(__xludf.DUMMYFUNCTION("""COMPUTED_VALUE"""),"Declined")</f>
        <v>Declined</v>
      </c>
      <c r="B4" s="115">
        <f>IFERROR(__xludf.DUMMYFUNCTION("""COMPUTED_VALUE"""),43437.0)</f>
        <v>43437</v>
      </c>
      <c r="C4" s="115">
        <f>IFERROR(__xludf.DUMMYFUNCTION("""COMPUTED_VALUE"""),43446.0)</f>
        <v>43446</v>
      </c>
      <c r="D4" s="55" t="str">
        <f>IFERROR(__xludf.DUMMYFUNCTION("""COMPUTED_VALUE"""),"Yes")</f>
        <v>Yes</v>
      </c>
      <c r="E4" s="55" t="str">
        <f>IFERROR(__xludf.DUMMYFUNCTION("""COMPUTED_VALUE"""),"Yes")</f>
        <v>Yes</v>
      </c>
      <c r="F4" s="55" t="str">
        <f>IFERROR(__xludf.DUMMYFUNCTION("""COMPUTED_VALUE"""),"Gene Disease Validity")</f>
        <v>Gene Disease Validity</v>
      </c>
      <c r="G4" t="str">
        <f>IFERROR(__xludf.DUMMYFUNCTION("""COMPUTED_VALUE"""),"ID Autism")</f>
        <v>ID Autism</v>
      </c>
      <c r="H4" t="str">
        <f>IFERROR(__xludf.DUMMYFUNCTION("""COMPUTED_VALUE"""),"Jennifer Howe")</f>
        <v>Jennifer Howe</v>
      </c>
      <c r="I4" t="str">
        <f>IFERROR(__xludf.DUMMYFUNCTION("""COMPUTED_VALUE"""),"jhowe@sickkids.ca")</f>
        <v>jhowe@sickkids.ca</v>
      </c>
      <c r="J4" s="55" t="str">
        <f>IFERROR(__xludf.DUMMYFUNCTION("""COMPUTED_VALUE"""),"Comprehensive")</f>
        <v>Comprehensive</v>
      </c>
      <c r="K4" t="str">
        <f>IFERROR(__xludf.DUMMYFUNCTION("""COMPUTED_VALUE"""),"Autism and Intellectual Disability")</f>
        <v>Autism and Intellectual Disability</v>
      </c>
    </row>
    <row r="5">
      <c r="A5" t="str">
        <f>IFERROR(__xludf.DUMMYFUNCTION("""COMPUTED_VALUE"""),"Declined")</f>
        <v>Declined</v>
      </c>
      <c r="B5" s="115">
        <f>IFERROR(__xludf.DUMMYFUNCTION("""COMPUTED_VALUE"""),43411.0)</f>
        <v>43411</v>
      </c>
      <c r="C5" s="115">
        <f>IFERROR(__xludf.DUMMYFUNCTION("""COMPUTED_VALUE"""),43446.0)</f>
        <v>43446</v>
      </c>
      <c r="D5" s="55" t="str">
        <f>IFERROR(__xludf.DUMMYFUNCTION("""COMPUTED_VALUE"""),"Yes")</f>
        <v>Yes</v>
      </c>
      <c r="E5" s="55" t="str">
        <f>IFERROR(__xludf.DUMMYFUNCTION("""COMPUTED_VALUE"""),"Yes")</f>
        <v>Yes</v>
      </c>
      <c r="F5" s="55" t="str">
        <f>IFERROR(__xludf.DUMMYFUNCTION("""COMPUTED_VALUE"""),"Gene Disease Validity")</f>
        <v>Gene Disease Validity</v>
      </c>
      <c r="G5" t="str">
        <f>IFERROR(__xludf.DUMMYFUNCTION("""COMPUTED_VALUE"""),"Hereditary Cancer")</f>
        <v>Hereditary Cancer</v>
      </c>
      <c r="H5" t="str">
        <f>IFERROR(__xludf.DUMMYFUNCTION("""COMPUTED_VALUE"""),"Kalpana Panneerselvam")</f>
        <v>Kalpana Panneerselvam</v>
      </c>
      <c r="I5" t="str">
        <f>IFERROR(__xludf.DUMMYFUNCTION("""COMPUTED_VALUE"""),"kalpanarpanneerselvam@gmail.com")</f>
        <v>kalpanarpanneerselvam@gmail.com</v>
      </c>
      <c r="J5" s="55" t="str">
        <f>IFERROR(__xludf.DUMMYFUNCTION("""COMPUTED_VALUE"""),"Comprehensive")</f>
        <v>Comprehensive</v>
      </c>
      <c r="K5" t="str">
        <f>IFERROR(__xludf.DUMMYFUNCTION("""COMPUTED_VALUE"""),"Mitochondrial diseases ")</f>
        <v>Mitochondrial diseases </v>
      </c>
    </row>
    <row r="6">
      <c r="A6" t="str">
        <f>IFERROR(__xludf.DUMMYFUNCTION("""COMPUTED_VALUE"""),"Contacted")</f>
        <v>Contacted</v>
      </c>
      <c r="B6" t="str">
        <f>IFERROR(__xludf.DUMMYFUNCTION("""COMPUTED_VALUE"""),"")</f>
        <v/>
      </c>
      <c r="C6" s="113">
        <f>IFERROR(__xludf.DUMMYFUNCTION("""COMPUTED_VALUE"""),43570.0)</f>
        <v>43570</v>
      </c>
      <c r="D6" s="55" t="str">
        <f>IFERROR(__xludf.DUMMYFUNCTION("""COMPUTED_VALUE"""),"Yes")</f>
        <v>Yes</v>
      </c>
      <c r="E6" s="55" t="str">
        <f>IFERROR(__xludf.DUMMYFUNCTION("""COMPUTED_VALUE"""),"Yes")</f>
        <v>Yes</v>
      </c>
      <c r="F6" s="55" t="str">
        <f>IFERROR(__xludf.DUMMYFUNCTION("""COMPUTED_VALUE"""),"Gene Disease Validity")</f>
        <v>Gene Disease Validity</v>
      </c>
      <c r="G6" t="str">
        <f>IFERROR(__xludf.DUMMYFUNCTION("""COMPUTED_VALUE"""),"Dilated Cardiomyopathy")</f>
        <v>Dilated Cardiomyopathy</v>
      </c>
      <c r="H6" t="str">
        <f>IFERROR(__xludf.DUMMYFUNCTION("""COMPUTED_VALUE"""),"Tomohiko Ai")</f>
        <v>Tomohiko Ai</v>
      </c>
      <c r="I6" t="str">
        <f>IFERROR(__xludf.DUMMYFUNCTION("""COMPUTED_VALUE"""),"Tomohiko.Ai@osumc.edu")</f>
        <v>Tomohiko.Ai@osumc.edu</v>
      </c>
      <c r="J6" s="55" t="str">
        <f>IFERROR(__xludf.DUMMYFUNCTION("""COMPUTED_VALUE"""),"Comprehensive")</f>
        <v>Comprehensive</v>
      </c>
      <c r="K6" t="str">
        <f>IFERROR(__xludf.DUMMYFUNCTION("""COMPUTED_VALUE"""),"Cardiovascular")</f>
        <v>Cardiovascular</v>
      </c>
    </row>
    <row r="7">
      <c r="A7" t="str">
        <f>IFERROR(__xludf.DUMMYFUNCTION("""COMPUTED_VALUE"""),"Declined")</f>
        <v>Declined</v>
      </c>
      <c r="B7" t="str">
        <f>IFERROR(__xludf.DUMMYFUNCTION("""COMPUTED_VALUE"""),"")</f>
        <v/>
      </c>
      <c r="C7" s="115">
        <f>IFERROR(__xludf.DUMMYFUNCTION("""COMPUTED_VALUE"""),43585.0)</f>
        <v>43585</v>
      </c>
      <c r="D7" s="55" t="str">
        <f>IFERROR(__xludf.DUMMYFUNCTION("""COMPUTED_VALUE"""),"Yes")</f>
        <v>Yes</v>
      </c>
      <c r="E7" s="55" t="str">
        <f>IFERROR(__xludf.DUMMYFUNCTION("""COMPUTED_VALUE"""),"Yes")</f>
        <v>Yes</v>
      </c>
      <c r="F7" s="55" t="str">
        <f>IFERROR(__xludf.DUMMYFUNCTION("""COMPUTED_VALUE"""),"Gene Disease Validity")</f>
        <v>Gene Disease Validity</v>
      </c>
      <c r="G7" t="str">
        <f>IFERROR(__xludf.DUMMYFUNCTION("""COMPUTED_VALUE"""),"ID/Autism")</f>
        <v>ID/Autism</v>
      </c>
      <c r="H7" t="str">
        <f>IFERROR(__xludf.DUMMYFUNCTION("""COMPUTED_VALUE"""),"Caitlin Hale")</f>
        <v>Caitlin Hale</v>
      </c>
      <c r="I7" t="str">
        <f>IFERROR(__xludf.DUMMYFUNCTION("""COMPUTED_VALUE"""),"CHale@stanfordchildrens.org")</f>
        <v>CHale@stanfordchildrens.org</v>
      </c>
      <c r="J7" s="55" t="str">
        <f>IFERROR(__xludf.DUMMYFUNCTION("""COMPUTED_VALUE"""),"Comprehensive")</f>
        <v>Comprehensive</v>
      </c>
      <c r="K7" t="str">
        <f>IFERROR(__xludf.DUMMYFUNCTION("""COMPUTED_VALUE"""),"I would be most interested in areas related to pediatric medical genetics (autism, ID, neurodevelopmental disorders), but I am open to  any group that is accepting volunteers.")</f>
        <v>I would be most interested in areas related to pediatric medical genetics (autism, ID, neurodevelopmental disorders), but I am open to  any group that is accepting volunteers.</v>
      </c>
    </row>
    <row r="8">
      <c r="A8" t="str">
        <f>IFERROR(__xludf.DUMMYFUNCTION("""COMPUTED_VALUE"""),"Contacted")</f>
        <v>Contacted</v>
      </c>
      <c r="B8" t="str">
        <f>IFERROR(__xludf.DUMMYFUNCTION("""COMPUTED_VALUE"""),"")</f>
        <v/>
      </c>
      <c r="C8" s="113">
        <f>IFERROR(__xludf.DUMMYFUNCTION("""COMPUTED_VALUE"""),43585.0)</f>
        <v>43585</v>
      </c>
      <c r="D8" s="55" t="str">
        <f>IFERROR(__xludf.DUMMYFUNCTION("""COMPUTED_VALUE"""),"Yes")</f>
        <v>Yes</v>
      </c>
      <c r="E8" s="55" t="str">
        <f>IFERROR(__xludf.DUMMYFUNCTION("""COMPUTED_VALUE"""),"Yes")</f>
        <v>Yes</v>
      </c>
      <c r="F8" s="55" t="str">
        <f>IFERROR(__xludf.DUMMYFUNCTION("""COMPUTED_VALUE"""),"Gene Disease Validity")</f>
        <v>Gene Disease Validity</v>
      </c>
      <c r="G8" t="str">
        <f>IFERROR(__xludf.DUMMYFUNCTION("""COMPUTED_VALUE"""),"Hemo/Thrombo")</f>
        <v>Hemo/Thrombo</v>
      </c>
      <c r="H8" t="str">
        <f>IFERROR(__xludf.DUMMYFUNCTION("""COMPUTED_VALUE"""),"Ana León")</f>
        <v>Ana León</v>
      </c>
      <c r="I8" t="str">
        <f>IFERROR(__xludf.DUMMYFUNCTION("""COMPUTED_VALUE"""),"aleon@pros.upv.es")</f>
        <v>aleon@pros.upv.es</v>
      </c>
      <c r="J8" s="55" t="str">
        <f>IFERROR(__xludf.DUMMYFUNCTION("""COMPUTED_VALUE"""),"Comprehensive")</f>
        <v>Comprehensive</v>
      </c>
      <c r="K8" t="str">
        <f>IFERROR(__xludf.DUMMYFUNCTION("""COMPUTED_VALUE"""),"")</f>
        <v/>
      </c>
    </row>
    <row r="9">
      <c r="A9" t="str">
        <f>IFERROR(__xludf.DUMMYFUNCTION("""COMPUTED_VALUE"""),"Assigned")</f>
        <v>Assigned</v>
      </c>
      <c r="B9" s="115">
        <f>IFERROR(__xludf.DUMMYFUNCTION("""COMPUTED_VALUE"""),43437.0)</f>
        <v>43437</v>
      </c>
      <c r="C9" s="115">
        <f>IFERROR(__xludf.DUMMYFUNCTION("""COMPUTED_VALUE"""),43446.0)</f>
        <v>43446</v>
      </c>
      <c r="D9" s="55" t="str">
        <f>IFERROR(__xludf.DUMMYFUNCTION("""COMPUTED_VALUE"""),"Yes")</f>
        <v>Yes</v>
      </c>
      <c r="E9" s="55" t="str">
        <f>IFERROR(__xludf.DUMMYFUNCTION("""COMPUTED_VALUE"""),"Yes")</f>
        <v>Yes</v>
      </c>
      <c r="F9" s="55" t="str">
        <f>IFERROR(__xludf.DUMMYFUNCTION("""COMPUTED_VALUE"""),"Gene Disease Validity")</f>
        <v>Gene Disease Validity</v>
      </c>
      <c r="G9" t="str">
        <f>IFERROR(__xludf.DUMMYFUNCTION("""COMPUTED_VALUE"""),"ID Autism")</f>
        <v>ID Autism</v>
      </c>
      <c r="H9" t="str">
        <f>IFERROR(__xludf.DUMMYFUNCTION("""COMPUTED_VALUE"""),"Catalina Betancur")</f>
        <v>Catalina Betancur</v>
      </c>
      <c r="I9" t="str">
        <f>IFERROR(__xludf.DUMMYFUNCTION("""COMPUTED_VALUE"""),"Catalina.Betancur@inserm.fr")</f>
        <v>Catalina.Betancur@inserm.fr</v>
      </c>
      <c r="J9" s="55" t="str">
        <f>IFERROR(__xludf.DUMMYFUNCTION("""COMPUTED_VALUE"""),"Comprehensive")</f>
        <v>Comprehensive</v>
      </c>
      <c r="K9" t="str">
        <f>IFERROR(__xludf.DUMMYFUNCTION("""COMPUTED_VALUE"""),"ID Autism")</f>
        <v>ID Autism</v>
      </c>
    </row>
    <row r="10">
      <c r="A10" t="str">
        <f>IFERROR(__xludf.DUMMYFUNCTION("""COMPUTED_VALUE"""),"Assigned")</f>
        <v>Assigned</v>
      </c>
      <c r="B10" s="115">
        <f>IFERROR(__xludf.DUMMYFUNCTION("""COMPUTED_VALUE"""),43446.0)</f>
        <v>43446</v>
      </c>
      <c r="C10" s="115">
        <f>IFERROR(__xludf.DUMMYFUNCTION("""COMPUTED_VALUE"""),43446.0)</f>
        <v>43446</v>
      </c>
      <c r="D10" s="55" t="str">
        <f>IFERROR(__xludf.DUMMYFUNCTION("""COMPUTED_VALUE"""),"Yes")</f>
        <v>Yes</v>
      </c>
      <c r="E10" s="55" t="str">
        <f>IFERROR(__xludf.DUMMYFUNCTION("""COMPUTED_VALUE"""),"Yes")</f>
        <v>Yes</v>
      </c>
      <c r="F10" s="55" t="str">
        <f>IFERROR(__xludf.DUMMYFUNCTION("""COMPUTED_VALUE"""),"Gene Disease Validity")</f>
        <v>Gene Disease Validity</v>
      </c>
      <c r="G10" t="str">
        <f>IFERROR(__xludf.DUMMYFUNCTION("""COMPUTED_VALUE"""),"Hereditary Cancer")</f>
        <v>Hereditary Cancer</v>
      </c>
      <c r="H10" t="str">
        <f>IFERROR(__xludf.DUMMYFUNCTION("""COMPUTED_VALUE"""),"Volkan Okur")</f>
        <v>Volkan Okur</v>
      </c>
      <c r="I10" t="str">
        <f>IFERROR(__xludf.DUMMYFUNCTION("""COMPUTED_VALUE"""),"vokur@bcm.edu")</f>
        <v>vokur@bcm.edu</v>
      </c>
      <c r="J10" s="55" t="str">
        <f>IFERROR(__xludf.DUMMYFUNCTION("""COMPUTED_VALUE"""),"Comprehensive")</f>
        <v>Comprehensive</v>
      </c>
      <c r="K10" t="str">
        <f>IFERROR(__xludf.DUMMYFUNCTION("""COMPUTED_VALUE"""),"any expert panel of hereditary cancer and/or inborn errors of metabolism domains. ClinVar experts can decide where I would be of the most help.")</f>
        <v>any expert panel of hereditary cancer and/or inborn errors of metabolism domains. ClinVar experts can decide where I would be of the most help.</v>
      </c>
    </row>
    <row r="11">
      <c r="A11" t="str">
        <f>IFERROR(__xludf.DUMMYFUNCTION("""COMPUTED_VALUE"""),"Assigned")</f>
        <v>Assigned</v>
      </c>
      <c r="B11" s="115">
        <f>IFERROR(__xludf.DUMMYFUNCTION("""COMPUTED_VALUE"""),43411.0)</f>
        <v>43411</v>
      </c>
      <c r="C11" s="115">
        <f>IFERROR(__xludf.DUMMYFUNCTION("""COMPUTED_VALUE"""),43446.0)</f>
        <v>43446</v>
      </c>
      <c r="D11" s="55" t="str">
        <f>IFERROR(__xludf.DUMMYFUNCTION("""COMPUTED_VALUE"""),"Yes")</f>
        <v>Yes</v>
      </c>
      <c r="E11" s="55" t="str">
        <f>IFERROR(__xludf.DUMMYFUNCTION("""COMPUTED_VALUE"""),"Yes")</f>
        <v>Yes</v>
      </c>
      <c r="F11" s="55" t="str">
        <f>IFERROR(__xludf.DUMMYFUNCTION("""COMPUTED_VALUE"""),"Gene Disease Validity")</f>
        <v>Gene Disease Validity</v>
      </c>
      <c r="G11" t="str">
        <f>IFERROR(__xludf.DUMMYFUNCTION("""COMPUTED_VALUE"""),"ID/Autism")</f>
        <v>ID/Autism</v>
      </c>
      <c r="H11" t="str">
        <f>IFERROR(__xludf.DUMMYFUNCTION("""COMPUTED_VALUE"""),"Mythily Ganapathi")</f>
        <v>Mythily Ganapathi</v>
      </c>
      <c r="I11" t="str">
        <f>IFERROR(__xludf.DUMMYFUNCTION("""COMPUTED_VALUE"""),"mg3560@cumc.columbia.edu")</f>
        <v>mg3560@cumc.columbia.edu</v>
      </c>
      <c r="J11" s="55" t="str">
        <f>IFERROR(__xludf.DUMMYFUNCTION("""COMPUTED_VALUE"""),"Comprehensive")</f>
        <v>Comprehensive</v>
      </c>
      <c r="K11" t="str">
        <f>IFERROR(__xludf.DUMMYFUNCTION("""COMPUTED_VALUE"""),"Cardiovascular Dilated Cardiomyopathy Gene Curation Expert Panel (In progress) Cardiovascular Familial Hypercholesterolemia Variant Curation Expert Panel (In progress) Cardiovascular KCNQ1 Variant Curation Expert Panel (In progress) Cardiovascular LQTS Ge"&amp;"ne Curation Expert Panel (In progress) Cardiovascular KCNQ1 Variant Curation Expert Panel")</f>
        <v>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v>
      </c>
    </row>
    <row r="12">
      <c r="A12" t="str">
        <f>IFERROR(__xludf.DUMMYFUNCTION("""COMPUTED_VALUE"""),"Unresponsive")</f>
        <v>Unresponsive</v>
      </c>
      <c r="B12" s="114" t="str">
        <f>IFERROR(__xludf.DUMMYFUNCTION("""COMPUTED_VALUE"""),"")</f>
        <v/>
      </c>
      <c r="C12" s="113">
        <f>IFERROR(__xludf.DUMMYFUNCTION("""COMPUTED_VALUE"""),43585.0)</f>
        <v>43585</v>
      </c>
      <c r="D12" s="55" t="str">
        <f>IFERROR(__xludf.DUMMYFUNCTION("""COMPUTED_VALUE"""),"Yes")</f>
        <v>Yes</v>
      </c>
      <c r="E12" s="55" t="str">
        <f>IFERROR(__xludf.DUMMYFUNCTION("""COMPUTED_VALUE"""),"No")</f>
        <v>No</v>
      </c>
      <c r="F12" s="55" t="str">
        <f>IFERROR(__xludf.DUMMYFUNCTION("""COMPUTED_VALUE"""),"Gene Disease Validity")</f>
        <v>Gene Disease Validity</v>
      </c>
      <c r="G12" t="str">
        <f>IFERROR(__xludf.DUMMYFUNCTION("""COMPUTED_VALUE"""),"")</f>
        <v/>
      </c>
      <c r="H12" t="str">
        <f>IFERROR(__xludf.DUMMYFUNCTION("""COMPUTED_VALUE"""),"Leslie Oldfield")</f>
        <v>Leslie Oldfield</v>
      </c>
      <c r="I12" t="str">
        <f>IFERROR(__xludf.DUMMYFUNCTION("""COMPUTED_VALUE"""),"leslie.oldfield@gmail.com")</f>
        <v>leslie.oldfield@gmail.com</v>
      </c>
      <c r="J12" s="55" t="str">
        <f>IFERROR(__xludf.DUMMYFUNCTION("""COMPUTED_VALUE"""),"Comprehensive")</f>
        <v>Comprehensive</v>
      </c>
      <c r="K12" t="str">
        <f>IFERROR(__xludf.DUMMYFUNCTION("""COMPUTED_VALUE"""),"Breast and Ovarian Cancer Gene Curation Expert Panel, Colon Cancer and Polyposis Gene Curation Expert Panel, and the Hereditary Cancer Gene Curation Expert Pane")</f>
        <v>Breast and Ovarian Cancer Gene Curation Expert Panel, Colon Cancer and Polyposis Gene Curation Expert Panel, and the Hereditary Cancer Gene Curation Expert Pane</v>
      </c>
    </row>
    <row r="13">
      <c r="A13" t="str">
        <f>IFERROR(__xludf.DUMMYFUNCTION("""COMPUTED_VALUE"""),"Assigned")</f>
        <v>Assigned</v>
      </c>
      <c r="B13" s="114">
        <f>IFERROR(__xludf.DUMMYFUNCTION("""COMPUTED_VALUE"""),43411.0)</f>
        <v>43411</v>
      </c>
      <c r="C13" s="115">
        <f>IFERROR(__xludf.DUMMYFUNCTION("""COMPUTED_VALUE"""),43446.0)</f>
        <v>43446</v>
      </c>
      <c r="D13" s="55" t="str">
        <f>IFERROR(__xludf.DUMMYFUNCTION("""COMPUTED_VALUE"""),"Yes")</f>
        <v>Yes</v>
      </c>
      <c r="E13" s="55" t="str">
        <f>IFERROR(__xludf.DUMMYFUNCTION("""COMPUTED_VALUE"""),"Yes")</f>
        <v>Yes</v>
      </c>
      <c r="F13" s="55" t="str">
        <f>IFERROR(__xludf.DUMMYFUNCTION("""COMPUTED_VALUE"""),"Gene Disease Validity")</f>
        <v>Gene Disease Validity</v>
      </c>
      <c r="G13" t="str">
        <f>IFERROR(__xludf.DUMMYFUNCTION("""COMPUTED_VALUE"""),"Mitochondrial GCEP")</f>
        <v>Mitochondrial GCEP</v>
      </c>
      <c r="H13" t="str">
        <f>IFERROR(__xludf.DUMMYFUNCTION("""COMPUTED_VALUE"""),"John Shoffner")</f>
        <v>John Shoffner</v>
      </c>
      <c r="I13" t="str">
        <f>IFERROR(__xludf.DUMMYFUNCTION("""COMPUTED_VALUE"""),"jmsiv9903@icloud.com")</f>
        <v>jmsiv9903@icloud.com</v>
      </c>
      <c r="J13" s="55" t="str">
        <f>IFERROR(__xludf.DUMMYFUNCTION("""COMPUTED_VALUE"""),"Comprehensive")</f>
        <v>Comprehensive</v>
      </c>
      <c r="K13" t="str">
        <f>IFERROR(__xludf.DUMMYFUNCTION("""COMPUTED_VALUE"""),"Mitochondrial disease gene and variant expert curation panel; Dilated cardiomyopathy; Fatty acid oxidation; Neuromuscular disease")</f>
        <v>Mitochondrial disease gene and variant expert curation panel; Dilated cardiomyopathy; Fatty acid oxidation; Neuromuscular disease</v>
      </c>
      <c r="L13" s="116" t="s">
        <v>348</v>
      </c>
    </row>
    <row r="14">
      <c r="A14" t="str">
        <f>IFERROR(__xludf.DUMMYFUNCTION("""COMPUTED_VALUE"""),"Assigned")</f>
        <v>Assigned</v>
      </c>
      <c r="B14" s="114">
        <f>IFERROR(__xludf.DUMMYFUNCTION("""COMPUTED_VALUE"""),43411.0)</f>
        <v>43411</v>
      </c>
      <c r="C14" s="115">
        <f>IFERROR(__xludf.DUMMYFUNCTION("""COMPUTED_VALUE"""),43446.0)</f>
        <v>43446</v>
      </c>
      <c r="D14" s="55" t="str">
        <f>IFERROR(__xludf.DUMMYFUNCTION("""COMPUTED_VALUE"""),"Yes")</f>
        <v>Yes</v>
      </c>
      <c r="E14" s="55" t="str">
        <f>IFERROR(__xludf.DUMMYFUNCTION("""COMPUTED_VALUE"""),"Yes")</f>
        <v>Yes</v>
      </c>
      <c r="F14" s="55" t="str">
        <f>IFERROR(__xludf.DUMMYFUNCTION("""COMPUTED_VALUE"""),"Gene Disease Validity")</f>
        <v>Gene Disease Validity</v>
      </c>
      <c r="G14" t="str">
        <f>IFERROR(__xludf.DUMMYFUNCTION("""COMPUTED_VALUE"""),"Mitochondrial GCEP")</f>
        <v>Mitochondrial GCEP</v>
      </c>
      <c r="H14" t="str">
        <f>IFERROR(__xludf.DUMMYFUNCTION("""COMPUTED_VALUE"""),"Isabelle Thiffault")</f>
        <v>Isabelle Thiffault</v>
      </c>
      <c r="I14" t="str">
        <f>IFERROR(__xludf.DUMMYFUNCTION("""COMPUTED_VALUE"""),"ithiffault@cmh.edu")</f>
        <v>ithiffault@cmh.edu</v>
      </c>
      <c r="J14" s="55" t="str">
        <f>IFERROR(__xludf.DUMMYFUNCTION("""COMPUTED_VALUE"""),"Comprehensive")</f>
        <v>Comprehensive</v>
      </c>
      <c r="K14" t="str">
        <f>IFERROR(__xludf.DUMMYFUNCTION("""COMPUTED_VALUE"""),"Mitochondrial or ASD/ID")</f>
        <v>Mitochondrial or ASD/ID</v>
      </c>
    </row>
    <row r="15">
      <c r="A15" t="str">
        <f>IFERROR(__xludf.DUMMYFUNCTION("""COMPUTED_VALUE"""),"Assigned")</f>
        <v>Assigned</v>
      </c>
      <c r="B15" t="str">
        <f>IFERROR(__xludf.DUMMYFUNCTION("""COMPUTED_VALUE"""),"unknown")</f>
        <v>unknown</v>
      </c>
      <c r="C15" t="str">
        <f>IFERROR(__xludf.DUMMYFUNCTION("""COMPUTED_VALUE"""),"Trained before C3")</f>
        <v>Trained before C3</v>
      </c>
      <c r="D15" s="55" t="str">
        <f>IFERROR(__xludf.DUMMYFUNCTION("""COMPUTED_VALUE"""),"No")</f>
        <v>No</v>
      </c>
      <c r="E15" s="55" t="str">
        <f>IFERROR(__xludf.DUMMYFUNCTION("""COMPUTED_VALUE"""),"No")</f>
        <v>No</v>
      </c>
      <c r="F15" s="55" t="str">
        <f>IFERROR(__xludf.DUMMYFUNCTION("""COMPUTED_VALUE"""),"Gene Disease Validity")</f>
        <v>Gene Disease Validity</v>
      </c>
      <c r="G15" t="str">
        <f>IFERROR(__xludf.DUMMYFUNCTION("""COMPUTED_VALUE"""),"Hereditary Cancer")</f>
        <v>Hereditary Cancer</v>
      </c>
      <c r="H15" t="str">
        <f>IFERROR(__xludf.DUMMYFUNCTION("""COMPUTED_VALUE"""),"Ye Cao")</f>
        <v>Ye Cao</v>
      </c>
      <c r="I15" t="str">
        <f>IFERROR(__xludf.DUMMYFUNCTION("""COMPUTED_VALUE"""),"ye.cao@bcm.edu")</f>
        <v>ye.cao@bcm.edu</v>
      </c>
      <c r="J15" s="55" t="str">
        <f>IFERROR(__xludf.DUMMYFUNCTION("""COMPUTED_VALUE"""),"Comprehensive")</f>
        <v>Comprehensive</v>
      </c>
      <c r="K15" t="str">
        <f>IFERROR(__xludf.DUMMYFUNCTION("""COMPUTED_VALUE"""),"Hereditary Cancer Gene Curation Expert Panel")</f>
        <v>Hereditary Cancer Gene Curation Expert Panel</v>
      </c>
    </row>
    <row r="16">
      <c r="A16" t="str">
        <f>IFERROR(__xludf.DUMMYFUNCTION("""COMPUTED_VALUE"""),"Unresponsive")</f>
        <v>Unresponsive</v>
      </c>
      <c r="B16" s="114">
        <f>IFERROR(__xludf.DUMMYFUNCTION("""COMPUTED_VALUE"""),43411.0)</f>
        <v>43411</v>
      </c>
      <c r="C16" s="115">
        <f>IFERROR(__xludf.DUMMYFUNCTION("""COMPUTED_VALUE"""),43446.0)</f>
        <v>43446</v>
      </c>
      <c r="D16" s="55" t="str">
        <f>IFERROR(__xludf.DUMMYFUNCTION("""COMPUTED_VALUE"""),"No")</f>
        <v>No</v>
      </c>
      <c r="E16" s="55" t="str">
        <f>IFERROR(__xludf.DUMMYFUNCTION("""COMPUTED_VALUE"""),"No")</f>
        <v>No</v>
      </c>
      <c r="F16" s="55" t="str">
        <f>IFERROR(__xludf.DUMMYFUNCTION("""COMPUTED_VALUE"""),"Gene Disease Validity")</f>
        <v>Gene Disease Validity</v>
      </c>
      <c r="G16" t="str">
        <f>IFERROR(__xludf.DUMMYFUNCTION("""COMPUTED_VALUE"""),"")</f>
        <v/>
      </c>
      <c r="H16" t="str">
        <f>IFERROR(__xludf.DUMMYFUNCTION("""COMPUTED_VALUE"""),"Samar Khalefa")</f>
        <v>Samar Khalefa</v>
      </c>
      <c r="I16" t="str">
        <f>IFERROR(__xludf.DUMMYFUNCTION("""COMPUTED_VALUE"""),"samarkhalifa@hotmail.com")</f>
        <v>samarkhalifa@hotmail.com</v>
      </c>
      <c r="J16" s="55" t="str">
        <f>IFERROR(__xludf.DUMMYFUNCTION("""COMPUTED_VALUE"""),"Comprehensive")</f>
        <v>Comprehensive</v>
      </c>
      <c r="K16" t="str">
        <f>IFERROR(__xludf.DUMMYFUNCTION("""COMPUTED_VALUE"""),"Autism and Intellectual Disability Gene Curation Expert Panel. I hope to involve in all Expert Panels/Working Groups related to brain genome.")</f>
        <v>Autism and Intellectual Disability Gene Curation Expert Panel. I hope to involve in all Expert Panels/Working Groups related to brain genome.</v>
      </c>
    </row>
    <row r="17">
      <c r="A17" t="str">
        <f>IFERROR(__xludf.DUMMYFUNCTION("""COMPUTED_VALUE"""),"Assigned")</f>
        <v>Assigned</v>
      </c>
      <c r="B17" s="114">
        <f>IFERROR(__xludf.DUMMYFUNCTION("""COMPUTED_VALUE"""),43350.0)</f>
        <v>43350</v>
      </c>
      <c r="C17" s="115">
        <f>IFERROR(__xludf.DUMMYFUNCTION("""COMPUTED_VALUE"""),43446.0)</f>
        <v>43446</v>
      </c>
      <c r="D17" s="55" t="str">
        <f>IFERROR(__xludf.DUMMYFUNCTION("""COMPUTED_VALUE"""),"Yes")</f>
        <v>Yes</v>
      </c>
      <c r="E17" s="55" t="str">
        <f>IFERROR(__xludf.DUMMYFUNCTION("""COMPUTED_VALUE"""),"Yes")</f>
        <v>Yes</v>
      </c>
      <c r="F17" s="55" t="str">
        <f>IFERROR(__xludf.DUMMYFUNCTION("""COMPUTED_VALUE"""),"Gene Disease Validity")</f>
        <v>Gene Disease Validity</v>
      </c>
      <c r="G17" t="str">
        <f>IFERROR(__xludf.DUMMYFUNCTION("""COMPUTED_VALUE"""),"Epilepsy GCEP")</f>
        <v>Epilepsy GCEP</v>
      </c>
      <c r="H17" t="str">
        <f>IFERROR(__xludf.DUMMYFUNCTION("""COMPUTED_VALUE"""),"Colin Ellis")</f>
        <v>Colin Ellis</v>
      </c>
      <c r="I17" t="str">
        <f>IFERROR(__xludf.DUMMYFUNCTION("""COMPUTED_VALUE"""),"colin.ellis@uphs.upenn.edu")</f>
        <v>colin.ellis@uphs.upenn.edu</v>
      </c>
      <c r="J17" s="55" t="str">
        <f>IFERROR(__xludf.DUMMYFUNCTION("""COMPUTED_VALUE"""),"Comprehensive")</f>
        <v>Comprehensive</v>
      </c>
      <c r="K17" t="str">
        <f>IFERROR(__xludf.DUMMYFUNCTION("""COMPUTED_VALUE"""),"Epilepsy WG")</f>
        <v>Epilepsy WG</v>
      </c>
    </row>
    <row r="18">
      <c r="A18" t="str">
        <f>IFERROR(__xludf.DUMMYFUNCTION("""COMPUTED_VALUE"""),"Declined")</f>
        <v>Declined</v>
      </c>
      <c r="B18" s="114">
        <f>IFERROR(__xludf.DUMMYFUNCTION("""COMPUTED_VALUE"""),43411.0)</f>
        <v>43411</v>
      </c>
      <c r="C18" s="115">
        <f>IFERROR(__xludf.DUMMYFUNCTION("""COMPUTED_VALUE"""),43446.0)</f>
        <v>43446</v>
      </c>
      <c r="D18" s="55" t="str">
        <f>IFERROR(__xludf.DUMMYFUNCTION("""COMPUTED_VALUE"""),"Yes")</f>
        <v>Yes</v>
      </c>
      <c r="E18" s="55" t="str">
        <f>IFERROR(__xludf.DUMMYFUNCTION("""COMPUTED_VALUE"""),"Yes")</f>
        <v>Yes</v>
      </c>
      <c r="F18" s="55" t="str">
        <f>IFERROR(__xludf.DUMMYFUNCTION("""COMPUTED_VALUE"""),"Gene Disease Validity")</f>
        <v>Gene Disease Validity</v>
      </c>
      <c r="G18" t="str">
        <f>IFERROR(__xludf.DUMMYFUNCTION("""COMPUTED_VALUE"""),"Hereditary Cancer")</f>
        <v>Hereditary Cancer</v>
      </c>
      <c r="H18" t="str">
        <f>IFERROR(__xludf.DUMMYFUNCTION("""COMPUTED_VALUE"""),"Mansour Zamanpoor")</f>
        <v>Mansour Zamanpoor</v>
      </c>
      <c r="I18" t="str">
        <f>IFERROR(__xludf.DUMMYFUNCTION("""COMPUTED_VALUE"""),"mansour.zamanpoor@ccdhb.org.nz")</f>
        <v>mansour.zamanpoor@ccdhb.org.nz</v>
      </c>
      <c r="J18" s="55" t="str">
        <f>IFERROR(__xludf.DUMMYFUNCTION("""COMPUTED_VALUE"""),"Comprehensive")</f>
        <v>Comprehensive</v>
      </c>
      <c r="K18" t="str">
        <f>IFERROR(__xludf.DUMMYFUNCTION("""COMPUTED_VALUE"""),"Hereditary cancer and neuro-developmental disorders")</f>
        <v>Hereditary cancer and neuro-developmental disorders</v>
      </c>
    </row>
    <row r="19">
      <c r="A19" t="str">
        <f>IFERROR(__xludf.DUMMYFUNCTION("""COMPUTED_VALUE"""),"Assigned")</f>
        <v>Assigned</v>
      </c>
      <c r="B19" s="114">
        <f>IFERROR(__xludf.DUMMYFUNCTION("""COMPUTED_VALUE"""),43411.0)</f>
        <v>43411</v>
      </c>
      <c r="C19" s="115">
        <f>IFERROR(__xludf.DUMMYFUNCTION("""COMPUTED_VALUE"""),43446.0)</f>
        <v>43446</v>
      </c>
      <c r="D19" s="55" t="str">
        <f>IFERROR(__xludf.DUMMYFUNCTION("""COMPUTED_VALUE"""),"Yes")</f>
        <v>Yes</v>
      </c>
      <c r="E19" s="55" t="str">
        <f>IFERROR(__xludf.DUMMYFUNCTION("""COMPUTED_VALUE"""),"Yes")</f>
        <v>Yes</v>
      </c>
      <c r="F19" s="55" t="str">
        <f>IFERROR(__xludf.DUMMYFUNCTION("""COMPUTED_VALUE"""),"Gene Disease Validity")</f>
        <v>Gene Disease Validity</v>
      </c>
      <c r="G19" t="str">
        <f>IFERROR(__xludf.DUMMYFUNCTION("""COMPUTED_VALUE"""),"Epilepsy ")</f>
        <v>Epilepsy </v>
      </c>
      <c r="H19" t="str">
        <f>IFERROR(__xludf.DUMMYFUNCTION("""COMPUTED_VALUE"""),"Benjamin Kang")</f>
        <v>Benjamin Kang</v>
      </c>
      <c r="I19" t="str">
        <f>IFERROR(__xludf.DUMMYFUNCTION("""COMPUTED_VALUE"""),"bekang@emory.edu")</f>
        <v>bekang@emory.edu</v>
      </c>
      <c r="J19" s="55" t="str">
        <f>IFERROR(__xludf.DUMMYFUNCTION("""COMPUTED_VALUE"""),"Comprehensive")</f>
        <v>Comprehensive</v>
      </c>
      <c r="K19" t="str">
        <f>IFERROR(__xludf.DUMMYFUNCTION("""COMPUTED_VALUE"""),"I am interested in a couple of ClinGen Expert Panel/Working Group, 1)Cardiovascular Dilated Cardiomyopathy Gene Curation Expert Panel, 2) Rett Angelman Variant Curation Expert Panel. However, if there is any other expert panel/working group needs my help,"&amp;" I am more than happy to participate in it.")</f>
        <v>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v>
      </c>
    </row>
    <row r="20">
      <c r="A20" t="str">
        <f>IFERROR(__xludf.DUMMYFUNCTION("""COMPUTED_VALUE"""),"Contacted")</f>
        <v>Contacted</v>
      </c>
      <c r="B20" t="str">
        <f>IFERROR(__xludf.DUMMYFUNCTION("""COMPUTED_VALUE"""),"")</f>
        <v/>
      </c>
      <c r="C20" s="115">
        <f>IFERROR(__xludf.DUMMYFUNCTION("""COMPUTED_VALUE"""),43585.0)</f>
        <v>43585</v>
      </c>
      <c r="D20" s="55" t="str">
        <f>IFERROR(__xludf.DUMMYFUNCTION("""COMPUTED_VALUE"""),"Yes")</f>
        <v>Yes</v>
      </c>
      <c r="E20" s="55" t="str">
        <f>IFERROR(__xludf.DUMMYFUNCTION("""COMPUTED_VALUE"""),"Yes")</f>
        <v>Yes</v>
      </c>
      <c r="F20" s="55" t="str">
        <f>IFERROR(__xludf.DUMMYFUNCTION("""COMPUTED_VALUE"""),"Gene Disease Validity")</f>
        <v>Gene Disease Validity</v>
      </c>
      <c r="G20" t="str">
        <f>IFERROR(__xludf.DUMMYFUNCTION("""COMPUTED_VALUE"""),"Aminoacidopathy")</f>
        <v>Aminoacidopathy</v>
      </c>
      <c r="H20" t="str">
        <f>IFERROR(__xludf.DUMMYFUNCTION("""COMPUTED_VALUE"""),"Ljubica Caldovic")</f>
        <v>Ljubica Caldovic</v>
      </c>
      <c r="I20" t="str">
        <f>IFERROR(__xludf.DUMMYFUNCTION("""COMPUTED_VALUE"""),"lcaldovic@childrensnational.org")</f>
        <v>lcaldovic@childrensnational.org</v>
      </c>
      <c r="J20" s="55" t="str">
        <f>IFERROR(__xludf.DUMMYFUNCTION("""COMPUTED_VALUE"""),"Comprehensive")</f>
        <v>Comprehensive</v>
      </c>
      <c r="K20" t="str">
        <f>IFERROR(__xludf.DUMMYFUNCTION("""COMPUTED_VALUE"""),"Aminoacidopathy working group/expert panel; Metabolism expert panel")</f>
        <v>Aminoacidopathy working group/expert panel; Metabolism expert panel</v>
      </c>
    </row>
    <row r="21">
      <c r="A21" t="str">
        <f>IFERROR(__xludf.DUMMYFUNCTION("""COMPUTED_VALUE"""),"Assigned")</f>
        <v>Assigned</v>
      </c>
      <c r="B21" s="114">
        <f>IFERROR(__xludf.DUMMYFUNCTION("""COMPUTED_VALUE"""),43347.0)</f>
        <v>43347</v>
      </c>
      <c r="C21" s="115">
        <f>IFERROR(__xludf.DUMMYFUNCTION("""COMPUTED_VALUE"""),43446.0)</f>
        <v>43446</v>
      </c>
      <c r="D21" s="55" t="str">
        <f>IFERROR(__xludf.DUMMYFUNCTION("""COMPUTED_VALUE"""),"No")</f>
        <v>No</v>
      </c>
      <c r="E21" s="55" t="str">
        <f>IFERROR(__xludf.DUMMYFUNCTION("""COMPUTED_VALUE"""),"No")</f>
        <v>No</v>
      </c>
      <c r="F21" s="55" t="str">
        <f>IFERROR(__xludf.DUMMYFUNCTION("""COMPUTED_VALUE"""),"Gene Disease Validity")</f>
        <v>Gene Disease Validity</v>
      </c>
      <c r="G21" t="str">
        <f>IFERROR(__xludf.DUMMYFUNCTION("""COMPUTED_VALUE"""),"Epilepsy ")</f>
        <v>Epilepsy </v>
      </c>
      <c r="H21" t="str">
        <f>IFERROR(__xludf.DUMMYFUNCTION("""COMPUTED_VALUE"""),"John Millichap")</f>
        <v>John Millichap</v>
      </c>
      <c r="I21" t="str">
        <f>IFERROR(__xludf.DUMMYFUNCTION("""COMPUTED_VALUE"""),"jmillichap@luriechildrens.org")</f>
        <v>jmillichap@luriechildrens.org</v>
      </c>
      <c r="J21" s="55" t="str">
        <f>IFERROR(__xludf.DUMMYFUNCTION("""COMPUTED_VALUE"""),"Comprehensive")</f>
        <v>Comprehensive</v>
      </c>
      <c r="K21" t="str">
        <f>IFERROR(__xludf.DUMMYFUNCTION("""COMPUTED_VALUE"""),"Epilepsy WG/EP")</f>
        <v>Epilepsy WG/EP</v>
      </c>
    </row>
    <row r="22" ht="21.0" customHeight="1">
      <c r="A22" t="str">
        <f>IFERROR(__xludf.DUMMYFUNCTION("""COMPUTED_VALUE"""),"Contacted")</f>
        <v>Contacted</v>
      </c>
      <c r="B22" s="114">
        <f>IFERROR(__xludf.DUMMYFUNCTION("""COMPUTED_VALUE"""),43411.0)</f>
        <v>43411</v>
      </c>
      <c r="C22" s="115">
        <f>IFERROR(__xludf.DUMMYFUNCTION("""COMPUTED_VALUE"""),43446.0)</f>
        <v>43446</v>
      </c>
      <c r="D22" s="55" t="str">
        <f>IFERROR(__xludf.DUMMYFUNCTION("""COMPUTED_VALUE"""),"No")</f>
        <v>No</v>
      </c>
      <c r="E22" s="55" t="str">
        <f>IFERROR(__xludf.DUMMYFUNCTION("""COMPUTED_VALUE"""),"No")</f>
        <v>No</v>
      </c>
      <c r="F22" s="55" t="str">
        <f>IFERROR(__xludf.DUMMYFUNCTION("""COMPUTED_VALUE"""),"NA")</f>
        <v>NA</v>
      </c>
      <c r="G22" t="str">
        <f>IFERROR(__xludf.DUMMYFUNCTION("""COMPUTED_VALUE"""),"")</f>
        <v/>
      </c>
      <c r="H22" t="str">
        <f>IFERROR(__xludf.DUMMYFUNCTION("""COMPUTED_VALUE"""),"Vladimir Lialine")</f>
        <v>Vladimir Lialine</v>
      </c>
      <c r="I22" t="str">
        <f>IFERROR(__xludf.DUMMYFUNCTION("""COMPUTED_VALUE"""),"vlad@twixsoft.com")</f>
        <v>vlad@twixsoft.com</v>
      </c>
      <c r="J22" s="55" t="str">
        <f>IFERROR(__xludf.DUMMYFUNCTION("""COMPUTED_VALUE"""),"Comprehensive")</f>
        <v>Comprehensive</v>
      </c>
      <c r="K22" t="str">
        <f>IFERROR(__xludf.DUMMYFUNCTION("""COMPUTED_VALUE"""),"No")</f>
        <v>No</v>
      </c>
    </row>
    <row r="23">
      <c r="A23" t="str">
        <f>IFERROR(__xludf.DUMMYFUNCTION("""COMPUTED_VALUE"""),"Contacted")</f>
        <v>Contacted</v>
      </c>
      <c r="B23" s="115">
        <f>IFERROR(__xludf.DUMMYFUNCTION("""COMPUTED_VALUE"""),43430.0)</f>
        <v>43430</v>
      </c>
      <c r="C23" s="115">
        <f>IFERROR(__xludf.DUMMYFUNCTION("""COMPUTED_VALUE"""),43446.0)</f>
        <v>43446</v>
      </c>
      <c r="D23" s="55" t="str">
        <f>IFERROR(__xludf.DUMMYFUNCTION("""COMPUTED_VALUE"""),"Yes")</f>
        <v>Yes</v>
      </c>
      <c r="E23" s="55" t="str">
        <f>IFERROR(__xludf.DUMMYFUNCTION("""COMPUTED_VALUE"""),"No")</f>
        <v>No</v>
      </c>
      <c r="F23" s="55" t="str">
        <f>IFERROR(__xludf.DUMMYFUNCTION("""COMPUTED_VALUE"""),"Gene Disease Validity")</f>
        <v>Gene Disease Validity</v>
      </c>
      <c r="G23" t="str">
        <f>IFERROR(__xludf.DUMMYFUNCTION("""COMPUTED_VALUE"""),"")</f>
        <v/>
      </c>
      <c r="H23" t="str">
        <f>IFERROR(__xludf.DUMMYFUNCTION("""COMPUTED_VALUE"""),"Vaidehi Jobanputra")</f>
        <v>Vaidehi Jobanputra</v>
      </c>
      <c r="I23" t="str">
        <f>IFERROR(__xludf.DUMMYFUNCTION("""COMPUTED_VALUE"""),"vjobanputra@nygenome.org")</f>
        <v>vjobanputra@nygenome.org</v>
      </c>
      <c r="J23" s="55" t="str">
        <f>IFERROR(__xludf.DUMMYFUNCTION("""COMPUTED_VALUE"""),"Comprehensive")</f>
        <v>Comprehensive</v>
      </c>
      <c r="K23" t="str">
        <f>IFERROR(__xludf.DUMMYFUNCTION("""COMPUTED_VALUE"""),"No")</f>
        <v>No</v>
      </c>
    </row>
    <row r="24">
      <c r="A24" t="str">
        <f>IFERROR(__xludf.DUMMYFUNCTION("""COMPUTED_VALUE"""),"Contacted")</f>
        <v>Contacted</v>
      </c>
      <c r="B24" t="str">
        <f>IFERROR(__xludf.DUMMYFUNCTION("""COMPUTED_VALUE"""),"11/07/18
REcontacted June 2019 and responsive, changed status")</f>
        <v>11/07/18
REcontacted June 2019 and responsive, changed status</v>
      </c>
      <c r="C24" s="115">
        <f>IFERROR(__xludf.DUMMYFUNCTION("""COMPUTED_VALUE"""),43446.0)</f>
        <v>43446</v>
      </c>
      <c r="D24" s="55" t="str">
        <f>IFERROR(__xludf.DUMMYFUNCTION("""COMPUTED_VALUE"""),"No")</f>
        <v>No</v>
      </c>
      <c r="E24" s="55" t="str">
        <f>IFERROR(__xludf.DUMMYFUNCTION("""COMPUTED_VALUE"""),"No")</f>
        <v>No</v>
      </c>
      <c r="F24" s="55" t="str">
        <f>IFERROR(__xludf.DUMMYFUNCTION("""COMPUTED_VALUE"""),"Gene Disease Validity")</f>
        <v>Gene Disease Validity</v>
      </c>
      <c r="G24" t="str">
        <f>IFERROR(__xludf.DUMMYFUNCTION("""COMPUTED_VALUE"""),"")</f>
        <v/>
      </c>
      <c r="H24" t="str">
        <f>IFERROR(__xludf.DUMMYFUNCTION("""COMPUTED_VALUE"""),"Khushnooda Ramzan")</f>
        <v>Khushnooda Ramzan</v>
      </c>
      <c r="I24" t="str">
        <f>IFERROR(__xludf.DUMMYFUNCTION("""COMPUTED_VALUE"""),"khushnooda@gmail.com")</f>
        <v>khushnooda@gmail.com</v>
      </c>
      <c r="J24" s="55" t="str">
        <f>IFERROR(__xludf.DUMMYFUNCTION("""COMPUTED_VALUE"""),"Comprehensive")</f>
        <v>Comprehensive</v>
      </c>
      <c r="K24" t="str">
        <f>IFERROR(__xludf.DUMMYFUNCTION("""COMPUTED_VALUE"""),"Experience with Mendelian disorders, not noted for curation. Hearing Loss (most experience with pubs), Cardiovascular KCNQ1 Variant
Storage Diseases Variant Curation Expert Panel")</f>
        <v>Experience with Mendelian disorders, not noted for curation. Hearing Loss (most experience with pubs), Cardiovascular KCNQ1 Variant
Storage Diseases Variant Curation Expert Panel</v>
      </c>
    </row>
    <row r="25">
      <c r="A25" t="str">
        <f>IFERROR(__xludf.DUMMYFUNCTION("""COMPUTED_VALUE"""),"Contacted")</f>
        <v>Contacted</v>
      </c>
      <c r="B25" s="115" t="str">
        <f>IFERROR(__xludf.DUMMYFUNCTION("""COMPUTED_VALUE"""),"")</f>
        <v/>
      </c>
      <c r="C25" s="113">
        <f>IFERROR(__xludf.DUMMYFUNCTION("""COMPUTED_VALUE"""),43585.0)</f>
        <v>43585</v>
      </c>
      <c r="D25" s="55" t="str">
        <f>IFERROR(__xludf.DUMMYFUNCTION("""COMPUTED_VALUE"""),"Yes")</f>
        <v>Yes</v>
      </c>
      <c r="E25" s="55" t="str">
        <f>IFERROR(__xludf.DUMMYFUNCTION("""COMPUTED_VALUE"""),"No")</f>
        <v>No</v>
      </c>
      <c r="F25" s="55" t="str">
        <f>IFERROR(__xludf.DUMMYFUNCTION("""COMPUTED_VALUE"""),"Gene Disease Validity")</f>
        <v>Gene Disease Validity</v>
      </c>
      <c r="G25" t="str">
        <f>IFERROR(__xludf.DUMMYFUNCTION("""COMPUTED_VALUE"""),"Epilepsy")</f>
        <v>Epilepsy</v>
      </c>
      <c r="H25" t="str">
        <f>IFERROR(__xludf.DUMMYFUNCTION("""COMPUTED_VALUE"""),"Erik Thorland")</f>
        <v>Erik Thorland</v>
      </c>
      <c r="I25" t="str">
        <f>IFERROR(__xludf.DUMMYFUNCTION("""COMPUTED_VALUE"""),"thorland.erik@mayo.edu")</f>
        <v>thorland.erik@mayo.edu</v>
      </c>
      <c r="J25" s="55" t="str">
        <f>IFERROR(__xludf.DUMMYFUNCTION("""COMPUTED_VALUE"""),"Comprehensive")</f>
        <v>Comprehensive</v>
      </c>
      <c r="K25" t="str">
        <f>IFERROR(__xludf.DUMMYFUNCTION("""COMPUTED_VALUE"""),"I'm specifically interested in the epilespy gene curation group.  I'm already involved in the dosage sensitivity working group.")</f>
        <v>I'm specifically interested in the epilespy gene curation group.  I'm already involved in the dosage sensitivity working group.</v>
      </c>
    </row>
    <row r="26">
      <c r="A26" t="str">
        <f>IFERROR(__xludf.DUMMYFUNCTION("""COMPUTED_VALUE"""),"Assigned")</f>
        <v>Assigned</v>
      </c>
      <c r="B26" s="114">
        <f>IFERROR(__xludf.DUMMYFUNCTION("""COMPUTED_VALUE"""),43437.0)</f>
        <v>43437</v>
      </c>
      <c r="C26" s="115">
        <f>IFERROR(__xludf.DUMMYFUNCTION("""COMPUTED_VALUE"""),43446.0)</f>
        <v>43446</v>
      </c>
      <c r="D26" s="55" t="str">
        <f>IFERROR(__xludf.DUMMYFUNCTION("""COMPUTED_VALUE"""),"Yes")</f>
        <v>Yes</v>
      </c>
      <c r="E26" s="55" t="str">
        <f>IFERROR(__xludf.DUMMYFUNCTION("""COMPUTED_VALUE"""),"Yes")</f>
        <v>Yes</v>
      </c>
      <c r="F26" s="55" t="str">
        <f>IFERROR(__xludf.DUMMYFUNCTION("""COMPUTED_VALUE"""),"Gene Disease Validity")</f>
        <v>Gene Disease Validity</v>
      </c>
      <c r="G26" t="str">
        <f>IFERROR(__xludf.DUMMYFUNCTION("""COMPUTED_VALUE"""),"ID Autism")</f>
        <v>ID Autism</v>
      </c>
      <c r="H26" t="str">
        <f>IFERROR(__xludf.DUMMYFUNCTION("""COMPUTED_VALUE"""),"Olivia Rennie")</f>
        <v>Olivia Rennie</v>
      </c>
      <c r="I26" t="str">
        <f>IFERROR(__xludf.DUMMYFUNCTION("""COMPUTED_VALUE"""),"olivia.rennie@sickkids.ca")</f>
        <v>olivia.rennie@sickkids.ca</v>
      </c>
      <c r="J26" s="55" t="str">
        <f>IFERROR(__xludf.DUMMYFUNCTION("""COMPUTED_VALUE"""),"Comprehensive")</f>
        <v>Comprehensive</v>
      </c>
      <c r="K26" t="str">
        <f>IFERROR(__xludf.DUMMYFUNCTION("""COMPUTED_VALUE"""),"ID/Autism Gene Curation Expert Panel")</f>
        <v>ID/Autism Gene Curation Expert Panel</v>
      </c>
    </row>
    <row r="27">
      <c r="A27" t="str">
        <f>IFERROR(__xludf.DUMMYFUNCTION("""COMPUTED_VALUE"""),"Declined")</f>
        <v>Declined</v>
      </c>
      <c r="B27" s="114">
        <f>IFERROR(__xludf.DUMMYFUNCTION("""COMPUTED_VALUE"""),43437.0)</f>
        <v>43437</v>
      </c>
      <c r="C27" s="115">
        <f>IFERROR(__xludf.DUMMYFUNCTION("""COMPUTED_VALUE"""),43446.0)</f>
        <v>43446</v>
      </c>
      <c r="D27" s="55" t="str">
        <f>IFERROR(__xludf.DUMMYFUNCTION("""COMPUTED_VALUE"""),"Yes")</f>
        <v>Yes</v>
      </c>
      <c r="E27" s="55" t="str">
        <f>IFERROR(__xludf.DUMMYFUNCTION("""COMPUTED_VALUE"""),"Yes")</f>
        <v>Yes</v>
      </c>
      <c r="F27" s="55" t="str">
        <f>IFERROR(__xludf.DUMMYFUNCTION("""COMPUTED_VALUE"""),"Gene Disease Validity")</f>
        <v>Gene Disease Validity</v>
      </c>
      <c r="G27" t="str">
        <f>IFERROR(__xludf.DUMMYFUNCTION("""COMPUTED_VALUE"""),"ID Autism")</f>
        <v>ID Autism</v>
      </c>
      <c r="H27" t="str">
        <f>IFERROR(__xludf.DUMMYFUNCTION("""COMPUTED_VALUE"""),"Kira Dies")</f>
        <v>Kira Dies</v>
      </c>
      <c r="I27" t="str">
        <f>IFERROR(__xludf.DUMMYFUNCTION("""COMPUTED_VALUE"""),"Kira.Dies@childrens.harvard.edu")</f>
        <v>Kira.Dies@childrens.harvard.edu</v>
      </c>
      <c r="J27" s="55" t="str">
        <f>IFERROR(__xludf.DUMMYFUNCTION("""COMPUTED_VALUE"""),"Comprehensive")</f>
        <v>Comprehensive</v>
      </c>
      <c r="K27" t="str">
        <f>IFERROR(__xludf.DUMMYFUNCTION("""COMPUTED_VALUE"""),"ASD/NDD")</f>
        <v>ASD/NDD</v>
      </c>
    </row>
    <row r="28">
      <c r="A28" t="str">
        <f>IFERROR(__xludf.DUMMYFUNCTION("""COMPUTED_VALUE"""),"Assigned")</f>
        <v>Assigned</v>
      </c>
      <c r="B28" s="114">
        <f>IFERROR(__xludf.DUMMYFUNCTION("""COMPUTED_VALUE"""),43341.0)</f>
        <v>43341</v>
      </c>
      <c r="C28" s="114">
        <f>IFERROR(__xludf.DUMMYFUNCTION("""COMPUTED_VALUE"""),43341.0)</f>
        <v>43341</v>
      </c>
      <c r="D28" s="55" t="str">
        <f>IFERROR(__xludf.DUMMYFUNCTION("""COMPUTED_VALUE"""),"Yes")</f>
        <v>Yes</v>
      </c>
      <c r="E28" s="55" t="str">
        <f>IFERROR(__xludf.DUMMYFUNCTION("""COMPUTED_VALUE"""),"Yes")</f>
        <v>Yes</v>
      </c>
      <c r="F28" s="55" t="str">
        <f>IFERROR(__xludf.DUMMYFUNCTION("""COMPUTED_VALUE"""),"Gene Disease Validity")</f>
        <v>Gene Disease Validity</v>
      </c>
      <c r="G28" t="str">
        <f>IFERROR(__xludf.DUMMYFUNCTION("""COMPUTED_VALUE"""),"Hereditary Cancer")</f>
        <v>Hereditary Cancer</v>
      </c>
      <c r="H28" t="str">
        <f>IFERROR(__xludf.DUMMYFUNCTION("""COMPUTED_VALUE"""),"Sainan Wei")</f>
        <v>Sainan Wei</v>
      </c>
      <c r="I28" t="str">
        <f>IFERROR(__xludf.DUMMYFUNCTION("""COMPUTED_VALUE"""),"sainan.wei@uky.edu ")</f>
        <v>sainan.wei@uky.edu </v>
      </c>
      <c r="J28" s="55" t="str">
        <f>IFERROR(__xludf.DUMMYFUNCTION("""COMPUTED_VALUE"""),"Comprehensive")</f>
        <v>Comprehensive</v>
      </c>
      <c r="K28" t="str">
        <f>IFERROR(__xludf.DUMMYFUNCTION("""COMPUTED_VALUE"""),"Hereditary cancer gene Aminoacidopathy gene fatty acid oxidation gene")</f>
        <v>Hereditary cancer gene Aminoacidopathy gene fatty acid oxidation gene</v>
      </c>
    </row>
    <row r="29">
      <c r="A29" t="str">
        <f>IFERROR(__xludf.DUMMYFUNCTION("""COMPUTED_VALUE"""),"Contacted")</f>
        <v>Contacted</v>
      </c>
      <c r="B29" s="114">
        <f>IFERROR(__xludf.DUMMYFUNCTION("""COMPUTED_VALUE"""),43439.0)</f>
        <v>43439</v>
      </c>
      <c r="C29" s="115">
        <f>IFERROR(__xludf.DUMMYFUNCTION("""COMPUTED_VALUE"""),43446.0)</f>
        <v>43446</v>
      </c>
      <c r="D29" s="55" t="str">
        <f>IFERROR(__xludf.DUMMYFUNCTION("""COMPUTED_VALUE"""),"Yes")</f>
        <v>Yes</v>
      </c>
      <c r="E29" s="55" t="str">
        <f>IFERROR(__xludf.DUMMYFUNCTION("""COMPUTED_VALUE"""),"No")</f>
        <v>No</v>
      </c>
      <c r="F29" s="55" t="str">
        <f>IFERROR(__xludf.DUMMYFUNCTION("""COMPUTED_VALUE"""),"Gene Disease Validity")</f>
        <v>Gene Disease Validity</v>
      </c>
      <c r="G29" t="str">
        <f>IFERROR(__xludf.DUMMYFUNCTION("""COMPUTED_VALUE"""),"")</f>
        <v/>
      </c>
      <c r="H29" t="str">
        <f>IFERROR(__xludf.DUMMYFUNCTION("""COMPUTED_VALUE"""),"Elaine Spector ")</f>
        <v>Elaine Spector </v>
      </c>
      <c r="I29" t="str">
        <f>IFERROR(__xludf.DUMMYFUNCTION("""COMPUTED_VALUE"""),"elaine.spector@childrenscolorado.org")</f>
        <v>elaine.spector@childrenscolorado.org</v>
      </c>
      <c r="J29" s="55" t="str">
        <f>IFERROR(__xludf.DUMMYFUNCTION("""COMPUTED_VALUE"""),"Comprehensive")</f>
        <v>Comprehensive</v>
      </c>
      <c r="K29" t="str">
        <f>IFERROR(__xludf.DUMMYFUNCTION("""COMPUTED_VALUE"""),"Inborn Errors of Metabolism Clinical Domain Working Group . Amino Acid and Fatty Acid Working Groups.")</f>
        <v>Inborn Errors of Metabolism Clinical Domain Working Group . Amino Acid and Fatty Acid Working Groups.</v>
      </c>
    </row>
    <row r="30">
      <c r="A30" t="str">
        <f>IFERROR(__xludf.DUMMYFUNCTION("""COMPUTED_VALUE"""),"Declined")</f>
        <v>Declined</v>
      </c>
      <c r="B30" s="114">
        <f>IFERROR(__xludf.DUMMYFUNCTION("""COMPUTED_VALUE"""),43437.0)</f>
        <v>43437</v>
      </c>
      <c r="C30" s="115">
        <f>IFERROR(__xludf.DUMMYFUNCTION("""COMPUTED_VALUE"""),43446.0)</f>
        <v>43446</v>
      </c>
      <c r="D30" s="55" t="str">
        <f>IFERROR(__xludf.DUMMYFUNCTION("""COMPUTED_VALUE"""),"Yes")</f>
        <v>Yes</v>
      </c>
      <c r="E30" s="55" t="str">
        <f>IFERROR(__xludf.DUMMYFUNCTION("""COMPUTED_VALUE"""),"Yes")</f>
        <v>Yes</v>
      </c>
      <c r="F30" s="55" t="str">
        <f>IFERROR(__xludf.DUMMYFUNCTION("""COMPUTED_VALUE"""),"Gene Disease Validity")</f>
        <v>Gene Disease Validity</v>
      </c>
      <c r="G30" t="str">
        <f>IFERROR(__xludf.DUMMYFUNCTION("""COMPUTED_VALUE"""),"ID Autism")</f>
        <v>ID Autism</v>
      </c>
      <c r="H30" t="str">
        <f>IFERROR(__xludf.DUMMYFUNCTION("""COMPUTED_VALUE"""),"Ny Hoang")</f>
        <v>Ny Hoang</v>
      </c>
      <c r="I30" t="str">
        <f>IFERROR(__xludf.DUMMYFUNCTION("""COMPUTED_VALUE"""),"ny.hoang@sickkids.ca")</f>
        <v>ny.hoang@sickkids.ca</v>
      </c>
      <c r="J30" s="55" t="str">
        <f>IFERROR(__xludf.DUMMYFUNCTION("""COMPUTED_VALUE"""),"Comprehensive")</f>
        <v>Comprehensive</v>
      </c>
      <c r="K30" t="str">
        <f>IFERROR(__xludf.DUMMYFUNCTION("""COMPUTED_VALUE"""),"Autism and ID working group")</f>
        <v>Autism and ID working group</v>
      </c>
    </row>
    <row r="31">
      <c r="A31" t="str">
        <f>IFERROR(__xludf.DUMMYFUNCTION("""COMPUTED_VALUE"""),"Assigned")</f>
        <v>Assigned</v>
      </c>
      <c r="B31" s="114">
        <f>IFERROR(__xludf.DUMMYFUNCTION("""COMPUTED_VALUE"""),43437.0)</f>
        <v>43437</v>
      </c>
      <c r="C31" s="115">
        <f>IFERROR(__xludf.DUMMYFUNCTION("""COMPUTED_VALUE"""),43446.0)</f>
        <v>43446</v>
      </c>
      <c r="D31" s="55" t="str">
        <f>IFERROR(__xludf.DUMMYFUNCTION("""COMPUTED_VALUE"""),"No")</f>
        <v>No</v>
      </c>
      <c r="E31" s="55" t="str">
        <f>IFERROR(__xludf.DUMMYFUNCTION("""COMPUTED_VALUE"""),"No")</f>
        <v>No</v>
      </c>
      <c r="F31" s="55" t="str">
        <f>IFERROR(__xludf.DUMMYFUNCTION("""COMPUTED_VALUE"""),"Gene Disease Validity")</f>
        <v>Gene Disease Validity</v>
      </c>
      <c r="G31" t="str">
        <f>IFERROR(__xludf.DUMMYFUNCTION("""COMPUTED_VALUE"""),"ID Autism")</f>
        <v>ID Autism</v>
      </c>
      <c r="H31" t="str">
        <f>IFERROR(__xludf.DUMMYFUNCTION("""COMPUTED_VALUE"""),"Jacob Vorstman")</f>
        <v>Jacob Vorstman</v>
      </c>
      <c r="I31" t="str">
        <f>IFERROR(__xludf.DUMMYFUNCTION("""COMPUTED_VALUE"""),"jacob.vorstman@sickkids.ca")</f>
        <v>jacob.vorstman@sickkids.ca</v>
      </c>
      <c r="J31" s="55" t="str">
        <f>IFERROR(__xludf.DUMMYFUNCTION("""COMPUTED_VALUE"""),"Comprehensive")</f>
        <v>Comprehensive</v>
      </c>
      <c r="K31" t="str">
        <f>IFERROR(__xludf.DUMMYFUNCTION("""COMPUTED_VALUE"""),"Autism Spectrum Disorder - see previous and ongoing discussions following the Toronto ASD gene list meeting this fall")</f>
        <v>Autism Spectrum Disorder - see previous and ongoing discussions following the Toronto ASD gene list meeting this fall</v>
      </c>
    </row>
    <row r="32">
      <c r="A32" t="str">
        <f>IFERROR(__xludf.DUMMYFUNCTION("""COMPUTED_VALUE"""),"Contacted")</f>
        <v>Contacted</v>
      </c>
      <c r="B32" t="str">
        <f>IFERROR(__xludf.DUMMYFUNCTION("""COMPUTED_VALUE"""),"")</f>
        <v/>
      </c>
      <c r="C32" s="113">
        <f>IFERROR(__xludf.DUMMYFUNCTION("""COMPUTED_VALUE"""),43692.0)</f>
        <v>43692</v>
      </c>
      <c r="D32" s="55" t="str">
        <f>IFERROR(__xludf.DUMMYFUNCTION("""COMPUTED_VALUE"""),"Yes")</f>
        <v>Yes</v>
      </c>
      <c r="E32" s="55" t="str">
        <f>IFERROR(__xludf.DUMMYFUNCTION("""COMPUTED_VALUE"""),"No")</f>
        <v>No</v>
      </c>
      <c r="F32" s="55" t="str">
        <f>IFERROR(__xludf.DUMMYFUNCTION("""COMPUTED_VALUE"""),"Gene Disease Validity")</f>
        <v>Gene Disease Validity</v>
      </c>
      <c r="G32" t="str">
        <f>IFERROR(__xludf.DUMMYFUNCTION("""COMPUTED_VALUE"""),"")</f>
        <v/>
      </c>
      <c r="H32" t="str">
        <f>IFERROR(__xludf.DUMMYFUNCTION("""COMPUTED_VALUE"""),"Szabolcs Szelinger")</f>
        <v>Szabolcs Szelinger</v>
      </c>
      <c r="I32" t="str">
        <f>IFERROR(__xludf.DUMMYFUNCTION("""COMPUTED_VALUE"""),"sszelinger@tgen.org")</f>
        <v>sszelinger@tgen.org</v>
      </c>
      <c r="J32" s="55" t="str">
        <f>IFERROR(__xludf.DUMMYFUNCTION("""COMPUTED_VALUE"""),"Comprehensive")</f>
        <v>Comprehensive</v>
      </c>
      <c r="K32" t="str">
        <f>IFERROR(__xludf.DUMMYFUNCTION("""COMPUTED_VALUE"""),"There are many interesting groups such as the mitochondrial disease, inherited cardiomyopathy, Epilepsy and Somatic TP53 group.")</f>
        <v>There are many interesting groups such as the mitochondrial disease, inherited cardiomyopathy, Epilepsy and Somatic TP53 group.</v>
      </c>
    </row>
    <row r="33">
      <c r="A33" t="str">
        <f>IFERROR(__xludf.DUMMYFUNCTION("""COMPUTED_VALUE"""),"Contacted")</f>
        <v>Contacted</v>
      </c>
      <c r="B33" t="str">
        <f>IFERROR(__xludf.DUMMYFUNCTION("""COMPUTED_VALUE"""),"")</f>
        <v/>
      </c>
      <c r="C33" s="113">
        <f>IFERROR(__xludf.DUMMYFUNCTION("""COMPUTED_VALUE"""),43696.0)</f>
        <v>43696</v>
      </c>
      <c r="D33" s="55" t="str">
        <f>IFERROR(__xludf.DUMMYFUNCTION("""COMPUTED_VALUE"""),"Yes")</f>
        <v>Yes</v>
      </c>
      <c r="E33" s="55" t="str">
        <f>IFERROR(__xludf.DUMMYFUNCTION("""COMPUTED_VALUE"""),"No")</f>
        <v>No</v>
      </c>
      <c r="F33" s="55" t="str">
        <f>IFERROR(__xludf.DUMMYFUNCTION("""COMPUTED_VALUE"""),"Gene Disease Validity")</f>
        <v>Gene Disease Validity</v>
      </c>
      <c r="G33" t="str">
        <f>IFERROR(__xludf.DUMMYFUNCTION("""COMPUTED_VALUE"""),"")</f>
        <v/>
      </c>
      <c r="H33" t="str">
        <f>IFERROR(__xludf.DUMMYFUNCTION("""COMPUTED_VALUE"""),"Brooke H. Miller")</f>
        <v>Brooke H. Miller</v>
      </c>
      <c r="I33" t="str">
        <f>IFERROR(__xludf.DUMMYFUNCTION("""COMPUTED_VALUE"""),"brooke.h.miller@gmail.com")</f>
        <v>brooke.h.miller@gmail.com</v>
      </c>
      <c r="J33" s="55" t="str">
        <f>IFERROR(__xludf.DUMMYFUNCTION("""COMPUTED_VALUE"""),"Comprehensive")</f>
        <v>Comprehensive</v>
      </c>
      <c r="K33" t="str">
        <f>IFERROR(__xludf.DUMMYFUNCTION("""COMPUTED_VALUE"""),"Not at the moment, but wouldn't rule out future involvement")</f>
        <v>Not at the moment, but wouldn't rule out future involvement</v>
      </c>
    </row>
    <row r="34">
      <c r="A34" t="str">
        <f>IFERROR(__xludf.DUMMYFUNCTION("""COMPUTED_VALUE"""),"Contacted")</f>
        <v>Contacted</v>
      </c>
      <c r="B34" t="str">
        <f>IFERROR(__xludf.DUMMYFUNCTION("""COMPUTED_VALUE"""),"")</f>
        <v/>
      </c>
      <c r="C34" s="118">
        <f>IFERROR(__xludf.DUMMYFUNCTION("""COMPUTED_VALUE"""),43570.0)</f>
        <v>43570</v>
      </c>
      <c r="D34" s="55" t="str">
        <f>IFERROR(__xludf.DUMMYFUNCTION("""COMPUTED_VALUE"""),"Yes")</f>
        <v>Yes</v>
      </c>
      <c r="E34" s="55" t="str">
        <f>IFERROR(__xludf.DUMMYFUNCTION("""COMPUTED_VALUE"""),"Yes")</f>
        <v>Yes</v>
      </c>
      <c r="F34" s="55" t="str">
        <f>IFERROR(__xludf.DUMMYFUNCTION("""COMPUTED_VALUE"""),"Gene Disease Validity")</f>
        <v>Gene Disease Validity</v>
      </c>
      <c r="G34" t="str">
        <f>IFERROR(__xludf.DUMMYFUNCTION("""COMPUTED_VALUE"""),"Aminoacidopathy")</f>
        <v>Aminoacidopathy</v>
      </c>
      <c r="H34" t="str">
        <f>IFERROR(__xludf.DUMMYFUNCTION("""COMPUTED_VALUE"""),"Nilufar Inamdar")</f>
        <v>Nilufar Inamdar</v>
      </c>
      <c r="I34" t="str">
        <f>IFERROR(__xludf.DUMMYFUNCTION("""COMPUTED_VALUE"""),"inamdar555@yahoo.com")</f>
        <v>inamdar555@yahoo.com</v>
      </c>
      <c r="J34" s="55" t="str">
        <f>IFERROR(__xludf.DUMMYFUNCTION("""COMPUTED_VALUE"""),"Comprehensive")</f>
        <v>Comprehensive</v>
      </c>
      <c r="K34" t="str">
        <f>IFERROR(__xludf.DUMMYFUNCTION("""COMPUTED_VALUE"""),"Mitochondrial or Aminoaciopathy")</f>
        <v>Mitochondrial or Aminoaciopathy</v>
      </c>
    </row>
    <row r="35">
      <c r="A35" t="str">
        <f>IFERROR(__xludf.DUMMYFUNCTION("""COMPUTED_VALUE"""),"Unresponsive")</f>
        <v>Unresponsive</v>
      </c>
      <c r="B35" t="str">
        <f>IFERROR(__xludf.DUMMYFUNCTION("""COMPUTED_VALUE"""),"")</f>
        <v/>
      </c>
      <c r="C35" t="str">
        <f>IFERROR(__xludf.DUMMYFUNCTION("""COMPUTED_VALUE"""),"")</f>
        <v/>
      </c>
      <c r="D35" s="55" t="str">
        <f>IFERROR(__xludf.DUMMYFUNCTION("""COMPUTED_VALUE"""),"No")</f>
        <v>No</v>
      </c>
      <c r="E35" s="55" t="str">
        <f>IFERROR(__xludf.DUMMYFUNCTION("""COMPUTED_VALUE"""),"No")</f>
        <v>No</v>
      </c>
      <c r="F35" s="55" t="str">
        <f>IFERROR(__xludf.DUMMYFUNCTION("""COMPUTED_VALUE"""),"Gene Disease Validity")</f>
        <v>Gene Disease Validity</v>
      </c>
      <c r="G35" t="str">
        <f>IFERROR(__xludf.DUMMYFUNCTION("""COMPUTED_VALUE"""),"")</f>
        <v/>
      </c>
      <c r="H35" t="str">
        <f>IFERROR(__xludf.DUMMYFUNCTION("""COMPUTED_VALUE"""),"Anand Narayanan")</f>
        <v>Anand Narayanan</v>
      </c>
      <c r="I35" t="str">
        <f>IFERROR(__xludf.DUMMYFUNCTION("""COMPUTED_VALUE"""),"anandnpillai@gmail.com")</f>
        <v>anandnpillai@gmail.com</v>
      </c>
      <c r="J35" s="55" t="str">
        <f>IFERROR(__xludf.DUMMYFUNCTION("""COMPUTED_VALUE"""),"Comprehensive")</f>
        <v>Comprehensive</v>
      </c>
      <c r="K35" t="str">
        <f>IFERROR(__xludf.DUMMYFUNCTION("""COMPUTED_VALUE"""),"No")</f>
        <v>No</v>
      </c>
    </row>
    <row r="36">
      <c r="A36" t="str">
        <f>IFERROR(__xludf.DUMMYFUNCTION("""COMPUTED_VALUE"""),"Contacted")</f>
        <v>Contacted</v>
      </c>
      <c r="B36" t="str">
        <f>IFERROR(__xludf.DUMMYFUNCTION("""COMPUTED_VALUE"""),"")</f>
        <v/>
      </c>
      <c r="C36" s="113">
        <f>IFERROR(__xludf.DUMMYFUNCTION("""COMPUTED_VALUE"""),43585.0)</f>
        <v>43585</v>
      </c>
      <c r="D36" s="55" t="str">
        <f>IFERROR(__xludf.DUMMYFUNCTION("""COMPUTED_VALUE"""),"Yes")</f>
        <v>Yes</v>
      </c>
      <c r="E36" s="55" t="str">
        <f>IFERROR(__xludf.DUMMYFUNCTION("""COMPUTED_VALUE"""),"Yes")</f>
        <v>Yes</v>
      </c>
      <c r="F36" s="55" t="str">
        <f>IFERROR(__xludf.DUMMYFUNCTION("""COMPUTED_VALUE"""),"Gene Disease Validity")</f>
        <v>Gene Disease Validity</v>
      </c>
      <c r="G36" t="str">
        <f>IFERROR(__xludf.DUMMYFUNCTION("""COMPUTED_VALUE"""),"")</f>
        <v/>
      </c>
      <c r="H36" t="str">
        <f>IFERROR(__xludf.DUMMYFUNCTION("""COMPUTED_VALUE"""),"Urjit Patel")</f>
        <v>Urjit Patel</v>
      </c>
      <c r="I36" t="str">
        <f>IFERROR(__xludf.DUMMYFUNCTION("""COMPUTED_VALUE"""),"urjit.x.patel@questdiagnostics.com")</f>
        <v>urjit.x.patel@questdiagnostics.com</v>
      </c>
      <c r="J36" s="55" t="str">
        <f>IFERROR(__xludf.DUMMYFUNCTION("""COMPUTED_VALUE"""),"Comprehensive")</f>
        <v>Comprehensive</v>
      </c>
      <c r="K36" t="str">
        <f>IFERROR(__xludf.DUMMYFUNCTION("""COMPUTED_VALUE"""),"")</f>
        <v/>
      </c>
    </row>
    <row r="37">
      <c r="A37" t="str">
        <f>IFERROR(__xludf.DUMMYFUNCTION("""COMPUTED_VALUE"""),"Contacted")</f>
        <v>Contacted</v>
      </c>
      <c r="B37" t="str">
        <f>IFERROR(__xludf.DUMMYFUNCTION("""COMPUTED_VALUE"""),"")</f>
        <v/>
      </c>
      <c r="C37" s="118">
        <f>IFERROR(__xludf.DUMMYFUNCTION("""COMPUTED_VALUE"""),43570.0)</f>
        <v>43570</v>
      </c>
      <c r="D37" s="55" t="str">
        <f>IFERROR(__xludf.DUMMYFUNCTION("""COMPUTED_VALUE"""),"Yes")</f>
        <v>Yes</v>
      </c>
      <c r="E37" s="55" t="str">
        <f>IFERROR(__xludf.DUMMYFUNCTION("""COMPUTED_VALUE"""),"Yes")</f>
        <v>Yes</v>
      </c>
      <c r="F37" s="55" t="str">
        <f>IFERROR(__xludf.DUMMYFUNCTION("""COMPUTED_VALUE"""),"Gene Disease Validity")</f>
        <v>Gene Disease Validity</v>
      </c>
      <c r="G37" t="str">
        <f>IFERROR(__xludf.DUMMYFUNCTION("""COMPUTED_VALUE"""),"Epilepsy")</f>
        <v>Epilepsy</v>
      </c>
      <c r="H37" t="str">
        <f>IFERROR(__xludf.DUMMYFUNCTION("""COMPUTED_VALUE"""),"Angela Pickart")</f>
        <v>Angela Pickart</v>
      </c>
      <c r="I37" t="str">
        <f>IFERROR(__xludf.DUMMYFUNCTION("""COMPUTED_VALUE"""),"pickart.angela@mayo.edu")</f>
        <v>pickart.angela@mayo.edu</v>
      </c>
      <c r="J37" s="55" t="str">
        <f>IFERROR(__xludf.DUMMYFUNCTION("""COMPUTED_VALUE"""),"Comprehensive")</f>
        <v>Comprehensive</v>
      </c>
      <c r="K37" t="str">
        <f>IFERROR(__xludf.DUMMYFUNCTION("""COMPUTED_VALUE"""),"Epilepsy")</f>
        <v>Epilepsy</v>
      </c>
    </row>
    <row r="38">
      <c r="A38" t="str">
        <f>IFERROR(__xludf.DUMMYFUNCTION("""COMPUTED_VALUE"""),"Contacted")</f>
        <v>Contacted</v>
      </c>
      <c r="B38" t="str">
        <f>IFERROR(__xludf.DUMMYFUNCTION("""COMPUTED_VALUE"""),"8/12/19, 12/20/19")</f>
        <v>8/12/19, 12/20/19</v>
      </c>
      <c r="C38" t="str">
        <f>IFERROR(__xludf.DUMMYFUNCTION("""COMPUTED_VALUE"""),"")</f>
        <v/>
      </c>
      <c r="D38" s="55" t="str">
        <f>IFERROR(__xludf.DUMMYFUNCTION("""COMPUTED_VALUE"""),"No")</f>
        <v>No</v>
      </c>
      <c r="E38" s="55" t="str">
        <f>IFERROR(__xludf.DUMMYFUNCTION("""COMPUTED_VALUE"""),"No")</f>
        <v>No</v>
      </c>
      <c r="F38" s="55" t="str">
        <f>IFERROR(__xludf.DUMMYFUNCTION("""COMPUTED_VALUE"""),"Gene Disease Validity")</f>
        <v>Gene Disease Validity</v>
      </c>
      <c r="G38" t="str">
        <f>IFERROR(__xludf.DUMMYFUNCTION("""COMPUTED_VALUE"""),"")</f>
        <v/>
      </c>
      <c r="H38" t="str">
        <f>IFERROR(__xludf.DUMMYFUNCTION("""COMPUTED_VALUE"""),"GIFTY BHAT")</f>
        <v>GIFTY BHAT</v>
      </c>
      <c r="I38" t="str">
        <f>IFERROR(__xludf.DUMMYFUNCTION("""COMPUTED_VALUE"""),"drgiftybhat@gmail.com")</f>
        <v>drgiftybhat@gmail.com</v>
      </c>
      <c r="J38" s="55" t="str">
        <f>IFERROR(__xludf.DUMMYFUNCTION("""COMPUTED_VALUE"""),"Comprehensive")</f>
        <v>Comprehensive</v>
      </c>
      <c r="K38" t="str">
        <f>IFERROR(__xludf.DUMMYFUNCTION("""COMPUTED_VALUE"""),"Neurodevelopmental/intellectual disability, Rett-Angelman syndrome, PTEN related disorders")</f>
        <v>Neurodevelopmental/intellectual disability, Rett-Angelman syndrome, PTEN related disorders</v>
      </c>
    </row>
    <row r="39">
      <c r="A39" t="str">
        <f>IFERROR(__xludf.DUMMYFUNCTION("""COMPUTED_VALUE"""),"Contacted")</f>
        <v>Contacted</v>
      </c>
      <c r="B39" t="str">
        <f>IFERROR(__xludf.DUMMYFUNCTION("""COMPUTED_VALUE"""),"")</f>
        <v/>
      </c>
      <c r="C39" s="113">
        <f>IFERROR(__xludf.DUMMYFUNCTION("""COMPUTED_VALUE"""),43585.0)</f>
        <v>43585</v>
      </c>
      <c r="D39" s="55" t="str">
        <f>IFERROR(__xludf.DUMMYFUNCTION("""COMPUTED_VALUE"""),"Yes")</f>
        <v>Yes</v>
      </c>
      <c r="E39" s="55" t="str">
        <f>IFERROR(__xludf.DUMMYFUNCTION("""COMPUTED_VALUE"""),"Yes")</f>
        <v>Yes</v>
      </c>
      <c r="F39" s="55" t="str">
        <f>IFERROR(__xludf.DUMMYFUNCTION("""COMPUTED_VALUE"""),"Gene Disease Validity")</f>
        <v>Gene Disease Validity</v>
      </c>
      <c r="G39" t="str">
        <f>IFERROR(__xludf.DUMMYFUNCTION("""COMPUTED_VALUE"""),"Hemo/Thrombo")</f>
        <v>Hemo/Thrombo</v>
      </c>
      <c r="H39" t="str">
        <f>IFERROR(__xludf.DUMMYFUNCTION("""COMPUTED_VALUE"""),"Jing Zhang")</f>
        <v>Jing Zhang</v>
      </c>
      <c r="I39" t="str">
        <f>IFERROR(__xludf.DUMMYFUNCTION("""COMPUTED_VALUE"""),"jzhang@wuxinextcode.com")</f>
        <v>jzhang@wuxinextcode.com</v>
      </c>
      <c r="J39" s="55" t="str">
        <f>IFERROR(__xludf.DUMMYFUNCTION("""COMPUTED_VALUE"""),"Comprehensive")</f>
        <v>Comprehensive</v>
      </c>
      <c r="K39" t="str">
        <f>IFERROR(__xludf.DUMMYFUNCTION("""COMPUTED_VALUE"""),"")</f>
        <v/>
      </c>
    </row>
    <row r="40">
      <c r="A40" t="str">
        <f>IFERROR(__xludf.DUMMYFUNCTION("""COMPUTED_VALUE"""),"Unresponsive")</f>
        <v>Unresponsive</v>
      </c>
      <c r="B40" t="str">
        <f>IFERROR(__xludf.DUMMYFUNCTION("""COMPUTED_VALUE"""),"")</f>
        <v/>
      </c>
      <c r="C40" t="str">
        <f>IFERROR(__xludf.DUMMYFUNCTION("""COMPUTED_VALUE"""),"")</f>
        <v/>
      </c>
      <c r="D40" s="55" t="str">
        <f>IFERROR(__xludf.DUMMYFUNCTION("""COMPUTED_VALUE"""),"No")</f>
        <v>No</v>
      </c>
      <c r="E40" s="55" t="str">
        <f>IFERROR(__xludf.DUMMYFUNCTION("""COMPUTED_VALUE"""),"No")</f>
        <v>No</v>
      </c>
      <c r="F40" s="55" t="str">
        <f>IFERROR(__xludf.DUMMYFUNCTION("""COMPUTED_VALUE"""),"Gene Disease Validity")</f>
        <v>Gene Disease Validity</v>
      </c>
      <c r="G40" t="str">
        <f>IFERROR(__xludf.DUMMYFUNCTION("""COMPUTED_VALUE"""),"")</f>
        <v/>
      </c>
      <c r="H40" t="str">
        <f>IFERROR(__xludf.DUMMYFUNCTION("""COMPUTED_VALUE"""),"Mary-Alice Abbott")</f>
        <v>Mary-Alice Abbott</v>
      </c>
      <c r="I40" t="str">
        <f>IFERROR(__xludf.DUMMYFUNCTION("""COMPUTED_VALUE"""),"Maryalice.abbott@baystatehealth.org")</f>
        <v>Maryalice.abbott@baystatehealth.org</v>
      </c>
      <c r="J40" s="55" t="str">
        <f>IFERROR(__xludf.DUMMYFUNCTION("""COMPUTED_VALUE"""),"Comprehensive")</f>
        <v>Comprehensive</v>
      </c>
      <c r="K40" t="str">
        <f>IFERROR(__xludf.DUMMYFUNCTION("""COMPUTED_VALUE"""),"LSD, ID, actionability")</f>
        <v>LSD, ID, actionability</v>
      </c>
    </row>
    <row r="41">
      <c r="A41" t="str">
        <f>IFERROR(__xludf.DUMMYFUNCTION("""COMPUTED_VALUE"""),"Declined")</f>
        <v>Declined</v>
      </c>
      <c r="B41" t="str">
        <f>IFERROR(__xludf.DUMMYFUNCTION("""COMPUTED_VALUE"""),"")</f>
        <v/>
      </c>
      <c r="C41" s="118">
        <f>IFERROR(__xludf.DUMMYFUNCTION("""COMPUTED_VALUE"""),43570.0)</f>
        <v>43570</v>
      </c>
      <c r="D41" s="55" t="str">
        <f>IFERROR(__xludf.DUMMYFUNCTION("""COMPUTED_VALUE"""),"Yes")</f>
        <v>Yes</v>
      </c>
      <c r="E41" s="55" t="str">
        <f>IFERROR(__xludf.DUMMYFUNCTION("""COMPUTED_VALUE"""),"Yes")</f>
        <v>Yes</v>
      </c>
      <c r="F41" s="55" t="str">
        <f>IFERROR(__xludf.DUMMYFUNCTION("""COMPUTED_VALUE"""),"Gene Disease Validity")</f>
        <v>Gene Disease Validity</v>
      </c>
      <c r="G41" t="str">
        <f>IFERROR(__xludf.DUMMYFUNCTION("""COMPUTED_VALUE"""),"Hemo/Thrombo")</f>
        <v>Hemo/Thrombo</v>
      </c>
      <c r="H41" t="str">
        <f>IFERROR(__xludf.DUMMYFUNCTION("""COMPUTED_VALUE"""),"Samantha Chill")</f>
        <v>Samantha Chill</v>
      </c>
      <c r="I41" t="str">
        <f>IFERROR(__xludf.DUMMYFUNCTION("""COMPUTED_VALUE"""),"slsevilla@gmail.com")</f>
        <v>slsevilla@gmail.com</v>
      </c>
      <c r="J41" s="55" t="str">
        <f>IFERROR(__xludf.DUMMYFUNCTION("""COMPUTED_VALUE"""),"Comprehensive")</f>
        <v>Comprehensive</v>
      </c>
      <c r="K41" t="str">
        <f>IFERROR(__xludf.DUMMYFUNCTION("""COMPUTED_VALUE"""),"")</f>
        <v/>
      </c>
    </row>
    <row r="42">
      <c r="A42" t="str">
        <f>IFERROR(__xludf.DUMMYFUNCTION("""COMPUTED_VALUE"""),"Contacted")</f>
        <v>Contacted</v>
      </c>
      <c r="B42" t="str">
        <f>IFERROR(__xludf.DUMMYFUNCTION("""COMPUTED_VALUE"""),"")</f>
        <v/>
      </c>
      <c r="C42" s="113">
        <f>IFERROR(__xludf.DUMMYFUNCTION("""COMPUTED_VALUE"""),43585.0)</f>
        <v>43585</v>
      </c>
      <c r="D42" s="55" t="str">
        <f>IFERROR(__xludf.DUMMYFUNCTION("""COMPUTED_VALUE"""),"Yes")</f>
        <v>Yes</v>
      </c>
      <c r="E42" s="55" t="str">
        <f>IFERROR(__xludf.DUMMYFUNCTION("""COMPUTED_VALUE"""),"Yes")</f>
        <v>Yes</v>
      </c>
      <c r="F42" s="55" t="str">
        <f>IFERROR(__xludf.DUMMYFUNCTION("""COMPUTED_VALUE"""),"Gene Disease Validity")</f>
        <v>Gene Disease Validity</v>
      </c>
      <c r="G42" t="str">
        <f>IFERROR(__xludf.DUMMYFUNCTION("""COMPUTED_VALUE"""),"ID/Autism")</f>
        <v>ID/Autism</v>
      </c>
      <c r="H42" t="str">
        <f>IFERROR(__xludf.DUMMYFUNCTION("""COMPUTED_VALUE"""),"HECTOR RODRIGO MENDEZ")</f>
        <v>HECTOR RODRIGO MENDEZ</v>
      </c>
      <c r="I42" t="str">
        <f>IFERROR(__xludf.DUMMYFUNCTION("""COMPUTED_VALUE"""),"rodrigomendezh@gmail.com")</f>
        <v>rodrigomendezh@gmail.com</v>
      </c>
      <c r="J42" s="55" t="str">
        <f>IFERROR(__xludf.DUMMYFUNCTION("""COMPUTED_VALUE"""),"Comprehensive")</f>
        <v>Comprehensive</v>
      </c>
      <c r="K42" t="str">
        <f>IFERROR(__xludf.DUMMYFUNCTION("""COMPUTED_VALUE"""),"Intellectual Disability and Autism, RASopathy")</f>
        <v>Intellectual Disability and Autism, RASopathy</v>
      </c>
    </row>
    <row r="43">
      <c r="A43" t="str">
        <f>IFERROR(__xludf.DUMMYFUNCTION("""COMPUTED_VALUE"""),"Contacted")</f>
        <v>Contacted</v>
      </c>
      <c r="B43" t="str">
        <f>IFERROR(__xludf.DUMMYFUNCTION("""COMPUTED_VALUE"""),"")</f>
        <v/>
      </c>
      <c r="C43" s="113">
        <f>IFERROR(__xludf.DUMMYFUNCTION("""COMPUTED_VALUE"""),43585.0)</f>
        <v>43585</v>
      </c>
      <c r="D43" s="55" t="str">
        <f>IFERROR(__xludf.DUMMYFUNCTION("""COMPUTED_VALUE"""),"Yes")</f>
        <v>Yes</v>
      </c>
      <c r="E43" s="55" t="str">
        <f>IFERROR(__xludf.DUMMYFUNCTION("""COMPUTED_VALUE"""),"Yes")</f>
        <v>Yes</v>
      </c>
      <c r="F43" s="55" t="str">
        <f>IFERROR(__xludf.DUMMYFUNCTION("""COMPUTED_VALUE"""),"Gene Disease Validity")</f>
        <v>Gene Disease Validity</v>
      </c>
      <c r="G43" t="str">
        <f>IFERROR(__xludf.DUMMYFUNCTION("""COMPUTED_VALUE"""),"Epilepsy")</f>
        <v>Epilepsy</v>
      </c>
      <c r="H43" t="str">
        <f>IFERROR(__xludf.DUMMYFUNCTION("""COMPUTED_VALUE"""),"Alexander Ing")</f>
        <v>Alexander Ing</v>
      </c>
      <c r="I43" t="str">
        <f>IFERROR(__xludf.DUMMYFUNCTION("""COMPUTED_VALUE"""),"aing@luriechildrens.org")</f>
        <v>aing@luriechildrens.org</v>
      </c>
      <c r="J43" s="55" t="str">
        <f>IFERROR(__xludf.DUMMYFUNCTION("""COMPUTED_VALUE"""),"Comprehensive")</f>
        <v>Comprehensive</v>
      </c>
      <c r="K43" t="str">
        <f>IFERROR(__xludf.DUMMYFUNCTION("""COMPUTED_VALUE"""),"epilepsy")</f>
        <v>epilepsy</v>
      </c>
    </row>
    <row r="44">
      <c r="A44" t="str">
        <f>IFERROR(__xludf.DUMMYFUNCTION("""COMPUTED_VALUE"""),"Contacted")</f>
        <v>Contacted</v>
      </c>
      <c r="B44" t="str">
        <f>IFERROR(__xludf.DUMMYFUNCTION("""COMPUTED_VALUE"""),"")</f>
        <v/>
      </c>
      <c r="C44" s="113">
        <f>IFERROR(__xludf.DUMMYFUNCTION("""COMPUTED_VALUE"""),43692.0)</f>
        <v>43692</v>
      </c>
      <c r="D44" s="55" t="str">
        <f>IFERROR(__xludf.DUMMYFUNCTION("""COMPUTED_VALUE"""),"Yes")</f>
        <v>Yes</v>
      </c>
      <c r="E44" s="55" t="str">
        <f>IFERROR(__xludf.DUMMYFUNCTION("""COMPUTED_VALUE"""),"No")</f>
        <v>No</v>
      </c>
      <c r="F44" s="55" t="str">
        <f>IFERROR(__xludf.DUMMYFUNCTION("""COMPUTED_VALUE"""),"Gene Disease Validity")</f>
        <v>Gene Disease Validity</v>
      </c>
      <c r="G44" t="str">
        <f>IFERROR(__xludf.DUMMYFUNCTION("""COMPUTED_VALUE"""),"")</f>
        <v/>
      </c>
      <c r="H44" t="str">
        <f>IFERROR(__xludf.DUMMYFUNCTION("""COMPUTED_VALUE"""),"Jun Liao")</f>
        <v>Jun Liao</v>
      </c>
      <c r="I44" t="str">
        <f>IFERROR(__xludf.DUMMYFUNCTION("""COMPUTED_VALUE"""),"jl5098@cumc.columbia.edu")</f>
        <v>jl5098@cumc.columbia.edu</v>
      </c>
      <c r="J44" s="55" t="str">
        <f>IFERROR(__xludf.DUMMYFUNCTION("""COMPUTED_VALUE"""),"Comprehensive")</f>
        <v>Comprehensive</v>
      </c>
      <c r="K44" t="str">
        <f>IFERROR(__xludf.DUMMYFUNCTION("""COMPUTED_VALUE"""),"1. Lysosomal Storage Disorders VCEP; 2. ID/Autism GCEP")</f>
        <v>1. Lysosomal Storage Disorders VCEP; 2. ID/Autism GCEP</v>
      </c>
    </row>
    <row r="45">
      <c r="A45" t="str">
        <f>IFERROR(__xludf.DUMMYFUNCTION("""COMPUTED_VALUE"""),"Contacted")</f>
        <v>Contacted</v>
      </c>
      <c r="B45" t="str">
        <f>IFERROR(__xludf.DUMMYFUNCTION("""COMPUTED_VALUE"""),"")</f>
        <v/>
      </c>
      <c r="C45" s="113">
        <f>IFERROR(__xludf.DUMMYFUNCTION("""COMPUTED_VALUE"""),43585.0)</f>
        <v>43585</v>
      </c>
      <c r="D45" s="55" t="str">
        <f>IFERROR(__xludf.DUMMYFUNCTION("""COMPUTED_VALUE"""),"Yes")</f>
        <v>Yes</v>
      </c>
      <c r="E45" s="55" t="str">
        <f>IFERROR(__xludf.DUMMYFUNCTION("""COMPUTED_VALUE"""),"Yes")</f>
        <v>Yes</v>
      </c>
      <c r="F45" s="55" t="str">
        <f>IFERROR(__xludf.DUMMYFUNCTION("""COMPUTED_VALUE"""),"Gene Disease Validity")</f>
        <v>Gene Disease Validity</v>
      </c>
      <c r="G45" t="str">
        <f>IFERROR(__xludf.DUMMYFUNCTION("""COMPUTED_VALUE"""),"Epilepsy")</f>
        <v>Epilepsy</v>
      </c>
      <c r="H45" t="str">
        <f>IFERROR(__xludf.DUMMYFUNCTION("""COMPUTED_VALUE"""),"Maki Kaneko")</f>
        <v>Maki Kaneko</v>
      </c>
      <c r="I45" t="str">
        <f>IFERROR(__xludf.DUMMYFUNCTION("""COMPUTED_VALUE"""),"mkaneko@chla.usc.edu")</f>
        <v>mkaneko@chla.usc.edu</v>
      </c>
      <c r="J45" s="55" t="str">
        <f>IFERROR(__xludf.DUMMYFUNCTION("""COMPUTED_VALUE"""),"Comprehensive")</f>
        <v>Comprehensive</v>
      </c>
      <c r="K45" t="str">
        <f>IFERROR(__xludf.DUMMYFUNCTION("""COMPUTED_VALUE"""),"Epilepsy")</f>
        <v>Epilepsy</v>
      </c>
    </row>
    <row r="46">
      <c r="A46" t="str">
        <f>IFERROR(__xludf.DUMMYFUNCTION("""COMPUTED_VALUE"""),"Contacted")</f>
        <v>Contacted</v>
      </c>
      <c r="B46" s="115">
        <f>IFERROR(__xludf.DUMMYFUNCTION("""COMPUTED_VALUE"""),43819.0)</f>
        <v>43819</v>
      </c>
      <c r="C46" t="str">
        <f>IFERROR(__xludf.DUMMYFUNCTION("""COMPUTED_VALUE"""),"")</f>
        <v/>
      </c>
      <c r="D46" s="55" t="str">
        <f>IFERROR(__xludf.DUMMYFUNCTION("""COMPUTED_VALUE"""),"No")</f>
        <v>No</v>
      </c>
      <c r="E46" s="55" t="str">
        <f>IFERROR(__xludf.DUMMYFUNCTION("""COMPUTED_VALUE"""),"No")</f>
        <v>No</v>
      </c>
      <c r="F46" s="55" t="str">
        <f>IFERROR(__xludf.DUMMYFUNCTION("""COMPUTED_VALUE"""),"Gene Disease Validity")</f>
        <v>Gene Disease Validity</v>
      </c>
      <c r="G46" t="str">
        <f>IFERROR(__xludf.DUMMYFUNCTION("""COMPUTED_VALUE"""),"")</f>
        <v/>
      </c>
      <c r="H46" t="str">
        <f>IFERROR(__xludf.DUMMYFUNCTION("""COMPUTED_VALUE"""),"Bo Yuan")</f>
        <v>Bo Yuan</v>
      </c>
      <c r="I46" t="str">
        <f>IFERROR(__xludf.DUMMYFUNCTION("""COMPUTED_VALUE"""),"by2@bcm.edu")</f>
        <v>by2@bcm.edu</v>
      </c>
      <c r="J46" s="55" t="str">
        <f>IFERROR(__xludf.DUMMYFUNCTION("""COMPUTED_VALUE"""),"Comprehensive")</f>
        <v>Comprehensive</v>
      </c>
      <c r="K46" t="str">
        <f>IFERROR(__xludf.DUMMYFUNCTION("""COMPUTED_VALUE"""),"")</f>
        <v/>
      </c>
    </row>
    <row r="47">
      <c r="A47" t="str">
        <f>IFERROR(__xludf.DUMMYFUNCTION("""COMPUTED_VALUE"""),"Contacted")</f>
        <v>Contacted</v>
      </c>
      <c r="B47" s="115">
        <f>IFERROR(__xludf.DUMMYFUNCTION("""COMPUTED_VALUE"""),43819.0)</f>
        <v>43819</v>
      </c>
      <c r="C47" t="str">
        <f>IFERROR(__xludf.DUMMYFUNCTION("""COMPUTED_VALUE"""),"")</f>
        <v/>
      </c>
      <c r="D47" s="55" t="str">
        <f>IFERROR(__xludf.DUMMYFUNCTION("""COMPUTED_VALUE"""),"No")</f>
        <v>No</v>
      </c>
      <c r="E47" s="55" t="str">
        <f>IFERROR(__xludf.DUMMYFUNCTION("""COMPUTED_VALUE"""),"No")</f>
        <v>No</v>
      </c>
      <c r="F47" s="55" t="str">
        <f>IFERROR(__xludf.DUMMYFUNCTION("""COMPUTED_VALUE"""),"Gene Disease Validity")</f>
        <v>Gene Disease Validity</v>
      </c>
      <c r="G47" t="str">
        <f>IFERROR(__xludf.DUMMYFUNCTION("""COMPUTED_VALUE"""),"")</f>
        <v/>
      </c>
      <c r="H47" t="str">
        <f>IFERROR(__xludf.DUMMYFUNCTION("""COMPUTED_VALUE"""),"Avinash Dharmadhikari")</f>
        <v>Avinash Dharmadhikari</v>
      </c>
      <c r="I47" t="str">
        <f>IFERROR(__xludf.DUMMYFUNCTION("""COMPUTED_VALUE"""),"avd2129@cumc.columbia.edu")</f>
        <v>avd2129@cumc.columbia.edu</v>
      </c>
      <c r="J47" s="55" t="str">
        <f>IFERROR(__xludf.DUMMYFUNCTION("""COMPUTED_VALUE"""),"Comprehensive")</f>
        <v>Comprehensive</v>
      </c>
      <c r="K47" t="str">
        <f>IFERROR(__xludf.DUMMYFUNCTION("""COMPUTED_VALUE"""),"Hearing Loss VCEP &amp; GCEP or Dosage Sensitivity WG or ID/Autism GCEP")</f>
        <v>Hearing Loss VCEP &amp; GCEP or Dosage Sensitivity WG or ID/Autism GCEP</v>
      </c>
    </row>
    <row r="48">
      <c r="A48" t="str">
        <f>IFERROR(__xludf.DUMMYFUNCTION("""COMPUTED_VALUE"""),"Contacted")</f>
        <v>Contacted</v>
      </c>
      <c r="B48" t="str">
        <f>IFERROR(__xludf.DUMMYFUNCTION("""COMPUTED_VALUE"""),"")</f>
        <v/>
      </c>
      <c r="C48" s="113">
        <f>IFERROR(__xludf.DUMMYFUNCTION("""COMPUTED_VALUE"""),43692.0)</f>
        <v>43692</v>
      </c>
      <c r="D48" s="55" t="str">
        <f>IFERROR(__xludf.DUMMYFUNCTION("""COMPUTED_VALUE"""),"Yes")</f>
        <v>Yes</v>
      </c>
      <c r="E48" s="55" t="str">
        <f>IFERROR(__xludf.DUMMYFUNCTION("""COMPUTED_VALUE"""),"No")</f>
        <v>No</v>
      </c>
      <c r="F48" s="55" t="str">
        <f>IFERROR(__xludf.DUMMYFUNCTION("""COMPUTED_VALUE"""),"Gene Disease Validity")</f>
        <v>Gene Disease Validity</v>
      </c>
      <c r="G48" t="str">
        <f>IFERROR(__xludf.DUMMYFUNCTION("""COMPUTED_VALUE"""),"")</f>
        <v/>
      </c>
      <c r="H48" t="str">
        <f>IFERROR(__xludf.DUMMYFUNCTION("""COMPUTED_VALUE"""),"Alison Bright")</f>
        <v>Alison Bright</v>
      </c>
      <c r="I48" t="str">
        <f>IFERROR(__xludf.DUMMYFUNCTION("""COMPUTED_VALUE"""),"alison.r.bright@questdiagnostics.com")</f>
        <v>alison.r.bright@questdiagnostics.com</v>
      </c>
      <c r="J48" s="55" t="str">
        <f>IFERROR(__xludf.DUMMYFUNCTION("""COMPUTED_VALUE"""),"Comprehensive")</f>
        <v>Comprehensive</v>
      </c>
      <c r="K48" t="str">
        <f>IFERROR(__xludf.DUMMYFUNCTION("""COMPUTED_VALUE"""),"ID/Autism")</f>
        <v>ID/Autism</v>
      </c>
    </row>
    <row r="49">
      <c r="A49" t="str">
        <f>IFERROR(__xludf.DUMMYFUNCTION("""COMPUTED_VALUE"""),"Unresponsive")</f>
        <v>Unresponsive</v>
      </c>
      <c r="B49" t="str">
        <f>IFERROR(__xludf.DUMMYFUNCTION("""COMPUTED_VALUE"""),"")</f>
        <v/>
      </c>
      <c r="C49" s="113">
        <f>IFERROR(__xludf.DUMMYFUNCTION("""COMPUTED_VALUE"""),43570.0)</f>
        <v>43570</v>
      </c>
      <c r="D49" s="55" t="str">
        <f>IFERROR(__xludf.DUMMYFUNCTION("""COMPUTED_VALUE"""),"Yes")</f>
        <v>Yes</v>
      </c>
      <c r="E49" s="55" t="str">
        <f>IFERROR(__xludf.DUMMYFUNCTION("""COMPUTED_VALUE"""),"Yes")</f>
        <v>Yes</v>
      </c>
      <c r="F49" s="55" t="str">
        <f>IFERROR(__xludf.DUMMYFUNCTION("""COMPUTED_VALUE"""),"NA")</f>
        <v>NA</v>
      </c>
      <c r="G49" t="str">
        <f>IFERROR(__xludf.DUMMYFUNCTION("""COMPUTED_VALUE"""),"")</f>
        <v/>
      </c>
      <c r="H49" t="str">
        <f>IFERROR(__xludf.DUMMYFUNCTION("""COMPUTED_VALUE"""),"JIXIA LIU")</f>
        <v>JIXIA LIU</v>
      </c>
      <c r="I49" t="str">
        <f>IFERROR(__xludf.DUMMYFUNCTION("""COMPUTED_VALUE"""),"jixialiu@gmail.com")</f>
        <v>jixialiu@gmail.com</v>
      </c>
      <c r="J49" s="55" t="str">
        <f>IFERROR(__xludf.DUMMYFUNCTION("""COMPUTED_VALUE"""),"Comprehensive")</f>
        <v>Comprehensive</v>
      </c>
      <c r="K49" t="str">
        <f>IFERROR(__xludf.DUMMYFUNCTION("""COMPUTED_VALUE"""),"I am in Variant Curation for Lysosomal Storage Disorders now, and would be interested in any gene curation group as well.")</f>
        <v>I am in Variant Curation for Lysosomal Storage Disorders now, and would be interested in any gene curation group as well.</v>
      </c>
    </row>
    <row r="50">
      <c r="A50" t="str">
        <f>IFERROR(__xludf.DUMMYFUNCTION("""COMPUTED_VALUE"""),"Contacted")</f>
        <v>Contacted</v>
      </c>
      <c r="B50" t="str">
        <f>IFERROR(__xludf.DUMMYFUNCTION("""COMPUTED_VALUE"""),"")</f>
        <v/>
      </c>
      <c r="C50" s="113">
        <f>IFERROR(__xludf.DUMMYFUNCTION("""COMPUTED_VALUE"""),43692.0)</f>
        <v>43692</v>
      </c>
      <c r="D50" s="55" t="str">
        <f>IFERROR(__xludf.DUMMYFUNCTION("""COMPUTED_VALUE"""),"Yes")</f>
        <v>Yes</v>
      </c>
      <c r="E50" s="55" t="str">
        <f>IFERROR(__xludf.DUMMYFUNCTION("""COMPUTED_VALUE"""),"Yes")</f>
        <v>Yes</v>
      </c>
      <c r="F50" s="55" t="str">
        <f>IFERROR(__xludf.DUMMYFUNCTION("""COMPUTED_VALUE"""),"Gene Disease Validity")</f>
        <v>Gene Disease Validity</v>
      </c>
      <c r="G50" t="str">
        <f>IFERROR(__xludf.DUMMYFUNCTION("""COMPUTED_VALUE"""),"")</f>
        <v/>
      </c>
      <c r="H50" t="str">
        <f>IFERROR(__xludf.DUMMYFUNCTION("""COMPUTED_VALUE"""),"FEN GUO")</f>
        <v>FEN GUO</v>
      </c>
      <c r="I50" t="str">
        <f>IFERROR(__xludf.DUMMYFUNCTION("""COMPUTED_VALUE"""),"fguo34@wisc.edu")</f>
        <v>fguo34@wisc.edu</v>
      </c>
      <c r="J50" s="55" t="str">
        <f>IFERROR(__xludf.DUMMYFUNCTION("""COMPUTED_VALUE"""),"Comprehensive")</f>
        <v>Comprehensive</v>
      </c>
      <c r="K50" t="str">
        <f>IFERROR(__xludf.DUMMYFUNCTION("""COMPUTED_VALUE"""),"Gene Curation Expert Panels-Hereditary Cancer")</f>
        <v>Gene Curation Expert Panels-Hereditary Cancer</v>
      </c>
    </row>
    <row r="51">
      <c r="A51" t="str">
        <f>IFERROR(__xludf.DUMMYFUNCTION("""COMPUTED_VALUE"""),"Contacted")</f>
        <v>Contacted</v>
      </c>
      <c r="B51" s="115">
        <f>IFERROR(__xludf.DUMMYFUNCTION("""COMPUTED_VALUE"""),43819.0)</f>
        <v>43819</v>
      </c>
      <c r="C51" t="str">
        <f>IFERROR(__xludf.DUMMYFUNCTION("""COMPUTED_VALUE"""),"")</f>
        <v/>
      </c>
      <c r="D51" s="55" t="str">
        <f>IFERROR(__xludf.DUMMYFUNCTION("""COMPUTED_VALUE"""),"")</f>
        <v/>
      </c>
      <c r="E51" s="55" t="str">
        <f>IFERROR(__xludf.DUMMYFUNCTION("""COMPUTED_VALUE"""),"No")</f>
        <v>No</v>
      </c>
      <c r="F51" s="55" t="str">
        <f>IFERROR(__xludf.DUMMYFUNCTION("""COMPUTED_VALUE"""),"Gene Disease Validity")</f>
        <v>Gene Disease Validity</v>
      </c>
      <c r="G51" t="str">
        <f>IFERROR(__xludf.DUMMYFUNCTION("""COMPUTED_VALUE"""),"")</f>
        <v/>
      </c>
      <c r="H51" t="str">
        <f>IFERROR(__xludf.DUMMYFUNCTION("""COMPUTED_VALUE"""),"Elizabeth Palmer")</f>
        <v>Elizabeth Palmer</v>
      </c>
      <c r="I51" t="str">
        <f>IFERROR(__xludf.DUMMYFUNCTION("""COMPUTED_VALUE"""),"elizabeth.palmer1@health.nsw.gov.au")</f>
        <v>elizabeth.palmer1@health.nsw.gov.au</v>
      </c>
      <c r="J51" s="55" t="str">
        <f>IFERROR(__xludf.DUMMYFUNCTION("""COMPUTED_VALUE"""),"Comprehensive")</f>
        <v>Comprehensive</v>
      </c>
      <c r="K51" t="str">
        <f>IFERROR(__xludf.DUMMYFUNCTION("""COMPUTED_VALUE"""),"epilepsy / ID and autism")</f>
        <v>epilepsy / ID and autism</v>
      </c>
    </row>
    <row r="52">
      <c r="A52" t="str">
        <f>IFERROR(__xludf.DUMMYFUNCTION("""COMPUTED_VALUE"""),"Contacted")</f>
        <v>Contacted</v>
      </c>
      <c r="B52" s="115">
        <f>IFERROR(__xludf.DUMMYFUNCTION("""COMPUTED_VALUE"""),43819.0)</f>
        <v>43819</v>
      </c>
      <c r="C52" t="str">
        <f>IFERROR(__xludf.DUMMYFUNCTION("""COMPUTED_VALUE"""),"")</f>
        <v/>
      </c>
      <c r="D52" s="55" t="str">
        <f>IFERROR(__xludf.DUMMYFUNCTION("""COMPUTED_VALUE"""),"")</f>
        <v/>
      </c>
      <c r="E52" s="55" t="str">
        <f>IFERROR(__xludf.DUMMYFUNCTION("""COMPUTED_VALUE"""),"No")</f>
        <v>No</v>
      </c>
      <c r="F52" s="55" t="str">
        <f>IFERROR(__xludf.DUMMYFUNCTION("""COMPUTED_VALUE"""),"Gene Disease Validity")</f>
        <v>Gene Disease Validity</v>
      </c>
      <c r="G52" t="str">
        <f>IFERROR(__xludf.DUMMYFUNCTION("""COMPUTED_VALUE"""),"")</f>
        <v/>
      </c>
      <c r="H52" t="str">
        <f>IFERROR(__xludf.DUMMYFUNCTION("""COMPUTED_VALUE"""),"Andrea Hallberg")</f>
        <v>Andrea Hallberg</v>
      </c>
      <c r="I52" t="str">
        <f>IFERROR(__xludf.DUMMYFUNCTION("""COMPUTED_VALUE"""),"hallberg.andrea@gmail.com")</f>
        <v>hallberg.andrea@gmail.com</v>
      </c>
      <c r="J52" s="55" t="str">
        <f>IFERROR(__xludf.DUMMYFUNCTION("""COMPUTED_VALUE"""),"Comprehensive")</f>
        <v>Comprehensive</v>
      </c>
      <c r="K52" t="str">
        <f>IFERROR(__xludf.DUMMYFUNCTION("""COMPUTED_VALUE"""),"")</f>
        <v/>
      </c>
    </row>
    <row r="53">
      <c r="A53" t="str">
        <f>IFERROR(__xludf.DUMMYFUNCTION("""COMPUTED_VALUE"""),"Contacted")</f>
        <v>Contacted</v>
      </c>
      <c r="B53" s="115">
        <f>IFERROR(__xludf.DUMMYFUNCTION("""COMPUTED_VALUE"""),43819.0)</f>
        <v>43819</v>
      </c>
      <c r="C53" t="str">
        <f>IFERROR(__xludf.DUMMYFUNCTION("""COMPUTED_VALUE"""),"")</f>
        <v/>
      </c>
      <c r="D53" s="55" t="str">
        <f>IFERROR(__xludf.DUMMYFUNCTION("""COMPUTED_VALUE"""),"")</f>
        <v/>
      </c>
      <c r="E53" s="55" t="str">
        <f>IFERROR(__xludf.DUMMYFUNCTION("""COMPUTED_VALUE"""),"No")</f>
        <v>No</v>
      </c>
      <c r="F53" s="55" t="str">
        <f>IFERROR(__xludf.DUMMYFUNCTION("""COMPUTED_VALUE"""),"Gene Disease Validity")</f>
        <v>Gene Disease Validity</v>
      </c>
      <c r="G53" t="str">
        <f>IFERROR(__xludf.DUMMYFUNCTION("""COMPUTED_VALUE"""),"")</f>
        <v/>
      </c>
      <c r="H53" t="str">
        <f>IFERROR(__xludf.DUMMYFUNCTION("""COMPUTED_VALUE"""),"Ingrid Paine")</f>
        <v>Ingrid Paine</v>
      </c>
      <c r="I53" t="str">
        <f>IFERROR(__xludf.DUMMYFUNCTION("""COMPUTED_VALUE"""),"runquist@alumni.bcm.edu")</f>
        <v>runquist@alumni.bcm.edu</v>
      </c>
      <c r="J53" s="55" t="str">
        <f>IFERROR(__xludf.DUMMYFUNCTION("""COMPUTED_VALUE"""),"Comprehensive")</f>
        <v>Comprehensive</v>
      </c>
      <c r="K53" t="str">
        <f>IFERROR(__xludf.DUMMYFUNCTION("""COMPUTED_VALUE"""),"Epilepsy genes and neurodevelopmental")</f>
        <v>Epilepsy genes and neurodevelopmental</v>
      </c>
    </row>
    <row r="54">
      <c r="A54" t="str">
        <f>IFERROR(__xludf.DUMMYFUNCTION("""COMPUTED_VALUE"""),"Contacted")</f>
        <v>Contacted</v>
      </c>
      <c r="B54" s="115">
        <f>IFERROR(__xludf.DUMMYFUNCTION("""COMPUTED_VALUE"""),43819.0)</f>
        <v>43819</v>
      </c>
      <c r="C54" s="115" t="str">
        <f>IFERROR(__xludf.DUMMYFUNCTION("""COMPUTED_VALUE"""),"")</f>
        <v/>
      </c>
      <c r="D54" s="55" t="str">
        <f>IFERROR(__xludf.DUMMYFUNCTION("""COMPUTED_VALUE"""),"")</f>
        <v/>
      </c>
      <c r="E54" s="55" t="str">
        <f>IFERROR(__xludf.DUMMYFUNCTION("""COMPUTED_VALUE"""),"No")</f>
        <v>No</v>
      </c>
      <c r="F54" s="55" t="str">
        <f>IFERROR(__xludf.DUMMYFUNCTION("""COMPUTED_VALUE"""),"Gene Disease Validity")</f>
        <v>Gene Disease Validity</v>
      </c>
      <c r="G54" t="str">
        <f>IFERROR(__xludf.DUMMYFUNCTION("""COMPUTED_VALUE"""),"")</f>
        <v/>
      </c>
      <c r="H54" t="str">
        <f>IFERROR(__xludf.DUMMYFUNCTION("""COMPUTED_VALUE"""),"Emma Reble")</f>
        <v>Emma Reble</v>
      </c>
      <c r="I54" t="str">
        <f>IFERROR(__xludf.DUMMYFUNCTION("""COMPUTED_VALUE"""),"reblee@smh.ca")</f>
        <v>reblee@smh.ca</v>
      </c>
      <c r="J54" s="55" t="str">
        <f>IFERROR(__xludf.DUMMYFUNCTION("""COMPUTED_VALUE"""),"Comprehensive")</f>
        <v>Comprehensive</v>
      </c>
      <c r="K54" t="str">
        <f>IFERROR(__xludf.DUMMYFUNCTION("""COMPUTED_VALUE"""),"ID/Autism")</f>
        <v>ID/Autism</v>
      </c>
    </row>
    <row r="55">
      <c r="A55" t="str">
        <f>IFERROR(__xludf.DUMMYFUNCTION("""COMPUTED_VALUE"""),"Contacted")</f>
        <v>Contacted</v>
      </c>
      <c r="B55" t="str">
        <f>IFERROR(__xludf.DUMMYFUNCTION("""COMPUTED_VALUE"""),"")</f>
        <v/>
      </c>
      <c r="C55" s="113">
        <f>IFERROR(__xludf.DUMMYFUNCTION("""COMPUTED_VALUE"""),43692.0)</f>
        <v>43692</v>
      </c>
      <c r="D55" s="55" t="str">
        <f>IFERROR(__xludf.DUMMYFUNCTION("""COMPUTED_VALUE"""),"Yes")</f>
        <v>Yes</v>
      </c>
      <c r="E55" s="55" t="str">
        <f>IFERROR(__xludf.DUMMYFUNCTION("""COMPUTED_VALUE"""),"Yes")</f>
        <v>Yes</v>
      </c>
      <c r="F55" s="55" t="str">
        <f>IFERROR(__xludf.DUMMYFUNCTION("""COMPUTED_VALUE"""),"Gene Disease Validity")</f>
        <v>Gene Disease Validity</v>
      </c>
      <c r="G55" t="str">
        <f>IFERROR(__xludf.DUMMYFUNCTION("""COMPUTED_VALUE"""),"")</f>
        <v/>
      </c>
      <c r="H55" t="str">
        <f>IFERROR(__xludf.DUMMYFUNCTION("""COMPUTED_VALUE"""),"Amruta Phatak")</f>
        <v>Amruta Phatak</v>
      </c>
      <c r="I55" t="str">
        <f>IFERROR(__xludf.DUMMYFUNCTION("""COMPUTED_VALUE"""),"arphatak@iu.edu")</f>
        <v>arphatak@iu.edu</v>
      </c>
      <c r="J55" s="55" t="str">
        <f>IFERROR(__xludf.DUMMYFUNCTION("""COMPUTED_VALUE"""),"Comprehensive")</f>
        <v>Comprehensive</v>
      </c>
      <c r="K55" t="str">
        <f>IFERROR(__xludf.DUMMYFUNCTION("""COMPUTED_VALUE"""),"")</f>
        <v/>
      </c>
    </row>
    <row r="56">
      <c r="A56" t="str">
        <f>IFERROR(__xludf.DUMMYFUNCTION("""COMPUTED_VALUE"""),"Contacted")</f>
        <v>Contacted</v>
      </c>
      <c r="B56" s="115">
        <f>IFERROR(__xludf.DUMMYFUNCTION("""COMPUTED_VALUE"""),43819.0)</f>
        <v>43819</v>
      </c>
      <c r="C56" t="str">
        <f>IFERROR(__xludf.DUMMYFUNCTION("""COMPUTED_VALUE"""),"")</f>
        <v/>
      </c>
      <c r="D56" s="55" t="str">
        <f>IFERROR(__xludf.DUMMYFUNCTION("""COMPUTED_VALUE"""),"")</f>
        <v/>
      </c>
      <c r="E56" s="55" t="str">
        <f>IFERROR(__xludf.DUMMYFUNCTION("""COMPUTED_VALUE"""),"No")</f>
        <v>No</v>
      </c>
      <c r="F56" s="55" t="str">
        <f>IFERROR(__xludf.DUMMYFUNCTION("""COMPUTED_VALUE"""),"Gene Disease Validity")</f>
        <v>Gene Disease Validity</v>
      </c>
      <c r="G56" t="str">
        <f>IFERROR(__xludf.DUMMYFUNCTION("""COMPUTED_VALUE"""),"")</f>
        <v/>
      </c>
      <c r="H56" t="str">
        <f>IFERROR(__xludf.DUMMYFUNCTION("""COMPUTED_VALUE"""),"Claudia Gonzaga-Jauregui")</f>
        <v>Claudia Gonzaga-Jauregui</v>
      </c>
      <c r="I56" t="str">
        <f>IFERROR(__xludf.DUMMYFUNCTION("""COMPUTED_VALUE"""),"cgonzagaj@gmail.com")</f>
        <v>cgonzagaj@gmail.com</v>
      </c>
      <c r="J56" s="55" t="str">
        <f>IFERROR(__xludf.DUMMYFUNCTION("""COMPUTED_VALUE"""),"Comprehensive")</f>
        <v>Comprehensive</v>
      </c>
      <c r="K56" t="str">
        <f>IFERROR(__xludf.DUMMYFUNCTION("""COMPUTED_VALUE"""),"Intellectual Disability and Autism, Brain Malformations, Charcot-Marie-Tooth Disease")</f>
        <v>Intellectual Disability and Autism, Brain Malformations, Charcot-Marie-Tooth Disease</v>
      </c>
    </row>
    <row r="57">
      <c r="A57" t="str">
        <f>IFERROR(__xludf.DUMMYFUNCTION("""COMPUTED_VALUE"""),"Contacted")</f>
        <v>Contacted</v>
      </c>
      <c r="B57" t="str">
        <f>IFERROR(__xludf.DUMMYFUNCTION("""COMPUTED_VALUE"""),"")</f>
        <v/>
      </c>
      <c r="C57" s="113">
        <f>IFERROR(__xludf.DUMMYFUNCTION("""COMPUTED_VALUE"""),43692.0)</f>
        <v>43692</v>
      </c>
      <c r="D57" s="55" t="str">
        <f>IFERROR(__xludf.DUMMYFUNCTION("""COMPUTED_VALUE"""),"Yes")</f>
        <v>Yes</v>
      </c>
      <c r="E57" s="55" t="str">
        <f>IFERROR(__xludf.DUMMYFUNCTION("""COMPUTED_VALUE"""),"Yes")</f>
        <v>Yes</v>
      </c>
      <c r="F57" s="55" t="str">
        <f>IFERROR(__xludf.DUMMYFUNCTION("""COMPUTED_VALUE"""),"Gene Disease Validity")</f>
        <v>Gene Disease Validity</v>
      </c>
      <c r="G57" t="str">
        <f>IFERROR(__xludf.DUMMYFUNCTION("""COMPUTED_VALUE"""),"")</f>
        <v/>
      </c>
      <c r="H57" t="str">
        <f>IFERROR(__xludf.DUMMYFUNCTION("""COMPUTED_VALUE"""),"Jean Davidson")</f>
        <v>Jean Davidson</v>
      </c>
      <c r="I57" t="str">
        <f>IFERROR(__xludf.DUMMYFUNCTION("""COMPUTED_VALUE"""),"jdavid06@calpoly.edu")</f>
        <v>jdavid06@calpoly.edu</v>
      </c>
      <c r="J57" s="55" t="str">
        <f>IFERROR(__xludf.DUMMYFUNCTION("""COMPUTED_VALUE"""),"Comprehensive")</f>
        <v>Comprehensive</v>
      </c>
      <c r="K57" t="str">
        <f>IFERROR(__xludf.DUMMYFUNCTION("""COMPUTED_VALUE"""),"mitochondrial diseases, dilated cardiomyopathy, ")</f>
        <v>mitochondrial diseases, dilated cardiomyopathy, </v>
      </c>
    </row>
    <row r="58">
      <c r="A58" t="str">
        <f>IFERROR(__xludf.DUMMYFUNCTION("""COMPUTED_VALUE"""),"Unassigned")</f>
        <v>Unassigned</v>
      </c>
      <c r="B58" t="str">
        <f>IFERROR(__xludf.DUMMYFUNCTION("""COMPUTED_VALUE"""),"")</f>
        <v/>
      </c>
      <c r="C58" t="str">
        <f>IFERROR(__xludf.DUMMYFUNCTION("""COMPUTED_VALUE"""),"")</f>
        <v/>
      </c>
      <c r="D58" s="55" t="str">
        <f>IFERROR(__xludf.DUMMYFUNCTION("""COMPUTED_VALUE"""),"")</f>
        <v/>
      </c>
      <c r="E58" s="55" t="str">
        <f>IFERROR(__xludf.DUMMYFUNCTION("""COMPUTED_VALUE"""),"No")</f>
        <v>No</v>
      </c>
      <c r="F58" s="55" t="str">
        <f>IFERROR(__xludf.DUMMYFUNCTION("""COMPUTED_VALUE"""),"Gene Disease Validity")</f>
        <v>Gene Disease Validity</v>
      </c>
      <c r="G58" t="str">
        <f>IFERROR(__xludf.DUMMYFUNCTION("""COMPUTED_VALUE"""),"")</f>
        <v/>
      </c>
      <c r="H58" t="str">
        <f>IFERROR(__xludf.DUMMYFUNCTION("""COMPUTED_VALUE"""),"Amruta Phatak")</f>
        <v>Amruta Phatak</v>
      </c>
      <c r="I58" t="str">
        <f>IFERROR(__xludf.DUMMYFUNCTION("""COMPUTED_VALUE"""),"arphatak@iu.edu")</f>
        <v>arphatak@iu.edu</v>
      </c>
      <c r="J58" s="55" t="str">
        <f>IFERROR(__xludf.DUMMYFUNCTION("""COMPUTED_VALUE"""),"Comprehensive")</f>
        <v>Comprehensive</v>
      </c>
      <c r="K58" t="str">
        <f>IFERROR(__xludf.DUMMYFUNCTION("""COMPUTED_VALUE"""),"")</f>
        <v/>
      </c>
    </row>
    <row r="59">
      <c r="A59" t="str">
        <f>IFERROR(__xludf.DUMMYFUNCTION("""COMPUTED_VALUE"""),"Contacted")</f>
        <v>Contacted</v>
      </c>
      <c r="B59" t="str">
        <f>IFERROR(__xludf.DUMMYFUNCTION("""COMPUTED_VALUE"""),"")</f>
        <v/>
      </c>
      <c r="C59" s="113">
        <f>IFERROR(__xludf.DUMMYFUNCTION("""COMPUTED_VALUE"""),43692.0)</f>
        <v>43692</v>
      </c>
      <c r="D59" s="55" t="str">
        <f>IFERROR(__xludf.DUMMYFUNCTION("""COMPUTED_VALUE"""),"Yes")</f>
        <v>Yes</v>
      </c>
      <c r="E59" s="55" t="str">
        <f>IFERROR(__xludf.DUMMYFUNCTION("""COMPUTED_VALUE"""),"Yes")</f>
        <v>Yes</v>
      </c>
      <c r="F59" s="55" t="str">
        <f>IFERROR(__xludf.DUMMYFUNCTION("""COMPUTED_VALUE"""),"Gene Disease Validity")</f>
        <v>Gene Disease Validity</v>
      </c>
      <c r="G59" t="str">
        <f>IFERROR(__xludf.DUMMYFUNCTION("""COMPUTED_VALUE"""),"")</f>
        <v/>
      </c>
      <c r="H59" t="str">
        <f>IFERROR(__xludf.DUMMYFUNCTION("""COMPUTED_VALUE"""),"Marc Lataillade")</f>
        <v>Marc Lataillade</v>
      </c>
      <c r="I59" t="str">
        <f>IFERROR(__xludf.DUMMYFUNCTION("""COMPUTED_VALUE"""),"marclataillade258@gmail.com")</f>
        <v>marclataillade258@gmail.com</v>
      </c>
      <c r="J59" s="55" t="str">
        <f>IFERROR(__xludf.DUMMYFUNCTION("""COMPUTED_VALUE"""),"Comprehensive")</f>
        <v>Comprehensive</v>
      </c>
      <c r="K59" t="str">
        <f>IFERROR(__xludf.DUMMYFUNCTION("""COMPUTED_VALUE"""),"Of the panels listed I am interested in the aminoacidopathy and VHL group.")</f>
        <v>Of the panels listed I am interested in the aminoacidopathy and VHL group.</v>
      </c>
    </row>
    <row r="60">
      <c r="A60" t="str">
        <f>IFERROR(__xludf.DUMMYFUNCTION("""COMPUTED_VALUE"""),"Contacted")</f>
        <v>Contacted</v>
      </c>
      <c r="B60" t="str">
        <f>IFERROR(__xludf.DUMMYFUNCTION("""COMPUTED_VALUE"""),"")</f>
        <v/>
      </c>
      <c r="C60" s="113">
        <f>IFERROR(__xludf.DUMMYFUNCTION("""COMPUTED_VALUE"""),43692.0)</f>
        <v>43692</v>
      </c>
      <c r="D60" s="55" t="str">
        <f>IFERROR(__xludf.DUMMYFUNCTION("""COMPUTED_VALUE"""),"Yes")</f>
        <v>Yes</v>
      </c>
      <c r="E60" s="55" t="str">
        <f>IFERROR(__xludf.DUMMYFUNCTION("""COMPUTED_VALUE"""),"Yes")</f>
        <v>Yes</v>
      </c>
      <c r="F60" s="55" t="str">
        <f>IFERROR(__xludf.DUMMYFUNCTION("""COMPUTED_VALUE"""),"Gene Disease Validity")</f>
        <v>Gene Disease Validity</v>
      </c>
      <c r="G60" t="str">
        <f>IFERROR(__xludf.DUMMYFUNCTION("""COMPUTED_VALUE"""),"")</f>
        <v/>
      </c>
      <c r="H60" t="str">
        <f>IFERROR(__xludf.DUMMYFUNCTION("""COMPUTED_VALUE"""),"Mayher Patel")</f>
        <v>Mayher Patel</v>
      </c>
      <c r="I60" t="str">
        <f>IFERROR(__xludf.DUMMYFUNCTION("""COMPUTED_VALUE"""),"mayher@broadinstitute.org")</f>
        <v>mayher@broadinstitute.org</v>
      </c>
      <c r="J60" s="55" t="str">
        <f>IFERROR(__xludf.DUMMYFUNCTION("""COMPUTED_VALUE"""),"Comprehensive")</f>
        <v>Comprehensive</v>
      </c>
      <c r="K60" t="str">
        <f>IFERROR(__xludf.DUMMYFUNCTION("""COMPUTED_VALUE"""),"")</f>
        <v/>
      </c>
    </row>
    <row r="61">
      <c r="A61" t="str">
        <f>IFERROR(__xludf.DUMMYFUNCTION("""COMPUTED_VALUE"""),"Contacted")</f>
        <v>Contacted</v>
      </c>
      <c r="B61" t="str">
        <f>IFERROR(__xludf.DUMMYFUNCTION("""COMPUTED_VALUE"""),"")</f>
        <v/>
      </c>
      <c r="C61" s="113">
        <f>IFERROR(__xludf.DUMMYFUNCTION("""COMPUTED_VALUE"""),43692.0)</f>
        <v>43692</v>
      </c>
      <c r="D61" s="55" t="str">
        <f>IFERROR(__xludf.DUMMYFUNCTION("""COMPUTED_VALUE"""),"Yes")</f>
        <v>Yes</v>
      </c>
      <c r="E61" s="55" t="str">
        <f>IFERROR(__xludf.DUMMYFUNCTION("""COMPUTED_VALUE"""),"Yes")</f>
        <v>Yes</v>
      </c>
      <c r="F61" s="55" t="str">
        <f>IFERROR(__xludf.DUMMYFUNCTION("""COMPUTED_VALUE"""),"Gene Disease Validity")</f>
        <v>Gene Disease Validity</v>
      </c>
      <c r="G61" t="str">
        <f>IFERROR(__xludf.DUMMYFUNCTION("""COMPUTED_VALUE"""),"")</f>
        <v/>
      </c>
      <c r="H61" t="str">
        <f>IFERROR(__xludf.DUMMYFUNCTION("""COMPUTED_VALUE"""),"Hwaida Hannoush")</f>
        <v>Hwaida Hannoush</v>
      </c>
      <c r="I61" t="str">
        <f>IFERROR(__xludf.DUMMYFUNCTION("""COMPUTED_VALUE"""),"hhannoush@acmg.net")</f>
        <v>hhannoush@acmg.net</v>
      </c>
      <c r="J61" s="55" t="str">
        <f>IFERROR(__xludf.DUMMYFUNCTION("""COMPUTED_VALUE"""),"Comprehensive")</f>
        <v>Comprehensive</v>
      </c>
      <c r="K61" t="str">
        <f>IFERROR(__xludf.DUMMYFUNCTION("""COMPUTED_VALUE"""),"Cardiomyopathy, Familial Hypercholesterolemia")</f>
        <v>Cardiomyopathy, Familial Hypercholesterolemia</v>
      </c>
    </row>
    <row r="62">
      <c r="A62" t="str">
        <f>IFERROR(__xludf.DUMMYFUNCTION("""COMPUTED_VALUE"""),"Contacted")</f>
        <v>Contacted</v>
      </c>
      <c r="B62" s="115">
        <f>IFERROR(__xludf.DUMMYFUNCTION("""COMPUTED_VALUE"""),43819.0)</f>
        <v>43819</v>
      </c>
      <c r="C62" t="str">
        <f>IFERROR(__xludf.DUMMYFUNCTION("""COMPUTED_VALUE"""),"")</f>
        <v/>
      </c>
      <c r="D62" s="55" t="str">
        <f>IFERROR(__xludf.DUMMYFUNCTION("""COMPUTED_VALUE"""),"")</f>
        <v/>
      </c>
      <c r="E62" s="55" t="str">
        <f>IFERROR(__xludf.DUMMYFUNCTION("""COMPUTED_VALUE"""),"No")</f>
        <v>No</v>
      </c>
      <c r="F62" s="55" t="str">
        <f>IFERROR(__xludf.DUMMYFUNCTION("""COMPUTED_VALUE"""),"Gene Disease Validity")</f>
        <v>Gene Disease Validity</v>
      </c>
      <c r="G62" t="str">
        <f>IFERROR(__xludf.DUMMYFUNCTION("""COMPUTED_VALUE"""),"")</f>
        <v/>
      </c>
      <c r="H62" t="str">
        <f>IFERROR(__xludf.DUMMYFUNCTION("""COMPUTED_VALUE"""),"Jennifer Hull")</f>
        <v>Jennifer Hull</v>
      </c>
      <c r="I62" t="str">
        <f>IFERROR(__xludf.DUMMYFUNCTION("""COMPUTED_VALUE"""),"jhull86@gmail.com")</f>
        <v>jhull86@gmail.com</v>
      </c>
      <c r="J62" s="55" t="str">
        <f>IFERROR(__xludf.DUMMYFUNCTION("""COMPUTED_VALUE"""),"comprehensive")</f>
        <v>comprehensive</v>
      </c>
      <c r="K62" t="str">
        <f>IFERROR(__xludf.DUMMYFUNCTION("""COMPUTED_VALUE"""),"Phenylketonuria Variant Curation Expert Panel, epilepsy, CMT, hypercholesterolemia, colorectal cancer")</f>
        <v>Phenylketonuria Variant Curation Expert Panel, epilepsy, CMT, hypercholesterolemia, colorectal cancer</v>
      </c>
    </row>
    <row r="63">
      <c r="A63" t="str">
        <f>IFERROR(__xludf.DUMMYFUNCTION("""COMPUTED_VALUE"""),"Contacted")</f>
        <v>Contacted</v>
      </c>
      <c r="B63" s="115">
        <f>IFERROR(__xludf.DUMMYFUNCTION("""COMPUTED_VALUE"""),43819.0)</f>
        <v>43819</v>
      </c>
      <c r="C63" t="str">
        <f>IFERROR(__xludf.DUMMYFUNCTION("""COMPUTED_VALUE"""),"")</f>
        <v/>
      </c>
      <c r="D63" s="55" t="str">
        <f>IFERROR(__xludf.DUMMYFUNCTION("""COMPUTED_VALUE"""),"")</f>
        <v/>
      </c>
      <c r="E63" s="55" t="str">
        <f>IFERROR(__xludf.DUMMYFUNCTION("""COMPUTED_VALUE"""),"No")</f>
        <v>No</v>
      </c>
      <c r="F63" s="55" t="str">
        <f>IFERROR(__xludf.DUMMYFUNCTION("""COMPUTED_VALUE"""),"Gene Disease Validity")</f>
        <v>Gene Disease Validity</v>
      </c>
      <c r="G63" t="str">
        <f>IFERROR(__xludf.DUMMYFUNCTION("""COMPUTED_VALUE"""),"")</f>
        <v/>
      </c>
      <c r="H63" t="str">
        <f>IFERROR(__xludf.DUMMYFUNCTION("""COMPUTED_VALUE"""),"MEGHA DANI")</f>
        <v>MEGHA DANI</v>
      </c>
      <c r="I63" t="str">
        <f>IFERROR(__xludf.DUMMYFUNCTION("""COMPUTED_VALUE"""),"meghamdani@gmail.com")</f>
        <v>meghamdani@gmail.com</v>
      </c>
      <c r="J63" s="55" t="str">
        <f>IFERROR(__xludf.DUMMYFUNCTION("""COMPUTED_VALUE"""),"Comprehensive")</f>
        <v>Comprehensive</v>
      </c>
      <c r="K63" t="str">
        <f>IFERROR(__xludf.DUMMYFUNCTION("""COMPUTED_VALUE"""),"Yes")</f>
        <v>Yes</v>
      </c>
    </row>
    <row r="64">
      <c r="A64" t="str">
        <f>IFERROR(__xludf.DUMMYFUNCTION("""COMPUTED_VALUE"""),"Contacted")</f>
        <v>Contacted</v>
      </c>
      <c r="B64" t="str">
        <f>IFERROR(__xludf.DUMMYFUNCTION("""COMPUTED_VALUE"""),"")</f>
        <v/>
      </c>
      <c r="C64" s="113">
        <f>IFERROR(__xludf.DUMMYFUNCTION("""COMPUTED_VALUE"""),43692.0)</f>
        <v>43692</v>
      </c>
      <c r="D64" s="55" t="str">
        <f>IFERROR(__xludf.DUMMYFUNCTION("""COMPUTED_VALUE"""),"Yes")</f>
        <v>Yes</v>
      </c>
      <c r="E64" s="55" t="str">
        <f>IFERROR(__xludf.DUMMYFUNCTION("""COMPUTED_VALUE"""),"No")</f>
        <v>No</v>
      </c>
      <c r="F64" s="55" t="str">
        <f>IFERROR(__xludf.DUMMYFUNCTION("""COMPUTED_VALUE"""),"Gene Disease Validity")</f>
        <v>Gene Disease Validity</v>
      </c>
      <c r="G64" t="str">
        <f>IFERROR(__xludf.DUMMYFUNCTION("""COMPUTED_VALUE"""),"")</f>
        <v/>
      </c>
      <c r="H64" t="str">
        <f>IFERROR(__xludf.DUMMYFUNCTION("""COMPUTED_VALUE"""),"SAILATHA RAVI")</f>
        <v>SAILATHA RAVI</v>
      </c>
      <c r="I64" t="str">
        <f>IFERROR(__xludf.DUMMYFUNCTION("""COMPUTED_VALUE"""),"sailatha.ravi@gmail.com")</f>
        <v>sailatha.ravi@gmail.com</v>
      </c>
      <c r="J64" s="55" t="str">
        <f>IFERROR(__xludf.DUMMYFUNCTION("""COMPUTED_VALUE"""),"Comprehensive")</f>
        <v>Comprehensive</v>
      </c>
      <c r="K64" t="str">
        <f>IFERROR(__xludf.DUMMYFUNCTION("""COMPUTED_VALUE"""),"")</f>
        <v/>
      </c>
    </row>
    <row r="65">
      <c r="A65" t="str">
        <f>IFERROR(__xludf.DUMMYFUNCTION("""COMPUTED_VALUE"""),"Contacted")</f>
        <v>Contacted</v>
      </c>
      <c r="B65" s="115">
        <f>IFERROR(__xludf.DUMMYFUNCTION("""COMPUTED_VALUE"""),43819.0)</f>
        <v>43819</v>
      </c>
      <c r="C65" t="str">
        <f>IFERROR(__xludf.DUMMYFUNCTION("""COMPUTED_VALUE"""),"")</f>
        <v/>
      </c>
      <c r="D65" s="55" t="str">
        <f>IFERROR(__xludf.DUMMYFUNCTION("""COMPUTED_VALUE"""),"")</f>
        <v/>
      </c>
      <c r="E65" s="55" t="str">
        <f>IFERROR(__xludf.DUMMYFUNCTION("""COMPUTED_VALUE"""),"No")</f>
        <v>No</v>
      </c>
      <c r="F65" s="55" t="str">
        <f>IFERROR(__xludf.DUMMYFUNCTION("""COMPUTED_VALUE"""),"Gene Disease Validity")</f>
        <v>Gene Disease Validity</v>
      </c>
      <c r="G65" t="str">
        <f>IFERROR(__xludf.DUMMYFUNCTION("""COMPUTED_VALUE"""),"")</f>
        <v/>
      </c>
      <c r="H65" t="str">
        <f>IFERROR(__xludf.DUMMYFUNCTION("""COMPUTED_VALUE"""),"Yasser Sullcahuaman Allende")</f>
        <v>Yasser Sullcahuaman Allende</v>
      </c>
      <c r="I65" t="str">
        <f>IFERROR(__xludf.DUMMYFUNCTION("""COMPUTED_VALUE"""),"ysullcahuaman@hotmail.com")</f>
        <v>ysullcahuaman@hotmail.com</v>
      </c>
      <c r="J65" s="55" t="str">
        <f>IFERROR(__xludf.DUMMYFUNCTION("""COMPUTED_VALUE"""),"Comprehensive")</f>
        <v>Comprehensive</v>
      </c>
      <c r="K65" t="str">
        <f>IFERROR(__xludf.DUMMYFUNCTION("""COMPUTED_VALUE"""),"Hereditary cancer")</f>
        <v>Hereditary cancer</v>
      </c>
    </row>
    <row r="66">
      <c r="A66" t="str">
        <f>IFERROR(__xludf.DUMMYFUNCTION("""COMPUTED_VALUE"""),"Contacted")</f>
        <v>Contacted</v>
      </c>
      <c r="B66" s="115">
        <f>IFERROR(__xludf.DUMMYFUNCTION("""COMPUTED_VALUE"""),43819.0)</f>
        <v>43819</v>
      </c>
      <c r="C66" t="str">
        <f>IFERROR(__xludf.DUMMYFUNCTION("""COMPUTED_VALUE"""),"")</f>
        <v/>
      </c>
      <c r="D66" s="55" t="str">
        <f>IFERROR(__xludf.DUMMYFUNCTION("""COMPUTED_VALUE"""),"")</f>
        <v/>
      </c>
      <c r="E66" s="55" t="str">
        <f>IFERROR(__xludf.DUMMYFUNCTION("""COMPUTED_VALUE"""),"No")</f>
        <v>No</v>
      </c>
      <c r="F66" s="55" t="str">
        <f>IFERROR(__xludf.DUMMYFUNCTION("""COMPUTED_VALUE"""),"Gene Disease Validity")</f>
        <v>Gene Disease Validity</v>
      </c>
      <c r="G66" t="str">
        <f>IFERROR(__xludf.DUMMYFUNCTION("""COMPUTED_VALUE"""),"")</f>
        <v/>
      </c>
      <c r="H66" t="str">
        <f>IFERROR(__xludf.DUMMYFUNCTION("""COMPUTED_VALUE"""),"Krista Bluske")</f>
        <v>Krista Bluske</v>
      </c>
      <c r="I66" t="str">
        <f>IFERROR(__xludf.DUMMYFUNCTION("""COMPUTED_VALUE"""),"kbluske@illumina.com")</f>
        <v>kbluske@illumina.com</v>
      </c>
      <c r="J66" s="55" t="str">
        <f>IFERROR(__xludf.DUMMYFUNCTION("""COMPUTED_VALUE"""),"Comprehensive")</f>
        <v>Comprehensive</v>
      </c>
      <c r="K66" t="str">
        <f>IFERROR(__xludf.DUMMYFUNCTION("""COMPUTED_VALUE"""),"Mitochondrial Diseases expert panel (already participating), the soon-to-be-formed RUGD expert panel")</f>
        <v>Mitochondrial Diseases expert panel (already participating), the soon-to-be-formed RUGD expert panel</v>
      </c>
    </row>
    <row r="67">
      <c r="A67" t="str">
        <f>IFERROR(__xludf.DUMMYFUNCTION("""COMPUTED_VALUE"""),"Contacted")</f>
        <v>Contacted</v>
      </c>
      <c r="B67" s="115">
        <f>IFERROR(__xludf.DUMMYFUNCTION("""COMPUTED_VALUE"""),43819.0)</f>
        <v>43819</v>
      </c>
      <c r="C67" t="str">
        <f>IFERROR(__xludf.DUMMYFUNCTION("""COMPUTED_VALUE"""),"")</f>
        <v/>
      </c>
      <c r="D67" s="55" t="str">
        <f>IFERROR(__xludf.DUMMYFUNCTION("""COMPUTED_VALUE"""),"")</f>
        <v/>
      </c>
      <c r="E67" s="55" t="str">
        <f>IFERROR(__xludf.DUMMYFUNCTION("""COMPUTED_VALUE"""),"No")</f>
        <v>No</v>
      </c>
      <c r="F67" s="55" t="str">
        <f>IFERROR(__xludf.DUMMYFUNCTION("""COMPUTED_VALUE"""),"Gene Disease Validity")</f>
        <v>Gene Disease Validity</v>
      </c>
      <c r="G67" t="str">
        <f>IFERROR(__xludf.DUMMYFUNCTION("""COMPUTED_VALUE"""),"")</f>
        <v/>
      </c>
      <c r="H67" t="str">
        <f>IFERROR(__xludf.DUMMYFUNCTION("""COMPUTED_VALUE"""),"Amanda Clause")</f>
        <v>Amanda Clause</v>
      </c>
      <c r="I67" t="str">
        <f>IFERROR(__xludf.DUMMYFUNCTION("""COMPUTED_VALUE"""),"aclause@illumina.com")</f>
        <v>aclause@illumina.com</v>
      </c>
      <c r="J67" s="55" t="str">
        <f>IFERROR(__xludf.DUMMYFUNCTION("""COMPUTED_VALUE"""),"Comprehensive")</f>
        <v>Comprehensive</v>
      </c>
      <c r="K67" t="str">
        <f>IFERROR(__xludf.DUMMYFUNCTION("""COMPUTED_VALUE"""),"mitochondrial diseases, rare disease")</f>
        <v>mitochondrial diseases, rare disease</v>
      </c>
    </row>
    <row r="68">
      <c r="A68" t="str">
        <f>IFERROR(__xludf.DUMMYFUNCTION("""COMPUTED_VALUE"""),"Contacted")</f>
        <v>Contacted</v>
      </c>
      <c r="B68" s="115">
        <f>IFERROR(__xludf.DUMMYFUNCTION("""COMPUTED_VALUE"""),43819.0)</f>
        <v>43819</v>
      </c>
      <c r="C68" t="str">
        <f>IFERROR(__xludf.DUMMYFUNCTION("""COMPUTED_VALUE"""),"")</f>
        <v/>
      </c>
      <c r="D68" s="55" t="str">
        <f>IFERROR(__xludf.DUMMYFUNCTION("""COMPUTED_VALUE"""),"")</f>
        <v/>
      </c>
      <c r="E68" s="55" t="str">
        <f>IFERROR(__xludf.DUMMYFUNCTION("""COMPUTED_VALUE"""),"No")</f>
        <v>No</v>
      </c>
      <c r="F68" s="55" t="str">
        <f>IFERROR(__xludf.DUMMYFUNCTION("""COMPUTED_VALUE"""),"Gene Disease Validity")</f>
        <v>Gene Disease Validity</v>
      </c>
      <c r="G68" t="str">
        <f>IFERROR(__xludf.DUMMYFUNCTION("""COMPUTED_VALUE"""),"")</f>
        <v/>
      </c>
      <c r="H68" t="str">
        <f>IFERROR(__xludf.DUMMYFUNCTION("""COMPUTED_VALUE"""),"Julie P Taylor")</f>
        <v>Julie P Taylor</v>
      </c>
      <c r="I68" t="str">
        <f>IFERROR(__xludf.DUMMYFUNCTION("""COMPUTED_VALUE"""),"jtaylor1@illumina.com")</f>
        <v>jtaylor1@illumina.com</v>
      </c>
      <c r="J68" s="55" t="str">
        <f>IFERROR(__xludf.DUMMYFUNCTION("""COMPUTED_VALUE"""),"Comprehensive")</f>
        <v>Comprehensive</v>
      </c>
      <c r="K68" t="str">
        <f>IFERROR(__xludf.DUMMYFUNCTION("""COMPUTED_VALUE"""),"")</f>
        <v/>
      </c>
    </row>
    <row r="69">
      <c r="A69" t="str">
        <f>IFERROR(__xludf.DUMMYFUNCTION("""COMPUTED_VALUE"""),"Contacted")</f>
        <v>Contacted</v>
      </c>
      <c r="B69" s="115">
        <f>IFERROR(__xludf.DUMMYFUNCTION("""COMPUTED_VALUE"""),43840.0)</f>
        <v>43840</v>
      </c>
      <c r="C69" t="str">
        <f>IFERROR(__xludf.DUMMYFUNCTION("""COMPUTED_VALUE"""),"")</f>
        <v/>
      </c>
      <c r="D69" s="55" t="str">
        <f>IFERROR(__xludf.DUMMYFUNCTION("""COMPUTED_VALUE"""),"")</f>
        <v/>
      </c>
      <c r="E69" s="55" t="str">
        <f>IFERROR(__xludf.DUMMYFUNCTION("""COMPUTED_VALUE"""),"No")</f>
        <v>No</v>
      </c>
      <c r="F69" s="55" t="str">
        <f>IFERROR(__xludf.DUMMYFUNCTION("""COMPUTED_VALUE"""),"Gene Disease Validity")</f>
        <v>Gene Disease Validity</v>
      </c>
      <c r="G69" t="str">
        <f>IFERROR(__xludf.DUMMYFUNCTION("""COMPUTED_VALUE"""),"")</f>
        <v/>
      </c>
      <c r="H69" t="str">
        <f>IFERROR(__xludf.DUMMYFUNCTION("""COMPUTED_VALUE"""),"Charlene Preys")</f>
        <v>Charlene Preys</v>
      </c>
      <c r="I69" t="str">
        <f>IFERROR(__xludf.DUMMYFUNCTION("""COMPUTED_VALUE"""),"clpreys@bwh.harvard.edu")</f>
        <v>clpreys@bwh.harvard.edu</v>
      </c>
      <c r="J69" s="55" t="str">
        <f>IFERROR(__xludf.DUMMYFUNCTION("""COMPUTED_VALUE"""),"Comprehensive")</f>
        <v>Comprehensive</v>
      </c>
      <c r="K69" t="str">
        <f>IFERROR(__xludf.DUMMYFUNCTION("""COMPUTED_VALUE"""),"TP53 or Mitochondrial (will gladly help any panel/working group) - Hereditary cancer, Hemostasis or Congenital Myopathy")</f>
        <v>TP53 or Mitochondrial (will gladly help any panel/working group) - Hereditary cancer, Hemostasis or Congenital Myopathy</v>
      </c>
    </row>
    <row r="70">
      <c r="A70" t="str">
        <f>IFERROR(__xludf.DUMMYFUNCTION("""COMPUTED_VALUE"""),"Contacted")</f>
        <v>Contacted</v>
      </c>
      <c r="B70" s="115">
        <f>IFERROR(__xludf.DUMMYFUNCTION("""COMPUTED_VALUE"""),43819.0)</f>
        <v>43819</v>
      </c>
      <c r="C70" t="str">
        <f>IFERROR(__xludf.DUMMYFUNCTION("""COMPUTED_VALUE"""),"")</f>
        <v/>
      </c>
      <c r="D70" s="55" t="str">
        <f>IFERROR(__xludf.DUMMYFUNCTION("""COMPUTED_VALUE"""),"")</f>
        <v/>
      </c>
      <c r="E70" s="55" t="str">
        <f>IFERROR(__xludf.DUMMYFUNCTION("""COMPUTED_VALUE"""),"No")</f>
        <v>No</v>
      </c>
      <c r="F70" s="55" t="str">
        <f>IFERROR(__xludf.DUMMYFUNCTION("""COMPUTED_VALUE"""),"Gene Disease Validity")</f>
        <v>Gene Disease Validity</v>
      </c>
      <c r="G70" t="str">
        <f>IFERROR(__xludf.DUMMYFUNCTION("""COMPUTED_VALUE"""),"")</f>
        <v/>
      </c>
      <c r="H70" t="str">
        <f>IFERROR(__xludf.DUMMYFUNCTION("""COMPUTED_VALUE"""),"Laura Roht")</f>
        <v>Laura Roht</v>
      </c>
      <c r="I70" t="str">
        <f>IFERROR(__xludf.DUMMYFUNCTION("""COMPUTED_VALUE"""),"laura.roht@kliinikum.ee")</f>
        <v>laura.roht@kliinikum.ee</v>
      </c>
      <c r="J70" s="55" t="str">
        <f>IFERROR(__xludf.DUMMYFUNCTION("""COMPUTED_VALUE"""),"Comprehensive")</f>
        <v>Comprehensive</v>
      </c>
      <c r="K70" t="str">
        <f>IFERROR(__xludf.DUMMYFUNCTION("""COMPUTED_VALUE"""),"Hereditary Cancer")</f>
        <v>Hereditary Cancer</v>
      </c>
    </row>
    <row r="71">
      <c r="A71" t="str">
        <f>IFERROR(__xludf.DUMMYFUNCTION("""COMPUTED_VALUE"""),"Contacted")</f>
        <v>Contacted</v>
      </c>
      <c r="B71" t="str">
        <f>IFERROR(__xludf.DUMMYFUNCTION("""COMPUTED_VALUE"""),"")</f>
        <v/>
      </c>
      <c r="C71" s="119">
        <f>IFERROR(__xludf.DUMMYFUNCTION("""COMPUTED_VALUE"""),43585.0)</f>
        <v>43585</v>
      </c>
      <c r="D71" s="55" t="str">
        <f>IFERROR(__xludf.DUMMYFUNCTION("""COMPUTED_VALUE"""),"Yes")</f>
        <v>Yes</v>
      </c>
      <c r="E71" s="55" t="str">
        <f>IFERROR(__xludf.DUMMYFUNCTION("""COMPUTED_VALUE"""),"No")</f>
        <v>No</v>
      </c>
      <c r="F71" s="55" t="str">
        <f>IFERROR(__xludf.DUMMYFUNCTION("""COMPUTED_VALUE"""),"Gene Disease Validity")</f>
        <v>Gene Disease Validity</v>
      </c>
      <c r="G71" t="str">
        <f>IFERROR(__xludf.DUMMYFUNCTION("""COMPUTED_VALUE"""),"")</f>
        <v/>
      </c>
      <c r="H71" t="str">
        <f>IFERROR(__xludf.DUMMYFUNCTION("""COMPUTED_VALUE"""),"Coumarane Mani")</f>
        <v>Coumarane Mani</v>
      </c>
      <c r="I71" t="str">
        <f>IFERROR(__xludf.DUMMYFUNCTION("""COMPUTED_VALUE"""),"coumarane.mani@aruplab.com")</f>
        <v>coumarane.mani@aruplab.com</v>
      </c>
      <c r="J71" s="55" t="str">
        <f>IFERROR(__xludf.DUMMYFUNCTION("""COMPUTED_VALUE"""),"Comprehensive")</f>
        <v>Comprehensive</v>
      </c>
      <c r="K71" t="str">
        <f>IFERROR(__xludf.DUMMYFUNCTION("""COMPUTED_VALUE"""),"")</f>
        <v/>
      </c>
    </row>
    <row r="72">
      <c r="A72" t="str">
        <f>IFERROR(__xludf.DUMMYFUNCTION("""COMPUTED_VALUE"""),"Contacted")</f>
        <v>Contacted</v>
      </c>
      <c r="B72" s="115">
        <f>IFERROR(__xludf.DUMMYFUNCTION("""COMPUTED_VALUE"""),43819.0)</f>
        <v>43819</v>
      </c>
      <c r="C72" s="114">
        <f>IFERROR(__xludf.DUMMYFUNCTION("""COMPUTED_VALUE"""),43846.0)</f>
        <v>43846</v>
      </c>
      <c r="D72" s="55" t="str">
        <f>IFERROR(__xludf.DUMMYFUNCTION("""COMPUTED_VALUE"""),"Yes")</f>
        <v>Yes</v>
      </c>
      <c r="E72" s="55" t="str">
        <f>IFERROR(__xludf.DUMMYFUNCTION("""COMPUTED_VALUE"""),"No")</f>
        <v>No</v>
      </c>
      <c r="F72" s="55" t="str">
        <f>IFERROR(__xludf.DUMMYFUNCTION("""COMPUTED_VALUE"""),"Gene Disease Validity")</f>
        <v>Gene Disease Validity</v>
      </c>
      <c r="G72" t="str">
        <f>IFERROR(__xludf.DUMMYFUNCTION("""COMPUTED_VALUE"""),"")</f>
        <v/>
      </c>
      <c r="H72" t="str">
        <f>IFERROR(__xludf.DUMMYFUNCTION("""COMPUTED_VALUE"""),"Xiaoting Ma")</f>
        <v>Xiaoting Ma</v>
      </c>
      <c r="I72" t="str">
        <f>IFERROR(__xludf.DUMMYFUNCTION("""COMPUTED_VALUE"""),"Xiaoting.Ma@childrens.harvard.edu")</f>
        <v>Xiaoting.Ma@childrens.harvard.edu</v>
      </c>
      <c r="J72" s="55" t="str">
        <f>IFERROR(__xludf.DUMMYFUNCTION("""COMPUTED_VALUE"""),"Comprehensive")</f>
        <v>Comprehensive</v>
      </c>
      <c r="K72" t="str">
        <f>IFERROR(__xludf.DUMMYFUNCTION("""COMPUTED_VALUE"""),"I am open to any opportunities")</f>
        <v>I am open to any opportunities</v>
      </c>
    </row>
    <row r="73">
      <c r="A73" t="str">
        <f>IFERROR(__xludf.DUMMYFUNCTION("""COMPUTED_VALUE"""),"Contacted")</f>
        <v>Contacted</v>
      </c>
      <c r="B73" s="115">
        <f>IFERROR(__xludf.DUMMYFUNCTION("""COMPUTED_VALUE"""),43819.0)</f>
        <v>43819</v>
      </c>
      <c r="C73" t="str">
        <f>IFERROR(__xludf.DUMMYFUNCTION("""COMPUTED_VALUE"""),"")</f>
        <v/>
      </c>
      <c r="D73" s="55" t="str">
        <f>IFERROR(__xludf.DUMMYFUNCTION("""COMPUTED_VALUE"""),"")</f>
        <v/>
      </c>
      <c r="E73" s="55" t="str">
        <f>IFERROR(__xludf.DUMMYFUNCTION("""COMPUTED_VALUE"""),"No")</f>
        <v>No</v>
      </c>
      <c r="F73" s="55" t="str">
        <f>IFERROR(__xludf.DUMMYFUNCTION("""COMPUTED_VALUE"""),"Gene Disease Validity")</f>
        <v>Gene Disease Validity</v>
      </c>
      <c r="G73" t="str">
        <f>IFERROR(__xludf.DUMMYFUNCTION("""COMPUTED_VALUE"""),"")</f>
        <v/>
      </c>
      <c r="H73" t="str">
        <f>IFERROR(__xludf.DUMMYFUNCTION("""COMPUTED_VALUE"""),"Sali Farhan")</f>
        <v>Sali Farhan</v>
      </c>
      <c r="I73" t="str">
        <f>IFERROR(__xludf.DUMMYFUNCTION("""COMPUTED_VALUE"""),"sfarhan@broadinstitute.org")</f>
        <v>sfarhan@broadinstitute.org</v>
      </c>
      <c r="J73" s="55" t="str">
        <f>IFERROR(__xludf.DUMMYFUNCTION("""COMPUTED_VALUE"""),"Comprehensive")</f>
        <v>Comprehensive</v>
      </c>
      <c r="K73" t="str">
        <f>IFERROR(__xludf.DUMMYFUNCTION("""COMPUTED_VALUE"""),"")</f>
        <v/>
      </c>
    </row>
    <row r="74">
      <c r="A74" t="str">
        <f>IFERROR(__xludf.DUMMYFUNCTION("""COMPUTED_VALUE"""),"Contacted")</f>
        <v>Contacted</v>
      </c>
      <c r="B74" t="str">
        <f>IFERROR(__xludf.DUMMYFUNCTION("""COMPUTED_VALUE"""),"")</f>
        <v/>
      </c>
      <c r="C74" s="114">
        <f>IFERROR(__xludf.DUMMYFUNCTION("""COMPUTED_VALUE"""),43846.0)</f>
        <v>43846</v>
      </c>
      <c r="D74" s="55" t="str">
        <f>IFERROR(__xludf.DUMMYFUNCTION("""COMPUTED_VALUE"""),"Yes")</f>
        <v>Yes</v>
      </c>
      <c r="E74" s="55" t="str">
        <f>IFERROR(__xludf.DUMMYFUNCTION("""COMPUTED_VALUE"""),"Yes")</f>
        <v>Yes</v>
      </c>
      <c r="F74" s="55" t="str">
        <f>IFERROR(__xludf.DUMMYFUNCTION("""COMPUTED_VALUE"""),"Gene Disease Validity")</f>
        <v>Gene Disease Validity</v>
      </c>
      <c r="G74" t="str">
        <f>IFERROR(__xludf.DUMMYFUNCTION("""COMPUTED_VALUE"""),"")</f>
        <v/>
      </c>
      <c r="H74" t="str">
        <f>IFERROR(__xludf.DUMMYFUNCTION("""COMPUTED_VALUE"""),"Julie Kim ")</f>
        <v>Julie Kim </v>
      </c>
      <c r="I74" t="str">
        <f>IFERROR(__xludf.DUMMYFUNCTION("""COMPUTED_VALUE"""),"serin.kim@nih.gov")</f>
        <v>serin.kim@nih.gov</v>
      </c>
      <c r="J74" s="55" t="str">
        <f>IFERROR(__xludf.DUMMYFUNCTION("""COMPUTED_VALUE"""),"Comprehensive")</f>
        <v>Comprehensive</v>
      </c>
      <c r="K74" t="str">
        <f>IFERROR(__xludf.DUMMYFUNCTION("""COMPUTED_VALUE"""),"Cardiomyopathy, Brain Malformations, hearing loss")</f>
        <v>Cardiomyopathy, Brain Malformations, hearing loss</v>
      </c>
    </row>
    <row r="75">
      <c r="A75" t="str">
        <f>IFERROR(__xludf.DUMMYFUNCTION("""COMPUTED_VALUE"""),"Contacted")</f>
        <v>Contacted</v>
      </c>
      <c r="B75" s="115">
        <f>IFERROR(__xludf.DUMMYFUNCTION("""COMPUTED_VALUE"""),43819.0)</f>
        <v>43819</v>
      </c>
      <c r="C75" s="114">
        <f>IFERROR(__xludf.DUMMYFUNCTION("""COMPUTED_VALUE"""),43846.0)</f>
        <v>43846</v>
      </c>
      <c r="D75" s="55" t="str">
        <f>IFERROR(__xludf.DUMMYFUNCTION("""COMPUTED_VALUE"""),"Yes")</f>
        <v>Yes</v>
      </c>
      <c r="E75" s="55" t="str">
        <f>IFERROR(__xludf.DUMMYFUNCTION("""COMPUTED_VALUE"""),"No")</f>
        <v>No</v>
      </c>
      <c r="F75" s="55" t="str">
        <f>IFERROR(__xludf.DUMMYFUNCTION("""COMPUTED_VALUE"""),"Gene Disease Validity")</f>
        <v>Gene Disease Validity</v>
      </c>
      <c r="G75" t="str">
        <f>IFERROR(__xludf.DUMMYFUNCTION("""COMPUTED_VALUE"""),"")</f>
        <v/>
      </c>
      <c r="H75" t="str">
        <f>IFERROR(__xludf.DUMMYFUNCTION("""COMPUTED_VALUE"""),"Ikeoluwa Osei-Owusu")</f>
        <v>Ikeoluwa Osei-Owusu</v>
      </c>
      <c r="I75" t="str">
        <f>IFERROR(__xludf.DUMMYFUNCTION("""COMPUTED_VALUE"""),"ikeoluwa@jhmi.edu")</f>
        <v>ikeoluwa@jhmi.edu</v>
      </c>
      <c r="J75" s="55" t="str">
        <f>IFERROR(__xludf.DUMMYFUNCTION("""COMPUTED_VALUE"""),"Comprehensive")</f>
        <v>Comprehensive</v>
      </c>
      <c r="K75" t="str">
        <f>IFERROR(__xludf.DUMMYFUNCTION("""COMPUTED_VALUE"""),"Neurodevelopmental Dosage Sensitivity Working Group; Brain Malformations Gene Curation Expert Panel; Brain Malformations Variant Curation Expert Panel; Pediatric Actionability Working Group")</f>
        <v>Neurodevelopmental Dosage Sensitivity Working Group; Brain Malformations Gene Curation Expert Panel; Brain Malformations Variant Curation Expert Panel; Pediatric Actionability Working Group</v>
      </c>
    </row>
    <row r="76">
      <c r="A76" t="str">
        <f>IFERROR(__xludf.DUMMYFUNCTION("""COMPUTED_VALUE"""),"Contacted")</f>
        <v>Contacted</v>
      </c>
      <c r="B76" s="115">
        <f>IFERROR(__xludf.DUMMYFUNCTION("""COMPUTED_VALUE"""),43819.0)</f>
        <v>43819</v>
      </c>
      <c r="C76" s="114">
        <f>IFERROR(__xludf.DUMMYFUNCTION("""COMPUTED_VALUE"""),43846.0)</f>
        <v>43846</v>
      </c>
      <c r="D76" s="55" t="str">
        <f>IFERROR(__xludf.DUMMYFUNCTION("""COMPUTED_VALUE"""),"Yes")</f>
        <v>Yes</v>
      </c>
      <c r="E76" s="55" t="str">
        <f>IFERROR(__xludf.DUMMYFUNCTION("""COMPUTED_VALUE"""),"No")</f>
        <v>No</v>
      </c>
      <c r="F76" s="55" t="str">
        <f>IFERROR(__xludf.DUMMYFUNCTION("""COMPUTED_VALUE"""),"Gene Disease Validity")</f>
        <v>Gene Disease Validity</v>
      </c>
      <c r="G76" t="str">
        <f>IFERROR(__xludf.DUMMYFUNCTION("""COMPUTED_VALUE"""),"")</f>
        <v/>
      </c>
      <c r="H76" t="str">
        <f>IFERROR(__xludf.DUMMYFUNCTION("""COMPUTED_VALUE"""),"Beth Stronach")</f>
        <v>Beth Stronach</v>
      </c>
      <c r="I76" t="str">
        <f>IFERROR(__xludf.DUMMYFUNCTION("""COMPUTED_VALUE"""),"stronach@pitt.edu")</f>
        <v>stronach@pitt.edu</v>
      </c>
      <c r="J76" s="55" t="str">
        <f>IFERROR(__xludf.DUMMYFUNCTION("""COMPUTED_VALUE"""),"Comprehensive")</f>
        <v>Comprehensive</v>
      </c>
      <c r="K76" t="str">
        <f>IFERROR(__xludf.DUMMYFUNCTION("""COMPUTED_VALUE"""),"RASopathy, neurodevelopmental, or myopathy groups")</f>
        <v>RASopathy, neurodevelopmental, or myopathy groups</v>
      </c>
    </row>
    <row r="77">
      <c r="A77" t="str">
        <f>IFERROR(__xludf.DUMMYFUNCTION("""COMPUTED_VALUE"""),"Contacted")</f>
        <v>Contacted</v>
      </c>
      <c r="B77" s="115">
        <f>IFERROR(__xludf.DUMMYFUNCTION("""COMPUTED_VALUE"""),43819.0)</f>
        <v>43819</v>
      </c>
      <c r="C77" t="str">
        <f>IFERROR(__xludf.DUMMYFUNCTION("""COMPUTED_VALUE"""),"")</f>
        <v/>
      </c>
      <c r="D77" s="55" t="str">
        <f>IFERROR(__xludf.DUMMYFUNCTION("""COMPUTED_VALUE"""),"")</f>
        <v/>
      </c>
      <c r="E77" s="55" t="str">
        <f>IFERROR(__xludf.DUMMYFUNCTION("""COMPUTED_VALUE"""),"No")</f>
        <v>No</v>
      </c>
      <c r="F77" s="55" t="str">
        <f>IFERROR(__xludf.DUMMYFUNCTION("""COMPUTED_VALUE"""),"Gene Disease Validity")</f>
        <v>Gene Disease Validity</v>
      </c>
      <c r="G77" t="str">
        <f>IFERROR(__xludf.DUMMYFUNCTION("""COMPUTED_VALUE"""),"")</f>
        <v/>
      </c>
      <c r="H77" t="str">
        <f>IFERROR(__xludf.DUMMYFUNCTION("""COMPUTED_VALUE"""),"Vasiliki Rahimzadeh")</f>
        <v>Vasiliki Rahimzadeh</v>
      </c>
      <c r="I77" t="str">
        <f>IFERROR(__xludf.DUMMYFUNCTION("""COMPUTED_VALUE"""),"vrahim@stanford.edu")</f>
        <v>vrahim@stanford.edu</v>
      </c>
      <c r="J77" s="55" t="str">
        <f>IFERROR(__xludf.DUMMYFUNCTION("""COMPUTED_VALUE"""),"Comprehensive")</f>
        <v>Comprehensive</v>
      </c>
      <c r="K77" t="str">
        <f>IFERROR(__xludf.DUMMYFUNCTION("""COMPUTED_VALUE"""),"Yes, pediatric cancer or rare genetic disease ")</f>
        <v>Yes, pediatric cancer or rare genetic disease </v>
      </c>
    </row>
    <row r="78">
      <c r="A78" t="str">
        <f>IFERROR(__xludf.DUMMYFUNCTION("""COMPUTED_VALUE"""),"Contacted")</f>
        <v>Contacted</v>
      </c>
      <c r="B78" s="115">
        <f>IFERROR(__xludf.DUMMYFUNCTION("""COMPUTED_VALUE"""),43819.0)</f>
        <v>43819</v>
      </c>
      <c r="C78" t="str">
        <f>IFERROR(__xludf.DUMMYFUNCTION("""COMPUTED_VALUE"""),"")</f>
        <v/>
      </c>
      <c r="D78" s="55" t="str">
        <f>IFERROR(__xludf.DUMMYFUNCTION("""COMPUTED_VALUE"""),"")</f>
        <v/>
      </c>
      <c r="E78" s="55" t="str">
        <f>IFERROR(__xludf.DUMMYFUNCTION("""COMPUTED_VALUE"""),"No")</f>
        <v>No</v>
      </c>
      <c r="F78" s="55" t="str">
        <f>IFERROR(__xludf.DUMMYFUNCTION("""COMPUTED_VALUE"""),"Gene Disease Validity")</f>
        <v>Gene Disease Validity</v>
      </c>
      <c r="G78" t="str">
        <f>IFERROR(__xludf.DUMMYFUNCTION("""COMPUTED_VALUE"""),"")</f>
        <v/>
      </c>
      <c r="H78" t="str">
        <f>IFERROR(__xludf.DUMMYFUNCTION("""COMPUTED_VALUE"""),"Sha Tang")</f>
        <v>Sha Tang</v>
      </c>
      <c r="I78" t="str">
        <f>IFERROR(__xludf.DUMMYFUNCTION("""COMPUTED_VALUE"""),"stang@wuxinextcode.cm")</f>
        <v>stang@wuxinextcode.cm</v>
      </c>
      <c r="J78" s="55" t="str">
        <f>IFERROR(__xludf.DUMMYFUNCTION("""COMPUTED_VALUE"""),"Comprehensive")</f>
        <v>Comprehensive</v>
      </c>
      <c r="K78" t="str">
        <f>IFERROR(__xludf.DUMMYFUNCTION("""COMPUTED_VALUE"""),"Intellectual Disability and Autism, Mitochondrial Diseases")</f>
        <v>Intellectual Disability and Autism, Mitochondrial Diseases</v>
      </c>
    </row>
    <row r="79">
      <c r="A79" t="str">
        <f>IFERROR(__xludf.DUMMYFUNCTION("""COMPUTED_VALUE"""),"Contacted")</f>
        <v>Contacted</v>
      </c>
      <c r="B79" s="115">
        <f>IFERROR(__xludf.DUMMYFUNCTION("""COMPUTED_VALUE"""),43819.0)</f>
        <v>43819</v>
      </c>
      <c r="C79" t="str">
        <f>IFERROR(__xludf.DUMMYFUNCTION("""COMPUTED_VALUE"""),"")</f>
        <v/>
      </c>
      <c r="D79" s="55" t="str">
        <f>IFERROR(__xludf.DUMMYFUNCTION("""COMPUTED_VALUE"""),"")</f>
        <v/>
      </c>
      <c r="E79" s="55" t="str">
        <f>IFERROR(__xludf.DUMMYFUNCTION("""COMPUTED_VALUE"""),"No")</f>
        <v>No</v>
      </c>
      <c r="F79" s="55" t="str">
        <f>IFERROR(__xludf.DUMMYFUNCTION("""COMPUTED_VALUE"""),"Gene Disease Validity")</f>
        <v>Gene Disease Validity</v>
      </c>
      <c r="G79" t="str">
        <f>IFERROR(__xludf.DUMMYFUNCTION("""COMPUTED_VALUE"""),"")</f>
        <v/>
      </c>
      <c r="H79" t="str">
        <f>IFERROR(__xludf.DUMMYFUNCTION("""COMPUTED_VALUE"""),"Steve Waring")</f>
        <v>Steve Waring</v>
      </c>
      <c r="I79" t="str">
        <f>IFERROR(__xludf.DUMMYFUNCTION("""COMPUTED_VALUE"""),"stephen.waring@essentiahealth.org")</f>
        <v>stephen.waring@essentiahealth.org</v>
      </c>
      <c r="J79" s="55" t="str">
        <f>IFERROR(__xludf.DUMMYFUNCTION("""COMPUTED_VALUE"""),"Comprehensive")</f>
        <v>Comprehensive</v>
      </c>
      <c r="K79" t="str">
        <f>IFERROR(__xludf.DUMMYFUNCTION("""COMPUTED_VALUE"""),"Open to assignment based on greatest need")</f>
        <v>Open to assignment based on greatest need</v>
      </c>
    </row>
    <row r="80">
      <c r="A80" t="str">
        <f>IFERROR(__xludf.DUMMYFUNCTION("""COMPUTED_VALUE"""),"Contacted")</f>
        <v>Contacted</v>
      </c>
      <c r="B80" s="115">
        <f>IFERROR(__xludf.DUMMYFUNCTION("""COMPUTED_VALUE"""),43819.0)</f>
        <v>43819</v>
      </c>
      <c r="C80" t="str">
        <f>IFERROR(__xludf.DUMMYFUNCTION("""COMPUTED_VALUE"""),"")</f>
        <v/>
      </c>
      <c r="D80" s="55" t="str">
        <f>IFERROR(__xludf.DUMMYFUNCTION("""COMPUTED_VALUE"""),"")</f>
        <v/>
      </c>
      <c r="E80" s="55" t="str">
        <f>IFERROR(__xludf.DUMMYFUNCTION("""COMPUTED_VALUE"""),"No")</f>
        <v>No</v>
      </c>
      <c r="F80" s="55" t="str">
        <f>IFERROR(__xludf.DUMMYFUNCTION("""COMPUTED_VALUE"""),"Gene Disease Validity")</f>
        <v>Gene Disease Validity</v>
      </c>
      <c r="G80" t="str">
        <f>IFERROR(__xludf.DUMMYFUNCTION("""COMPUTED_VALUE"""),"")</f>
        <v/>
      </c>
      <c r="H80" t="str">
        <f>IFERROR(__xludf.DUMMYFUNCTION("""COMPUTED_VALUE"""),"Mansour Zamanpoor")</f>
        <v>Mansour Zamanpoor</v>
      </c>
      <c r="I80" t="str">
        <f>IFERROR(__xludf.DUMMYFUNCTION("""COMPUTED_VALUE"""),"mansour.zamanpoor@ccdhb.org.nz")</f>
        <v>mansour.zamanpoor@ccdhb.org.nz</v>
      </c>
      <c r="J80" s="55" t="str">
        <f>IFERROR(__xludf.DUMMYFUNCTION("""COMPUTED_VALUE"""),"Comprehensive")</f>
        <v>Comprehensive</v>
      </c>
      <c r="K80" t="str">
        <f>IFERROR(__xludf.DUMMYFUNCTION("""COMPUTED_VALUE"""),"")</f>
        <v/>
      </c>
    </row>
    <row r="81">
      <c r="A81" t="str">
        <f>IFERROR(__xludf.DUMMYFUNCTION("""COMPUTED_VALUE"""),"Contacted")</f>
        <v>Contacted</v>
      </c>
      <c r="B81" s="115">
        <f>IFERROR(__xludf.DUMMYFUNCTION("""COMPUTED_VALUE"""),43819.0)</f>
        <v>43819</v>
      </c>
      <c r="C81" s="114">
        <f>IFERROR(__xludf.DUMMYFUNCTION("""COMPUTED_VALUE"""),43846.0)</f>
        <v>43846</v>
      </c>
      <c r="D81" s="55" t="str">
        <f>IFERROR(__xludf.DUMMYFUNCTION("""COMPUTED_VALUE"""),"Yes")</f>
        <v>Yes</v>
      </c>
      <c r="E81" s="55" t="str">
        <f>IFERROR(__xludf.DUMMYFUNCTION("""COMPUTED_VALUE"""),"Yes")</f>
        <v>Yes</v>
      </c>
      <c r="F81" s="55" t="str">
        <f>IFERROR(__xludf.DUMMYFUNCTION("""COMPUTED_VALUE"""),"Gene Disease Validity")</f>
        <v>Gene Disease Validity</v>
      </c>
      <c r="G81" t="str">
        <f>IFERROR(__xludf.DUMMYFUNCTION("""COMPUTED_VALUE"""),"")</f>
        <v/>
      </c>
      <c r="H81" t="str">
        <f>IFERROR(__xludf.DUMMYFUNCTION("""COMPUTED_VALUE"""),"Marie-Luise Brennan")</f>
        <v>Marie-Luise Brennan</v>
      </c>
      <c r="I81" t="str">
        <f>IFERROR(__xludf.DUMMYFUNCTION("""COMPUTED_VALUE"""),"mbrennan@acmg.net")</f>
        <v>mbrennan@acmg.net</v>
      </c>
      <c r="J81" s="55" t="str">
        <f>IFERROR(__xludf.DUMMYFUNCTION("""COMPUTED_VALUE"""),"Comprehensive")</f>
        <v>Comprehensive</v>
      </c>
      <c r="K81" t="str">
        <f>IFERROR(__xludf.DUMMYFUNCTION("""COMPUTED_VALUE"""),"Low penetrance/risk alleles; gene curation (monogenic diabetes; any); dosage sens (neurodev or recurrent regions). Preferences listed, happy to join where needed.")</f>
        <v>Low penetrance/risk alleles; gene curation (monogenic diabetes; any); dosage sens (neurodev or recurrent regions). Preferences listed, happy to join where needed.</v>
      </c>
    </row>
    <row r="82">
      <c r="A82" t="str">
        <f>IFERROR(__xludf.DUMMYFUNCTION("""COMPUTED_VALUE"""),"Contacted")</f>
        <v>Contacted</v>
      </c>
      <c r="B82" s="115">
        <f>IFERROR(__xludf.DUMMYFUNCTION("""COMPUTED_VALUE"""),43819.0)</f>
        <v>43819</v>
      </c>
      <c r="C82" s="114">
        <f>IFERROR(__xludf.DUMMYFUNCTION("""COMPUTED_VALUE"""),43846.0)</f>
        <v>43846</v>
      </c>
      <c r="D82" s="55" t="str">
        <f>IFERROR(__xludf.DUMMYFUNCTION("""COMPUTED_VALUE"""),"Yes")</f>
        <v>Yes</v>
      </c>
      <c r="E82" s="55" t="str">
        <f>IFERROR(__xludf.DUMMYFUNCTION("""COMPUTED_VALUE"""),"No")</f>
        <v>No</v>
      </c>
      <c r="F82" s="55" t="str">
        <f>IFERROR(__xludf.DUMMYFUNCTION("""COMPUTED_VALUE"""),"Gene Disease Validity")</f>
        <v>Gene Disease Validity</v>
      </c>
      <c r="G82" t="str">
        <f>IFERROR(__xludf.DUMMYFUNCTION("""COMPUTED_VALUE"""),"")</f>
        <v/>
      </c>
      <c r="H82" t="str">
        <f>IFERROR(__xludf.DUMMYFUNCTION("""COMPUTED_VALUE"""),"Adriana Bastos Carvalho")</f>
        <v>Adriana Bastos Carvalho</v>
      </c>
      <c r="I82" t="str">
        <f>IFERROR(__xludf.DUMMYFUNCTION("""COMPUTED_VALUE"""),"carvalhoab@biof.ufrj.br")</f>
        <v>carvalhoab@biof.ufrj.br</v>
      </c>
      <c r="J82" s="55" t="str">
        <f>IFERROR(__xludf.DUMMYFUNCTION("""COMPUTED_VALUE"""),"Comprehensive")</f>
        <v>Comprehensive</v>
      </c>
      <c r="K82" t="str">
        <f>IFERROR(__xludf.DUMMYFUNCTION("""COMPUTED_VALUE"""),"Cardiomyopathy Variant Curation Expert Panel")</f>
        <v>Cardiomyopathy Variant Curation Expert Panel</v>
      </c>
    </row>
    <row r="83">
      <c r="A83" t="str">
        <f>IFERROR(__xludf.DUMMYFUNCTION("""COMPUTED_VALUE"""),"Contacted")</f>
        <v>Contacted</v>
      </c>
      <c r="B83" s="115">
        <f>IFERROR(__xludf.DUMMYFUNCTION("""COMPUTED_VALUE"""),43819.0)</f>
        <v>43819</v>
      </c>
      <c r="C83" t="str">
        <f>IFERROR(__xludf.DUMMYFUNCTION("""COMPUTED_VALUE"""),"")</f>
        <v/>
      </c>
      <c r="D83" s="55" t="str">
        <f>IFERROR(__xludf.DUMMYFUNCTION("""COMPUTED_VALUE"""),"")</f>
        <v/>
      </c>
      <c r="E83" s="55" t="str">
        <f>IFERROR(__xludf.DUMMYFUNCTION("""COMPUTED_VALUE"""),"No")</f>
        <v>No</v>
      </c>
      <c r="F83" s="55" t="str">
        <f>IFERROR(__xludf.DUMMYFUNCTION("""COMPUTED_VALUE"""),"Gene Disease Validity")</f>
        <v>Gene Disease Validity</v>
      </c>
      <c r="G83" t="str">
        <f>IFERROR(__xludf.DUMMYFUNCTION("""COMPUTED_VALUE"""),"")</f>
        <v/>
      </c>
      <c r="H83" t="str">
        <f>IFERROR(__xludf.DUMMYFUNCTION("""COMPUTED_VALUE"""),"Megan Puckelwartz")</f>
        <v>Megan Puckelwartz</v>
      </c>
      <c r="I83" t="str">
        <f>IFERROR(__xludf.DUMMYFUNCTION("""COMPUTED_VALUE"""),"m.puckelwartz@northwestern.edu")</f>
        <v>m.puckelwartz@northwestern.edu</v>
      </c>
      <c r="J83" s="55" t="str">
        <f>IFERROR(__xludf.DUMMYFUNCTION("""COMPUTED_VALUE"""),"Comprehensive")</f>
        <v>Comprehensive</v>
      </c>
      <c r="K83" t="str">
        <f>IFERROR(__xludf.DUMMYFUNCTION("""COMPUTED_VALUE"""),"cardiomyopathy")</f>
        <v>cardiomyopathy</v>
      </c>
    </row>
    <row r="84">
      <c r="A84" t="str">
        <f>IFERROR(__xludf.DUMMYFUNCTION("""COMPUTED_VALUE"""),"Contacted")</f>
        <v>Contacted</v>
      </c>
      <c r="B84" s="115">
        <f>IFERROR(__xludf.DUMMYFUNCTION("""COMPUTED_VALUE"""),43819.0)</f>
        <v>43819</v>
      </c>
      <c r="C84" s="114">
        <f>IFERROR(__xludf.DUMMYFUNCTION("""COMPUTED_VALUE"""),43846.0)</f>
        <v>43846</v>
      </c>
      <c r="D84" s="55" t="str">
        <f>IFERROR(__xludf.DUMMYFUNCTION("""COMPUTED_VALUE"""),"Yes")</f>
        <v>Yes</v>
      </c>
      <c r="E84" s="55" t="str">
        <f>IFERROR(__xludf.DUMMYFUNCTION("""COMPUTED_VALUE"""),"No")</f>
        <v>No</v>
      </c>
      <c r="F84" s="55" t="str">
        <f>IFERROR(__xludf.DUMMYFUNCTION("""COMPUTED_VALUE"""),"Gene Disease Validity")</f>
        <v>Gene Disease Validity</v>
      </c>
      <c r="G84" t="str">
        <f>IFERROR(__xludf.DUMMYFUNCTION("""COMPUTED_VALUE"""),"")</f>
        <v/>
      </c>
      <c r="H84" t="str">
        <f>IFERROR(__xludf.DUMMYFUNCTION("""COMPUTED_VALUE"""),"Tess Levy")</f>
        <v>Tess Levy</v>
      </c>
      <c r="I84" t="str">
        <f>IFERROR(__xludf.DUMMYFUNCTION("""COMPUTED_VALUE"""),"tess.levy@mssm.edu")</f>
        <v>tess.levy@mssm.edu</v>
      </c>
      <c r="J84" s="55" t="str">
        <f>IFERROR(__xludf.DUMMYFUNCTION("""COMPUTED_VALUE"""),"Comprehensive")</f>
        <v>Comprehensive</v>
      </c>
      <c r="K84" t="str">
        <f>IFERROR(__xludf.DUMMYFUNCTION("""COMPUTED_VALUE"""),"ASD/ID")</f>
        <v>ASD/ID</v>
      </c>
    </row>
    <row r="85">
      <c r="A85" t="str">
        <f>IFERROR(__xludf.DUMMYFUNCTION("""COMPUTED_VALUE"""),"Contacted")</f>
        <v>Contacted</v>
      </c>
      <c r="B85" s="115">
        <f>IFERROR(__xludf.DUMMYFUNCTION("""COMPUTED_VALUE"""),43819.0)</f>
        <v>43819</v>
      </c>
      <c r="C85" s="114">
        <f>IFERROR(__xludf.DUMMYFUNCTION("""COMPUTED_VALUE"""),43846.0)</f>
        <v>43846</v>
      </c>
      <c r="D85" s="55" t="str">
        <f>IFERROR(__xludf.DUMMYFUNCTION("""COMPUTED_VALUE"""),"Yes")</f>
        <v>Yes</v>
      </c>
      <c r="E85" s="55" t="str">
        <f>IFERROR(__xludf.DUMMYFUNCTION("""COMPUTED_VALUE"""),"Yes")</f>
        <v>Yes</v>
      </c>
      <c r="F85" s="55" t="str">
        <f>IFERROR(__xludf.DUMMYFUNCTION("""COMPUTED_VALUE"""),"Gene Disease Validity")</f>
        <v>Gene Disease Validity</v>
      </c>
      <c r="G85" t="str">
        <f>IFERROR(__xludf.DUMMYFUNCTION("""COMPUTED_VALUE"""),"")</f>
        <v/>
      </c>
      <c r="H85" t="str">
        <f>IFERROR(__xludf.DUMMYFUNCTION("""COMPUTED_VALUE"""),"Xiaoyan Guo ")</f>
        <v>Xiaoyan Guo </v>
      </c>
      <c r="I85" t="str">
        <f>IFERROR(__xludf.DUMMYFUNCTION("""COMPUTED_VALUE"""),"540842557@qq.com")</f>
        <v>540842557@qq.com</v>
      </c>
      <c r="J85" s="55" t="str">
        <f>IFERROR(__xludf.DUMMYFUNCTION("""COMPUTED_VALUE"""),"Comprehensive")</f>
        <v>Comprehensive</v>
      </c>
      <c r="K85" t="str">
        <f>IFERROR(__xludf.DUMMYFUNCTION("""COMPUTED_VALUE"""),"")</f>
        <v/>
      </c>
    </row>
    <row r="86">
      <c r="A86" t="str">
        <f>IFERROR(__xludf.DUMMYFUNCTION("""COMPUTED_VALUE"""),"Contacted")</f>
        <v>Contacted</v>
      </c>
      <c r="B86" s="115">
        <f>IFERROR(__xludf.DUMMYFUNCTION("""COMPUTED_VALUE"""),43819.0)</f>
        <v>43819</v>
      </c>
      <c r="C86" t="str">
        <f>IFERROR(__xludf.DUMMYFUNCTION("""COMPUTED_VALUE"""),"")</f>
        <v/>
      </c>
      <c r="D86" s="55" t="str">
        <f>IFERROR(__xludf.DUMMYFUNCTION("""COMPUTED_VALUE"""),"")</f>
        <v/>
      </c>
      <c r="E86" s="55" t="str">
        <f>IFERROR(__xludf.DUMMYFUNCTION("""COMPUTED_VALUE"""),"No")</f>
        <v>No</v>
      </c>
      <c r="F86" s="55" t="str">
        <f>IFERROR(__xludf.DUMMYFUNCTION("""COMPUTED_VALUE"""),"Gene Disease Validity")</f>
        <v>Gene Disease Validity</v>
      </c>
      <c r="G86" t="str">
        <f>IFERROR(__xludf.DUMMYFUNCTION("""COMPUTED_VALUE"""),"")</f>
        <v/>
      </c>
      <c r="H86" t="str">
        <f>IFERROR(__xludf.DUMMYFUNCTION("""COMPUTED_VALUE"""),"Marco Leung")</f>
        <v>Marco Leung</v>
      </c>
      <c r="I86" t="str">
        <f>IFERROR(__xludf.DUMMYFUNCTION("""COMPUTED_VALUE"""),"marcoleung@me.com")</f>
        <v>marcoleung@me.com</v>
      </c>
      <c r="J86" s="55" t="str">
        <f>IFERROR(__xludf.DUMMYFUNCTION("""COMPUTED_VALUE"""),"Comprehensive")</f>
        <v>Comprehensive</v>
      </c>
      <c r="K86" t="str">
        <f>IFERROR(__xludf.DUMMYFUNCTION("""COMPUTED_VALUE"""),"")</f>
        <v/>
      </c>
    </row>
    <row r="87">
      <c r="A87" t="str">
        <f>IFERROR(__xludf.DUMMYFUNCTION("""COMPUTED_VALUE"""),"Contacted")</f>
        <v>Contacted</v>
      </c>
      <c r="B87" s="115">
        <f>IFERROR(__xludf.DUMMYFUNCTION("""COMPUTED_VALUE"""),43819.0)</f>
        <v>43819</v>
      </c>
      <c r="C87" s="114">
        <f>IFERROR(__xludf.DUMMYFUNCTION("""COMPUTED_VALUE"""),43846.0)</f>
        <v>43846</v>
      </c>
      <c r="D87" s="55" t="str">
        <f>IFERROR(__xludf.DUMMYFUNCTION("""COMPUTED_VALUE"""),"Yes")</f>
        <v>Yes</v>
      </c>
      <c r="E87" s="55" t="str">
        <f>IFERROR(__xludf.DUMMYFUNCTION("""COMPUTED_VALUE"""),"Yes")</f>
        <v>Yes</v>
      </c>
      <c r="F87" s="55" t="str">
        <f>IFERROR(__xludf.DUMMYFUNCTION("""COMPUTED_VALUE"""),"Gene Disease Validity")</f>
        <v>Gene Disease Validity</v>
      </c>
      <c r="G87" t="str">
        <f>IFERROR(__xludf.DUMMYFUNCTION("""COMPUTED_VALUE"""),"")</f>
        <v/>
      </c>
      <c r="H87" t="str">
        <f>IFERROR(__xludf.DUMMYFUNCTION("""COMPUTED_VALUE"""),"Thanuja Selvanayagam")</f>
        <v>Thanuja Selvanayagam</v>
      </c>
      <c r="I87" t="str">
        <f>IFERROR(__xludf.DUMMYFUNCTION("""COMPUTED_VALUE"""),"tselvanayagam@cheo.on.ca")</f>
        <v>tselvanayagam@cheo.on.ca</v>
      </c>
      <c r="J87" s="55" t="str">
        <f>IFERROR(__xludf.DUMMYFUNCTION("""COMPUTED_VALUE"""),"Comprehensive")</f>
        <v>Comprehensive</v>
      </c>
      <c r="K87" t="str">
        <f>IFERROR(__xludf.DUMMYFUNCTION("""COMPUTED_VALUE"""),"Cardiomyopathy ")</f>
        <v>Cardiomyopathy </v>
      </c>
    </row>
    <row r="88">
      <c r="A88" t="str">
        <f>IFERROR(__xludf.DUMMYFUNCTION("""COMPUTED_VALUE"""),"Contacted")</f>
        <v>Contacted</v>
      </c>
      <c r="B88" s="115">
        <f>IFERROR(__xludf.DUMMYFUNCTION("""COMPUTED_VALUE"""),43838.0)</f>
        <v>43838</v>
      </c>
      <c r="C88" t="str">
        <f>IFERROR(__xludf.DUMMYFUNCTION("""COMPUTED_VALUE"""),"")</f>
        <v/>
      </c>
      <c r="D88" s="55" t="str">
        <f>IFERROR(__xludf.DUMMYFUNCTION("""COMPUTED_VALUE"""),"")</f>
        <v/>
      </c>
      <c r="E88" s="55" t="str">
        <f>IFERROR(__xludf.DUMMYFUNCTION("""COMPUTED_VALUE"""),"No")</f>
        <v>No</v>
      </c>
      <c r="F88" s="55" t="str">
        <f>IFERROR(__xludf.DUMMYFUNCTION("""COMPUTED_VALUE"""),"Gene Disease Validity")</f>
        <v>Gene Disease Validity</v>
      </c>
      <c r="G88" t="str">
        <f>IFERROR(__xludf.DUMMYFUNCTION("""COMPUTED_VALUE"""),"")</f>
        <v/>
      </c>
      <c r="H88" t="str">
        <f>IFERROR(__xludf.DUMMYFUNCTION("""COMPUTED_VALUE"""),"JACQUELINE BATANIAN")</f>
        <v>JACQUELINE BATANIAN</v>
      </c>
      <c r="I88" t="str">
        <f>IFERROR(__xludf.DUMMYFUNCTION("""COMPUTED_VALUE"""),"JACQUELINE.BATANIAN@HEALTH.SLU.EDU")</f>
        <v>JACQUELINE.BATANIAN@HEALTH.SLU.EDU</v>
      </c>
      <c r="J88" s="55" t="str">
        <f>IFERROR(__xludf.DUMMYFUNCTION("""COMPUTED_VALUE"""),"Comprehensive")</f>
        <v>Comprehensive</v>
      </c>
      <c r="K88" t="str">
        <f>IFERROR(__xludf.DUMMYFUNCTION("""COMPUTED_VALUE"""),"Cardiovascular diseases and Pediatric cancer")</f>
        <v>Cardiovascular diseases and Pediatric cancer</v>
      </c>
    </row>
    <row r="89">
      <c r="A89" t="str">
        <f>IFERROR(__xludf.DUMMYFUNCTION("""COMPUTED_VALUE"""),"Unassigned")</f>
        <v>Unassigned</v>
      </c>
      <c r="B89" t="str">
        <f>IFERROR(__xludf.DUMMYFUNCTION("""COMPUTED_VALUE"""),"")</f>
        <v/>
      </c>
      <c r="C89" t="str">
        <f>IFERROR(__xludf.DUMMYFUNCTION("""COMPUTED_VALUE"""),"")</f>
        <v/>
      </c>
      <c r="D89" s="55" t="str">
        <f>IFERROR(__xludf.DUMMYFUNCTION("""COMPUTED_VALUE"""),"")</f>
        <v/>
      </c>
      <c r="E89" s="55" t="str">
        <f>IFERROR(__xludf.DUMMYFUNCTION("""COMPUTED_VALUE"""),"No")</f>
        <v>No</v>
      </c>
      <c r="F89" s="55" t="str">
        <f>IFERROR(__xludf.DUMMYFUNCTION("""COMPUTED_VALUE"""),"NA")</f>
        <v>NA</v>
      </c>
      <c r="G89" t="str">
        <f>IFERROR(__xludf.DUMMYFUNCTION("""COMPUTED_VALUE"""),"")</f>
        <v/>
      </c>
      <c r="H89" t="str">
        <f>IFERROR(__xludf.DUMMYFUNCTION("""COMPUTED_VALUE"""),"Indu Raja")</f>
        <v>Indu Raja</v>
      </c>
      <c r="I89" t="str">
        <f>IFERROR(__xludf.DUMMYFUNCTION("""COMPUTED_VALUE"""),"indudraja@gmail.com")</f>
        <v>indudraja@gmail.com</v>
      </c>
      <c r="J89" s="55" t="str">
        <f>IFERROR(__xludf.DUMMYFUNCTION("""COMPUTED_VALUE"""),"Comprehensive")</f>
        <v>Comprehensive</v>
      </c>
      <c r="K89" t="str">
        <f>IFERROR(__xludf.DUMMYFUNCTION("""COMPUTED_VALUE"""),"Gene curation (Intellectual disability &amp; Autism), Dosage Sensitivity &amp; Clinical Actionability")</f>
        <v>Gene curation (Intellectual disability &amp; Autism), Dosage Sensitivity &amp; Clinical Actionability</v>
      </c>
    </row>
    <row r="90">
      <c r="A90" t="str">
        <f>IFERROR(__xludf.DUMMYFUNCTION("""COMPUTED_VALUE"""),"Unassigned")</f>
        <v>Unassigned</v>
      </c>
      <c r="B90" t="str">
        <f>IFERROR(__xludf.DUMMYFUNCTION("""COMPUTED_VALUE"""),"")</f>
        <v/>
      </c>
      <c r="C90" t="str">
        <f>IFERROR(__xludf.DUMMYFUNCTION("""COMPUTED_VALUE"""),"")</f>
        <v/>
      </c>
      <c r="D90" s="55" t="str">
        <f>IFERROR(__xludf.DUMMYFUNCTION("""COMPUTED_VALUE"""),"")</f>
        <v/>
      </c>
      <c r="E90" s="55" t="str">
        <f>IFERROR(__xludf.DUMMYFUNCTION("""COMPUTED_VALUE"""),"No")</f>
        <v>No</v>
      </c>
      <c r="F90" s="55" t="str">
        <f>IFERROR(__xludf.DUMMYFUNCTION("""COMPUTED_VALUE"""),"NA")</f>
        <v>NA</v>
      </c>
      <c r="G90" t="str">
        <f>IFERROR(__xludf.DUMMYFUNCTION("""COMPUTED_VALUE"""),"")</f>
        <v/>
      </c>
      <c r="H90" t="str">
        <f>IFERROR(__xludf.DUMMYFUNCTION("""COMPUTED_VALUE"""),"Joanne Adelberg")</f>
        <v>Joanne Adelberg</v>
      </c>
      <c r="I90" t="str">
        <f>IFERROR(__xludf.DUMMYFUNCTION("""COMPUTED_VALUE"""),"joanneadelberg@gmail.com")</f>
        <v>joanneadelberg@gmail.com</v>
      </c>
      <c r="J90" s="55" t="str">
        <f>IFERROR(__xludf.DUMMYFUNCTION("""COMPUTED_VALUE"""),"Comprehensive")</f>
        <v>Comprehensive</v>
      </c>
      <c r="K90" t="str">
        <f>IFERROR(__xludf.DUMMYFUNCTION("""COMPUTED_VALUE"""),"Will work on groups with the most need-excited for the learning opportunity")</f>
        <v>Will work on groups with the most need-excited for the learning opportunity</v>
      </c>
    </row>
    <row r="91">
      <c r="A91" t="str">
        <f>IFERROR(__xludf.DUMMYFUNCTION("""COMPUTED_VALUE"""),"Contacted")</f>
        <v>Contacted</v>
      </c>
      <c r="B91" t="str">
        <f>IFERROR(__xludf.DUMMYFUNCTION("""COMPUTED_VALUE"""),"")</f>
        <v/>
      </c>
      <c r="C91" s="114">
        <f>IFERROR(__xludf.DUMMYFUNCTION("""COMPUTED_VALUE"""),43846.0)</f>
        <v>43846</v>
      </c>
      <c r="D91" s="55" t="str">
        <f>IFERROR(__xludf.DUMMYFUNCTION("""COMPUTED_VALUE"""),"Yes")</f>
        <v>Yes</v>
      </c>
      <c r="E91" s="55" t="str">
        <f>IFERROR(__xludf.DUMMYFUNCTION("""COMPUTED_VALUE"""),"Yes")</f>
        <v>Yes</v>
      </c>
      <c r="F91" s="55" t="str">
        <f>IFERROR(__xludf.DUMMYFUNCTION("""COMPUTED_VALUE"""),"Gene Disease Validity")</f>
        <v>Gene Disease Validity</v>
      </c>
      <c r="G91" t="str">
        <f>IFERROR(__xludf.DUMMYFUNCTION("""COMPUTED_VALUE"""),"")</f>
        <v/>
      </c>
      <c r="H91" t="str">
        <f>IFERROR(__xludf.DUMMYFUNCTION("""COMPUTED_VALUE"""),"Julie Hathaway")</f>
        <v>Julie Hathaway</v>
      </c>
      <c r="I91" t="str">
        <f>IFERROR(__xludf.DUMMYFUNCTION("""COMPUTED_VALUE"""),"julie.hathaway@blueprintgenetics.com")</f>
        <v>julie.hathaway@blueprintgenetics.com</v>
      </c>
      <c r="J91" s="55" t="str">
        <f>IFERROR(__xludf.DUMMYFUNCTION("""COMPUTED_VALUE"""),"Comprehensive")</f>
        <v>Comprehensive</v>
      </c>
      <c r="K91" t="str">
        <f>IFERROR(__xludf.DUMMYFUNCTION("""COMPUTED_VALUE"""),"Cardiomyopathy")</f>
        <v>Cardiomyopathy</v>
      </c>
    </row>
    <row r="92">
      <c r="A92" t="str">
        <f>IFERROR(__xludf.DUMMYFUNCTION("""COMPUTED_VALUE"""),"Contacted")</f>
        <v>Contacted</v>
      </c>
      <c r="B92" t="str">
        <f>IFERROR(__xludf.DUMMYFUNCTION("""COMPUTED_VALUE"""),"")</f>
        <v/>
      </c>
      <c r="C92" s="114">
        <f>IFERROR(__xludf.DUMMYFUNCTION("""COMPUTED_VALUE"""),43846.0)</f>
        <v>43846</v>
      </c>
      <c r="D92" s="55" t="str">
        <f>IFERROR(__xludf.DUMMYFUNCTION("""COMPUTED_VALUE"""),"Yes")</f>
        <v>Yes</v>
      </c>
      <c r="E92" s="55" t="str">
        <f>IFERROR(__xludf.DUMMYFUNCTION("""COMPUTED_VALUE"""),"No")</f>
        <v>No</v>
      </c>
      <c r="F92" s="55" t="str">
        <f>IFERROR(__xludf.DUMMYFUNCTION("""COMPUTED_VALUE"""),"Gene Disease Validity")</f>
        <v>Gene Disease Validity</v>
      </c>
      <c r="G92" t="str">
        <f>IFERROR(__xludf.DUMMYFUNCTION("""COMPUTED_VALUE"""),"")</f>
        <v/>
      </c>
      <c r="H92" t="str">
        <f>IFERROR(__xludf.DUMMYFUNCTION("""COMPUTED_VALUE"""),"Devon Thrush")</f>
        <v>Devon Thrush</v>
      </c>
      <c r="I92" t="str">
        <f>IFERROR(__xludf.DUMMYFUNCTION("""COMPUTED_VALUE"""),"dthrush@ambrygen.com")</f>
        <v>dthrush@ambrygen.com</v>
      </c>
      <c r="J92" s="55" t="str">
        <f>IFERROR(__xludf.DUMMYFUNCTION("""COMPUTED_VALUE"""),"Comprehensive")</f>
        <v>Comprehensive</v>
      </c>
      <c r="K92" t="str">
        <f>IFERROR(__xludf.DUMMYFUNCTION("""COMPUTED_VALUE"""),"")</f>
        <v/>
      </c>
    </row>
    <row r="93">
      <c r="A93" t="str">
        <f>IFERROR(__xludf.DUMMYFUNCTION("""COMPUTED_VALUE"""),"Contacted")</f>
        <v>Contacted</v>
      </c>
      <c r="B93" t="str">
        <f>IFERROR(__xludf.DUMMYFUNCTION("""COMPUTED_VALUE"""),"")</f>
        <v/>
      </c>
      <c r="C93" s="114">
        <f>IFERROR(__xludf.DUMMYFUNCTION("""COMPUTED_VALUE"""),43846.0)</f>
        <v>43846</v>
      </c>
      <c r="D93" s="55" t="str">
        <f>IFERROR(__xludf.DUMMYFUNCTION("""COMPUTED_VALUE"""),"Yes")</f>
        <v>Yes</v>
      </c>
      <c r="E93" s="55" t="str">
        <f>IFERROR(__xludf.DUMMYFUNCTION("""COMPUTED_VALUE"""),"Yes")</f>
        <v>Yes</v>
      </c>
      <c r="F93" s="55" t="str">
        <f>IFERROR(__xludf.DUMMYFUNCTION("""COMPUTED_VALUE"""),"Gene Disease Validity")</f>
        <v>Gene Disease Validity</v>
      </c>
      <c r="G93" t="str">
        <f>IFERROR(__xludf.DUMMYFUNCTION("""COMPUTED_VALUE"""),"")</f>
        <v/>
      </c>
      <c r="H93" t="str">
        <f>IFERROR(__xludf.DUMMYFUNCTION("""COMPUTED_VALUE"""),"Shiloh Martin")</f>
        <v>Shiloh Martin</v>
      </c>
      <c r="I93" t="str">
        <f>IFERROR(__xludf.DUMMYFUNCTION("""COMPUTED_VALUE"""),"shiloh.martin@invitae.com")</f>
        <v>shiloh.martin@invitae.com</v>
      </c>
      <c r="J93" s="55" t="str">
        <f>IFERROR(__xludf.DUMMYFUNCTION("""COMPUTED_VALUE"""),"Comprehensive")</f>
        <v>Comprehensive</v>
      </c>
      <c r="K93" t="str">
        <f>IFERROR(__xludf.DUMMYFUNCTION("""COMPUTED_VALUE"""),"I am interested in working with an Immunology GCEP.  I don't think such a GCEP exists at this time, but I have been told that one is possibly forming, so I would be interested in joining that group once formed.")</f>
        <v>I am interested in working with an Immunology GCEP.  I don't think such a GCEP exists at this time, but I have been told that one is possibly forming, so I would be interested in joining that group once formed.</v>
      </c>
    </row>
    <row r="94">
      <c r="A94" t="str">
        <f>IFERROR(__xludf.DUMMYFUNCTION("""COMPUTED_VALUE"""),"Unassigned")</f>
        <v>Unassigned</v>
      </c>
      <c r="B94" t="str">
        <f>IFERROR(__xludf.DUMMYFUNCTION("""COMPUTED_VALUE"""),"")</f>
        <v/>
      </c>
      <c r="C94" t="str">
        <f>IFERROR(__xludf.DUMMYFUNCTION("""COMPUTED_VALUE"""),"")</f>
        <v/>
      </c>
      <c r="D94" s="55" t="str">
        <f>IFERROR(__xludf.DUMMYFUNCTION("""COMPUTED_VALUE"""),"")</f>
        <v/>
      </c>
      <c r="E94" s="55" t="str">
        <f>IFERROR(__xludf.DUMMYFUNCTION("""COMPUTED_VALUE"""),"No")</f>
        <v>No</v>
      </c>
      <c r="F94" s="55" t="str">
        <f>IFERROR(__xludf.DUMMYFUNCTION("""COMPUTED_VALUE"""),"NA")</f>
        <v>NA</v>
      </c>
      <c r="G94" t="str">
        <f>IFERROR(__xludf.DUMMYFUNCTION("""COMPUTED_VALUE"""),"")</f>
        <v/>
      </c>
      <c r="H94" t="str">
        <f>IFERROR(__xludf.DUMMYFUNCTION("""COMPUTED_VALUE"""),"Jennifer Holle")</f>
        <v>Jennifer Holle</v>
      </c>
      <c r="I94" t="str">
        <f>IFERROR(__xludf.DUMMYFUNCTION("""COMPUTED_VALUE"""),"jennifer.holle@invitae.com")</f>
        <v>jennifer.holle@invitae.com</v>
      </c>
      <c r="J94" s="55" t="str">
        <f>IFERROR(__xludf.DUMMYFUNCTION("""COMPUTED_VALUE"""),"Comprehensive")</f>
        <v>Comprehensive</v>
      </c>
      <c r="K94" t="str">
        <f>IFERROR(__xludf.DUMMYFUNCTION("""COMPUTED_VALUE"""),"The primary immunodeficiency group - didn't see it on the list, but I know it's upcoming")</f>
        <v>The primary immunodeficiency group - didn't see it on the list, but I know it's upcoming</v>
      </c>
    </row>
    <row r="95">
      <c r="A95" t="str">
        <f>IFERROR(__xludf.DUMMYFUNCTION("""COMPUTED_VALUE"""),"Unassigned")</f>
        <v>Unassigned</v>
      </c>
      <c r="B95" t="str">
        <f>IFERROR(__xludf.DUMMYFUNCTION("""COMPUTED_VALUE"""),"")</f>
        <v/>
      </c>
      <c r="C95" t="str">
        <f>IFERROR(__xludf.DUMMYFUNCTION("""COMPUTED_VALUE"""),"")</f>
        <v/>
      </c>
      <c r="D95" s="55" t="str">
        <f>IFERROR(__xludf.DUMMYFUNCTION("""COMPUTED_VALUE"""),"")</f>
        <v/>
      </c>
      <c r="E95" s="55" t="str">
        <f>IFERROR(__xludf.DUMMYFUNCTION("""COMPUTED_VALUE"""),"No")</f>
        <v>No</v>
      </c>
      <c r="F95" s="55" t="str">
        <f>IFERROR(__xludf.DUMMYFUNCTION("""COMPUTED_VALUE"""),"NA")</f>
        <v>NA</v>
      </c>
      <c r="G95" t="str">
        <f>IFERROR(__xludf.DUMMYFUNCTION("""COMPUTED_VALUE"""),"")</f>
        <v/>
      </c>
      <c r="H95" t="str">
        <f>IFERROR(__xludf.DUMMYFUNCTION("""COMPUTED_VALUE"""),"Chitra Chandrasekaran")</f>
        <v>Chitra Chandrasekaran</v>
      </c>
      <c r="I95" t="str">
        <f>IFERROR(__xludf.DUMMYFUNCTION("""COMPUTED_VALUE"""),"cchandrasekaran@txwes.edu")</f>
        <v>cchandrasekaran@txwes.edu</v>
      </c>
      <c r="J95" s="55" t="str">
        <f>IFERROR(__xludf.DUMMYFUNCTION("""COMPUTED_VALUE"""),"Comprehensive")</f>
        <v>Comprehensive</v>
      </c>
      <c r="K95" t="str">
        <f>IFERROR(__xludf.DUMMYFUNCTION("""COMPUTED_VALUE"""),"")</f>
        <v/>
      </c>
    </row>
    <row r="96">
      <c r="A96" t="str">
        <f>IFERROR(__xludf.DUMMYFUNCTION("""COMPUTED_VALUE"""),"Unassigned")</f>
        <v>Unassigned</v>
      </c>
      <c r="B96" t="str">
        <f>IFERROR(__xludf.DUMMYFUNCTION("""COMPUTED_VALUE"""),"")</f>
        <v/>
      </c>
      <c r="C96" t="str">
        <f>IFERROR(__xludf.DUMMYFUNCTION("""COMPUTED_VALUE"""),"")</f>
        <v/>
      </c>
      <c r="D96" s="55" t="str">
        <f>IFERROR(__xludf.DUMMYFUNCTION("""COMPUTED_VALUE"""),"")</f>
        <v/>
      </c>
      <c r="E96" s="55" t="str">
        <f>IFERROR(__xludf.DUMMYFUNCTION("""COMPUTED_VALUE"""),"No")</f>
        <v>No</v>
      </c>
      <c r="F96" s="55" t="str">
        <f>IFERROR(__xludf.DUMMYFUNCTION("""COMPUTED_VALUE"""),"NA")</f>
        <v>NA</v>
      </c>
      <c r="G96" t="str">
        <f>IFERROR(__xludf.DUMMYFUNCTION("""COMPUTED_VALUE"""),"")</f>
        <v/>
      </c>
      <c r="H96" t="str">
        <f>IFERROR(__xludf.DUMMYFUNCTION("""COMPUTED_VALUE"""),"Silke Waap")</f>
        <v>Silke Waap</v>
      </c>
      <c r="I96" t="str">
        <f>IFERROR(__xludf.DUMMYFUNCTION("""COMPUTED_VALUE"""),"silkewaap@gmail.com")</f>
        <v>silkewaap@gmail.com</v>
      </c>
      <c r="J96" s="55" t="str">
        <f>IFERROR(__xludf.DUMMYFUNCTION("""COMPUTED_VALUE"""),"Comprehensive")</f>
        <v>Comprehensive</v>
      </c>
      <c r="K96" t="str">
        <f>IFERROR(__xludf.DUMMYFUNCTION("""COMPUTED_VALUE"""),"")</f>
        <v/>
      </c>
    </row>
    <row r="97">
      <c r="D97" s="55"/>
      <c r="E97" s="55"/>
      <c r="F97" s="55"/>
      <c r="J97" s="55"/>
    </row>
    <row r="98">
      <c r="D98" s="55"/>
      <c r="E98" s="55"/>
      <c r="F98" s="55"/>
      <c r="J98" s="55"/>
    </row>
    <row r="99">
      <c r="D99" s="55"/>
      <c r="E99" s="55"/>
      <c r="F99" s="55"/>
      <c r="J99" s="55"/>
    </row>
    <row r="100">
      <c r="D100" s="55"/>
      <c r="E100" s="55"/>
      <c r="F100" s="55"/>
      <c r="J100" s="55"/>
    </row>
    <row r="101">
      <c r="D101" s="55"/>
      <c r="E101" s="55"/>
      <c r="F101" s="55"/>
      <c r="J101" s="55"/>
    </row>
    <row r="102">
      <c r="D102" s="55"/>
      <c r="E102" s="55"/>
      <c r="F102" s="55"/>
      <c r="J102" s="55"/>
    </row>
    <row r="103">
      <c r="D103" s="55"/>
      <c r="E103" s="55"/>
      <c r="F103" s="55"/>
      <c r="J103" s="55"/>
    </row>
    <row r="104">
      <c r="D104" s="55"/>
      <c r="E104" s="55"/>
      <c r="F104" s="55"/>
      <c r="J104" s="55"/>
    </row>
    <row r="105">
      <c r="D105" s="55"/>
      <c r="E105" s="55"/>
      <c r="F105" s="55"/>
      <c r="J105" s="55"/>
    </row>
    <row r="106">
      <c r="D106" s="55"/>
      <c r="E106" s="55"/>
      <c r="F106" s="55"/>
      <c r="J106" s="55"/>
    </row>
    <row r="107">
      <c r="D107" s="55"/>
      <c r="E107" s="55"/>
      <c r="F107" s="55"/>
      <c r="J107" s="55"/>
    </row>
    <row r="108">
      <c r="D108" s="55"/>
      <c r="E108" s="55"/>
      <c r="F108" s="55"/>
      <c r="J108" s="55"/>
    </row>
    <row r="109">
      <c r="D109" s="55"/>
      <c r="E109" s="55"/>
      <c r="F109" s="55"/>
      <c r="J109" s="55"/>
    </row>
    <row r="110">
      <c r="D110" s="55"/>
      <c r="E110" s="55"/>
      <c r="F110" s="55"/>
      <c r="J110" s="55"/>
    </row>
    <row r="111">
      <c r="D111" s="55"/>
      <c r="E111" s="55"/>
      <c r="F111" s="55"/>
      <c r="J111" s="55"/>
    </row>
    <row r="112">
      <c r="D112" s="55"/>
      <c r="E112" s="55"/>
      <c r="F112" s="55"/>
      <c r="J112" s="55"/>
    </row>
    <row r="113">
      <c r="D113" s="55"/>
      <c r="E113" s="55"/>
      <c r="F113" s="55"/>
      <c r="J113" s="55"/>
    </row>
    <row r="114">
      <c r="D114" s="55"/>
      <c r="E114" s="55"/>
      <c r="F114" s="55"/>
      <c r="J114" s="55"/>
    </row>
    <row r="115">
      <c r="D115" s="55"/>
      <c r="E115" s="55"/>
      <c r="F115" s="55"/>
      <c r="J115" s="55"/>
    </row>
    <row r="116">
      <c r="D116" s="55"/>
      <c r="E116" s="55"/>
      <c r="F116" s="55"/>
      <c r="J116" s="55"/>
    </row>
    <row r="117">
      <c r="D117" s="55"/>
      <c r="E117" s="55"/>
      <c r="F117" s="55"/>
      <c r="J117" s="55"/>
    </row>
    <row r="118">
      <c r="D118" s="55"/>
      <c r="E118" s="55"/>
      <c r="F118" s="55"/>
      <c r="J118" s="55"/>
    </row>
    <row r="119">
      <c r="D119" s="55"/>
      <c r="E119" s="55"/>
      <c r="F119" s="55"/>
      <c r="J119" s="55"/>
    </row>
    <row r="120">
      <c r="D120" s="55"/>
      <c r="E120" s="55"/>
      <c r="F120" s="55"/>
      <c r="J120" s="55"/>
    </row>
    <row r="121">
      <c r="D121" s="55"/>
      <c r="E121" s="55"/>
      <c r="F121" s="55"/>
      <c r="J121" s="55"/>
    </row>
    <row r="122">
      <c r="D122" s="55"/>
      <c r="E122" s="55"/>
      <c r="F122" s="55"/>
      <c r="J122" s="55"/>
    </row>
    <row r="123">
      <c r="D123" s="55"/>
      <c r="E123" s="55"/>
      <c r="F123" s="55"/>
      <c r="J123" s="55"/>
    </row>
    <row r="124">
      <c r="D124" s="55"/>
      <c r="E124" s="55"/>
      <c r="F124" s="55"/>
      <c r="J124" s="55"/>
    </row>
    <row r="125">
      <c r="D125" s="55"/>
      <c r="E125" s="55"/>
      <c r="F125" s="55"/>
      <c r="J125" s="55"/>
    </row>
    <row r="126">
      <c r="D126" s="55"/>
      <c r="E126" s="55"/>
      <c r="F126" s="55"/>
      <c r="J126" s="55"/>
    </row>
    <row r="127">
      <c r="D127" s="55"/>
      <c r="E127" s="55"/>
      <c r="F127" s="55"/>
      <c r="J127" s="55"/>
    </row>
    <row r="128">
      <c r="D128" s="55"/>
      <c r="E128" s="55"/>
      <c r="F128" s="55"/>
      <c r="J128" s="55"/>
    </row>
    <row r="129">
      <c r="D129" s="55"/>
      <c r="E129" s="55"/>
      <c r="F129" s="55"/>
      <c r="J129" s="55"/>
    </row>
    <row r="130">
      <c r="D130" s="55"/>
      <c r="E130" s="55"/>
      <c r="F130" s="55"/>
      <c r="J130" s="55"/>
    </row>
    <row r="131">
      <c r="D131" s="55"/>
      <c r="E131" s="55"/>
      <c r="F131" s="55"/>
      <c r="J131" s="55"/>
    </row>
    <row r="132">
      <c r="D132" s="55"/>
      <c r="E132" s="55"/>
      <c r="F132" s="55"/>
      <c r="J132" s="55"/>
    </row>
    <row r="133">
      <c r="D133" s="55"/>
      <c r="E133" s="55"/>
      <c r="F133" s="55"/>
      <c r="J133" s="55"/>
    </row>
    <row r="134">
      <c r="D134" s="55"/>
      <c r="E134" s="55"/>
      <c r="F134" s="55"/>
      <c r="J134" s="55"/>
    </row>
    <row r="135">
      <c r="D135" s="55"/>
      <c r="E135" s="55"/>
      <c r="F135" s="55"/>
      <c r="J135" s="55"/>
    </row>
    <row r="136">
      <c r="D136" s="55"/>
      <c r="E136" s="55"/>
      <c r="F136" s="55"/>
      <c r="J136" s="55"/>
    </row>
    <row r="137">
      <c r="D137" s="55"/>
      <c r="E137" s="55"/>
      <c r="F137" s="55"/>
      <c r="J137" s="55"/>
    </row>
    <row r="138">
      <c r="D138" s="55"/>
      <c r="E138" s="55"/>
      <c r="F138" s="55"/>
      <c r="J138" s="55"/>
    </row>
    <row r="139">
      <c r="D139" s="55"/>
      <c r="E139" s="55"/>
      <c r="F139" s="55"/>
      <c r="J139" s="55"/>
    </row>
    <row r="140">
      <c r="D140" s="55"/>
      <c r="E140" s="55"/>
      <c r="F140" s="55"/>
      <c r="J140" s="55"/>
    </row>
    <row r="141">
      <c r="D141" s="55"/>
      <c r="E141" s="55"/>
      <c r="F141" s="55"/>
      <c r="J141" s="55"/>
    </row>
    <row r="142">
      <c r="D142" s="55"/>
      <c r="E142" s="55"/>
      <c r="F142" s="55"/>
      <c r="J142" s="55"/>
    </row>
    <row r="143">
      <c r="D143" s="55"/>
      <c r="E143" s="55"/>
      <c r="F143" s="55"/>
      <c r="J143" s="55"/>
    </row>
    <row r="144">
      <c r="D144" s="55"/>
      <c r="E144" s="55"/>
      <c r="F144" s="55"/>
      <c r="J144" s="55"/>
    </row>
    <row r="145">
      <c r="D145" s="55"/>
      <c r="E145" s="55"/>
      <c r="F145" s="55"/>
      <c r="J145" s="55"/>
    </row>
    <row r="146">
      <c r="D146" s="55"/>
      <c r="E146" s="55"/>
      <c r="F146" s="55"/>
      <c r="J146" s="55"/>
    </row>
    <row r="147">
      <c r="D147" s="55"/>
      <c r="E147" s="55"/>
      <c r="F147" s="55"/>
      <c r="J147" s="55"/>
    </row>
    <row r="148">
      <c r="D148" s="55"/>
      <c r="E148" s="55"/>
      <c r="F148" s="55"/>
      <c r="J148" s="55"/>
    </row>
    <row r="149">
      <c r="D149" s="55"/>
      <c r="E149" s="55"/>
      <c r="F149" s="55"/>
      <c r="J149" s="55"/>
    </row>
    <row r="150">
      <c r="D150" s="55"/>
      <c r="E150" s="55"/>
      <c r="F150" s="55"/>
      <c r="J150" s="55"/>
    </row>
    <row r="151">
      <c r="D151" s="55"/>
      <c r="E151" s="55"/>
      <c r="F151" s="55"/>
      <c r="J151" s="55"/>
    </row>
    <row r="152">
      <c r="D152" s="55"/>
      <c r="E152" s="55"/>
      <c r="F152" s="55"/>
      <c r="J152" s="55"/>
    </row>
    <row r="153">
      <c r="D153" s="55"/>
      <c r="E153" s="55"/>
      <c r="F153" s="55"/>
      <c r="J153" s="55"/>
    </row>
    <row r="154">
      <c r="D154" s="55"/>
      <c r="E154" s="55"/>
      <c r="F154" s="55"/>
      <c r="J154" s="55"/>
    </row>
    <row r="155">
      <c r="D155" s="55"/>
      <c r="E155" s="55"/>
      <c r="F155" s="55"/>
      <c r="J155" s="55"/>
    </row>
    <row r="156">
      <c r="D156" s="55"/>
      <c r="E156" s="55"/>
      <c r="F156" s="55"/>
      <c r="J156" s="55"/>
    </row>
    <row r="157">
      <c r="D157" s="55"/>
      <c r="E157" s="55"/>
      <c r="F157" s="55"/>
      <c r="J157" s="55"/>
    </row>
    <row r="158">
      <c r="D158" s="55"/>
      <c r="E158" s="55"/>
      <c r="F158" s="55"/>
      <c r="J158" s="55"/>
    </row>
    <row r="159">
      <c r="D159" s="55"/>
      <c r="E159" s="55"/>
      <c r="F159" s="55"/>
      <c r="J159" s="55"/>
    </row>
    <row r="160">
      <c r="D160" s="55"/>
      <c r="E160" s="55"/>
      <c r="F160" s="55"/>
      <c r="J160" s="55"/>
    </row>
    <row r="161">
      <c r="D161" s="55"/>
      <c r="E161" s="55"/>
      <c r="F161" s="55"/>
      <c r="J161" s="55"/>
    </row>
    <row r="162">
      <c r="D162" s="55"/>
      <c r="E162" s="55"/>
      <c r="F162" s="55"/>
      <c r="J162" s="55"/>
    </row>
    <row r="163">
      <c r="D163" s="55"/>
      <c r="E163" s="55"/>
      <c r="F163" s="55"/>
      <c r="J163" s="55"/>
    </row>
    <row r="164">
      <c r="D164" s="55"/>
      <c r="E164" s="55"/>
      <c r="F164" s="55"/>
      <c r="J164" s="55"/>
    </row>
    <row r="165">
      <c r="D165" s="55"/>
      <c r="E165" s="55"/>
      <c r="F165" s="55"/>
      <c r="J165" s="55"/>
    </row>
    <row r="166">
      <c r="D166" s="55"/>
      <c r="E166" s="55"/>
      <c r="F166" s="55"/>
      <c r="J166" s="55"/>
    </row>
    <row r="167">
      <c r="D167" s="55"/>
      <c r="E167" s="55"/>
      <c r="F167" s="55"/>
      <c r="J167" s="55"/>
    </row>
    <row r="168">
      <c r="D168" s="55"/>
      <c r="E168" s="55"/>
      <c r="F168" s="55"/>
      <c r="J168" s="55"/>
    </row>
    <row r="169">
      <c r="D169" s="55"/>
      <c r="E169" s="55"/>
      <c r="F169" s="55"/>
      <c r="J169" s="55"/>
    </row>
    <row r="170">
      <c r="D170" s="55"/>
      <c r="E170" s="55"/>
      <c r="F170" s="55"/>
      <c r="J170" s="55"/>
    </row>
    <row r="171">
      <c r="D171" s="55"/>
      <c r="E171" s="55"/>
      <c r="F171" s="55"/>
      <c r="J171" s="55"/>
    </row>
    <row r="172">
      <c r="D172" s="55"/>
      <c r="E172" s="55"/>
      <c r="F172" s="55"/>
      <c r="J172" s="55"/>
    </row>
    <row r="173">
      <c r="D173" s="55"/>
      <c r="E173" s="55"/>
      <c r="F173" s="55"/>
      <c r="J173" s="55"/>
    </row>
    <row r="174">
      <c r="D174" s="55"/>
      <c r="E174" s="55"/>
      <c r="F174" s="55"/>
      <c r="J174" s="55"/>
    </row>
    <row r="175">
      <c r="D175" s="55"/>
      <c r="E175" s="55"/>
      <c r="F175" s="55"/>
      <c r="J175" s="55"/>
    </row>
    <row r="176">
      <c r="D176" s="55"/>
      <c r="E176" s="55"/>
      <c r="F176" s="55"/>
      <c r="J176" s="55"/>
    </row>
    <row r="177">
      <c r="D177" s="55"/>
      <c r="E177" s="55"/>
      <c r="F177" s="55"/>
      <c r="J177" s="55"/>
    </row>
    <row r="178">
      <c r="D178" s="55"/>
      <c r="E178" s="55"/>
      <c r="F178" s="55"/>
      <c r="J178" s="55"/>
    </row>
    <row r="179">
      <c r="D179" s="55"/>
      <c r="E179" s="55"/>
      <c r="F179" s="55"/>
      <c r="J179" s="55"/>
    </row>
    <row r="180">
      <c r="D180" s="55"/>
      <c r="E180" s="55"/>
      <c r="F180" s="55"/>
      <c r="J180" s="55"/>
    </row>
    <row r="181">
      <c r="D181" s="55"/>
      <c r="E181" s="55"/>
      <c r="F181" s="55"/>
      <c r="J181" s="55"/>
    </row>
    <row r="182">
      <c r="D182" s="55"/>
      <c r="E182" s="55"/>
      <c r="F182" s="55"/>
      <c r="J182" s="55"/>
    </row>
    <row r="183">
      <c r="D183" s="55"/>
      <c r="E183" s="55"/>
      <c r="F183" s="55"/>
      <c r="J183" s="55"/>
    </row>
    <row r="184">
      <c r="D184" s="55"/>
      <c r="E184" s="55"/>
      <c r="F184" s="55"/>
      <c r="J184" s="55"/>
    </row>
    <row r="185">
      <c r="D185" s="55"/>
      <c r="E185" s="55"/>
      <c r="F185" s="55"/>
      <c r="J185" s="55"/>
    </row>
    <row r="186">
      <c r="D186" s="55"/>
      <c r="E186" s="55"/>
      <c r="F186" s="55"/>
      <c r="J186" s="55"/>
    </row>
    <row r="187">
      <c r="D187" s="55"/>
      <c r="E187" s="55"/>
      <c r="F187" s="55"/>
      <c r="J187" s="55"/>
    </row>
    <row r="188">
      <c r="D188" s="55"/>
      <c r="E188" s="55"/>
      <c r="F188" s="55"/>
      <c r="J188" s="55"/>
    </row>
    <row r="189">
      <c r="D189" s="55"/>
      <c r="E189" s="55"/>
      <c r="F189" s="55"/>
      <c r="J189" s="55"/>
    </row>
    <row r="190">
      <c r="D190" s="55"/>
      <c r="E190" s="55"/>
      <c r="F190" s="55"/>
      <c r="J190" s="55"/>
    </row>
    <row r="191">
      <c r="D191" s="55"/>
      <c r="E191" s="55"/>
      <c r="F191" s="55"/>
      <c r="J191" s="55"/>
    </row>
    <row r="192">
      <c r="D192" s="55"/>
      <c r="E192" s="55"/>
      <c r="F192" s="55"/>
      <c r="J192" s="55"/>
    </row>
    <row r="193">
      <c r="D193" s="55"/>
      <c r="E193" s="55"/>
      <c r="F193" s="55"/>
      <c r="J193" s="55"/>
    </row>
    <row r="194">
      <c r="D194" s="55"/>
      <c r="E194" s="55"/>
      <c r="F194" s="55"/>
      <c r="J194" s="55"/>
    </row>
    <row r="195">
      <c r="D195" s="55"/>
      <c r="E195" s="55"/>
      <c r="F195" s="55"/>
      <c r="J195" s="55"/>
    </row>
    <row r="196">
      <c r="D196" s="55"/>
      <c r="E196" s="55"/>
      <c r="F196" s="55"/>
      <c r="J196" s="55"/>
    </row>
    <row r="197">
      <c r="D197" s="55"/>
      <c r="E197" s="55"/>
      <c r="F197" s="55"/>
      <c r="J197" s="55"/>
    </row>
    <row r="198">
      <c r="D198" s="55"/>
      <c r="E198" s="55"/>
      <c r="F198" s="55"/>
      <c r="J198" s="55"/>
    </row>
    <row r="199">
      <c r="D199" s="55"/>
      <c r="E199" s="55"/>
      <c r="F199" s="55"/>
      <c r="J199" s="55"/>
    </row>
    <row r="200">
      <c r="D200" s="55"/>
      <c r="E200" s="55"/>
      <c r="F200" s="55"/>
      <c r="J200" s="55"/>
    </row>
    <row r="201">
      <c r="D201" s="55"/>
      <c r="E201" s="55"/>
      <c r="F201" s="55"/>
      <c r="J201" s="55"/>
    </row>
    <row r="202">
      <c r="D202" s="55"/>
      <c r="E202" s="55"/>
      <c r="F202" s="55"/>
      <c r="J202" s="55"/>
    </row>
    <row r="203">
      <c r="D203" s="55"/>
      <c r="E203" s="55"/>
      <c r="F203" s="55"/>
      <c r="J203" s="55"/>
    </row>
    <row r="204">
      <c r="D204" s="55"/>
      <c r="E204" s="55"/>
      <c r="F204" s="55"/>
      <c r="J204" s="55"/>
    </row>
    <row r="205">
      <c r="D205" s="55"/>
      <c r="E205" s="55"/>
      <c r="F205" s="55"/>
      <c r="J205" s="55"/>
    </row>
    <row r="206">
      <c r="D206" s="55"/>
      <c r="E206" s="55"/>
      <c r="F206" s="55"/>
      <c r="J206" s="55"/>
    </row>
    <row r="207">
      <c r="D207" s="55"/>
      <c r="E207" s="55"/>
      <c r="F207" s="55"/>
      <c r="J207" s="55"/>
    </row>
    <row r="208">
      <c r="D208" s="55"/>
      <c r="E208" s="55"/>
      <c r="F208" s="55"/>
      <c r="J208" s="55"/>
    </row>
    <row r="209">
      <c r="D209" s="55"/>
      <c r="E209" s="55"/>
      <c r="F209" s="55"/>
      <c r="J209" s="55"/>
    </row>
    <row r="210">
      <c r="D210" s="55"/>
      <c r="E210" s="55"/>
      <c r="F210" s="55"/>
      <c r="J210" s="55"/>
    </row>
    <row r="211">
      <c r="D211" s="55"/>
      <c r="E211" s="55"/>
      <c r="F211" s="55"/>
      <c r="J211" s="55"/>
    </row>
    <row r="212">
      <c r="D212" s="55"/>
      <c r="E212" s="55"/>
      <c r="F212" s="55"/>
      <c r="J212" s="55"/>
    </row>
    <row r="213">
      <c r="D213" s="55"/>
      <c r="E213" s="55"/>
      <c r="F213" s="55"/>
      <c r="J213" s="55"/>
    </row>
    <row r="214">
      <c r="D214" s="55"/>
      <c r="E214" s="55"/>
      <c r="F214" s="55"/>
      <c r="J214" s="55"/>
    </row>
    <row r="215">
      <c r="D215" s="55"/>
      <c r="E215" s="55"/>
      <c r="F215" s="55"/>
      <c r="J215" s="55"/>
    </row>
    <row r="216">
      <c r="D216" s="55"/>
      <c r="E216" s="55"/>
      <c r="F216" s="55"/>
      <c r="J216" s="55"/>
    </row>
    <row r="217">
      <c r="D217" s="55"/>
      <c r="E217" s="55"/>
      <c r="F217" s="55"/>
      <c r="J217" s="55"/>
    </row>
    <row r="218">
      <c r="D218" s="55"/>
      <c r="E218" s="55"/>
      <c r="F218" s="55"/>
      <c r="J218" s="55"/>
    </row>
    <row r="219">
      <c r="D219" s="55"/>
      <c r="E219" s="55"/>
      <c r="F219" s="55"/>
      <c r="J219" s="55"/>
    </row>
    <row r="220">
      <c r="D220" s="55"/>
      <c r="E220" s="55"/>
      <c r="F220" s="55"/>
      <c r="J220" s="55"/>
    </row>
    <row r="221">
      <c r="D221" s="55"/>
      <c r="E221" s="55"/>
      <c r="F221" s="55"/>
      <c r="J221" s="55"/>
    </row>
    <row r="222">
      <c r="D222" s="55"/>
      <c r="E222" s="55"/>
      <c r="F222" s="55"/>
      <c r="J222" s="55"/>
    </row>
    <row r="223">
      <c r="D223" s="55"/>
      <c r="E223" s="55"/>
      <c r="F223" s="55"/>
      <c r="J223" s="55"/>
    </row>
    <row r="224">
      <c r="D224" s="55"/>
      <c r="E224" s="55"/>
      <c r="F224" s="55"/>
      <c r="J224" s="55"/>
    </row>
    <row r="225">
      <c r="D225" s="55"/>
      <c r="E225" s="55"/>
      <c r="F225" s="55"/>
      <c r="J225" s="55"/>
    </row>
    <row r="226">
      <c r="D226" s="55"/>
      <c r="E226" s="55"/>
      <c r="F226" s="55"/>
      <c r="J226" s="55"/>
    </row>
    <row r="227">
      <c r="D227" s="55"/>
      <c r="E227" s="55"/>
      <c r="F227" s="55"/>
      <c r="J227" s="55"/>
    </row>
    <row r="228">
      <c r="D228" s="55"/>
      <c r="E228" s="55"/>
      <c r="F228" s="55"/>
      <c r="J228" s="55"/>
    </row>
    <row r="229">
      <c r="D229" s="55"/>
      <c r="E229" s="55"/>
      <c r="F229" s="55"/>
      <c r="J229" s="55"/>
    </row>
    <row r="230">
      <c r="D230" s="55"/>
      <c r="E230" s="55"/>
      <c r="F230" s="55"/>
      <c r="J230" s="55"/>
    </row>
    <row r="231">
      <c r="D231" s="55"/>
      <c r="E231" s="55"/>
      <c r="F231" s="55"/>
      <c r="J231" s="55"/>
    </row>
    <row r="232">
      <c r="D232" s="55"/>
      <c r="E232" s="55"/>
      <c r="F232" s="55"/>
      <c r="J232" s="55"/>
    </row>
    <row r="233">
      <c r="D233" s="55"/>
      <c r="E233" s="55"/>
      <c r="F233" s="55"/>
      <c r="J233" s="55"/>
    </row>
    <row r="234">
      <c r="D234" s="55"/>
      <c r="E234" s="55"/>
      <c r="F234" s="55"/>
      <c r="J234" s="55"/>
    </row>
    <row r="235">
      <c r="D235" s="55"/>
      <c r="E235" s="55"/>
      <c r="F235" s="55"/>
      <c r="J235" s="55"/>
    </row>
    <row r="236">
      <c r="D236" s="55"/>
      <c r="E236" s="55"/>
      <c r="F236" s="55"/>
      <c r="J236" s="55"/>
    </row>
    <row r="237">
      <c r="D237" s="55"/>
      <c r="E237" s="55"/>
      <c r="F237" s="55"/>
      <c r="J237" s="55"/>
    </row>
    <row r="238">
      <c r="D238" s="55"/>
      <c r="E238" s="55"/>
      <c r="F238" s="55"/>
      <c r="J238" s="55"/>
    </row>
    <row r="239">
      <c r="D239" s="55"/>
      <c r="E239" s="55"/>
      <c r="F239" s="55"/>
      <c r="J239" s="55"/>
    </row>
    <row r="240">
      <c r="D240" s="55"/>
      <c r="E240" s="55"/>
      <c r="F240" s="55"/>
      <c r="J240" s="55"/>
    </row>
    <row r="241">
      <c r="D241" s="55"/>
      <c r="E241" s="55"/>
      <c r="F241" s="55"/>
      <c r="J241" s="55"/>
    </row>
    <row r="242">
      <c r="D242" s="55"/>
      <c r="E242" s="55"/>
      <c r="F242" s="55"/>
      <c r="J242" s="55"/>
    </row>
    <row r="243">
      <c r="D243" s="55"/>
      <c r="E243" s="55"/>
      <c r="F243" s="55"/>
      <c r="J243" s="55"/>
    </row>
    <row r="244">
      <c r="D244" s="55"/>
      <c r="E244" s="55"/>
      <c r="F244" s="55"/>
      <c r="J244" s="55"/>
    </row>
    <row r="245">
      <c r="D245" s="55"/>
      <c r="E245" s="55"/>
      <c r="F245" s="55"/>
      <c r="J245" s="55"/>
    </row>
    <row r="246">
      <c r="D246" s="55"/>
      <c r="E246" s="55"/>
      <c r="F246" s="55"/>
      <c r="J246" s="55"/>
    </row>
    <row r="247">
      <c r="D247" s="55"/>
      <c r="E247" s="55"/>
      <c r="F247" s="55"/>
      <c r="J247" s="55"/>
    </row>
    <row r="248">
      <c r="D248" s="55"/>
      <c r="E248" s="55"/>
      <c r="F248" s="55"/>
      <c r="J248" s="55"/>
    </row>
    <row r="249">
      <c r="D249" s="55"/>
      <c r="E249" s="55"/>
      <c r="F249" s="55"/>
      <c r="J249" s="55"/>
    </row>
    <row r="250">
      <c r="D250" s="55"/>
      <c r="E250" s="55"/>
      <c r="F250" s="55"/>
      <c r="J250" s="55"/>
    </row>
    <row r="251">
      <c r="D251" s="55"/>
      <c r="E251" s="55"/>
      <c r="F251" s="55"/>
      <c r="J251" s="55"/>
    </row>
    <row r="252">
      <c r="D252" s="55"/>
      <c r="E252" s="55"/>
      <c r="F252" s="55"/>
      <c r="J252" s="55"/>
    </row>
    <row r="253">
      <c r="D253" s="55"/>
      <c r="E253" s="55"/>
      <c r="F253" s="55"/>
      <c r="J253" s="55"/>
    </row>
    <row r="254">
      <c r="D254" s="55"/>
      <c r="E254" s="55"/>
      <c r="F254" s="55"/>
      <c r="J254" s="55"/>
    </row>
    <row r="255">
      <c r="D255" s="55"/>
      <c r="E255" s="55"/>
      <c r="F255" s="55"/>
      <c r="J255" s="55"/>
    </row>
    <row r="256">
      <c r="D256" s="55"/>
      <c r="E256" s="55"/>
      <c r="F256" s="55"/>
      <c r="J256" s="55"/>
    </row>
    <row r="257">
      <c r="D257" s="55"/>
      <c r="E257" s="55"/>
      <c r="F257" s="55"/>
      <c r="J257" s="55"/>
    </row>
    <row r="258">
      <c r="D258" s="55"/>
      <c r="E258" s="55"/>
      <c r="F258" s="55"/>
      <c r="J258" s="55"/>
    </row>
    <row r="259">
      <c r="D259" s="55"/>
      <c r="E259" s="55"/>
      <c r="F259" s="55"/>
      <c r="J259" s="55"/>
    </row>
    <row r="260">
      <c r="D260" s="55"/>
      <c r="E260" s="55"/>
      <c r="F260" s="55"/>
      <c r="J260" s="55"/>
    </row>
    <row r="261">
      <c r="D261" s="55"/>
      <c r="E261" s="55"/>
      <c r="F261" s="55"/>
      <c r="J261" s="55"/>
    </row>
    <row r="262">
      <c r="D262" s="55"/>
      <c r="E262" s="55"/>
      <c r="F262" s="55"/>
      <c r="J262" s="55"/>
    </row>
    <row r="263">
      <c r="D263" s="55"/>
      <c r="E263" s="55"/>
      <c r="F263" s="55"/>
      <c r="J263" s="55"/>
    </row>
    <row r="264">
      <c r="D264" s="55"/>
      <c r="E264" s="55"/>
      <c r="F264" s="55"/>
      <c r="J264" s="55"/>
    </row>
    <row r="265">
      <c r="D265" s="55"/>
      <c r="E265" s="55"/>
      <c r="F265" s="55"/>
      <c r="J265" s="55"/>
    </row>
    <row r="266">
      <c r="D266" s="55"/>
      <c r="E266" s="55"/>
      <c r="F266" s="55"/>
      <c r="J266" s="55"/>
    </row>
    <row r="267">
      <c r="D267" s="55"/>
      <c r="E267" s="55"/>
      <c r="F267" s="55"/>
      <c r="J267" s="55"/>
    </row>
    <row r="268">
      <c r="D268" s="55"/>
      <c r="E268" s="55"/>
      <c r="F268" s="55"/>
      <c r="J268" s="55"/>
    </row>
    <row r="269">
      <c r="D269" s="55"/>
      <c r="E269" s="55"/>
      <c r="F269" s="55"/>
      <c r="J269" s="55"/>
    </row>
    <row r="270">
      <c r="D270" s="55"/>
      <c r="E270" s="55"/>
      <c r="F270" s="55"/>
      <c r="J270" s="55"/>
    </row>
    <row r="271">
      <c r="D271" s="55"/>
      <c r="E271" s="55"/>
      <c r="F271" s="55"/>
      <c r="J271" s="55"/>
    </row>
    <row r="272">
      <c r="D272" s="55"/>
      <c r="E272" s="55"/>
      <c r="F272" s="55"/>
      <c r="J272" s="55"/>
    </row>
    <row r="273">
      <c r="D273" s="55"/>
      <c r="E273" s="55"/>
      <c r="F273" s="55"/>
      <c r="J273" s="55"/>
    </row>
    <row r="274">
      <c r="D274" s="55"/>
      <c r="E274" s="55"/>
      <c r="F274" s="55"/>
      <c r="J274" s="55"/>
    </row>
    <row r="275">
      <c r="D275" s="55"/>
      <c r="E275" s="55"/>
      <c r="F275" s="55"/>
      <c r="J275" s="55"/>
    </row>
    <row r="276">
      <c r="D276" s="55"/>
      <c r="E276" s="55"/>
      <c r="F276" s="55"/>
      <c r="J276" s="55"/>
    </row>
    <row r="277">
      <c r="D277" s="55"/>
      <c r="E277" s="55"/>
      <c r="F277" s="55"/>
      <c r="J277" s="55"/>
    </row>
    <row r="278">
      <c r="D278" s="55"/>
      <c r="E278" s="55"/>
      <c r="F278" s="55"/>
      <c r="J278" s="55"/>
    </row>
    <row r="279">
      <c r="D279" s="55"/>
      <c r="E279" s="55"/>
      <c r="F279" s="55"/>
      <c r="J279" s="55"/>
    </row>
    <row r="280">
      <c r="D280" s="55"/>
      <c r="E280" s="55"/>
      <c r="F280" s="55"/>
      <c r="J280" s="55"/>
    </row>
    <row r="281">
      <c r="D281" s="55"/>
      <c r="E281" s="55"/>
      <c r="F281" s="55"/>
      <c r="J281" s="55"/>
    </row>
    <row r="282">
      <c r="D282" s="55"/>
      <c r="E282" s="55"/>
      <c r="F282" s="55"/>
      <c r="J282" s="55"/>
    </row>
    <row r="283">
      <c r="D283" s="55"/>
      <c r="E283" s="55"/>
      <c r="F283" s="55"/>
      <c r="J283" s="55"/>
    </row>
    <row r="284">
      <c r="D284" s="55"/>
      <c r="E284" s="55"/>
      <c r="F284" s="55"/>
      <c r="J284" s="55"/>
    </row>
    <row r="285">
      <c r="D285" s="55"/>
      <c r="E285" s="55"/>
      <c r="F285" s="55"/>
      <c r="J285" s="55"/>
    </row>
    <row r="286">
      <c r="D286" s="55"/>
      <c r="E286" s="55"/>
      <c r="F286" s="55"/>
      <c r="J286" s="55"/>
    </row>
    <row r="287">
      <c r="D287" s="55"/>
      <c r="E287" s="55"/>
      <c r="F287" s="55"/>
      <c r="J287" s="55"/>
    </row>
    <row r="288">
      <c r="D288" s="55"/>
      <c r="E288" s="55"/>
      <c r="F288" s="55"/>
      <c r="J288" s="55"/>
    </row>
    <row r="289">
      <c r="D289" s="55"/>
      <c r="E289" s="55"/>
      <c r="F289" s="55"/>
      <c r="J289" s="55"/>
    </row>
    <row r="290">
      <c r="D290" s="55"/>
      <c r="E290" s="55"/>
      <c r="F290" s="55"/>
      <c r="J290" s="55"/>
    </row>
    <row r="291">
      <c r="D291" s="55"/>
      <c r="E291" s="55"/>
      <c r="F291" s="55"/>
      <c r="J291" s="55"/>
    </row>
    <row r="292">
      <c r="D292" s="55"/>
      <c r="E292" s="55"/>
      <c r="F292" s="55"/>
      <c r="J292" s="55"/>
    </row>
    <row r="293">
      <c r="D293" s="55"/>
      <c r="E293" s="55"/>
      <c r="F293" s="55"/>
      <c r="J293" s="55"/>
    </row>
    <row r="294">
      <c r="D294" s="55"/>
      <c r="E294" s="55"/>
      <c r="F294" s="55"/>
      <c r="J294" s="55"/>
    </row>
    <row r="295">
      <c r="D295" s="55"/>
      <c r="E295" s="55"/>
      <c r="F295" s="55"/>
      <c r="J295" s="55"/>
    </row>
    <row r="296">
      <c r="D296" s="55"/>
      <c r="E296" s="55"/>
      <c r="F296" s="55"/>
      <c r="J296" s="55"/>
    </row>
    <row r="297">
      <c r="D297" s="55"/>
      <c r="E297" s="55"/>
      <c r="F297" s="55"/>
      <c r="J297" s="55"/>
    </row>
    <row r="298">
      <c r="D298" s="55"/>
      <c r="E298" s="55"/>
      <c r="F298" s="55"/>
      <c r="J298" s="55"/>
    </row>
    <row r="299">
      <c r="D299" s="55"/>
      <c r="E299" s="55"/>
      <c r="F299" s="55"/>
      <c r="J299" s="55"/>
    </row>
    <row r="300">
      <c r="D300" s="55"/>
      <c r="E300" s="55"/>
      <c r="F300" s="55"/>
      <c r="J300" s="55"/>
    </row>
    <row r="301">
      <c r="D301" s="55"/>
      <c r="E301" s="55"/>
      <c r="F301" s="55"/>
      <c r="J301" s="55"/>
    </row>
    <row r="302">
      <c r="D302" s="55"/>
      <c r="E302" s="55"/>
      <c r="F302" s="55"/>
      <c r="J302" s="55"/>
    </row>
    <row r="303">
      <c r="D303" s="55"/>
      <c r="E303" s="55"/>
      <c r="F303" s="55"/>
      <c r="J303" s="55"/>
    </row>
    <row r="304">
      <c r="D304" s="55"/>
      <c r="E304" s="55"/>
      <c r="F304" s="55"/>
      <c r="J304" s="55"/>
    </row>
    <row r="305">
      <c r="D305" s="55"/>
      <c r="E305" s="55"/>
      <c r="F305" s="55"/>
      <c r="J305" s="55"/>
    </row>
    <row r="306">
      <c r="D306" s="55"/>
      <c r="E306" s="55"/>
      <c r="F306" s="55"/>
      <c r="J306" s="55"/>
    </row>
    <row r="307">
      <c r="D307" s="55"/>
      <c r="E307" s="55"/>
      <c r="F307" s="55"/>
      <c r="J307" s="55"/>
    </row>
    <row r="308">
      <c r="D308" s="55"/>
      <c r="E308" s="55"/>
      <c r="F308" s="55"/>
      <c r="J308" s="55"/>
    </row>
    <row r="309">
      <c r="D309" s="55"/>
      <c r="E309" s="55"/>
      <c r="F309" s="55"/>
      <c r="J309" s="55"/>
    </row>
    <row r="310">
      <c r="D310" s="55"/>
      <c r="E310" s="55"/>
      <c r="F310" s="55"/>
      <c r="J310" s="55"/>
    </row>
    <row r="311">
      <c r="D311" s="55"/>
      <c r="E311" s="55"/>
      <c r="F311" s="55"/>
      <c r="J311" s="55"/>
    </row>
    <row r="312">
      <c r="D312" s="55"/>
      <c r="E312" s="55"/>
      <c r="F312" s="55"/>
      <c r="J312" s="55"/>
    </row>
    <row r="313">
      <c r="D313" s="55"/>
      <c r="E313" s="55"/>
      <c r="F313" s="55"/>
      <c r="J313" s="55"/>
    </row>
    <row r="314">
      <c r="D314" s="55"/>
      <c r="E314" s="55"/>
      <c r="F314" s="55"/>
      <c r="J314" s="55"/>
    </row>
    <row r="315">
      <c r="D315" s="55"/>
      <c r="E315" s="55"/>
      <c r="F315" s="55"/>
      <c r="J315" s="55"/>
    </row>
    <row r="316">
      <c r="D316" s="55"/>
      <c r="E316" s="55"/>
      <c r="F316" s="55"/>
      <c r="J316" s="55"/>
    </row>
    <row r="317">
      <c r="D317" s="55"/>
      <c r="E317" s="55"/>
      <c r="F317" s="55"/>
      <c r="J317" s="55"/>
    </row>
    <row r="318">
      <c r="D318" s="55"/>
      <c r="E318" s="55"/>
      <c r="F318" s="55"/>
      <c r="J318" s="55"/>
    </row>
    <row r="319">
      <c r="D319" s="55"/>
      <c r="E319" s="55"/>
      <c r="F319" s="55"/>
      <c r="J319" s="55"/>
    </row>
    <row r="320">
      <c r="D320" s="55"/>
      <c r="E320" s="55"/>
      <c r="F320" s="55"/>
      <c r="J320" s="55"/>
    </row>
    <row r="321">
      <c r="D321" s="55"/>
      <c r="E321" s="55"/>
      <c r="F321" s="55"/>
      <c r="J321" s="55"/>
    </row>
    <row r="322">
      <c r="D322" s="55"/>
      <c r="E322" s="55"/>
      <c r="F322" s="55"/>
      <c r="J322" s="55"/>
    </row>
    <row r="323">
      <c r="D323" s="55"/>
      <c r="E323" s="55"/>
      <c r="F323" s="55"/>
      <c r="J323" s="55"/>
    </row>
    <row r="324">
      <c r="D324" s="55"/>
      <c r="E324" s="55"/>
      <c r="F324" s="55"/>
      <c r="J324" s="55"/>
    </row>
    <row r="325">
      <c r="D325" s="55"/>
      <c r="E325" s="55"/>
      <c r="F325" s="55"/>
      <c r="J325" s="55"/>
    </row>
    <row r="326">
      <c r="D326" s="55"/>
      <c r="E326" s="55"/>
      <c r="F326" s="55"/>
      <c r="J326" s="55"/>
    </row>
    <row r="327">
      <c r="D327" s="55"/>
      <c r="E327" s="55"/>
      <c r="F327" s="55"/>
      <c r="J327" s="55"/>
    </row>
    <row r="328">
      <c r="D328" s="55"/>
      <c r="E328" s="55"/>
      <c r="F328" s="55"/>
      <c r="J328" s="55"/>
    </row>
    <row r="329">
      <c r="D329" s="55"/>
      <c r="E329" s="55"/>
      <c r="F329" s="55"/>
      <c r="J329" s="55"/>
    </row>
    <row r="330">
      <c r="D330" s="55"/>
      <c r="E330" s="55"/>
      <c r="F330" s="55"/>
      <c r="J330" s="55"/>
    </row>
    <row r="331">
      <c r="D331" s="55"/>
      <c r="E331" s="55"/>
      <c r="F331" s="55"/>
      <c r="J331" s="55"/>
    </row>
    <row r="332">
      <c r="D332" s="55"/>
      <c r="E332" s="55"/>
      <c r="F332" s="55"/>
      <c r="J332" s="55"/>
    </row>
    <row r="333">
      <c r="D333" s="55"/>
      <c r="E333" s="55"/>
      <c r="F333" s="55"/>
      <c r="J333" s="55"/>
    </row>
    <row r="334">
      <c r="D334" s="55"/>
      <c r="E334" s="55"/>
      <c r="F334" s="55"/>
      <c r="J334" s="55"/>
    </row>
    <row r="335">
      <c r="D335" s="55"/>
      <c r="E335" s="55"/>
      <c r="F335" s="55"/>
      <c r="J335" s="55"/>
    </row>
    <row r="336">
      <c r="D336" s="55"/>
      <c r="E336" s="55"/>
      <c r="F336" s="55"/>
      <c r="J336" s="55"/>
    </row>
    <row r="337">
      <c r="D337" s="55"/>
      <c r="E337" s="55"/>
      <c r="F337" s="55"/>
      <c r="J337" s="55"/>
    </row>
    <row r="338">
      <c r="D338" s="55"/>
      <c r="E338" s="55"/>
      <c r="F338" s="55"/>
      <c r="J338" s="55"/>
    </row>
    <row r="339">
      <c r="D339" s="55"/>
      <c r="E339" s="55"/>
      <c r="F339" s="55"/>
      <c r="J339" s="55"/>
    </row>
    <row r="340">
      <c r="D340" s="55"/>
      <c r="E340" s="55"/>
      <c r="F340" s="55"/>
      <c r="J340" s="55"/>
    </row>
    <row r="341">
      <c r="D341" s="55"/>
      <c r="E341" s="55"/>
      <c r="F341" s="55"/>
      <c r="J341" s="55"/>
    </row>
    <row r="342">
      <c r="D342" s="55"/>
      <c r="E342" s="55"/>
      <c r="F342" s="55"/>
      <c r="J342" s="55"/>
    </row>
    <row r="343">
      <c r="D343" s="55"/>
      <c r="E343" s="55"/>
      <c r="F343" s="55"/>
      <c r="J343" s="55"/>
    </row>
    <row r="344">
      <c r="D344" s="55"/>
      <c r="E344" s="55"/>
      <c r="F344" s="55"/>
      <c r="J344" s="55"/>
    </row>
    <row r="345">
      <c r="D345" s="55"/>
      <c r="E345" s="55"/>
      <c r="F345" s="55"/>
      <c r="J345" s="55"/>
    </row>
    <row r="346">
      <c r="D346" s="55"/>
      <c r="E346" s="55"/>
      <c r="F346" s="55"/>
      <c r="J346" s="55"/>
    </row>
    <row r="347">
      <c r="D347" s="55"/>
      <c r="E347" s="55"/>
      <c r="F347" s="55"/>
      <c r="J347" s="55"/>
    </row>
    <row r="348">
      <c r="D348" s="55"/>
      <c r="E348" s="55"/>
      <c r="F348" s="55"/>
      <c r="J348" s="55"/>
    </row>
    <row r="349">
      <c r="D349" s="55"/>
      <c r="E349" s="55"/>
      <c r="F349" s="55"/>
      <c r="J349" s="55"/>
    </row>
    <row r="350">
      <c r="D350" s="55"/>
      <c r="E350" s="55"/>
      <c r="F350" s="55"/>
      <c r="J350" s="55"/>
    </row>
    <row r="351">
      <c r="D351" s="55"/>
      <c r="E351" s="55"/>
      <c r="F351" s="55"/>
      <c r="J351" s="55"/>
    </row>
    <row r="352">
      <c r="D352" s="55"/>
      <c r="E352" s="55"/>
      <c r="F352" s="55"/>
      <c r="J352" s="55"/>
    </row>
    <row r="353">
      <c r="D353" s="55"/>
      <c r="E353" s="55"/>
      <c r="F353" s="55"/>
      <c r="J353" s="55"/>
    </row>
    <row r="354">
      <c r="D354" s="55"/>
      <c r="E354" s="55"/>
      <c r="F354" s="55"/>
      <c r="J354" s="55"/>
    </row>
    <row r="355">
      <c r="D355" s="55"/>
      <c r="E355" s="55"/>
      <c r="F355" s="55"/>
      <c r="J355" s="55"/>
    </row>
    <row r="356">
      <c r="D356" s="55"/>
      <c r="E356" s="55"/>
      <c r="F356" s="55"/>
      <c r="J356" s="55"/>
    </row>
    <row r="357">
      <c r="D357" s="55"/>
      <c r="E357" s="55"/>
      <c r="F357" s="55"/>
      <c r="J357" s="55"/>
    </row>
    <row r="358">
      <c r="D358" s="55"/>
      <c r="E358" s="55"/>
      <c r="F358" s="55"/>
      <c r="J358" s="55"/>
    </row>
    <row r="359">
      <c r="D359" s="55"/>
      <c r="E359" s="55"/>
      <c r="F359" s="55"/>
      <c r="J359" s="55"/>
    </row>
    <row r="360">
      <c r="D360" s="55"/>
      <c r="E360" s="55"/>
      <c r="F360" s="55"/>
      <c r="J360" s="55"/>
    </row>
    <row r="361">
      <c r="D361" s="55"/>
      <c r="E361" s="55"/>
      <c r="F361" s="55"/>
      <c r="J361" s="55"/>
    </row>
    <row r="362">
      <c r="D362" s="55"/>
      <c r="E362" s="55"/>
      <c r="F362" s="55"/>
      <c r="J362" s="55"/>
    </row>
    <row r="363">
      <c r="D363" s="55"/>
      <c r="E363" s="55"/>
      <c r="F363" s="55"/>
      <c r="J363" s="55"/>
    </row>
    <row r="364">
      <c r="D364" s="55"/>
      <c r="E364" s="55"/>
      <c r="F364" s="55"/>
      <c r="J364" s="55"/>
    </row>
    <row r="365">
      <c r="D365" s="55"/>
      <c r="E365" s="55"/>
      <c r="F365" s="55"/>
      <c r="J365" s="55"/>
    </row>
    <row r="366">
      <c r="D366" s="55"/>
      <c r="E366" s="55"/>
      <c r="F366" s="55"/>
      <c r="J366" s="55"/>
    </row>
    <row r="367">
      <c r="D367" s="55"/>
      <c r="E367" s="55"/>
      <c r="F367" s="55"/>
      <c r="J367" s="55"/>
    </row>
    <row r="368">
      <c r="D368" s="55"/>
      <c r="E368" s="55"/>
      <c r="F368" s="55"/>
      <c r="J368" s="55"/>
    </row>
    <row r="369">
      <c r="D369" s="55"/>
      <c r="E369" s="55"/>
      <c r="F369" s="55"/>
      <c r="J369" s="55"/>
    </row>
    <row r="370">
      <c r="D370" s="55"/>
      <c r="E370" s="55"/>
      <c r="F370" s="55"/>
      <c r="J370" s="55"/>
    </row>
    <row r="371">
      <c r="D371" s="55"/>
      <c r="E371" s="55"/>
      <c r="F371" s="55"/>
      <c r="J371" s="55"/>
    </row>
    <row r="372">
      <c r="D372" s="55"/>
      <c r="E372" s="55"/>
      <c r="F372" s="55"/>
      <c r="J372" s="55"/>
    </row>
    <row r="373">
      <c r="D373" s="55"/>
      <c r="E373" s="55"/>
      <c r="F373" s="55"/>
      <c r="J373" s="55"/>
    </row>
    <row r="374">
      <c r="D374" s="55"/>
      <c r="E374" s="55"/>
      <c r="F374" s="55"/>
      <c r="J374" s="55"/>
    </row>
    <row r="375">
      <c r="D375" s="55"/>
      <c r="E375" s="55"/>
      <c r="F375" s="55"/>
      <c r="J375" s="55"/>
    </row>
    <row r="376">
      <c r="D376" s="55"/>
      <c r="E376" s="55"/>
      <c r="F376" s="55"/>
      <c r="J376" s="55"/>
    </row>
    <row r="377">
      <c r="D377" s="55"/>
      <c r="E377" s="55"/>
      <c r="F377" s="55"/>
      <c r="J377" s="55"/>
    </row>
    <row r="378">
      <c r="D378" s="55"/>
      <c r="E378" s="55"/>
      <c r="F378" s="55"/>
      <c r="J378" s="55"/>
    </row>
    <row r="379">
      <c r="D379" s="55"/>
      <c r="E379" s="55"/>
      <c r="F379" s="55"/>
      <c r="J379" s="55"/>
    </row>
    <row r="380">
      <c r="D380" s="55"/>
      <c r="E380" s="55"/>
      <c r="F380" s="55"/>
      <c r="J380" s="55"/>
    </row>
    <row r="381">
      <c r="D381" s="55"/>
      <c r="E381" s="55"/>
      <c r="F381" s="55"/>
      <c r="J381" s="55"/>
    </row>
    <row r="382">
      <c r="D382" s="55"/>
      <c r="E382" s="55"/>
      <c r="F382" s="55"/>
      <c r="J382" s="55"/>
    </row>
    <row r="383">
      <c r="D383" s="55"/>
      <c r="E383" s="55"/>
      <c r="F383" s="55"/>
      <c r="J383" s="55"/>
    </row>
    <row r="384">
      <c r="D384" s="55"/>
      <c r="E384" s="55"/>
      <c r="F384" s="55"/>
      <c r="J384" s="55"/>
    </row>
    <row r="385">
      <c r="D385" s="55"/>
      <c r="E385" s="55"/>
      <c r="F385" s="55"/>
      <c r="J385" s="55"/>
    </row>
    <row r="386">
      <c r="D386" s="55"/>
      <c r="E386" s="55"/>
      <c r="F386" s="55"/>
      <c r="J386" s="55"/>
    </row>
    <row r="387">
      <c r="D387" s="55"/>
      <c r="E387" s="55"/>
      <c r="F387" s="55"/>
      <c r="J387" s="55"/>
    </row>
    <row r="388">
      <c r="D388" s="55"/>
      <c r="E388" s="55"/>
      <c r="F388" s="55"/>
      <c r="J388" s="55"/>
    </row>
    <row r="389">
      <c r="D389" s="55"/>
      <c r="E389" s="55"/>
      <c r="F389" s="55"/>
      <c r="J389" s="55"/>
    </row>
    <row r="390">
      <c r="D390" s="55"/>
      <c r="E390" s="55"/>
      <c r="F390" s="55"/>
      <c r="J390" s="55"/>
    </row>
    <row r="391">
      <c r="D391" s="55"/>
      <c r="E391" s="55"/>
      <c r="F391" s="55"/>
      <c r="J391" s="55"/>
    </row>
    <row r="392">
      <c r="D392" s="55"/>
      <c r="E392" s="55"/>
      <c r="F392" s="55"/>
      <c r="J392" s="55"/>
    </row>
    <row r="393">
      <c r="D393" s="55"/>
      <c r="E393" s="55"/>
      <c r="F393" s="55"/>
      <c r="J393" s="55"/>
    </row>
    <row r="394">
      <c r="D394" s="55"/>
      <c r="E394" s="55"/>
      <c r="F394" s="55"/>
      <c r="J394" s="55"/>
    </row>
    <row r="395">
      <c r="D395" s="55"/>
      <c r="E395" s="55"/>
      <c r="F395" s="55"/>
      <c r="J395" s="55"/>
    </row>
    <row r="396">
      <c r="D396" s="55"/>
      <c r="E396" s="55"/>
      <c r="F396" s="55"/>
      <c r="J396" s="55"/>
    </row>
    <row r="397">
      <c r="D397" s="55"/>
      <c r="E397" s="55"/>
      <c r="F397" s="55"/>
      <c r="J397" s="55"/>
    </row>
    <row r="398">
      <c r="D398" s="55"/>
      <c r="E398" s="55"/>
      <c r="F398" s="55"/>
      <c r="J398" s="55"/>
    </row>
    <row r="399">
      <c r="D399" s="55"/>
      <c r="E399" s="55"/>
      <c r="F399" s="55"/>
      <c r="J399" s="55"/>
    </row>
    <row r="400">
      <c r="D400" s="55"/>
      <c r="E400" s="55"/>
      <c r="F400" s="55"/>
      <c r="J400" s="55"/>
    </row>
    <row r="401">
      <c r="D401" s="55"/>
      <c r="E401" s="55"/>
      <c r="F401" s="55"/>
      <c r="J401" s="55"/>
    </row>
    <row r="402">
      <c r="D402" s="55"/>
      <c r="E402" s="55"/>
      <c r="F402" s="55"/>
      <c r="J402" s="55"/>
    </row>
    <row r="403">
      <c r="D403" s="55"/>
      <c r="E403" s="55"/>
      <c r="F403" s="55"/>
      <c r="J403" s="55"/>
    </row>
    <row r="404">
      <c r="D404" s="55"/>
      <c r="E404" s="55"/>
      <c r="F404" s="55"/>
      <c r="J404" s="55"/>
    </row>
    <row r="405">
      <c r="D405" s="55"/>
      <c r="E405" s="55"/>
      <c r="F405" s="55"/>
      <c r="J405" s="55"/>
    </row>
    <row r="406">
      <c r="D406" s="55"/>
      <c r="E406" s="55"/>
      <c r="F406" s="55"/>
      <c r="J406" s="55"/>
    </row>
    <row r="407">
      <c r="D407" s="55"/>
      <c r="E407" s="55"/>
      <c r="F407" s="55"/>
      <c r="J407" s="55"/>
    </row>
    <row r="408">
      <c r="D408" s="55"/>
      <c r="E408" s="55"/>
      <c r="F408" s="55"/>
      <c r="J408" s="55"/>
    </row>
    <row r="409">
      <c r="D409" s="55"/>
      <c r="E409" s="55"/>
      <c r="F409" s="55"/>
      <c r="J409" s="55"/>
    </row>
    <row r="410">
      <c r="D410" s="55"/>
      <c r="E410" s="55"/>
      <c r="F410" s="55"/>
      <c r="J410" s="55"/>
    </row>
    <row r="411">
      <c r="D411" s="55"/>
      <c r="E411" s="55"/>
      <c r="F411" s="55"/>
      <c r="J411" s="55"/>
    </row>
    <row r="412">
      <c r="D412" s="55"/>
      <c r="E412" s="55"/>
      <c r="F412" s="55"/>
      <c r="J412" s="55"/>
    </row>
    <row r="413">
      <c r="D413" s="55"/>
      <c r="E413" s="55"/>
      <c r="F413" s="55"/>
      <c r="J413" s="55"/>
    </row>
    <row r="414">
      <c r="D414" s="55"/>
      <c r="E414" s="55"/>
      <c r="F414" s="55"/>
      <c r="J414" s="55"/>
    </row>
    <row r="415">
      <c r="D415" s="55"/>
      <c r="E415" s="55"/>
      <c r="F415" s="55"/>
      <c r="J415" s="55"/>
    </row>
    <row r="416">
      <c r="D416" s="55"/>
      <c r="E416" s="55"/>
      <c r="F416" s="55"/>
      <c r="J416" s="55"/>
    </row>
    <row r="417">
      <c r="D417" s="55"/>
      <c r="E417" s="55"/>
      <c r="F417" s="55"/>
      <c r="J417" s="55"/>
    </row>
    <row r="418">
      <c r="D418" s="55"/>
      <c r="E418" s="55"/>
      <c r="F418" s="55"/>
      <c r="J418" s="55"/>
    </row>
    <row r="419">
      <c r="D419" s="55"/>
      <c r="E419" s="55"/>
      <c r="F419" s="55"/>
      <c r="J419" s="55"/>
    </row>
    <row r="420">
      <c r="D420" s="55"/>
      <c r="E420" s="55"/>
      <c r="F420" s="55"/>
      <c r="J420" s="55"/>
    </row>
    <row r="421">
      <c r="D421" s="55"/>
      <c r="E421" s="55"/>
      <c r="F421" s="55"/>
      <c r="J421" s="55"/>
    </row>
    <row r="422">
      <c r="D422" s="55"/>
      <c r="E422" s="55"/>
      <c r="F422" s="55"/>
      <c r="J422" s="55"/>
    </row>
    <row r="423">
      <c r="D423" s="55"/>
      <c r="E423" s="55"/>
      <c r="F423" s="55"/>
      <c r="J423" s="55"/>
    </row>
    <row r="424">
      <c r="D424" s="55"/>
      <c r="E424" s="55"/>
      <c r="F424" s="55"/>
      <c r="J424" s="55"/>
    </row>
    <row r="425">
      <c r="D425" s="55"/>
      <c r="E425" s="55"/>
      <c r="F425" s="55"/>
      <c r="J425" s="55"/>
    </row>
    <row r="426">
      <c r="D426" s="55"/>
      <c r="E426" s="55"/>
      <c r="F426" s="55"/>
      <c r="J426" s="55"/>
    </row>
    <row r="427">
      <c r="D427" s="55"/>
      <c r="E427" s="55"/>
      <c r="F427" s="55"/>
      <c r="J427" s="55"/>
    </row>
    <row r="428">
      <c r="D428" s="55"/>
      <c r="E428" s="55"/>
      <c r="F428" s="55"/>
      <c r="J428" s="55"/>
    </row>
    <row r="429">
      <c r="D429" s="55"/>
      <c r="E429" s="55"/>
      <c r="F429" s="55"/>
      <c r="J429" s="55"/>
    </row>
    <row r="430">
      <c r="D430" s="55"/>
      <c r="E430" s="55"/>
      <c r="F430" s="55"/>
      <c r="J430" s="55"/>
    </row>
    <row r="431">
      <c r="D431" s="55"/>
      <c r="E431" s="55"/>
      <c r="F431" s="55"/>
      <c r="J431" s="55"/>
    </row>
    <row r="432">
      <c r="D432" s="55"/>
      <c r="E432" s="55"/>
      <c r="F432" s="55"/>
      <c r="J432" s="55"/>
    </row>
    <row r="433">
      <c r="D433" s="55"/>
      <c r="E433" s="55"/>
      <c r="F433" s="55"/>
      <c r="J433" s="55"/>
    </row>
    <row r="434">
      <c r="D434" s="55"/>
      <c r="E434" s="55"/>
      <c r="F434" s="55"/>
      <c r="J434" s="55"/>
    </row>
    <row r="435">
      <c r="D435" s="55"/>
      <c r="E435" s="55"/>
      <c r="F435" s="55"/>
      <c r="J435" s="55"/>
    </row>
    <row r="436">
      <c r="D436" s="55"/>
      <c r="E436" s="55"/>
      <c r="F436" s="55"/>
      <c r="J436" s="55"/>
    </row>
    <row r="437">
      <c r="D437" s="55"/>
      <c r="E437" s="55"/>
      <c r="F437" s="55"/>
      <c r="J437" s="55"/>
    </row>
    <row r="438">
      <c r="D438" s="55"/>
      <c r="E438" s="55"/>
      <c r="F438" s="55"/>
      <c r="J438" s="55"/>
    </row>
    <row r="439">
      <c r="D439" s="55"/>
      <c r="E439" s="55"/>
      <c r="F439" s="55"/>
      <c r="J439" s="55"/>
    </row>
    <row r="440">
      <c r="D440" s="55"/>
      <c r="E440" s="55"/>
      <c r="F440" s="55"/>
      <c r="J440" s="55"/>
    </row>
    <row r="441">
      <c r="D441" s="55"/>
      <c r="E441" s="55"/>
      <c r="F441" s="55"/>
      <c r="J441" s="55"/>
    </row>
    <row r="442">
      <c r="D442" s="55"/>
      <c r="E442" s="55"/>
      <c r="F442" s="55"/>
      <c r="J442" s="55"/>
    </row>
    <row r="443">
      <c r="D443" s="55"/>
      <c r="E443" s="55"/>
      <c r="F443" s="55"/>
      <c r="J443" s="55"/>
    </row>
    <row r="444">
      <c r="D444" s="55"/>
      <c r="E444" s="55"/>
      <c r="F444" s="55"/>
      <c r="J444" s="55"/>
    </row>
    <row r="445">
      <c r="D445" s="55"/>
      <c r="E445" s="55"/>
      <c r="F445" s="55"/>
      <c r="J445" s="55"/>
    </row>
    <row r="446">
      <c r="D446" s="55"/>
      <c r="E446" s="55"/>
      <c r="F446" s="55"/>
      <c r="J446" s="55"/>
    </row>
    <row r="447">
      <c r="D447" s="55"/>
      <c r="E447" s="55"/>
      <c r="F447" s="55"/>
      <c r="J447" s="55"/>
    </row>
    <row r="448">
      <c r="D448" s="55"/>
      <c r="E448" s="55"/>
      <c r="F448" s="55"/>
      <c r="J448" s="55"/>
    </row>
    <row r="449">
      <c r="D449" s="55"/>
      <c r="E449" s="55"/>
      <c r="F449" s="55"/>
      <c r="J449" s="55"/>
    </row>
    <row r="450">
      <c r="D450" s="55"/>
      <c r="E450" s="55"/>
      <c r="F450" s="55"/>
      <c r="J450" s="55"/>
    </row>
    <row r="451">
      <c r="D451" s="55"/>
      <c r="E451" s="55"/>
      <c r="F451" s="55"/>
      <c r="J451" s="55"/>
    </row>
    <row r="452">
      <c r="D452" s="55"/>
      <c r="E452" s="55"/>
      <c r="F452" s="55"/>
      <c r="J452" s="55"/>
    </row>
    <row r="453">
      <c r="D453" s="55"/>
      <c r="E453" s="55"/>
      <c r="F453" s="55"/>
      <c r="J453" s="55"/>
    </row>
    <row r="454">
      <c r="D454" s="55"/>
      <c r="E454" s="55"/>
      <c r="F454" s="55"/>
      <c r="J454" s="55"/>
    </row>
    <row r="455">
      <c r="D455" s="55"/>
      <c r="E455" s="55"/>
      <c r="F455" s="55"/>
      <c r="J455" s="55"/>
    </row>
    <row r="456">
      <c r="D456" s="55"/>
      <c r="E456" s="55"/>
      <c r="F456" s="55"/>
      <c r="J456" s="55"/>
    </row>
    <row r="457">
      <c r="D457" s="55"/>
      <c r="E457" s="55"/>
      <c r="F457" s="55"/>
      <c r="J457" s="55"/>
    </row>
    <row r="458">
      <c r="D458" s="55"/>
      <c r="E458" s="55"/>
      <c r="F458" s="55"/>
      <c r="J458" s="55"/>
    </row>
    <row r="459">
      <c r="D459" s="55"/>
      <c r="E459" s="55"/>
      <c r="F459" s="55"/>
      <c r="J459" s="55"/>
    </row>
    <row r="460">
      <c r="D460" s="55"/>
      <c r="E460" s="55"/>
      <c r="F460" s="55"/>
      <c r="J460" s="55"/>
    </row>
    <row r="461">
      <c r="D461" s="55"/>
      <c r="E461" s="55"/>
      <c r="F461" s="55"/>
      <c r="J461" s="55"/>
    </row>
    <row r="462">
      <c r="D462" s="55"/>
      <c r="E462" s="55"/>
      <c r="F462" s="55"/>
      <c r="J462" s="55"/>
    </row>
    <row r="463">
      <c r="D463" s="55"/>
      <c r="E463" s="55"/>
      <c r="F463" s="55"/>
      <c r="J463" s="55"/>
    </row>
    <row r="464">
      <c r="D464" s="55"/>
      <c r="E464" s="55"/>
      <c r="F464" s="55"/>
      <c r="J464" s="55"/>
    </row>
    <row r="465">
      <c r="D465" s="55"/>
      <c r="E465" s="55"/>
      <c r="F465" s="55"/>
      <c r="J465" s="55"/>
    </row>
    <row r="466">
      <c r="D466" s="55"/>
      <c r="E466" s="55"/>
      <c r="F466" s="55"/>
      <c r="J466" s="55"/>
    </row>
    <row r="467">
      <c r="D467" s="55"/>
      <c r="E467" s="55"/>
      <c r="F467" s="55"/>
      <c r="J467" s="55"/>
    </row>
    <row r="468">
      <c r="D468" s="55"/>
      <c r="E468" s="55"/>
      <c r="F468" s="55"/>
      <c r="J468" s="55"/>
    </row>
    <row r="469">
      <c r="D469" s="55"/>
      <c r="E469" s="55"/>
      <c r="F469" s="55"/>
      <c r="J469" s="55"/>
    </row>
    <row r="470">
      <c r="D470" s="55"/>
      <c r="E470" s="55"/>
      <c r="F470" s="55"/>
      <c r="J470" s="55"/>
    </row>
    <row r="471">
      <c r="D471" s="55"/>
      <c r="E471" s="55"/>
      <c r="F471" s="55"/>
      <c r="J471" s="55"/>
    </row>
    <row r="472">
      <c r="D472" s="55"/>
      <c r="E472" s="55"/>
      <c r="F472" s="55"/>
      <c r="J472" s="55"/>
    </row>
    <row r="473">
      <c r="D473" s="55"/>
      <c r="E473" s="55"/>
      <c r="F473" s="55"/>
      <c r="J473" s="55"/>
    </row>
    <row r="474">
      <c r="D474" s="55"/>
      <c r="E474" s="55"/>
      <c r="F474" s="55"/>
      <c r="J474" s="55"/>
    </row>
    <row r="475">
      <c r="D475" s="55"/>
      <c r="E475" s="55"/>
      <c r="F475" s="55"/>
      <c r="J475" s="55"/>
    </row>
    <row r="476">
      <c r="D476" s="55"/>
      <c r="E476" s="55"/>
      <c r="F476" s="55"/>
      <c r="J476" s="55"/>
    </row>
    <row r="477">
      <c r="D477" s="55"/>
      <c r="E477" s="55"/>
      <c r="F477" s="55"/>
      <c r="J477" s="55"/>
    </row>
    <row r="478">
      <c r="D478" s="55"/>
      <c r="E478" s="55"/>
      <c r="F478" s="55"/>
      <c r="J478" s="55"/>
    </row>
    <row r="479">
      <c r="D479" s="55"/>
      <c r="E479" s="55"/>
      <c r="F479" s="55"/>
      <c r="J479" s="55"/>
    </row>
    <row r="480">
      <c r="D480" s="55"/>
      <c r="E480" s="55"/>
      <c r="F480" s="55"/>
      <c r="J480" s="55"/>
    </row>
    <row r="481">
      <c r="D481" s="55"/>
      <c r="E481" s="55"/>
      <c r="F481" s="55"/>
      <c r="J481" s="55"/>
    </row>
    <row r="482">
      <c r="D482" s="55"/>
      <c r="E482" s="55"/>
      <c r="F482" s="55"/>
      <c r="J482" s="55"/>
    </row>
    <row r="483">
      <c r="D483" s="55"/>
      <c r="E483" s="55"/>
      <c r="F483" s="55"/>
      <c r="J483" s="55"/>
    </row>
    <row r="484">
      <c r="D484" s="55"/>
      <c r="E484" s="55"/>
      <c r="F484" s="55"/>
      <c r="J484" s="55"/>
    </row>
    <row r="485">
      <c r="D485" s="55"/>
      <c r="E485" s="55"/>
      <c r="F485" s="55"/>
      <c r="J485" s="55"/>
    </row>
    <row r="486">
      <c r="D486" s="55"/>
      <c r="E486" s="55"/>
      <c r="F486" s="55"/>
      <c r="J486" s="55"/>
    </row>
    <row r="487">
      <c r="D487" s="55"/>
      <c r="E487" s="55"/>
      <c r="F487" s="55"/>
      <c r="J487" s="55"/>
    </row>
    <row r="488">
      <c r="D488" s="55"/>
      <c r="E488" s="55"/>
      <c r="F488" s="55"/>
      <c r="J488" s="55"/>
    </row>
    <row r="489">
      <c r="D489" s="55"/>
      <c r="E489" s="55"/>
      <c r="F489" s="55"/>
      <c r="J489" s="55"/>
    </row>
    <row r="490">
      <c r="D490" s="55"/>
      <c r="E490" s="55"/>
      <c r="F490" s="55"/>
      <c r="J490" s="55"/>
    </row>
    <row r="491">
      <c r="D491" s="55"/>
      <c r="E491" s="55"/>
      <c r="F491" s="55"/>
      <c r="J491" s="55"/>
    </row>
    <row r="492">
      <c r="D492" s="55"/>
      <c r="E492" s="55"/>
      <c r="F492" s="55"/>
      <c r="J492" s="55"/>
    </row>
    <row r="493">
      <c r="D493" s="55"/>
      <c r="E493" s="55"/>
      <c r="F493" s="55"/>
      <c r="J493" s="55"/>
    </row>
    <row r="494">
      <c r="D494" s="55"/>
      <c r="E494" s="55"/>
      <c r="F494" s="55"/>
      <c r="J494" s="55"/>
    </row>
    <row r="495">
      <c r="D495" s="55"/>
      <c r="E495" s="55"/>
      <c r="F495" s="55"/>
      <c r="J495" s="55"/>
    </row>
    <row r="496">
      <c r="D496" s="55"/>
      <c r="E496" s="55"/>
      <c r="F496" s="55"/>
      <c r="J496" s="55"/>
    </row>
    <row r="497">
      <c r="D497" s="55"/>
      <c r="E497" s="55"/>
      <c r="F497" s="55"/>
      <c r="J497" s="55"/>
    </row>
    <row r="498">
      <c r="D498" s="55"/>
      <c r="E498" s="55"/>
      <c r="F498" s="55"/>
      <c r="J498" s="55"/>
    </row>
    <row r="499">
      <c r="D499" s="55"/>
      <c r="E499" s="55"/>
      <c r="F499" s="55"/>
      <c r="J499" s="55"/>
    </row>
    <row r="500">
      <c r="D500" s="55"/>
      <c r="E500" s="55"/>
      <c r="F500" s="55"/>
      <c r="J500" s="55"/>
    </row>
    <row r="501">
      <c r="D501" s="55"/>
      <c r="E501" s="55"/>
      <c r="F501" s="55"/>
      <c r="J501" s="55"/>
    </row>
    <row r="502">
      <c r="D502" s="55"/>
      <c r="E502" s="55"/>
      <c r="F502" s="55"/>
      <c r="J502" s="55"/>
    </row>
    <row r="503">
      <c r="D503" s="55"/>
      <c r="E503" s="55"/>
      <c r="F503" s="55"/>
      <c r="J503" s="55"/>
    </row>
    <row r="504">
      <c r="D504" s="55"/>
      <c r="E504" s="55"/>
      <c r="F504" s="55"/>
      <c r="J504" s="55"/>
    </row>
    <row r="505">
      <c r="D505" s="55"/>
      <c r="E505" s="55"/>
      <c r="F505" s="55"/>
      <c r="J505" s="55"/>
    </row>
    <row r="506">
      <c r="D506" s="55"/>
      <c r="E506" s="55"/>
      <c r="F506" s="55"/>
      <c r="J506" s="55"/>
    </row>
    <row r="507">
      <c r="D507" s="55"/>
      <c r="E507" s="55"/>
      <c r="F507" s="55"/>
      <c r="J507" s="55"/>
    </row>
    <row r="508">
      <c r="D508" s="55"/>
      <c r="E508" s="55"/>
      <c r="F508" s="55"/>
      <c r="J508" s="55"/>
    </row>
    <row r="509">
      <c r="D509" s="55"/>
      <c r="E509" s="55"/>
      <c r="F509" s="55"/>
      <c r="J509" s="55"/>
    </row>
    <row r="510">
      <c r="D510" s="55"/>
      <c r="E510" s="55"/>
      <c r="F510" s="55"/>
      <c r="J510" s="55"/>
    </row>
    <row r="511">
      <c r="D511" s="55"/>
      <c r="E511" s="55"/>
      <c r="F511" s="55"/>
      <c r="J511" s="55"/>
    </row>
    <row r="512">
      <c r="D512" s="55"/>
      <c r="E512" s="55"/>
      <c r="F512" s="55"/>
      <c r="J512" s="55"/>
    </row>
    <row r="513">
      <c r="D513" s="55"/>
      <c r="E513" s="55"/>
      <c r="F513" s="55"/>
      <c r="J513" s="55"/>
    </row>
    <row r="514">
      <c r="D514" s="55"/>
      <c r="E514" s="55"/>
      <c r="F514" s="55"/>
      <c r="J514" s="55"/>
    </row>
    <row r="515">
      <c r="D515" s="55"/>
      <c r="E515" s="55"/>
      <c r="F515" s="55"/>
      <c r="J515" s="55"/>
    </row>
    <row r="516">
      <c r="D516" s="55"/>
      <c r="E516" s="55"/>
      <c r="F516" s="55"/>
      <c r="J516" s="55"/>
    </row>
    <row r="517">
      <c r="D517" s="55"/>
      <c r="E517" s="55"/>
      <c r="F517" s="55"/>
      <c r="J517" s="55"/>
    </row>
    <row r="518">
      <c r="D518" s="55"/>
      <c r="E518" s="55"/>
      <c r="F518" s="55"/>
      <c r="J518" s="55"/>
    </row>
    <row r="519">
      <c r="D519" s="55"/>
      <c r="E519" s="55"/>
      <c r="F519" s="55"/>
      <c r="J519" s="55"/>
    </row>
    <row r="520">
      <c r="D520" s="55"/>
      <c r="E520" s="55"/>
      <c r="F520" s="55"/>
      <c r="J520" s="55"/>
    </row>
    <row r="521">
      <c r="D521" s="55"/>
      <c r="E521" s="55"/>
      <c r="F521" s="55"/>
      <c r="J521" s="55"/>
    </row>
    <row r="522">
      <c r="D522" s="55"/>
      <c r="E522" s="55"/>
      <c r="F522" s="55"/>
      <c r="J522" s="55"/>
    </row>
    <row r="523">
      <c r="D523" s="55"/>
      <c r="E523" s="55"/>
      <c r="F523" s="55"/>
      <c r="J523" s="55"/>
    </row>
    <row r="524">
      <c r="D524" s="55"/>
      <c r="E524" s="55"/>
      <c r="F524" s="55"/>
      <c r="J524" s="55"/>
    </row>
    <row r="525">
      <c r="D525" s="55"/>
      <c r="E525" s="55"/>
      <c r="F525" s="55"/>
      <c r="J525" s="55"/>
    </row>
    <row r="526">
      <c r="D526" s="55"/>
      <c r="E526" s="55"/>
      <c r="F526" s="55"/>
      <c r="J526" s="55"/>
    </row>
    <row r="527">
      <c r="D527" s="55"/>
      <c r="E527" s="55"/>
      <c r="F527" s="55"/>
      <c r="J527" s="55"/>
    </row>
    <row r="528">
      <c r="D528" s="55"/>
      <c r="E528" s="55"/>
      <c r="F528" s="55"/>
      <c r="J528" s="55"/>
    </row>
    <row r="529">
      <c r="D529" s="55"/>
      <c r="E529" s="55"/>
      <c r="F529" s="55"/>
      <c r="J529" s="55"/>
    </row>
    <row r="530">
      <c r="D530" s="55"/>
      <c r="E530" s="55"/>
      <c r="F530" s="55"/>
      <c r="J530" s="55"/>
    </row>
    <row r="531">
      <c r="D531" s="55"/>
      <c r="E531" s="55"/>
      <c r="F531" s="55"/>
      <c r="J531" s="55"/>
    </row>
    <row r="532">
      <c r="D532" s="55"/>
      <c r="E532" s="55"/>
      <c r="F532" s="55"/>
      <c r="J532" s="55"/>
    </row>
    <row r="533">
      <c r="D533" s="55"/>
      <c r="E533" s="55"/>
      <c r="F533" s="55"/>
      <c r="J533" s="55"/>
    </row>
    <row r="534">
      <c r="D534" s="55"/>
      <c r="E534" s="55"/>
      <c r="F534" s="55"/>
      <c r="J534" s="55"/>
    </row>
    <row r="535">
      <c r="D535" s="55"/>
      <c r="E535" s="55"/>
      <c r="F535" s="55"/>
      <c r="J535" s="55"/>
    </row>
    <row r="536">
      <c r="D536" s="55"/>
      <c r="E536" s="55"/>
      <c r="F536" s="55"/>
      <c r="J536" s="55"/>
    </row>
    <row r="537">
      <c r="D537" s="55"/>
      <c r="E537" s="55"/>
      <c r="F537" s="55"/>
      <c r="J537" s="55"/>
    </row>
    <row r="538">
      <c r="D538" s="55"/>
      <c r="E538" s="55"/>
      <c r="F538" s="55"/>
      <c r="J538" s="55"/>
    </row>
    <row r="539">
      <c r="D539" s="55"/>
      <c r="E539" s="55"/>
      <c r="F539" s="55"/>
      <c r="J539" s="55"/>
    </row>
    <row r="540">
      <c r="D540" s="55"/>
      <c r="E540" s="55"/>
      <c r="F540" s="55"/>
      <c r="J540" s="55"/>
    </row>
    <row r="541">
      <c r="D541" s="55"/>
      <c r="E541" s="55"/>
      <c r="F541" s="55"/>
      <c r="J541" s="55"/>
    </row>
    <row r="542">
      <c r="D542" s="55"/>
      <c r="E542" s="55"/>
      <c r="F542" s="55"/>
      <c r="J542" s="55"/>
    </row>
    <row r="543">
      <c r="D543" s="55"/>
      <c r="E543" s="55"/>
      <c r="F543" s="55"/>
      <c r="J543" s="55"/>
    </row>
    <row r="544">
      <c r="D544" s="55"/>
      <c r="E544" s="55"/>
      <c r="F544" s="55"/>
      <c r="J544" s="55"/>
    </row>
    <row r="545">
      <c r="D545" s="55"/>
      <c r="E545" s="55"/>
      <c r="F545" s="55"/>
      <c r="J545" s="55"/>
    </row>
    <row r="546">
      <c r="D546" s="55"/>
      <c r="E546" s="55"/>
      <c r="F546" s="55"/>
      <c r="J546" s="55"/>
    </row>
    <row r="547">
      <c r="D547" s="55"/>
      <c r="E547" s="55"/>
      <c r="F547" s="55"/>
      <c r="J547" s="55"/>
    </row>
    <row r="548">
      <c r="D548" s="55"/>
      <c r="E548" s="55"/>
      <c r="F548" s="55"/>
      <c r="J548" s="55"/>
    </row>
    <row r="549">
      <c r="D549" s="55"/>
      <c r="E549" s="55"/>
      <c r="F549" s="55"/>
      <c r="J549" s="55"/>
    </row>
    <row r="550">
      <c r="D550" s="55"/>
      <c r="E550" s="55"/>
      <c r="F550" s="55"/>
      <c r="J550" s="55"/>
    </row>
    <row r="551">
      <c r="D551" s="55"/>
      <c r="E551" s="55"/>
      <c r="F551" s="55"/>
      <c r="J551" s="55"/>
    </row>
    <row r="552">
      <c r="D552" s="55"/>
      <c r="E552" s="55"/>
      <c r="F552" s="55"/>
      <c r="J552" s="55"/>
    </row>
    <row r="553">
      <c r="D553" s="55"/>
      <c r="E553" s="55"/>
      <c r="F553" s="55"/>
      <c r="J553" s="55"/>
    </row>
    <row r="554">
      <c r="D554" s="55"/>
      <c r="E554" s="55"/>
      <c r="F554" s="55"/>
      <c r="J554" s="55"/>
    </row>
    <row r="555">
      <c r="D555" s="55"/>
      <c r="E555" s="55"/>
      <c r="F555" s="55"/>
      <c r="J555" s="55"/>
    </row>
    <row r="556">
      <c r="D556" s="55"/>
      <c r="E556" s="55"/>
      <c r="F556" s="55"/>
      <c r="J556" s="55"/>
    </row>
    <row r="557">
      <c r="D557" s="55"/>
      <c r="E557" s="55"/>
      <c r="F557" s="55"/>
      <c r="J557" s="55"/>
    </row>
    <row r="558">
      <c r="D558" s="55"/>
      <c r="E558" s="55"/>
      <c r="F558" s="55"/>
      <c r="J558" s="55"/>
    </row>
    <row r="559">
      <c r="D559" s="55"/>
      <c r="E559" s="55"/>
      <c r="F559" s="55"/>
      <c r="J559" s="55"/>
    </row>
    <row r="560">
      <c r="D560" s="55"/>
      <c r="E560" s="55"/>
      <c r="F560" s="55"/>
      <c r="J560" s="55"/>
    </row>
    <row r="561">
      <c r="D561" s="55"/>
      <c r="E561" s="55"/>
      <c r="F561" s="55"/>
      <c r="J561" s="55"/>
    </row>
    <row r="562">
      <c r="D562" s="55"/>
      <c r="E562" s="55"/>
      <c r="F562" s="55"/>
      <c r="J562" s="55"/>
    </row>
    <row r="563">
      <c r="D563" s="55"/>
      <c r="E563" s="55"/>
      <c r="F563" s="55"/>
      <c r="J563" s="55"/>
    </row>
    <row r="564">
      <c r="D564" s="55"/>
      <c r="E564" s="55"/>
      <c r="F564" s="55"/>
      <c r="J564" s="55"/>
    </row>
    <row r="565">
      <c r="D565" s="55"/>
      <c r="E565" s="55"/>
      <c r="F565" s="55"/>
      <c r="J565" s="55"/>
    </row>
    <row r="566">
      <c r="D566" s="55"/>
      <c r="E566" s="55"/>
      <c r="F566" s="55"/>
      <c r="J566" s="55"/>
    </row>
    <row r="567">
      <c r="D567" s="55"/>
      <c r="E567" s="55"/>
      <c r="F567" s="55"/>
      <c r="J567" s="55"/>
    </row>
    <row r="568">
      <c r="D568" s="55"/>
      <c r="E568" s="55"/>
      <c r="F568" s="55"/>
      <c r="J568" s="55"/>
    </row>
    <row r="569">
      <c r="D569" s="55"/>
      <c r="E569" s="55"/>
      <c r="F569" s="55"/>
      <c r="J569" s="55"/>
    </row>
    <row r="570">
      <c r="D570" s="55"/>
      <c r="E570" s="55"/>
      <c r="F570" s="55"/>
      <c r="J570" s="55"/>
    </row>
    <row r="571">
      <c r="D571" s="55"/>
      <c r="E571" s="55"/>
      <c r="F571" s="55"/>
      <c r="J571" s="55"/>
    </row>
    <row r="572">
      <c r="D572" s="55"/>
      <c r="E572" s="55"/>
      <c r="F572" s="55"/>
      <c r="J572" s="55"/>
    </row>
    <row r="573">
      <c r="D573" s="55"/>
      <c r="E573" s="55"/>
      <c r="F573" s="55"/>
      <c r="J573" s="55"/>
    </row>
    <row r="574">
      <c r="D574" s="55"/>
      <c r="E574" s="55"/>
      <c r="F574" s="55"/>
      <c r="J574" s="55"/>
    </row>
    <row r="575">
      <c r="D575" s="55"/>
      <c r="E575" s="55"/>
      <c r="F575" s="55"/>
      <c r="J575" s="55"/>
    </row>
    <row r="576">
      <c r="D576" s="55"/>
      <c r="E576" s="55"/>
      <c r="F576" s="55"/>
      <c r="J576" s="55"/>
    </row>
    <row r="577">
      <c r="D577" s="55"/>
      <c r="E577" s="55"/>
      <c r="F577" s="55"/>
      <c r="J577" s="55"/>
    </row>
    <row r="578">
      <c r="D578" s="55"/>
      <c r="E578" s="55"/>
      <c r="F578" s="55"/>
      <c r="J578" s="55"/>
    </row>
    <row r="579">
      <c r="D579" s="55"/>
      <c r="E579" s="55"/>
      <c r="F579" s="55"/>
      <c r="J579" s="55"/>
    </row>
    <row r="580">
      <c r="D580" s="55"/>
      <c r="E580" s="55"/>
      <c r="F580" s="55"/>
      <c r="J580" s="55"/>
    </row>
    <row r="581">
      <c r="D581" s="55"/>
      <c r="E581" s="55"/>
      <c r="F581" s="55"/>
      <c r="J581" s="55"/>
    </row>
    <row r="582">
      <c r="D582" s="55"/>
      <c r="E582" s="55"/>
      <c r="F582" s="55"/>
      <c r="J582" s="55"/>
    </row>
    <row r="583">
      <c r="D583" s="55"/>
      <c r="E583" s="55"/>
      <c r="F583" s="55"/>
      <c r="J583" s="55"/>
    </row>
    <row r="584">
      <c r="D584" s="55"/>
      <c r="E584" s="55"/>
      <c r="F584" s="55"/>
      <c r="J584" s="55"/>
    </row>
    <row r="585">
      <c r="D585" s="55"/>
      <c r="E585" s="55"/>
      <c r="F585" s="55"/>
      <c r="J585" s="55"/>
    </row>
    <row r="586">
      <c r="D586" s="55"/>
      <c r="E586" s="55"/>
      <c r="F586" s="55"/>
      <c r="J586" s="55"/>
    </row>
    <row r="587">
      <c r="D587" s="55"/>
      <c r="E587" s="55"/>
      <c r="F587" s="55"/>
      <c r="J587" s="55"/>
    </row>
    <row r="588">
      <c r="D588" s="55"/>
      <c r="E588" s="55"/>
      <c r="F588" s="55"/>
      <c r="J588" s="55"/>
    </row>
    <row r="589">
      <c r="D589" s="55"/>
      <c r="E589" s="55"/>
      <c r="F589" s="55"/>
      <c r="J589" s="55"/>
    </row>
    <row r="590">
      <c r="D590" s="55"/>
      <c r="E590" s="55"/>
      <c r="F590" s="55"/>
      <c r="J590" s="55"/>
    </row>
    <row r="591">
      <c r="D591" s="55"/>
      <c r="E591" s="55"/>
      <c r="F591" s="55"/>
      <c r="J591" s="55"/>
    </row>
    <row r="592">
      <c r="D592" s="55"/>
      <c r="E592" s="55"/>
      <c r="F592" s="55"/>
      <c r="J592" s="55"/>
    </row>
    <row r="593">
      <c r="D593" s="55"/>
      <c r="E593" s="55"/>
      <c r="F593" s="55"/>
      <c r="J593" s="55"/>
    </row>
    <row r="594">
      <c r="D594" s="55"/>
      <c r="E594" s="55"/>
      <c r="F594" s="55"/>
      <c r="J594" s="55"/>
    </row>
    <row r="595">
      <c r="D595" s="55"/>
      <c r="E595" s="55"/>
      <c r="F595" s="55"/>
      <c r="J595" s="55"/>
    </row>
    <row r="596">
      <c r="D596" s="55"/>
      <c r="E596" s="55"/>
      <c r="F596" s="55"/>
      <c r="J596" s="55"/>
    </row>
    <row r="597">
      <c r="D597" s="55"/>
      <c r="E597" s="55"/>
      <c r="F597" s="55"/>
      <c r="J597" s="55"/>
    </row>
    <row r="598">
      <c r="D598" s="55"/>
      <c r="E598" s="55"/>
      <c r="F598" s="55"/>
      <c r="J598" s="55"/>
    </row>
    <row r="599">
      <c r="D599" s="55"/>
      <c r="E599" s="55"/>
      <c r="F599" s="55"/>
      <c r="J599" s="55"/>
    </row>
    <row r="600">
      <c r="D600" s="55"/>
      <c r="E600" s="55"/>
      <c r="F600" s="55"/>
      <c r="J600" s="55"/>
    </row>
    <row r="601">
      <c r="D601" s="55"/>
      <c r="E601" s="55"/>
      <c r="F601" s="55"/>
      <c r="J601" s="55"/>
    </row>
    <row r="602">
      <c r="D602" s="55"/>
      <c r="E602" s="55"/>
      <c r="F602" s="55"/>
      <c r="J602" s="55"/>
    </row>
    <row r="603">
      <c r="D603" s="55"/>
      <c r="E603" s="55"/>
      <c r="F603" s="55"/>
      <c r="J603" s="55"/>
    </row>
    <row r="604">
      <c r="D604" s="55"/>
      <c r="E604" s="55"/>
      <c r="F604" s="55"/>
      <c r="J604" s="55"/>
    </row>
    <row r="605">
      <c r="D605" s="55"/>
      <c r="E605" s="55"/>
      <c r="F605" s="55"/>
      <c r="J605" s="55"/>
    </row>
    <row r="606">
      <c r="D606" s="55"/>
      <c r="E606" s="55"/>
      <c r="F606" s="55"/>
      <c r="J606" s="55"/>
    </row>
    <row r="607">
      <c r="D607" s="55"/>
      <c r="E607" s="55"/>
      <c r="F607" s="55"/>
      <c r="J607" s="55"/>
    </row>
    <row r="608">
      <c r="D608" s="55"/>
      <c r="E608" s="55"/>
      <c r="F608" s="55"/>
      <c r="J608" s="55"/>
    </row>
    <row r="609">
      <c r="D609" s="55"/>
      <c r="E609" s="55"/>
      <c r="F609" s="55"/>
      <c r="J609" s="55"/>
    </row>
    <row r="610">
      <c r="D610" s="55"/>
      <c r="E610" s="55"/>
      <c r="F610" s="55"/>
      <c r="J610" s="55"/>
    </row>
    <row r="611">
      <c r="D611" s="55"/>
      <c r="E611" s="55"/>
      <c r="F611" s="55"/>
      <c r="J611" s="55"/>
    </row>
    <row r="612">
      <c r="D612" s="55"/>
      <c r="E612" s="55"/>
      <c r="F612" s="55"/>
      <c r="J612" s="55"/>
    </row>
    <row r="613">
      <c r="D613" s="55"/>
      <c r="E613" s="55"/>
      <c r="F613" s="55"/>
      <c r="J613" s="55"/>
    </row>
    <row r="614">
      <c r="D614" s="55"/>
      <c r="E614" s="55"/>
      <c r="F614" s="55"/>
      <c r="J614" s="55"/>
    </row>
    <row r="615">
      <c r="D615" s="55"/>
      <c r="E615" s="55"/>
      <c r="F615" s="55"/>
      <c r="J615" s="55"/>
    </row>
    <row r="616">
      <c r="D616" s="55"/>
      <c r="E616" s="55"/>
      <c r="F616" s="55"/>
      <c r="J616" s="55"/>
    </row>
    <row r="617">
      <c r="D617" s="55"/>
      <c r="E617" s="55"/>
      <c r="F617" s="55"/>
      <c r="J617" s="55"/>
    </row>
    <row r="618">
      <c r="D618" s="55"/>
      <c r="E618" s="55"/>
      <c r="F618" s="55"/>
      <c r="J618" s="55"/>
    </row>
    <row r="619">
      <c r="D619" s="55"/>
      <c r="E619" s="55"/>
      <c r="F619" s="55"/>
      <c r="J619" s="55"/>
    </row>
    <row r="620">
      <c r="D620" s="55"/>
      <c r="E620" s="55"/>
      <c r="F620" s="55"/>
      <c r="J620" s="55"/>
    </row>
    <row r="621">
      <c r="D621" s="55"/>
      <c r="E621" s="55"/>
      <c r="F621" s="55"/>
      <c r="J621" s="55"/>
    </row>
    <row r="622">
      <c r="D622" s="55"/>
      <c r="E622" s="55"/>
      <c r="F622" s="55"/>
      <c r="J622" s="55"/>
    </row>
    <row r="623">
      <c r="D623" s="55"/>
      <c r="E623" s="55"/>
      <c r="F623" s="55"/>
      <c r="J623" s="55"/>
    </row>
    <row r="624">
      <c r="D624" s="55"/>
      <c r="E624" s="55"/>
      <c r="F624" s="55"/>
      <c r="J624" s="55"/>
    </row>
    <row r="625">
      <c r="D625" s="55"/>
      <c r="E625" s="55"/>
      <c r="F625" s="55"/>
      <c r="J625" s="55"/>
    </row>
    <row r="626">
      <c r="D626" s="55"/>
      <c r="E626" s="55"/>
      <c r="F626" s="55"/>
      <c r="J626" s="55"/>
    </row>
    <row r="627">
      <c r="D627" s="55"/>
      <c r="E627" s="55"/>
      <c r="F627" s="55"/>
      <c r="J627" s="55"/>
    </row>
    <row r="628">
      <c r="D628" s="55"/>
      <c r="E628" s="55"/>
      <c r="F628" s="55"/>
      <c r="J628" s="55"/>
    </row>
    <row r="629">
      <c r="D629" s="55"/>
      <c r="E629" s="55"/>
      <c r="F629" s="55"/>
      <c r="J629" s="55"/>
    </row>
    <row r="630">
      <c r="D630" s="55"/>
      <c r="E630" s="55"/>
      <c r="F630" s="55"/>
      <c r="J630" s="55"/>
    </row>
    <row r="631">
      <c r="D631" s="55"/>
      <c r="E631" s="55"/>
      <c r="F631" s="55"/>
      <c r="J631" s="55"/>
    </row>
    <row r="632">
      <c r="D632" s="55"/>
      <c r="E632" s="55"/>
      <c r="F632" s="55"/>
      <c r="J632" s="55"/>
    </row>
    <row r="633">
      <c r="D633" s="55"/>
      <c r="E633" s="55"/>
      <c r="F633" s="55"/>
      <c r="J633" s="55"/>
    </row>
    <row r="634">
      <c r="D634" s="55"/>
      <c r="E634" s="55"/>
      <c r="F634" s="55"/>
      <c r="J634" s="55"/>
    </row>
    <row r="635">
      <c r="D635" s="55"/>
      <c r="E635" s="55"/>
      <c r="F635" s="55"/>
      <c r="J635" s="55"/>
    </row>
    <row r="636">
      <c r="D636" s="55"/>
      <c r="E636" s="55"/>
      <c r="F636" s="55"/>
      <c r="J636" s="55"/>
    </row>
    <row r="637">
      <c r="D637" s="55"/>
      <c r="E637" s="55"/>
      <c r="F637" s="55"/>
      <c r="J637" s="55"/>
    </row>
    <row r="638">
      <c r="D638" s="55"/>
      <c r="E638" s="55"/>
      <c r="F638" s="55"/>
      <c r="J638" s="55"/>
    </row>
    <row r="639">
      <c r="D639" s="55"/>
      <c r="E639" s="55"/>
      <c r="F639" s="55"/>
      <c r="J639" s="55"/>
    </row>
    <row r="640">
      <c r="D640" s="55"/>
      <c r="E640" s="55"/>
      <c r="F640" s="55"/>
      <c r="J640" s="55"/>
    </row>
    <row r="641">
      <c r="D641" s="55"/>
      <c r="E641" s="55"/>
      <c r="F641" s="55"/>
      <c r="J641" s="55"/>
    </row>
    <row r="642">
      <c r="D642" s="55"/>
      <c r="E642" s="55"/>
      <c r="F642" s="55"/>
      <c r="J642" s="55"/>
    </row>
    <row r="643">
      <c r="D643" s="55"/>
      <c r="E643" s="55"/>
      <c r="F643" s="55"/>
      <c r="J643" s="55"/>
    </row>
    <row r="644">
      <c r="D644" s="55"/>
      <c r="E644" s="55"/>
      <c r="F644" s="55"/>
      <c r="J644" s="55"/>
    </row>
    <row r="645">
      <c r="D645" s="55"/>
      <c r="E645" s="55"/>
      <c r="F645" s="55"/>
      <c r="J645" s="55"/>
    </row>
    <row r="646">
      <c r="D646" s="55"/>
      <c r="E646" s="55"/>
      <c r="F646" s="55"/>
      <c r="J646" s="55"/>
    </row>
    <row r="647">
      <c r="D647" s="55"/>
      <c r="E647" s="55"/>
      <c r="F647" s="55"/>
      <c r="J647" s="55"/>
    </row>
    <row r="648">
      <c r="D648" s="55"/>
      <c r="E648" s="55"/>
      <c r="F648" s="55"/>
      <c r="J648" s="55"/>
    </row>
    <row r="649">
      <c r="D649" s="55"/>
      <c r="E649" s="55"/>
      <c r="F649" s="55"/>
      <c r="J649" s="55"/>
    </row>
    <row r="650">
      <c r="D650" s="55"/>
      <c r="E650" s="55"/>
      <c r="F650" s="55"/>
      <c r="J650" s="55"/>
    </row>
    <row r="651">
      <c r="D651" s="55"/>
      <c r="E651" s="55"/>
      <c r="F651" s="55"/>
      <c r="J651" s="55"/>
    </row>
    <row r="652">
      <c r="D652" s="55"/>
      <c r="E652" s="55"/>
      <c r="F652" s="55"/>
      <c r="J652" s="55"/>
    </row>
    <row r="653">
      <c r="D653" s="55"/>
      <c r="E653" s="55"/>
      <c r="F653" s="55"/>
      <c r="J653" s="55"/>
    </row>
    <row r="654">
      <c r="D654" s="55"/>
      <c r="E654" s="55"/>
      <c r="F654" s="55"/>
      <c r="J654" s="55"/>
    </row>
    <row r="655">
      <c r="D655" s="55"/>
      <c r="E655" s="55"/>
      <c r="F655" s="55"/>
      <c r="J655" s="55"/>
    </row>
    <row r="656">
      <c r="D656" s="55"/>
      <c r="E656" s="55"/>
      <c r="F656" s="55"/>
      <c r="J656" s="55"/>
    </row>
    <row r="657">
      <c r="D657" s="55"/>
      <c r="E657" s="55"/>
      <c r="F657" s="55"/>
      <c r="J657" s="55"/>
    </row>
    <row r="658">
      <c r="D658" s="55"/>
      <c r="E658" s="55"/>
      <c r="F658" s="55"/>
      <c r="J658" s="55"/>
    </row>
    <row r="659">
      <c r="D659" s="55"/>
      <c r="E659" s="55"/>
      <c r="F659" s="55"/>
      <c r="J659" s="55"/>
    </row>
    <row r="660">
      <c r="D660" s="55"/>
      <c r="E660" s="55"/>
      <c r="F660" s="55"/>
      <c r="J660" s="55"/>
    </row>
    <row r="661">
      <c r="D661" s="55"/>
      <c r="E661" s="55"/>
      <c r="F661" s="55"/>
      <c r="J661" s="55"/>
    </row>
    <row r="662">
      <c r="D662" s="55"/>
      <c r="E662" s="55"/>
      <c r="F662" s="55"/>
      <c r="J662" s="55"/>
    </row>
    <row r="663">
      <c r="D663" s="55"/>
      <c r="E663" s="55"/>
      <c r="F663" s="55"/>
      <c r="J663" s="55"/>
    </row>
    <row r="664">
      <c r="D664" s="55"/>
      <c r="E664" s="55"/>
      <c r="F664" s="55"/>
      <c r="J664" s="55"/>
    </row>
    <row r="665">
      <c r="D665" s="55"/>
      <c r="E665" s="55"/>
      <c r="F665" s="55"/>
      <c r="J665" s="55"/>
    </row>
    <row r="666">
      <c r="D666" s="55"/>
      <c r="E666" s="55"/>
      <c r="F666" s="55"/>
      <c r="J666" s="55"/>
    </row>
    <row r="667">
      <c r="D667" s="55"/>
      <c r="E667" s="55"/>
      <c r="F667" s="55"/>
      <c r="J667" s="55"/>
    </row>
    <row r="668">
      <c r="D668" s="55"/>
      <c r="E668" s="55"/>
      <c r="F668" s="55"/>
      <c r="J668" s="55"/>
    </row>
    <row r="669">
      <c r="D669" s="55"/>
      <c r="E669" s="55"/>
      <c r="F669" s="55"/>
      <c r="J669" s="55"/>
    </row>
    <row r="670">
      <c r="D670" s="55"/>
      <c r="E670" s="55"/>
      <c r="F670" s="55"/>
      <c r="J670" s="55"/>
    </row>
    <row r="671">
      <c r="D671" s="55"/>
      <c r="E671" s="55"/>
      <c r="F671" s="55"/>
      <c r="J671" s="55"/>
    </row>
    <row r="672">
      <c r="D672" s="55"/>
      <c r="E672" s="55"/>
      <c r="F672" s="55"/>
      <c r="J672" s="55"/>
    </row>
    <row r="673">
      <c r="D673" s="55"/>
      <c r="E673" s="55"/>
      <c r="F673" s="55"/>
      <c r="J673" s="55"/>
    </row>
    <row r="674">
      <c r="D674" s="55"/>
      <c r="E674" s="55"/>
      <c r="F674" s="55"/>
      <c r="J674" s="55"/>
    </row>
    <row r="675">
      <c r="D675" s="55"/>
      <c r="E675" s="55"/>
      <c r="F675" s="55"/>
      <c r="J675" s="55"/>
    </row>
    <row r="676">
      <c r="D676" s="55"/>
      <c r="E676" s="55"/>
      <c r="F676" s="55"/>
      <c r="J676" s="55"/>
    </row>
    <row r="677">
      <c r="D677" s="55"/>
      <c r="E677" s="55"/>
      <c r="F677" s="55"/>
      <c r="J677" s="55"/>
    </row>
    <row r="678">
      <c r="D678" s="55"/>
      <c r="E678" s="55"/>
      <c r="F678" s="55"/>
      <c r="J678" s="55"/>
    </row>
    <row r="679">
      <c r="D679" s="55"/>
      <c r="E679" s="55"/>
      <c r="F679" s="55"/>
      <c r="J679" s="55"/>
    </row>
    <row r="680">
      <c r="D680" s="55"/>
      <c r="E680" s="55"/>
      <c r="F680" s="55"/>
      <c r="J680" s="55"/>
    </row>
    <row r="681">
      <c r="D681" s="55"/>
      <c r="E681" s="55"/>
      <c r="F681" s="55"/>
      <c r="J681" s="55"/>
    </row>
    <row r="682">
      <c r="D682" s="55"/>
      <c r="E682" s="55"/>
      <c r="F682" s="55"/>
      <c r="J682" s="55"/>
    </row>
    <row r="683">
      <c r="D683" s="55"/>
      <c r="E683" s="55"/>
      <c r="F683" s="55"/>
      <c r="J683" s="55"/>
    </row>
    <row r="684">
      <c r="D684" s="55"/>
      <c r="E684" s="55"/>
      <c r="F684" s="55"/>
      <c r="J684" s="55"/>
    </row>
    <row r="685">
      <c r="D685" s="55"/>
      <c r="E685" s="55"/>
      <c r="F685" s="55"/>
      <c r="J685" s="55"/>
    </row>
    <row r="686">
      <c r="D686" s="55"/>
      <c r="E686" s="55"/>
      <c r="F686" s="55"/>
      <c r="J686" s="55"/>
    </row>
    <row r="687">
      <c r="D687" s="55"/>
      <c r="E687" s="55"/>
      <c r="F687" s="55"/>
      <c r="J687" s="55"/>
    </row>
    <row r="688">
      <c r="D688" s="55"/>
      <c r="E688" s="55"/>
      <c r="F688" s="55"/>
      <c r="J688" s="55"/>
    </row>
    <row r="689">
      <c r="D689" s="55"/>
      <c r="E689" s="55"/>
      <c r="F689" s="55"/>
      <c r="J689" s="55"/>
    </row>
    <row r="690">
      <c r="D690" s="55"/>
      <c r="E690" s="55"/>
      <c r="F690" s="55"/>
      <c r="J690" s="55"/>
    </row>
    <row r="691">
      <c r="D691" s="55"/>
      <c r="E691" s="55"/>
      <c r="F691" s="55"/>
      <c r="J691" s="55"/>
    </row>
    <row r="692">
      <c r="D692" s="55"/>
      <c r="E692" s="55"/>
      <c r="F692" s="55"/>
      <c r="J692" s="55"/>
    </row>
    <row r="693">
      <c r="D693" s="55"/>
      <c r="E693" s="55"/>
      <c r="F693" s="55"/>
      <c r="J693" s="55"/>
    </row>
    <row r="694">
      <c r="D694" s="55"/>
      <c r="E694" s="55"/>
      <c r="F694" s="55"/>
      <c r="J694" s="55"/>
    </row>
    <row r="695">
      <c r="D695" s="55"/>
      <c r="E695" s="55"/>
      <c r="F695" s="55"/>
      <c r="J695" s="55"/>
    </row>
    <row r="696">
      <c r="D696" s="55"/>
      <c r="E696" s="55"/>
      <c r="F696" s="55"/>
      <c r="J696" s="55"/>
    </row>
    <row r="697">
      <c r="D697" s="55"/>
      <c r="E697" s="55"/>
      <c r="F697" s="55"/>
      <c r="J697" s="55"/>
    </row>
    <row r="698">
      <c r="D698" s="55"/>
      <c r="E698" s="55"/>
      <c r="F698" s="55"/>
      <c r="J698" s="55"/>
    </row>
    <row r="699">
      <c r="D699" s="55"/>
      <c r="E699" s="55"/>
      <c r="F699" s="55"/>
      <c r="J699" s="55"/>
    </row>
    <row r="700">
      <c r="D700" s="55"/>
      <c r="E700" s="55"/>
      <c r="F700" s="55"/>
      <c r="J700" s="55"/>
    </row>
    <row r="701">
      <c r="D701" s="55"/>
      <c r="E701" s="55"/>
      <c r="F701" s="55"/>
      <c r="J701" s="55"/>
    </row>
    <row r="702">
      <c r="D702" s="55"/>
      <c r="E702" s="55"/>
      <c r="F702" s="55"/>
      <c r="J702" s="55"/>
    </row>
    <row r="703">
      <c r="D703" s="55"/>
      <c r="E703" s="55"/>
      <c r="F703" s="55"/>
      <c r="J703" s="55"/>
    </row>
    <row r="704">
      <c r="D704" s="55"/>
      <c r="E704" s="55"/>
      <c r="F704" s="55"/>
      <c r="J704" s="55"/>
    </row>
    <row r="705">
      <c r="D705" s="55"/>
      <c r="E705" s="55"/>
      <c r="F705" s="55"/>
      <c r="J705" s="55"/>
    </row>
    <row r="706">
      <c r="D706" s="55"/>
      <c r="E706" s="55"/>
      <c r="F706" s="55"/>
      <c r="J706" s="55"/>
    </row>
    <row r="707">
      <c r="D707" s="55"/>
      <c r="E707" s="55"/>
      <c r="F707" s="55"/>
      <c r="J707" s="55"/>
    </row>
    <row r="708">
      <c r="D708" s="55"/>
      <c r="E708" s="55"/>
      <c r="F708" s="55"/>
      <c r="J708" s="55"/>
    </row>
    <row r="709">
      <c r="D709" s="55"/>
      <c r="E709" s="55"/>
      <c r="F709" s="55"/>
      <c r="J709" s="55"/>
    </row>
    <row r="710">
      <c r="D710" s="55"/>
      <c r="E710" s="55"/>
      <c r="F710" s="55"/>
      <c r="J710" s="55"/>
    </row>
    <row r="711">
      <c r="D711" s="55"/>
      <c r="E711" s="55"/>
      <c r="F711" s="55"/>
      <c r="J711" s="55"/>
    </row>
    <row r="712">
      <c r="D712" s="55"/>
      <c r="E712" s="55"/>
      <c r="F712" s="55"/>
      <c r="J712" s="55"/>
    </row>
    <row r="713">
      <c r="D713" s="55"/>
      <c r="E713" s="55"/>
      <c r="F713" s="55"/>
      <c r="J713" s="55"/>
    </row>
    <row r="714">
      <c r="D714" s="55"/>
      <c r="E714" s="55"/>
      <c r="F714" s="55"/>
      <c r="J714" s="55"/>
    </row>
    <row r="715">
      <c r="D715" s="55"/>
      <c r="E715" s="55"/>
      <c r="F715" s="55"/>
      <c r="J715" s="55"/>
    </row>
    <row r="716">
      <c r="D716" s="55"/>
      <c r="E716" s="55"/>
      <c r="F716" s="55"/>
      <c r="J716" s="55"/>
    </row>
    <row r="717">
      <c r="D717" s="55"/>
      <c r="E717" s="55"/>
      <c r="F717" s="55"/>
      <c r="J717" s="55"/>
    </row>
    <row r="718">
      <c r="D718" s="55"/>
      <c r="E718" s="55"/>
      <c r="F718" s="55"/>
      <c r="J718" s="55"/>
    </row>
    <row r="719">
      <c r="D719" s="55"/>
      <c r="E719" s="55"/>
      <c r="F719" s="55"/>
      <c r="J719" s="55"/>
    </row>
    <row r="720">
      <c r="D720" s="55"/>
      <c r="E720" s="55"/>
      <c r="F720" s="55"/>
      <c r="J720" s="55"/>
    </row>
    <row r="721">
      <c r="D721" s="55"/>
      <c r="E721" s="55"/>
      <c r="F721" s="55"/>
      <c r="J721" s="55"/>
    </row>
    <row r="722">
      <c r="D722" s="55"/>
      <c r="E722" s="55"/>
      <c r="F722" s="55"/>
      <c r="J722" s="55"/>
    </row>
    <row r="723">
      <c r="D723" s="55"/>
      <c r="E723" s="55"/>
      <c r="F723" s="55"/>
      <c r="J723" s="55"/>
    </row>
    <row r="724">
      <c r="D724" s="55"/>
      <c r="E724" s="55"/>
      <c r="F724" s="55"/>
      <c r="J724" s="55"/>
    </row>
    <row r="725">
      <c r="D725" s="55"/>
      <c r="E725" s="55"/>
      <c r="F725" s="55"/>
      <c r="J725" s="55"/>
    </row>
    <row r="726">
      <c r="D726" s="55"/>
      <c r="E726" s="55"/>
      <c r="F726" s="55"/>
      <c r="J726" s="55"/>
    </row>
    <row r="727">
      <c r="D727" s="55"/>
      <c r="E727" s="55"/>
      <c r="F727" s="55"/>
      <c r="J727" s="55"/>
    </row>
    <row r="728">
      <c r="D728" s="55"/>
      <c r="E728" s="55"/>
      <c r="F728" s="55"/>
      <c r="J728" s="55"/>
    </row>
    <row r="729">
      <c r="D729" s="55"/>
      <c r="E729" s="55"/>
      <c r="F729" s="55"/>
      <c r="J729" s="55"/>
    </row>
    <row r="730">
      <c r="D730" s="55"/>
      <c r="E730" s="55"/>
      <c r="F730" s="55"/>
      <c r="J730" s="55"/>
    </row>
    <row r="731">
      <c r="D731" s="55"/>
      <c r="E731" s="55"/>
      <c r="F731" s="55"/>
      <c r="J731" s="55"/>
    </row>
    <row r="732">
      <c r="D732" s="55"/>
      <c r="E732" s="55"/>
      <c r="F732" s="55"/>
      <c r="J732" s="55"/>
    </row>
    <row r="733">
      <c r="D733" s="55"/>
      <c r="E733" s="55"/>
      <c r="F733" s="55"/>
      <c r="J733" s="55"/>
    </row>
    <row r="734">
      <c r="D734" s="55"/>
      <c r="E734" s="55"/>
      <c r="F734" s="55"/>
      <c r="J734" s="55"/>
    </row>
    <row r="735">
      <c r="D735" s="55"/>
      <c r="E735" s="55"/>
      <c r="F735" s="55"/>
      <c r="J735" s="55"/>
    </row>
    <row r="736">
      <c r="D736" s="55"/>
      <c r="E736" s="55"/>
      <c r="F736" s="55"/>
      <c r="J736" s="55"/>
    </row>
    <row r="737">
      <c r="D737" s="55"/>
      <c r="E737" s="55"/>
      <c r="F737" s="55"/>
      <c r="J737" s="55"/>
    </row>
    <row r="738">
      <c r="D738" s="55"/>
      <c r="E738" s="55"/>
      <c r="F738" s="55"/>
      <c r="J738" s="55"/>
    </row>
    <row r="739">
      <c r="D739" s="55"/>
      <c r="E739" s="55"/>
      <c r="F739" s="55"/>
      <c r="J739" s="55"/>
    </row>
    <row r="740">
      <c r="D740" s="55"/>
      <c r="E740" s="55"/>
      <c r="F740" s="55"/>
      <c r="J740" s="55"/>
    </row>
    <row r="741">
      <c r="D741" s="55"/>
      <c r="E741" s="55"/>
      <c r="F741" s="55"/>
      <c r="J741" s="55"/>
    </row>
    <row r="742">
      <c r="D742" s="55"/>
      <c r="E742" s="55"/>
      <c r="F742" s="55"/>
      <c r="J742" s="55"/>
    </row>
    <row r="743">
      <c r="D743" s="55"/>
      <c r="E743" s="55"/>
      <c r="F743" s="55"/>
      <c r="J743" s="55"/>
    </row>
    <row r="744">
      <c r="D744" s="55"/>
      <c r="E744" s="55"/>
      <c r="F744" s="55"/>
      <c r="J744" s="55"/>
    </row>
    <row r="745">
      <c r="D745" s="55"/>
      <c r="E745" s="55"/>
      <c r="F745" s="55"/>
      <c r="J745" s="55"/>
    </row>
    <row r="746">
      <c r="D746" s="55"/>
      <c r="E746" s="55"/>
      <c r="F746" s="55"/>
      <c r="J746" s="55"/>
    </row>
    <row r="747">
      <c r="D747" s="55"/>
      <c r="E747" s="55"/>
      <c r="F747" s="55"/>
      <c r="J747" s="55"/>
    </row>
    <row r="748">
      <c r="D748" s="55"/>
      <c r="E748" s="55"/>
      <c r="F748" s="55"/>
      <c r="J748" s="55"/>
    </row>
    <row r="749">
      <c r="D749" s="55"/>
      <c r="E749" s="55"/>
      <c r="F749" s="55"/>
      <c r="J749" s="55"/>
    </row>
    <row r="750">
      <c r="D750" s="55"/>
      <c r="E750" s="55"/>
      <c r="F750" s="55"/>
      <c r="J750" s="55"/>
    </row>
    <row r="751">
      <c r="D751" s="55"/>
      <c r="E751" s="55"/>
      <c r="F751" s="55"/>
      <c r="J751" s="55"/>
    </row>
    <row r="752">
      <c r="D752" s="55"/>
      <c r="E752" s="55"/>
      <c r="F752" s="55"/>
      <c r="J752" s="55"/>
    </row>
    <row r="753">
      <c r="D753" s="55"/>
      <c r="E753" s="55"/>
      <c r="F753" s="55"/>
      <c r="J753" s="55"/>
    </row>
    <row r="754">
      <c r="D754" s="55"/>
      <c r="E754" s="55"/>
      <c r="F754" s="55"/>
      <c r="J754" s="55"/>
    </row>
    <row r="755">
      <c r="D755" s="55"/>
      <c r="E755" s="55"/>
      <c r="F755" s="55"/>
      <c r="J755" s="55"/>
    </row>
    <row r="756">
      <c r="D756" s="55"/>
      <c r="E756" s="55"/>
      <c r="F756" s="55"/>
      <c r="J756" s="55"/>
    </row>
    <row r="757">
      <c r="D757" s="55"/>
      <c r="E757" s="55"/>
      <c r="F757" s="55"/>
      <c r="J757" s="55"/>
    </row>
    <row r="758">
      <c r="D758" s="55"/>
      <c r="E758" s="55"/>
      <c r="F758" s="55"/>
      <c r="J758" s="55"/>
    </row>
    <row r="759">
      <c r="D759" s="55"/>
      <c r="E759" s="55"/>
      <c r="F759" s="55"/>
      <c r="J759" s="55"/>
    </row>
    <row r="760">
      <c r="D760" s="55"/>
      <c r="E760" s="55"/>
      <c r="F760" s="55"/>
      <c r="J760" s="55"/>
    </row>
    <row r="761">
      <c r="D761" s="55"/>
      <c r="E761" s="55"/>
      <c r="F761" s="55"/>
      <c r="J761" s="55"/>
    </row>
    <row r="762">
      <c r="D762" s="55"/>
      <c r="E762" s="55"/>
      <c r="F762" s="55"/>
      <c r="J762" s="55"/>
    </row>
    <row r="763">
      <c r="D763" s="55"/>
      <c r="E763" s="55"/>
      <c r="F763" s="55"/>
      <c r="J763" s="55"/>
    </row>
    <row r="764">
      <c r="D764" s="55"/>
      <c r="E764" s="55"/>
      <c r="F764" s="55"/>
      <c r="J764" s="55"/>
    </row>
    <row r="765">
      <c r="D765" s="55"/>
      <c r="E765" s="55"/>
      <c r="F765" s="55"/>
      <c r="J765" s="55"/>
    </row>
    <row r="766">
      <c r="D766" s="55"/>
      <c r="E766" s="55"/>
      <c r="F766" s="55"/>
      <c r="J766" s="55"/>
    </row>
    <row r="767">
      <c r="D767" s="55"/>
      <c r="E767" s="55"/>
      <c r="F767" s="55"/>
      <c r="J767" s="55"/>
    </row>
    <row r="768">
      <c r="D768" s="55"/>
      <c r="E768" s="55"/>
      <c r="F768" s="55"/>
      <c r="J768" s="55"/>
    </row>
    <row r="769">
      <c r="D769" s="55"/>
      <c r="E769" s="55"/>
      <c r="F769" s="55"/>
      <c r="J769" s="55"/>
    </row>
    <row r="770">
      <c r="D770" s="55"/>
      <c r="E770" s="55"/>
      <c r="F770" s="55"/>
      <c r="J770" s="55"/>
    </row>
    <row r="771">
      <c r="D771" s="55"/>
      <c r="E771" s="55"/>
      <c r="F771" s="55"/>
      <c r="J771" s="55"/>
    </row>
    <row r="772">
      <c r="D772" s="55"/>
      <c r="E772" s="55"/>
      <c r="F772" s="55"/>
      <c r="J772" s="55"/>
    </row>
    <row r="773">
      <c r="D773" s="55"/>
      <c r="E773" s="55"/>
      <c r="F773" s="55"/>
      <c r="J773" s="55"/>
    </row>
    <row r="774">
      <c r="D774" s="55"/>
      <c r="E774" s="55"/>
      <c r="F774" s="55"/>
      <c r="J774" s="55"/>
    </row>
    <row r="775">
      <c r="D775" s="55"/>
      <c r="E775" s="55"/>
      <c r="F775" s="55"/>
      <c r="J775" s="55"/>
    </row>
    <row r="776">
      <c r="D776" s="55"/>
      <c r="E776" s="55"/>
      <c r="F776" s="55"/>
      <c r="J776" s="55"/>
    </row>
    <row r="777">
      <c r="D777" s="55"/>
      <c r="E777" s="55"/>
      <c r="F777" s="55"/>
      <c r="J777" s="55"/>
    </row>
    <row r="778">
      <c r="D778" s="55"/>
      <c r="E778" s="55"/>
      <c r="F778" s="55"/>
      <c r="J778" s="55"/>
    </row>
    <row r="779">
      <c r="D779" s="55"/>
      <c r="E779" s="55"/>
      <c r="F779" s="55"/>
      <c r="J779" s="55"/>
    </row>
    <row r="780">
      <c r="D780" s="55"/>
      <c r="E780" s="55"/>
      <c r="F780" s="55"/>
      <c r="J780" s="55"/>
    </row>
    <row r="781">
      <c r="D781" s="55"/>
      <c r="E781" s="55"/>
      <c r="F781" s="55"/>
      <c r="J781" s="55"/>
    </row>
    <row r="782">
      <c r="D782" s="55"/>
      <c r="E782" s="55"/>
      <c r="F782" s="55"/>
      <c r="J782" s="55"/>
    </row>
    <row r="783">
      <c r="D783" s="55"/>
      <c r="E783" s="55"/>
      <c r="F783" s="55"/>
      <c r="J783" s="55"/>
    </row>
    <row r="784">
      <c r="D784" s="55"/>
      <c r="E784" s="55"/>
      <c r="F784" s="55"/>
      <c r="J784" s="55"/>
    </row>
    <row r="785">
      <c r="D785" s="55"/>
      <c r="E785" s="55"/>
      <c r="F785" s="55"/>
      <c r="J785" s="55"/>
    </row>
    <row r="786">
      <c r="D786" s="55"/>
      <c r="E786" s="55"/>
      <c r="F786" s="55"/>
      <c r="J786" s="55"/>
    </row>
    <row r="787">
      <c r="D787" s="55"/>
      <c r="E787" s="55"/>
      <c r="F787" s="55"/>
      <c r="J787" s="55"/>
    </row>
    <row r="788">
      <c r="D788" s="55"/>
      <c r="E788" s="55"/>
      <c r="F788" s="55"/>
      <c r="J788" s="55"/>
    </row>
    <row r="789">
      <c r="D789" s="55"/>
      <c r="E789" s="55"/>
      <c r="F789" s="55"/>
      <c r="J789" s="55"/>
    </row>
    <row r="790">
      <c r="D790" s="55"/>
      <c r="E790" s="55"/>
      <c r="F790" s="55"/>
      <c r="J790" s="55"/>
    </row>
    <row r="791">
      <c r="D791" s="55"/>
      <c r="E791" s="55"/>
      <c r="F791" s="55"/>
      <c r="J791" s="55"/>
    </row>
    <row r="792">
      <c r="D792" s="55"/>
      <c r="E792" s="55"/>
      <c r="F792" s="55"/>
      <c r="J792" s="55"/>
    </row>
    <row r="793">
      <c r="D793" s="55"/>
      <c r="E793" s="55"/>
      <c r="F793" s="55"/>
      <c r="J793" s="55"/>
    </row>
    <row r="794">
      <c r="D794" s="55"/>
      <c r="E794" s="55"/>
      <c r="F794" s="55"/>
      <c r="J794" s="55"/>
    </row>
    <row r="795">
      <c r="D795" s="55"/>
      <c r="E795" s="55"/>
      <c r="F795" s="55"/>
      <c r="J795" s="55"/>
    </row>
    <row r="796">
      <c r="D796" s="55"/>
      <c r="E796" s="55"/>
      <c r="F796" s="55"/>
      <c r="J796" s="55"/>
    </row>
    <row r="797">
      <c r="D797" s="55"/>
      <c r="E797" s="55"/>
      <c r="F797" s="55"/>
      <c r="J797" s="55"/>
    </row>
    <row r="798">
      <c r="D798" s="55"/>
      <c r="E798" s="55"/>
      <c r="F798" s="55"/>
      <c r="J798" s="55"/>
    </row>
    <row r="799">
      <c r="D799" s="55"/>
      <c r="E799" s="55"/>
      <c r="F799" s="55"/>
      <c r="J799" s="55"/>
    </row>
    <row r="800">
      <c r="D800" s="55"/>
      <c r="E800" s="55"/>
      <c r="F800" s="55"/>
      <c r="J800" s="55"/>
    </row>
    <row r="801">
      <c r="D801" s="55"/>
      <c r="E801" s="55"/>
      <c r="F801" s="55"/>
      <c r="J801" s="55"/>
    </row>
    <row r="802">
      <c r="D802" s="55"/>
      <c r="E802" s="55"/>
      <c r="F802" s="55"/>
      <c r="J802" s="55"/>
    </row>
    <row r="803">
      <c r="D803" s="55"/>
      <c r="E803" s="55"/>
      <c r="F803" s="55"/>
      <c r="J803" s="55"/>
    </row>
    <row r="804">
      <c r="D804" s="55"/>
      <c r="E804" s="55"/>
      <c r="F804" s="55"/>
      <c r="J804" s="55"/>
    </row>
    <row r="805">
      <c r="D805" s="55"/>
      <c r="E805" s="55"/>
      <c r="F805" s="55"/>
      <c r="J805" s="55"/>
    </row>
    <row r="806">
      <c r="D806" s="55"/>
      <c r="E806" s="55"/>
      <c r="F806" s="55"/>
      <c r="J806" s="55"/>
    </row>
    <row r="807">
      <c r="D807" s="55"/>
      <c r="E807" s="55"/>
      <c r="F807" s="55"/>
      <c r="J807" s="55"/>
    </row>
    <row r="808">
      <c r="D808" s="55"/>
      <c r="E808" s="55"/>
      <c r="F808" s="55"/>
      <c r="J808" s="55"/>
    </row>
    <row r="809">
      <c r="D809" s="55"/>
      <c r="E809" s="55"/>
      <c r="F809" s="55"/>
      <c r="J809" s="55"/>
    </row>
    <row r="810">
      <c r="D810" s="55"/>
      <c r="E810" s="55"/>
      <c r="F810" s="55"/>
      <c r="J810" s="55"/>
    </row>
    <row r="811">
      <c r="D811" s="55"/>
      <c r="E811" s="55"/>
      <c r="F811" s="55"/>
      <c r="J811" s="55"/>
    </row>
    <row r="812">
      <c r="D812" s="55"/>
      <c r="E812" s="55"/>
      <c r="F812" s="55"/>
      <c r="J812" s="55"/>
    </row>
    <row r="813">
      <c r="D813" s="55"/>
      <c r="E813" s="55"/>
      <c r="F813" s="55"/>
      <c r="J813" s="55"/>
    </row>
    <row r="814">
      <c r="D814" s="55"/>
      <c r="E814" s="55"/>
      <c r="F814" s="55"/>
      <c r="J814" s="55"/>
    </row>
    <row r="815">
      <c r="D815" s="55"/>
      <c r="E815" s="55"/>
      <c r="F815" s="55"/>
      <c r="J815" s="55"/>
    </row>
    <row r="816">
      <c r="D816" s="55"/>
      <c r="E816" s="55"/>
      <c r="F816" s="55"/>
      <c r="J816" s="55"/>
    </row>
    <row r="817">
      <c r="D817" s="55"/>
      <c r="E817" s="55"/>
      <c r="F817" s="55"/>
      <c r="J817" s="55"/>
    </row>
    <row r="818">
      <c r="D818" s="55"/>
      <c r="E818" s="55"/>
      <c r="F818" s="55"/>
      <c r="J818" s="55"/>
    </row>
    <row r="819">
      <c r="D819" s="55"/>
      <c r="E819" s="55"/>
      <c r="F819" s="55"/>
      <c r="J819" s="55"/>
    </row>
    <row r="820">
      <c r="D820" s="55"/>
      <c r="E820" s="55"/>
      <c r="F820" s="55"/>
      <c r="J820" s="55"/>
    </row>
    <row r="821">
      <c r="D821" s="55"/>
      <c r="E821" s="55"/>
      <c r="F821" s="55"/>
      <c r="J821" s="55"/>
    </row>
    <row r="822">
      <c r="D822" s="55"/>
      <c r="E822" s="55"/>
      <c r="F822" s="55"/>
      <c r="J822" s="55"/>
    </row>
    <row r="823">
      <c r="D823" s="55"/>
      <c r="E823" s="55"/>
      <c r="F823" s="55"/>
      <c r="J823" s="55"/>
    </row>
    <row r="824">
      <c r="D824" s="55"/>
      <c r="E824" s="55"/>
      <c r="F824" s="55"/>
      <c r="J824" s="55"/>
    </row>
    <row r="825">
      <c r="D825" s="55"/>
      <c r="E825" s="55"/>
      <c r="F825" s="55"/>
      <c r="J825" s="55"/>
    </row>
    <row r="826">
      <c r="D826" s="55"/>
      <c r="E826" s="55"/>
      <c r="F826" s="55"/>
      <c r="J826" s="55"/>
    </row>
    <row r="827">
      <c r="D827" s="55"/>
      <c r="E827" s="55"/>
      <c r="F827" s="55"/>
      <c r="J827" s="55"/>
    </row>
    <row r="828">
      <c r="D828" s="55"/>
      <c r="E828" s="55"/>
      <c r="F828" s="55"/>
      <c r="J828" s="55"/>
    </row>
    <row r="829">
      <c r="D829" s="55"/>
      <c r="E829" s="55"/>
      <c r="F829" s="55"/>
      <c r="J829" s="55"/>
    </row>
    <row r="830">
      <c r="D830" s="55"/>
      <c r="E830" s="55"/>
      <c r="F830" s="55"/>
      <c r="J830" s="55"/>
    </row>
    <row r="831">
      <c r="D831" s="55"/>
      <c r="E831" s="55"/>
      <c r="F831" s="55"/>
      <c r="J831" s="55"/>
    </row>
    <row r="832">
      <c r="D832" s="55"/>
      <c r="E832" s="55"/>
      <c r="F832" s="55"/>
      <c r="J832" s="55"/>
    </row>
    <row r="833">
      <c r="D833" s="55"/>
      <c r="E833" s="55"/>
      <c r="F833" s="55"/>
      <c r="J833" s="55"/>
    </row>
    <row r="834">
      <c r="D834" s="55"/>
      <c r="E834" s="55"/>
      <c r="F834" s="55"/>
      <c r="J834" s="55"/>
    </row>
    <row r="835">
      <c r="D835" s="55"/>
      <c r="E835" s="55"/>
      <c r="F835" s="55"/>
      <c r="J835" s="55"/>
    </row>
    <row r="836">
      <c r="D836" s="55"/>
      <c r="E836" s="55"/>
      <c r="F836" s="55"/>
      <c r="J836" s="55"/>
    </row>
    <row r="837">
      <c r="D837" s="55"/>
      <c r="E837" s="55"/>
      <c r="F837" s="55"/>
      <c r="J837" s="55"/>
    </row>
    <row r="838">
      <c r="D838" s="55"/>
      <c r="E838" s="55"/>
      <c r="F838" s="55"/>
      <c r="J838" s="55"/>
    </row>
    <row r="839">
      <c r="D839" s="55"/>
      <c r="E839" s="55"/>
      <c r="F839" s="55"/>
      <c r="J839" s="55"/>
    </row>
    <row r="840">
      <c r="D840" s="55"/>
      <c r="E840" s="55"/>
      <c r="F840" s="55"/>
      <c r="J840" s="55"/>
    </row>
    <row r="841">
      <c r="D841" s="55"/>
      <c r="E841" s="55"/>
      <c r="F841" s="55"/>
      <c r="J841" s="55"/>
    </row>
    <row r="842">
      <c r="D842" s="55"/>
      <c r="E842" s="55"/>
      <c r="F842" s="55"/>
      <c r="J842" s="55"/>
    </row>
    <row r="843">
      <c r="D843" s="55"/>
      <c r="E843" s="55"/>
      <c r="F843" s="55"/>
      <c r="J843" s="55"/>
    </row>
    <row r="844">
      <c r="D844" s="55"/>
      <c r="E844" s="55"/>
      <c r="F844" s="55"/>
      <c r="J844" s="55"/>
    </row>
    <row r="845">
      <c r="D845" s="55"/>
      <c r="E845" s="55"/>
      <c r="F845" s="55"/>
      <c r="J845" s="55"/>
    </row>
    <row r="846">
      <c r="D846" s="55"/>
      <c r="E846" s="55"/>
      <c r="F846" s="55"/>
      <c r="J846" s="55"/>
    </row>
    <row r="847">
      <c r="D847" s="55"/>
      <c r="E847" s="55"/>
      <c r="F847" s="55"/>
      <c r="J847" s="55"/>
    </row>
    <row r="848">
      <c r="D848" s="55"/>
      <c r="E848" s="55"/>
      <c r="F848" s="55"/>
      <c r="J848" s="55"/>
    </row>
    <row r="849">
      <c r="D849" s="55"/>
      <c r="E849" s="55"/>
      <c r="F849" s="55"/>
      <c r="J849" s="55"/>
    </row>
    <row r="850">
      <c r="D850" s="55"/>
      <c r="E850" s="55"/>
      <c r="F850" s="55"/>
      <c r="J850" s="55"/>
    </row>
    <row r="851">
      <c r="D851" s="55"/>
      <c r="E851" s="55"/>
      <c r="F851" s="55"/>
      <c r="J851" s="55"/>
    </row>
    <row r="852">
      <c r="D852" s="55"/>
      <c r="E852" s="55"/>
      <c r="F852" s="55"/>
      <c r="J852" s="55"/>
    </row>
    <row r="853">
      <c r="D853" s="55"/>
      <c r="E853" s="55"/>
      <c r="F853" s="55"/>
      <c r="J853" s="55"/>
    </row>
    <row r="854">
      <c r="D854" s="55"/>
      <c r="E854" s="55"/>
      <c r="F854" s="55"/>
      <c r="J854" s="55"/>
    </row>
    <row r="855">
      <c r="D855" s="55"/>
      <c r="E855" s="55"/>
      <c r="F855" s="55"/>
      <c r="J855" s="55"/>
    </row>
    <row r="856">
      <c r="D856" s="55"/>
      <c r="E856" s="55"/>
      <c r="F856" s="55"/>
      <c r="J856" s="55"/>
    </row>
    <row r="857">
      <c r="D857" s="55"/>
      <c r="E857" s="55"/>
      <c r="F857" s="55"/>
      <c r="J857" s="55"/>
    </row>
    <row r="858">
      <c r="D858" s="55"/>
      <c r="E858" s="55"/>
      <c r="F858" s="55"/>
      <c r="J858" s="55"/>
    </row>
    <row r="859">
      <c r="D859" s="55"/>
      <c r="E859" s="55"/>
      <c r="F859" s="55"/>
      <c r="J859" s="55"/>
    </row>
    <row r="860">
      <c r="D860" s="55"/>
      <c r="E860" s="55"/>
      <c r="F860" s="55"/>
      <c r="J860" s="55"/>
    </row>
    <row r="861">
      <c r="D861" s="55"/>
      <c r="E861" s="55"/>
      <c r="F861" s="55"/>
      <c r="J861" s="55"/>
    </row>
    <row r="862">
      <c r="D862" s="55"/>
      <c r="E862" s="55"/>
      <c r="F862" s="55"/>
      <c r="J862" s="55"/>
    </row>
    <row r="863">
      <c r="D863" s="55"/>
      <c r="E863" s="55"/>
      <c r="F863" s="55"/>
      <c r="J863" s="55"/>
    </row>
    <row r="864">
      <c r="D864" s="55"/>
      <c r="E864" s="55"/>
      <c r="F864" s="55"/>
      <c r="J864" s="55"/>
    </row>
    <row r="865">
      <c r="D865" s="55"/>
      <c r="E865" s="55"/>
      <c r="F865" s="55"/>
      <c r="J865" s="55"/>
    </row>
    <row r="866">
      <c r="D866" s="55"/>
      <c r="E866" s="55"/>
      <c r="F866" s="55"/>
      <c r="J866" s="55"/>
    </row>
    <row r="867">
      <c r="D867" s="55"/>
      <c r="E867" s="55"/>
      <c r="F867" s="55"/>
      <c r="J867" s="55"/>
    </row>
    <row r="868">
      <c r="D868" s="55"/>
      <c r="E868" s="55"/>
      <c r="F868" s="55"/>
      <c r="J868" s="55"/>
    </row>
    <row r="869">
      <c r="D869" s="55"/>
      <c r="E869" s="55"/>
      <c r="F869" s="55"/>
      <c r="J869" s="55"/>
    </row>
    <row r="870">
      <c r="D870" s="55"/>
      <c r="E870" s="55"/>
      <c r="F870" s="55"/>
      <c r="J870" s="55"/>
    </row>
    <row r="871">
      <c r="D871" s="55"/>
      <c r="E871" s="55"/>
      <c r="F871" s="55"/>
      <c r="J871" s="55"/>
    </row>
    <row r="872">
      <c r="D872" s="55"/>
      <c r="E872" s="55"/>
      <c r="F872" s="55"/>
      <c r="J872" s="55"/>
    </row>
    <row r="873">
      <c r="D873" s="55"/>
      <c r="E873" s="55"/>
      <c r="F873" s="55"/>
      <c r="J873" s="55"/>
    </row>
    <row r="874">
      <c r="D874" s="55"/>
      <c r="E874" s="55"/>
      <c r="F874" s="55"/>
      <c r="J874" s="55"/>
    </row>
    <row r="875">
      <c r="D875" s="55"/>
      <c r="E875" s="55"/>
      <c r="F875" s="55"/>
      <c r="J875" s="55"/>
    </row>
    <row r="876">
      <c r="D876" s="55"/>
      <c r="E876" s="55"/>
      <c r="F876" s="55"/>
      <c r="J876" s="55"/>
    </row>
    <row r="877">
      <c r="D877" s="55"/>
      <c r="E877" s="55"/>
      <c r="F877" s="55"/>
      <c r="J877" s="55"/>
    </row>
    <row r="878">
      <c r="D878" s="55"/>
      <c r="E878" s="55"/>
      <c r="F878" s="55"/>
      <c r="J878" s="55"/>
    </row>
    <row r="879">
      <c r="D879" s="55"/>
      <c r="E879" s="55"/>
      <c r="F879" s="55"/>
      <c r="J879" s="55"/>
    </row>
    <row r="880">
      <c r="D880" s="55"/>
      <c r="E880" s="55"/>
      <c r="F880" s="55"/>
      <c r="J880" s="55"/>
    </row>
    <row r="881">
      <c r="D881" s="55"/>
      <c r="E881" s="55"/>
      <c r="F881" s="55"/>
      <c r="J881" s="55"/>
    </row>
    <row r="882">
      <c r="D882" s="55"/>
      <c r="E882" s="55"/>
      <c r="F882" s="55"/>
      <c r="J882" s="55"/>
    </row>
    <row r="883">
      <c r="D883" s="55"/>
      <c r="E883" s="55"/>
      <c r="F883" s="55"/>
      <c r="J883" s="55"/>
    </row>
    <row r="884">
      <c r="D884" s="55"/>
      <c r="E884" s="55"/>
      <c r="F884" s="55"/>
      <c r="J884" s="55"/>
    </row>
    <row r="885">
      <c r="D885" s="55"/>
      <c r="E885" s="55"/>
      <c r="F885" s="55"/>
      <c r="J885" s="55"/>
    </row>
    <row r="886">
      <c r="D886" s="55"/>
      <c r="E886" s="55"/>
      <c r="F886" s="55"/>
      <c r="J886" s="55"/>
    </row>
    <row r="887">
      <c r="D887" s="55"/>
      <c r="E887" s="55"/>
      <c r="F887" s="55"/>
      <c r="J887" s="55"/>
    </row>
    <row r="888">
      <c r="D888" s="55"/>
      <c r="E888" s="55"/>
      <c r="F888" s="55"/>
      <c r="J888" s="55"/>
    </row>
    <row r="889">
      <c r="D889" s="55"/>
      <c r="E889" s="55"/>
      <c r="F889" s="55"/>
      <c r="J889" s="55"/>
    </row>
    <row r="890">
      <c r="D890" s="55"/>
      <c r="E890" s="55"/>
      <c r="F890" s="55"/>
      <c r="J890" s="55"/>
    </row>
    <row r="891">
      <c r="D891" s="55"/>
      <c r="E891" s="55"/>
      <c r="F891" s="55"/>
      <c r="J891" s="55"/>
    </row>
    <row r="892">
      <c r="D892" s="55"/>
      <c r="E892" s="55"/>
      <c r="F892" s="55"/>
      <c r="J892" s="55"/>
    </row>
    <row r="893">
      <c r="D893" s="55"/>
      <c r="E893" s="55"/>
      <c r="F893" s="55"/>
      <c r="J893" s="55"/>
    </row>
    <row r="894">
      <c r="D894" s="55"/>
      <c r="E894" s="55"/>
      <c r="F894" s="55"/>
      <c r="J894" s="55"/>
    </row>
    <row r="895">
      <c r="D895" s="55"/>
      <c r="E895" s="55"/>
      <c r="F895" s="55"/>
      <c r="J895" s="55"/>
    </row>
    <row r="896">
      <c r="D896" s="55"/>
      <c r="E896" s="55"/>
      <c r="F896" s="55"/>
      <c r="J896" s="55"/>
    </row>
    <row r="897">
      <c r="D897" s="55"/>
      <c r="E897" s="55"/>
      <c r="F897" s="55"/>
      <c r="J897" s="55"/>
    </row>
    <row r="898">
      <c r="D898" s="55"/>
      <c r="E898" s="55"/>
      <c r="F898" s="55"/>
      <c r="J898" s="55"/>
    </row>
    <row r="899">
      <c r="D899" s="55"/>
      <c r="E899" s="55"/>
      <c r="F899" s="55"/>
      <c r="J899" s="55"/>
    </row>
    <row r="900">
      <c r="D900" s="55"/>
      <c r="E900" s="55"/>
      <c r="F900" s="55"/>
      <c r="J900" s="55"/>
    </row>
    <row r="901">
      <c r="D901" s="55"/>
      <c r="E901" s="55"/>
      <c r="F901" s="55"/>
      <c r="J901" s="55"/>
    </row>
    <row r="902">
      <c r="D902" s="55"/>
      <c r="E902" s="55"/>
      <c r="F902" s="55"/>
      <c r="J902" s="55"/>
    </row>
    <row r="903">
      <c r="D903" s="55"/>
      <c r="E903" s="55"/>
      <c r="F903" s="55"/>
      <c r="J903" s="55"/>
    </row>
    <row r="904">
      <c r="D904" s="55"/>
      <c r="E904" s="55"/>
      <c r="F904" s="55"/>
      <c r="J904" s="55"/>
    </row>
    <row r="905">
      <c r="D905" s="55"/>
      <c r="E905" s="55"/>
      <c r="F905" s="55"/>
      <c r="J905" s="55"/>
    </row>
    <row r="906">
      <c r="D906" s="55"/>
      <c r="E906" s="55"/>
      <c r="F906" s="55"/>
      <c r="J906" s="55"/>
    </row>
    <row r="907">
      <c r="D907" s="55"/>
      <c r="E907" s="55"/>
      <c r="F907" s="55"/>
      <c r="J907" s="55"/>
    </row>
    <row r="908">
      <c r="D908" s="55"/>
      <c r="E908" s="55"/>
      <c r="F908" s="55"/>
      <c r="J908" s="55"/>
    </row>
    <row r="909">
      <c r="D909" s="55"/>
      <c r="E909" s="55"/>
      <c r="F909" s="55"/>
      <c r="J909" s="55"/>
    </row>
    <row r="910">
      <c r="D910" s="55"/>
      <c r="E910" s="55"/>
      <c r="F910" s="55"/>
      <c r="J910" s="55"/>
    </row>
    <row r="911">
      <c r="D911" s="55"/>
      <c r="E911" s="55"/>
      <c r="F911" s="55"/>
      <c r="J911" s="55"/>
    </row>
    <row r="912">
      <c r="D912" s="55"/>
      <c r="E912" s="55"/>
      <c r="F912" s="55"/>
      <c r="J912" s="55"/>
    </row>
    <row r="913">
      <c r="D913" s="55"/>
      <c r="E913" s="55"/>
      <c r="F913" s="55"/>
      <c r="J913" s="55"/>
    </row>
    <row r="914">
      <c r="D914" s="55"/>
      <c r="E914" s="55"/>
      <c r="F914" s="55"/>
      <c r="J914" s="55"/>
    </row>
    <row r="915">
      <c r="D915" s="55"/>
      <c r="E915" s="55"/>
      <c r="F915" s="55"/>
      <c r="J915" s="55"/>
    </row>
    <row r="916">
      <c r="D916" s="55"/>
      <c r="E916" s="55"/>
      <c r="F916" s="55"/>
      <c r="J916" s="55"/>
    </row>
    <row r="917">
      <c r="D917" s="55"/>
      <c r="E917" s="55"/>
      <c r="F917" s="55"/>
      <c r="J917" s="55"/>
    </row>
    <row r="918">
      <c r="D918" s="55"/>
      <c r="E918" s="55"/>
      <c r="F918" s="55"/>
      <c r="J918" s="55"/>
    </row>
    <row r="919">
      <c r="D919" s="55"/>
      <c r="E919" s="55"/>
      <c r="F919" s="55"/>
      <c r="J919" s="55"/>
    </row>
    <row r="920">
      <c r="D920" s="55"/>
      <c r="E920" s="55"/>
      <c r="F920" s="55"/>
      <c r="J920" s="55"/>
    </row>
    <row r="921">
      <c r="D921" s="55"/>
      <c r="E921" s="55"/>
      <c r="F921" s="55"/>
      <c r="J921" s="55"/>
    </row>
    <row r="922">
      <c r="D922" s="55"/>
      <c r="E922" s="55"/>
      <c r="F922" s="55"/>
      <c r="J922" s="55"/>
    </row>
    <row r="923">
      <c r="D923" s="55"/>
      <c r="E923" s="55"/>
      <c r="F923" s="55"/>
      <c r="J923" s="55"/>
    </row>
    <row r="924">
      <c r="D924" s="55"/>
      <c r="E924" s="55"/>
      <c r="F924" s="55"/>
      <c r="J924" s="55"/>
    </row>
    <row r="925">
      <c r="D925" s="55"/>
      <c r="E925" s="55"/>
      <c r="F925" s="55"/>
      <c r="J925" s="55"/>
    </row>
    <row r="926">
      <c r="D926" s="55"/>
      <c r="E926" s="55"/>
      <c r="F926" s="55"/>
      <c r="J926" s="55"/>
    </row>
    <row r="927">
      <c r="D927" s="55"/>
      <c r="E927" s="55"/>
      <c r="F927" s="55"/>
      <c r="J927" s="55"/>
    </row>
    <row r="928">
      <c r="D928" s="55"/>
      <c r="E928" s="55"/>
      <c r="F928" s="55"/>
      <c r="J928" s="55"/>
    </row>
    <row r="929">
      <c r="D929" s="55"/>
      <c r="E929" s="55"/>
      <c r="F929" s="55"/>
      <c r="J929" s="55"/>
    </row>
    <row r="930">
      <c r="D930" s="55"/>
      <c r="E930" s="55"/>
      <c r="F930" s="55"/>
      <c r="J930" s="55"/>
    </row>
    <row r="931">
      <c r="D931" s="55"/>
      <c r="E931" s="55"/>
      <c r="F931" s="55"/>
      <c r="J931" s="55"/>
    </row>
    <row r="932">
      <c r="D932" s="55"/>
      <c r="E932" s="55"/>
      <c r="F932" s="55"/>
      <c r="J932" s="55"/>
    </row>
    <row r="933">
      <c r="D933" s="55"/>
      <c r="E933" s="55"/>
      <c r="F933" s="55"/>
      <c r="J933" s="55"/>
    </row>
    <row r="934">
      <c r="D934" s="55"/>
      <c r="E934" s="55"/>
      <c r="F934" s="55"/>
      <c r="J934" s="55"/>
    </row>
    <row r="935">
      <c r="D935" s="55"/>
      <c r="E935" s="55"/>
      <c r="F935" s="55"/>
      <c r="J935" s="55"/>
    </row>
    <row r="936">
      <c r="D936" s="55"/>
      <c r="E936" s="55"/>
      <c r="F936" s="55"/>
      <c r="J936" s="55"/>
    </row>
    <row r="937">
      <c r="D937" s="55"/>
      <c r="E937" s="55"/>
      <c r="F937" s="55"/>
      <c r="J937" s="55"/>
    </row>
    <row r="938">
      <c r="D938" s="55"/>
      <c r="E938" s="55"/>
      <c r="F938" s="55"/>
      <c r="J938" s="55"/>
    </row>
    <row r="939">
      <c r="D939" s="55"/>
      <c r="E939" s="55"/>
      <c r="F939" s="55"/>
      <c r="J939" s="55"/>
    </row>
    <row r="940">
      <c r="D940" s="55"/>
      <c r="E940" s="55"/>
      <c r="F940" s="55"/>
      <c r="J940" s="55"/>
    </row>
    <row r="941">
      <c r="D941" s="55"/>
      <c r="E941" s="55"/>
      <c r="F941" s="55"/>
      <c r="J941" s="55"/>
    </row>
    <row r="942">
      <c r="D942" s="55"/>
      <c r="E942" s="55"/>
      <c r="F942" s="55"/>
      <c r="J942" s="55"/>
    </row>
    <row r="943">
      <c r="D943" s="55"/>
      <c r="E943" s="55"/>
      <c r="F943" s="55"/>
      <c r="J943" s="55"/>
    </row>
    <row r="944">
      <c r="D944" s="55"/>
      <c r="E944" s="55"/>
      <c r="F944" s="55"/>
      <c r="J944" s="55"/>
    </row>
    <row r="945">
      <c r="D945" s="55"/>
      <c r="E945" s="55"/>
      <c r="F945" s="55"/>
      <c r="J945" s="55"/>
    </row>
    <row r="946">
      <c r="D946" s="55"/>
      <c r="E946" s="55"/>
      <c r="F946" s="55"/>
      <c r="J946" s="55"/>
    </row>
    <row r="947">
      <c r="D947" s="55"/>
      <c r="E947" s="55"/>
      <c r="F947" s="55"/>
      <c r="J947" s="55"/>
    </row>
    <row r="948">
      <c r="D948" s="55"/>
      <c r="E948" s="55"/>
      <c r="F948" s="55"/>
      <c r="J948" s="55"/>
    </row>
    <row r="949">
      <c r="D949" s="55"/>
      <c r="E949" s="55"/>
      <c r="F949" s="55"/>
      <c r="J949" s="55"/>
    </row>
    <row r="950">
      <c r="D950" s="55"/>
      <c r="E950" s="55"/>
      <c r="F950" s="55"/>
      <c r="J950" s="55"/>
    </row>
    <row r="951">
      <c r="D951" s="55"/>
      <c r="E951" s="55"/>
      <c r="F951" s="55"/>
      <c r="J951" s="55"/>
    </row>
    <row r="952">
      <c r="D952" s="55"/>
      <c r="E952" s="55"/>
      <c r="F952" s="55"/>
      <c r="J952" s="55"/>
    </row>
    <row r="953">
      <c r="D953" s="55"/>
      <c r="E953" s="55"/>
      <c r="F953" s="55"/>
      <c r="J953" s="55"/>
    </row>
    <row r="954">
      <c r="D954" s="55"/>
      <c r="E954" s="55"/>
      <c r="F954" s="55"/>
      <c r="J954" s="55"/>
    </row>
    <row r="955">
      <c r="D955" s="55"/>
      <c r="E955" s="55"/>
      <c r="F955" s="55"/>
      <c r="J955" s="55"/>
    </row>
    <row r="956">
      <c r="D956" s="55"/>
      <c r="E956" s="55"/>
      <c r="F956" s="55"/>
      <c r="J956" s="55"/>
    </row>
    <row r="957">
      <c r="D957" s="55"/>
      <c r="E957" s="55"/>
      <c r="F957" s="55"/>
      <c r="J957" s="55"/>
    </row>
    <row r="958">
      <c r="D958" s="55"/>
      <c r="E958" s="55"/>
      <c r="F958" s="55"/>
      <c r="J958" s="55"/>
    </row>
    <row r="959">
      <c r="D959" s="55"/>
      <c r="E959" s="55"/>
      <c r="F959" s="55"/>
      <c r="J959" s="55"/>
    </row>
    <row r="960">
      <c r="D960" s="55"/>
      <c r="E960" s="55"/>
      <c r="F960" s="55"/>
      <c r="J960" s="55"/>
    </row>
    <row r="961">
      <c r="D961" s="55"/>
      <c r="E961" s="55"/>
      <c r="F961" s="55"/>
      <c r="J961" s="55"/>
    </row>
    <row r="962">
      <c r="D962" s="55"/>
      <c r="E962" s="55"/>
      <c r="F962" s="55"/>
      <c r="J962" s="55"/>
    </row>
    <row r="963">
      <c r="D963" s="55"/>
      <c r="E963" s="55"/>
      <c r="F963" s="55"/>
      <c r="J963" s="55"/>
    </row>
    <row r="964">
      <c r="D964" s="55"/>
      <c r="E964" s="55"/>
      <c r="F964" s="55"/>
      <c r="J964" s="55"/>
    </row>
    <row r="965">
      <c r="D965" s="55"/>
      <c r="E965" s="55"/>
      <c r="F965" s="55"/>
      <c r="J965" s="55"/>
    </row>
    <row r="966">
      <c r="D966" s="55"/>
      <c r="E966" s="55"/>
      <c r="F966" s="55"/>
      <c r="J966" s="55"/>
    </row>
    <row r="967">
      <c r="D967" s="55"/>
      <c r="E967" s="55"/>
      <c r="F967" s="55"/>
      <c r="J967" s="55"/>
    </row>
    <row r="968">
      <c r="D968" s="55"/>
      <c r="E968" s="55"/>
      <c r="F968" s="55"/>
      <c r="J968" s="55"/>
    </row>
    <row r="969">
      <c r="D969" s="55"/>
      <c r="E969" s="55"/>
      <c r="F969" s="55"/>
      <c r="J969" s="55"/>
    </row>
    <row r="970">
      <c r="D970" s="55"/>
      <c r="E970" s="55"/>
      <c r="F970" s="55"/>
      <c r="J970" s="55"/>
    </row>
    <row r="971">
      <c r="D971" s="55"/>
      <c r="E971" s="55"/>
      <c r="F971" s="55"/>
      <c r="J971" s="55"/>
    </row>
    <row r="972">
      <c r="D972" s="55"/>
      <c r="E972" s="55"/>
      <c r="F972" s="55"/>
      <c r="J972" s="55"/>
    </row>
    <row r="973">
      <c r="D973" s="55"/>
      <c r="E973" s="55"/>
      <c r="F973" s="55"/>
      <c r="J973" s="55"/>
    </row>
    <row r="974">
      <c r="D974" s="55"/>
      <c r="E974" s="55"/>
      <c r="F974" s="55"/>
      <c r="J974" s="55"/>
    </row>
    <row r="975">
      <c r="D975" s="55"/>
      <c r="E975" s="55"/>
      <c r="F975" s="55"/>
      <c r="J975" s="55"/>
    </row>
    <row r="976">
      <c r="D976" s="55"/>
      <c r="E976" s="55"/>
      <c r="F976" s="55"/>
      <c r="J976" s="55"/>
    </row>
    <row r="977">
      <c r="D977" s="55"/>
      <c r="E977" s="55"/>
      <c r="F977" s="55"/>
      <c r="J977" s="55"/>
    </row>
    <row r="978">
      <c r="D978" s="55"/>
      <c r="E978" s="55"/>
      <c r="F978" s="55"/>
      <c r="J978" s="55"/>
    </row>
    <row r="979">
      <c r="D979" s="55"/>
      <c r="E979" s="55"/>
      <c r="F979" s="55"/>
      <c r="J979" s="55"/>
    </row>
    <row r="980">
      <c r="D980" s="55"/>
      <c r="E980" s="55"/>
      <c r="F980" s="55"/>
      <c r="J980" s="55"/>
    </row>
    <row r="981">
      <c r="D981" s="55"/>
      <c r="E981" s="55"/>
      <c r="F981" s="55"/>
      <c r="J981" s="55"/>
    </row>
    <row r="982">
      <c r="D982" s="55"/>
      <c r="E982" s="55"/>
      <c r="F982" s="55"/>
      <c r="J982" s="55"/>
    </row>
    <row r="983">
      <c r="D983" s="55"/>
      <c r="E983" s="55"/>
      <c r="F983" s="55"/>
      <c r="J983" s="55"/>
    </row>
    <row r="984">
      <c r="D984" s="55"/>
      <c r="E984" s="55"/>
      <c r="F984" s="55"/>
      <c r="J984" s="55"/>
    </row>
    <row r="985">
      <c r="D985" s="55"/>
      <c r="E985" s="55"/>
      <c r="F985" s="55"/>
      <c r="J985" s="55"/>
    </row>
    <row r="986">
      <c r="D986" s="55"/>
      <c r="E986" s="55"/>
      <c r="F986" s="55"/>
      <c r="J986" s="55"/>
    </row>
    <row r="987">
      <c r="D987" s="55"/>
      <c r="E987" s="55"/>
      <c r="F987" s="55"/>
      <c r="J987" s="55"/>
    </row>
    <row r="988">
      <c r="D988" s="55"/>
      <c r="E988" s="55"/>
      <c r="F988" s="55"/>
      <c r="J988" s="55"/>
    </row>
    <row r="989">
      <c r="D989" s="55"/>
      <c r="E989" s="55"/>
      <c r="F989" s="55"/>
      <c r="J989" s="55"/>
    </row>
    <row r="990">
      <c r="D990" s="55"/>
      <c r="E990" s="55"/>
      <c r="F990" s="55"/>
      <c r="J990" s="55"/>
    </row>
    <row r="991">
      <c r="D991" s="55"/>
      <c r="E991" s="55"/>
      <c r="F991" s="55"/>
      <c r="J991" s="55"/>
    </row>
    <row r="992">
      <c r="D992" s="55"/>
      <c r="E992" s="55"/>
      <c r="F992" s="55"/>
      <c r="J992" s="55"/>
    </row>
    <row r="993">
      <c r="D993" s="55"/>
      <c r="E993" s="55"/>
      <c r="F993" s="55"/>
      <c r="J993" s="55"/>
    </row>
    <row r="994">
      <c r="D994" s="55"/>
      <c r="E994" s="55"/>
      <c r="F994" s="55"/>
      <c r="J994" s="55"/>
    </row>
    <row r="995">
      <c r="D995" s="55"/>
      <c r="E995" s="55"/>
      <c r="F995" s="55"/>
      <c r="J995" s="55"/>
    </row>
    <row r="996">
      <c r="D996" s="55"/>
      <c r="E996" s="55"/>
      <c r="F996" s="55"/>
      <c r="J996" s="55"/>
    </row>
    <row r="997">
      <c r="D997" s="55"/>
      <c r="E997" s="55"/>
      <c r="F997" s="55"/>
      <c r="J997" s="55"/>
    </row>
    <row r="998">
      <c r="D998" s="55"/>
      <c r="E998" s="55"/>
      <c r="F998" s="55"/>
      <c r="J998" s="55"/>
    </row>
    <row r="999">
      <c r="D999" s="55"/>
      <c r="E999" s="55"/>
      <c r="F999" s="55"/>
      <c r="J999" s="55"/>
    </row>
    <row r="1000">
      <c r="D1000" s="55"/>
      <c r="E1000" s="55"/>
      <c r="F1000" s="55"/>
      <c r="J1000" s="55"/>
    </row>
  </sheetData>
  <autoFilter ref="$A$1:$G$72"/>
  <mergeCells count="2">
    <mergeCell ref="A1:G1"/>
    <mergeCell ref="H1:K1"/>
  </mergeCells>
  <conditionalFormatting sqref="A1:A1000">
    <cfRule type="containsText" dxfId="0" priority="1" operator="containsText" text="Unassigned">
      <formula>NOT(ISERROR(SEARCH(("Unassigned"),(A1))))</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86"/>
    <col customWidth="1" min="2" max="2" width="15.0"/>
    <col customWidth="1" min="3" max="3" width="13.71"/>
    <col customWidth="1" min="4" max="4" width="18.86"/>
    <col customWidth="1" min="5" max="5" width="19.57"/>
    <col customWidth="1" min="6" max="6" width="28.0"/>
    <col customWidth="1" min="7" max="7" width="13.43"/>
    <col customWidth="1" min="8" max="8" width="20.86"/>
    <col customWidth="1" min="9" max="9" width="23.71"/>
    <col customWidth="1" min="10" max="10" width="28.29"/>
    <col customWidth="1" min="11" max="11" width="38.71"/>
    <col customWidth="1" min="12" max="12" width="51.71"/>
  </cols>
  <sheetData>
    <row r="1">
      <c r="A1" s="120" t="s">
        <v>7</v>
      </c>
      <c r="B1" s="9"/>
      <c r="C1" s="9"/>
      <c r="D1" s="9"/>
      <c r="E1" s="9"/>
      <c r="F1" s="9"/>
      <c r="G1" s="22"/>
      <c r="H1" s="106" t="s">
        <v>38</v>
      </c>
    </row>
    <row r="2">
      <c r="A2" s="121" t="s">
        <v>0</v>
      </c>
      <c r="B2" s="122" t="s">
        <v>72</v>
      </c>
      <c r="C2" s="122" t="s">
        <v>73</v>
      </c>
      <c r="D2" s="123" t="s">
        <v>74</v>
      </c>
      <c r="E2" s="123" t="s">
        <v>333</v>
      </c>
      <c r="F2" s="123" t="s">
        <v>334</v>
      </c>
      <c r="G2" s="122" t="s">
        <v>327</v>
      </c>
      <c r="H2" s="110" t="s">
        <v>335</v>
      </c>
      <c r="I2" s="111" t="s">
        <v>336</v>
      </c>
      <c r="J2" s="111" t="s">
        <v>337</v>
      </c>
      <c r="K2" s="124" t="s">
        <v>338</v>
      </c>
      <c r="L2" s="125" t="s">
        <v>92</v>
      </c>
    </row>
    <row r="3">
      <c r="A3" t="str">
        <f>IFERROR(__xludf.DUMMYFUNCTION("filter(Assignments!B3:B1000,Assignments!P3:P1000=""Variant Pathogenicity"",Assignments!O3:O1000=""Comprehensive"")"),"Contacted")</f>
        <v>Contacted</v>
      </c>
      <c r="B3" t="str">
        <f>IFERROR(__xludf.DUMMYFUNCTION("filter(Assignments!C3:C1000,Assignments!P3:P1000=""Variant Pathogenicity"",Assignments!O3:O1000=""Comprehensive"")"),"")</f>
        <v/>
      </c>
      <c r="C3" s="113">
        <f>IFERROR(__xludf.DUMMYFUNCTION("filter(Assignments!D3:D1000,Assignments!P3:P1000=""Variant Pathogenicity"",Assignments!O3:O1000=""Comprehensive"")"),43605.0)</f>
        <v>43605</v>
      </c>
      <c r="D3" s="101" t="str">
        <f>IFERROR(__xludf.DUMMYFUNCTION("filter(Assignments!E3:E1000,Assignments!P3:P1000=""Variant Pathogenicity"",Assignments!O3:O1000=""Comprehensive"")"),"Yes")</f>
        <v>Yes</v>
      </c>
      <c r="E3" s="101" t="str">
        <f>IFERROR(__xludf.DUMMYFUNCTION("filter(Assignments!F3:F1000,Assignments!P3:P1000=""Variant Pathogenicity"",Assignments!O3:O1000=""Comprehensive"")"),"Yes")</f>
        <v>Yes</v>
      </c>
      <c r="F3" s="55" t="str">
        <f>IFERROR(__xludf.DUMMYFUNCTION("filter(Assignments!G3:G1000,Assignments!P3:P1000=""Variant Pathogenicity"",Assignments!O3:O1000=""Comprehensive"")"),"Variant Pathogenicity")</f>
        <v>Variant Pathogenicity</v>
      </c>
      <c r="G3" t="str">
        <f>IFERROR(__xludf.DUMMYFUNCTION("filter(Assignments!H3:H1000,Assignments!P3:P1000=""Variant Pathogenicity"",Assignments!O3:O1000=""Comprehensive"")"),"Hearing Loss")</f>
        <v>Hearing Loss</v>
      </c>
      <c r="H3" t="str">
        <f>IFERROR(__xludf.DUMMYFUNCTION("filter(Assignments!L3:L1000,Assignments!P3:P1000=""Variant Pathogenicity"",Assignments!O3:O1000=""Comprehensive"")"),"Adam Coovadia")</f>
        <v>Adam Coovadia</v>
      </c>
      <c r="I3" t="str">
        <f>IFERROR(__xludf.DUMMYFUNCTION("filter(Assignments!M3:M1000,Assignments!P3:P1000=""Variant Pathogenicity"",Assignments!O3:O1000=""Comprehensive"")"),"coovadiaa@gmail.com")</f>
        <v>coovadiaa@gmail.com</v>
      </c>
      <c r="J3" s="55" t="str">
        <f>IFERROR(__xludf.DUMMYFUNCTION("filter(Assignments!O3:O1000,Assignments!P3:P1000=""Variant Pathogenicity"",Assignments!O3:O1000=""Comprehensive"")"),"Comprehensive")</f>
        <v>Comprehensive</v>
      </c>
      <c r="K3" s="126" t="str">
        <f>IFERROR(__xludf.DUMMYFUNCTION("filter(Assignments!W3:W1000,Assignments!P3:P1000=""Variant Pathogenicity"",Assignments!O3:O1000=""Comprehensive"")"),"")</f>
        <v/>
      </c>
      <c r="L3" s="127" t="str">
        <f>IFERROR(__xludf.DUMMYFUNCTION("filter(Assignments!U3:U1000,Assignments!P3:P1000=""Variant Pathogenicity"",Assignments!O3:O1000=""Comprehensive"")"),"")</f>
        <v/>
      </c>
    </row>
    <row r="4">
      <c r="A4" t="str">
        <f>IFERROR(__xludf.DUMMYFUNCTION("""COMPUTED_VALUE"""),"Unresponsive")</f>
        <v>Unresponsive</v>
      </c>
      <c r="B4" s="114">
        <f>IFERROR(__xludf.DUMMYFUNCTION("""COMPUTED_VALUE"""),43439.0)</f>
        <v>43439</v>
      </c>
      <c r="C4" t="str">
        <f>IFERROR(__xludf.DUMMYFUNCTION("""COMPUTED_VALUE"""),"")</f>
        <v/>
      </c>
      <c r="D4" s="55" t="str">
        <f>IFERROR(__xludf.DUMMYFUNCTION("""COMPUTED_VALUE"""),"No")</f>
        <v>No</v>
      </c>
      <c r="E4" s="55" t="str">
        <f>IFERROR(__xludf.DUMMYFUNCTION("""COMPUTED_VALUE"""),"No")</f>
        <v>No</v>
      </c>
      <c r="F4" s="55" t="str">
        <f>IFERROR(__xludf.DUMMYFUNCTION("""COMPUTED_VALUE"""),"Variant Pathogenicity")</f>
        <v>Variant Pathogenicity</v>
      </c>
      <c r="G4" t="str">
        <f>IFERROR(__xludf.DUMMYFUNCTION("""COMPUTED_VALUE"""),"")</f>
        <v/>
      </c>
      <c r="H4" t="str">
        <f>IFERROR(__xludf.DUMMYFUNCTION("""COMPUTED_VALUE"""),"Daniel Bellissimo")</f>
        <v>Daniel Bellissimo</v>
      </c>
      <c r="I4" t="str">
        <f>IFERROR(__xludf.DUMMYFUNCTION("""COMPUTED_VALUE"""),"BELLISSIMOD@MAIL.MAGEE.EDU")</f>
        <v>BELLISSIMOD@MAIL.MAGEE.EDU</v>
      </c>
      <c r="J4" s="55" t="str">
        <f>IFERROR(__xludf.DUMMYFUNCTION("""COMPUTED_VALUE"""),"Comprehensive")</f>
        <v>Comprehensive</v>
      </c>
      <c r="K4" s="126" t="str">
        <f>IFERROR(__xludf.DUMMYFUNCTION("""COMPUTED_VALUE"""),"I was told work groups were being formed for Platelet/Bleeding Disorders and VWD. I would be interested in those work groups.")</f>
        <v>I was told work groups were being formed for Platelet/Bleeding Disorders and VWD. I would be interested in those work groups.</v>
      </c>
      <c r="L4" t="str">
        <f>IFERROR(__xludf.DUMMYFUNCTION("""COMPUTED_VALUE"""),"yes")</f>
        <v>yes</v>
      </c>
    </row>
    <row r="5">
      <c r="A5" t="str">
        <f>IFERROR(__xludf.DUMMYFUNCTION("""COMPUTED_VALUE"""),"Contacted")</f>
        <v>Contacted</v>
      </c>
      <c r="B5" s="114">
        <f>IFERROR(__xludf.DUMMYFUNCTION("""COMPUTED_VALUE"""),43439.0)</f>
        <v>43439</v>
      </c>
      <c r="C5" t="str">
        <f>IFERROR(__xludf.DUMMYFUNCTION("""COMPUTED_VALUE"""),"")</f>
        <v/>
      </c>
      <c r="D5" s="55" t="str">
        <f>IFERROR(__xludf.DUMMYFUNCTION("""COMPUTED_VALUE"""),"No")</f>
        <v>No</v>
      </c>
      <c r="E5" s="55" t="str">
        <f>IFERROR(__xludf.DUMMYFUNCTION("""COMPUTED_VALUE"""),"No")</f>
        <v>No</v>
      </c>
      <c r="F5" s="55" t="str">
        <f>IFERROR(__xludf.DUMMYFUNCTION("""COMPUTED_VALUE"""),"Variant Pathogenicity")</f>
        <v>Variant Pathogenicity</v>
      </c>
      <c r="G5" t="str">
        <f>IFERROR(__xludf.DUMMYFUNCTION("""COMPUTED_VALUE"""),"")</f>
        <v/>
      </c>
      <c r="H5" t="str">
        <f>IFERROR(__xludf.DUMMYFUNCTION("""COMPUTED_VALUE"""),"Alexa Dickson ")</f>
        <v>Alexa Dickson </v>
      </c>
      <c r="I5" t="str">
        <f>IFERROR(__xludf.DUMMYFUNCTION("""COMPUTED_VALUE"""),"alexa.dickson@aruplab.com")</f>
        <v>alexa.dickson@aruplab.com</v>
      </c>
      <c r="J5" s="55" t="str">
        <f>IFERROR(__xludf.DUMMYFUNCTION("""COMPUTED_VALUE"""),"Comprehensive")</f>
        <v>Comprehensive</v>
      </c>
      <c r="K5" s="126" t="str">
        <f>IFERROR(__xludf.DUMMYFUNCTION("""COMPUTED_VALUE"""),"retinal disease working group")</f>
        <v>retinal disease working group</v>
      </c>
      <c r="L5" t="str">
        <f>IFERROR(__xludf.DUMMYFUNCTION("""COMPUTED_VALUE"""),"yes")</f>
        <v>yes</v>
      </c>
    </row>
    <row r="6">
      <c r="A6" s="128" t="str">
        <f>IFERROR(__xludf.DUMMYFUNCTION("""COMPUTED_VALUE"""),"Unresponsive")</f>
        <v>Unresponsive</v>
      </c>
      <c r="B6" s="129">
        <f>IFERROR(__xludf.DUMMYFUNCTION("""COMPUTED_VALUE"""),43439.0)</f>
        <v>43439</v>
      </c>
      <c r="C6" s="130">
        <f>IFERROR(__xludf.DUMMYFUNCTION("""COMPUTED_VALUE"""),43605.0)</f>
        <v>43605</v>
      </c>
      <c r="D6" s="131" t="str">
        <f>IFERROR(__xludf.DUMMYFUNCTION("""COMPUTED_VALUE"""),"Yes")</f>
        <v>Yes</v>
      </c>
      <c r="E6" s="131" t="str">
        <f>IFERROR(__xludf.DUMMYFUNCTION("""COMPUTED_VALUE"""),"Yes")</f>
        <v>Yes</v>
      </c>
      <c r="F6" s="131" t="str">
        <f>IFERROR(__xludf.DUMMYFUNCTION("""COMPUTED_VALUE"""),"Variant Pathogenicity")</f>
        <v>Variant Pathogenicity</v>
      </c>
      <c r="G6" s="128" t="str">
        <f>IFERROR(__xludf.DUMMYFUNCTION("""COMPUTED_VALUE"""),"")</f>
        <v/>
      </c>
      <c r="H6" s="128" t="str">
        <f>IFERROR(__xludf.DUMMYFUNCTION("""COMPUTED_VALUE"""),"Luke Drury")</f>
        <v>Luke Drury</v>
      </c>
      <c r="I6" s="128" t="str">
        <f>IFERROR(__xludf.DUMMYFUNCTION("""COMPUTED_VALUE"""),"luke.drury@preventiongenetics.com")</f>
        <v>luke.drury@preventiongenetics.com</v>
      </c>
      <c r="J6" s="131" t="str">
        <f>IFERROR(__xludf.DUMMYFUNCTION("""COMPUTED_VALUE"""),"Comprehensive")</f>
        <v>Comprehensive</v>
      </c>
      <c r="K6" s="132" t="str">
        <f>IFERROR(__xludf.DUMMYFUNCTION("""COMPUTED_VALUE"""),"any WG")</f>
        <v>any WG</v>
      </c>
      <c r="L6" s="133" t="str">
        <f>IFERROR(__xludf.DUMMYFUNCTION("""COMPUTED_VALUE"""),"yes")</f>
        <v>yes</v>
      </c>
      <c r="M6" s="133"/>
      <c r="N6" s="133"/>
      <c r="O6" s="133"/>
      <c r="P6" s="133"/>
      <c r="Q6" s="133"/>
      <c r="R6" s="133"/>
      <c r="S6" s="133"/>
      <c r="T6" s="133"/>
      <c r="U6" s="133"/>
      <c r="V6" s="133"/>
      <c r="W6" s="133"/>
      <c r="X6" s="133"/>
      <c r="Y6" s="133"/>
      <c r="Z6" s="133"/>
    </row>
    <row r="7">
      <c r="A7" s="128" t="str">
        <f>IFERROR(__xludf.DUMMYFUNCTION("""COMPUTED_VALUE"""),"Assigned")</f>
        <v>Assigned</v>
      </c>
      <c r="B7" s="129">
        <f>IFERROR(__xludf.DUMMYFUNCTION("""COMPUTED_VALUE"""),43439.0)</f>
        <v>43439</v>
      </c>
      <c r="C7" s="130">
        <f>IFERROR(__xludf.DUMMYFUNCTION("""COMPUTED_VALUE"""),43605.0)</f>
        <v>43605</v>
      </c>
      <c r="D7" s="131" t="str">
        <f>IFERROR(__xludf.DUMMYFUNCTION("""COMPUTED_VALUE"""),"Yes")</f>
        <v>Yes</v>
      </c>
      <c r="E7" s="131" t="str">
        <f>IFERROR(__xludf.DUMMYFUNCTION("""COMPUTED_VALUE"""),"Yes")</f>
        <v>Yes</v>
      </c>
      <c r="F7" s="131" t="str">
        <f>IFERROR(__xludf.DUMMYFUNCTION("""COMPUTED_VALUE"""),"Variant Pathogenicity")</f>
        <v>Variant Pathogenicity</v>
      </c>
      <c r="G7" s="128" t="str">
        <f>IFERROR(__xludf.DUMMYFUNCTION("""COMPUTED_VALUE"""),"Storage Disease")</f>
        <v>Storage Disease</v>
      </c>
      <c r="H7" s="128" t="str">
        <f>IFERROR(__xludf.DUMMYFUNCTION("""COMPUTED_VALUE"""),"Lynne Rosenblum")</f>
        <v>Lynne Rosenblum</v>
      </c>
      <c r="I7" s="128" t="str">
        <f>IFERROR(__xludf.DUMMYFUNCTION("""COMPUTED_VALUE"""),"lynne.rosenblum@integratedgenetics.com")</f>
        <v>lynne.rosenblum@integratedgenetics.com</v>
      </c>
      <c r="J7" s="131" t="str">
        <f>IFERROR(__xludf.DUMMYFUNCTION("""COMPUTED_VALUE"""),"Comprehensive")</f>
        <v>Comprehensive</v>
      </c>
      <c r="K7" s="132" t="str">
        <f>IFERROR(__xludf.DUMMYFUNCTION("""COMPUTED_VALUE"""),"storage disease and somatic/germline working groups, but am open to other opportunities.")</f>
        <v>storage disease and somatic/germline working groups, but am open to other opportunities.</v>
      </c>
      <c r="L7" t="str">
        <f>IFERROR(__xludf.DUMMYFUNCTION("""COMPUTED_VALUE"""),"yes")</f>
        <v>yes</v>
      </c>
    </row>
    <row r="8">
      <c r="A8" s="128" t="str">
        <f>IFERROR(__xludf.DUMMYFUNCTION("""COMPUTED_VALUE"""),"Assigned")</f>
        <v>Assigned</v>
      </c>
      <c r="B8" s="129">
        <f>IFERROR(__xludf.DUMMYFUNCTION("""COMPUTED_VALUE"""),43439.0)</f>
        <v>43439</v>
      </c>
      <c r="C8" s="130">
        <f>IFERROR(__xludf.DUMMYFUNCTION("""COMPUTED_VALUE"""),43605.0)</f>
        <v>43605</v>
      </c>
      <c r="D8" s="131" t="str">
        <f>IFERROR(__xludf.DUMMYFUNCTION("""COMPUTED_VALUE"""),"Yes")</f>
        <v>Yes</v>
      </c>
      <c r="E8" s="131" t="str">
        <f>IFERROR(__xludf.DUMMYFUNCTION("""COMPUTED_VALUE"""),"No")</f>
        <v>No</v>
      </c>
      <c r="F8" s="131" t="str">
        <f>IFERROR(__xludf.DUMMYFUNCTION("""COMPUTED_VALUE"""),"Variant Pathogenicity")</f>
        <v>Variant Pathogenicity</v>
      </c>
      <c r="G8" s="128" t="str">
        <f>IFERROR(__xludf.DUMMYFUNCTION("""COMPUTED_VALUE"""),"ACADVL")</f>
        <v>ACADVL</v>
      </c>
      <c r="H8" s="128" t="str">
        <f>IFERROR(__xludf.DUMMYFUNCTION("""COMPUTED_VALUE"""),"Yang Wang")</f>
        <v>Yang Wang</v>
      </c>
      <c r="I8" s="128" t="str">
        <f>IFERROR(__xludf.DUMMYFUNCTION("""COMPUTED_VALUE"""),"yangwangcmg@gmail.com")</f>
        <v>yangwangcmg@gmail.com</v>
      </c>
      <c r="J8" s="131" t="str">
        <f>IFERROR(__xludf.DUMMYFUNCTION("""COMPUTED_VALUE"""),"Comprehensive")</f>
        <v>Comprehensive</v>
      </c>
      <c r="K8" s="132" t="str">
        <f>IFERROR(__xludf.DUMMYFUNCTION("""COMPUTED_VALUE"""),"hereditary cancer panel and inborn error of metabolism, if not a Baseline Biocurator")</f>
        <v>hereditary cancer panel and inborn error of metabolism, if not a Baseline Biocurator</v>
      </c>
      <c r="L8" s="133" t="str">
        <f>IFERROR(__xludf.DUMMYFUNCTION("""COMPUTED_VALUE"""),"yes")</f>
        <v>yes</v>
      </c>
      <c r="M8" s="133"/>
      <c r="N8" s="133"/>
      <c r="O8" s="133"/>
      <c r="P8" s="133"/>
      <c r="Q8" s="133"/>
      <c r="R8" s="133"/>
      <c r="S8" s="133"/>
      <c r="T8" s="133"/>
      <c r="U8" s="133"/>
      <c r="V8" s="133"/>
      <c r="W8" s="133"/>
      <c r="X8" s="133"/>
      <c r="Y8" s="133"/>
      <c r="Z8" s="133"/>
    </row>
    <row r="9">
      <c r="A9" s="128" t="str">
        <f>IFERROR(__xludf.DUMMYFUNCTION("""COMPUTED_VALUE"""),"Unresponsive")</f>
        <v>Unresponsive</v>
      </c>
      <c r="B9" s="129">
        <f>IFERROR(__xludf.DUMMYFUNCTION("""COMPUTED_VALUE"""),43439.0)</f>
        <v>43439</v>
      </c>
      <c r="C9" s="128" t="str">
        <f>IFERROR(__xludf.DUMMYFUNCTION("""COMPUTED_VALUE"""),"")</f>
        <v/>
      </c>
      <c r="D9" s="131" t="str">
        <f>IFERROR(__xludf.DUMMYFUNCTION("""COMPUTED_VALUE"""),"No")</f>
        <v>No</v>
      </c>
      <c r="E9" s="131" t="str">
        <f>IFERROR(__xludf.DUMMYFUNCTION("""COMPUTED_VALUE"""),"No")</f>
        <v>No</v>
      </c>
      <c r="F9" s="131" t="str">
        <f>IFERROR(__xludf.DUMMYFUNCTION("""COMPUTED_VALUE"""),"Variant Pathogenicity")</f>
        <v>Variant Pathogenicity</v>
      </c>
      <c r="G9" s="128" t="str">
        <f>IFERROR(__xludf.DUMMYFUNCTION("""COMPUTED_VALUE"""),"")</f>
        <v/>
      </c>
      <c r="H9" s="128" t="str">
        <f>IFERROR(__xludf.DUMMYFUNCTION("""COMPUTED_VALUE"""),"Samya Chakravorty")</f>
        <v>Samya Chakravorty</v>
      </c>
      <c r="I9" s="128" t="str">
        <f>IFERROR(__xludf.DUMMYFUNCTION("""COMPUTED_VALUE"""),"samya.chakravorty@emory.edu")</f>
        <v>samya.chakravorty@emory.edu</v>
      </c>
      <c r="J9" s="131" t="str">
        <f>IFERROR(__xludf.DUMMYFUNCTION("""COMPUTED_VALUE"""),"Comprehensive")</f>
        <v>Comprehensive</v>
      </c>
      <c r="K9" s="132" t="str">
        <f>IFERROR(__xludf.DUMMYFUNCTION("""COMPUTED_VALUE"""),"1. Storage Diseases Variant Curation Expert Panel 2. Epilepsy Gene Curation Expert Panel 3. Cardiovascular Dilated Cardiomyopathy Gene Curation Expert Panel")</f>
        <v>1. Storage Diseases Variant Curation Expert Panel 2. Epilepsy Gene Curation Expert Panel 3. Cardiovascular Dilated Cardiomyopathy Gene Curation Expert Panel</v>
      </c>
      <c r="L9" s="133" t="str">
        <f>IFERROR(__xludf.DUMMYFUNCTION("""COMPUTED_VALUE"""),"yes")</f>
        <v>yes</v>
      </c>
      <c r="M9" s="133"/>
      <c r="N9" s="133"/>
      <c r="O9" s="133"/>
      <c r="P9" s="133"/>
      <c r="Q9" s="133"/>
      <c r="R9" s="133"/>
      <c r="S9" s="133"/>
      <c r="T9" s="133"/>
      <c r="U9" s="133"/>
      <c r="V9" s="133"/>
      <c r="W9" s="133"/>
      <c r="X9" s="133"/>
      <c r="Y9" s="133"/>
      <c r="Z9" s="133"/>
    </row>
    <row r="10">
      <c r="A10" s="128" t="str">
        <f>IFERROR(__xludf.DUMMYFUNCTION("""COMPUTED_VALUE"""),"Unresponsive")</f>
        <v>Unresponsive</v>
      </c>
      <c r="B10" s="129">
        <f>IFERROR(__xludf.DUMMYFUNCTION("""COMPUTED_VALUE"""),43439.0)</f>
        <v>43439</v>
      </c>
      <c r="C10" s="128" t="str">
        <f>IFERROR(__xludf.DUMMYFUNCTION("""COMPUTED_VALUE"""),"")</f>
        <v/>
      </c>
      <c r="D10" s="131" t="str">
        <f>IFERROR(__xludf.DUMMYFUNCTION("""COMPUTED_VALUE"""),"No")</f>
        <v>No</v>
      </c>
      <c r="E10" s="131" t="str">
        <f>IFERROR(__xludf.DUMMYFUNCTION("""COMPUTED_VALUE"""),"No")</f>
        <v>No</v>
      </c>
      <c r="F10" s="131" t="str">
        <f>IFERROR(__xludf.DUMMYFUNCTION("""COMPUTED_VALUE"""),"Variant Pathogenicity")</f>
        <v>Variant Pathogenicity</v>
      </c>
      <c r="G10" s="128" t="str">
        <f>IFERROR(__xludf.DUMMYFUNCTION("""COMPUTED_VALUE"""),"")</f>
        <v/>
      </c>
      <c r="H10" s="128" t="str">
        <f>IFERROR(__xludf.DUMMYFUNCTION("""COMPUTED_VALUE"""),"Marco Leung")</f>
        <v>Marco Leung</v>
      </c>
      <c r="I10" s="128" t="str">
        <f>IFERROR(__xludf.DUMMYFUNCTION("""COMPUTED_VALUE"""),"leungm@email.chop.edu")</f>
        <v>leungm@email.chop.edu</v>
      </c>
      <c r="J10" s="131" t="str">
        <f>IFERROR(__xludf.DUMMYFUNCTION("""COMPUTED_VALUE"""),"Comprehensive")</f>
        <v>Comprehensive</v>
      </c>
      <c r="K10" s="132" t="str">
        <f>IFERROR(__xludf.DUMMYFUNCTION("""COMPUTED_VALUE"""),"Hereditary cancers; neurodevelopmental disorders; polivy making")</f>
        <v>Hereditary cancers; neurodevelopmental disorders; polivy making</v>
      </c>
      <c r="L10" t="str">
        <f>IFERROR(__xludf.DUMMYFUNCTION("""COMPUTED_VALUE"""),"yes")</f>
        <v>yes</v>
      </c>
    </row>
    <row r="11">
      <c r="A11" s="128" t="str">
        <f>IFERROR(__xludf.DUMMYFUNCTION("""COMPUTED_VALUE"""),"Unresponsive")</f>
        <v>Unresponsive</v>
      </c>
      <c r="B11" s="129">
        <f>IFERROR(__xludf.DUMMYFUNCTION("""COMPUTED_VALUE"""),43439.0)</f>
        <v>43439</v>
      </c>
      <c r="C11" s="128" t="str">
        <f>IFERROR(__xludf.DUMMYFUNCTION("""COMPUTED_VALUE"""),"")</f>
        <v/>
      </c>
      <c r="D11" s="131" t="str">
        <f>IFERROR(__xludf.DUMMYFUNCTION("""COMPUTED_VALUE"""),"No")</f>
        <v>No</v>
      </c>
      <c r="E11" s="131" t="str">
        <f>IFERROR(__xludf.DUMMYFUNCTION("""COMPUTED_VALUE"""),"No")</f>
        <v>No</v>
      </c>
      <c r="F11" s="131" t="str">
        <f>IFERROR(__xludf.DUMMYFUNCTION("""COMPUTED_VALUE"""),"Variant Pathogenicity")</f>
        <v>Variant Pathogenicity</v>
      </c>
      <c r="G11" s="128" t="str">
        <f>IFERROR(__xludf.DUMMYFUNCTION("""COMPUTED_VALUE"""),"")</f>
        <v/>
      </c>
      <c r="H11" s="128" t="str">
        <f>IFERROR(__xludf.DUMMYFUNCTION("""COMPUTED_VALUE"""),"Emily Groopman")</f>
        <v>Emily Groopman</v>
      </c>
      <c r="I11" s="128" t="str">
        <f>IFERROR(__xludf.DUMMYFUNCTION("""COMPUTED_VALUE"""),"ee.groopman@gmail.com")</f>
        <v>ee.groopman@gmail.com</v>
      </c>
      <c r="J11" s="131" t="str">
        <f>IFERROR(__xludf.DUMMYFUNCTION("""COMPUTED_VALUE"""),"Comprehensive")</f>
        <v>Comprehensive</v>
      </c>
      <c r="K11" s="132" t="str">
        <f>IFERROR(__xludf.DUMMYFUNCTION("""COMPUTED_VALUE"""),"Aminoacidopathy Gene Curation Expert Panel, Storage Diseases Variant Curation Expert Panel, and Hereditary Cancer Gene Curation Expert Pane")</f>
        <v>Aminoacidopathy Gene Curation Expert Panel, Storage Diseases Variant Curation Expert Panel, and Hereditary Cancer Gene Curation Expert Pane</v>
      </c>
      <c r="L11" s="133" t="str">
        <f>IFERROR(__xludf.DUMMYFUNCTION("""COMPUTED_VALUE"""),"yes")</f>
        <v>yes</v>
      </c>
      <c r="M11" s="133"/>
      <c r="N11" s="133"/>
      <c r="O11" s="133"/>
      <c r="P11" s="133"/>
      <c r="Q11" s="133"/>
      <c r="R11" s="133"/>
      <c r="S11" s="133"/>
      <c r="T11" s="133"/>
      <c r="U11" s="133"/>
      <c r="V11" s="133"/>
      <c r="W11" s="133"/>
      <c r="X11" s="133"/>
      <c r="Y11" s="133"/>
      <c r="Z11" s="133"/>
    </row>
    <row r="12">
      <c r="A12" s="128" t="str">
        <f>IFERROR(__xludf.DUMMYFUNCTION("""COMPUTED_VALUE"""),"Assigned")</f>
        <v>Assigned</v>
      </c>
      <c r="B12" s="129">
        <f>IFERROR(__xludf.DUMMYFUNCTION("""COMPUTED_VALUE"""),43439.0)</f>
        <v>43439</v>
      </c>
      <c r="C12" s="130">
        <f>IFERROR(__xludf.DUMMYFUNCTION("""COMPUTED_VALUE"""),43608.0)</f>
        <v>43608</v>
      </c>
      <c r="D12" s="131" t="str">
        <f>IFERROR(__xludf.DUMMYFUNCTION("""COMPUTED_VALUE"""),"Yes")</f>
        <v>Yes</v>
      </c>
      <c r="E12" s="131" t="str">
        <f>IFERROR(__xludf.DUMMYFUNCTION("""COMPUTED_VALUE"""),"Yes")</f>
        <v>Yes</v>
      </c>
      <c r="F12" s="131" t="str">
        <f>IFERROR(__xludf.DUMMYFUNCTION("""COMPUTED_VALUE"""),"Variant Pathogenicity")</f>
        <v>Variant Pathogenicity</v>
      </c>
      <c r="G12" s="128" t="str">
        <f>IFERROR(__xludf.DUMMYFUNCTION("""COMPUTED_VALUE"""),"Brain Malformations")</f>
        <v>Brain Malformations</v>
      </c>
      <c r="H12" s="128" t="str">
        <f>IFERROR(__xludf.DUMMYFUNCTION("""COMPUTED_VALUE"""),"Rhonda Lassiter ")</f>
        <v>Rhonda Lassiter </v>
      </c>
      <c r="I12" s="128" t="str">
        <f>IFERROR(__xludf.DUMMYFUNCTION("""COMPUTED_VALUE"""),"rlassiter@ambrygen.com")</f>
        <v>rlassiter@ambrygen.com</v>
      </c>
      <c r="J12" s="131" t="str">
        <f>IFERROR(__xludf.DUMMYFUNCTION("""COMPUTED_VALUE"""),"Comprehensive")</f>
        <v>Comprehensive</v>
      </c>
      <c r="K12" s="132" t="str">
        <f>IFERROR(__xludf.DUMMYFUNCTION("""COMPUTED_VALUE"""),"I am interested in any of the Neurodevelopmental Disorders CDWG's. I am happy to help wherever there is a need.")</f>
        <v>I am interested in any of the Neurodevelopmental Disorders CDWG's. I am happy to help wherever there is a need.</v>
      </c>
      <c r="L12" t="str">
        <f>IFERROR(__xludf.DUMMYFUNCTION("""COMPUTED_VALUE"""),"yes")</f>
        <v>yes</v>
      </c>
    </row>
    <row r="13">
      <c r="A13" s="128" t="str">
        <f>IFERROR(__xludf.DUMMYFUNCTION("""COMPUTED_VALUE"""),"Contacted")</f>
        <v>Contacted</v>
      </c>
      <c r="B13" s="129">
        <f>IFERROR(__xludf.DUMMYFUNCTION("""COMPUTED_VALUE"""),43439.0)</f>
        <v>43439</v>
      </c>
      <c r="C13" s="130">
        <f>IFERROR(__xludf.DUMMYFUNCTION("""COMPUTED_VALUE"""),43608.0)</f>
        <v>43608</v>
      </c>
      <c r="D13" s="131" t="str">
        <f>IFERROR(__xludf.DUMMYFUNCTION("""COMPUTED_VALUE"""),"Yes")</f>
        <v>Yes</v>
      </c>
      <c r="E13" s="131" t="str">
        <f>IFERROR(__xludf.DUMMYFUNCTION("""COMPUTED_VALUE"""),"Yes")</f>
        <v>Yes</v>
      </c>
      <c r="F13" s="131" t="str">
        <f>IFERROR(__xludf.DUMMYFUNCTION("""COMPUTED_VALUE"""),"Variant Pathogenicity")</f>
        <v>Variant Pathogenicity</v>
      </c>
      <c r="G13" s="128" t="str">
        <f>IFERROR(__xludf.DUMMYFUNCTION("""COMPUTED_VALUE"""),"Mito")</f>
        <v>Mito</v>
      </c>
      <c r="H13" s="128" t="str">
        <f>IFERROR(__xludf.DUMMYFUNCTION("""COMPUTED_VALUE"""),"Emma Reble ")</f>
        <v>Emma Reble </v>
      </c>
      <c r="I13" s="128" t="str">
        <f>IFERROR(__xludf.DUMMYFUNCTION("""COMPUTED_VALUE"""),"reblee@smh.ca")</f>
        <v>reblee@smh.ca</v>
      </c>
      <c r="J13" s="131" t="str">
        <f>IFERROR(__xludf.DUMMYFUNCTION("""COMPUTED_VALUE"""),"Comprehensive")</f>
        <v>Comprehensive</v>
      </c>
      <c r="K13" s="132" t="str">
        <f>IFERROR(__xludf.DUMMYFUNCTION("""COMPUTED_VALUE"""),"I am interest in the neurodevelopmental disorder CDWG, particularly the Autism and ID group.")</f>
        <v>I am interest in the neurodevelopmental disorder CDWG, particularly the Autism and ID group.</v>
      </c>
      <c r="L13" s="133" t="str">
        <f>IFERROR(__xludf.DUMMYFUNCTION("""COMPUTED_VALUE"""),"yes")</f>
        <v>yes</v>
      </c>
      <c r="M13" s="133"/>
      <c r="N13" s="133"/>
      <c r="O13" s="133"/>
      <c r="P13" s="133"/>
      <c r="Q13" s="133"/>
      <c r="R13" s="133"/>
      <c r="S13" s="133"/>
      <c r="T13" s="133"/>
      <c r="U13" s="133"/>
      <c r="V13" s="133"/>
      <c r="W13" s="133"/>
      <c r="X13" s="133"/>
      <c r="Y13" s="133"/>
      <c r="Z13" s="133"/>
    </row>
    <row r="14">
      <c r="A14" s="128" t="str">
        <f>IFERROR(__xludf.DUMMYFUNCTION("""COMPUTED_VALUE"""),"Unresponsive")</f>
        <v>Unresponsive</v>
      </c>
      <c r="B14" s="129">
        <f>IFERROR(__xludf.DUMMYFUNCTION("""COMPUTED_VALUE"""),43439.0)</f>
        <v>43439</v>
      </c>
      <c r="C14" s="130" t="str">
        <f>IFERROR(__xludf.DUMMYFUNCTION("""COMPUTED_VALUE"""),"")</f>
        <v/>
      </c>
      <c r="D14" s="131" t="str">
        <f>IFERROR(__xludf.DUMMYFUNCTION("""COMPUTED_VALUE"""),"No")</f>
        <v>No</v>
      </c>
      <c r="E14" s="131" t="str">
        <f>IFERROR(__xludf.DUMMYFUNCTION("""COMPUTED_VALUE"""),"No")</f>
        <v>No</v>
      </c>
      <c r="F14" s="131" t="str">
        <f>IFERROR(__xludf.DUMMYFUNCTION("""COMPUTED_VALUE"""),"Variant Pathogenicity")</f>
        <v>Variant Pathogenicity</v>
      </c>
      <c r="G14" s="128" t="str">
        <f>IFERROR(__xludf.DUMMYFUNCTION("""COMPUTED_VALUE"""),"")</f>
        <v/>
      </c>
      <c r="H14" s="128" t="str">
        <f>IFERROR(__xludf.DUMMYFUNCTION("""COMPUTED_VALUE"""),"Bryony Thompson")</f>
        <v>Bryony Thompson</v>
      </c>
      <c r="I14" s="128" t="str">
        <f>IFERROR(__xludf.DUMMYFUNCTION("""COMPUTED_VALUE"""),"Bryony.Thompson@mh.org.au")</f>
        <v>Bryony.Thompson@mh.org.au</v>
      </c>
      <c r="J14" s="131" t="str">
        <f>IFERROR(__xludf.DUMMYFUNCTION("""COMPUTED_VALUE"""),"Comprehensive")</f>
        <v>Comprehensive</v>
      </c>
      <c r="K14" s="132" t="str">
        <f>IFERROR(__xludf.DUMMYFUNCTION("""COMPUTED_VALUE"""),"CDH1 Variant Curation Expert Panel")</f>
        <v>CDH1 Variant Curation Expert Panel</v>
      </c>
      <c r="L14" t="str">
        <f>IFERROR(__xludf.DUMMYFUNCTION("""COMPUTED_VALUE"""),"yes")</f>
        <v>yes</v>
      </c>
    </row>
    <row r="15">
      <c r="A15" s="128" t="str">
        <f>IFERROR(__xludf.DUMMYFUNCTION("""COMPUTED_VALUE"""),"Assigned")</f>
        <v>Assigned</v>
      </c>
      <c r="B15" s="129">
        <f>IFERROR(__xludf.DUMMYFUNCTION("""COMPUTED_VALUE"""),43439.0)</f>
        <v>43439</v>
      </c>
      <c r="C15" s="130">
        <f>IFERROR(__xludf.DUMMYFUNCTION("""COMPUTED_VALUE"""),43608.0)</f>
        <v>43608</v>
      </c>
      <c r="D15" s="131" t="str">
        <f>IFERROR(__xludf.DUMMYFUNCTION("""COMPUTED_VALUE"""),"Yes")</f>
        <v>Yes</v>
      </c>
      <c r="E15" s="131" t="str">
        <f>IFERROR(__xludf.DUMMYFUNCTION("""COMPUTED_VALUE"""),"Yes")</f>
        <v>Yes</v>
      </c>
      <c r="F15" s="131" t="str">
        <f>IFERROR(__xludf.DUMMYFUNCTION("""COMPUTED_VALUE"""),"Variant Pathogenicity")</f>
        <v>Variant Pathogenicity</v>
      </c>
      <c r="G15" s="128" t="str">
        <f>IFERROR(__xludf.DUMMYFUNCTION("""COMPUTED_VALUE"""),"Coagulation Factor Deficiency")</f>
        <v>Coagulation Factor Deficiency</v>
      </c>
      <c r="H15" s="128" t="str">
        <f>IFERROR(__xludf.DUMMYFUNCTION("""COMPUTED_VALUE"""),"Qiliang Ding")</f>
        <v>Qiliang Ding</v>
      </c>
      <c r="I15" s="128" t="str">
        <f>IFERROR(__xludf.DUMMYFUNCTION("""COMPUTED_VALUE"""),"qd29@cornell.edu")</f>
        <v>qd29@cornell.edu</v>
      </c>
      <c r="J15" s="131" t="str">
        <f>IFERROR(__xludf.DUMMYFUNCTION("""COMPUTED_VALUE"""),"Comprehensive")</f>
        <v>Comprehensive</v>
      </c>
      <c r="K15" s="132" t="str">
        <f>IFERROR(__xludf.DUMMYFUNCTION("""COMPUTED_VALUE"""),"I am interested in all working groups.")</f>
        <v>I am interested in all working groups.</v>
      </c>
      <c r="L15" s="133" t="str">
        <f>IFERROR(__xludf.DUMMYFUNCTION("""COMPUTED_VALUE"""),"yes")</f>
        <v>yes</v>
      </c>
      <c r="M15" s="133"/>
      <c r="N15" s="133"/>
      <c r="O15" s="133"/>
      <c r="P15" s="133"/>
      <c r="Q15" s="133"/>
      <c r="R15" s="133"/>
      <c r="S15" s="133"/>
      <c r="T15" s="133"/>
      <c r="U15" s="133"/>
      <c r="V15" s="133"/>
      <c r="W15" s="133"/>
      <c r="X15" s="133"/>
      <c r="Y15" s="133"/>
      <c r="Z15" s="133"/>
    </row>
    <row r="16">
      <c r="A16" s="128" t="str">
        <f>IFERROR(__xludf.DUMMYFUNCTION("""COMPUTED_VALUE"""),"Contacted")</f>
        <v>Contacted</v>
      </c>
      <c r="B16" s="129">
        <f>IFERROR(__xludf.DUMMYFUNCTION("""COMPUTED_VALUE"""),43439.0)</f>
        <v>43439</v>
      </c>
      <c r="C16" s="130">
        <f>IFERROR(__xludf.DUMMYFUNCTION("""COMPUTED_VALUE"""),43608.0)</f>
        <v>43608</v>
      </c>
      <c r="D16" s="131" t="str">
        <f>IFERROR(__xludf.DUMMYFUNCTION("""COMPUTED_VALUE"""),"Yes")</f>
        <v>Yes</v>
      </c>
      <c r="E16" s="131" t="str">
        <f>IFERROR(__xludf.DUMMYFUNCTION("""COMPUTED_VALUE"""),"No")</f>
        <v>No</v>
      </c>
      <c r="F16" s="131" t="str">
        <f>IFERROR(__xludf.DUMMYFUNCTION("""COMPUTED_VALUE"""),"Variant Pathogenicity")</f>
        <v>Variant Pathogenicity</v>
      </c>
      <c r="G16" s="128" t="str">
        <f>IFERROR(__xludf.DUMMYFUNCTION("""COMPUTED_VALUE"""),"")</f>
        <v/>
      </c>
      <c r="H16" s="128" t="str">
        <f>IFERROR(__xludf.DUMMYFUNCTION("""COMPUTED_VALUE"""),"Amy Donahue")</f>
        <v>Amy Donahue</v>
      </c>
      <c r="I16" s="128" t="str">
        <f>IFERROR(__xludf.DUMMYFUNCTION("""COMPUTED_VALUE"""),"adonahue@mcw.edu")</f>
        <v>adonahue@mcw.edu</v>
      </c>
      <c r="J16" s="131" t="str">
        <f>IFERROR(__xludf.DUMMYFUNCTION("""COMPUTED_VALUE"""),"Comprehensive")</f>
        <v>Comprehensive</v>
      </c>
      <c r="K16" s="132" t="str">
        <f>IFERROR(__xludf.DUMMYFUNCTION("""COMPUTED_VALUE"""),"Any of the cardiac or neuro as well as the mitochondrial and monogenetic diabetes groups would fit within my clinical specialties. If there is the potential to start an ophthalmology/eye disorders group, I would love to be involved there. Thank you for th"&amp;"e opportunity!")</f>
        <v>Any of the cardiac or neuro as well as the mitochondrial and monogenetic diabetes groups would fit within my clinical specialties. If there is the potential to start an ophthalmology/eye disorders group, I would love to be involved there. Thank you for the opportunity!</v>
      </c>
      <c r="L16" s="133" t="str">
        <f>IFERROR(__xludf.DUMMYFUNCTION("""COMPUTED_VALUE"""),"yes")</f>
        <v>yes</v>
      </c>
      <c r="M16" s="133"/>
      <c r="N16" s="133"/>
      <c r="O16" s="133"/>
      <c r="P16" s="133"/>
      <c r="Q16" s="133"/>
      <c r="R16" s="133"/>
      <c r="S16" s="133"/>
      <c r="T16" s="133"/>
      <c r="U16" s="133"/>
      <c r="V16" s="133"/>
      <c r="W16" s="133"/>
      <c r="X16" s="133"/>
      <c r="Y16" s="133"/>
      <c r="Z16" s="133"/>
    </row>
    <row r="17">
      <c r="A17" s="128" t="str">
        <f>IFERROR(__xludf.DUMMYFUNCTION("""COMPUTED_VALUE"""),"Assigned")</f>
        <v>Assigned</v>
      </c>
      <c r="B17" s="129">
        <f>IFERROR(__xludf.DUMMYFUNCTION("""COMPUTED_VALUE"""),43109.0)</f>
        <v>43109</v>
      </c>
      <c r="C17" s="130">
        <f>IFERROR(__xludf.DUMMYFUNCTION("""COMPUTED_VALUE"""),43605.0)</f>
        <v>43605</v>
      </c>
      <c r="D17" s="131" t="str">
        <f>IFERROR(__xludf.DUMMYFUNCTION("""COMPUTED_VALUE"""),"Yes")</f>
        <v>Yes</v>
      </c>
      <c r="E17" s="131" t="str">
        <f>IFERROR(__xludf.DUMMYFUNCTION("""COMPUTED_VALUE"""),"Yes")</f>
        <v>Yes</v>
      </c>
      <c r="F17" s="131" t="str">
        <f>IFERROR(__xludf.DUMMYFUNCTION("""COMPUTED_VALUE"""),"Variant Pathogenicity")</f>
        <v>Variant Pathogenicity</v>
      </c>
      <c r="G17" s="128" t="str">
        <f>IFERROR(__xludf.DUMMYFUNCTION("""COMPUTED_VALUE"""),"Mito")</f>
        <v>Mito</v>
      </c>
      <c r="H17" s="128" t="str">
        <f>IFERROR(__xludf.DUMMYFUNCTION("""COMPUTED_VALUE"""),"Dave Ferguson")</f>
        <v>Dave Ferguson</v>
      </c>
      <c r="I17" s="128" t="str">
        <f>IFERROR(__xludf.DUMMYFUNCTION("""COMPUTED_VALUE"""),"dferguso@uci.edu")</f>
        <v>dferguso@uci.edu</v>
      </c>
      <c r="J17" s="131" t="str">
        <f>IFERROR(__xludf.DUMMYFUNCTION("""COMPUTED_VALUE"""),"Comprehensive")</f>
        <v>Comprehensive</v>
      </c>
      <c r="K17" s="132" t="str">
        <f>IFERROR(__xludf.DUMMYFUNCTION("""COMPUTED_VALUE"""),"Mitochondrial Disease Variant Curation Expert Panel (In progress) Autism and Intellectual Disability Gene Curation Expert Panel")</f>
        <v>Mitochondrial Disease Variant Curation Expert Panel (In progress) Autism and Intellectual Disability Gene Curation Expert Panel</v>
      </c>
      <c r="L17" t="str">
        <f>IFERROR(__xludf.DUMMYFUNCTION("""COMPUTED_VALUE"""),"No")</f>
        <v>No</v>
      </c>
    </row>
    <row r="18">
      <c r="A18" s="128" t="str">
        <f>IFERROR(__xludf.DUMMYFUNCTION("""COMPUTED_VALUE"""),"Unresponsive")</f>
        <v>Unresponsive</v>
      </c>
      <c r="B18" s="129">
        <f>IFERROR(__xludf.DUMMYFUNCTION("""COMPUTED_VALUE"""),43109.0)</f>
        <v>43109</v>
      </c>
      <c r="C18" s="128" t="str">
        <f>IFERROR(__xludf.DUMMYFUNCTION("""COMPUTED_VALUE"""),"")</f>
        <v/>
      </c>
      <c r="D18" s="131" t="str">
        <f>IFERROR(__xludf.DUMMYFUNCTION("""COMPUTED_VALUE"""),"No")</f>
        <v>No</v>
      </c>
      <c r="E18" s="131" t="str">
        <f>IFERROR(__xludf.DUMMYFUNCTION("""COMPUTED_VALUE"""),"No")</f>
        <v>No</v>
      </c>
      <c r="F18" s="131" t="str">
        <f>IFERROR(__xludf.DUMMYFUNCTION("""COMPUTED_VALUE"""),"Variant Pathogenicity")</f>
        <v>Variant Pathogenicity</v>
      </c>
      <c r="G18" s="128" t="str">
        <f>IFERROR(__xludf.DUMMYFUNCTION("""COMPUTED_VALUE"""),"")</f>
        <v/>
      </c>
      <c r="H18" s="128" t="str">
        <f>IFERROR(__xludf.DUMMYFUNCTION("""COMPUTED_VALUE"""),"Santhi Ramachandran")</f>
        <v>Santhi Ramachandran</v>
      </c>
      <c r="I18" s="128" t="str">
        <f>IFERROR(__xludf.DUMMYFUNCTION("""COMPUTED_VALUE"""),"santhialways4u@gmail.com")</f>
        <v>santhialways4u@gmail.com</v>
      </c>
      <c r="J18" s="131" t="str">
        <f>IFERROR(__xludf.DUMMYFUNCTION("""COMPUTED_VALUE"""),"Comprehensive")</f>
        <v>Comprehensive</v>
      </c>
      <c r="K18" s="132" t="str">
        <f>IFERROR(__xludf.DUMMYFUNCTION("""COMPUTED_VALUE"""),"I would like to work with variant curation expert panel or gene curation expert panel")</f>
        <v>I would like to work with variant curation expert panel or gene curation expert panel</v>
      </c>
      <c r="L18" s="133" t="str">
        <f>IFERROR(__xludf.DUMMYFUNCTION("""COMPUTED_VALUE"""),"yes")</f>
        <v>yes</v>
      </c>
      <c r="M18" s="133"/>
      <c r="N18" s="133"/>
      <c r="O18" s="133"/>
      <c r="P18" s="133"/>
      <c r="Q18" s="133"/>
      <c r="R18" s="133"/>
      <c r="S18" s="133"/>
      <c r="T18" s="133"/>
      <c r="U18" s="133"/>
      <c r="V18" s="133"/>
      <c r="W18" s="133"/>
      <c r="X18" s="133"/>
      <c r="Y18" s="133"/>
      <c r="Z18" s="133"/>
    </row>
    <row r="19">
      <c r="A19" s="128" t="str">
        <f>IFERROR(__xludf.DUMMYFUNCTION("""COMPUTED_VALUE"""),"Unresponsive")</f>
        <v>Unresponsive</v>
      </c>
      <c r="B19" s="129">
        <f>IFERROR(__xludf.DUMMYFUNCTION("""COMPUTED_VALUE"""),43439.0)</f>
        <v>43439</v>
      </c>
      <c r="C19" s="128" t="str">
        <f>IFERROR(__xludf.DUMMYFUNCTION("""COMPUTED_VALUE"""),"")</f>
        <v/>
      </c>
      <c r="D19" s="131" t="str">
        <f>IFERROR(__xludf.DUMMYFUNCTION("""COMPUTED_VALUE"""),"No")</f>
        <v>No</v>
      </c>
      <c r="E19" s="131" t="str">
        <f>IFERROR(__xludf.DUMMYFUNCTION("""COMPUTED_VALUE"""),"No")</f>
        <v>No</v>
      </c>
      <c r="F19" s="131" t="str">
        <f>IFERROR(__xludf.DUMMYFUNCTION("""COMPUTED_VALUE"""),"Variant Pathogenicity")</f>
        <v>Variant Pathogenicity</v>
      </c>
      <c r="G19" s="128" t="str">
        <f>IFERROR(__xludf.DUMMYFUNCTION("""COMPUTED_VALUE"""),"")</f>
        <v/>
      </c>
      <c r="H19" s="128" t="str">
        <f>IFERROR(__xludf.DUMMYFUNCTION("""COMPUTED_VALUE"""),"Megan Nathan")</f>
        <v>Megan Nathan</v>
      </c>
      <c r="I19" s="128" t="str">
        <f>IFERROR(__xludf.DUMMYFUNCTION("""COMPUTED_VALUE"""),"mlnathan.genetics@gmail.com")</f>
        <v>mlnathan.genetics@gmail.com</v>
      </c>
      <c r="J19" s="131" t="str">
        <f>IFERROR(__xludf.DUMMYFUNCTION("""COMPUTED_VALUE"""),"Comprehensive")</f>
        <v>Comprehensive</v>
      </c>
      <c r="K19" s="132" t="str">
        <f>IFERROR(__xludf.DUMMYFUNCTION("""COMPUTED_VALUE"""),"I would be most interested in the following groups (1 = top choice; 5 = last choice) 1. Breast/Ovarian Cancer (newly forming) 2. Colorectal Cancer (newly forming) 3. PTEN* 4. CDH1 5. VHL (Von Hippel-Lindau)*")</f>
        <v>I would be most interested in the following groups (1 = top choice; 5 = last choice) 1. Breast/Ovarian Cancer (newly forming) 2. Colorectal Cancer (newly forming) 3. PTEN* 4. CDH1 5. VHL (Von Hippel-Lindau)*</v>
      </c>
      <c r="L19" t="str">
        <f>IFERROR(__xludf.DUMMYFUNCTION("""COMPUTED_VALUE"""),"yes")</f>
        <v>yes</v>
      </c>
    </row>
    <row r="20">
      <c r="A20" s="128" t="str">
        <f>IFERROR(__xludf.DUMMYFUNCTION("""COMPUTED_VALUE"""),"Unresponsive")</f>
        <v>Unresponsive</v>
      </c>
      <c r="B20" s="128" t="str">
        <f>IFERROR(__xludf.DUMMYFUNCTION("""COMPUTED_VALUE"""),"01/09/18
Unresponsive as of 7-7-19")</f>
        <v>01/09/18
Unresponsive as of 7-7-19</v>
      </c>
      <c r="C20" s="128" t="str">
        <f>IFERROR(__xludf.DUMMYFUNCTION("""COMPUTED_VALUE"""),"")</f>
        <v/>
      </c>
      <c r="D20" s="131" t="str">
        <f>IFERROR(__xludf.DUMMYFUNCTION("""COMPUTED_VALUE"""),"No")</f>
        <v>No</v>
      </c>
      <c r="E20" s="131" t="str">
        <f>IFERROR(__xludf.DUMMYFUNCTION("""COMPUTED_VALUE"""),"No")</f>
        <v>No</v>
      </c>
      <c r="F20" s="131" t="str">
        <f>IFERROR(__xludf.DUMMYFUNCTION("""COMPUTED_VALUE"""),"Variant Pathogenicity")</f>
        <v>Variant Pathogenicity</v>
      </c>
      <c r="G20" s="128" t="str">
        <f>IFERROR(__xludf.DUMMYFUNCTION("""COMPUTED_VALUE"""),"")</f>
        <v/>
      </c>
      <c r="H20" s="128" t="str">
        <f>IFERROR(__xludf.DUMMYFUNCTION("""COMPUTED_VALUE"""),"Ellen Xu")</f>
        <v>Ellen Xu</v>
      </c>
      <c r="I20" s="128" t="str">
        <f>IFERROR(__xludf.DUMMYFUNCTION("""COMPUTED_VALUE"""),"")</f>
        <v/>
      </c>
      <c r="J20" s="131" t="str">
        <f>IFERROR(__xludf.DUMMYFUNCTION("""COMPUTED_VALUE"""),"Comprehensive")</f>
        <v>Comprehensive</v>
      </c>
      <c r="K20" s="132" t="str">
        <f>IFERROR(__xludf.DUMMYFUNCTION("""COMPUTED_VALUE"""),"Dosage sensitivity, hereditary cancer")</f>
        <v>Dosage sensitivity, hereditary cancer</v>
      </c>
      <c r="L20" t="str">
        <f>IFERROR(__xludf.DUMMYFUNCTION("""COMPUTED_VALUE"""),"yes")</f>
        <v>yes</v>
      </c>
    </row>
    <row r="21">
      <c r="A21" s="128" t="str">
        <f>IFERROR(__xludf.DUMMYFUNCTION("""COMPUTED_VALUE"""),"Assigned")</f>
        <v>Assigned</v>
      </c>
      <c r="B21" s="129">
        <f>IFERROR(__xludf.DUMMYFUNCTION("""COMPUTED_VALUE"""),43109.0)</f>
        <v>43109</v>
      </c>
      <c r="C21" s="130">
        <f>IFERROR(__xludf.DUMMYFUNCTION("""COMPUTED_VALUE"""),43608.0)</f>
        <v>43608</v>
      </c>
      <c r="D21" s="131" t="str">
        <f>IFERROR(__xludf.DUMMYFUNCTION("""COMPUTED_VALUE"""),"Yes")</f>
        <v>Yes</v>
      </c>
      <c r="E21" s="131" t="str">
        <f>IFERROR(__xludf.DUMMYFUNCTION("""COMPUTED_VALUE"""),"Yes")</f>
        <v>Yes</v>
      </c>
      <c r="F21" s="131" t="str">
        <f>IFERROR(__xludf.DUMMYFUNCTION("""COMPUTED_VALUE"""),"Variant Pathogenicity")</f>
        <v>Variant Pathogenicity</v>
      </c>
      <c r="G21" s="128" t="str">
        <f>IFERROR(__xludf.DUMMYFUNCTION("""COMPUTED_VALUE"""),"TP53")</f>
        <v>TP53</v>
      </c>
      <c r="H21" s="128" t="str">
        <f>IFERROR(__xludf.DUMMYFUNCTION("""COMPUTED_VALUE"""),"Alisdair Philp")</f>
        <v>Alisdair Philp</v>
      </c>
      <c r="I21" s="128" t="str">
        <f>IFERROR(__xludf.DUMMYFUNCTION("""COMPUTED_VALUE"""),"arphilp@gmail.com")</f>
        <v>arphilp@gmail.com</v>
      </c>
      <c r="J21" s="131" t="str">
        <f>IFERROR(__xludf.DUMMYFUNCTION("""COMPUTED_VALUE"""),"Comprehensive")</f>
        <v>Comprehensive</v>
      </c>
      <c r="K21" s="132" t="str">
        <f>IFERROR(__xludf.DUMMYFUNCTION("""COMPUTED_VALUE"""),"Cnv")</f>
        <v>Cnv</v>
      </c>
      <c r="L21" s="133" t="str">
        <f>IFERROR(__xludf.DUMMYFUNCTION("""COMPUTED_VALUE"""),"yes")</f>
        <v>yes</v>
      </c>
      <c r="M21" s="133"/>
      <c r="N21" s="133"/>
      <c r="O21" s="133"/>
      <c r="P21" s="133"/>
      <c r="Q21" s="133"/>
      <c r="R21" s="133"/>
      <c r="S21" s="133"/>
      <c r="T21" s="133"/>
      <c r="U21" s="133"/>
      <c r="V21" s="133"/>
      <c r="W21" s="133"/>
      <c r="X21" s="133"/>
      <c r="Y21" s="133"/>
      <c r="Z21" s="133"/>
    </row>
    <row r="22">
      <c r="A22" s="128" t="str">
        <f>IFERROR(__xludf.DUMMYFUNCTION("""COMPUTED_VALUE"""),"Unresponsive")</f>
        <v>Unresponsive</v>
      </c>
      <c r="B22" s="128" t="str">
        <f>IFERROR(__xludf.DUMMYFUNCTION("""COMPUTED_VALUE"""),"")</f>
        <v/>
      </c>
      <c r="C22" s="128" t="str">
        <f>IFERROR(__xludf.DUMMYFUNCTION("""COMPUTED_VALUE"""),"")</f>
        <v/>
      </c>
      <c r="D22" s="131" t="str">
        <f>IFERROR(__xludf.DUMMYFUNCTION("""COMPUTED_VALUE"""),"No")</f>
        <v>No</v>
      </c>
      <c r="E22" s="131" t="str">
        <f>IFERROR(__xludf.DUMMYFUNCTION("""COMPUTED_VALUE"""),"No")</f>
        <v>No</v>
      </c>
      <c r="F22" s="131" t="str">
        <f>IFERROR(__xludf.DUMMYFUNCTION("""COMPUTED_VALUE"""),"Variant Pathogenicity")</f>
        <v>Variant Pathogenicity</v>
      </c>
      <c r="G22" s="128" t="str">
        <f>IFERROR(__xludf.DUMMYFUNCTION("""COMPUTED_VALUE"""),"")</f>
        <v/>
      </c>
      <c r="H22" s="128" t="str">
        <f>IFERROR(__xludf.DUMMYFUNCTION("""COMPUTED_VALUE"""),"Ron Agatep")</f>
        <v>Ron Agatep</v>
      </c>
      <c r="I22" s="128" t="str">
        <f>IFERROR(__xludf.DUMMYFUNCTION("""COMPUTED_VALUE"""),"ragatep@sharedhealthmb.ca")</f>
        <v>ragatep@sharedhealthmb.ca</v>
      </c>
      <c r="J22" s="131" t="str">
        <f>IFERROR(__xludf.DUMMYFUNCTION("""COMPUTED_VALUE"""),"Comprehensive")</f>
        <v>Comprehensive</v>
      </c>
      <c r="K22" s="132" t="str">
        <f>IFERROR(__xludf.DUMMYFUNCTION("""COMPUTED_VALUE"""),"Hereditary Breast and Ovarian Cancer")</f>
        <v>Hereditary Breast and Ovarian Cancer</v>
      </c>
      <c r="L22" t="str">
        <f>IFERROR(__xludf.DUMMYFUNCTION("""COMPUTED_VALUE"""),"")</f>
        <v/>
      </c>
    </row>
    <row r="23">
      <c r="A23" s="128" t="str">
        <f>IFERROR(__xludf.DUMMYFUNCTION("""COMPUTED_VALUE"""),"Unresponsive")</f>
        <v>Unresponsive</v>
      </c>
      <c r="B23" s="128" t="str">
        <f>IFERROR(__xludf.DUMMYFUNCTION("""COMPUTED_VALUE"""),"")</f>
        <v/>
      </c>
      <c r="C23" s="128" t="str">
        <f>IFERROR(__xludf.DUMMYFUNCTION("""COMPUTED_VALUE"""),"")</f>
        <v/>
      </c>
      <c r="D23" s="131" t="str">
        <f>IFERROR(__xludf.DUMMYFUNCTION("""COMPUTED_VALUE"""),"No")</f>
        <v>No</v>
      </c>
      <c r="E23" s="131" t="str">
        <f>IFERROR(__xludf.DUMMYFUNCTION("""COMPUTED_VALUE"""),"No")</f>
        <v>No</v>
      </c>
      <c r="F23" s="131" t="str">
        <f>IFERROR(__xludf.DUMMYFUNCTION("""COMPUTED_VALUE"""),"Variant Pathogenicity")</f>
        <v>Variant Pathogenicity</v>
      </c>
      <c r="G23" s="128" t="str">
        <f>IFERROR(__xludf.DUMMYFUNCTION("""COMPUTED_VALUE"""),"")</f>
        <v/>
      </c>
      <c r="H23" s="128" t="str">
        <f>IFERROR(__xludf.DUMMYFUNCTION("""COMPUTED_VALUE"""),"Yasser Sullcahuaman")</f>
        <v>Yasser Sullcahuaman</v>
      </c>
      <c r="I23" s="128" t="str">
        <f>IFERROR(__xludf.DUMMYFUNCTION("""COMPUTED_VALUE"""),"ysullcahuaman@gmail.com")</f>
        <v>ysullcahuaman@gmail.com</v>
      </c>
      <c r="J23" s="131" t="str">
        <f>IFERROR(__xludf.DUMMYFUNCTION("""COMPUTED_VALUE"""),"Comprehensive")</f>
        <v>Comprehensive</v>
      </c>
      <c r="K23" s="132" t="str">
        <f>IFERROR(__xludf.DUMMYFUNCTION("""COMPUTED_VALUE"""),"")</f>
        <v/>
      </c>
      <c r="L23" s="133" t="str">
        <f>IFERROR(__xludf.DUMMYFUNCTION("""COMPUTED_VALUE"""),"")</f>
        <v/>
      </c>
      <c r="M23" s="133"/>
      <c r="N23" s="133"/>
      <c r="O23" s="133"/>
      <c r="P23" s="133"/>
      <c r="Q23" s="133"/>
      <c r="R23" s="133"/>
      <c r="S23" s="133"/>
      <c r="T23" s="133"/>
      <c r="U23" s="133"/>
      <c r="V23" s="133"/>
      <c r="W23" s="133"/>
      <c r="X23" s="133"/>
      <c r="Y23" s="133"/>
      <c r="Z23" s="133"/>
    </row>
    <row r="24">
      <c r="A24" s="128" t="str">
        <f>IFERROR(__xludf.DUMMYFUNCTION("""COMPUTED_VALUE"""),"Contacted")</f>
        <v>Contacted</v>
      </c>
      <c r="B24" s="128" t="str">
        <f>IFERROR(__xludf.DUMMYFUNCTION("""COMPUTED_VALUE"""),"")</f>
        <v/>
      </c>
      <c r="C24" s="134">
        <f>IFERROR(__xludf.DUMMYFUNCTION("""COMPUTED_VALUE"""),43608.0)</f>
        <v>43608</v>
      </c>
      <c r="D24" s="131" t="str">
        <f>IFERROR(__xludf.DUMMYFUNCTION("""COMPUTED_VALUE"""),"Yes")</f>
        <v>Yes</v>
      </c>
      <c r="E24" s="131" t="str">
        <f>IFERROR(__xludf.DUMMYFUNCTION("""COMPUTED_VALUE"""),"Yes")</f>
        <v>Yes</v>
      </c>
      <c r="F24" s="131" t="str">
        <f>IFERROR(__xludf.DUMMYFUNCTION("""COMPUTED_VALUE"""),"Variant Pathogenicity")</f>
        <v>Variant Pathogenicity</v>
      </c>
      <c r="G24" s="128" t="str">
        <f>IFERROR(__xludf.DUMMYFUNCTION("""COMPUTED_VALUE"""),"ACADVL")</f>
        <v>ACADVL</v>
      </c>
      <c r="H24" s="128" t="str">
        <f>IFERROR(__xludf.DUMMYFUNCTION("""COMPUTED_VALUE"""),"Michael McLachlan")</f>
        <v>Michael McLachlan</v>
      </c>
      <c r="I24" s="128" t="str">
        <f>IFERROR(__xludf.DUMMYFUNCTION("""COMPUTED_VALUE"""),"mikejmclachlan@gmail.com")</f>
        <v>mikejmclachlan@gmail.com</v>
      </c>
      <c r="J24" s="131" t="str">
        <f>IFERROR(__xludf.DUMMYFUNCTION("""COMPUTED_VALUE"""),"Comprehensive")</f>
        <v>Comprehensive</v>
      </c>
      <c r="K24" s="132" t="str">
        <f>IFERROR(__xludf.DUMMYFUNCTION("""COMPUTED_VALUE"""),"")</f>
        <v/>
      </c>
      <c r="L24" s="133" t="str">
        <f>IFERROR(__xludf.DUMMYFUNCTION("""COMPUTED_VALUE"""),"No curation experience but professional experience with genome analysis and disease models")</f>
        <v>No curation experience but professional experience with genome analysis and disease models</v>
      </c>
      <c r="M24" s="133"/>
      <c r="N24" s="133"/>
      <c r="O24" s="133"/>
      <c r="P24" s="133"/>
      <c r="Q24" s="133"/>
      <c r="R24" s="133"/>
      <c r="S24" s="133"/>
      <c r="T24" s="133"/>
      <c r="U24" s="133"/>
      <c r="V24" s="133"/>
      <c r="W24" s="133"/>
      <c r="X24" s="133"/>
      <c r="Y24" s="133"/>
      <c r="Z24" s="133"/>
    </row>
    <row r="25">
      <c r="A25" s="128" t="str">
        <f>IFERROR(__xludf.DUMMYFUNCTION("""COMPUTED_VALUE"""),"Assigned")</f>
        <v>Assigned</v>
      </c>
      <c r="B25" s="128" t="str">
        <f>IFERROR(__xludf.DUMMYFUNCTION("""COMPUTED_VALUE"""),"")</f>
        <v/>
      </c>
      <c r="C25" s="130">
        <f>IFERROR(__xludf.DUMMYFUNCTION("""COMPUTED_VALUE"""),43605.0)</f>
        <v>43605</v>
      </c>
      <c r="D25" s="131" t="str">
        <f>IFERROR(__xludf.DUMMYFUNCTION("""COMPUTED_VALUE"""),"Yes")</f>
        <v>Yes</v>
      </c>
      <c r="E25" s="131" t="str">
        <f>IFERROR(__xludf.DUMMYFUNCTION("""COMPUTED_VALUE"""),"Yes")</f>
        <v>Yes</v>
      </c>
      <c r="F25" s="131" t="str">
        <f>IFERROR(__xludf.DUMMYFUNCTION("""COMPUTED_VALUE"""),"Variant Pathogenicity")</f>
        <v>Variant Pathogenicity</v>
      </c>
      <c r="G25" s="128" t="str">
        <f>IFERROR(__xludf.DUMMYFUNCTION("""COMPUTED_VALUE"""),"Storage Disease")</f>
        <v>Storage Disease</v>
      </c>
      <c r="H25" s="128" t="str">
        <f>IFERROR(__xludf.DUMMYFUNCTION("""COMPUTED_VALUE"""),"Jing Xie")</f>
        <v>Jing Xie</v>
      </c>
      <c r="I25" s="128" t="str">
        <f>IFERROR(__xludf.DUMMYFUNCTION("""COMPUTED_VALUE"""),"jingxiegene@gmail.com")</f>
        <v>jingxiegene@gmail.com</v>
      </c>
      <c r="J25" s="131" t="str">
        <f>IFERROR(__xludf.DUMMYFUNCTION("""COMPUTED_VALUE"""),"Comprehensive")</f>
        <v>Comprehensive</v>
      </c>
      <c r="K25" s="132" t="str">
        <f>IFERROR(__xludf.DUMMYFUNCTION("""COMPUTED_VALUE"""),"Gene Curation Panel: Hereditary Cancer; Storage Diseases. Variant Curation Panel: Breast/Ovarian Cancer; Colorectal Cancer; Fatty Acid Oxidation; Cerebral Creatine Deficiency Syndrome")</f>
        <v>Gene Curation Panel: Hereditary Cancer; Storage Diseases. Variant Curation Panel: Breast/Ovarian Cancer; Colorectal Cancer; Fatty Acid Oxidation; Cerebral Creatine Deficiency Syndrome</v>
      </c>
      <c r="L25" t="str">
        <f>IFERROR(__xludf.DUMMYFUNCTION("""COMPUTED_VALUE"""),"Yes, as a clinical laboratory director, I have been heavily involved in variant pathogenicity evaluation myself and variant analyst training. Meanwhile, I also worked on gene-disease curation periodically for our interpretation pipeline. ")</f>
        <v>Yes, as a clinical laboratory director, I have been heavily involved in variant pathogenicity evaluation myself and variant analyst training. Meanwhile, I also worked on gene-disease curation periodically for our interpretation pipeline. </v>
      </c>
    </row>
    <row r="26">
      <c r="A26" s="128" t="str">
        <f>IFERROR(__xludf.DUMMYFUNCTION("""COMPUTED_VALUE"""),"Contacted")</f>
        <v>Contacted</v>
      </c>
      <c r="B26" s="128" t="str">
        <f>IFERROR(__xludf.DUMMYFUNCTION("""COMPUTED_VALUE"""),"")</f>
        <v/>
      </c>
      <c r="C26" s="130">
        <f>IFERROR(__xludf.DUMMYFUNCTION("""COMPUTED_VALUE"""),43605.0)</f>
        <v>43605</v>
      </c>
      <c r="D26" s="131" t="str">
        <f>IFERROR(__xludf.DUMMYFUNCTION("""COMPUTED_VALUE"""),"Yes")</f>
        <v>Yes</v>
      </c>
      <c r="E26" s="131" t="str">
        <f>IFERROR(__xludf.DUMMYFUNCTION("""COMPUTED_VALUE"""),"Yes")</f>
        <v>Yes</v>
      </c>
      <c r="F26" s="131" t="str">
        <f>IFERROR(__xludf.DUMMYFUNCTION("""COMPUTED_VALUE"""),"Variant Pathogenicity")</f>
        <v>Variant Pathogenicity</v>
      </c>
      <c r="G26" s="128" t="str">
        <f>IFERROR(__xludf.DUMMYFUNCTION("""COMPUTED_VALUE"""),"RASopathy")</f>
        <v>RASopathy</v>
      </c>
      <c r="H26" s="128" t="str">
        <f>IFERROR(__xludf.DUMMYFUNCTION("""COMPUTED_VALUE"""),"Kathryn Kronquist")</f>
        <v>Kathryn Kronquist</v>
      </c>
      <c r="I26" s="128" t="str">
        <f>IFERROR(__xludf.DUMMYFUNCTION("""COMPUTED_VALUE"""),"Kathryn.Kronquist@childrenscolorado.org")</f>
        <v>Kathryn.Kronquist@childrenscolorado.org</v>
      </c>
      <c r="J26" s="131" t="str">
        <f>IFERROR(__xludf.DUMMYFUNCTION("""COMPUTED_VALUE"""),"Comprehensive")</f>
        <v>Comprehensive</v>
      </c>
      <c r="K26" s="132" t="str">
        <f>IFERROR(__xludf.DUMMYFUNCTION("""COMPUTED_VALUE"""),"epilepsy, RASopathy")</f>
        <v>epilepsy, RASopathy</v>
      </c>
      <c r="L26" t="str">
        <f>IFERROR(__xludf.DUMMYFUNCTION("""COMPUTED_VALUE"""),"applying ACMG Guidelines for variant curation in daily work")</f>
        <v>applying ACMG Guidelines for variant curation in daily work</v>
      </c>
    </row>
    <row r="27">
      <c r="A27" s="128" t="str">
        <f>IFERROR(__xludf.DUMMYFUNCTION("""COMPUTED_VALUE"""),"Contacted")</f>
        <v>Contacted</v>
      </c>
      <c r="B27" s="128" t="str">
        <f>IFERROR(__xludf.DUMMYFUNCTION("""COMPUTED_VALUE"""),"")</f>
        <v/>
      </c>
      <c r="C27" s="128" t="str">
        <f>IFERROR(__xludf.DUMMYFUNCTION("""COMPUTED_VALUE"""),"")</f>
        <v/>
      </c>
      <c r="D27" s="131" t="str">
        <f>IFERROR(__xludf.DUMMYFUNCTION("""COMPUTED_VALUE"""),"No")</f>
        <v>No</v>
      </c>
      <c r="E27" s="131" t="str">
        <f>IFERROR(__xludf.DUMMYFUNCTION("""COMPUTED_VALUE"""),"No")</f>
        <v>No</v>
      </c>
      <c r="F27" s="131" t="str">
        <f>IFERROR(__xludf.DUMMYFUNCTION("""COMPUTED_VALUE"""),"Baseline")</f>
        <v>Baseline</v>
      </c>
      <c r="G27" s="128" t="str">
        <f>IFERROR(__xludf.DUMMYFUNCTION("""COMPUTED_VALUE"""),"")</f>
        <v/>
      </c>
      <c r="H27" s="128" t="str">
        <f>IFERROR(__xludf.DUMMYFUNCTION("""COMPUTED_VALUE"""),"Kristen L Deak")</f>
        <v>Kristen L Deak</v>
      </c>
      <c r="I27" s="128" t="str">
        <f>IFERROR(__xludf.DUMMYFUNCTION("""COMPUTED_VALUE"""),"kristen.deak@duke.edu")</f>
        <v>kristen.deak@duke.edu</v>
      </c>
      <c r="J27" s="131" t="str">
        <f>IFERROR(__xludf.DUMMYFUNCTION("""COMPUTED_VALUE"""),"Comprehensive")</f>
        <v>Comprehensive</v>
      </c>
      <c r="K27" s="132" t="str">
        <f>IFERROR(__xludf.DUMMYFUNCTION("""COMPUTED_VALUE"""),"")</f>
        <v/>
      </c>
      <c r="L27" t="str">
        <f>IFERROR(__xludf.DUMMYFUNCTION("""COMPUTED_VALUE"""),"Not other than evaluation and signout of patient reports")</f>
        <v>Not other than evaluation and signout of patient reports</v>
      </c>
    </row>
    <row r="28">
      <c r="A28" s="128" t="str">
        <f>IFERROR(__xludf.DUMMYFUNCTION("""COMPUTED_VALUE"""),"Assigned")</f>
        <v>Assigned</v>
      </c>
      <c r="B28" s="128" t="str">
        <f>IFERROR(__xludf.DUMMYFUNCTION("""COMPUTED_VALUE"""),"")</f>
        <v/>
      </c>
      <c r="C28" s="134">
        <f>IFERROR(__xludf.DUMMYFUNCTION("""COMPUTED_VALUE"""),43626.0)</f>
        <v>43626</v>
      </c>
      <c r="D28" s="131" t="str">
        <f>IFERROR(__xludf.DUMMYFUNCTION("""COMPUTED_VALUE"""),"Yes")</f>
        <v>Yes</v>
      </c>
      <c r="E28" s="131" t="str">
        <f>IFERROR(__xludf.DUMMYFUNCTION("""COMPUTED_VALUE"""),"Yes")</f>
        <v>Yes</v>
      </c>
      <c r="F28" s="131" t="str">
        <f>IFERROR(__xludf.DUMMYFUNCTION("""COMPUTED_VALUE"""),"Variant Pathogenicity")</f>
        <v>Variant Pathogenicity</v>
      </c>
      <c r="G28" s="128" t="str">
        <f>IFERROR(__xludf.DUMMYFUNCTION("""COMPUTED_VALUE"""),"Hearing Loss")</f>
        <v>Hearing Loss</v>
      </c>
      <c r="H28" s="128" t="str">
        <f>IFERROR(__xludf.DUMMYFUNCTION("""COMPUTED_VALUE"""),"Barbara Vona")</f>
        <v>Barbara Vona</v>
      </c>
      <c r="I28" s="128" t="str">
        <f>IFERROR(__xludf.DUMMYFUNCTION("""COMPUTED_VALUE"""),"barbara.vona@uni-tuebingen.de")</f>
        <v>barbara.vona@uni-tuebingen.de</v>
      </c>
      <c r="J28" s="131" t="str">
        <f>IFERROR(__xludf.DUMMYFUNCTION("""COMPUTED_VALUE"""),"Comprehensive")</f>
        <v>Comprehensive</v>
      </c>
      <c r="K28" s="132" t="str">
        <f>IFERROR(__xludf.DUMMYFUNCTION("""COMPUTED_VALUE"""),"Hearing Loss Variant and Gene Curation Expert Panels")</f>
        <v>Hearing Loss Variant and Gene Curation Expert Panels</v>
      </c>
      <c r="L28" s="133" t="str">
        <f>IFERROR(__xludf.DUMMYFUNCTION("""COMPUTED_VALUE"""),"LOVD3 variant curation for several hearing loss genes (STRC, GRHL2, CEACAM16, S1PR2)")</f>
        <v>LOVD3 variant curation for several hearing loss genes (STRC, GRHL2, CEACAM16, S1PR2)</v>
      </c>
      <c r="M28" s="133"/>
      <c r="N28" s="133"/>
      <c r="O28" s="133"/>
      <c r="P28" s="133"/>
      <c r="Q28" s="133"/>
      <c r="R28" s="133"/>
      <c r="S28" s="133"/>
      <c r="T28" s="133"/>
      <c r="U28" s="133"/>
      <c r="V28" s="133"/>
      <c r="W28" s="133"/>
      <c r="X28" s="133"/>
      <c r="Y28" s="133"/>
      <c r="Z28" s="133"/>
    </row>
    <row r="29">
      <c r="A29" s="128" t="str">
        <f>IFERROR(__xludf.DUMMYFUNCTION("""COMPUTED_VALUE"""),"Assigned")</f>
        <v>Assigned</v>
      </c>
      <c r="B29" s="128" t="str">
        <f>IFERROR(__xludf.DUMMYFUNCTION("""COMPUTED_VALUE"""),"")</f>
        <v/>
      </c>
      <c r="C29" s="130">
        <f>IFERROR(__xludf.DUMMYFUNCTION("""COMPUTED_VALUE"""),43605.0)</f>
        <v>43605</v>
      </c>
      <c r="D29" s="131" t="str">
        <f>IFERROR(__xludf.DUMMYFUNCTION("""COMPUTED_VALUE"""),"Yes")</f>
        <v>Yes</v>
      </c>
      <c r="E29" s="131" t="str">
        <f>IFERROR(__xludf.DUMMYFUNCTION("""COMPUTED_VALUE"""),"Yes")</f>
        <v>Yes</v>
      </c>
      <c r="F29" s="131" t="str">
        <f>IFERROR(__xludf.DUMMYFUNCTION("""COMPUTED_VALUE"""),"Variant Pathogenicity")</f>
        <v>Variant Pathogenicity</v>
      </c>
      <c r="G29" s="128" t="str">
        <f>IFERROR(__xludf.DUMMYFUNCTION("""COMPUTED_VALUE"""),"PAH")</f>
        <v>PAH</v>
      </c>
      <c r="H29" s="128" t="str">
        <f>IFERROR(__xludf.DUMMYFUNCTION("""COMPUTED_VALUE"""),"Viridiana Murillo")</f>
        <v>Viridiana Murillo</v>
      </c>
      <c r="I29" s="128" t="str">
        <f>IFERROR(__xludf.DUMMYFUNCTION("""COMPUTED_VALUE"""),"vmurillo18@students.kgi.edu")</f>
        <v>vmurillo18@students.kgi.edu</v>
      </c>
      <c r="J29" s="131" t="str">
        <f>IFERROR(__xludf.DUMMYFUNCTION("""COMPUTED_VALUE"""),"Comprehensive")</f>
        <v>Comprehensive</v>
      </c>
      <c r="K29" s="132" t="str">
        <f>IFERROR(__xludf.DUMMYFUNCTION("""COMPUTED_VALUE"""),"Metabolism (PAH) workgroup and/or  Epilepsy work group")</f>
        <v>Metabolism (PAH) workgroup and/or  Epilepsy work group</v>
      </c>
      <c r="L29" t="str">
        <f>IFERROR(__xludf.DUMMYFUNCTION("""COMPUTED_VALUE"""),"We have had some introduction to variant curation using the ACMG guidelines in my Human Genomics course and a training we attended on variant curation. ")</f>
        <v>We have had some introduction to variant curation using the ACMG guidelines in my Human Genomics course and a training we attended on variant curation. </v>
      </c>
    </row>
    <row r="30">
      <c r="A30" s="128" t="str">
        <f>IFERROR(__xludf.DUMMYFUNCTION("""COMPUTED_VALUE"""),"Unresponsive")</f>
        <v>Unresponsive</v>
      </c>
      <c r="B30" s="128" t="str">
        <f>IFERROR(__xludf.DUMMYFUNCTION("""COMPUTED_VALUE"""),"")</f>
        <v/>
      </c>
      <c r="C30" s="130">
        <f>IFERROR(__xludf.DUMMYFUNCTION("""COMPUTED_VALUE"""),43605.0)</f>
        <v>43605</v>
      </c>
      <c r="D30" s="131" t="str">
        <f>IFERROR(__xludf.DUMMYFUNCTION("""COMPUTED_VALUE"""),"Yes")</f>
        <v>Yes</v>
      </c>
      <c r="E30" s="131" t="str">
        <f>IFERROR(__xludf.DUMMYFUNCTION("""COMPUTED_VALUE"""),"No")</f>
        <v>No</v>
      </c>
      <c r="F30" s="131" t="str">
        <f>IFERROR(__xludf.DUMMYFUNCTION("""COMPUTED_VALUE"""),"Variant Pathogenicity")</f>
        <v>Variant Pathogenicity</v>
      </c>
      <c r="G30" s="128" t="str">
        <f>IFERROR(__xludf.DUMMYFUNCTION("""COMPUTED_VALUE"""),"")</f>
        <v/>
      </c>
      <c r="H30" s="128" t="str">
        <f>IFERROR(__xludf.DUMMYFUNCTION("""COMPUTED_VALUE"""),"Sharon Suchy")</f>
        <v>Sharon Suchy</v>
      </c>
      <c r="I30" s="128" t="str">
        <f>IFERROR(__xludf.DUMMYFUNCTION("""COMPUTED_VALUE"""),"ssuchy@genedx.com")</f>
        <v>ssuchy@genedx.com</v>
      </c>
      <c r="J30" s="131" t="str">
        <f>IFERROR(__xludf.DUMMYFUNCTION("""COMPUTED_VALUE"""),"Comprehensive")</f>
        <v>Comprehensive</v>
      </c>
      <c r="K30" s="132" t="str">
        <f>IFERROR(__xludf.DUMMYFUNCTION("""COMPUTED_VALUE"""),"lysosomal storage, inborn errors of metabolism")</f>
        <v>lysosomal storage, inborn errors of metabolism</v>
      </c>
      <c r="L30" t="str">
        <f>IFERROR(__xludf.DUMMYFUNCTION("""COMPUTED_VALUE"""),"yes, assessing variant pathogenicity /clinical actionability issues")</f>
        <v>yes, assessing variant pathogenicity /clinical actionability issues</v>
      </c>
    </row>
    <row r="31">
      <c r="A31" s="128" t="str">
        <f>IFERROR(__xludf.DUMMYFUNCTION("""COMPUTED_VALUE"""),"Assigned")</f>
        <v>Assigned</v>
      </c>
      <c r="B31" s="128" t="str">
        <f>IFERROR(__xludf.DUMMYFUNCTION("""COMPUTED_VALUE"""),"")</f>
        <v/>
      </c>
      <c r="C31" s="130">
        <f>IFERROR(__xludf.DUMMYFUNCTION("""COMPUTED_VALUE"""),43608.0)</f>
        <v>43608</v>
      </c>
      <c r="D31" s="131" t="str">
        <f>IFERROR(__xludf.DUMMYFUNCTION("""COMPUTED_VALUE"""),"Yes")</f>
        <v>Yes</v>
      </c>
      <c r="E31" s="131" t="str">
        <f>IFERROR(__xludf.DUMMYFUNCTION("""COMPUTED_VALUE"""),"Yes")</f>
        <v>Yes</v>
      </c>
      <c r="F31" s="131" t="str">
        <f>IFERROR(__xludf.DUMMYFUNCTION("""COMPUTED_VALUE"""),"Variant Pathogenicity")</f>
        <v>Variant Pathogenicity</v>
      </c>
      <c r="G31" s="128" t="str">
        <f>IFERROR(__xludf.DUMMYFUNCTION("""COMPUTED_VALUE"""),"Cardiomyopathy")</f>
        <v>Cardiomyopathy</v>
      </c>
      <c r="H31" s="128" t="str">
        <f>IFERROR(__xludf.DUMMYFUNCTION("""COMPUTED_VALUE"""),"Theodore E. Wilson")</f>
        <v>Theodore E. Wilson</v>
      </c>
      <c r="I31" s="128" t="str">
        <f>IFERROR(__xludf.DUMMYFUNCTION("""COMPUTED_VALUE"""),"theowils@iu.edu")</f>
        <v>theowils@iu.edu</v>
      </c>
      <c r="J31" s="131" t="str">
        <f>IFERROR(__xludf.DUMMYFUNCTION("""COMPUTED_VALUE"""),"Comprehensive")</f>
        <v>Comprehensive</v>
      </c>
      <c r="K31" s="132" t="str">
        <f>IFERROR(__xludf.DUMMYFUNCTION("""COMPUTED_VALUE"""),"cardiomyopathy")</f>
        <v>cardiomyopathy</v>
      </c>
      <c r="L31" t="str">
        <f>IFERROR(__xludf.DUMMYFUNCTION("""COMPUTED_VALUE"""),"During my fellowship I worked closely with ARUP Molecular geneticists to call variant pathogenicity based on the 2015 criteria.")</f>
        <v>During my fellowship I worked closely with ARUP Molecular geneticists to call variant pathogenicity based on the 2015 criteria.</v>
      </c>
    </row>
    <row r="32">
      <c r="A32" s="128" t="str">
        <f>IFERROR(__xludf.DUMMYFUNCTION("""COMPUTED_VALUE"""),"Assigned")</f>
        <v>Assigned</v>
      </c>
      <c r="B32" s="128" t="str">
        <f>IFERROR(__xludf.DUMMYFUNCTION("""COMPUTED_VALUE"""),"")</f>
        <v/>
      </c>
      <c r="C32" s="130">
        <f>IFERROR(__xludf.DUMMYFUNCTION("""COMPUTED_VALUE"""),43605.0)</f>
        <v>43605</v>
      </c>
      <c r="D32" s="131" t="str">
        <f>IFERROR(__xludf.DUMMYFUNCTION("""COMPUTED_VALUE"""),"Yes")</f>
        <v>Yes</v>
      </c>
      <c r="E32" s="131" t="str">
        <f>IFERROR(__xludf.DUMMYFUNCTION("""COMPUTED_VALUE"""),"Yes")</f>
        <v>Yes</v>
      </c>
      <c r="F32" s="131" t="str">
        <f>IFERROR(__xludf.DUMMYFUNCTION("""COMPUTED_VALUE"""),"Variant Pathogenicity")</f>
        <v>Variant Pathogenicity</v>
      </c>
      <c r="G32" s="128" t="str">
        <f>IFERROR(__xludf.DUMMYFUNCTION("""COMPUTED_VALUE"""),"Storage Disease")</f>
        <v>Storage Disease</v>
      </c>
      <c r="H32" s="128" t="str">
        <f>IFERROR(__xludf.DUMMYFUNCTION("""COMPUTED_VALUE"""),"Christina Y Hung")</f>
        <v>Christina Y Hung</v>
      </c>
      <c r="I32" s="128" t="str">
        <f>IFERROR(__xludf.DUMMYFUNCTION("""COMPUTED_VALUE"""),"christina.hung@childrens.harvard.edu")</f>
        <v>christina.hung@childrens.harvard.edu</v>
      </c>
      <c r="J32" s="131" t="str">
        <f>IFERROR(__xludf.DUMMYFUNCTION("""COMPUTED_VALUE"""),"Comprehensive")</f>
        <v>Comprehensive</v>
      </c>
      <c r="K32" s="132" t="str">
        <f>IFERROR(__xludf.DUMMYFUNCTION("""COMPUTED_VALUE"""),"Inborn error of Metabolism, Lysosomal Storage Disorders, Aminoacidopathy; have talked to Meredith Weaver regarding options of joining Metabolism Workgroup")</f>
        <v>Inborn error of Metabolism, Lysosomal Storage Disorders, Aminoacidopathy; have talked to Meredith Weaver regarding options of joining Metabolism Workgroup</v>
      </c>
      <c r="L32" t="str">
        <f>IFERROR(__xludf.DUMMYFUNCTION("""COMPUTED_VALUE"""),"ABMGG training/fellowships")</f>
        <v>ABMGG training/fellowships</v>
      </c>
    </row>
    <row r="33">
      <c r="A33" s="128" t="str">
        <f>IFERROR(__xludf.DUMMYFUNCTION("""COMPUTED_VALUE"""),"Assigned")</f>
        <v>Assigned</v>
      </c>
      <c r="B33" s="128" t="str">
        <f>IFERROR(__xludf.DUMMYFUNCTION("""COMPUTED_VALUE"""),"")</f>
        <v/>
      </c>
      <c r="C33" s="130">
        <f>IFERROR(__xludf.DUMMYFUNCTION("""COMPUTED_VALUE"""),43605.0)</f>
        <v>43605</v>
      </c>
      <c r="D33" s="131" t="str">
        <f>IFERROR(__xludf.DUMMYFUNCTION("""COMPUTED_VALUE"""),"Yes")</f>
        <v>Yes</v>
      </c>
      <c r="E33" s="131" t="str">
        <f>IFERROR(__xludf.DUMMYFUNCTION("""COMPUTED_VALUE"""),"Yes")</f>
        <v>Yes</v>
      </c>
      <c r="F33" s="131" t="str">
        <f>IFERROR(__xludf.DUMMYFUNCTION("""COMPUTED_VALUE"""),"Variant Pathogenicity")</f>
        <v>Variant Pathogenicity</v>
      </c>
      <c r="G33" s="128" t="str">
        <f>IFERROR(__xludf.DUMMYFUNCTION("""COMPUTED_VALUE"""),"Brain Malformations")</f>
        <v>Brain Malformations</v>
      </c>
      <c r="H33" s="128" t="str">
        <f>IFERROR(__xludf.DUMMYFUNCTION("""COMPUTED_VALUE"""),"Junyu Zhang")</f>
        <v>Junyu Zhang</v>
      </c>
      <c r="I33" s="128" t="str">
        <f>IFERROR(__xludf.DUMMYFUNCTION("""COMPUTED_VALUE"""),"junyuzhang@hotmail.com")</f>
        <v>junyuzhang@hotmail.com</v>
      </c>
      <c r="J33" s="131" t="str">
        <f>IFERROR(__xludf.DUMMYFUNCTION("""COMPUTED_VALUE"""),"Comprehensive")</f>
        <v>Comprehensive</v>
      </c>
      <c r="K33" s="132" t="str">
        <f>IFERROR(__xludf.DUMMYFUNCTION("""COMPUTED_VALUE"""),"Yes. Brain Malformations")</f>
        <v>Yes. Brain Malformations</v>
      </c>
      <c r="L33" t="str">
        <f>IFERROR(__xludf.DUMMYFUNCTION("""COMPUTED_VALUE"""),"Curate more than 1000 variants in Chinese patients ")</f>
        <v>Curate more than 1000 variants in Chinese patients </v>
      </c>
    </row>
    <row r="34">
      <c r="A34" s="128" t="str">
        <f>IFERROR(__xludf.DUMMYFUNCTION("""COMPUTED_VALUE"""),"Assigned")</f>
        <v>Assigned</v>
      </c>
      <c r="B34" s="128" t="str">
        <f>IFERROR(__xludf.DUMMYFUNCTION("""COMPUTED_VALUE"""),"")</f>
        <v/>
      </c>
      <c r="C34" s="130">
        <f>IFERROR(__xludf.DUMMYFUNCTION("""COMPUTED_VALUE"""),43605.0)</f>
        <v>43605</v>
      </c>
      <c r="D34" s="131" t="str">
        <f>IFERROR(__xludf.DUMMYFUNCTION("""COMPUTED_VALUE"""),"Yes")</f>
        <v>Yes</v>
      </c>
      <c r="E34" s="131" t="str">
        <f>IFERROR(__xludf.DUMMYFUNCTION("""COMPUTED_VALUE"""),"Yes")</f>
        <v>Yes</v>
      </c>
      <c r="F34" s="131" t="str">
        <f>IFERROR(__xludf.DUMMYFUNCTION("""COMPUTED_VALUE"""),"Variant Pathogenicity")</f>
        <v>Variant Pathogenicity</v>
      </c>
      <c r="G34" s="128" t="str">
        <f>IFERROR(__xludf.DUMMYFUNCTION("""COMPUTED_VALUE"""),"TP53")</f>
        <v>TP53</v>
      </c>
      <c r="H34" s="128" t="str">
        <f>IFERROR(__xludf.DUMMYFUNCTION("""COMPUTED_VALUE"""),"Emily Higgs")</f>
        <v>Emily Higgs</v>
      </c>
      <c r="I34" s="128" t="str">
        <f>IFERROR(__xludf.DUMMYFUNCTION("""COMPUTED_VALUE"""),"ehiggs@stanford.edu")</f>
        <v>ehiggs@stanford.edu</v>
      </c>
      <c r="J34" s="131" t="str">
        <f>IFERROR(__xludf.DUMMYFUNCTION("""COMPUTED_VALUE"""),"Comprehensive")</f>
        <v>Comprehensive</v>
      </c>
      <c r="K34" s="132" t="str">
        <f>IFERROR(__xludf.DUMMYFUNCTION("""COMPUTED_VALUE"""),"Dosage- Neurodevelopemental; Gene curation - Intellectual Disability and Autism,
Epilepsy, Hereditary Cancer, Mitochondrial Diseases, Brain Malformations, Monogenic Diabetes; Variant curation - VHL, CDH1, Brain Malformations, Monogenic Diabetes, Colorecta"&amp;"l Cancer ")</f>
        <v>Dosage- Neurodevelopemental; Gene curation - Intellectual Disability and Autism,
Epilepsy, Hereditary Cancer, Mitochondrial Diseases, Brain Malformations, Monogenic Diabetes; Variant curation - VHL, CDH1, Brain Malformations, Monogenic Diabetes, Colorectal Cancer </v>
      </c>
      <c r="L34" t="str">
        <f>IFERROR(__xludf.DUMMYFUNCTION("""COMPUTED_VALUE"""),"For the past year I have been doing variant interpretation for 'healthy exomes' in the research setting and supervising Master of Genetic Counseling students' variant interpretation rotations.  ")</f>
        <v>For the past year I have been doing variant interpretation for 'healthy exomes' in the research setting and supervising Master of Genetic Counseling students' variant interpretation rotations.  </v>
      </c>
    </row>
    <row r="35">
      <c r="A35" s="128" t="str">
        <f>IFERROR(__xludf.DUMMYFUNCTION("""COMPUTED_VALUE"""),"Contacted")</f>
        <v>Contacted</v>
      </c>
      <c r="B35" s="134">
        <f>IFERROR(__xludf.DUMMYFUNCTION("""COMPUTED_VALUE"""),43819.0)</f>
        <v>43819</v>
      </c>
      <c r="C35" s="128" t="str">
        <f>IFERROR(__xludf.DUMMYFUNCTION("""COMPUTED_VALUE"""),"")</f>
        <v/>
      </c>
      <c r="D35" s="131" t="str">
        <f>IFERROR(__xludf.DUMMYFUNCTION("""COMPUTED_VALUE"""),"No")</f>
        <v>No</v>
      </c>
      <c r="E35" s="131" t="str">
        <f>IFERROR(__xludf.DUMMYFUNCTION("""COMPUTED_VALUE"""),"No")</f>
        <v>No</v>
      </c>
      <c r="F35" s="131" t="str">
        <f>IFERROR(__xludf.DUMMYFUNCTION("""COMPUTED_VALUE"""),"Variant Pathogenicity")</f>
        <v>Variant Pathogenicity</v>
      </c>
      <c r="G35" s="128" t="str">
        <f>IFERROR(__xludf.DUMMYFUNCTION("""COMPUTED_VALUE"""),"")</f>
        <v/>
      </c>
      <c r="H35" s="128" t="str">
        <f>IFERROR(__xludf.DUMMYFUNCTION("""COMPUTED_VALUE"""),"Matt Wright")</f>
        <v>Matt Wright</v>
      </c>
      <c r="I35" s="128" t="str">
        <f>IFERROR(__xludf.DUMMYFUNCTION("""COMPUTED_VALUE"""),"wrightmw@stanford.edu")</f>
        <v>wrightmw@stanford.edu</v>
      </c>
      <c r="J35" s="131" t="str">
        <f>IFERROR(__xludf.DUMMYFUNCTION("""COMPUTED_VALUE"""),"Comprehensive")</f>
        <v>Comprehensive</v>
      </c>
      <c r="K35" s="132" t="str">
        <f>IFERROR(__xludf.DUMMYFUNCTION("""COMPUTED_VALUE"""),"Hearing Loss or Brain Malformations or Cardiomyopathy ")</f>
        <v>Hearing Loss or Brain Malformations or Cardiomyopathy </v>
      </c>
      <c r="L35" s="133" t="str">
        <f>IFERROR(__xludf.DUMMYFUNCTION("""COMPUTED_VALUE"""),"Most of my experience is gene-level curation but I’m especially interested in the variant curator’s experience")</f>
        <v>Most of my experience is gene-level curation but I’m especially interested in the variant curator’s experience</v>
      </c>
      <c r="M35" s="133"/>
      <c r="N35" s="133"/>
      <c r="O35" s="133"/>
      <c r="P35" s="133"/>
      <c r="Q35" s="133"/>
      <c r="R35" s="133"/>
      <c r="S35" s="133"/>
      <c r="T35" s="133"/>
      <c r="U35" s="133"/>
      <c r="V35" s="133"/>
      <c r="W35" s="133"/>
      <c r="X35" s="133"/>
      <c r="Y35" s="133"/>
      <c r="Z35" s="133"/>
    </row>
    <row r="36">
      <c r="A36" s="128" t="str">
        <f>IFERROR(__xludf.DUMMYFUNCTION("""COMPUTED_VALUE"""),"Unresponsive")</f>
        <v>Unresponsive</v>
      </c>
      <c r="B36" s="128" t="str">
        <f>IFERROR(__xludf.DUMMYFUNCTION("""COMPUTED_VALUE"""),"")</f>
        <v/>
      </c>
      <c r="C36" s="128" t="str">
        <f>IFERROR(__xludf.DUMMYFUNCTION("""COMPUTED_VALUE"""),"")</f>
        <v/>
      </c>
      <c r="D36" s="131" t="str">
        <f>IFERROR(__xludf.DUMMYFUNCTION("""COMPUTED_VALUE"""),"No")</f>
        <v>No</v>
      </c>
      <c r="E36" s="131" t="str">
        <f>IFERROR(__xludf.DUMMYFUNCTION("""COMPUTED_VALUE"""),"No")</f>
        <v>No</v>
      </c>
      <c r="F36" s="131" t="str">
        <f>IFERROR(__xludf.DUMMYFUNCTION("""COMPUTED_VALUE"""),"Variant Pathogenicity")</f>
        <v>Variant Pathogenicity</v>
      </c>
      <c r="G36" s="128" t="str">
        <f>IFERROR(__xludf.DUMMYFUNCTION("""COMPUTED_VALUE"""),"")</f>
        <v/>
      </c>
      <c r="H36" s="128" t="str">
        <f>IFERROR(__xludf.DUMMYFUNCTION("""COMPUTED_VALUE"""),"Daniel Reich")</f>
        <v>Daniel Reich</v>
      </c>
      <c r="I36" s="128" t="str">
        <f>IFERROR(__xludf.DUMMYFUNCTION("""COMPUTED_VALUE"""),"daniel.reich@aruplab.com")</f>
        <v>daniel.reich@aruplab.com</v>
      </c>
      <c r="J36" s="131" t="str">
        <f>IFERROR(__xludf.DUMMYFUNCTION("""COMPUTED_VALUE"""),"Comprehensive")</f>
        <v>Comprehensive</v>
      </c>
      <c r="K36" s="132" t="str">
        <f>IFERROR(__xludf.DUMMYFUNCTION("""COMPUTED_VALUE"""),"Cerebral Creatine Deficiency Syndromes")</f>
        <v>Cerebral Creatine Deficiency Syndromes</v>
      </c>
      <c r="L36" t="str">
        <f>IFERROR(__xludf.DUMMYFUNCTION("""COMPUTED_VALUE"""),"As a variant scientist, I have been doing variant classification for clinical genetics tests for ~10 months. I have been involved in discussing gene-disease validity, though only for the last 1-2 months.")</f>
        <v>As a variant scientist, I have been doing variant classification for clinical genetics tests for ~10 months. I have been involved in discussing gene-disease validity, though only for the last 1-2 months.</v>
      </c>
    </row>
    <row r="37">
      <c r="A37" s="128" t="str">
        <f>IFERROR(__xludf.DUMMYFUNCTION("""COMPUTED_VALUE"""),"Contacted")</f>
        <v>Contacted</v>
      </c>
      <c r="B37" s="134">
        <f>IFERROR(__xludf.DUMMYFUNCTION("""COMPUTED_VALUE"""),43819.0)</f>
        <v>43819</v>
      </c>
      <c r="C37" s="128" t="str">
        <f>IFERROR(__xludf.DUMMYFUNCTION("""COMPUTED_VALUE"""),"")</f>
        <v/>
      </c>
      <c r="D37" s="131" t="str">
        <f>IFERROR(__xludf.DUMMYFUNCTION("""COMPUTED_VALUE"""),"No")</f>
        <v>No</v>
      </c>
      <c r="E37" s="131" t="str">
        <f>IFERROR(__xludf.DUMMYFUNCTION("""COMPUTED_VALUE"""),"No")</f>
        <v>No</v>
      </c>
      <c r="F37" s="131" t="str">
        <f>IFERROR(__xludf.DUMMYFUNCTION("""COMPUTED_VALUE"""),"Gene Disease Validity")</f>
        <v>Gene Disease Validity</v>
      </c>
      <c r="G37" s="128" t="str">
        <f>IFERROR(__xludf.DUMMYFUNCTION("""COMPUTED_VALUE"""),"")</f>
        <v/>
      </c>
      <c r="H37" s="128" t="str">
        <f>IFERROR(__xludf.DUMMYFUNCTION("""COMPUTED_VALUE"""),"Julie Hathaway")</f>
        <v>Julie Hathaway</v>
      </c>
      <c r="I37" s="128" t="str">
        <f>IFERROR(__xludf.DUMMYFUNCTION("""COMPUTED_VALUE"""),"julie.hathaway@blueprintgenetics.com")</f>
        <v>julie.hathaway@blueprintgenetics.com</v>
      </c>
      <c r="J37" s="131" t="str">
        <f>IFERROR(__xludf.DUMMYFUNCTION("""COMPUTED_VALUE"""),"Comprehensive")</f>
        <v>Comprehensive</v>
      </c>
      <c r="K37" s="132" t="str">
        <f>IFERROR(__xludf.DUMMYFUNCTION("""COMPUTED_VALUE"""),"Cardiomyopathy (or arrhythmias if available- I tried to be involved in the KCNQ1 variant curation group but I understand their group is now full) ")</f>
        <v>Cardiomyopathy (or arrhythmias if available- I tried to be involved in the KCNQ1 variant curation group but I understand their group is now full) </v>
      </c>
      <c r="L37" t="str">
        <f>IFERROR(__xludf.DUMMYFUNCTION("""COMPUTED_VALUE"""),"I have worked in the clinic and now in a commercial laboratory. In the clinic, we performed our own internal variant classifications and also, part of this included thoroughly researching gene-disease associations. In the laboratory, I have a clinical sup"&amp;"port role, contributing to gene panel curation/creation. ")</f>
        <v>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v>
      </c>
    </row>
    <row r="38">
      <c r="A38" s="128" t="str">
        <f>IFERROR(__xludf.DUMMYFUNCTION("""COMPUTED_VALUE"""),"Assigned")</f>
        <v>Assigned</v>
      </c>
      <c r="B38" s="128" t="str">
        <f>IFERROR(__xludf.DUMMYFUNCTION("""COMPUTED_VALUE"""),"")</f>
        <v/>
      </c>
      <c r="C38" s="134">
        <f>IFERROR(__xludf.DUMMYFUNCTION("""COMPUTED_VALUE"""),43627.0)</f>
        <v>43627</v>
      </c>
      <c r="D38" s="131" t="str">
        <f>IFERROR(__xludf.DUMMYFUNCTION("""COMPUTED_VALUE"""),"Yes")</f>
        <v>Yes</v>
      </c>
      <c r="E38" s="131" t="str">
        <f>IFERROR(__xludf.DUMMYFUNCTION("""COMPUTED_VALUE"""),"Yes")</f>
        <v>Yes</v>
      </c>
      <c r="F38" s="131" t="str">
        <f>IFERROR(__xludf.DUMMYFUNCTION("""COMPUTED_VALUE"""),"Variant Pathogenicity")</f>
        <v>Variant Pathogenicity</v>
      </c>
      <c r="G38" s="128" t="str">
        <f>IFERROR(__xludf.DUMMYFUNCTION("""COMPUTED_VALUE"""),"Monogenic Diabetes")</f>
        <v>Monogenic Diabetes</v>
      </c>
      <c r="H38" s="128" t="str">
        <f>IFERROR(__xludf.DUMMYFUNCTION("""COMPUTED_VALUE"""),"Suvina To")</f>
        <v>Suvina To</v>
      </c>
      <c r="I38" s="128" t="str">
        <f>IFERROR(__xludf.DUMMYFUNCTION("""COMPUTED_VALUE"""),"suvina@gmail.com")</f>
        <v>suvina@gmail.com</v>
      </c>
      <c r="J38" s="131" t="str">
        <f>IFERROR(__xludf.DUMMYFUNCTION("""COMPUTED_VALUE"""),"Comprehensive")</f>
        <v>Comprehensive</v>
      </c>
      <c r="K38" s="132" t="str">
        <f>IFERROR(__xludf.DUMMYFUNCTION("""COMPUTED_VALUE"""),"monogenic diabetes")</f>
        <v>monogenic diabetes</v>
      </c>
      <c r="L38" t="str">
        <f>IFERROR(__xludf.DUMMYFUNCTION("""COMPUTED_VALUE"""),"I am a variant curation specialist in my company")</f>
        <v>I am a variant curation specialist in my company</v>
      </c>
    </row>
    <row r="39">
      <c r="A39" s="128" t="str">
        <f>IFERROR(__xludf.DUMMYFUNCTION("""COMPUTED_VALUE"""),"Assigned")</f>
        <v>Assigned</v>
      </c>
      <c r="B39" s="128" t="str">
        <f>IFERROR(__xludf.DUMMYFUNCTION("""COMPUTED_VALUE"""),"")</f>
        <v/>
      </c>
      <c r="C39" s="130">
        <f>IFERROR(__xludf.DUMMYFUNCTION("""COMPUTED_VALUE"""),43608.0)</f>
        <v>43608</v>
      </c>
      <c r="D39" s="131" t="str">
        <f>IFERROR(__xludf.DUMMYFUNCTION("""COMPUTED_VALUE"""),"Yes")</f>
        <v>Yes</v>
      </c>
      <c r="E39" s="131" t="str">
        <f>IFERROR(__xludf.DUMMYFUNCTION("""COMPUTED_VALUE"""),"Yes")</f>
        <v>Yes</v>
      </c>
      <c r="F39" s="131" t="str">
        <f>IFERROR(__xludf.DUMMYFUNCTION("""COMPUTED_VALUE"""),"Variant Pathogenicity")</f>
        <v>Variant Pathogenicity</v>
      </c>
      <c r="G39" s="128" t="str">
        <f>IFERROR(__xludf.DUMMYFUNCTION("""COMPUTED_VALUE"""),"ACADVL")</f>
        <v>ACADVL</v>
      </c>
      <c r="H39" s="128" t="str">
        <f>IFERROR(__xludf.DUMMYFUNCTION("""COMPUTED_VALUE"""),"Lemuel Racacho")</f>
        <v>Lemuel Racacho</v>
      </c>
      <c r="I39" s="128" t="str">
        <f>IFERROR(__xludf.DUMMYFUNCTION("""COMPUTED_VALUE"""),"lracacho@cheo.on.ca")</f>
        <v>lracacho@cheo.on.ca</v>
      </c>
      <c r="J39" s="131" t="str">
        <f>IFERROR(__xludf.DUMMYFUNCTION("""COMPUTED_VALUE"""),"Comprehensive")</f>
        <v>Comprehensive</v>
      </c>
      <c r="K39" s="132" t="str">
        <f>IFERROR(__xludf.DUMMYFUNCTION("""COMPUTED_VALUE"""),"Inborn errors of metabolism; Low penetrance/risk allele")</f>
        <v>Inborn errors of metabolism; Low penetrance/risk allele</v>
      </c>
      <c r="L39" t="str">
        <f>IFERROR(__xludf.DUMMYFUNCTION("""COMPUTED_VALUE"""),"Yes, I currently interpret variants for mitochondrial based disorders")</f>
        <v>Yes, I currently interpret variants for mitochondrial based disorders</v>
      </c>
    </row>
    <row r="40">
      <c r="A40" s="128" t="str">
        <f>IFERROR(__xludf.DUMMYFUNCTION("""COMPUTED_VALUE"""),"Unresponsive")</f>
        <v>Unresponsive</v>
      </c>
      <c r="B40" s="128" t="str">
        <f>IFERROR(__xludf.DUMMYFUNCTION("""COMPUTED_VALUE"""),"")</f>
        <v/>
      </c>
      <c r="C40" s="128" t="str">
        <f>IFERROR(__xludf.DUMMYFUNCTION("""COMPUTED_VALUE"""),"")</f>
        <v/>
      </c>
      <c r="D40" s="131" t="str">
        <f>IFERROR(__xludf.DUMMYFUNCTION("""COMPUTED_VALUE"""),"No")</f>
        <v>No</v>
      </c>
      <c r="E40" s="131" t="str">
        <f>IFERROR(__xludf.DUMMYFUNCTION("""COMPUTED_VALUE"""),"No")</f>
        <v>No</v>
      </c>
      <c r="F40" s="131" t="str">
        <f>IFERROR(__xludf.DUMMYFUNCTION("""COMPUTED_VALUE"""),"Variant Pathogenicity")</f>
        <v>Variant Pathogenicity</v>
      </c>
      <c r="G40" s="128" t="str">
        <f>IFERROR(__xludf.DUMMYFUNCTION("""COMPUTED_VALUE"""),"")</f>
        <v/>
      </c>
      <c r="H40" s="128" t="str">
        <f>IFERROR(__xludf.DUMMYFUNCTION("""COMPUTED_VALUE"""),"Sara Fitzgerald-Butt")</f>
        <v>Sara Fitzgerald-Butt</v>
      </c>
      <c r="I40" s="128" t="str">
        <f>IFERROR(__xludf.DUMMYFUNCTION("""COMPUTED_VALUE"""),"sfitzge@iu.edu")</f>
        <v>sfitzge@iu.edu</v>
      </c>
      <c r="J40" s="131" t="str">
        <f>IFERROR(__xludf.DUMMYFUNCTION("""COMPUTED_VALUE"""),"Comprehensive")</f>
        <v>Comprehensive</v>
      </c>
      <c r="K40" s="132" t="str">
        <f>IFERROR(__xludf.DUMMYFUNCTION("""COMPUTED_VALUE"""),"Cardiovascular, cardiomyopathy, Long QT syndrome, FBN1")</f>
        <v>Cardiovascular, cardiomyopathy, Long QT syndrome, FBN1</v>
      </c>
      <c r="L40" t="str">
        <f>IFERROR(__xludf.DUMMYFUNCTION("""COMPUTED_VALUE"""),"I was part of a research team that reinterpreted the variants seen in our pediatric arrhythmia patients following the release of the 2015 ACMG/AMP guidelines.  Also, as a genetic counselor, I an evaluating the interpretation of the clinical laboratory.")</f>
        <v>I was part of a research team that reinterpreted the variants seen in our pediatric arrhythmia patients following the release of the 2015 ACMG/AMP guidelines.  Also, as a genetic counselor, I an evaluating the interpretation of the clinical laboratory.</v>
      </c>
    </row>
    <row r="41">
      <c r="A41" s="128" t="str">
        <f>IFERROR(__xludf.DUMMYFUNCTION("""COMPUTED_VALUE"""),"Assigned")</f>
        <v>Assigned</v>
      </c>
      <c r="B41" s="128" t="str">
        <f>IFERROR(__xludf.DUMMYFUNCTION("""COMPUTED_VALUE"""),"")</f>
        <v/>
      </c>
      <c r="C41" s="130">
        <f>IFERROR(__xludf.DUMMYFUNCTION("""COMPUTED_VALUE"""),43608.0)</f>
        <v>43608</v>
      </c>
      <c r="D41" s="131" t="str">
        <f>IFERROR(__xludf.DUMMYFUNCTION("""COMPUTED_VALUE"""),"Yes")</f>
        <v>Yes</v>
      </c>
      <c r="E41" s="131" t="str">
        <f>IFERROR(__xludf.DUMMYFUNCTION("""COMPUTED_VALUE"""),"Yes")</f>
        <v>Yes</v>
      </c>
      <c r="F41" s="131" t="str">
        <f>IFERROR(__xludf.DUMMYFUNCTION("""COMPUTED_VALUE"""),"Variant Pathogenicity")</f>
        <v>Variant Pathogenicity</v>
      </c>
      <c r="G41" s="128" t="str">
        <f>IFERROR(__xludf.DUMMYFUNCTION("""COMPUTED_VALUE"""),"Platelet Disorders")</f>
        <v>Platelet Disorders</v>
      </c>
      <c r="H41" s="128" t="str">
        <f>IFERROR(__xludf.DUMMYFUNCTION("""COMPUTED_VALUE"""),"Samya Chakravorty")</f>
        <v>Samya Chakravorty</v>
      </c>
      <c r="I41" s="128" t="str">
        <f>IFERROR(__xludf.DUMMYFUNCTION("""COMPUTED_VALUE"""),"samya.chakravorty@emory.edu")</f>
        <v>samya.chakravorty@emory.edu</v>
      </c>
      <c r="J41" s="131" t="str">
        <f>IFERROR(__xludf.DUMMYFUNCTION("""COMPUTED_VALUE"""),"Comprehensive")</f>
        <v>Comprehensive</v>
      </c>
      <c r="K41" s="132" t="str">
        <f>IFERROR(__xludf.DUMMYFUNCTION("""COMPUTED_VALUE"""),"Lysosomal Storage Disorders, Epilepsy")</f>
        <v>Lysosomal Storage Disorders, Epilepsy</v>
      </c>
      <c r="L41" t="str">
        <f>IFERROR(__xludf.DUMMYFUNCTION("""COMPUTED_VALUE"""),"I do have experience in classifying variants based on my functional data and submitting in Clinvar, other databases, and understanding variant annotation and classification based on 2015 ACMG-AMP guidelines. I also have experience in understanding the dis"&amp;"ease causality of variants and genes in correlation with clinical data. Though most of my experiences are in clinical research setting, but I do work closely with CLIA labs, organizations, and board-certified clinical geneticists. ")</f>
        <v>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v>
      </c>
    </row>
    <row r="42">
      <c r="A42" s="128" t="str">
        <f>IFERROR(__xludf.DUMMYFUNCTION("""COMPUTED_VALUE"""),"Contacted")</f>
        <v>Contacted</v>
      </c>
      <c r="B42" s="134">
        <f>IFERROR(__xludf.DUMMYFUNCTION("""COMPUTED_VALUE"""),43819.0)</f>
        <v>43819</v>
      </c>
      <c r="C42" s="128" t="str">
        <f>IFERROR(__xludf.DUMMYFUNCTION("""COMPUTED_VALUE"""),"")</f>
        <v/>
      </c>
      <c r="D42" s="131" t="str">
        <f>IFERROR(__xludf.DUMMYFUNCTION("""COMPUTED_VALUE"""),"")</f>
        <v/>
      </c>
      <c r="E42" s="131" t="str">
        <f>IFERROR(__xludf.DUMMYFUNCTION("""COMPUTED_VALUE"""),"No")</f>
        <v>No</v>
      </c>
      <c r="F42" s="131" t="str">
        <f>IFERROR(__xludf.DUMMYFUNCTION("""COMPUTED_VALUE"""),"Variant Pathogenicity")</f>
        <v>Variant Pathogenicity</v>
      </c>
      <c r="G42" s="128" t="str">
        <f>IFERROR(__xludf.DUMMYFUNCTION("""COMPUTED_VALUE"""),"")</f>
        <v/>
      </c>
      <c r="H42" s="128" t="str">
        <f>IFERROR(__xludf.DUMMYFUNCTION("""COMPUTED_VALUE"""),"Chloe Whitten")</f>
        <v>Chloe Whitten</v>
      </c>
      <c r="I42" s="128" t="str">
        <f>IFERROR(__xludf.DUMMYFUNCTION("""COMPUTED_VALUE"""),"cwhitten@ambrygen.com")</f>
        <v>cwhitten@ambrygen.com</v>
      </c>
      <c r="J42" s="131" t="str">
        <f>IFERROR(__xludf.DUMMYFUNCTION("""COMPUTED_VALUE"""),"Comprehensive")</f>
        <v>Comprehensive</v>
      </c>
      <c r="K42" s="132" t="str">
        <f>IFERROR(__xludf.DUMMYFUNCTION("""COMPUTED_VALUE"""),"FBN1, PKU or LSD")</f>
        <v>FBN1, PKU or LSD</v>
      </c>
      <c r="L42" t="str">
        <f>IFERROR(__xludf.DUMMYFUNCTION("""COMPUTED_VALUE"""),"I don’t have experience with curation but I am eager to learn and have experience with more administrative/tedious tasks. I’d love to be involved but I understand that I do not have an clinical degrees")</f>
        <v>I don’t have experience with curation but I am eager to learn and have experience with more administrative/tedious tasks. I’d love to be involved but I understand that I do not have an clinical degrees</v>
      </c>
    </row>
    <row r="43">
      <c r="A43" s="128" t="str">
        <f>IFERROR(__xludf.DUMMYFUNCTION("""COMPUTED_VALUE"""),"Assigned")</f>
        <v>Assigned</v>
      </c>
      <c r="B43" s="128" t="str">
        <f>IFERROR(__xludf.DUMMYFUNCTION("""COMPUTED_VALUE"""),"")</f>
        <v/>
      </c>
      <c r="C43" s="134">
        <f>IFERROR(__xludf.DUMMYFUNCTION("""COMPUTED_VALUE"""),43605.0)</f>
        <v>43605</v>
      </c>
      <c r="D43" s="131" t="str">
        <f>IFERROR(__xludf.DUMMYFUNCTION("""COMPUTED_VALUE"""),"Yes")</f>
        <v>Yes</v>
      </c>
      <c r="E43" s="131" t="str">
        <f>IFERROR(__xludf.DUMMYFUNCTION("""COMPUTED_VALUE"""),"Yes")</f>
        <v>Yes</v>
      </c>
      <c r="F43" s="131" t="str">
        <f>IFERROR(__xludf.DUMMYFUNCTION("""COMPUTED_VALUE"""),"Variant Pathogenicity")</f>
        <v>Variant Pathogenicity</v>
      </c>
      <c r="G43" s="128" t="str">
        <f>IFERROR(__xludf.DUMMYFUNCTION("""COMPUTED_VALUE"""),"RYR1")</f>
        <v>RYR1</v>
      </c>
      <c r="H43" s="128" t="str">
        <f>IFERROR(__xludf.DUMMYFUNCTION("""COMPUTED_VALUE"""),"Catherine Driscoll")</f>
        <v>Catherine Driscoll</v>
      </c>
      <c r="I43" s="128" t="str">
        <f>IFERROR(__xludf.DUMMYFUNCTION("""COMPUTED_VALUE"""),"kate.driscoll@nih.gov")</f>
        <v>kate.driscoll@nih.gov</v>
      </c>
      <c r="J43" s="131" t="str">
        <f>IFERROR(__xludf.DUMMYFUNCTION("""COMPUTED_VALUE"""),"Comprehensive")</f>
        <v>Comprehensive</v>
      </c>
      <c r="K43" s="132" t="str">
        <f>IFERROR(__xludf.DUMMYFUNCTION("""COMPUTED_VALUE"""),"Yes, RYR1 MHS")</f>
        <v>Yes, RYR1 MHS</v>
      </c>
      <c r="L43" t="str">
        <f>IFERROR(__xludf.DUMMYFUNCTION("""COMPUTED_VALUE"""),"Yes, my main task at work is annotation of variants in Dr. Biesecker's lab")</f>
        <v>Yes, my main task at work is annotation of variants in Dr. Biesecker's lab</v>
      </c>
    </row>
    <row r="44">
      <c r="A44" s="128" t="str">
        <f>IFERROR(__xludf.DUMMYFUNCTION("""COMPUTED_VALUE"""),"Assigned")</f>
        <v>Assigned</v>
      </c>
      <c r="B44" s="128" t="str">
        <f>IFERROR(__xludf.DUMMYFUNCTION("""COMPUTED_VALUE"""),"")</f>
        <v/>
      </c>
      <c r="C44" s="134">
        <f>IFERROR(__xludf.DUMMYFUNCTION("""COMPUTED_VALUE"""),43608.0)</f>
        <v>43608</v>
      </c>
      <c r="D44" s="131" t="str">
        <f>IFERROR(__xludf.DUMMYFUNCTION("""COMPUTED_VALUE"""),"Yes")</f>
        <v>Yes</v>
      </c>
      <c r="E44" s="131" t="str">
        <f>IFERROR(__xludf.DUMMYFUNCTION("""COMPUTED_VALUE"""),"Yes")</f>
        <v>Yes</v>
      </c>
      <c r="F44" s="131" t="str">
        <f>IFERROR(__xludf.DUMMYFUNCTION("""COMPUTED_VALUE"""),"Variant Pathogenicity")</f>
        <v>Variant Pathogenicity</v>
      </c>
      <c r="G44" s="128" t="str">
        <f>IFERROR(__xludf.DUMMYFUNCTION("""COMPUTED_VALUE"""),"Brain Malformations")</f>
        <v>Brain Malformations</v>
      </c>
      <c r="H44" s="128" t="str">
        <f>IFERROR(__xludf.DUMMYFUNCTION("""COMPUTED_VALUE"""),"Ashley Marsh")</f>
        <v>Ashley Marsh</v>
      </c>
      <c r="I44" s="128" t="str">
        <f>IFERROR(__xludf.DUMMYFUNCTION("""COMPUTED_VALUE"""),"amarsh@ucsd.edu")</f>
        <v>amarsh@ucsd.edu</v>
      </c>
      <c r="J44" s="131" t="str">
        <f>IFERROR(__xludf.DUMMYFUNCTION("""COMPUTED_VALUE"""),"Comprehensive")</f>
        <v>Comprehensive</v>
      </c>
      <c r="K44" s="132" t="str">
        <f>IFERROR(__xludf.DUMMYFUNCTION("""COMPUTED_VALUE"""),"•	Brain Malformations Variant Curation Expert Panel
•	Brain Malformations Gene Curation Expert Panel")</f>
        <v>•	Brain Malformations Variant Curation Expert Panel
•	Brain Malformations Gene Curation Expert Panel</v>
      </c>
      <c r="L44" s="133" t="str">
        <f>IFERROR(__xludf.DUMMYFUNCTION("""COMPUTED_VALUE"""),"Variant Pathogenicity – I gained extensive sequence variant interpretation experience through my undergraduate and graduate research projects. I assessed the pathogenicity of variants associated with inherited cardiomyopathies during my undergraduate degr"&amp;"ee and undertook similar assessments during my graduate studies, focused on neurodevelopment and novel disease gene discovery. I published a Nature Genetics paper in 2017 describing the first genetic cause of isolated agenesis of the corpus callosum. I su"&amp;"bsequently created and maintain a LOVD for the disease gene (DCC), where I use ACMG and other criteria (in silico, conversation, population databases, etc.) to assess the pathogenicity of reported variants.
Gene-Disease Validity – My PhD dissertation foc"&amp;"used on novel disease gene discovery. Throughout my candidature, I utilized modern genomic technologies (including exome and targeted resequencing) to identify and characterize novel disease genes associated with neurodevelopmental disorders such as agene"&amp;"sis of the corpus callosum and focal cortical dysplasia.")</f>
        <v>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v>
      </c>
      <c r="M44" s="133"/>
      <c r="N44" s="133"/>
      <c r="O44" s="133"/>
      <c r="P44" s="133"/>
      <c r="Q44" s="133"/>
      <c r="R44" s="133"/>
      <c r="S44" s="133"/>
      <c r="T44" s="133"/>
      <c r="U44" s="133"/>
      <c r="V44" s="133"/>
      <c r="W44" s="133"/>
      <c r="X44" s="133"/>
      <c r="Y44" s="133"/>
      <c r="Z44" s="133"/>
    </row>
    <row r="45">
      <c r="A45" s="128" t="str">
        <f>IFERROR(__xludf.DUMMYFUNCTION("""COMPUTED_VALUE"""),"Contacted")</f>
        <v>Contacted</v>
      </c>
      <c r="B45" s="128" t="str">
        <f>IFERROR(__xludf.DUMMYFUNCTION("""COMPUTED_VALUE"""),"")</f>
        <v/>
      </c>
      <c r="C45" s="130">
        <f>IFERROR(__xludf.DUMMYFUNCTION("""COMPUTED_VALUE"""),43585.0)</f>
        <v>43585</v>
      </c>
      <c r="D45" s="131" t="str">
        <f>IFERROR(__xludf.DUMMYFUNCTION("""COMPUTED_VALUE"""),"Yes")</f>
        <v>Yes</v>
      </c>
      <c r="E45" s="131" t="str">
        <f>IFERROR(__xludf.DUMMYFUNCTION("""COMPUTED_VALUE"""),"Yes")</f>
        <v>Yes</v>
      </c>
      <c r="F45" s="131" t="str">
        <f>IFERROR(__xludf.DUMMYFUNCTION("""COMPUTED_VALUE"""),"Gene Disease Validity")</f>
        <v>Gene Disease Validity</v>
      </c>
      <c r="G45" s="128" t="str">
        <f>IFERROR(__xludf.DUMMYFUNCTION("""COMPUTED_VALUE"""),"Monogenic Diabetes")</f>
        <v>Monogenic Diabetes</v>
      </c>
      <c r="H45" s="128" t="str">
        <f>IFERROR(__xludf.DUMMYFUNCTION("""COMPUTED_VALUE"""),"Kevin Colclough")</f>
        <v>Kevin Colclough</v>
      </c>
      <c r="I45" s="128" t="str">
        <f>IFERROR(__xludf.DUMMYFUNCTION("""COMPUTED_VALUE"""),"kevin.colclough@nhs.net")</f>
        <v>kevin.colclough@nhs.net</v>
      </c>
      <c r="J45" s="131" t="str">
        <f>IFERROR(__xludf.DUMMYFUNCTION("""COMPUTED_VALUE"""),"Comprehensive")</f>
        <v>Comprehensive</v>
      </c>
      <c r="K45" s="132" t="str">
        <f>IFERROR(__xludf.DUMMYFUNCTION("""COMPUTED_VALUE"""),"I am a member of the variant curation and gene curation expert panels for monogenic diabetes.")</f>
        <v>I am a member of the variant curation and gene curation expert panels for monogenic diabetes.</v>
      </c>
      <c r="L45" t="str">
        <f>IFERROR(__xludf.DUMMYFUNCTION("""COMPUTED_VALUE"""),"I routinely perform variant pathogenicity classification and gene-disease validity as part of my routine diagnostic laboratory work.")</f>
        <v>I routinely perform variant pathogenicity classification and gene-disease validity as part of my routine diagnostic laboratory work.</v>
      </c>
    </row>
    <row r="46">
      <c r="A46" s="128" t="str">
        <f>IFERROR(__xludf.DUMMYFUNCTION("""COMPUTED_VALUE"""),"Contacted")</f>
        <v>Contacted</v>
      </c>
      <c r="B46" s="134">
        <f>IFERROR(__xludf.DUMMYFUNCTION("""COMPUTED_VALUE"""),43819.0)</f>
        <v>43819</v>
      </c>
      <c r="C46" s="128" t="str">
        <f>IFERROR(__xludf.DUMMYFUNCTION("""COMPUTED_VALUE"""),"")</f>
        <v/>
      </c>
      <c r="D46" s="131" t="str">
        <f>IFERROR(__xludf.DUMMYFUNCTION("""COMPUTED_VALUE"""),"")</f>
        <v/>
      </c>
      <c r="E46" s="131" t="str">
        <f>IFERROR(__xludf.DUMMYFUNCTION("""COMPUTED_VALUE"""),"No")</f>
        <v>No</v>
      </c>
      <c r="F46" s="131" t="str">
        <f>IFERROR(__xludf.DUMMYFUNCTION("""COMPUTED_VALUE"""),"Variant Pathogenicity")</f>
        <v>Variant Pathogenicity</v>
      </c>
      <c r="G46" s="128" t="str">
        <f>IFERROR(__xludf.DUMMYFUNCTION("""COMPUTED_VALUE"""),"")</f>
        <v/>
      </c>
      <c r="H46" s="128" t="str">
        <f>IFERROR(__xludf.DUMMYFUNCTION("""COMPUTED_VALUE"""),"Lisa Chen")</f>
        <v>Lisa Chen</v>
      </c>
      <c r="I46" s="128" t="str">
        <f>IFERROR(__xludf.DUMMYFUNCTION("""COMPUTED_VALUE"""),"lisa498484901@gmail.com")</f>
        <v>lisa498484901@gmail.com</v>
      </c>
      <c r="J46" s="131" t="str">
        <f>IFERROR(__xludf.DUMMYFUNCTION("""COMPUTED_VALUE"""),"Comprehensive")</f>
        <v>Comprehensive</v>
      </c>
      <c r="K46" s="132" t="str">
        <f>IFERROR(__xludf.DUMMYFUNCTION("""COMPUTED_VALUE"""),"Congenital Myopathies")</f>
        <v>Congenital Myopathies</v>
      </c>
      <c r="L46" t="str">
        <f>IFERROR(__xludf.DUMMYFUNCTION("""COMPUTED_VALUE"""),"I have been doing variant classification for 4 years.")</f>
        <v>I have been doing variant classification for 4 years.</v>
      </c>
    </row>
    <row r="47">
      <c r="A47" s="128" t="str">
        <f>IFERROR(__xludf.DUMMYFUNCTION("""COMPUTED_VALUE"""),"Assigned")</f>
        <v>Assigned</v>
      </c>
      <c r="B47" s="128" t="str">
        <f>IFERROR(__xludf.DUMMYFUNCTION("""COMPUTED_VALUE"""),"")</f>
        <v/>
      </c>
      <c r="C47" s="134">
        <f>IFERROR(__xludf.DUMMYFUNCTION("""COMPUTED_VALUE"""),43605.0)</f>
        <v>43605</v>
      </c>
      <c r="D47" s="131" t="str">
        <f>IFERROR(__xludf.DUMMYFUNCTION("""COMPUTED_VALUE"""),"Yes")</f>
        <v>Yes</v>
      </c>
      <c r="E47" s="131" t="str">
        <f>IFERROR(__xludf.DUMMYFUNCTION("""COMPUTED_VALUE"""),"Yes")</f>
        <v>Yes</v>
      </c>
      <c r="F47" s="131" t="str">
        <f>IFERROR(__xludf.DUMMYFUNCTION("""COMPUTED_VALUE"""),"Variant Pathogenicity")</f>
        <v>Variant Pathogenicity</v>
      </c>
      <c r="G47" s="128" t="str">
        <f>IFERROR(__xludf.DUMMYFUNCTION("""COMPUTED_VALUE"""),"TP53")</f>
        <v>TP53</v>
      </c>
      <c r="H47" s="128" t="str">
        <f>IFERROR(__xludf.DUMMYFUNCTION("""COMPUTED_VALUE"""),"Olivia Rennie")</f>
        <v>Olivia Rennie</v>
      </c>
      <c r="I47" s="128" t="str">
        <f>IFERROR(__xludf.DUMMYFUNCTION("""COMPUTED_VALUE"""),"olivia.rennie@sickkids.ca")</f>
        <v>olivia.rennie@sickkids.ca</v>
      </c>
      <c r="J47" s="131" t="str">
        <f>IFERROR(__xludf.DUMMYFUNCTION("""COMPUTED_VALUE"""),"Comprehensive")</f>
        <v>Comprehensive</v>
      </c>
      <c r="K47" s="132" t="str">
        <f>IFERROR(__xludf.DUMMYFUNCTION("""COMPUTED_VALUE"""),"I am open to any variant curation EPs that are currently looking for volunteers. ")</f>
        <v>I am open to any variant curation EPs that are currently looking for volunteers. </v>
      </c>
      <c r="L47" s="133" t="str">
        <f>IFERROR(__xludf.DUMMYFUNCTION("""COMPUTED_VALUE"""),"As noted above, I am currently a gene-disease curator with the ID &amp; ASD EP.")</f>
        <v>As noted above, I am currently a gene-disease curator with the ID &amp; ASD EP.</v>
      </c>
      <c r="M47" s="133"/>
      <c r="N47" s="133"/>
      <c r="O47" s="133"/>
      <c r="P47" s="133"/>
      <c r="Q47" s="133"/>
      <c r="R47" s="133"/>
      <c r="S47" s="133"/>
      <c r="T47" s="133"/>
      <c r="U47" s="133"/>
      <c r="V47" s="133"/>
      <c r="W47" s="133"/>
      <c r="X47" s="133"/>
      <c r="Y47" s="133"/>
      <c r="Z47" s="133"/>
    </row>
    <row r="48">
      <c r="A48" s="128" t="str">
        <f>IFERROR(__xludf.DUMMYFUNCTION("""COMPUTED_VALUE"""),"Contacted")</f>
        <v>Contacted</v>
      </c>
      <c r="B48" s="128" t="str">
        <f>IFERROR(__xludf.DUMMYFUNCTION("""COMPUTED_VALUE"""),"")</f>
        <v/>
      </c>
      <c r="C48" s="134">
        <f>IFERROR(__xludf.DUMMYFUNCTION("""COMPUTED_VALUE"""),43627.0)</f>
        <v>43627</v>
      </c>
      <c r="D48" s="131" t="str">
        <f>IFERROR(__xludf.DUMMYFUNCTION("""COMPUTED_VALUE"""),"Yes")</f>
        <v>Yes</v>
      </c>
      <c r="E48" s="131" t="str">
        <f>IFERROR(__xludf.DUMMYFUNCTION("""COMPUTED_VALUE"""),"Yes")</f>
        <v>Yes</v>
      </c>
      <c r="F48" s="131" t="str">
        <f>IFERROR(__xludf.DUMMYFUNCTION("""COMPUTED_VALUE"""),"NA")</f>
        <v>NA</v>
      </c>
      <c r="G48" s="128" t="str">
        <f>IFERROR(__xludf.DUMMYFUNCTION("""COMPUTED_VALUE"""),"")</f>
        <v/>
      </c>
      <c r="H48" s="128" t="str">
        <f>IFERROR(__xludf.DUMMYFUNCTION("""COMPUTED_VALUE"""),"Aleš Maver")</f>
        <v>Aleš Maver</v>
      </c>
      <c r="I48" s="128" t="str">
        <f>IFERROR(__xludf.DUMMYFUNCTION("""COMPUTED_VALUE"""),"ales.maver@kclj.si")</f>
        <v>ales.maver@kclj.si</v>
      </c>
      <c r="J48" s="131" t="str">
        <f>IFERROR(__xludf.DUMMYFUNCTION("""COMPUTED_VALUE"""),"Comprehensive")</f>
        <v>Comprehensive</v>
      </c>
      <c r="K48" s="132" t="str">
        <f>IFERROR(__xludf.DUMMYFUNCTION("""COMPUTED_VALUE"""),"Variant Curation Expert Panels and Gene Curation Expert Panels")</f>
        <v>Variant Curation Expert Panels and Gene Curation Expert Panels</v>
      </c>
      <c r="L48" t="str">
        <f>IFERROR(__xludf.DUMMYFUNCTION("""COMPUTED_VALUE"""),"Not extensive, but I am the responsible person for ClinVar deposits and data sharing at our institution. I also participate in the Variant discrepancy resolution project led by Steven Harrison. ")</f>
        <v>Not extensive, but I am the responsible person for ClinVar deposits and data sharing at our institution. I also participate in the Variant discrepancy resolution project led by Steven Harrison. </v>
      </c>
    </row>
    <row r="49">
      <c r="A49" s="128" t="str">
        <f>IFERROR(__xludf.DUMMYFUNCTION("""COMPUTED_VALUE"""),"Contacted")</f>
        <v>Contacted</v>
      </c>
      <c r="B49" s="128" t="str">
        <f>IFERROR(__xludf.DUMMYFUNCTION("""COMPUTED_VALUE"""),"")</f>
        <v/>
      </c>
      <c r="C49" s="134">
        <f>IFERROR(__xludf.DUMMYFUNCTION("""COMPUTED_VALUE"""),43627.0)</f>
        <v>43627</v>
      </c>
      <c r="D49" s="131" t="str">
        <f>IFERROR(__xludf.DUMMYFUNCTION("""COMPUTED_VALUE"""),"Yes")</f>
        <v>Yes</v>
      </c>
      <c r="E49" s="131" t="str">
        <f>IFERROR(__xludf.DUMMYFUNCTION("""COMPUTED_VALUE"""),"Yes")</f>
        <v>Yes</v>
      </c>
      <c r="F49" s="131" t="str">
        <f>IFERROR(__xludf.DUMMYFUNCTION("""COMPUTED_VALUE"""),"NA")</f>
        <v>NA</v>
      </c>
      <c r="G49" s="128" t="str">
        <f>IFERROR(__xludf.DUMMYFUNCTION("""COMPUTED_VALUE"""),"")</f>
        <v/>
      </c>
      <c r="H49" s="128" t="str">
        <f>IFERROR(__xludf.DUMMYFUNCTION("""COMPUTED_VALUE"""),"Robert Butler")</f>
        <v>Robert Butler</v>
      </c>
      <c r="I49" s="128" t="str">
        <f>IFERROR(__xludf.DUMMYFUNCTION("""COMPUTED_VALUE"""),"rbutler@northshore.org")</f>
        <v>rbutler@northshore.org</v>
      </c>
      <c r="J49" s="131" t="str">
        <f>IFERROR(__xludf.DUMMYFUNCTION("""COMPUTED_VALUE"""),"Comprehensive")</f>
        <v>Comprehensive</v>
      </c>
      <c r="K49" s="132" t="str">
        <f>IFERROR(__xludf.DUMMYFUNCTION("""COMPUTED_VALUE"""),"Ideally a working group regarding my experience, like Sequence Variant Discrepancy Resolution or Interpretation. Alternately, I have a growing interest (but much less knowledge) in the three areas of dosage sensitivity working groups, coming from a comput"&amp;"ational perspective (equal interest in all three). ")</f>
        <v>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v>
      </c>
      <c r="L49" t="str">
        <f>IFERROR(__xludf.DUMMYFUNCTION("""COMPUTED_VALUE"""),"I have some experience with variant interpretation and classification. My primary role in my job at NorthShore is research on our hospital cohort of variant data. I also authored a software tool, Clinotator, to examine variant evidence in ClinVar. My seco"&amp;"ndary job position is with the UChicago Department of Psychiatry and Behavioral Neuroscience and deals with neurodegenerative conditions (mainly AD). ")</f>
        <v>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v>
      </c>
    </row>
    <row r="50">
      <c r="A50" s="128" t="str">
        <f>IFERROR(__xludf.DUMMYFUNCTION("""COMPUTED_VALUE"""),"Contacted")</f>
        <v>Contacted</v>
      </c>
      <c r="B50" s="128" t="str">
        <f>IFERROR(__xludf.DUMMYFUNCTION("""COMPUTED_VALUE"""),"")</f>
        <v/>
      </c>
      <c r="C50" s="134">
        <f>IFERROR(__xludf.DUMMYFUNCTION("""COMPUTED_VALUE"""),43626.0)</f>
        <v>43626</v>
      </c>
      <c r="D50" s="131" t="str">
        <f>IFERROR(__xludf.DUMMYFUNCTION("""COMPUTED_VALUE"""),"Yes")</f>
        <v>Yes</v>
      </c>
      <c r="E50" s="131" t="str">
        <f>IFERROR(__xludf.DUMMYFUNCTION("""COMPUTED_VALUE"""),"Yes")</f>
        <v>Yes</v>
      </c>
      <c r="F50" s="131" t="str">
        <f>IFERROR(__xludf.DUMMYFUNCTION("""COMPUTED_VALUE"""),"Variant Pathogenicity")</f>
        <v>Variant Pathogenicity</v>
      </c>
      <c r="G50" s="128" t="str">
        <f>IFERROR(__xludf.DUMMYFUNCTION("""COMPUTED_VALUE"""),"")</f>
        <v/>
      </c>
      <c r="H50" s="128" t="str">
        <f>IFERROR(__xludf.DUMMYFUNCTION("""COMPUTED_VALUE"""),"Ljubica Caldovic")</f>
        <v>Ljubica Caldovic</v>
      </c>
      <c r="I50" s="128" t="str">
        <f>IFERROR(__xludf.DUMMYFUNCTION("""COMPUTED_VALUE"""),"lcaldovic@childrensnational.org")</f>
        <v>lcaldovic@childrensnational.org</v>
      </c>
      <c r="J50" s="131" t="str">
        <f>IFERROR(__xludf.DUMMYFUNCTION("""COMPUTED_VALUE"""),"Comprehensive")</f>
        <v>Comprehensive</v>
      </c>
      <c r="K50" s="132" t="str">
        <f>IFERROR(__xludf.DUMMYFUNCTION("""COMPUTED_VALUE"""),"I am a member of the aminoacidopathy expert panel")</f>
        <v>I am a member of the aminoacidopathy expert panel</v>
      </c>
      <c r="L50" t="str">
        <f>IFERROR(__xludf.DUMMYFUNCTION("""COMPUTED_VALUE"""),"I am currently a member of the aminoacidopathy expert panel and curator for the NAGS gene. Because of my expertise in molecular biology, biochemistry, genetics and genomics I am really interested in variant curation")</f>
        <v>I am currently a member of the aminoacidopathy expert panel and curator for the NAGS gene. Because of my expertise in molecular biology, biochemistry, genetics and genomics I am really interested in variant curation</v>
      </c>
    </row>
    <row r="51">
      <c r="A51" s="128" t="str">
        <f>IFERROR(__xludf.DUMMYFUNCTION("""COMPUTED_VALUE"""),"Assigned")</f>
        <v>Assigned</v>
      </c>
      <c r="B51" s="128" t="str">
        <f>IFERROR(__xludf.DUMMYFUNCTION("""COMPUTED_VALUE"""),"")</f>
        <v/>
      </c>
      <c r="C51" s="134">
        <f>IFERROR(__xludf.DUMMYFUNCTION("""COMPUTED_VALUE"""),43627.0)</f>
        <v>43627</v>
      </c>
      <c r="D51" s="131" t="str">
        <f>IFERROR(__xludf.DUMMYFUNCTION("""COMPUTED_VALUE"""),"Yes")</f>
        <v>Yes</v>
      </c>
      <c r="E51" s="131" t="str">
        <f>IFERROR(__xludf.DUMMYFUNCTION("""COMPUTED_VALUE"""),"Yes")</f>
        <v>Yes</v>
      </c>
      <c r="F51" s="131" t="str">
        <f>IFERROR(__xludf.DUMMYFUNCTION("""COMPUTED_VALUE"""),"Variant Pathogenicity")</f>
        <v>Variant Pathogenicity</v>
      </c>
      <c r="G51" s="128" t="str">
        <f>IFERROR(__xludf.DUMMYFUNCTION("""COMPUTED_VALUE"""),"Mito")</f>
        <v>Mito</v>
      </c>
      <c r="H51" s="128" t="str">
        <f>IFERROR(__xludf.DUMMYFUNCTION("""COMPUTED_VALUE"""),"Joy Goffena")</f>
        <v>Joy Goffena</v>
      </c>
      <c r="I51" s="128" t="str">
        <f>IFERROR(__xludf.DUMMYFUNCTION("""COMPUTED_VALUE"""),"joy.goffena@gmail.com")</f>
        <v>joy.goffena@gmail.com</v>
      </c>
      <c r="J51" s="131" t="str">
        <f>IFERROR(__xludf.DUMMYFUNCTION("""COMPUTED_VALUE"""),"Comprehensive")</f>
        <v>Comprehensive</v>
      </c>
      <c r="K51" s="132" t="str">
        <f>IFERROR(__xludf.DUMMYFUNCTION("""COMPUTED_VALUE"""),"")</f>
        <v/>
      </c>
      <c r="L51" t="str">
        <f>IFERROR(__xludf.DUMMYFUNCTION("""COMPUTED_VALUE"""),"")</f>
        <v/>
      </c>
    </row>
    <row r="52">
      <c r="A52" s="128" t="str">
        <f>IFERROR(__xludf.DUMMYFUNCTION("""COMPUTED_VALUE"""),"Recontact Later")</f>
        <v>Recontact Later</v>
      </c>
      <c r="B52" s="134">
        <f>IFERROR(__xludf.DUMMYFUNCTION("""COMPUTED_VALUE"""),43819.0)</f>
        <v>43819</v>
      </c>
      <c r="C52" s="128" t="str">
        <f>IFERROR(__xludf.DUMMYFUNCTION("""COMPUTED_VALUE"""),"")</f>
        <v/>
      </c>
      <c r="D52" s="131" t="str">
        <f>IFERROR(__xludf.DUMMYFUNCTION("""COMPUTED_VALUE"""),"")</f>
        <v/>
      </c>
      <c r="E52" s="131" t="str">
        <f>IFERROR(__xludf.DUMMYFUNCTION("""COMPUTED_VALUE"""),"No")</f>
        <v>No</v>
      </c>
      <c r="F52" s="131" t="str">
        <f>IFERROR(__xludf.DUMMYFUNCTION("""COMPUTED_VALUE"""),"Variant Pathogenicity")</f>
        <v>Variant Pathogenicity</v>
      </c>
      <c r="G52" s="128" t="str">
        <f>IFERROR(__xludf.DUMMYFUNCTION("""COMPUTED_VALUE"""),"")</f>
        <v/>
      </c>
      <c r="H52" s="128" t="str">
        <f>IFERROR(__xludf.DUMMYFUNCTION("""COMPUTED_VALUE"""),"Cath Tyner")</f>
        <v>Cath Tyner</v>
      </c>
      <c r="I52" s="128" t="str">
        <f>IFERROR(__xludf.DUMMYFUNCTION("""COMPUTED_VALUE"""),"cathtyner@gmail.com")</f>
        <v>cathtyner@gmail.com</v>
      </c>
      <c r="J52" s="131" t="str">
        <f>IFERROR(__xludf.DUMMYFUNCTION("""COMPUTED_VALUE"""),"Comprehensive")</f>
        <v>Comprehensive</v>
      </c>
      <c r="K52" s="132" t="str">
        <f>IFERROR(__xludf.DUMMYFUNCTION("""COMPUTED_VALUE"""),"")</f>
        <v/>
      </c>
      <c r="L52" t="str">
        <f>IFERROR(__xludf.DUMMYFUNCTION("""COMPUTED_VALUE"""),"QA software which is used in gene curation for Invitae")</f>
        <v>QA software which is used in gene curation for Invitae</v>
      </c>
    </row>
    <row r="53">
      <c r="A53" s="128" t="str">
        <f>IFERROR(__xludf.DUMMYFUNCTION("""COMPUTED_VALUE"""),"Contacted")</f>
        <v>Contacted</v>
      </c>
      <c r="B53" s="128" t="str">
        <f>IFERROR(__xludf.DUMMYFUNCTION("""COMPUTED_VALUE"""),"")</f>
        <v/>
      </c>
      <c r="C53" s="134">
        <f>IFERROR(__xludf.DUMMYFUNCTION("""COMPUTED_VALUE"""),43627.0)</f>
        <v>43627</v>
      </c>
      <c r="D53" s="131" t="str">
        <f>IFERROR(__xludf.DUMMYFUNCTION("""COMPUTED_VALUE"""),"Yes")</f>
        <v>Yes</v>
      </c>
      <c r="E53" s="131" t="str">
        <f>IFERROR(__xludf.DUMMYFUNCTION("""COMPUTED_VALUE"""),"No")</f>
        <v>No</v>
      </c>
      <c r="F53" s="131" t="str">
        <f>IFERROR(__xludf.DUMMYFUNCTION("""COMPUTED_VALUE"""),"Variant Pathogenicity")</f>
        <v>Variant Pathogenicity</v>
      </c>
      <c r="G53" s="128" t="str">
        <f>IFERROR(__xludf.DUMMYFUNCTION("""COMPUTED_VALUE"""),"")</f>
        <v/>
      </c>
      <c r="H53" s="128" t="str">
        <f>IFERROR(__xludf.DUMMYFUNCTION("""COMPUTED_VALUE"""),"Abdelazeem Elhabyan ")</f>
        <v>Abdelazeem Elhabyan </v>
      </c>
      <c r="I53" s="128" t="str">
        <f>IFERROR(__xludf.DUMMYFUNCTION("""COMPUTED_VALUE"""),"Abdelazeem_abdelhameed2015505@yahoo.com")</f>
        <v>Abdelazeem_abdelhameed2015505@yahoo.com</v>
      </c>
      <c r="J53" s="131" t="str">
        <f>IFERROR(__xludf.DUMMYFUNCTION("""COMPUTED_VALUE"""),"Comprehensive")</f>
        <v>Comprehensive</v>
      </c>
      <c r="K53" s="132" t="str">
        <f>IFERROR(__xludf.DUMMYFUNCTION("""COMPUTED_VALUE"""),"Hereditary cancer ")</f>
        <v>Hereditary cancer </v>
      </c>
      <c r="L53" t="str">
        <f>IFERROR(__xludf.DUMMYFUNCTION("""COMPUTED_VALUE"""),"I have received training In mapping,  variant calling using galaxy project and received many online courses in genomics ")</f>
        <v>I have received training In mapping,  variant calling using galaxy project and received many online courses in genomics </v>
      </c>
    </row>
    <row r="54">
      <c r="A54" s="128" t="str">
        <f>IFERROR(__xludf.DUMMYFUNCTION("""COMPUTED_VALUE"""),"Contacted")</f>
        <v>Contacted</v>
      </c>
      <c r="B54" s="134">
        <f>IFERROR(__xludf.DUMMYFUNCTION("""COMPUTED_VALUE"""),43819.0)</f>
        <v>43819</v>
      </c>
      <c r="C54" s="128" t="str">
        <f>IFERROR(__xludf.DUMMYFUNCTION("""COMPUTED_VALUE"""),"")</f>
        <v/>
      </c>
      <c r="D54" s="131" t="str">
        <f>IFERROR(__xludf.DUMMYFUNCTION("""COMPUTED_VALUE"""),"")</f>
        <v/>
      </c>
      <c r="E54" s="131" t="str">
        <f>IFERROR(__xludf.DUMMYFUNCTION("""COMPUTED_VALUE"""),"No")</f>
        <v>No</v>
      </c>
      <c r="F54" s="131" t="str">
        <f>IFERROR(__xludf.DUMMYFUNCTION("""COMPUTED_VALUE"""),"Variant Pathogenicity")</f>
        <v>Variant Pathogenicity</v>
      </c>
      <c r="G54" s="128" t="str">
        <f>IFERROR(__xludf.DUMMYFUNCTION("""COMPUTED_VALUE"""),"")</f>
        <v/>
      </c>
      <c r="H54" s="128" t="str">
        <f>IFERROR(__xludf.DUMMYFUNCTION("""COMPUTED_VALUE"""),"Janel Case")</f>
        <v>Janel Case</v>
      </c>
      <c r="I54" s="128" t="str">
        <f>IFERROR(__xludf.DUMMYFUNCTION("""COMPUTED_VALUE"""),"janelcase@live.com")</f>
        <v>janelcase@live.com</v>
      </c>
      <c r="J54" s="131" t="str">
        <f>IFERROR(__xludf.DUMMYFUNCTION("""COMPUTED_VALUE"""),"Comprehensive")</f>
        <v>Comprehensive</v>
      </c>
      <c r="K54" s="132" t="str">
        <f>IFERROR(__xludf.DUMMYFUNCTION("""COMPUTED_VALUE"""),"Any hereditary cancer related groups ")</f>
        <v>Any hereditary cancer related groups </v>
      </c>
      <c r="L54" t="str">
        <f>IFERROR(__xludf.DUMMYFUNCTION("""COMPUTED_VALUE"""),"Variant curation internship at Illumina ")</f>
        <v>Variant curation internship at Illumina </v>
      </c>
    </row>
    <row r="55">
      <c r="A55" s="128" t="str">
        <f>IFERROR(__xludf.DUMMYFUNCTION("""COMPUTED_VALUE"""),"Contacted")</f>
        <v>Contacted</v>
      </c>
      <c r="B55" s="128" t="str">
        <f>IFERROR(__xludf.DUMMYFUNCTION("""COMPUTED_VALUE"""),"")</f>
        <v/>
      </c>
      <c r="C55" s="134">
        <f>IFERROR(__xludf.DUMMYFUNCTION("""COMPUTED_VALUE"""),43627.0)</f>
        <v>43627</v>
      </c>
      <c r="D55" s="131" t="str">
        <f>IFERROR(__xludf.DUMMYFUNCTION("""COMPUTED_VALUE"""),"Yes")</f>
        <v>Yes</v>
      </c>
      <c r="E55" s="131" t="str">
        <f>IFERROR(__xludf.DUMMYFUNCTION("""COMPUTED_VALUE"""),"Yes")</f>
        <v>Yes</v>
      </c>
      <c r="F55" s="131" t="str">
        <f>IFERROR(__xludf.DUMMYFUNCTION("""COMPUTED_VALUE"""),"Variant Pathogenicity")</f>
        <v>Variant Pathogenicity</v>
      </c>
      <c r="G55" s="128" t="str">
        <f>IFERROR(__xludf.DUMMYFUNCTION("""COMPUTED_VALUE"""),"")</f>
        <v/>
      </c>
      <c r="H55" s="128" t="str">
        <f>IFERROR(__xludf.DUMMYFUNCTION("""COMPUTED_VALUE"""),"Carolina Bustamante")</f>
        <v>Carolina Bustamante</v>
      </c>
      <c r="I55" s="128" t="str">
        <f>IFERROR(__xludf.DUMMYFUNCTION("""COMPUTED_VALUE"""),"carolina.bustamante@gmail.com")</f>
        <v>carolina.bustamante@gmail.com</v>
      </c>
      <c r="J55" s="131" t="str">
        <f>IFERROR(__xludf.DUMMYFUNCTION("""COMPUTED_VALUE"""),"Comprehensive")</f>
        <v>Comprehensive</v>
      </c>
      <c r="K55" s="132" t="str">
        <f>IFERROR(__xludf.DUMMYFUNCTION("""COMPUTED_VALUE"""),"Cancer, Hereditary Cancer, Colorectal Cancer, Genitourinary Tract Cancers, TP53, PTEN, CDH1, FBN1. ")</f>
        <v>Cancer, Hereditary Cancer, Colorectal Cancer, Genitourinary Tract Cancers, TP53, PTEN, CDH1, FBN1. </v>
      </c>
      <c r="L55" t="str">
        <f>IFERROR(__xludf.DUMMYFUNCTION("""COMPUTED_VALUE"""),"Yes, I worked as bioinformatician performing NGS analyses and variant interpretation in a genetic diagnostic lab that sequenced cerca 600 samples a month.")</f>
        <v>Yes, I worked as bioinformatician performing NGS analyses and variant interpretation in a genetic diagnostic lab that sequenced cerca 600 samples a month.</v>
      </c>
    </row>
    <row r="56">
      <c r="A56" s="128" t="str">
        <f>IFERROR(__xludf.DUMMYFUNCTION("""COMPUTED_VALUE"""),"Unresponsive")</f>
        <v>Unresponsive</v>
      </c>
      <c r="B56" s="128" t="str">
        <f>IFERROR(__xludf.DUMMYFUNCTION("""COMPUTED_VALUE"""),"")</f>
        <v/>
      </c>
      <c r="C56" s="128" t="str">
        <f>IFERROR(__xludf.DUMMYFUNCTION("""COMPUTED_VALUE"""),"")</f>
        <v/>
      </c>
      <c r="D56" s="131" t="str">
        <f>IFERROR(__xludf.DUMMYFUNCTION("""COMPUTED_VALUE"""),"")</f>
        <v/>
      </c>
      <c r="E56" s="131" t="str">
        <f>IFERROR(__xludf.DUMMYFUNCTION("""COMPUTED_VALUE"""),"No")</f>
        <v>No</v>
      </c>
      <c r="F56" s="131" t="str">
        <f>IFERROR(__xludf.DUMMYFUNCTION("""COMPUTED_VALUE"""),"Variant Pathogenicity")</f>
        <v>Variant Pathogenicity</v>
      </c>
      <c r="G56" s="128" t="str">
        <f>IFERROR(__xludf.DUMMYFUNCTION("""COMPUTED_VALUE"""),"")</f>
        <v/>
      </c>
      <c r="H56" s="128" t="str">
        <f>IFERROR(__xludf.DUMMYFUNCTION("""COMPUTED_VALUE"""),"Timo Dereani")</f>
        <v>Timo Dereani</v>
      </c>
      <c r="I56" s="128" t="str">
        <f>IFERROR(__xludf.DUMMYFUNCTION("""COMPUTED_VALUE"""),"dereani@biologis.diagnosticum.eu")</f>
        <v>dereani@biologis.diagnosticum.eu</v>
      </c>
      <c r="J56" s="131" t="str">
        <f>IFERROR(__xludf.DUMMYFUNCTION("""COMPUTED_VALUE"""),"Comprehensive")</f>
        <v>Comprehensive</v>
      </c>
      <c r="K56" s="132" t="str">
        <f>IFERROR(__xludf.DUMMYFUNCTION("""COMPUTED_VALUE"""),"Monogenic Diabetes, Hereditary Cancer")</f>
        <v>Monogenic Diabetes, Hereditary Cancer</v>
      </c>
      <c r="L56" t="str">
        <f>IFERROR(__xludf.DUMMYFUNCTION("""COMPUTED_VALUE"""),"I've already curated hundreds of variants during my work as a clinical laboratory geneticist. Additionally I've used various classification guidelines (internal, ACMG etc.) and I'm constantly trying to implement new ideas. I am currently also participatig"&amp;" in the ClinGen low penetrance working group. Additionally I've helped to create various virtual panels for the routine diagnostics at our center.")</f>
        <v>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v>
      </c>
    </row>
    <row r="57">
      <c r="A57" s="128" t="str">
        <f>IFERROR(__xludf.DUMMYFUNCTION("""COMPUTED_VALUE"""),"Unresponsive")</f>
        <v>Unresponsive</v>
      </c>
      <c r="B57" s="128" t="str">
        <f>IFERROR(__xludf.DUMMYFUNCTION("""COMPUTED_VALUE"""),"")</f>
        <v/>
      </c>
      <c r="C57" s="128" t="str">
        <f>IFERROR(__xludf.DUMMYFUNCTION("""COMPUTED_VALUE"""),"")</f>
        <v/>
      </c>
      <c r="D57" s="131" t="str">
        <f>IFERROR(__xludf.DUMMYFUNCTION("""COMPUTED_VALUE"""),"")</f>
        <v/>
      </c>
      <c r="E57" s="131" t="str">
        <f>IFERROR(__xludf.DUMMYFUNCTION("""COMPUTED_VALUE"""),"No")</f>
        <v>No</v>
      </c>
      <c r="F57" s="131" t="str">
        <f>IFERROR(__xludf.DUMMYFUNCTION("""COMPUTED_VALUE"""),"Variant Pathogenicity")</f>
        <v>Variant Pathogenicity</v>
      </c>
      <c r="G57" s="128" t="str">
        <f>IFERROR(__xludf.DUMMYFUNCTION("""COMPUTED_VALUE"""),"")</f>
        <v/>
      </c>
      <c r="H57" s="128" t="str">
        <f>IFERROR(__xludf.DUMMYFUNCTION("""COMPUTED_VALUE"""),"Jennifer Bullard")</f>
        <v>Jennifer Bullard</v>
      </c>
      <c r="I57" s="128" t="str">
        <f>IFERROR(__xludf.DUMMYFUNCTION("""COMPUTED_VALUE"""),"jenniferluja@gmail.com")</f>
        <v>jenniferluja@gmail.com</v>
      </c>
      <c r="J57" s="131" t="str">
        <f>IFERROR(__xludf.DUMMYFUNCTION("""COMPUTED_VALUE"""),"Comprehensive")</f>
        <v>Comprehensive</v>
      </c>
      <c r="K57" s="132" t="str">
        <f>IFERROR(__xludf.DUMMYFUNCTION("""COMPUTED_VALUE"""),"Monogenic Diabetes")</f>
        <v>Monogenic Diabetes</v>
      </c>
      <c r="L57" t="str">
        <f>IFERROR(__xludf.DUMMYFUNCTION("""COMPUTED_VALUE"""),"")</f>
        <v/>
      </c>
    </row>
    <row r="58">
      <c r="A58" s="128" t="str">
        <f>IFERROR(__xludf.DUMMYFUNCTION("""COMPUTED_VALUE"""),"Contacted")</f>
        <v>Contacted</v>
      </c>
      <c r="B58" s="128" t="str">
        <f>IFERROR(__xludf.DUMMYFUNCTION("""COMPUTED_VALUE"""),"")</f>
        <v/>
      </c>
      <c r="C58" s="134">
        <f>IFERROR(__xludf.DUMMYFUNCTION("""COMPUTED_VALUE"""),43626.0)</f>
        <v>43626</v>
      </c>
      <c r="D58" s="131" t="str">
        <f>IFERROR(__xludf.DUMMYFUNCTION("""COMPUTED_VALUE"""),"Yes")</f>
        <v>Yes</v>
      </c>
      <c r="E58" s="131" t="str">
        <f>IFERROR(__xludf.DUMMYFUNCTION("""COMPUTED_VALUE"""),"Yes")</f>
        <v>Yes</v>
      </c>
      <c r="F58" s="131" t="str">
        <f>IFERROR(__xludf.DUMMYFUNCTION("""COMPUTED_VALUE"""),"NA")</f>
        <v>NA</v>
      </c>
      <c r="G58" s="128" t="str">
        <f>IFERROR(__xludf.DUMMYFUNCTION("""COMPUTED_VALUE"""),"")</f>
        <v/>
      </c>
      <c r="H58" s="128" t="str">
        <f>IFERROR(__xludf.DUMMYFUNCTION("""COMPUTED_VALUE"""),"Pamela")</f>
        <v>Pamela</v>
      </c>
      <c r="I58" s="128" t="str">
        <f>IFERROR(__xludf.DUMMYFUNCTION("""COMPUTED_VALUE"""),"pchristopherson@versiti.org")</f>
        <v>pchristopherson@versiti.org</v>
      </c>
      <c r="J58" s="131" t="str">
        <f>IFERROR(__xludf.DUMMYFUNCTION("""COMPUTED_VALUE"""),"Comprehensive")</f>
        <v>Comprehensive</v>
      </c>
      <c r="K58" s="132" t="str">
        <f>IFERROR(__xludf.DUMMYFUNCTION("""COMPUTED_VALUE"""),"Already on VWD working group")</f>
        <v>Already on VWD working group</v>
      </c>
      <c r="L58" t="str">
        <f>IFERROR(__xludf.DUMMYFUNCTION("""COMPUTED_VALUE"""),"Submission of variants to LOVD")</f>
        <v>Submission of variants to LOVD</v>
      </c>
    </row>
    <row r="59">
      <c r="A59" s="128" t="str">
        <f>IFERROR(__xludf.DUMMYFUNCTION("""COMPUTED_VALUE"""),"Unresponsive")</f>
        <v>Unresponsive</v>
      </c>
      <c r="B59" s="128" t="str">
        <f>IFERROR(__xludf.DUMMYFUNCTION("""COMPUTED_VALUE"""),"")</f>
        <v/>
      </c>
      <c r="C59" s="128" t="str">
        <f>IFERROR(__xludf.DUMMYFUNCTION("""COMPUTED_VALUE"""),"")</f>
        <v/>
      </c>
      <c r="D59" s="131" t="str">
        <f>IFERROR(__xludf.DUMMYFUNCTION("""COMPUTED_VALUE"""),"")</f>
        <v/>
      </c>
      <c r="E59" s="131" t="str">
        <f>IFERROR(__xludf.DUMMYFUNCTION("""COMPUTED_VALUE"""),"No")</f>
        <v>No</v>
      </c>
      <c r="F59" s="131" t="str">
        <f>IFERROR(__xludf.DUMMYFUNCTION("""COMPUTED_VALUE"""),"Variant Pathogenicity")</f>
        <v>Variant Pathogenicity</v>
      </c>
      <c r="G59" s="128" t="str">
        <f>IFERROR(__xludf.DUMMYFUNCTION("""COMPUTED_VALUE"""),"")</f>
        <v/>
      </c>
      <c r="H59" s="128" t="str">
        <f>IFERROR(__xludf.DUMMYFUNCTION("""COMPUTED_VALUE"""),"Hemantkumar Nemade ")</f>
        <v>Hemantkumar Nemade </v>
      </c>
      <c r="I59" s="128" t="str">
        <f>IFERROR(__xludf.DUMMYFUNCTION("""COMPUTED_VALUE"""),"drhemantnemade@gmail.com")</f>
        <v>drhemantnemade@gmail.com</v>
      </c>
      <c r="J59" s="131" t="str">
        <f>IFERROR(__xludf.DUMMYFUNCTION("""COMPUTED_VALUE"""),"Comprehensive")</f>
        <v>Comprehensive</v>
      </c>
      <c r="K59" s="132" t="str">
        <f>IFERROR(__xludf.DUMMYFUNCTION("""COMPUTED_VALUE"""),"Somatic cancer")</f>
        <v>Somatic cancer</v>
      </c>
      <c r="L59" t="str">
        <f>IFERROR(__xludf.DUMMYFUNCTION("""COMPUTED_VALUE"""),"Not genetic but I have collected and analyzed cancer database. Trained in statistics ")</f>
        <v>Not genetic but I have collected and analyzed cancer database. Trained in statistics </v>
      </c>
    </row>
    <row r="60">
      <c r="A60" s="128" t="str">
        <f>IFERROR(__xludf.DUMMYFUNCTION("""COMPUTED_VALUE"""),"Contacted")</f>
        <v>Contacted</v>
      </c>
      <c r="B60" s="134">
        <f>IFERROR(__xludf.DUMMYFUNCTION("""COMPUTED_VALUE"""),43819.0)</f>
        <v>43819</v>
      </c>
      <c r="C60" s="128" t="str">
        <f>IFERROR(__xludf.DUMMYFUNCTION("""COMPUTED_VALUE"""),"")</f>
        <v/>
      </c>
      <c r="D60" s="131" t="str">
        <f>IFERROR(__xludf.DUMMYFUNCTION("""COMPUTED_VALUE"""),"")</f>
        <v/>
      </c>
      <c r="E60" s="131" t="str">
        <f>IFERROR(__xludf.DUMMYFUNCTION("""COMPUTED_VALUE"""),"No")</f>
        <v>No</v>
      </c>
      <c r="F60" s="131" t="str">
        <f>IFERROR(__xludf.DUMMYFUNCTION("""COMPUTED_VALUE"""),"Variant Pathogenicity")</f>
        <v>Variant Pathogenicity</v>
      </c>
      <c r="G60" s="128" t="str">
        <f>IFERROR(__xludf.DUMMYFUNCTION("""COMPUTED_VALUE"""),"")</f>
        <v/>
      </c>
      <c r="H60" s="128" t="str">
        <f>IFERROR(__xludf.DUMMYFUNCTION("""COMPUTED_VALUE"""),"José Patricio Miranda Marín")</f>
        <v>José Patricio Miranda Marín</v>
      </c>
      <c r="I60" s="128" t="str">
        <f>IFERROR(__xludf.DUMMYFUNCTION("""COMPUTED_VALUE"""),"jose.miranda@uc.cl")</f>
        <v>jose.miranda@uc.cl</v>
      </c>
      <c r="J60" s="131" t="str">
        <f>IFERROR(__xludf.DUMMYFUNCTION("""COMPUTED_VALUE"""),"Comprehensive")</f>
        <v>Comprehensive</v>
      </c>
      <c r="K60" s="132" t="str">
        <f>IFERROR(__xludf.DUMMYFUNCTION("""COMPUTED_VALUE"""),"Monogenic Diabetes Variant Curation Expert Panel or Mitochondrial Disease Variant Curation Expert Panel")</f>
        <v>Monogenic Diabetes Variant Curation Expert Panel or Mitochondrial Disease Variant Curation Expert Panel</v>
      </c>
      <c r="L60" t="str">
        <f>IFERROR(__xludf.DUMMYFUNCTION("""COMPUTED_VALUE"""),"yes, I am the Lab Director of the Medical Genomic Unit at the Pontificia Universidad Católica de Chile, and we regularly send submissions to ClinVar (https://www.ncbi.nlm.nih.gov/clinvar/submitters/506969/)")</f>
        <v>yes, I am the Lab Director of the Medical Genomic Unit at the Pontificia Universidad Católica de Chile, and we regularly send submissions to ClinVar (https://www.ncbi.nlm.nih.gov/clinvar/submitters/506969/)</v>
      </c>
    </row>
    <row r="61">
      <c r="A61" s="128" t="str">
        <f>IFERROR(__xludf.DUMMYFUNCTION("""COMPUTED_VALUE"""),"Unresponsive")</f>
        <v>Unresponsive</v>
      </c>
      <c r="B61" s="128" t="str">
        <f>IFERROR(__xludf.DUMMYFUNCTION("""COMPUTED_VALUE"""),"")</f>
        <v/>
      </c>
      <c r="C61" s="128" t="str">
        <f>IFERROR(__xludf.DUMMYFUNCTION("""COMPUTED_VALUE"""),"")</f>
        <v/>
      </c>
      <c r="D61" s="131" t="str">
        <f>IFERROR(__xludf.DUMMYFUNCTION("""COMPUTED_VALUE"""),"")</f>
        <v/>
      </c>
      <c r="E61" s="131" t="str">
        <f>IFERROR(__xludf.DUMMYFUNCTION("""COMPUTED_VALUE"""),"No")</f>
        <v>No</v>
      </c>
      <c r="F61" s="131" t="str">
        <f>IFERROR(__xludf.DUMMYFUNCTION("""COMPUTED_VALUE"""),"Variant Pathogenicity")</f>
        <v>Variant Pathogenicity</v>
      </c>
      <c r="G61" s="128" t="str">
        <f>IFERROR(__xludf.DUMMYFUNCTION("""COMPUTED_VALUE"""),"")</f>
        <v/>
      </c>
      <c r="H61" s="128" t="str">
        <f>IFERROR(__xludf.DUMMYFUNCTION("""COMPUTED_VALUE"""),"Xiangqiang Shao")</f>
        <v>Xiangqiang Shao</v>
      </c>
      <c r="I61" s="128" t="str">
        <f>IFERROR(__xludf.DUMMYFUNCTION("""COMPUTED_VALUE"""),"xshao5@wisc.edu")</f>
        <v>xshao5@wisc.edu</v>
      </c>
      <c r="J61" s="131" t="str">
        <f>IFERROR(__xludf.DUMMYFUNCTION("""COMPUTED_VALUE"""),"Comprehensive")</f>
        <v>Comprehensive</v>
      </c>
      <c r="K61" s="132" t="str">
        <f>IFERROR(__xludf.DUMMYFUNCTION("""COMPUTED_VALUE"""),"Epilepsy, and Intellectual Disability and Autism")</f>
        <v>Epilepsy, and Intellectual Disability and Autism</v>
      </c>
      <c r="L61" t="str">
        <f>IFERROR(__xludf.DUMMYFUNCTION("""COMPUTED_VALUE"""),"I currently do microarray analysis for clinical samples at Wisconsin State Lab of Hygiene to determine the pathogenicity of the CNVs we detected, and I am working on a project to develop a NGS panel for Familial Hypercholesterolemia.")</f>
        <v>I currently do microarray analysis for clinical samples at Wisconsin State Lab of Hygiene to determine the pathogenicity of the CNVs we detected, and I am working on a project to develop a NGS panel for Familial Hypercholesterolemia.</v>
      </c>
    </row>
    <row r="62">
      <c r="A62" s="128" t="str">
        <f>IFERROR(__xludf.DUMMYFUNCTION("""COMPUTED_VALUE"""),"Unresponsive")</f>
        <v>Unresponsive</v>
      </c>
      <c r="B62" s="128" t="str">
        <f>IFERROR(__xludf.DUMMYFUNCTION("""COMPUTED_VALUE"""),"")</f>
        <v/>
      </c>
      <c r="C62" s="128" t="str">
        <f>IFERROR(__xludf.DUMMYFUNCTION("""COMPUTED_VALUE"""),"")</f>
        <v/>
      </c>
      <c r="D62" s="131" t="str">
        <f>IFERROR(__xludf.DUMMYFUNCTION("""COMPUTED_VALUE"""),"")</f>
        <v/>
      </c>
      <c r="E62" s="131" t="str">
        <f>IFERROR(__xludf.DUMMYFUNCTION("""COMPUTED_VALUE"""),"No")</f>
        <v>No</v>
      </c>
      <c r="F62" s="131" t="str">
        <f>IFERROR(__xludf.DUMMYFUNCTION("""COMPUTED_VALUE"""),"Variant Pathogenicity")</f>
        <v>Variant Pathogenicity</v>
      </c>
      <c r="G62" s="128" t="str">
        <f>IFERROR(__xludf.DUMMYFUNCTION("""COMPUTED_VALUE"""),"")</f>
        <v/>
      </c>
      <c r="H62" s="128" t="str">
        <f>IFERROR(__xludf.DUMMYFUNCTION("""COMPUTED_VALUE"""),"Gretchen Cote")</f>
        <v>Gretchen Cote</v>
      </c>
      <c r="I62" s="128" t="str">
        <f>IFERROR(__xludf.DUMMYFUNCTION("""COMPUTED_VALUE"""),"gretchen.cote@dgs.virginia.gov")</f>
        <v>gretchen.cote@dgs.virginia.gov</v>
      </c>
      <c r="J62" s="131" t="str">
        <f>IFERROR(__xludf.DUMMYFUNCTION("""COMPUTED_VALUE"""),"Comprehensive")</f>
        <v>Comprehensive</v>
      </c>
      <c r="K62" s="132" t="str">
        <f>IFERROR(__xludf.DUMMYFUNCTION("""COMPUTED_VALUE"""),"Lysosomal Storage Disorders")</f>
        <v>Lysosomal Storage Disorders</v>
      </c>
      <c r="L62" t="str">
        <f>IFERROR(__xludf.DUMMYFUNCTION("""COMPUTED_VALUE"""),"I participate and weekly variant interpretation meetings for variant based newborn screening for Pompe and MPS1")</f>
        <v>I participate and weekly variant interpretation meetings for variant based newborn screening for Pompe and MPS1</v>
      </c>
    </row>
    <row r="63">
      <c r="A63" s="128" t="str">
        <f>IFERROR(__xludf.DUMMYFUNCTION("""COMPUTED_VALUE"""),"Unresponsive")</f>
        <v>Unresponsive</v>
      </c>
      <c r="B63" s="128" t="str">
        <f>IFERROR(__xludf.DUMMYFUNCTION("""COMPUTED_VALUE"""),"")</f>
        <v/>
      </c>
      <c r="C63" s="128" t="str">
        <f>IFERROR(__xludf.DUMMYFUNCTION("""COMPUTED_VALUE"""),"")</f>
        <v/>
      </c>
      <c r="D63" s="131" t="str">
        <f>IFERROR(__xludf.DUMMYFUNCTION("""COMPUTED_VALUE"""),"")</f>
        <v/>
      </c>
      <c r="E63" s="131" t="str">
        <f>IFERROR(__xludf.DUMMYFUNCTION("""COMPUTED_VALUE"""),"No")</f>
        <v>No</v>
      </c>
      <c r="F63" s="131" t="str">
        <f>IFERROR(__xludf.DUMMYFUNCTION("""COMPUTED_VALUE"""),"Variant Pathogenicity")</f>
        <v>Variant Pathogenicity</v>
      </c>
      <c r="G63" s="128" t="str">
        <f>IFERROR(__xludf.DUMMYFUNCTION("""COMPUTED_VALUE"""),"")</f>
        <v/>
      </c>
      <c r="H63" s="128" t="str">
        <f>IFERROR(__xludf.DUMMYFUNCTION("""COMPUTED_VALUE"""),"Bryan Gall")</f>
        <v>Bryan Gall</v>
      </c>
      <c r="I63" s="128" t="str">
        <f>IFERROR(__xludf.DUMMYFUNCTION("""COMPUTED_VALUE"""),"bgall005@gmail.com")</f>
        <v>bgall005@gmail.com</v>
      </c>
      <c r="J63" s="131" t="str">
        <f>IFERROR(__xludf.DUMMYFUNCTION("""COMPUTED_VALUE"""),"Comprehensive")</f>
        <v>Comprehensive</v>
      </c>
      <c r="K63" s="132" t="str">
        <f>IFERROR(__xludf.DUMMYFUNCTION("""COMPUTED_VALUE"""),"Colorectal Cancer, Familial Hypercholesterolemia, and Myeloid Malignancy")</f>
        <v>Colorectal Cancer, Familial Hypercholesterolemia, and Myeloid Malignancy</v>
      </c>
      <c r="L63" t="str">
        <f>IFERROR(__xludf.DUMMYFUNCTION("""COMPUTED_VALUE"""),"Manual variant interpretation using ClinGen resources")</f>
        <v>Manual variant interpretation using ClinGen resources</v>
      </c>
    </row>
    <row r="64">
      <c r="A64" s="128" t="str">
        <f>IFERROR(__xludf.DUMMYFUNCTION("""COMPUTED_VALUE"""),"Unresponsive")</f>
        <v>Unresponsive</v>
      </c>
      <c r="B64" s="134" t="str">
        <f>IFERROR(__xludf.DUMMYFUNCTION("""COMPUTED_VALUE"""),"")</f>
        <v/>
      </c>
      <c r="C64" s="128" t="str">
        <f>IFERROR(__xludf.DUMMYFUNCTION("""COMPUTED_VALUE"""),"")</f>
        <v/>
      </c>
      <c r="D64" s="131" t="str">
        <f>IFERROR(__xludf.DUMMYFUNCTION("""COMPUTED_VALUE"""),"")</f>
        <v/>
      </c>
      <c r="E64" s="131" t="str">
        <f>IFERROR(__xludf.DUMMYFUNCTION("""COMPUTED_VALUE"""),"No")</f>
        <v>No</v>
      </c>
      <c r="F64" s="131" t="str">
        <f>IFERROR(__xludf.DUMMYFUNCTION("""COMPUTED_VALUE"""),"Variant Pathogenicity")</f>
        <v>Variant Pathogenicity</v>
      </c>
      <c r="G64" s="128" t="str">
        <f>IFERROR(__xludf.DUMMYFUNCTION("""COMPUTED_VALUE"""),"")</f>
        <v/>
      </c>
      <c r="H64" s="128" t="str">
        <f>IFERROR(__xludf.DUMMYFUNCTION("""COMPUTED_VALUE"""),"Yanhui Li")</f>
        <v>Yanhui Li</v>
      </c>
      <c r="I64" s="128" t="str">
        <f>IFERROR(__xludf.DUMMYFUNCTION("""COMPUTED_VALUE"""),"yxl280@gmail.com")</f>
        <v>yxl280@gmail.com</v>
      </c>
      <c r="J64" s="131" t="str">
        <f>IFERROR(__xludf.DUMMYFUNCTION("""COMPUTED_VALUE"""),"Comprehensive")</f>
        <v>Comprehensive</v>
      </c>
      <c r="K64" s="132" t="str">
        <f>IFERROR(__xludf.DUMMYFUNCTION("""COMPUTED_VALUE"""),"Yes")</f>
        <v>Yes</v>
      </c>
      <c r="L64" t="str">
        <f>IFERROR(__xludf.DUMMYFUNCTION("""COMPUTED_VALUE"""),"")</f>
        <v/>
      </c>
    </row>
    <row r="65">
      <c r="A65" s="128" t="str">
        <f>IFERROR(__xludf.DUMMYFUNCTION("""COMPUTED_VALUE"""),"Contacted")</f>
        <v>Contacted</v>
      </c>
      <c r="B65" s="134">
        <f>IFERROR(__xludf.DUMMYFUNCTION("""COMPUTED_VALUE"""),43819.0)</f>
        <v>43819</v>
      </c>
      <c r="C65" s="128" t="str">
        <f>IFERROR(__xludf.DUMMYFUNCTION("""COMPUTED_VALUE"""),"")</f>
        <v/>
      </c>
      <c r="D65" s="131" t="str">
        <f>IFERROR(__xludf.DUMMYFUNCTION("""COMPUTED_VALUE"""),"")</f>
        <v/>
      </c>
      <c r="E65" s="131" t="str">
        <f>IFERROR(__xludf.DUMMYFUNCTION("""COMPUTED_VALUE"""),"No")</f>
        <v>No</v>
      </c>
      <c r="F65" s="131" t="str">
        <f>IFERROR(__xludf.DUMMYFUNCTION("""COMPUTED_VALUE"""),"Variant Pathogenicity")</f>
        <v>Variant Pathogenicity</v>
      </c>
      <c r="G65" s="128" t="str">
        <f>IFERROR(__xludf.DUMMYFUNCTION("""COMPUTED_VALUE"""),"")</f>
        <v/>
      </c>
      <c r="H65" s="128" t="str">
        <f>IFERROR(__xludf.DUMMYFUNCTION("""COMPUTED_VALUE"""),"Shahad Rahawi")</f>
        <v>Shahad Rahawi</v>
      </c>
      <c r="I65" s="128" t="str">
        <f>IFERROR(__xludf.DUMMYFUNCTION("""COMPUTED_VALUE"""),"shahadrahawi@gmail.com")</f>
        <v>shahadrahawi@gmail.com</v>
      </c>
      <c r="J65" s="131" t="str">
        <f>IFERROR(__xludf.DUMMYFUNCTION("""COMPUTED_VALUE"""),"Comprehensive")</f>
        <v>Comprehensive</v>
      </c>
      <c r="K65" s="132" t="str">
        <f>IFERROR(__xludf.DUMMYFUNCTION("""COMPUTED_VALUE"""),"")</f>
        <v/>
      </c>
      <c r="L65" t="str">
        <f>IFERROR(__xludf.DUMMYFUNCTION("""COMPUTED_VALUE"""),"brief variant interpretation activities in ""analyze your genome"" class in grad school")</f>
        <v>brief variant interpretation activities in "analyze your genome" class in grad school</v>
      </c>
    </row>
    <row r="66">
      <c r="A66" s="128" t="str">
        <f>IFERROR(__xludf.DUMMYFUNCTION("""COMPUTED_VALUE"""),"Contacted")</f>
        <v>Contacted</v>
      </c>
      <c r="B66" s="134">
        <f>IFERROR(__xludf.DUMMYFUNCTION("""COMPUTED_VALUE"""),43819.0)</f>
        <v>43819</v>
      </c>
      <c r="C66" s="128" t="str">
        <f>IFERROR(__xludf.DUMMYFUNCTION("""COMPUTED_VALUE"""),"")</f>
        <v/>
      </c>
      <c r="D66" s="131" t="str">
        <f>IFERROR(__xludf.DUMMYFUNCTION("""COMPUTED_VALUE"""),"")</f>
        <v/>
      </c>
      <c r="E66" s="131" t="str">
        <f>IFERROR(__xludf.DUMMYFUNCTION("""COMPUTED_VALUE"""),"No")</f>
        <v>No</v>
      </c>
      <c r="F66" s="131" t="str">
        <f>IFERROR(__xludf.DUMMYFUNCTION("""COMPUTED_VALUE"""),"Variant Pathogenicity")</f>
        <v>Variant Pathogenicity</v>
      </c>
      <c r="G66" s="128" t="str">
        <f>IFERROR(__xludf.DUMMYFUNCTION("""COMPUTED_VALUE"""),"")</f>
        <v/>
      </c>
      <c r="H66" s="128" t="str">
        <f>IFERROR(__xludf.DUMMYFUNCTION("""COMPUTED_VALUE"""),"Leighton Telling")</f>
        <v>Leighton Telling</v>
      </c>
      <c r="I66" s="128" t="str">
        <f>IFERROR(__xludf.DUMMYFUNCTION("""COMPUTED_VALUE"""),"lptellin@ncsu.edu")</f>
        <v>lptellin@ncsu.edu</v>
      </c>
      <c r="J66" s="131" t="str">
        <f>IFERROR(__xludf.DUMMYFUNCTION("""COMPUTED_VALUE"""),"Comprehensive")</f>
        <v>Comprehensive</v>
      </c>
      <c r="K66" s="132" t="str">
        <f>IFERROR(__xludf.DUMMYFUNCTION("""COMPUTED_VALUE"""),"N/A")</f>
        <v>N/A</v>
      </c>
      <c r="L66" t="str">
        <f>IFERROR(__xludf.DUMMYFUNCTION("""COMPUTED_VALUE"""),"")</f>
        <v/>
      </c>
    </row>
    <row r="67">
      <c r="A67" s="128" t="str">
        <f>IFERROR(__xludf.DUMMYFUNCTION("""COMPUTED_VALUE"""),"Contacted")</f>
        <v>Contacted</v>
      </c>
      <c r="B67" s="134">
        <f>IFERROR(__xludf.DUMMYFUNCTION("""COMPUTED_VALUE"""),43819.0)</f>
        <v>43819</v>
      </c>
      <c r="C67" s="128" t="str">
        <f>IFERROR(__xludf.DUMMYFUNCTION("""COMPUTED_VALUE"""),"")</f>
        <v/>
      </c>
      <c r="D67" s="131" t="str">
        <f>IFERROR(__xludf.DUMMYFUNCTION("""COMPUTED_VALUE"""),"")</f>
        <v/>
      </c>
      <c r="E67" s="131" t="str">
        <f>IFERROR(__xludf.DUMMYFUNCTION("""COMPUTED_VALUE"""),"No")</f>
        <v>No</v>
      </c>
      <c r="F67" s="131" t="str">
        <f>IFERROR(__xludf.DUMMYFUNCTION("""COMPUTED_VALUE"""),"Variant Pathogenicity")</f>
        <v>Variant Pathogenicity</v>
      </c>
      <c r="G67" s="128" t="str">
        <f>IFERROR(__xludf.DUMMYFUNCTION("""COMPUTED_VALUE"""),"")</f>
        <v/>
      </c>
      <c r="H67" s="128" t="str">
        <f>IFERROR(__xludf.DUMMYFUNCTION("""COMPUTED_VALUE"""),"Georgios Tsaousis")</f>
        <v>Georgios Tsaousis</v>
      </c>
      <c r="I67" s="128" t="str">
        <f>IFERROR(__xludf.DUMMYFUNCTION("""COMPUTED_VALUE"""),"gtsaousis@genekor.com")</f>
        <v>gtsaousis@genekor.com</v>
      </c>
      <c r="J67" s="131" t="str">
        <f>IFERROR(__xludf.DUMMYFUNCTION("""COMPUTED_VALUE"""),"Comprehensive")</f>
        <v>Comprehensive</v>
      </c>
      <c r="K67" s="132" t="str">
        <f>IFERROR(__xludf.DUMMYFUNCTION("""COMPUTED_VALUE"""),"Hereditary Cancer, Somatic/Germline Variant Curation, Colorectal Cancer, PTEN, TP53, CDH1")</f>
        <v>Hereditary Cancer, Somatic/Germline Variant Curation, Colorectal Cancer, PTEN, TP53, CDH1</v>
      </c>
      <c r="L67" t="str">
        <f>IFERROR(__xludf.DUMMYFUNCTION("""COMPUTED_VALUE"""),"I am the Group Leader of the Bioinformatics department in Genekor Medical SA involved in data collection and curation activities for the determination of variant pathogenicity for all variants identified in our laboratory for Hereditary cancer genes. I am"&amp;" also a Post-doc Research Associate at the Biophysics and Bioinformatics Laboratory at the Department of Biology, School of Sciences, National and Kapodistrian University of Athens, where i am involved with sequence and structure analysis of biological se"&amp;"quences through the development of computational algorithms and biological databases.")</f>
        <v>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v>
      </c>
    </row>
    <row r="68">
      <c r="A68" s="128" t="str">
        <f>IFERROR(__xludf.DUMMYFUNCTION("""COMPUTED_VALUE"""),"Contacted")</f>
        <v>Contacted</v>
      </c>
      <c r="B68" s="134">
        <f>IFERROR(__xludf.DUMMYFUNCTION("""COMPUTED_VALUE"""),43819.0)</f>
        <v>43819</v>
      </c>
      <c r="C68" s="128" t="str">
        <f>IFERROR(__xludf.DUMMYFUNCTION("""COMPUTED_VALUE"""),"")</f>
        <v/>
      </c>
      <c r="D68" s="131" t="str">
        <f>IFERROR(__xludf.DUMMYFUNCTION("""COMPUTED_VALUE"""),"")</f>
        <v/>
      </c>
      <c r="E68" s="131" t="str">
        <f>IFERROR(__xludf.DUMMYFUNCTION("""COMPUTED_VALUE"""),"No")</f>
        <v>No</v>
      </c>
      <c r="F68" s="131" t="str">
        <f>IFERROR(__xludf.DUMMYFUNCTION("""COMPUTED_VALUE"""),"Variant Pathogenicity")</f>
        <v>Variant Pathogenicity</v>
      </c>
      <c r="G68" s="128" t="str">
        <f>IFERROR(__xludf.DUMMYFUNCTION("""COMPUTED_VALUE"""),"")</f>
        <v/>
      </c>
      <c r="H68" s="128" t="str">
        <f>IFERROR(__xludf.DUMMYFUNCTION("""COMPUTED_VALUE"""),"Jessica Hatton")</f>
        <v>Jessica Hatton</v>
      </c>
      <c r="I68" s="128" t="str">
        <f>IFERROR(__xludf.DUMMYFUNCTION("""COMPUTED_VALUE"""),"jessica.hatton@nih.gov")</f>
        <v>jessica.hatton@nih.gov</v>
      </c>
      <c r="J68" s="131" t="str">
        <f>IFERROR(__xludf.DUMMYFUNCTION("""COMPUTED_VALUE"""),"Comprehensive")</f>
        <v>Comprehensive</v>
      </c>
      <c r="K68" s="132" t="str">
        <f>IFERROR(__xludf.DUMMYFUNCTION("""COMPUTED_VALUE"""),"TP53")</f>
        <v>TP53</v>
      </c>
      <c r="L68" t="str">
        <f>IFERROR(__xludf.DUMMYFUNCTION("""COMPUTED_VALUE"""),"No")</f>
        <v>No</v>
      </c>
    </row>
    <row r="69">
      <c r="A69" s="128" t="str">
        <f>IFERROR(__xludf.DUMMYFUNCTION("""COMPUTED_VALUE"""),"Contacted")</f>
        <v>Contacted</v>
      </c>
      <c r="B69" s="134">
        <f>IFERROR(__xludf.DUMMYFUNCTION("""COMPUTED_VALUE"""),43819.0)</f>
        <v>43819</v>
      </c>
      <c r="C69" s="128" t="str">
        <f>IFERROR(__xludf.DUMMYFUNCTION("""COMPUTED_VALUE"""),"")</f>
        <v/>
      </c>
      <c r="D69" s="131" t="str">
        <f>IFERROR(__xludf.DUMMYFUNCTION("""COMPUTED_VALUE"""),"")</f>
        <v/>
      </c>
      <c r="E69" s="131" t="str">
        <f>IFERROR(__xludf.DUMMYFUNCTION("""COMPUTED_VALUE"""),"No")</f>
        <v>No</v>
      </c>
      <c r="F69" s="131" t="str">
        <f>IFERROR(__xludf.DUMMYFUNCTION("""COMPUTED_VALUE"""),"Variant Pathogenicity")</f>
        <v>Variant Pathogenicity</v>
      </c>
      <c r="G69" s="128" t="str">
        <f>IFERROR(__xludf.DUMMYFUNCTION("""COMPUTED_VALUE"""),"")</f>
        <v/>
      </c>
      <c r="H69" s="128" t="str">
        <f>IFERROR(__xludf.DUMMYFUNCTION("""COMPUTED_VALUE"""),"Xia Tian")</f>
        <v>Xia Tian</v>
      </c>
      <c r="I69" s="128" t="str">
        <f>IFERROR(__xludf.DUMMYFUNCTION("""COMPUTED_VALUE"""),"xtian@wuxinextcode.com")</f>
        <v>xtian@wuxinextcode.com</v>
      </c>
      <c r="J69" s="131" t="str">
        <f>IFERROR(__xludf.DUMMYFUNCTION("""COMPUTED_VALUE"""),"Comprehensive")</f>
        <v>Comprehensive</v>
      </c>
      <c r="K69" s="132" t="str">
        <f>IFERROR(__xludf.DUMMYFUNCTION("""COMPUTED_VALUE"""),"Mitochondrial Diseases(gene/variant) and Somatic Cancer")</f>
        <v>Mitochondrial Diseases(gene/variant) and Somatic Cancer</v>
      </c>
      <c r="L69" t="str">
        <f>IFERROR(__xludf.DUMMYFUNCTION("""COMPUTED_VALUE"""),"eight years' experience of gene/variant curation and clinical case review")</f>
        <v>eight years' experience of gene/variant curation and clinical case review</v>
      </c>
    </row>
    <row r="70">
      <c r="A70" s="128" t="str">
        <f>IFERROR(__xludf.DUMMYFUNCTION("""COMPUTED_VALUE"""),"Contacted")</f>
        <v>Contacted</v>
      </c>
      <c r="B70" s="134">
        <f>IFERROR(__xludf.DUMMYFUNCTION("""COMPUTED_VALUE"""),43819.0)</f>
        <v>43819</v>
      </c>
      <c r="C70" s="128" t="str">
        <f>IFERROR(__xludf.DUMMYFUNCTION("""COMPUTED_VALUE"""),"")</f>
        <v/>
      </c>
      <c r="D70" s="131" t="str">
        <f>IFERROR(__xludf.DUMMYFUNCTION("""COMPUTED_VALUE"""),"")</f>
        <v/>
      </c>
      <c r="E70" s="131" t="str">
        <f>IFERROR(__xludf.DUMMYFUNCTION("""COMPUTED_VALUE"""),"No")</f>
        <v>No</v>
      </c>
      <c r="F70" s="131" t="str">
        <f>IFERROR(__xludf.DUMMYFUNCTION("""COMPUTED_VALUE"""),"Variant Pathogenicity")</f>
        <v>Variant Pathogenicity</v>
      </c>
      <c r="G70" s="128" t="str">
        <f>IFERROR(__xludf.DUMMYFUNCTION("""COMPUTED_VALUE"""),"")</f>
        <v/>
      </c>
      <c r="H70" s="128" t="str">
        <f>IFERROR(__xludf.DUMMYFUNCTION("""COMPUTED_VALUE"""),"Pamela Ajuyah")</f>
        <v>Pamela Ajuyah</v>
      </c>
      <c r="I70" s="128" t="str">
        <f>IFERROR(__xludf.DUMMYFUNCTION("""COMPUTED_VALUE"""),"pamela.a.ajuyah@gmail.com")</f>
        <v>pamela.a.ajuyah@gmail.com</v>
      </c>
      <c r="J70" s="131" t="str">
        <f>IFERROR(__xludf.DUMMYFUNCTION("""COMPUTED_VALUE"""),"Comprehensive")</f>
        <v>Comprehensive</v>
      </c>
      <c r="K70" s="132" t="str">
        <f>IFERROR(__xludf.DUMMYFUNCTION("""COMPUTED_VALUE"""),"")</f>
        <v/>
      </c>
      <c r="L70" t="str">
        <f>IFERROR(__xludf.DUMMYFUNCTION("""COMPUTED_VALUE"""),"")</f>
        <v/>
      </c>
    </row>
    <row r="71">
      <c r="A71" s="128" t="str">
        <f>IFERROR(__xludf.DUMMYFUNCTION("""COMPUTED_VALUE"""),"Contacted")</f>
        <v>Contacted</v>
      </c>
      <c r="B71" s="134">
        <f>IFERROR(__xludf.DUMMYFUNCTION("""COMPUTED_VALUE"""),43819.0)</f>
        <v>43819</v>
      </c>
      <c r="C71" s="128" t="str">
        <f>IFERROR(__xludf.DUMMYFUNCTION("""COMPUTED_VALUE"""),"")</f>
        <v/>
      </c>
      <c r="D71" s="131" t="str">
        <f>IFERROR(__xludf.DUMMYFUNCTION("""COMPUTED_VALUE"""),"")</f>
        <v/>
      </c>
      <c r="E71" s="131" t="str">
        <f>IFERROR(__xludf.DUMMYFUNCTION("""COMPUTED_VALUE"""),"No")</f>
        <v>No</v>
      </c>
      <c r="F71" s="131" t="str">
        <f>IFERROR(__xludf.DUMMYFUNCTION("""COMPUTED_VALUE"""),"Variant Pathogenicity")</f>
        <v>Variant Pathogenicity</v>
      </c>
      <c r="G71" s="128" t="str">
        <f>IFERROR(__xludf.DUMMYFUNCTION("""COMPUTED_VALUE"""),"")</f>
        <v/>
      </c>
      <c r="H71" s="128" t="str">
        <f>IFERROR(__xludf.DUMMYFUNCTION("""COMPUTED_VALUE"""),"Venkatesan Sengoda Gounder")</f>
        <v>Venkatesan Sengoda Gounder</v>
      </c>
      <c r="I71" s="128" t="str">
        <f>IFERROR(__xludf.DUMMYFUNCTION("""COMPUTED_VALUE"""),"agrivenkat@gmail.com")</f>
        <v>agrivenkat@gmail.com</v>
      </c>
      <c r="J71" s="131" t="str">
        <f>IFERROR(__xludf.DUMMYFUNCTION("""COMPUTED_VALUE"""),"Comprehensive")</f>
        <v>Comprehensive</v>
      </c>
      <c r="K71" s="132" t="str">
        <f>IFERROR(__xludf.DUMMYFUNCTION("""COMPUTED_VALUE"""),"Yes")</f>
        <v>Yes</v>
      </c>
      <c r="L71" t="str">
        <f>IFERROR(__xludf.DUMMYFUNCTION("""COMPUTED_VALUE"""),"No")</f>
        <v>No</v>
      </c>
    </row>
    <row r="72">
      <c r="A72" s="128" t="str">
        <f>IFERROR(__xludf.DUMMYFUNCTION("""COMPUTED_VALUE"""),"Contacted")</f>
        <v>Contacted</v>
      </c>
      <c r="B72" s="134">
        <f>IFERROR(__xludf.DUMMYFUNCTION("""COMPUTED_VALUE"""),43819.0)</f>
        <v>43819</v>
      </c>
      <c r="C72" s="128" t="str">
        <f>IFERROR(__xludf.DUMMYFUNCTION("""COMPUTED_VALUE"""),"")</f>
        <v/>
      </c>
      <c r="D72" s="131" t="str">
        <f>IFERROR(__xludf.DUMMYFUNCTION("""COMPUTED_VALUE"""),"")</f>
        <v/>
      </c>
      <c r="E72" s="131" t="str">
        <f>IFERROR(__xludf.DUMMYFUNCTION("""COMPUTED_VALUE"""),"No")</f>
        <v>No</v>
      </c>
      <c r="F72" s="131" t="str">
        <f>IFERROR(__xludf.DUMMYFUNCTION("""COMPUTED_VALUE"""),"Variant Pathogenicity")</f>
        <v>Variant Pathogenicity</v>
      </c>
      <c r="G72" s="128" t="str">
        <f>IFERROR(__xludf.DUMMYFUNCTION("""COMPUTED_VALUE"""),"")</f>
        <v/>
      </c>
      <c r="H72" s="128" t="str">
        <f>IFERROR(__xludf.DUMMYFUNCTION("""COMPUTED_VALUE"""),"Ronaldo da Silva Francisco Junior")</f>
        <v>Ronaldo da Silva Francisco Junior</v>
      </c>
      <c r="I72" s="128" t="str">
        <f>IFERROR(__xludf.DUMMYFUNCTION("""COMPUTED_VALUE"""),"ronaldoj@lncc.br")</f>
        <v>ronaldoj@lncc.br</v>
      </c>
      <c r="J72" s="131" t="str">
        <f>IFERROR(__xludf.DUMMYFUNCTION("""COMPUTED_VALUE"""),"Comprehensive")</f>
        <v>Comprehensive</v>
      </c>
      <c r="K72" s="132" t="str">
        <f>IFERROR(__xludf.DUMMYFUNCTION("""COMPUTED_VALUE"""),"Yes. RASopathy, Cardiomyopathy, Congenital Myopathies (newly forming), Mitochondrial diseases, Dosage-Recurrent Regions")</f>
        <v>Yes. RASopathy, Cardiomyopathy, Congenital Myopathies (newly forming), Mitochondrial diseases, Dosage-Recurrent Regions</v>
      </c>
      <c r="L72" t="str">
        <f>IFERROR(__xludf.DUMMYFUNCTION("""COMPUTED_VALUE"""),"Yes. I am currently working as a bioinformatician using WES data to perform the diagnosis and filtering of genetic variants in patients with Primary Immudeficiency Disorders")</f>
        <v>Yes. I am currently working as a bioinformatician using WES data to perform the diagnosis and filtering of genetic variants in patients with Primary Immudeficiency Disorders</v>
      </c>
    </row>
    <row r="73">
      <c r="A73" s="128" t="str">
        <f>IFERROR(__xludf.DUMMYFUNCTION("""COMPUTED_VALUE"""),"Contacted")</f>
        <v>Contacted</v>
      </c>
      <c r="B73" s="134">
        <f>IFERROR(__xludf.DUMMYFUNCTION("""COMPUTED_VALUE"""),43819.0)</f>
        <v>43819</v>
      </c>
      <c r="C73" s="128" t="str">
        <f>IFERROR(__xludf.DUMMYFUNCTION("""COMPUTED_VALUE"""),"")</f>
        <v/>
      </c>
      <c r="D73" s="131" t="str">
        <f>IFERROR(__xludf.DUMMYFUNCTION("""COMPUTED_VALUE"""),"")</f>
        <v/>
      </c>
      <c r="E73" s="131" t="str">
        <f>IFERROR(__xludf.DUMMYFUNCTION("""COMPUTED_VALUE"""),"No")</f>
        <v>No</v>
      </c>
      <c r="F73" s="131" t="str">
        <f>IFERROR(__xludf.DUMMYFUNCTION("""COMPUTED_VALUE"""),"Variant Pathogenicity")</f>
        <v>Variant Pathogenicity</v>
      </c>
      <c r="G73" s="128" t="str">
        <f>IFERROR(__xludf.DUMMYFUNCTION("""COMPUTED_VALUE"""),"")</f>
        <v/>
      </c>
      <c r="H73" s="128" t="str">
        <f>IFERROR(__xludf.DUMMYFUNCTION("""COMPUTED_VALUE"""),"Raman Bansal")</f>
        <v>Raman Bansal</v>
      </c>
      <c r="I73" s="128" t="str">
        <f>IFERROR(__xludf.DUMMYFUNCTION("""COMPUTED_VALUE"""),"rbansal.osu@gmail.com")</f>
        <v>rbansal.osu@gmail.com</v>
      </c>
      <c r="J73" s="131" t="str">
        <f>IFERROR(__xludf.DUMMYFUNCTION("""COMPUTED_VALUE"""),"Comprehensive")</f>
        <v>Comprehensive</v>
      </c>
      <c r="K73" s="132" t="str">
        <f>IFERROR(__xludf.DUMMYFUNCTION("""COMPUTED_VALUE"""),"")</f>
        <v/>
      </c>
      <c r="L73" t="str">
        <f>IFERROR(__xludf.DUMMYFUNCTION("""COMPUTED_VALUE"""),"")</f>
        <v/>
      </c>
    </row>
    <row r="74">
      <c r="A74" s="128" t="str">
        <f>IFERROR(__xludf.DUMMYFUNCTION("""COMPUTED_VALUE"""),"Contacted")</f>
        <v>Contacted</v>
      </c>
      <c r="B74" s="134">
        <f>IFERROR(__xludf.DUMMYFUNCTION("""COMPUTED_VALUE"""),43819.0)</f>
        <v>43819</v>
      </c>
      <c r="C74" s="128" t="str">
        <f>IFERROR(__xludf.DUMMYFUNCTION("""COMPUTED_VALUE"""),"")</f>
        <v/>
      </c>
      <c r="D74" s="131" t="str">
        <f>IFERROR(__xludf.DUMMYFUNCTION("""COMPUTED_VALUE"""),"")</f>
        <v/>
      </c>
      <c r="E74" s="131" t="str">
        <f>IFERROR(__xludf.DUMMYFUNCTION("""COMPUTED_VALUE"""),"No")</f>
        <v>No</v>
      </c>
      <c r="F74" s="131" t="str">
        <f>IFERROR(__xludf.DUMMYFUNCTION("""COMPUTED_VALUE"""),"Variant Pathogenicity")</f>
        <v>Variant Pathogenicity</v>
      </c>
      <c r="G74" s="128" t="str">
        <f>IFERROR(__xludf.DUMMYFUNCTION("""COMPUTED_VALUE"""),"")</f>
        <v/>
      </c>
      <c r="H74" s="128" t="str">
        <f>IFERROR(__xludf.DUMMYFUNCTION("""COMPUTED_VALUE"""),"Sara Spencer")</f>
        <v>Sara Spencer</v>
      </c>
      <c r="I74" s="128" t="str">
        <f>IFERROR(__xludf.DUMMYFUNCTION("""COMPUTED_VALUE"""),"saspence@nm.org")</f>
        <v>saspence@nm.org</v>
      </c>
      <c r="J74" s="131" t="str">
        <f>IFERROR(__xludf.DUMMYFUNCTION("""COMPUTED_VALUE"""),"Comprehensive")</f>
        <v>Comprehensive</v>
      </c>
      <c r="K74" s="132" t="str">
        <f>IFERROR(__xludf.DUMMYFUNCTION("""COMPUTED_VALUE"""),"Gene Curation Expert Panels - Epilepsy 
Variant Curation Expert Panels - Brain Malformations")</f>
        <v>Gene Curation Expert Panels - Epilepsy 
Variant Curation Expert Panels - Brain Malformations</v>
      </c>
      <c r="L74" t="str">
        <f>IFERROR(__xludf.DUMMYFUNCTION("""COMPUTED_VALUE"""),"As a clinician, I have been reviewing variant classifications provided by labs for 13 years. In addition, I have personal experience receiving a VOUS. This result motivated me to learn more about the variant classification process through shadowing my col"&amp;"leagues in the lab as well as taking the NSGC Variant Interpretation in the Era of WES/WGS Online Course. I am also currently watching the 2019 BROAD Institute - Interpreting Genomes for Rare Disease: Variant and Gene Interpretation lectures.
")</f>
        <v>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v>
      </c>
    </row>
    <row r="75">
      <c r="A75" s="128" t="str">
        <f>IFERROR(__xludf.DUMMYFUNCTION("""COMPUTED_VALUE"""),"Contacted")</f>
        <v>Contacted</v>
      </c>
      <c r="B75" s="134">
        <f>IFERROR(__xludf.DUMMYFUNCTION("""COMPUTED_VALUE"""),43819.0)</f>
        <v>43819</v>
      </c>
      <c r="C75" s="128" t="str">
        <f>IFERROR(__xludf.DUMMYFUNCTION("""COMPUTED_VALUE"""),"")</f>
        <v/>
      </c>
      <c r="D75" s="131" t="str">
        <f>IFERROR(__xludf.DUMMYFUNCTION("""COMPUTED_VALUE"""),"")</f>
        <v/>
      </c>
      <c r="E75" s="131" t="str">
        <f>IFERROR(__xludf.DUMMYFUNCTION("""COMPUTED_VALUE"""),"No")</f>
        <v>No</v>
      </c>
      <c r="F75" s="131" t="str">
        <f>IFERROR(__xludf.DUMMYFUNCTION("""COMPUTED_VALUE"""),"Variant Pathogenicity")</f>
        <v>Variant Pathogenicity</v>
      </c>
      <c r="G75" s="128" t="str">
        <f>IFERROR(__xludf.DUMMYFUNCTION("""COMPUTED_VALUE"""),"")</f>
        <v/>
      </c>
      <c r="H75" s="128" t="str">
        <f>IFERROR(__xludf.DUMMYFUNCTION("""COMPUTED_VALUE"""),"Madhu Ouseph")</f>
        <v>Madhu Ouseph</v>
      </c>
      <c r="I75" s="128" t="str">
        <f>IFERROR(__xludf.DUMMYFUNCTION("""COMPUTED_VALUE"""),"mouseph@stanford.edu")</f>
        <v>mouseph@stanford.edu</v>
      </c>
      <c r="J75" s="131" t="str">
        <f>IFERROR(__xludf.DUMMYFUNCTION("""COMPUTED_VALUE"""),"Comprehensive")</f>
        <v>Comprehensive</v>
      </c>
      <c r="K75" s="132" t="str">
        <f>IFERROR(__xludf.DUMMYFUNCTION("""COMPUTED_VALUE"""),"Myeloid Malignancy")</f>
        <v>Myeloid Malignancy</v>
      </c>
      <c r="L75" t="str">
        <f>IFERROR(__xludf.DUMMYFUNCTION("""COMPUTED_VALUE"""),"Currently involved in annotation of variants identified in NGS assays")</f>
        <v>Currently involved in annotation of variants identified in NGS assays</v>
      </c>
    </row>
    <row r="76">
      <c r="A76" s="128" t="str">
        <f>IFERROR(__xludf.DUMMYFUNCTION("""COMPUTED_VALUE"""),"Contacted")</f>
        <v>Contacted</v>
      </c>
      <c r="B76" s="134">
        <f>IFERROR(__xludf.DUMMYFUNCTION("""COMPUTED_VALUE"""),43819.0)</f>
        <v>43819</v>
      </c>
      <c r="C76" s="128" t="str">
        <f>IFERROR(__xludf.DUMMYFUNCTION("""COMPUTED_VALUE"""),"")</f>
        <v/>
      </c>
      <c r="D76" s="131" t="str">
        <f>IFERROR(__xludf.DUMMYFUNCTION("""COMPUTED_VALUE"""),"")</f>
        <v/>
      </c>
      <c r="E76" s="131" t="str">
        <f>IFERROR(__xludf.DUMMYFUNCTION("""COMPUTED_VALUE"""),"No")</f>
        <v>No</v>
      </c>
      <c r="F76" s="131" t="str">
        <f>IFERROR(__xludf.DUMMYFUNCTION("""COMPUTED_VALUE"""),"Variant Pathogenicity")</f>
        <v>Variant Pathogenicity</v>
      </c>
      <c r="G76" s="128" t="str">
        <f>IFERROR(__xludf.DUMMYFUNCTION("""COMPUTED_VALUE"""),"")</f>
        <v/>
      </c>
      <c r="H76" s="128" t="str">
        <f>IFERROR(__xludf.DUMMYFUNCTION("""COMPUTED_VALUE"""),"Janey Youngblom")</f>
        <v>Janey Youngblom</v>
      </c>
      <c r="I76" s="128" t="str">
        <f>IFERROR(__xludf.DUMMYFUNCTION("""COMPUTED_VALUE"""),"jyoungblom1@csustan.edu")</f>
        <v>jyoungblom1@csustan.edu</v>
      </c>
      <c r="J76" s="131" t="str">
        <f>IFERROR(__xludf.DUMMYFUNCTION("""COMPUTED_VALUE"""),"Comprehensive")</f>
        <v>Comprehensive</v>
      </c>
      <c r="K76" s="132" t="str">
        <f>IFERROR(__xludf.DUMMYFUNCTION("""COMPUTED_VALUE"""),"Familial Hypercholesterolemia")</f>
        <v>Familial Hypercholesterolemia</v>
      </c>
      <c r="L76" t="str">
        <f>IFERROR(__xludf.DUMMYFUNCTION("""COMPUTED_VALUE"""),"As the Associate Director of a Genetic Counseling Program, I have helped organize and participate in Variant Curation Workshops for training genetic counselors in the variant curation process.  I have also organized a workshop for training university scie"&amp;"nce faculty in the variant curation process so they can start integrating this training module into their undergraduate coursework as a CURES (course-based undergraduate research experience) component. ")</f>
        <v>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v>
      </c>
    </row>
    <row r="77">
      <c r="A77" s="128" t="str">
        <f>IFERROR(__xludf.DUMMYFUNCTION("""COMPUTED_VALUE"""),"Contacted")</f>
        <v>Contacted</v>
      </c>
      <c r="B77" s="134">
        <f>IFERROR(__xludf.DUMMYFUNCTION("""COMPUTED_VALUE"""),43819.0)</f>
        <v>43819</v>
      </c>
      <c r="C77" s="128" t="str">
        <f>IFERROR(__xludf.DUMMYFUNCTION("""COMPUTED_VALUE"""),"")</f>
        <v/>
      </c>
      <c r="D77" s="131" t="str">
        <f>IFERROR(__xludf.DUMMYFUNCTION("""COMPUTED_VALUE"""),"")</f>
        <v/>
      </c>
      <c r="E77" s="131" t="str">
        <f>IFERROR(__xludf.DUMMYFUNCTION("""COMPUTED_VALUE"""),"No")</f>
        <v>No</v>
      </c>
      <c r="F77" s="131" t="str">
        <f>IFERROR(__xludf.DUMMYFUNCTION("""COMPUTED_VALUE"""),"Variant Pathogenicity")</f>
        <v>Variant Pathogenicity</v>
      </c>
      <c r="G77" s="128" t="str">
        <f>IFERROR(__xludf.DUMMYFUNCTION("""COMPUTED_VALUE"""),"")</f>
        <v/>
      </c>
      <c r="H77" s="128" t="str">
        <f>IFERROR(__xludf.DUMMYFUNCTION("""COMPUTED_VALUE"""),"Caterina Clementi")</f>
        <v>Caterina Clementi</v>
      </c>
      <c r="I77" s="128" t="str">
        <f>IFERROR(__xludf.DUMMYFUNCTION("""COMPUTED_VALUE"""),"caterina.clementi@gmail.com")</f>
        <v>caterina.clementi@gmail.com</v>
      </c>
      <c r="J77" s="131" t="str">
        <f>IFERROR(__xludf.DUMMYFUNCTION("""COMPUTED_VALUE"""),"Comprehensive")</f>
        <v>Comprehensive</v>
      </c>
      <c r="K77" s="132" t="str">
        <f>IFERROR(__xludf.DUMMYFUNCTION("""COMPUTED_VALUE"""),"Metabolic conditions")</f>
        <v>Metabolic conditions</v>
      </c>
      <c r="L77" t="str">
        <f>IFERROR(__xludf.DUMMYFUNCTION("""COMPUTED_VALUE"""),"Yes, I applied the ClinGen framework to score the clinical validity of gene-condition associations in the context of reproductive conditions")</f>
        <v>Yes, I applied the ClinGen framework to score the clinical validity of gene-condition associations in the context of reproductive conditions</v>
      </c>
    </row>
    <row r="78">
      <c r="A78" s="128" t="str">
        <f>IFERROR(__xludf.DUMMYFUNCTION("""COMPUTED_VALUE"""),"Contacted")</f>
        <v>Contacted</v>
      </c>
      <c r="B78" s="134">
        <f>IFERROR(__xludf.DUMMYFUNCTION("""COMPUTED_VALUE"""),43819.0)</f>
        <v>43819</v>
      </c>
      <c r="C78" s="128" t="str">
        <f>IFERROR(__xludf.DUMMYFUNCTION("""COMPUTED_VALUE"""),"")</f>
        <v/>
      </c>
      <c r="D78" s="131" t="str">
        <f>IFERROR(__xludf.DUMMYFUNCTION("""COMPUTED_VALUE"""),"")</f>
        <v/>
      </c>
      <c r="E78" s="131" t="str">
        <f>IFERROR(__xludf.DUMMYFUNCTION("""COMPUTED_VALUE"""),"No")</f>
        <v>No</v>
      </c>
      <c r="F78" s="131" t="str">
        <f>IFERROR(__xludf.DUMMYFUNCTION("""COMPUTED_VALUE"""),"Variant Pathogenicity")</f>
        <v>Variant Pathogenicity</v>
      </c>
      <c r="G78" s="128" t="str">
        <f>IFERROR(__xludf.DUMMYFUNCTION("""COMPUTED_VALUE"""),"")</f>
        <v/>
      </c>
      <c r="H78" s="128" t="str">
        <f>IFERROR(__xludf.DUMMYFUNCTION("""COMPUTED_VALUE"""),"Catherine Spellicy")</f>
        <v>Catherine Spellicy</v>
      </c>
      <c r="I78" s="128" t="str">
        <f>IFERROR(__xludf.DUMMYFUNCTION("""COMPUTED_VALUE"""),"cspellic@counsyl.com")</f>
        <v>cspellic@counsyl.com</v>
      </c>
      <c r="J78" s="131" t="str">
        <f>IFERROR(__xludf.DUMMYFUNCTION("""COMPUTED_VALUE"""),"Comprehensive")</f>
        <v>Comprehensive</v>
      </c>
      <c r="K78" s="132" t="str">
        <f>IFERROR(__xludf.DUMMYFUNCTION("""COMPUTED_VALUE"""),"Sequence Variant Interpretation")</f>
        <v>Sequence Variant Interpretation</v>
      </c>
      <c r="L78" t="str">
        <f>IFERROR(__xludf.DUMMYFUNCTION("""COMPUTED_VALUE"""),"Many hours experience with variant analysis and classification.")</f>
        <v>Many hours experience with variant analysis and classification.</v>
      </c>
    </row>
    <row r="79">
      <c r="A79" s="128" t="str">
        <f>IFERROR(__xludf.DUMMYFUNCTION("""COMPUTED_VALUE"""),"Contacted")</f>
        <v>Contacted</v>
      </c>
      <c r="B79" s="134">
        <f>IFERROR(__xludf.DUMMYFUNCTION("""COMPUTED_VALUE"""),43819.0)</f>
        <v>43819</v>
      </c>
      <c r="C79" s="128" t="str">
        <f>IFERROR(__xludf.DUMMYFUNCTION("""COMPUTED_VALUE"""),"")</f>
        <v/>
      </c>
      <c r="D79" s="131" t="str">
        <f>IFERROR(__xludf.DUMMYFUNCTION("""COMPUTED_VALUE"""),"")</f>
        <v/>
      </c>
      <c r="E79" s="131" t="str">
        <f>IFERROR(__xludf.DUMMYFUNCTION("""COMPUTED_VALUE"""),"No")</f>
        <v>No</v>
      </c>
      <c r="F79" s="131" t="str">
        <f>IFERROR(__xludf.DUMMYFUNCTION("""COMPUTED_VALUE"""),"Variant Pathogenicity")</f>
        <v>Variant Pathogenicity</v>
      </c>
      <c r="G79" s="128" t="str">
        <f>IFERROR(__xludf.DUMMYFUNCTION("""COMPUTED_VALUE"""),"")</f>
        <v/>
      </c>
      <c r="H79" s="128" t="str">
        <f>IFERROR(__xludf.DUMMYFUNCTION("""COMPUTED_VALUE"""),"Edgar Ramirez")</f>
        <v>Edgar Ramirez</v>
      </c>
      <c r="I79" s="128" t="str">
        <f>IFERROR(__xludf.DUMMYFUNCTION("""COMPUTED_VALUE"""),"e.ramirezr@hotmail.com")</f>
        <v>e.ramirezr@hotmail.com</v>
      </c>
      <c r="J79" s="131" t="str">
        <f>IFERROR(__xludf.DUMMYFUNCTION("""COMPUTED_VALUE"""),"Comprehensive")</f>
        <v>Comprehensive</v>
      </c>
      <c r="K79" s="132" t="str">
        <f>IFERROR(__xludf.DUMMYFUNCTION("""COMPUTED_VALUE"""),"")</f>
        <v/>
      </c>
      <c r="L79" t="str">
        <f>IFERROR(__xludf.DUMMYFUNCTION("""COMPUTED_VALUE"""),"I was lead scientist for variant interpretation at a clinical laboratory")</f>
        <v>I was lead scientist for variant interpretation at a clinical laboratory</v>
      </c>
    </row>
    <row r="80">
      <c r="A80" s="128" t="str">
        <f>IFERROR(__xludf.DUMMYFUNCTION("""COMPUTED_VALUE"""),"Contacted")</f>
        <v>Contacted</v>
      </c>
      <c r="B80" s="134">
        <f>IFERROR(__xludf.DUMMYFUNCTION("""COMPUTED_VALUE"""),43819.0)</f>
        <v>43819</v>
      </c>
      <c r="C80" s="128" t="str">
        <f>IFERROR(__xludf.DUMMYFUNCTION("""COMPUTED_VALUE"""),"")</f>
        <v/>
      </c>
      <c r="D80" s="131" t="str">
        <f>IFERROR(__xludf.DUMMYFUNCTION("""COMPUTED_VALUE"""),"")</f>
        <v/>
      </c>
      <c r="E80" s="131" t="str">
        <f>IFERROR(__xludf.DUMMYFUNCTION("""COMPUTED_VALUE"""),"No")</f>
        <v>No</v>
      </c>
      <c r="F80" s="131" t="str">
        <f>IFERROR(__xludf.DUMMYFUNCTION("""COMPUTED_VALUE"""),"Variant Pathogenicity")</f>
        <v>Variant Pathogenicity</v>
      </c>
      <c r="G80" s="128" t="str">
        <f>IFERROR(__xludf.DUMMYFUNCTION("""COMPUTED_VALUE"""),"")</f>
        <v/>
      </c>
      <c r="H80" s="128" t="str">
        <f>IFERROR(__xludf.DUMMYFUNCTION("""COMPUTED_VALUE"""),"Xin Chen")</f>
        <v>Xin Chen</v>
      </c>
      <c r="I80" s="128" t="str">
        <f>IFERROR(__xludf.DUMMYFUNCTION("""COMPUTED_VALUE"""),"chenx30nju@gmail.com")</f>
        <v>chenx30nju@gmail.com</v>
      </c>
      <c r="J80" s="131" t="str">
        <f>IFERROR(__xludf.DUMMYFUNCTION("""COMPUTED_VALUE"""),"Comprehensive")</f>
        <v>Comprehensive</v>
      </c>
      <c r="K80" s="132" t="str">
        <f>IFERROR(__xludf.DUMMYFUNCTION("""COMPUTED_VALUE"""),"I am open to any opportunity.")</f>
        <v>I am open to any opportunity.</v>
      </c>
      <c r="L80" t="str">
        <f>IFERROR(__xludf.DUMMYFUNCTION("""COMPUTED_VALUE"""),"During my PhD study, I summarized all the reported mutations of the gene SETX that were reported to cause neurodegenerative disease AOA2, generated the mutations in the budding yeast model, and experimentally verified the defects caused by the mutations. ")</f>
        <v>During my PhD study, I summarized all the reported mutations of the gene SETX that were reported to cause neurodegenerative disease AOA2, generated the mutations in the budding yeast model, and experimentally verified the defects caused by the mutations. </v>
      </c>
    </row>
    <row r="81">
      <c r="A81" s="128" t="str">
        <f>IFERROR(__xludf.DUMMYFUNCTION("""COMPUTED_VALUE"""),"Contacted")</f>
        <v>Contacted</v>
      </c>
      <c r="B81" s="128" t="str">
        <f>IFERROR(__xludf.DUMMYFUNCTION("""COMPUTED_VALUE"""),"")</f>
        <v/>
      </c>
      <c r="C81" s="134">
        <f>IFERROR(__xludf.DUMMYFUNCTION("""COMPUTED_VALUE"""),43626.0)</f>
        <v>43626</v>
      </c>
      <c r="D81" s="131" t="str">
        <f>IFERROR(__xludf.DUMMYFUNCTION("""COMPUTED_VALUE"""),"Yes")</f>
        <v>Yes</v>
      </c>
      <c r="E81" s="131" t="str">
        <f>IFERROR(__xludf.DUMMYFUNCTION("""COMPUTED_VALUE"""),"Yes")</f>
        <v>Yes</v>
      </c>
      <c r="F81" s="131" t="str">
        <f>IFERROR(__xludf.DUMMYFUNCTION("""COMPUTED_VALUE"""),"Variant Pathogenicity")</f>
        <v>Variant Pathogenicity</v>
      </c>
      <c r="G81" s="128" t="str">
        <f>IFERROR(__xludf.DUMMYFUNCTION("""COMPUTED_VALUE"""),"")</f>
        <v/>
      </c>
      <c r="H81" s="128" t="str">
        <f>IFERROR(__xludf.DUMMYFUNCTION("""COMPUTED_VALUE"""),"Tomohiko Ai")</f>
        <v>Tomohiko Ai</v>
      </c>
      <c r="I81" s="128" t="str">
        <f>IFERROR(__xludf.DUMMYFUNCTION("""COMPUTED_VALUE"""),"Tomohiko.Ai@osumc.edu")</f>
        <v>Tomohiko.Ai@osumc.edu</v>
      </c>
      <c r="J81" s="131" t="str">
        <f>IFERROR(__xludf.DUMMYFUNCTION("""COMPUTED_VALUE"""),"Comprehensive")</f>
        <v>Comprehensive</v>
      </c>
      <c r="K81" s="132" t="str">
        <f>IFERROR(__xludf.DUMMYFUNCTION("""COMPUTED_VALUE"""),"")</f>
        <v/>
      </c>
      <c r="L81" t="str">
        <f>IFERROR(__xludf.DUMMYFUNCTION("""COMPUTED_VALUE"""),"")</f>
        <v/>
      </c>
    </row>
    <row r="82">
      <c r="A82" s="128" t="str">
        <f>IFERROR(__xludf.DUMMYFUNCTION("""COMPUTED_VALUE"""),"Contacted")</f>
        <v>Contacted</v>
      </c>
      <c r="B82" s="128" t="str">
        <f>IFERROR(__xludf.DUMMYFUNCTION("""COMPUTED_VALUE"""),"")</f>
        <v/>
      </c>
      <c r="C82" s="134">
        <f>IFERROR(__xludf.DUMMYFUNCTION("""COMPUTED_VALUE"""),43605.0)</f>
        <v>43605</v>
      </c>
      <c r="D82" s="131" t="str">
        <f>IFERROR(__xludf.DUMMYFUNCTION("""COMPUTED_VALUE"""),"Yes")</f>
        <v>Yes</v>
      </c>
      <c r="E82" s="131" t="str">
        <f>IFERROR(__xludf.DUMMYFUNCTION("""COMPUTED_VALUE"""),"Yes")</f>
        <v>Yes</v>
      </c>
      <c r="F82" s="131" t="str">
        <f>IFERROR(__xludf.DUMMYFUNCTION("""COMPUTED_VALUE"""),"Variant Pathogenicity")</f>
        <v>Variant Pathogenicity</v>
      </c>
      <c r="G82" s="128" t="str">
        <f>IFERROR(__xludf.DUMMYFUNCTION("""COMPUTED_VALUE"""),"")</f>
        <v/>
      </c>
      <c r="H82" s="128" t="str">
        <f>IFERROR(__xludf.DUMMYFUNCTION("""COMPUTED_VALUE"""),"Coumarane Mani")</f>
        <v>Coumarane Mani</v>
      </c>
      <c r="I82" s="128" t="str">
        <f>IFERROR(__xludf.DUMMYFUNCTION("""COMPUTED_VALUE"""),"coumarane.mani@aruplab.com")</f>
        <v>coumarane.mani@aruplab.com</v>
      </c>
      <c r="J82" s="131" t="str">
        <f>IFERROR(__xludf.DUMMYFUNCTION("""COMPUTED_VALUE"""),"Comprehensive")</f>
        <v>Comprehensive</v>
      </c>
      <c r="K82" s="132" t="str">
        <f>IFERROR(__xludf.DUMMYFUNCTION("""COMPUTED_VALUE"""),"")</f>
        <v/>
      </c>
      <c r="L82" t="str">
        <f>IFERROR(__xludf.DUMMYFUNCTION("""COMPUTED_VALUE"""),"")</f>
        <v/>
      </c>
    </row>
    <row r="83">
      <c r="A83" s="128" t="str">
        <f>IFERROR(__xludf.DUMMYFUNCTION("""COMPUTED_VALUE"""),"Contacted")</f>
        <v>Contacted</v>
      </c>
      <c r="B83" s="128" t="str">
        <f>IFERROR(__xludf.DUMMYFUNCTION("""COMPUTED_VALUE"""),"")</f>
        <v/>
      </c>
      <c r="C83" s="134">
        <f>IFERROR(__xludf.DUMMYFUNCTION("""COMPUTED_VALUE"""),47258.0)</f>
        <v>47258</v>
      </c>
      <c r="D83" s="131" t="str">
        <f>IFERROR(__xludf.DUMMYFUNCTION("""COMPUTED_VALUE"""),"Yes")</f>
        <v>Yes</v>
      </c>
      <c r="E83" s="131" t="str">
        <f>IFERROR(__xludf.DUMMYFUNCTION("""COMPUTED_VALUE"""),"Yes")</f>
        <v>Yes</v>
      </c>
      <c r="F83" s="131" t="str">
        <f>IFERROR(__xludf.DUMMYFUNCTION("""COMPUTED_VALUE"""),"Variant Pathogenicity")</f>
        <v>Variant Pathogenicity</v>
      </c>
      <c r="G83" s="128" t="str">
        <f>IFERROR(__xludf.DUMMYFUNCTION("""COMPUTED_VALUE"""),"")</f>
        <v/>
      </c>
      <c r="H83" s="128" t="str">
        <f>IFERROR(__xludf.DUMMYFUNCTION("""COMPUTED_VALUE"""),"Diogo Ventura Lovato")</f>
        <v>Diogo Ventura Lovato</v>
      </c>
      <c r="I83" s="128" t="str">
        <f>IFERROR(__xludf.DUMMYFUNCTION("""COMPUTED_VALUE"""),"diogo.v.lovato@gmail.com")</f>
        <v>diogo.v.lovato@gmail.com</v>
      </c>
      <c r="J83" s="131" t="str">
        <f>IFERROR(__xludf.DUMMYFUNCTION("""COMPUTED_VALUE"""),"Comprehensive")</f>
        <v>Comprehensive</v>
      </c>
      <c r="K83" s="132" t="str">
        <f>IFERROR(__xludf.DUMMYFUNCTION("""COMPUTED_VALUE"""),"")</f>
        <v/>
      </c>
      <c r="L83" t="str">
        <f>IFERROR(__xludf.DUMMYFUNCTION("""COMPUTED_VALUE"""),"")</f>
        <v/>
      </c>
    </row>
    <row r="84">
      <c r="A84" s="128" t="str">
        <f>IFERROR(__xludf.DUMMYFUNCTION("""COMPUTED_VALUE"""),"Contacted")</f>
        <v>Contacted</v>
      </c>
      <c r="B84" s="128" t="str">
        <f>IFERROR(__xludf.DUMMYFUNCTION("""COMPUTED_VALUE"""),"")</f>
        <v/>
      </c>
      <c r="C84" s="134">
        <f>IFERROR(__xludf.DUMMYFUNCTION("""COMPUTED_VALUE"""),43626.0)</f>
        <v>43626</v>
      </c>
      <c r="D84" s="131" t="str">
        <f>IFERROR(__xludf.DUMMYFUNCTION("""COMPUTED_VALUE"""),"Yes")</f>
        <v>Yes</v>
      </c>
      <c r="E84" s="131" t="str">
        <f>IFERROR(__xludf.DUMMYFUNCTION("""COMPUTED_VALUE"""),"No")</f>
        <v>No</v>
      </c>
      <c r="F84" s="131" t="str">
        <f>IFERROR(__xludf.DUMMYFUNCTION("""COMPUTED_VALUE"""),"Variant Pathogenicity")</f>
        <v>Variant Pathogenicity</v>
      </c>
      <c r="G84" s="128" t="str">
        <f>IFERROR(__xludf.DUMMYFUNCTION("""COMPUTED_VALUE"""),"")</f>
        <v/>
      </c>
      <c r="H84" s="128" t="str">
        <f>IFERROR(__xludf.DUMMYFUNCTION("""COMPUTED_VALUE"""),"Elaine Spector")</f>
        <v>Elaine Spector</v>
      </c>
      <c r="I84" s="128" t="str">
        <f>IFERROR(__xludf.DUMMYFUNCTION("""COMPUTED_VALUE"""),"elaine.spector@childrenscolorado.org")</f>
        <v>elaine.spector@childrenscolorado.org</v>
      </c>
      <c r="J84" s="131" t="str">
        <f>IFERROR(__xludf.DUMMYFUNCTION("""COMPUTED_VALUE"""),"Comprehensive")</f>
        <v>Comprehensive</v>
      </c>
      <c r="K84" s="132" t="str">
        <f>IFERROR(__xludf.DUMMYFUNCTION("""COMPUTED_VALUE"""),"")</f>
        <v/>
      </c>
      <c r="L84" t="str">
        <f>IFERROR(__xludf.DUMMYFUNCTION("""COMPUTED_VALUE"""),"")</f>
        <v/>
      </c>
    </row>
    <row r="85">
      <c r="A85" s="128" t="str">
        <f>IFERROR(__xludf.DUMMYFUNCTION("""COMPUTED_VALUE"""),"Contacted")</f>
        <v>Contacted</v>
      </c>
      <c r="B85" s="128" t="str">
        <f>IFERROR(__xludf.DUMMYFUNCTION("""COMPUTED_VALUE"""),"")</f>
        <v/>
      </c>
      <c r="C85" s="134">
        <f>IFERROR(__xludf.DUMMYFUNCTION("""COMPUTED_VALUE"""),43608.0)</f>
        <v>43608</v>
      </c>
      <c r="D85" s="131" t="str">
        <f>IFERROR(__xludf.DUMMYFUNCTION("""COMPUTED_VALUE"""),"Yes")</f>
        <v>Yes</v>
      </c>
      <c r="E85" s="131" t="str">
        <f>IFERROR(__xludf.DUMMYFUNCTION("""COMPUTED_VALUE"""),"Yes")</f>
        <v>Yes</v>
      </c>
      <c r="F85" s="131" t="str">
        <f>IFERROR(__xludf.DUMMYFUNCTION("""COMPUTED_VALUE"""),"Variant Pathogenicity")</f>
        <v>Variant Pathogenicity</v>
      </c>
      <c r="G85" s="128" t="str">
        <f>IFERROR(__xludf.DUMMYFUNCTION("""COMPUTED_VALUE"""),"TP53")</f>
        <v>TP53</v>
      </c>
      <c r="H85" s="128" t="str">
        <f>IFERROR(__xludf.DUMMYFUNCTION("""COMPUTED_VALUE"""),"Laura Fuqua")</f>
        <v>Laura Fuqua</v>
      </c>
      <c r="I85" s="128" t="str">
        <f>IFERROR(__xludf.DUMMYFUNCTION("""COMPUTED_VALUE"""),"laura.fuqua@gmail.com")</f>
        <v>laura.fuqua@gmail.com</v>
      </c>
      <c r="J85" s="131" t="str">
        <f>IFERROR(__xludf.DUMMYFUNCTION("""COMPUTED_VALUE"""),"Comprehensive")</f>
        <v>Comprehensive</v>
      </c>
      <c r="K85" s="132" t="str">
        <f>IFERROR(__xludf.DUMMYFUNCTION("""COMPUTED_VALUE"""),"")</f>
        <v/>
      </c>
      <c r="L85" t="str">
        <f>IFERROR(__xludf.DUMMYFUNCTION("""COMPUTED_VALUE"""),"")</f>
        <v/>
      </c>
    </row>
    <row r="86">
      <c r="A86" s="128" t="str">
        <f>IFERROR(__xludf.DUMMYFUNCTION("""COMPUTED_VALUE"""),"Contacted")</f>
        <v>Contacted</v>
      </c>
      <c r="B86" s="134">
        <f>IFERROR(__xludf.DUMMYFUNCTION("""COMPUTED_VALUE"""),43819.0)</f>
        <v>43819</v>
      </c>
      <c r="C86" s="128" t="str">
        <f>IFERROR(__xludf.DUMMYFUNCTION("""COMPUTED_VALUE"""),"")</f>
        <v/>
      </c>
      <c r="D86" s="131" t="str">
        <f>IFERROR(__xludf.DUMMYFUNCTION("""COMPUTED_VALUE"""),"")</f>
        <v/>
      </c>
      <c r="E86" s="131" t="str">
        <f>IFERROR(__xludf.DUMMYFUNCTION("""COMPUTED_VALUE"""),"No")</f>
        <v>No</v>
      </c>
      <c r="F86" s="131" t="str">
        <f>IFERROR(__xludf.DUMMYFUNCTION("""COMPUTED_VALUE"""),"Variant Pathogenicity")</f>
        <v>Variant Pathogenicity</v>
      </c>
      <c r="G86" s="128" t="str">
        <f>IFERROR(__xludf.DUMMYFUNCTION("""COMPUTED_VALUE"""),"")</f>
        <v/>
      </c>
      <c r="H86" s="128" t="str">
        <f>IFERROR(__xludf.DUMMYFUNCTION("""COMPUTED_VALUE"""),"Patricia Harper")</f>
        <v>Patricia Harper</v>
      </c>
      <c r="I86" s="128" t="str">
        <f>IFERROR(__xludf.DUMMYFUNCTION("""COMPUTED_VALUE"""),"pharper@cheo.on.ca")</f>
        <v>pharper@cheo.on.ca</v>
      </c>
      <c r="J86" s="131" t="str">
        <f>IFERROR(__xludf.DUMMYFUNCTION("""COMPUTED_VALUE"""),"Comprehensive")</f>
        <v>Comprehensive</v>
      </c>
      <c r="K86" s="132" t="str">
        <f>IFERROR(__xludf.DUMMYFUNCTION("""COMPUTED_VALUE"""),"Hereditary cancer (and/or associated genes such as TP53)")</f>
        <v>Hereditary cancer (and/or associated genes such as TP53)</v>
      </c>
      <c r="L86" t="str">
        <f>IFERROR(__xludf.DUMMYFUNCTION("""COMPUTED_VALUE"""),"Yes, currently a member of the ClinGen Cardiomyopathy VCC")</f>
        <v>Yes, currently a member of the ClinGen Cardiomyopathy VCC</v>
      </c>
    </row>
    <row r="87">
      <c r="A87" s="128" t="str">
        <f>IFERROR(__xludf.DUMMYFUNCTION("""COMPUTED_VALUE"""),"Contacted")</f>
        <v>Contacted</v>
      </c>
      <c r="B87" s="134">
        <f>IFERROR(__xludf.DUMMYFUNCTION("""COMPUTED_VALUE"""),43819.0)</f>
        <v>43819</v>
      </c>
      <c r="C87" s="128" t="str">
        <f>IFERROR(__xludf.DUMMYFUNCTION("""COMPUTED_VALUE"""),"")</f>
        <v/>
      </c>
      <c r="D87" s="131" t="str">
        <f>IFERROR(__xludf.DUMMYFUNCTION("""COMPUTED_VALUE"""),"")</f>
        <v/>
      </c>
      <c r="E87" s="131" t="str">
        <f>IFERROR(__xludf.DUMMYFUNCTION("""COMPUTED_VALUE"""),"No")</f>
        <v>No</v>
      </c>
      <c r="F87" s="131" t="str">
        <f>IFERROR(__xludf.DUMMYFUNCTION("""COMPUTED_VALUE"""),"Variant Pathogenicity")</f>
        <v>Variant Pathogenicity</v>
      </c>
      <c r="G87" s="128" t="str">
        <f>IFERROR(__xludf.DUMMYFUNCTION("""COMPUTED_VALUE"""),"")</f>
        <v/>
      </c>
      <c r="H87" s="128" t="str">
        <f>IFERROR(__xludf.DUMMYFUNCTION("""COMPUTED_VALUE"""),"Saja El Yaacoub")</f>
        <v>Saja El Yaacoub</v>
      </c>
      <c r="I87" s="128" t="str">
        <f>IFERROR(__xludf.DUMMYFUNCTION("""COMPUTED_VALUE"""),"saja.alyaacoub@live.com")</f>
        <v>saja.alyaacoub@live.com</v>
      </c>
      <c r="J87" s="131" t="str">
        <f>IFERROR(__xludf.DUMMYFUNCTION("""COMPUTED_VALUE"""),"Comprehensive")</f>
        <v>Comprehensive</v>
      </c>
      <c r="K87" s="132" t="str">
        <f>IFERROR(__xludf.DUMMYFUNCTION("""COMPUTED_VALUE"""),"Mitochondrial Diseases")</f>
        <v>Mitochondrial Diseases</v>
      </c>
      <c r="L87" t="str">
        <f>IFERROR(__xludf.DUMMYFUNCTION("""COMPUTED_VALUE"""),"")</f>
        <v/>
      </c>
    </row>
    <row r="88">
      <c r="A88" s="128" t="str">
        <f>IFERROR(__xludf.DUMMYFUNCTION("""COMPUTED_VALUE"""),"Contacted")</f>
        <v>Contacted</v>
      </c>
      <c r="B88" s="134">
        <f>IFERROR(__xludf.DUMMYFUNCTION("""COMPUTED_VALUE"""),43819.0)</f>
        <v>43819</v>
      </c>
      <c r="C88" s="128" t="str">
        <f>IFERROR(__xludf.DUMMYFUNCTION("""COMPUTED_VALUE"""),"")</f>
        <v/>
      </c>
      <c r="D88" s="131" t="str">
        <f>IFERROR(__xludf.DUMMYFUNCTION("""COMPUTED_VALUE"""),"")</f>
        <v/>
      </c>
      <c r="E88" s="131" t="str">
        <f>IFERROR(__xludf.DUMMYFUNCTION("""COMPUTED_VALUE"""),"No")</f>
        <v>No</v>
      </c>
      <c r="F88" s="131" t="str">
        <f>IFERROR(__xludf.DUMMYFUNCTION("""COMPUTED_VALUE"""),"Variant Pathogenicity")</f>
        <v>Variant Pathogenicity</v>
      </c>
      <c r="G88" s="128" t="str">
        <f>IFERROR(__xludf.DUMMYFUNCTION("""COMPUTED_VALUE"""),"")</f>
        <v/>
      </c>
      <c r="H88" s="128" t="str">
        <f>IFERROR(__xludf.DUMMYFUNCTION("""COMPUTED_VALUE"""),"Brandon Chalazan")</f>
        <v>Brandon Chalazan</v>
      </c>
      <c r="I88" s="128" t="str">
        <f>IFERROR(__xludf.DUMMYFUNCTION("""COMPUTED_VALUE"""),"brandon.chalazan@cw.bc.ca")</f>
        <v>brandon.chalazan@cw.bc.ca</v>
      </c>
      <c r="J88" s="131" t="str">
        <f>IFERROR(__xludf.DUMMYFUNCTION("""COMPUTED_VALUE"""),"Comprehensive")</f>
        <v>Comprehensive</v>
      </c>
      <c r="K88" s="132" t="str">
        <f>IFERROR(__xludf.DUMMYFUNCTION("""COMPUTED_VALUE"""),"All inherited cardiovascular genetic conditions.  However, I want to form a Atrial Fibrillation working expert panel.")</f>
        <v>All inherited cardiovascular genetic conditions.  However, I want to form a Atrial Fibrillation working expert panel.</v>
      </c>
      <c r="L88" t="str">
        <f>IFERROR(__xludf.DUMMYFUNCTION("""COMPUTED_VALUE"""),"Yes - I have designed candidate SNP and gene panels, designed specific variant filtering criteria and commonly use ACMG / AMP / ACGS criteria.")</f>
        <v>Yes - I have designed candidate SNP and gene panels, designed specific variant filtering criteria and commonly use ACMG / AMP / ACGS criteria.</v>
      </c>
    </row>
    <row r="89">
      <c r="A89" s="128" t="str">
        <f>IFERROR(__xludf.DUMMYFUNCTION("""COMPUTED_VALUE"""),"Contacted")</f>
        <v>Contacted</v>
      </c>
      <c r="B89" s="134">
        <f>IFERROR(__xludf.DUMMYFUNCTION("""COMPUTED_VALUE"""),43819.0)</f>
        <v>43819</v>
      </c>
      <c r="C89" s="128" t="str">
        <f>IFERROR(__xludf.DUMMYFUNCTION("""COMPUTED_VALUE"""),"")</f>
        <v/>
      </c>
      <c r="D89" s="131" t="str">
        <f>IFERROR(__xludf.DUMMYFUNCTION("""COMPUTED_VALUE"""),"")</f>
        <v/>
      </c>
      <c r="E89" s="131" t="str">
        <f>IFERROR(__xludf.DUMMYFUNCTION("""COMPUTED_VALUE"""),"No")</f>
        <v>No</v>
      </c>
      <c r="F89" s="131" t="str">
        <f>IFERROR(__xludf.DUMMYFUNCTION("""COMPUTED_VALUE"""),"Variant Pathogenicity")</f>
        <v>Variant Pathogenicity</v>
      </c>
      <c r="G89" s="128" t="str">
        <f>IFERROR(__xludf.DUMMYFUNCTION("""COMPUTED_VALUE"""),"")</f>
        <v/>
      </c>
      <c r="H89" s="128" t="str">
        <f>IFERROR(__xludf.DUMMYFUNCTION("""COMPUTED_VALUE"""),"jean-leon chong")</f>
        <v>jean-leon chong</v>
      </c>
      <c r="I89" s="128" t="str">
        <f>IFERROR(__xludf.DUMMYFUNCTION("""COMPUTED_VALUE"""),"leon0044@gmail.com")</f>
        <v>leon0044@gmail.com</v>
      </c>
      <c r="J89" s="131" t="str">
        <f>IFERROR(__xludf.DUMMYFUNCTION("""COMPUTED_VALUE"""),"Comprehensive")</f>
        <v>Comprehensive</v>
      </c>
      <c r="K89" s="132" t="str">
        <f>IFERROR(__xludf.DUMMYFUNCTION("""COMPUTED_VALUE"""),"")</f>
        <v/>
      </c>
      <c r="L89" t="str">
        <f>IFERROR(__xludf.DUMMYFUNCTION("""COMPUTED_VALUE"""),"some experience during fellowship training ")</f>
        <v>some experience during fellowship training </v>
      </c>
    </row>
    <row r="90">
      <c r="A90" s="128" t="str">
        <f>IFERROR(__xludf.DUMMYFUNCTION("""COMPUTED_VALUE"""),"Contacted")</f>
        <v>Contacted</v>
      </c>
      <c r="B90" s="134">
        <f>IFERROR(__xludf.DUMMYFUNCTION("""COMPUTED_VALUE"""),43819.0)</f>
        <v>43819</v>
      </c>
      <c r="C90" s="128" t="str">
        <f>IFERROR(__xludf.DUMMYFUNCTION("""COMPUTED_VALUE"""),"")</f>
        <v/>
      </c>
      <c r="D90" s="131" t="str">
        <f>IFERROR(__xludf.DUMMYFUNCTION("""COMPUTED_VALUE"""),"")</f>
        <v/>
      </c>
      <c r="E90" s="131" t="str">
        <f>IFERROR(__xludf.DUMMYFUNCTION("""COMPUTED_VALUE"""),"No")</f>
        <v>No</v>
      </c>
      <c r="F90" s="131" t="str">
        <f>IFERROR(__xludf.DUMMYFUNCTION("""COMPUTED_VALUE"""),"Variant Pathogenicity")</f>
        <v>Variant Pathogenicity</v>
      </c>
      <c r="G90" s="128" t="str">
        <f>IFERROR(__xludf.DUMMYFUNCTION("""COMPUTED_VALUE"""),"")</f>
        <v/>
      </c>
      <c r="H90" s="128" t="str">
        <f>IFERROR(__xludf.DUMMYFUNCTION("""COMPUTED_VALUE"""),"Terra Brannan")</f>
        <v>Terra Brannan</v>
      </c>
      <c r="I90" s="128" t="str">
        <f>IFERROR(__xludf.DUMMYFUNCTION("""COMPUTED_VALUE"""),"tbrannan@ambrygen.com")</f>
        <v>tbrannan@ambrygen.com</v>
      </c>
      <c r="J90" s="131" t="str">
        <f>IFERROR(__xludf.DUMMYFUNCTION("""COMPUTED_VALUE"""),"Comprehensive")</f>
        <v>Comprehensive</v>
      </c>
      <c r="K90" s="132" t="str">
        <f>IFERROR(__xludf.DUMMYFUNCTION("""COMPUTED_VALUE"""),"CDH1")</f>
        <v>CDH1</v>
      </c>
      <c r="L90" t="str">
        <f>IFERROR(__xludf.DUMMYFUNCTION("""COMPUTED_VALUE"""),"Yes, I have been performing variant assessment since December 2018")</f>
        <v>Yes, I have been performing variant assessment since December 2018</v>
      </c>
    </row>
    <row r="91">
      <c r="A91" s="128" t="str">
        <f>IFERROR(__xludf.DUMMYFUNCTION("""COMPUTED_VALUE"""),"Contacted")</f>
        <v>Contacted</v>
      </c>
      <c r="B91" s="134">
        <f>IFERROR(__xludf.DUMMYFUNCTION("""COMPUTED_VALUE"""),43819.0)</f>
        <v>43819</v>
      </c>
      <c r="C91" s="128" t="str">
        <f>IFERROR(__xludf.DUMMYFUNCTION("""COMPUTED_VALUE"""),"")</f>
        <v/>
      </c>
      <c r="D91" s="131" t="str">
        <f>IFERROR(__xludf.DUMMYFUNCTION("""COMPUTED_VALUE"""),"")</f>
        <v/>
      </c>
      <c r="E91" s="131" t="str">
        <f>IFERROR(__xludf.DUMMYFUNCTION("""COMPUTED_VALUE"""),"No")</f>
        <v>No</v>
      </c>
      <c r="F91" s="131" t="str">
        <f>IFERROR(__xludf.DUMMYFUNCTION("""COMPUTED_VALUE"""),"Variant Pathogenicity")</f>
        <v>Variant Pathogenicity</v>
      </c>
      <c r="G91" s="128" t="str">
        <f>IFERROR(__xludf.DUMMYFUNCTION("""COMPUTED_VALUE"""),"")</f>
        <v/>
      </c>
      <c r="H91" s="128" t="str">
        <f>IFERROR(__xludf.DUMMYFUNCTION("""COMPUTED_VALUE"""),"Jordan Stern")</f>
        <v>Jordan Stern</v>
      </c>
      <c r="I91" s="128" t="str">
        <f>IFERROR(__xludf.DUMMYFUNCTION("""COMPUTED_VALUE"""),"jordanjnstern@gmail.com")</f>
        <v>jordanjnstern@gmail.com</v>
      </c>
      <c r="J91" s="131" t="str">
        <f>IFERROR(__xludf.DUMMYFUNCTION("""COMPUTED_VALUE"""),"Comprehensive")</f>
        <v>Comprehensive</v>
      </c>
      <c r="K91" s="132" t="str">
        <f>IFERROR(__xludf.DUMMYFUNCTION("""COMPUTED_VALUE"""),"yes")</f>
        <v>yes</v>
      </c>
      <c r="L91" t="str">
        <f>IFERROR(__xludf.DUMMYFUNCTION("""COMPUTED_VALUE"""),"")</f>
        <v/>
      </c>
    </row>
    <row r="92">
      <c r="A92" s="128" t="str">
        <f>IFERROR(__xludf.DUMMYFUNCTION("""COMPUTED_VALUE"""),"Contacted")</f>
        <v>Contacted</v>
      </c>
      <c r="B92" s="134">
        <f>IFERROR(__xludf.DUMMYFUNCTION("""COMPUTED_VALUE"""),43819.0)</f>
        <v>43819</v>
      </c>
      <c r="C92" s="128" t="str">
        <f>IFERROR(__xludf.DUMMYFUNCTION("""COMPUTED_VALUE"""),"")</f>
        <v/>
      </c>
      <c r="D92" s="131" t="str">
        <f>IFERROR(__xludf.DUMMYFUNCTION("""COMPUTED_VALUE"""),"")</f>
        <v/>
      </c>
      <c r="E92" s="131" t="str">
        <f>IFERROR(__xludf.DUMMYFUNCTION("""COMPUTED_VALUE"""),"No")</f>
        <v>No</v>
      </c>
      <c r="F92" s="131" t="str">
        <f>IFERROR(__xludf.DUMMYFUNCTION("""COMPUTED_VALUE"""),"Variant Pathogenicity")</f>
        <v>Variant Pathogenicity</v>
      </c>
      <c r="G92" s="128" t="str">
        <f>IFERROR(__xludf.DUMMYFUNCTION("""COMPUTED_VALUE"""),"")</f>
        <v/>
      </c>
      <c r="H92" s="128" t="str">
        <f>IFERROR(__xludf.DUMMYFUNCTION("""COMPUTED_VALUE"""),"Jamie Maciaszek")</f>
        <v>Jamie Maciaszek</v>
      </c>
      <c r="I92" s="128" t="str">
        <f>IFERROR(__xludf.DUMMYFUNCTION("""COMPUTED_VALUE"""),"jamie.maciaszek@stjude.org")</f>
        <v>jamie.maciaszek@stjude.org</v>
      </c>
      <c r="J92" s="131" t="str">
        <f>IFERROR(__xludf.DUMMYFUNCTION("""COMPUTED_VALUE"""),"Comprehensive")</f>
        <v>Comprehensive</v>
      </c>
      <c r="K92" s="132" t="str">
        <f>IFERROR(__xludf.DUMMYFUNCTION("""COMPUTED_VALUE"""),"Myeloid Malignancy, Hereditary Cancer")</f>
        <v>Myeloid Malignancy, Hereditary Cancer</v>
      </c>
      <c r="L92" t="str">
        <f>IFERROR(__xludf.DUMMYFUNCTION("""COMPUTED_VALUE"""),"working on SJFAMILY study to curate variants in suspected cases of hereditary cancer")</f>
        <v>working on SJFAMILY study to curate variants in suspected cases of hereditary cancer</v>
      </c>
    </row>
    <row r="93">
      <c r="A93" s="128" t="str">
        <f>IFERROR(__xludf.DUMMYFUNCTION("""COMPUTED_VALUE"""),"Contacted")</f>
        <v>Contacted</v>
      </c>
      <c r="B93" s="134">
        <f>IFERROR(__xludf.DUMMYFUNCTION("""COMPUTED_VALUE"""),43819.0)</f>
        <v>43819</v>
      </c>
      <c r="C93" s="128" t="str">
        <f>IFERROR(__xludf.DUMMYFUNCTION("""COMPUTED_VALUE"""),"")</f>
        <v/>
      </c>
      <c r="D93" s="131" t="str">
        <f>IFERROR(__xludf.DUMMYFUNCTION("""COMPUTED_VALUE"""),"")</f>
        <v/>
      </c>
      <c r="E93" s="131" t="str">
        <f>IFERROR(__xludf.DUMMYFUNCTION("""COMPUTED_VALUE"""),"No")</f>
        <v>No</v>
      </c>
      <c r="F93" s="131" t="str">
        <f>IFERROR(__xludf.DUMMYFUNCTION("""COMPUTED_VALUE"""),"Variant Pathogenicity")</f>
        <v>Variant Pathogenicity</v>
      </c>
      <c r="G93" s="128" t="str">
        <f>IFERROR(__xludf.DUMMYFUNCTION("""COMPUTED_VALUE"""),"")</f>
        <v/>
      </c>
      <c r="H93" s="128" t="str">
        <f>IFERROR(__xludf.DUMMYFUNCTION("""COMPUTED_VALUE"""),"Olivier Bluteau")</f>
        <v>Olivier Bluteau</v>
      </c>
      <c r="I93" s="128" t="str">
        <f>IFERROR(__xludf.DUMMYFUNCTION("""COMPUTED_VALUE"""),"olivier.bluteau@aphp.fr")</f>
        <v>olivier.bluteau@aphp.fr</v>
      </c>
      <c r="J93" s="131" t="str">
        <f>IFERROR(__xludf.DUMMYFUNCTION("""COMPUTED_VALUE"""),"Comprehensive")</f>
        <v>Comprehensive</v>
      </c>
      <c r="K93" s="132" t="str">
        <f>IFERROR(__xludf.DUMMYFUNCTION("""COMPUTED_VALUE"""),"Familial Hypercholesterolemia Variant Curation Expert Panel")</f>
        <v>Familial Hypercholesterolemia Variant Curation Expert Panel</v>
      </c>
      <c r="L93" t="str">
        <f>IFERROR(__xludf.DUMMYFUNCTION("""COMPUTED_VALUE"""),"")</f>
        <v/>
      </c>
    </row>
    <row r="94">
      <c r="A94" s="128" t="str">
        <f>IFERROR(__xludf.DUMMYFUNCTION("""COMPUTED_VALUE"""),"Contacted")</f>
        <v>Contacted</v>
      </c>
      <c r="B94" s="134">
        <f>IFERROR(__xludf.DUMMYFUNCTION("""COMPUTED_VALUE"""),43819.0)</f>
        <v>43819</v>
      </c>
      <c r="C94" s="128" t="str">
        <f>IFERROR(__xludf.DUMMYFUNCTION("""COMPUTED_VALUE"""),"")</f>
        <v/>
      </c>
      <c r="D94" s="131" t="str">
        <f>IFERROR(__xludf.DUMMYFUNCTION("""COMPUTED_VALUE"""),"")</f>
        <v/>
      </c>
      <c r="E94" s="131" t="str">
        <f>IFERROR(__xludf.DUMMYFUNCTION("""COMPUTED_VALUE"""),"No")</f>
        <v>No</v>
      </c>
      <c r="F94" s="131" t="str">
        <f>IFERROR(__xludf.DUMMYFUNCTION("""COMPUTED_VALUE"""),"Variant Pathogenicity")</f>
        <v>Variant Pathogenicity</v>
      </c>
      <c r="G94" s="128" t="str">
        <f>IFERROR(__xludf.DUMMYFUNCTION("""COMPUTED_VALUE"""),"")</f>
        <v/>
      </c>
      <c r="H94" s="128" t="str">
        <f>IFERROR(__xludf.DUMMYFUNCTION("""COMPUTED_VALUE"""),"Linlin Zhang")</f>
        <v>Linlin Zhang</v>
      </c>
      <c r="I94" s="128" t="str">
        <f>IFERROR(__xludf.DUMMYFUNCTION("""COMPUTED_VALUE"""),"linlinzhang277@gmail.com")</f>
        <v>linlinzhang277@gmail.com</v>
      </c>
      <c r="J94" s="131" t="str">
        <f>IFERROR(__xludf.DUMMYFUNCTION("""COMPUTED_VALUE"""),"Comprehensive")</f>
        <v>Comprehensive</v>
      </c>
      <c r="K94" s="132" t="str">
        <f>IFERROR(__xludf.DUMMYFUNCTION("""COMPUTED_VALUE"""),"Dosage Sensitivity Working Group  or Variant Curation Expert Panels in Phenylketonuria")</f>
        <v>Dosage Sensitivity Working Group  or Variant Curation Expert Panels in Phenylketonuria</v>
      </c>
      <c r="L94" t="str">
        <f>IFERROR(__xludf.DUMMYFUNCTION("""COMPUTED_VALUE"""),"I am a director of clinical molecular and genetic lab of the Third Affliated Hospital of Zhengzhou University which is the largest maternal and children's hospital of Henan Province serving over 100 million population. I finish more than 30 CMA reports an"&amp;"d  4 variant pathogenic curation everyweek. I have 7 years of work experience in molecular genetic diagnosis, especially in the field of prenatal diagnosis.  Our Lab will finish about 200 Phenylketonuria molecular tests. These patients are from the newbor"&amp;"n screening center of Henan Province.")</f>
        <v>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v>
      </c>
    </row>
    <row r="95">
      <c r="A95" s="128" t="str">
        <f>IFERROR(__xludf.DUMMYFUNCTION("""COMPUTED_VALUE"""),"Contacted")</f>
        <v>Contacted</v>
      </c>
      <c r="B95" s="134">
        <f>IFERROR(__xludf.DUMMYFUNCTION("""COMPUTED_VALUE"""),43819.0)</f>
        <v>43819</v>
      </c>
      <c r="C95" s="128" t="str">
        <f>IFERROR(__xludf.DUMMYFUNCTION("""COMPUTED_VALUE"""),"")</f>
        <v/>
      </c>
      <c r="D95" s="131" t="str">
        <f>IFERROR(__xludf.DUMMYFUNCTION("""COMPUTED_VALUE"""),"")</f>
        <v/>
      </c>
      <c r="E95" s="131" t="str">
        <f>IFERROR(__xludf.DUMMYFUNCTION("""COMPUTED_VALUE"""),"No")</f>
        <v>No</v>
      </c>
      <c r="F95" s="131" t="str">
        <f>IFERROR(__xludf.DUMMYFUNCTION("""COMPUTED_VALUE"""),"Variant Pathogenicity")</f>
        <v>Variant Pathogenicity</v>
      </c>
      <c r="G95" s="128" t="str">
        <f>IFERROR(__xludf.DUMMYFUNCTION("""COMPUTED_VALUE"""),"")</f>
        <v/>
      </c>
      <c r="H95" s="128" t="str">
        <f>IFERROR(__xludf.DUMMYFUNCTION("""COMPUTED_VALUE"""),"Marco Montes de Oca")</f>
        <v>Marco Montes de Oca</v>
      </c>
      <c r="I95" s="128" t="str">
        <f>IFERROR(__xludf.DUMMYFUNCTION("""COMPUTED_VALUE"""),"montesm@student.unimelb.edu.au")</f>
        <v>montesm@student.unimelb.edu.au</v>
      </c>
      <c r="J95" s="131" t="str">
        <f>IFERROR(__xludf.DUMMYFUNCTION("""COMPUTED_VALUE"""),"Comprehensive")</f>
        <v>Comprehensive</v>
      </c>
      <c r="K95" s="132" t="str">
        <f>IFERROR(__xludf.DUMMYFUNCTION("""COMPUTED_VALUE"""),"I am interested in the following working groups:
- Brain Malformations Variant Curation Expert Panel
- Mitochondrial Diseases Gene Curation Expert Panel")</f>
        <v>I am interested in the following working groups:
- Brain Malformations Variant Curation Expert Panel
- Mitochondrial Diseases Gene Curation Expert Panel</v>
      </c>
      <c r="L95" t="str">
        <f>IFERROR(__xludf.DUMMYFUNCTION("""COMPUTED_VALUE"""),"")</f>
        <v/>
      </c>
    </row>
    <row r="96">
      <c r="A96" s="128" t="str">
        <f>IFERROR(__xludf.DUMMYFUNCTION("""COMPUTED_VALUE"""),"Contacted")</f>
        <v>Contacted</v>
      </c>
      <c r="B96" s="134">
        <f>IFERROR(__xludf.DUMMYFUNCTION("""COMPUTED_VALUE"""),43819.0)</f>
        <v>43819</v>
      </c>
      <c r="C96" s="128" t="str">
        <f>IFERROR(__xludf.DUMMYFUNCTION("""COMPUTED_VALUE"""),"")</f>
        <v/>
      </c>
      <c r="D96" s="131" t="str">
        <f>IFERROR(__xludf.DUMMYFUNCTION("""COMPUTED_VALUE"""),"")</f>
        <v/>
      </c>
      <c r="E96" s="131" t="str">
        <f>IFERROR(__xludf.DUMMYFUNCTION("""COMPUTED_VALUE"""),"No")</f>
        <v>No</v>
      </c>
      <c r="F96" s="131" t="str">
        <f>IFERROR(__xludf.DUMMYFUNCTION("""COMPUTED_VALUE"""),"Variant Pathogenicity")</f>
        <v>Variant Pathogenicity</v>
      </c>
      <c r="G96" s="128" t="str">
        <f>IFERROR(__xludf.DUMMYFUNCTION("""COMPUTED_VALUE"""),"")</f>
        <v/>
      </c>
      <c r="H96" s="128" t="str">
        <f>IFERROR(__xludf.DUMMYFUNCTION("""COMPUTED_VALUE"""),"Heather Harris")</f>
        <v>Heather Harris</v>
      </c>
      <c r="I96" s="128" t="str">
        <f>IFERROR(__xludf.DUMMYFUNCTION("""COMPUTED_VALUE"""),"heatherkharris1@gmail.com")</f>
        <v>heatherkharris1@gmail.com</v>
      </c>
      <c r="J96" s="131" t="str">
        <f>IFERROR(__xludf.DUMMYFUNCTION("""COMPUTED_VALUE"""),"Comprehensive")</f>
        <v>Comprehensive</v>
      </c>
      <c r="K96" s="132" t="str">
        <f>IFERROR(__xludf.DUMMYFUNCTION("""COMPUTED_VALUE"""),"I am open to any opportunity.")</f>
        <v>I am open to any opportunity.</v>
      </c>
      <c r="L96" t="str">
        <f>IFERROR(__xludf.DUMMYFUNCTION("""COMPUTED_VALUE"""),"Limited experience with creating variant descriptions for lab report writing. ")</f>
        <v>Limited experience with creating variant descriptions for lab report writing. </v>
      </c>
    </row>
    <row r="97">
      <c r="A97" s="128" t="str">
        <f>IFERROR(__xludf.DUMMYFUNCTION("""COMPUTED_VALUE"""),"Contacted")</f>
        <v>Contacted</v>
      </c>
      <c r="B97" s="134">
        <f>IFERROR(__xludf.DUMMYFUNCTION("""COMPUTED_VALUE"""),43819.0)</f>
        <v>43819</v>
      </c>
      <c r="C97" s="128" t="str">
        <f>IFERROR(__xludf.DUMMYFUNCTION("""COMPUTED_VALUE"""),"")</f>
        <v/>
      </c>
      <c r="D97" s="131" t="str">
        <f>IFERROR(__xludf.DUMMYFUNCTION("""COMPUTED_VALUE"""),"")</f>
        <v/>
      </c>
      <c r="E97" s="131" t="str">
        <f>IFERROR(__xludf.DUMMYFUNCTION("""COMPUTED_VALUE"""),"No")</f>
        <v>No</v>
      </c>
      <c r="F97" s="131" t="str">
        <f>IFERROR(__xludf.DUMMYFUNCTION("""COMPUTED_VALUE"""),"Variant Pathogenicity")</f>
        <v>Variant Pathogenicity</v>
      </c>
      <c r="G97" s="128" t="str">
        <f>IFERROR(__xludf.DUMMYFUNCTION("""COMPUTED_VALUE"""),"")</f>
        <v/>
      </c>
      <c r="H97" s="128" t="str">
        <f>IFERROR(__xludf.DUMMYFUNCTION("""COMPUTED_VALUE"""),"Kaitlin Lenhart")</f>
        <v>Kaitlin Lenhart</v>
      </c>
      <c r="I97" s="128" t="str">
        <f>IFERROR(__xludf.DUMMYFUNCTION("""COMPUTED_VALUE"""),"kaitlin.lenhart@slh.wisc.edu")</f>
        <v>kaitlin.lenhart@slh.wisc.edu</v>
      </c>
      <c r="J97" s="131" t="str">
        <f>IFERROR(__xludf.DUMMYFUNCTION("""COMPUTED_VALUE"""),"Comprehensive")</f>
        <v>Comprehensive</v>
      </c>
      <c r="K97" s="132" t="str">
        <f>IFERROR(__xludf.DUMMYFUNCTION("""COMPUTED_VALUE"""),"")</f>
        <v/>
      </c>
      <c r="L97" t="str">
        <f>IFERROR(__xludf.DUMMYFUNCTION("""COMPUTED_VALUE"""),"")</f>
        <v/>
      </c>
    </row>
    <row r="98">
      <c r="A98" s="128" t="str">
        <f>IFERROR(__xludf.DUMMYFUNCTION("""COMPUTED_VALUE"""),"Contacted")</f>
        <v>Contacted</v>
      </c>
      <c r="B98" s="134">
        <f>IFERROR(__xludf.DUMMYFUNCTION("""COMPUTED_VALUE"""),43819.0)</f>
        <v>43819</v>
      </c>
      <c r="C98" s="128" t="str">
        <f>IFERROR(__xludf.DUMMYFUNCTION("""COMPUTED_VALUE"""),"")</f>
        <v/>
      </c>
      <c r="D98" s="131" t="str">
        <f>IFERROR(__xludf.DUMMYFUNCTION("""COMPUTED_VALUE"""),"")</f>
        <v/>
      </c>
      <c r="E98" s="131" t="str">
        <f>IFERROR(__xludf.DUMMYFUNCTION("""COMPUTED_VALUE"""),"No")</f>
        <v>No</v>
      </c>
      <c r="F98" s="131" t="str">
        <f>IFERROR(__xludf.DUMMYFUNCTION("""COMPUTED_VALUE"""),"Variant Pathogenicity")</f>
        <v>Variant Pathogenicity</v>
      </c>
      <c r="G98" s="128" t="str">
        <f>IFERROR(__xludf.DUMMYFUNCTION("""COMPUTED_VALUE"""),"")</f>
        <v/>
      </c>
      <c r="H98" s="128" t="str">
        <f>IFERROR(__xludf.DUMMYFUNCTION("""COMPUTED_VALUE"""),"YANYI YAO")</f>
        <v>YANYI YAO</v>
      </c>
      <c r="I98" s="128" t="str">
        <f>IFERROR(__xludf.DUMMYFUNCTION("""COMPUTED_VALUE"""),"yaoyanyi@hotmail.com")</f>
        <v>yaoyanyi@hotmail.com</v>
      </c>
      <c r="J98" s="131" t="str">
        <f>IFERROR(__xludf.DUMMYFUNCTION("""COMPUTED_VALUE"""),"Comprehensive")</f>
        <v>Comprehensive</v>
      </c>
      <c r="K98" s="132" t="str">
        <f>IFERROR(__xludf.DUMMYFUNCTION("""COMPUTED_VALUE"""),"Limb Girdle Muscular Dystrophy ")</f>
        <v>Limb Girdle Muscular Dystrophy </v>
      </c>
      <c r="L98" t="str">
        <f>IFERROR(__xludf.DUMMYFUNCTION("""COMPUTED_VALUE"""),"I attended Interpreting Genomes for Rare Disease 2019.")</f>
        <v>I attended Interpreting Genomes for Rare Disease 2019.</v>
      </c>
    </row>
    <row r="99">
      <c r="A99" s="128" t="str">
        <f>IFERROR(__xludf.DUMMYFUNCTION("""COMPUTED_VALUE"""),"Contacted")</f>
        <v>Contacted</v>
      </c>
      <c r="B99" s="134">
        <f>IFERROR(__xludf.DUMMYFUNCTION("""COMPUTED_VALUE"""),43819.0)</f>
        <v>43819</v>
      </c>
      <c r="C99" s="128" t="str">
        <f>IFERROR(__xludf.DUMMYFUNCTION("""COMPUTED_VALUE"""),"")</f>
        <v/>
      </c>
      <c r="D99" s="131" t="str">
        <f>IFERROR(__xludf.DUMMYFUNCTION("""COMPUTED_VALUE"""),"")</f>
        <v/>
      </c>
      <c r="E99" s="131" t="str">
        <f>IFERROR(__xludf.DUMMYFUNCTION("""COMPUTED_VALUE"""),"No")</f>
        <v>No</v>
      </c>
      <c r="F99" s="131" t="str">
        <f>IFERROR(__xludf.DUMMYFUNCTION("""COMPUTED_VALUE"""),"Variant Pathogenicity")</f>
        <v>Variant Pathogenicity</v>
      </c>
      <c r="G99" s="128" t="str">
        <f>IFERROR(__xludf.DUMMYFUNCTION("""COMPUTED_VALUE"""),"")</f>
        <v/>
      </c>
      <c r="H99" s="128" t="str">
        <f>IFERROR(__xludf.DUMMYFUNCTION("""COMPUTED_VALUE"""),"Daniela Martiniuc")</f>
        <v>Daniela Martiniuc</v>
      </c>
      <c r="I99" s="128" t="str">
        <f>IFERROR(__xludf.DUMMYFUNCTION("""COMPUTED_VALUE"""),"dmartiniuc@ucdavis.edu")</f>
        <v>dmartiniuc@ucdavis.edu</v>
      </c>
      <c r="J99" s="131" t="str">
        <f>IFERROR(__xludf.DUMMYFUNCTION("""COMPUTED_VALUE"""),"Comprehensive")</f>
        <v>Comprehensive</v>
      </c>
      <c r="K99" s="132" t="str">
        <f>IFERROR(__xludf.DUMMYFUNCTION("""COMPUTED_VALUE"""),"")</f>
        <v/>
      </c>
      <c r="L99" t="str">
        <f>IFERROR(__xludf.DUMMYFUNCTION("""COMPUTED_VALUE"""),"I have no experience with curation")</f>
        <v>I have no experience with curation</v>
      </c>
    </row>
    <row r="100">
      <c r="A100" s="128" t="str">
        <f>IFERROR(__xludf.DUMMYFUNCTION("""COMPUTED_VALUE"""),"Contacted")</f>
        <v>Contacted</v>
      </c>
      <c r="B100" s="134">
        <f>IFERROR(__xludf.DUMMYFUNCTION("""COMPUTED_VALUE"""),43819.0)</f>
        <v>43819</v>
      </c>
      <c r="C100" s="128" t="str">
        <f>IFERROR(__xludf.DUMMYFUNCTION("""COMPUTED_VALUE"""),"")</f>
        <v/>
      </c>
      <c r="D100" s="131" t="str">
        <f>IFERROR(__xludf.DUMMYFUNCTION("""COMPUTED_VALUE"""),"")</f>
        <v/>
      </c>
      <c r="E100" s="131" t="str">
        <f>IFERROR(__xludf.DUMMYFUNCTION("""COMPUTED_VALUE"""),"No")</f>
        <v>No</v>
      </c>
      <c r="F100" s="131" t="str">
        <f>IFERROR(__xludf.DUMMYFUNCTION("""COMPUTED_VALUE"""),"Variant Pathogenicity")</f>
        <v>Variant Pathogenicity</v>
      </c>
      <c r="G100" s="128" t="str">
        <f>IFERROR(__xludf.DUMMYFUNCTION("""COMPUTED_VALUE"""),"")</f>
        <v/>
      </c>
      <c r="H100" s="128" t="str">
        <f>IFERROR(__xludf.DUMMYFUNCTION("""COMPUTED_VALUE"""),"Elizabeth Ewen")</f>
        <v>Elizabeth Ewen</v>
      </c>
      <c r="I100" s="128" t="str">
        <f>IFERROR(__xludf.DUMMYFUNCTION("""COMPUTED_VALUE"""),"elizabeth.ewen@agilent.com")</f>
        <v>elizabeth.ewen@agilent.com</v>
      </c>
      <c r="J100" s="131" t="str">
        <f>IFERROR(__xludf.DUMMYFUNCTION("""COMPUTED_VALUE"""),"Comprehensive")</f>
        <v>Comprehensive</v>
      </c>
      <c r="K100" s="132" t="str">
        <f>IFERROR(__xludf.DUMMYFUNCTION("""COMPUTED_VALUE"""),"")</f>
        <v/>
      </c>
      <c r="L100" t="str">
        <f>IFERROR(__xludf.DUMMYFUNCTION("""COMPUTED_VALUE"""),"Helping customers find clinically relevant/pathogenic variants")</f>
        <v>Helping customers find clinically relevant/pathogenic variants</v>
      </c>
    </row>
    <row r="101">
      <c r="A101" s="128" t="str">
        <f>IFERROR(__xludf.DUMMYFUNCTION("""COMPUTED_VALUE"""),"Contacted")</f>
        <v>Contacted</v>
      </c>
      <c r="B101" s="134">
        <f>IFERROR(__xludf.DUMMYFUNCTION("""COMPUTED_VALUE"""),43819.0)</f>
        <v>43819</v>
      </c>
      <c r="C101" s="128" t="str">
        <f>IFERROR(__xludf.DUMMYFUNCTION("""COMPUTED_VALUE"""),"")</f>
        <v/>
      </c>
      <c r="D101" s="131" t="str">
        <f>IFERROR(__xludf.DUMMYFUNCTION("""COMPUTED_VALUE"""),"")</f>
        <v/>
      </c>
      <c r="E101" s="131" t="str">
        <f>IFERROR(__xludf.DUMMYFUNCTION("""COMPUTED_VALUE"""),"No")</f>
        <v>No</v>
      </c>
      <c r="F101" s="131" t="str">
        <f>IFERROR(__xludf.DUMMYFUNCTION("""COMPUTED_VALUE"""),"Variant Pathogenicity")</f>
        <v>Variant Pathogenicity</v>
      </c>
      <c r="G101" s="128" t="str">
        <f>IFERROR(__xludf.DUMMYFUNCTION("""COMPUTED_VALUE"""),"")</f>
        <v/>
      </c>
      <c r="H101" s="128" t="str">
        <f>IFERROR(__xludf.DUMMYFUNCTION("""COMPUTED_VALUE"""),"Jennifer Sloan")</f>
        <v>Jennifer Sloan</v>
      </c>
      <c r="I101" s="128" t="str">
        <f>IFERROR(__xludf.DUMMYFUNCTION("""COMPUTED_VALUE"""),"jsloan@mail.nih.gov")</f>
        <v>jsloan@mail.nih.gov</v>
      </c>
      <c r="J101" s="131" t="str">
        <f>IFERROR(__xludf.DUMMYFUNCTION("""COMPUTED_VALUE"""),"Comprehensive")</f>
        <v>Comprehensive</v>
      </c>
      <c r="K101" s="132" t="str">
        <f>IFERROR(__xludf.DUMMYFUNCTION("""COMPUTED_VALUE"""),"OTC")</f>
        <v>OTC</v>
      </c>
      <c r="L101" t="str">
        <f>IFERROR(__xludf.DUMMYFUNCTION("""COMPUTED_VALUE"""),"I work on natural hx studies for MMA/cobalamin disorders and PA where we have evaluated &gt;200 affected individuals and am involved in reviewing and interpreting molecular genetic test results. Also recently completed fellowship in Clinical Molecular Geneti"&amp;"cs at NIH and took board exam in 8/2019.")</f>
        <v>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v>
      </c>
    </row>
    <row r="102">
      <c r="A102" t="str">
        <f>IFERROR(__xludf.DUMMYFUNCTION("""COMPUTED_VALUE"""),"Contacted")</f>
        <v>Contacted</v>
      </c>
      <c r="B102" s="115">
        <f>IFERROR(__xludf.DUMMYFUNCTION("""COMPUTED_VALUE"""),43819.0)</f>
        <v>43819</v>
      </c>
      <c r="C102" t="str">
        <f>IFERROR(__xludf.DUMMYFUNCTION("""COMPUTED_VALUE"""),"")</f>
        <v/>
      </c>
      <c r="D102" s="55" t="str">
        <f>IFERROR(__xludf.DUMMYFUNCTION("""COMPUTED_VALUE"""),"")</f>
        <v/>
      </c>
      <c r="E102" s="55" t="str">
        <f>IFERROR(__xludf.DUMMYFUNCTION("""COMPUTED_VALUE"""),"No")</f>
        <v>No</v>
      </c>
      <c r="F102" s="55" t="str">
        <f>IFERROR(__xludf.DUMMYFUNCTION("""COMPUTED_VALUE"""),"Variant Pathogenicity")</f>
        <v>Variant Pathogenicity</v>
      </c>
      <c r="G102" t="str">
        <f>IFERROR(__xludf.DUMMYFUNCTION("""COMPUTED_VALUE"""),"")</f>
        <v/>
      </c>
      <c r="H102" t="str">
        <f>IFERROR(__xludf.DUMMYFUNCTION("""COMPUTED_VALUE"""),"Guadalupe Carvajal")</f>
        <v>Guadalupe Carvajal</v>
      </c>
      <c r="I102" t="str">
        <f>IFERROR(__xludf.DUMMYFUNCTION("""COMPUTED_VALUE"""),"gcarvajal18@students.kgi.edu")</f>
        <v>gcarvajal18@students.kgi.edu</v>
      </c>
      <c r="J102" s="55" t="str">
        <f>IFERROR(__xludf.DUMMYFUNCTION("""COMPUTED_VALUE"""),"Comprehensive")</f>
        <v>Comprehensive</v>
      </c>
      <c r="K102" s="126" t="str">
        <f>IFERROR(__xludf.DUMMYFUNCTION("""COMPUTED_VALUE"""),"")</f>
        <v/>
      </c>
      <c r="L102" t="str">
        <f>IFERROR(__xludf.DUMMYFUNCTION("""COMPUTED_VALUE"""),"Very basic work done in class")</f>
        <v>Very basic work done in class</v>
      </c>
    </row>
    <row r="103">
      <c r="A103" t="str">
        <f>IFERROR(__xludf.DUMMYFUNCTION("""COMPUTED_VALUE"""),"Contacted")</f>
        <v>Contacted</v>
      </c>
      <c r="B103" s="115">
        <f>IFERROR(__xludf.DUMMYFUNCTION("""COMPUTED_VALUE"""),43819.0)</f>
        <v>43819</v>
      </c>
      <c r="C103" t="str">
        <f>IFERROR(__xludf.DUMMYFUNCTION("""COMPUTED_VALUE"""),"")</f>
        <v/>
      </c>
      <c r="D103" s="55" t="str">
        <f>IFERROR(__xludf.DUMMYFUNCTION("""COMPUTED_VALUE"""),"")</f>
        <v/>
      </c>
      <c r="E103" s="55" t="str">
        <f>IFERROR(__xludf.DUMMYFUNCTION("""COMPUTED_VALUE"""),"No")</f>
        <v>No</v>
      </c>
      <c r="F103" s="55" t="str">
        <f>IFERROR(__xludf.DUMMYFUNCTION("""COMPUTED_VALUE"""),"Variant Pathogenicity")</f>
        <v>Variant Pathogenicity</v>
      </c>
      <c r="G103" t="str">
        <f>IFERROR(__xludf.DUMMYFUNCTION("""COMPUTED_VALUE"""),"")</f>
        <v/>
      </c>
      <c r="H103" t="str">
        <f>IFERROR(__xludf.DUMMYFUNCTION("""COMPUTED_VALUE"""),"Liang Guo")</f>
        <v>Liang Guo</v>
      </c>
      <c r="I103" t="str">
        <f>IFERROR(__xludf.DUMMYFUNCTION("""COMPUTED_VALUE"""),"lguo@cvpath.org")</f>
        <v>lguo@cvpath.org</v>
      </c>
      <c r="J103" s="55" t="str">
        <f>IFERROR(__xludf.DUMMYFUNCTION("""COMPUTED_VALUE"""),"Comprehensive")</f>
        <v>Comprehensive</v>
      </c>
      <c r="K103" s="126" t="str">
        <f>IFERROR(__xludf.DUMMYFUNCTION("""COMPUTED_VALUE"""),"Cardiovascular working group")</f>
        <v>Cardiovascular working group</v>
      </c>
      <c r="L103" t="str">
        <f>IFERROR(__xludf.DUMMYFUNCTION("""COMPUTED_VALUE"""),"Yes, curation of hypertrophic cardiomyopathy")</f>
        <v>Yes, curation of hypertrophic cardiomyopathy</v>
      </c>
    </row>
    <row r="104">
      <c r="A104" t="str">
        <f>IFERROR(__xludf.DUMMYFUNCTION("""COMPUTED_VALUE"""),"Contacted")</f>
        <v>Contacted</v>
      </c>
      <c r="B104" s="115">
        <f>IFERROR(__xludf.DUMMYFUNCTION("""COMPUTED_VALUE"""),43819.0)</f>
        <v>43819</v>
      </c>
      <c r="C104" t="str">
        <f>IFERROR(__xludf.DUMMYFUNCTION("""COMPUTED_VALUE"""),"")</f>
        <v/>
      </c>
      <c r="D104" s="55" t="str">
        <f>IFERROR(__xludf.DUMMYFUNCTION("""COMPUTED_VALUE"""),"")</f>
        <v/>
      </c>
      <c r="E104" s="55" t="str">
        <f>IFERROR(__xludf.DUMMYFUNCTION("""COMPUTED_VALUE"""),"No")</f>
        <v>No</v>
      </c>
      <c r="F104" s="55" t="str">
        <f>IFERROR(__xludf.DUMMYFUNCTION("""COMPUTED_VALUE"""),"Variant Pathogenicity")</f>
        <v>Variant Pathogenicity</v>
      </c>
      <c r="G104" t="str">
        <f>IFERROR(__xludf.DUMMYFUNCTION("""COMPUTED_VALUE"""),"")</f>
        <v/>
      </c>
      <c r="H104" t="str">
        <f>IFERROR(__xludf.DUMMYFUNCTION("""COMPUTED_VALUE"""),"Abul Kalam Azad")</f>
        <v>Abul Kalam Azad</v>
      </c>
      <c r="I104" t="str">
        <f>IFERROR(__xludf.DUMMYFUNCTION("""COMPUTED_VALUE"""),"azadak@gmail.com")</f>
        <v>azadak@gmail.com</v>
      </c>
      <c r="J104" s="55" t="str">
        <f>IFERROR(__xludf.DUMMYFUNCTION("""COMPUTED_VALUE"""),"Comprehensive")</f>
        <v>Comprehensive</v>
      </c>
      <c r="K104" s="126" t="str">
        <f>IFERROR(__xludf.DUMMYFUNCTION("""COMPUTED_VALUE"""),"")</f>
        <v/>
      </c>
      <c r="L104" t="str">
        <f>IFERROR(__xludf.DUMMYFUNCTION("""COMPUTED_VALUE"""),"")</f>
        <v/>
      </c>
    </row>
    <row r="105">
      <c r="A105" t="str">
        <f>IFERROR(__xludf.DUMMYFUNCTION("""COMPUTED_VALUE"""),"Contacted")</f>
        <v>Contacted</v>
      </c>
      <c r="B105" s="115">
        <f>IFERROR(__xludf.DUMMYFUNCTION("""COMPUTED_VALUE"""),43819.0)</f>
        <v>43819</v>
      </c>
      <c r="C105" t="str">
        <f>IFERROR(__xludf.DUMMYFUNCTION("""COMPUTED_VALUE"""),"")</f>
        <v/>
      </c>
      <c r="D105" s="55" t="str">
        <f>IFERROR(__xludf.DUMMYFUNCTION("""COMPUTED_VALUE"""),"")</f>
        <v/>
      </c>
      <c r="E105" s="55" t="str">
        <f>IFERROR(__xludf.DUMMYFUNCTION("""COMPUTED_VALUE"""),"No")</f>
        <v>No</v>
      </c>
      <c r="F105" s="55" t="str">
        <f>IFERROR(__xludf.DUMMYFUNCTION("""COMPUTED_VALUE"""),"Variant Pathogenicity")</f>
        <v>Variant Pathogenicity</v>
      </c>
      <c r="G105" t="str">
        <f>IFERROR(__xludf.DUMMYFUNCTION("""COMPUTED_VALUE"""),"")</f>
        <v/>
      </c>
      <c r="H105" t="str">
        <f>IFERROR(__xludf.DUMMYFUNCTION("""COMPUTED_VALUE"""),"Celeste Bento")</f>
        <v>Celeste Bento</v>
      </c>
      <c r="I105" t="str">
        <f>IFERROR(__xludf.DUMMYFUNCTION("""COMPUTED_VALUE"""),"celeste.bento@chuc.min-saude.pt")</f>
        <v>celeste.bento@chuc.min-saude.pt</v>
      </c>
      <c r="J105" s="55" t="str">
        <f>IFERROR(__xludf.DUMMYFUNCTION("""COMPUTED_VALUE"""),"Comprehensive")</f>
        <v>Comprehensive</v>
      </c>
      <c r="K105" s="126" t="str">
        <f>IFERROR(__xludf.DUMMYFUNCTION("""COMPUTED_VALUE"""),"I'm in the Core Task Team of ClinGen Haemoglobinopathy EP")</f>
        <v>I'm in the Core Task Team of ClinGen Haemoglobinopathy EP</v>
      </c>
      <c r="L105" t="str">
        <f>IFERROR(__xludf.DUMMYFUNCTION("""COMPUTED_VALUE"""),"I need to apply the ACMG rules in my everyday work ")</f>
        <v>I need to apply the ACMG rules in my everyday work </v>
      </c>
    </row>
    <row r="106">
      <c r="A106" t="str">
        <f>IFERROR(__xludf.DUMMYFUNCTION("""COMPUTED_VALUE"""),"Contacted")</f>
        <v>Contacted</v>
      </c>
      <c r="B106" s="115">
        <f>IFERROR(__xludf.DUMMYFUNCTION("""COMPUTED_VALUE"""),43819.0)</f>
        <v>43819</v>
      </c>
      <c r="C106" t="str">
        <f>IFERROR(__xludf.DUMMYFUNCTION("""COMPUTED_VALUE"""),"")</f>
        <v/>
      </c>
      <c r="D106" s="55" t="str">
        <f>IFERROR(__xludf.DUMMYFUNCTION("""COMPUTED_VALUE"""),"")</f>
        <v/>
      </c>
      <c r="E106" s="55" t="str">
        <f>IFERROR(__xludf.DUMMYFUNCTION("""COMPUTED_VALUE"""),"No")</f>
        <v>No</v>
      </c>
      <c r="F106" s="55" t="str">
        <f>IFERROR(__xludf.DUMMYFUNCTION("""COMPUTED_VALUE"""),"Variant Pathogenicity")</f>
        <v>Variant Pathogenicity</v>
      </c>
      <c r="G106" t="str">
        <f>IFERROR(__xludf.DUMMYFUNCTION("""COMPUTED_VALUE"""),"")</f>
        <v/>
      </c>
      <c r="H106" t="str">
        <f>IFERROR(__xludf.DUMMYFUNCTION("""COMPUTED_VALUE"""),"Prasad Rao Kopparapu")</f>
        <v>Prasad Rao Kopparapu</v>
      </c>
      <c r="I106" t="str">
        <f>IFERROR(__xludf.DUMMYFUNCTION("""COMPUTED_VALUE"""),"prasaad82@gmail.com")</f>
        <v>prasaad82@gmail.com</v>
      </c>
      <c r="J106" s="55" t="str">
        <f>IFERROR(__xludf.DUMMYFUNCTION("""COMPUTED_VALUE"""),"Comprehensive")</f>
        <v>Comprehensive</v>
      </c>
      <c r="K106" s="126" t="str">
        <f>IFERROR(__xludf.DUMMYFUNCTION("""COMPUTED_VALUE"""),"Variant Curation Expert Panels-TP53*, Somatic Cancer Working Group-Pediatric,")</f>
        <v>Variant Curation Expert Panels-TP53*, Somatic Cancer Working Group-Pediatric,</v>
      </c>
      <c r="L106" t="str">
        <f>IFERROR(__xludf.DUMMYFUNCTION("""COMPUTED_VALUE"""),"")</f>
        <v/>
      </c>
    </row>
    <row r="107">
      <c r="A107" t="str">
        <f>IFERROR(__xludf.DUMMYFUNCTION("""COMPUTED_VALUE"""),"Contacted")</f>
        <v>Contacted</v>
      </c>
      <c r="B107" s="115">
        <f>IFERROR(__xludf.DUMMYFUNCTION("""COMPUTED_VALUE"""),43819.0)</f>
        <v>43819</v>
      </c>
      <c r="C107" t="str">
        <f>IFERROR(__xludf.DUMMYFUNCTION("""COMPUTED_VALUE"""),"")</f>
        <v/>
      </c>
      <c r="D107" s="55" t="str">
        <f>IFERROR(__xludf.DUMMYFUNCTION("""COMPUTED_VALUE"""),"")</f>
        <v/>
      </c>
      <c r="E107" s="55" t="str">
        <f>IFERROR(__xludf.DUMMYFUNCTION("""COMPUTED_VALUE"""),"No")</f>
        <v>No</v>
      </c>
      <c r="F107" s="55" t="str">
        <f>IFERROR(__xludf.DUMMYFUNCTION("""COMPUTED_VALUE"""),"Variant Pathogenicity")</f>
        <v>Variant Pathogenicity</v>
      </c>
      <c r="G107" t="str">
        <f>IFERROR(__xludf.DUMMYFUNCTION("""COMPUTED_VALUE"""),"")</f>
        <v/>
      </c>
      <c r="H107" t="str">
        <f>IFERROR(__xludf.DUMMYFUNCTION("""COMPUTED_VALUE"""),"Shawn Gessay")</f>
        <v>Shawn Gessay</v>
      </c>
      <c r="I107" t="str">
        <f>IFERROR(__xludf.DUMMYFUNCTION("""COMPUTED_VALUE"""),"gessays75@gmail.com")</f>
        <v>gessays75@gmail.com</v>
      </c>
      <c r="J107" s="55" t="str">
        <f>IFERROR(__xludf.DUMMYFUNCTION("""COMPUTED_VALUE"""),"Comprehensive")</f>
        <v>Comprehensive</v>
      </c>
      <c r="K107" s="126" t="str">
        <f>IFERROR(__xludf.DUMMYFUNCTION("""COMPUTED_VALUE"""),"RASopathy")</f>
        <v>RASopathy</v>
      </c>
      <c r="L107" t="str">
        <f>IFERROR(__xludf.DUMMYFUNCTION("""COMPUTED_VALUE"""),"No ")</f>
        <v>No </v>
      </c>
    </row>
    <row r="108">
      <c r="A108" t="str">
        <f>IFERROR(__xludf.DUMMYFUNCTION("""COMPUTED_VALUE"""),"Contacted")</f>
        <v>Contacted</v>
      </c>
      <c r="B108" s="115">
        <f>IFERROR(__xludf.DUMMYFUNCTION("""COMPUTED_VALUE"""),43819.0)</f>
        <v>43819</v>
      </c>
      <c r="C108" t="str">
        <f>IFERROR(__xludf.DUMMYFUNCTION("""COMPUTED_VALUE"""),"")</f>
        <v/>
      </c>
      <c r="D108" s="55" t="str">
        <f>IFERROR(__xludf.DUMMYFUNCTION("""COMPUTED_VALUE"""),"")</f>
        <v/>
      </c>
      <c r="E108" s="55" t="str">
        <f>IFERROR(__xludf.DUMMYFUNCTION("""COMPUTED_VALUE"""),"No")</f>
        <v>No</v>
      </c>
      <c r="F108" s="55" t="str">
        <f>IFERROR(__xludf.DUMMYFUNCTION("""COMPUTED_VALUE"""),"Variant Pathogenicity")</f>
        <v>Variant Pathogenicity</v>
      </c>
      <c r="G108" t="str">
        <f>IFERROR(__xludf.DUMMYFUNCTION("""COMPUTED_VALUE"""),"")</f>
        <v/>
      </c>
      <c r="H108" t="str">
        <f>IFERROR(__xludf.DUMMYFUNCTION("""COMPUTED_VALUE"""),"Angela Hoang")</f>
        <v>Angela Hoang</v>
      </c>
      <c r="I108" t="str">
        <f>IFERROR(__xludf.DUMMYFUNCTION("""COMPUTED_VALUE"""),"ahoang18@students.kgi.edu")</f>
        <v>ahoang18@students.kgi.edu</v>
      </c>
      <c r="J108" s="55" t="str">
        <f>IFERROR(__xludf.DUMMYFUNCTION("""COMPUTED_VALUE"""),"Comprehensive")</f>
        <v>Comprehensive</v>
      </c>
      <c r="K108" s="126" t="str">
        <f>IFERROR(__xludf.DUMMYFUNCTION("""COMPUTED_VALUE"""),"N/A")</f>
        <v>N/A</v>
      </c>
      <c r="L108" t="str">
        <f>IFERROR(__xludf.DUMMYFUNCTION("""COMPUTED_VALUE"""),"Yes, I have educational experience with variant classification and gene-disease association. ")</f>
        <v>Yes, I have educational experience with variant classification and gene-disease association. </v>
      </c>
    </row>
    <row r="109">
      <c r="A109" t="str">
        <f>IFERROR(__xludf.DUMMYFUNCTION("""COMPUTED_VALUE"""),"Contacted")</f>
        <v>Contacted</v>
      </c>
      <c r="B109" s="115">
        <f>IFERROR(__xludf.DUMMYFUNCTION("""COMPUTED_VALUE"""),43819.0)</f>
        <v>43819</v>
      </c>
      <c r="C109" t="str">
        <f>IFERROR(__xludf.DUMMYFUNCTION("""COMPUTED_VALUE"""),"")</f>
        <v/>
      </c>
      <c r="D109" s="55" t="str">
        <f>IFERROR(__xludf.DUMMYFUNCTION("""COMPUTED_VALUE"""),"")</f>
        <v/>
      </c>
      <c r="E109" s="55" t="str">
        <f>IFERROR(__xludf.DUMMYFUNCTION("""COMPUTED_VALUE"""),"No")</f>
        <v>No</v>
      </c>
      <c r="F109" s="55" t="str">
        <f>IFERROR(__xludf.DUMMYFUNCTION("""COMPUTED_VALUE"""),"Variant Pathogenicity")</f>
        <v>Variant Pathogenicity</v>
      </c>
      <c r="G109" t="str">
        <f>IFERROR(__xludf.DUMMYFUNCTION("""COMPUTED_VALUE"""),"")</f>
        <v/>
      </c>
      <c r="H109" t="str">
        <f>IFERROR(__xludf.DUMMYFUNCTION("""COMPUTED_VALUE"""),"Poornima Vijayan")</f>
        <v>Poornima Vijayan</v>
      </c>
      <c r="I109" t="str">
        <f>IFERROR(__xludf.DUMMYFUNCTION("""COMPUTED_VALUE"""),"poornima2785@gmail.com")</f>
        <v>poornima2785@gmail.com</v>
      </c>
      <c r="J109" s="55" t="str">
        <f>IFERROR(__xludf.DUMMYFUNCTION("""COMPUTED_VALUE"""),"Comprehensive")</f>
        <v>Comprehensive</v>
      </c>
      <c r="K109" s="126" t="str">
        <f>IFERROR(__xludf.DUMMYFUNCTION("""COMPUTED_VALUE"""),"")</f>
        <v/>
      </c>
      <c r="L109" t="str">
        <f>IFERROR(__xludf.DUMMYFUNCTION("""COMPUTED_VALUE"""),"I am a student of medical genomics")</f>
        <v>I am a student of medical genomics</v>
      </c>
    </row>
    <row r="110">
      <c r="A110" t="str">
        <f>IFERROR(__xludf.DUMMYFUNCTION("""COMPUTED_VALUE"""),"Contacted")</f>
        <v>Contacted</v>
      </c>
      <c r="B110" s="114">
        <f>IFERROR(__xludf.DUMMYFUNCTION("""COMPUTED_VALUE"""),43847.0)</f>
        <v>43847</v>
      </c>
      <c r="C110" t="str">
        <f>IFERROR(__xludf.DUMMYFUNCTION("""COMPUTED_VALUE"""),"")</f>
        <v/>
      </c>
      <c r="D110" s="55" t="str">
        <f>IFERROR(__xludf.DUMMYFUNCTION("""COMPUTED_VALUE"""),"")</f>
        <v/>
      </c>
      <c r="E110" s="55" t="str">
        <f>IFERROR(__xludf.DUMMYFUNCTION("""COMPUTED_VALUE"""),"No")</f>
        <v>No</v>
      </c>
      <c r="F110" s="55" t="str">
        <f>IFERROR(__xludf.DUMMYFUNCTION("""COMPUTED_VALUE"""),"Variant Pathogenicity")</f>
        <v>Variant Pathogenicity</v>
      </c>
      <c r="G110" t="str">
        <f>IFERROR(__xludf.DUMMYFUNCTION("""COMPUTED_VALUE"""),"")</f>
        <v/>
      </c>
      <c r="H110" t="str">
        <f>IFERROR(__xludf.DUMMYFUNCTION("""COMPUTED_VALUE"""),"Kendrah Kidd")</f>
        <v>Kendrah Kidd</v>
      </c>
      <c r="I110" t="str">
        <f>IFERROR(__xludf.DUMMYFUNCTION("""COMPUTED_VALUE"""),"kkidd@wakehealth.edu")</f>
        <v>kkidd@wakehealth.edu</v>
      </c>
      <c r="J110" s="55" t="str">
        <f>IFERROR(__xludf.DUMMYFUNCTION("""COMPUTED_VALUE"""),"Comprehensive")</f>
        <v>Comprehensive</v>
      </c>
      <c r="K110" s="126" t="str">
        <f>IFERROR(__xludf.DUMMYFUNCTION("""COMPUTED_VALUE"""),"I would be interested in forming one for inherited kidney diseases ")</f>
        <v>I would be interested in forming one for inherited kidney diseases </v>
      </c>
      <c r="L110" t="str">
        <f>IFERROR(__xludf.DUMMYFUNCTION("""COMPUTED_VALUE"""),"Yes, I manage our Autosomal Dominant Tubulointerstitial Kidney Disease  pathogenic variant registry and have a database of variants found in families that have segregation and clinical data, as well as any literature associated with the variant.  ")</f>
        <v>Yes, I manage our Autosomal Dominant Tubulointerstitial Kidney Disease  pathogenic variant registry and have a database of variants found in families that have segregation and clinical data, as well as any literature associated with the variant.  </v>
      </c>
    </row>
    <row r="111">
      <c r="A111" t="str">
        <f>IFERROR(__xludf.DUMMYFUNCTION("""COMPUTED_VALUE"""),"Contacted")</f>
        <v>Contacted</v>
      </c>
      <c r="B111" s="114">
        <f>IFERROR(__xludf.DUMMYFUNCTION("""COMPUTED_VALUE"""),43482.0)</f>
        <v>43482</v>
      </c>
      <c r="C111" s="114">
        <f>IFERROR(__xludf.DUMMYFUNCTION("""COMPUTED_VALUE"""),43846.0)</f>
        <v>43846</v>
      </c>
      <c r="D111" s="55" t="str">
        <f>IFERROR(__xludf.DUMMYFUNCTION("""COMPUTED_VALUE"""),"Yes")</f>
        <v>Yes</v>
      </c>
      <c r="E111" s="55" t="str">
        <f>IFERROR(__xludf.DUMMYFUNCTION("""COMPUTED_VALUE"""),"Yes")</f>
        <v>Yes</v>
      </c>
      <c r="F111" s="55" t="str">
        <f>IFERROR(__xludf.DUMMYFUNCTION("""COMPUTED_VALUE"""),"Variant Pathogenicity")</f>
        <v>Variant Pathogenicity</v>
      </c>
      <c r="G111" t="str">
        <f>IFERROR(__xludf.DUMMYFUNCTION("""COMPUTED_VALUE"""),"")</f>
        <v/>
      </c>
      <c r="H111" t="str">
        <f>IFERROR(__xludf.DUMMYFUNCTION("""COMPUTED_VALUE"""),"Adriana Bastos Carvalho")</f>
        <v>Adriana Bastos Carvalho</v>
      </c>
      <c r="I111" t="str">
        <f>IFERROR(__xludf.DUMMYFUNCTION("""COMPUTED_VALUE"""),"carvalhoab@biof.ufrj.br")</f>
        <v>carvalhoab@biof.ufrj.br</v>
      </c>
      <c r="J111" s="55" t="str">
        <f>IFERROR(__xludf.DUMMYFUNCTION("""COMPUTED_VALUE"""),"Comprehensive")</f>
        <v>Comprehensive</v>
      </c>
      <c r="K111" s="126" t="str">
        <f>IFERROR(__xludf.DUMMYFUNCTION("""COMPUTED_VALUE"""),"Cardiomyopathy Variant Curation Expert Panel")</f>
        <v>Cardiomyopathy Variant Curation Expert Panel</v>
      </c>
      <c r="L111" t="str">
        <f>IFERROR(__xludf.DUMMYFUNCTION("""COMPUTED_VALUE"""),"No. Although I have never worked in curation activities, I work with in vitro models to investigate variant pathogenicity.")</f>
        <v>No. Although I have never worked in curation activities, I work with in vitro models to investigate variant pathogenicity.</v>
      </c>
    </row>
    <row r="112">
      <c r="A112" t="str">
        <f>IFERROR(__xludf.DUMMYFUNCTION("""COMPUTED_VALUE"""),"Unassigned")</f>
        <v>Unassigned</v>
      </c>
      <c r="B112" t="str">
        <f>IFERROR(__xludf.DUMMYFUNCTION("""COMPUTED_VALUE"""),"")</f>
        <v/>
      </c>
      <c r="C112" t="str">
        <f>IFERROR(__xludf.DUMMYFUNCTION("""COMPUTED_VALUE"""),"")</f>
        <v/>
      </c>
      <c r="D112" s="55" t="str">
        <f>IFERROR(__xludf.DUMMYFUNCTION("""COMPUTED_VALUE"""),"")</f>
        <v/>
      </c>
      <c r="E112" s="55" t="str">
        <f>IFERROR(__xludf.DUMMYFUNCTION("""COMPUTED_VALUE"""),"No")</f>
        <v>No</v>
      </c>
      <c r="F112" s="55" t="str">
        <f>IFERROR(__xludf.DUMMYFUNCTION("""COMPUTED_VALUE"""),"NA")</f>
        <v>NA</v>
      </c>
      <c r="G112" t="str">
        <f>IFERROR(__xludf.DUMMYFUNCTION("""COMPUTED_VALUE"""),"")</f>
        <v/>
      </c>
      <c r="H112" t="str">
        <f>IFERROR(__xludf.DUMMYFUNCTION("""COMPUTED_VALUE"""),"Emily Hansen-Kiss")</f>
        <v>Emily Hansen-Kiss</v>
      </c>
      <c r="I112" t="str">
        <f>IFERROR(__xludf.DUMMYFUNCTION("""COMPUTED_VALUE"""),"Emily.HansenKiss@uth.tmc.edu")</f>
        <v>Emily.HansenKiss@uth.tmc.edu</v>
      </c>
      <c r="J112" s="55" t="str">
        <f>IFERROR(__xludf.DUMMYFUNCTION("""COMPUTED_VALUE"""),"Comprehensive")</f>
        <v>Comprehensive</v>
      </c>
      <c r="K112" s="126" t="str">
        <f>IFERROR(__xludf.DUMMYFUNCTION("""COMPUTED_VALUE"""),"PTEN")</f>
        <v>PTEN</v>
      </c>
      <c r="L112" t="str">
        <f>IFERROR(__xludf.DUMMYFUNCTION("""COMPUTED_VALUE"""),"No official training or experience, but clinical experience working with patients with mutations within the PTEN gene and identifying when phenotype is a good match for genotype.")</f>
        <v>No official training or experience, but clinical experience working with patients with mutations within the PTEN gene and identifying when phenotype is a good match for genotype.</v>
      </c>
    </row>
    <row r="113">
      <c r="D113" s="55"/>
      <c r="E113" s="55"/>
      <c r="F113" s="55"/>
      <c r="J113" s="55"/>
      <c r="K113" s="126"/>
    </row>
    <row r="114">
      <c r="D114" s="55"/>
      <c r="E114" s="55"/>
      <c r="F114" s="55"/>
      <c r="J114" s="55"/>
      <c r="K114" s="126"/>
    </row>
    <row r="115">
      <c r="D115" s="55"/>
      <c r="E115" s="55"/>
      <c r="F115" s="55"/>
      <c r="J115" s="55"/>
      <c r="K115" s="126"/>
    </row>
    <row r="116">
      <c r="D116" s="55"/>
      <c r="E116" s="55"/>
      <c r="F116" s="55"/>
      <c r="J116" s="55"/>
      <c r="K116" s="126"/>
    </row>
    <row r="117">
      <c r="D117" s="55"/>
      <c r="E117" s="55"/>
      <c r="F117" s="55"/>
      <c r="J117" s="55"/>
      <c r="K117" s="126"/>
    </row>
    <row r="118">
      <c r="D118" s="55"/>
      <c r="E118" s="55"/>
      <c r="F118" s="55"/>
      <c r="J118" s="55"/>
      <c r="K118" s="126"/>
    </row>
    <row r="119">
      <c r="D119" s="55"/>
      <c r="E119" s="55"/>
      <c r="F119" s="55"/>
      <c r="J119" s="55"/>
      <c r="K119" s="126"/>
    </row>
    <row r="120">
      <c r="D120" s="55"/>
      <c r="E120" s="55"/>
      <c r="F120" s="55"/>
      <c r="J120" s="55"/>
      <c r="K120" s="126"/>
    </row>
    <row r="121">
      <c r="D121" s="55"/>
      <c r="E121" s="55"/>
      <c r="F121" s="55"/>
      <c r="J121" s="55"/>
      <c r="K121" s="126"/>
    </row>
    <row r="122">
      <c r="D122" s="55"/>
      <c r="E122" s="55"/>
      <c r="F122" s="55"/>
      <c r="J122" s="55"/>
      <c r="K122" s="126"/>
    </row>
    <row r="123">
      <c r="D123" s="55"/>
      <c r="E123" s="55"/>
      <c r="F123" s="55"/>
      <c r="J123" s="55"/>
      <c r="K123" s="126"/>
    </row>
    <row r="124">
      <c r="D124" s="55"/>
      <c r="E124" s="55"/>
      <c r="F124" s="55"/>
      <c r="J124" s="55"/>
      <c r="K124" s="126"/>
    </row>
    <row r="125">
      <c r="D125" s="55"/>
      <c r="E125" s="55"/>
      <c r="F125" s="55"/>
      <c r="J125" s="55"/>
      <c r="K125" s="126"/>
    </row>
    <row r="126">
      <c r="D126" s="55"/>
      <c r="E126" s="55"/>
      <c r="F126" s="55"/>
      <c r="J126" s="55"/>
      <c r="K126" s="126"/>
    </row>
    <row r="127">
      <c r="D127" s="55"/>
      <c r="E127" s="55"/>
      <c r="F127" s="55"/>
      <c r="J127" s="55"/>
      <c r="K127" s="126"/>
    </row>
    <row r="128">
      <c r="D128" s="55"/>
      <c r="E128" s="55"/>
      <c r="F128" s="55"/>
      <c r="J128" s="55"/>
      <c r="K128" s="126"/>
    </row>
    <row r="129">
      <c r="D129" s="55"/>
      <c r="E129" s="55"/>
      <c r="F129" s="55"/>
      <c r="J129" s="55"/>
      <c r="K129" s="126"/>
    </row>
    <row r="130">
      <c r="D130" s="55"/>
      <c r="E130" s="55"/>
      <c r="F130" s="55"/>
      <c r="J130" s="55"/>
      <c r="K130" s="126"/>
    </row>
    <row r="131">
      <c r="D131" s="55"/>
      <c r="E131" s="55"/>
      <c r="F131" s="55"/>
      <c r="J131" s="55"/>
      <c r="K131" s="126"/>
    </row>
    <row r="132">
      <c r="D132" s="55"/>
      <c r="E132" s="55"/>
      <c r="F132" s="55"/>
      <c r="J132" s="55"/>
      <c r="K132" s="126"/>
    </row>
    <row r="133">
      <c r="D133" s="55"/>
      <c r="E133" s="55"/>
      <c r="F133" s="55"/>
      <c r="J133" s="55"/>
      <c r="K133" s="126"/>
    </row>
    <row r="134">
      <c r="D134" s="55"/>
      <c r="E134" s="55"/>
      <c r="F134" s="55"/>
      <c r="J134" s="55"/>
      <c r="K134" s="126"/>
    </row>
    <row r="135">
      <c r="D135" s="55"/>
      <c r="E135" s="55"/>
      <c r="F135" s="55"/>
      <c r="J135" s="55"/>
      <c r="K135" s="126"/>
    </row>
    <row r="136">
      <c r="D136" s="55"/>
      <c r="E136" s="55"/>
      <c r="F136" s="55"/>
      <c r="J136" s="55"/>
      <c r="K136" s="126"/>
    </row>
    <row r="137">
      <c r="D137" s="55"/>
      <c r="E137" s="55"/>
      <c r="F137" s="55"/>
      <c r="J137" s="55"/>
      <c r="K137" s="126"/>
    </row>
    <row r="138">
      <c r="D138" s="55"/>
      <c r="E138" s="55"/>
      <c r="F138" s="55"/>
      <c r="J138" s="55"/>
      <c r="K138" s="126"/>
    </row>
    <row r="139">
      <c r="D139" s="55"/>
      <c r="E139" s="55"/>
      <c r="F139" s="55"/>
      <c r="J139" s="55"/>
      <c r="K139" s="126"/>
    </row>
    <row r="140">
      <c r="D140" s="55"/>
      <c r="E140" s="55"/>
      <c r="F140" s="55"/>
      <c r="J140" s="55"/>
      <c r="K140" s="126"/>
    </row>
    <row r="141">
      <c r="D141" s="55"/>
      <c r="E141" s="55"/>
      <c r="F141" s="55"/>
      <c r="J141" s="55"/>
      <c r="K141" s="126"/>
    </row>
    <row r="142">
      <c r="D142" s="55"/>
      <c r="E142" s="55"/>
      <c r="F142" s="55"/>
      <c r="J142" s="55"/>
      <c r="K142" s="126"/>
    </row>
    <row r="143">
      <c r="D143" s="55"/>
      <c r="E143" s="55"/>
      <c r="F143" s="55"/>
      <c r="J143" s="55"/>
      <c r="K143" s="126"/>
    </row>
    <row r="144">
      <c r="D144" s="55"/>
      <c r="E144" s="55"/>
      <c r="F144" s="55"/>
      <c r="J144" s="55"/>
      <c r="K144" s="126"/>
    </row>
    <row r="145">
      <c r="D145" s="55"/>
      <c r="E145" s="55"/>
      <c r="F145" s="55"/>
      <c r="J145" s="55"/>
      <c r="K145" s="126"/>
    </row>
    <row r="146">
      <c r="D146" s="55"/>
      <c r="E146" s="55"/>
      <c r="F146" s="55"/>
      <c r="J146" s="55"/>
      <c r="K146" s="126"/>
    </row>
    <row r="147">
      <c r="D147" s="55"/>
      <c r="E147" s="55"/>
      <c r="F147" s="55"/>
      <c r="J147" s="55"/>
      <c r="K147" s="126"/>
    </row>
    <row r="148">
      <c r="D148" s="55"/>
      <c r="E148" s="55"/>
      <c r="F148" s="55"/>
      <c r="J148" s="55"/>
      <c r="K148" s="126"/>
    </row>
    <row r="149">
      <c r="D149" s="55"/>
      <c r="E149" s="55"/>
      <c r="F149" s="55"/>
      <c r="J149" s="55"/>
      <c r="K149" s="126"/>
    </row>
    <row r="150">
      <c r="D150" s="55"/>
      <c r="E150" s="55"/>
      <c r="F150" s="55"/>
      <c r="J150" s="55"/>
      <c r="K150" s="126"/>
    </row>
    <row r="151">
      <c r="D151" s="55"/>
      <c r="E151" s="55"/>
      <c r="F151" s="55"/>
      <c r="J151" s="55"/>
      <c r="K151" s="126"/>
    </row>
    <row r="152">
      <c r="D152" s="55"/>
      <c r="E152" s="55"/>
      <c r="F152" s="55"/>
      <c r="J152" s="55"/>
      <c r="K152" s="126"/>
    </row>
    <row r="153">
      <c r="D153" s="55"/>
      <c r="E153" s="55"/>
      <c r="F153" s="55"/>
      <c r="J153" s="55"/>
      <c r="K153" s="126"/>
    </row>
    <row r="154">
      <c r="D154" s="55"/>
      <c r="E154" s="55"/>
      <c r="F154" s="55"/>
      <c r="J154" s="55"/>
      <c r="K154" s="126"/>
    </row>
    <row r="155">
      <c r="D155" s="55"/>
      <c r="E155" s="55"/>
      <c r="F155" s="55"/>
      <c r="J155" s="55"/>
      <c r="K155" s="126"/>
    </row>
    <row r="156">
      <c r="D156" s="55"/>
      <c r="E156" s="55"/>
      <c r="F156" s="55"/>
      <c r="J156" s="55"/>
      <c r="K156" s="126"/>
    </row>
    <row r="157">
      <c r="D157" s="55"/>
      <c r="E157" s="55"/>
      <c r="F157" s="55"/>
      <c r="J157" s="55"/>
      <c r="K157" s="126"/>
    </row>
    <row r="158">
      <c r="D158" s="55"/>
      <c r="E158" s="55"/>
      <c r="F158" s="55"/>
      <c r="J158" s="55"/>
      <c r="K158" s="126"/>
    </row>
    <row r="159">
      <c r="D159" s="55"/>
      <c r="E159" s="55"/>
      <c r="F159" s="55"/>
      <c r="J159" s="55"/>
      <c r="K159" s="126"/>
    </row>
    <row r="160">
      <c r="D160" s="55"/>
      <c r="E160" s="55"/>
      <c r="F160" s="55"/>
      <c r="J160" s="55"/>
      <c r="K160" s="126"/>
    </row>
    <row r="161">
      <c r="D161" s="55"/>
      <c r="E161" s="55"/>
      <c r="F161" s="55"/>
      <c r="J161" s="55"/>
      <c r="K161" s="126"/>
    </row>
    <row r="162">
      <c r="D162" s="55"/>
      <c r="E162" s="55"/>
      <c r="F162" s="55"/>
      <c r="J162" s="55"/>
      <c r="K162" s="126"/>
    </row>
    <row r="163">
      <c r="D163" s="55"/>
      <c r="E163" s="55"/>
      <c r="F163" s="55"/>
      <c r="J163" s="55"/>
      <c r="K163" s="126"/>
    </row>
    <row r="164">
      <c r="D164" s="55"/>
      <c r="E164" s="55"/>
      <c r="F164" s="55"/>
      <c r="J164" s="55"/>
      <c r="K164" s="126"/>
    </row>
    <row r="165">
      <c r="D165" s="55"/>
      <c r="E165" s="55"/>
      <c r="F165" s="55"/>
      <c r="J165" s="55"/>
      <c r="K165" s="126"/>
    </row>
    <row r="166">
      <c r="D166" s="55"/>
      <c r="E166" s="55"/>
      <c r="F166" s="55"/>
      <c r="J166" s="55"/>
      <c r="K166" s="126"/>
    </row>
    <row r="167">
      <c r="D167" s="55"/>
      <c r="E167" s="55"/>
      <c r="F167" s="55"/>
      <c r="J167" s="55"/>
      <c r="K167" s="126"/>
    </row>
    <row r="168">
      <c r="D168" s="55"/>
      <c r="E168" s="55"/>
      <c r="F168" s="55"/>
      <c r="J168" s="55"/>
      <c r="K168" s="126"/>
    </row>
    <row r="169">
      <c r="D169" s="55"/>
      <c r="E169" s="55"/>
      <c r="F169" s="55"/>
      <c r="J169" s="55"/>
      <c r="K169" s="126"/>
    </row>
    <row r="170">
      <c r="D170" s="55"/>
      <c r="E170" s="55"/>
      <c r="F170" s="55"/>
      <c r="J170" s="55"/>
      <c r="K170" s="126"/>
    </row>
    <row r="171">
      <c r="D171" s="55"/>
      <c r="E171" s="55"/>
      <c r="F171" s="55"/>
      <c r="J171" s="55"/>
      <c r="K171" s="126"/>
    </row>
    <row r="172">
      <c r="D172" s="55"/>
      <c r="E172" s="55"/>
      <c r="F172" s="55"/>
      <c r="J172" s="55"/>
      <c r="K172" s="126"/>
    </row>
    <row r="173">
      <c r="D173" s="55"/>
      <c r="E173" s="55"/>
      <c r="F173" s="55"/>
      <c r="J173" s="55"/>
      <c r="K173" s="126"/>
    </row>
    <row r="174">
      <c r="D174" s="55"/>
      <c r="E174" s="55"/>
      <c r="F174" s="55"/>
      <c r="J174" s="55"/>
      <c r="K174" s="126"/>
    </row>
    <row r="175">
      <c r="D175" s="55"/>
      <c r="E175" s="55"/>
      <c r="F175" s="55"/>
      <c r="J175" s="55"/>
      <c r="K175" s="126"/>
    </row>
    <row r="176">
      <c r="D176" s="55"/>
      <c r="E176" s="55"/>
      <c r="F176" s="55"/>
      <c r="J176" s="55"/>
      <c r="K176" s="126"/>
    </row>
    <row r="177">
      <c r="D177" s="55"/>
      <c r="E177" s="55"/>
      <c r="F177" s="55"/>
      <c r="J177" s="55"/>
      <c r="K177" s="126"/>
    </row>
    <row r="178">
      <c r="D178" s="55"/>
      <c r="E178" s="55"/>
      <c r="F178" s="55"/>
      <c r="J178" s="55"/>
      <c r="K178" s="126"/>
    </row>
    <row r="179">
      <c r="D179" s="55"/>
      <c r="E179" s="55"/>
      <c r="F179" s="55"/>
      <c r="J179" s="55"/>
      <c r="K179" s="126"/>
    </row>
    <row r="180">
      <c r="D180" s="55"/>
      <c r="E180" s="55"/>
      <c r="F180" s="55"/>
      <c r="J180" s="55"/>
      <c r="K180" s="126"/>
    </row>
    <row r="181">
      <c r="D181" s="55"/>
      <c r="E181" s="55"/>
      <c r="F181" s="55"/>
      <c r="J181" s="55"/>
      <c r="K181" s="126"/>
    </row>
    <row r="182">
      <c r="D182" s="55"/>
      <c r="E182" s="55"/>
      <c r="F182" s="55"/>
      <c r="J182" s="55"/>
      <c r="K182" s="126"/>
    </row>
    <row r="183">
      <c r="D183" s="55"/>
      <c r="E183" s="55"/>
      <c r="F183" s="55"/>
      <c r="J183" s="55"/>
      <c r="K183" s="126"/>
    </row>
    <row r="184">
      <c r="D184" s="55"/>
      <c r="E184" s="55"/>
      <c r="F184" s="55"/>
      <c r="J184" s="55"/>
      <c r="K184" s="126"/>
    </row>
    <row r="185">
      <c r="D185" s="55"/>
      <c r="E185" s="55"/>
      <c r="F185" s="55"/>
      <c r="J185" s="55"/>
      <c r="K185" s="126"/>
    </row>
    <row r="186">
      <c r="D186" s="55"/>
      <c r="E186" s="55"/>
      <c r="F186" s="55"/>
      <c r="J186" s="55"/>
      <c r="K186" s="126"/>
    </row>
    <row r="187">
      <c r="D187" s="55"/>
      <c r="E187" s="55"/>
      <c r="F187" s="55"/>
      <c r="J187" s="55"/>
      <c r="K187" s="126"/>
    </row>
    <row r="188">
      <c r="D188" s="55"/>
      <c r="E188" s="55"/>
      <c r="F188" s="55"/>
      <c r="J188" s="55"/>
      <c r="K188" s="126"/>
    </row>
    <row r="189">
      <c r="D189" s="55"/>
      <c r="E189" s="55"/>
      <c r="F189" s="55"/>
      <c r="J189" s="55"/>
      <c r="K189" s="126"/>
    </row>
    <row r="190">
      <c r="D190" s="55"/>
      <c r="E190" s="55"/>
      <c r="F190" s="55"/>
      <c r="J190" s="55"/>
      <c r="K190" s="126"/>
    </row>
    <row r="191">
      <c r="D191" s="55"/>
      <c r="E191" s="55"/>
      <c r="F191" s="55"/>
      <c r="J191" s="55"/>
      <c r="K191" s="126"/>
    </row>
    <row r="192">
      <c r="D192" s="55"/>
      <c r="E192" s="55"/>
      <c r="F192" s="55"/>
      <c r="J192" s="55"/>
      <c r="K192" s="126"/>
    </row>
    <row r="193">
      <c r="D193" s="55"/>
      <c r="E193" s="55"/>
      <c r="F193" s="55"/>
      <c r="J193" s="55"/>
      <c r="K193" s="126"/>
    </row>
    <row r="194">
      <c r="D194" s="55"/>
      <c r="E194" s="55"/>
      <c r="F194" s="55"/>
      <c r="J194" s="55"/>
      <c r="K194" s="126"/>
    </row>
    <row r="195">
      <c r="D195" s="55"/>
      <c r="E195" s="55"/>
      <c r="F195" s="55"/>
      <c r="J195" s="55"/>
      <c r="K195" s="126"/>
    </row>
    <row r="196">
      <c r="D196" s="55"/>
      <c r="E196" s="55"/>
      <c r="F196" s="55"/>
      <c r="J196" s="55"/>
      <c r="K196" s="126"/>
    </row>
    <row r="197">
      <c r="D197" s="55"/>
      <c r="E197" s="55"/>
      <c r="F197" s="55"/>
      <c r="J197" s="55"/>
      <c r="K197" s="126"/>
    </row>
    <row r="198">
      <c r="D198" s="55"/>
      <c r="E198" s="55"/>
      <c r="F198" s="55"/>
      <c r="J198" s="55"/>
      <c r="K198" s="126"/>
    </row>
    <row r="199">
      <c r="D199" s="55"/>
      <c r="E199" s="55"/>
      <c r="F199" s="55"/>
      <c r="J199" s="55"/>
      <c r="K199" s="126"/>
    </row>
    <row r="200">
      <c r="D200" s="55"/>
      <c r="E200" s="55"/>
      <c r="F200" s="55"/>
      <c r="J200" s="55"/>
      <c r="K200" s="126"/>
    </row>
    <row r="201">
      <c r="D201" s="55"/>
      <c r="E201" s="55"/>
      <c r="F201" s="55"/>
      <c r="J201" s="55"/>
      <c r="K201" s="126"/>
    </row>
    <row r="202">
      <c r="D202" s="55"/>
      <c r="E202" s="55"/>
      <c r="F202" s="55"/>
      <c r="J202" s="55"/>
      <c r="K202" s="126"/>
    </row>
    <row r="203">
      <c r="D203" s="55"/>
      <c r="E203" s="55"/>
      <c r="F203" s="55"/>
      <c r="J203" s="55"/>
      <c r="K203" s="126"/>
    </row>
    <row r="204">
      <c r="D204" s="55"/>
      <c r="E204" s="55"/>
      <c r="F204" s="55"/>
      <c r="J204" s="55"/>
      <c r="K204" s="126"/>
    </row>
    <row r="205">
      <c r="D205" s="55"/>
      <c r="E205" s="55"/>
      <c r="F205" s="55"/>
      <c r="J205" s="55"/>
      <c r="K205" s="126"/>
    </row>
    <row r="206">
      <c r="D206" s="55"/>
      <c r="E206" s="55"/>
      <c r="F206" s="55"/>
      <c r="J206" s="55"/>
      <c r="K206" s="126"/>
    </row>
    <row r="207">
      <c r="D207" s="55"/>
      <c r="E207" s="55"/>
      <c r="F207" s="55"/>
      <c r="J207" s="55"/>
      <c r="K207" s="126"/>
    </row>
    <row r="208">
      <c r="D208" s="55"/>
      <c r="E208" s="55"/>
      <c r="F208" s="55"/>
      <c r="J208" s="55"/>
      <c r="K208" s="126"/>
    </row>
    <row r="209">
      <c r="D209" s="55"/>
      <c r="E209" s="55"/>
      <c r="F209" s="55"/>
      <c r="J209" s="55"/>
      <c r="K209" s="126"/>
    </row>
    <row r="210">
      <c r="D210" s="55"/>
      <c r="E210" s="55"/>
      <c r="F210" s="55"/>
      <c r="J210" s="55"/>
      <c r="K210" s="126"/>
    </row>
    <row r="211">
      <c r="D211" s="55"/>
      <c r="E211" s="55"/>
      <c r="F211" s="55"/>
      <c r="J211" s="55"/>
      <c r="K211" s="126"/>
    </row>
    <row r="212">
      <c r="D212" s="55"/>
      <c r="E212" s="55"/>
      <c r="F212" s="55"/>
      <c r="J212" s="55"/>
      <c r="K212" s="126"/>
    </row>
    <row r="213">
      <c r="D213" s="55"/>
      <c r="E213" s="55"/>
      <c r="F213" s="55"/>
      <c r="J213" s="55"/>
      <c r="K213" s="126"/>
    </row>
    <row r="214">
      <c r="D214" s="55"/>
      <c r="E214" s="55"/>
      <c r="F214" s="55"/>
      <c r="J214" s="55"/>
      <c r="K214" s="126"/>
    </row>
    <row r="215">
      <c r="D215" s="55"/>
      <c r="E215" s="55"/>
      <c r="F215" s="55"/>
      <c r="J215" s="55"/>
      <c r="K215" s="126"/>
    </row>
    <row r="216">
      <c r="D216" s="55"/>
      <c r="E216" s="55"/>
      <c r="F216" s="55"/>
      <c r="J216" s="55"/>
      <c r="K216" s="126"/>
    </row>
    <row r="217">
      <c r="D217" s="55"/>
      <c r="E217" s="55"/>
      <c r="F217" s="55"/>
      <c r="J217" s="55"/>
      <c r="K217" s="126"/>
    </row>
    <row r="218">
      <c r="D218" s="55"/>
      <c r="E218" s="55"/>
      <c r="F218" s="55"/>
      <c r="J218" s="55"/>
      <c r="K218" s="126"/>
    </row>
    <row r="219">
      <c r="D219" s="55"/>
      <c r="E219" s="55"/>
      <c r="F219" s="55"/>
      <c r="J219" s="55"/>
      <c r="K219" s="126"/>
    </row>
    <row r="220">
      <c r="D220" s="55"/>
      <c r="E220" s="55"/>
      <c r="F220" s="55"/>
      <c r="J220" s="55"/>
      <c r="K220" s="126"/>
    </row>
    <row r="221">
      <c r="D221" s="55"/>
      <c r="E221" s="55"/>
      <c r="F221" s="55"/>
      <c r="J221" s="55"/>
      <c r="K221" s="126"/>
    </row>
    <row r="222">
      <c r="D222" s="55"/>
      <c r="E222" s="55"/>
      <c r="F222" s="55"/>
      <c r="J222" s="55"/>
      <c r="K222" s="126"/>
    </row>
    <row r="223">
      <c r="D223" s="55"/>
      <c r="E223" s="55"/>
      <c r="F223" s="55"/>
      <c r="J223" s="55"/>
      <c r="K223" s="126"/>
    </row>
    <row r="224">
      <c r="D224" s="55"/>
      <c r="E224" s="55"/>
      <c r="F224" s="55"/>
      <c r="J224" s="55"/>
      <c r="K224" s="126"/>
    </row>
    <row r="225">
      <c r="D225" s="55"/>
      <c r="E225" s="55"/>
      <c r="F225" s="55"/>
      <c r="J225" s="55"/>
      <c r="K225" s="126"/>
    </row>
    <row r="226">
      <c r="D226" s="55"/>
      <c r="E226" s="55"/>
      <c r="F226" s="55"/>
      <c r="J226" s="55"/>
      <c r="K226" s="126"/>
    </row>
    <row r="227">
      <c r="D227" s="55"/>
      <c r="E227" s="55"/>
      <c r="F227" s="55"/>
      <c r="J227" s="55"/>
      <c r="K227" s="126"/>
    </row>
    <row r="228">
      <c r="D228" s="55"/>
      <c r="E228" s="55"/>
      <c r="F228" s="55"/>
      <c r="J228" s="55"/>
      <c r="K228" s="126"/>
    </row>
    <row r="229">
      <c r="D229" s="55"/>
      <c r="E229" s="55"/>
      <c r="F229" s="55"/>
      <c r="J229" s="55"/>
      <c r="K229" s="126"/>
    </row>
    <row r="230">
      <c r="D230" s="55"/>
      <c r="E230" s="55"/>
      <c r="F230" s="55"/>
      <c r="J230" s="55"/>
      <c r="K230" s="126"/>
    </row>
    <row r="231">
      <c r="D231" s="55"/>
      <c r="E231" s="55"/>
      <c r="F231" s="55"/>
      <c r="J231" s="55"/>
      <c r="K231" s="126"/>
    </row>
    <row r="232">
      <c r="D232" s="55"/>
      <c r="E232" s="55"/>
      <c r="F232" s="55"/>
      <c r="J232" s="55"/>
      <c r="K232" s="126"/>
    </row>
    <row r="233">
      <c r="D233" s="55"/>
      <c r="E233" s="55"/>
      <c r="F233" s="55"/>
      <c r="J233" s="55"/>
      <c r="K233" s="126"/>
    </row>
    <row r="234">
      <c r="D234" s="55"/>
      <c r="E234" s="55"/>
      <c r="F234" s="55"/>
      <c r="J234" s="55"/>
      <c r="K234" s="126"/>
    </row>
    <row r="235">
      <c r="D235" s="55"/>
      <c r="E235" s="55"/>
      <c r="F235" s="55"/>
      <c r="J235" s="55"/>
      <c r="K235" s="126"/>
    </row>
    <row r="236">
      <c r="D236" s="55"/>
      <c r="E236" s="55"/>
      <c r="F236" s="55"/>
      <c r="J236" s="55"/>
      <c r="K236" s="126"/>
    </row>
    <row r="237">
      <c r="D237" s="55"/>
      <c r="E237" s="55"/>
      <c r="F237" s="55"/>
      <c r="J237" s="55"/>
      <c r="K237" s="126"/>
    </row>
    <row r="238">
      <c r="D238" s="55"/>
      <c r="E238" s="55"/>
      <c r="F238" s="55"/>
      <c r="J238" s="55"/>
      <c r="K238" s="126"/>
    </row>
    <row r="239">
      <c r="D239" s="55"/>
      <c r="E239" s="55"/>
      <c r="F239" s="55"/>
      <c r="J239" s="55"/>
      <c r="K239" s="126"/>
    </row>
    <row r="240">
      <c r="D240" s="55"/>
      <c r="E240" s="55"/>
      <c r="F240" s="55"/>
      <c r="J240" s="55"/>
      <c r="K240" s="126"/>
    </row>
    <row r="241">
      <c r="D241" s="55"/>
      <c r="E241" s="55"/>
      <c r="F241" s="55"/>
      <c r="J241" s="55"/>
      <c r="K241" s="126"/>
    </row>
    <row r="242">
      <c r="D242" s="55"/>
      <c r="E242" s="55"/>
      <c r="F242" s="55"/>
      <c r="J242" s="55"/>
      <c r="K242" s="126"/>
    </row>
    <row r="243">
      <c r="D243" s="55"/>
      <c r="E243" s="55"/>
      <c r="F243" s="55"/>
      <c r="J243" s="55"/>
      <c r="K243" s="126"/>
    </row>
    <row r="244">
      <c r="D244" s="55"/>
      <c r="E244" s="55"/>
      <c r="F244" s="55"/>
      <c r="J244" s="55"/>
      <c r="K244" s="126"/>
    </row>
    <row r="245">
      <c r="D245" s="55"/>
      <c r="E245" s="55"/>
      <c r="F245" s="55"/>
      <c r="J245" s="55"/>
      <c r="K245" s="126"/>
    </row>
    <row r="246">
      <c r="D246" s="55"/>
      <c r="E246" s="55"/>
      <c r="F246" s="55"/>
      <c r="J246" s="55"/>
      <c r="K246" s="126"/>
    </row>
    <row r="247">
      <c r="D247" s="55"/>
      <c r="E247" s="55"/>
      <c r="F247" s="55"/>
      <c r="J247" s="55"/>
      <c r="K247" s="126"/>
    </row>
    <row r="248">
      <c r="D248" s="55"/>
      <c r="E248" s="55"/>
      <c r="F248" s="55"/>
      <c r="J248" s="55"/>
      <c r="K248" s="126"/>
    </row>
    <row r="249">
      <c r="D249" s="55"/>
      <c r="E249" s="55"/>
      <c r="F249" s="55"/>
      <c r="J249" s="55"/>
      <c r="K249" s="126"/>
    </row>
    <row r="250">
      <c r="D250" s="55"/>
      <c r="E250" s="55"/>
      <c r="F250" s="55"/>
      <c r="J250" s="55"/>
      <c r="K250" s="126"/>
    </row>
    <row r="251">
      <c r="D251" s="55"/>
      <c r="E251" s="55"/>
      <c r="F251" s="55"/>
      <c r="J251" s="55"/>
      <c r="K251" s="126"/>
    </row>
    <row r="252">
      <c r="D252" s="55"/>
      <c r="E252" s="55"/>
      <c r="F252" s="55"/>
      <c r="J252" s="55"/>
      <c r="K252" s="126"/>
    </row>
    <row r="253">
      <c r="D253" s="55"/>
      <c r="E253" s="55"/>
      <c r="F253" s="55"/>
      <c r="J253" s="55"/>
      <c r="K253" s="126"/>
    </row>
    <row r="254">
      <c r="D254" s="55"/>
      <c r="E254" s="55"/>
      <c r="F254" s="55"/>
      <c r="J254" s="55"/>
      <c r="K254" s="126"/>
    </row>
    <row r="255">
      <c r="D255" s="55"/>
      <c r="E255" s="55"/>
      <c r="F255" s="55"/>
      <c r="J255" s="55"/>
      <c r="K255" s="126"/>
    </row>
    <row r="256">
      <c r="D256" s="55"/>
      <c r="E256" s="55"/>
      <c r="F256" s="55"/>
      <c r="J256" s="55"/>
      <c r="K256" s="126"/>
    </row>
    <row r="257">
      <c r="D257" s="55"/>
      <c r="E257" s="55"/>
      <c r="F257" s="55"/>
      <c r="J257" s="55"/>
      <c r="K257" s="126"/>
    </row>
    <row r="258">
      <c r="D258" s="55"/>
      <c r="E258" s="55"/>
      <c r="F258" s="55"/>
      <c r="J258" s="55"/>
      <c r="K258" s="126"/>
    </row>
    <row r="259">
      <c r="D259" s="55"/>
      <c r="E259" s="55"/>
      <c r="F259" s="55"/>
      <c r="J259" s="55"/>
      <c r="K259" s="126"/>
    </row>
    <row r="260">
      <c r="D260" s="55"/>
      <c r="E260" s="55"/>
      <c r="F260" s="55"/>
      <c r="J260" s="55"/>
      <c r="K260" s="126"/>
    </row>
    <row r="261">
      <c r="D261" s="55"/>
      <c r="E261" s="55"/>
      <c r="F261" s="55"/>
      <c r="J261" s="55"/>
      <c r="K261" s="126"/>
    </row>
    <row r="262">
      <c r="D262" s="55"/>
      <c r="E262" s="55"/>
      <c r="F262" s="55"/>
      <c r="J262" s="55"/>
      <c r="K262" s="126"/>
    </row>
    <row r="263">
      <c r="D263" s="55"/>
      <c r="E263" s="55"/>
      <c r="F263" s="55"/>
      <c r="J263" s="55"/>
      <c r="K263" s="126"/>
    </row>
    <row r="264">
      <c r="D264" s="55"/>
      <c r="E264" s="55"/>
      <c r="F264" s="55"/>
      <c r="J264" s="55"/>
      <c r="K264" s="126"/>
    </row>
    <row r="265">
      <c r="D265" s="55"/>
      <c r="E265" s="55"/>
      <c r="F265" s="55"/>
      <c r="J265" s="55"/>
      <c r="K265" s="126"/>
    </row>
    <row r="266">
      <c r="D266" s="55"/>
      <c r="E266" s="55"/>
      <c r="F266" s="55"/>
      <c r="J266" s="55"/>
      <c r="K266" s="126"/>
    </row>
    <row r="267">
      <c r="D267" s="55"/>
      <c r="E267" s="55"/>
      <c r="F267" s="55"/>
      <c r="J267" s="55"/>
      <c r="K267" s="126"/>
    </row>
    <row r="268">
      <c r="D268" s="55"/>
      <c r="E268" s="55"/>
      <c r="F268" s="55"/>
      <c r="J268" s="55"/>
      <c r="K268" s="126"/>
    </row>
    <row r="269">
      <c r="D269" s="55"/>
      <c r="E269" s="55"/>
      <c r="F269" s="55"/>
      <c r="J269" s="55"/>
      <c r="K269" s="126"/>
    </row>
    <row r="270">
      <c r="D270" s="55"/>
      <c r="E270" s="55"/>
      <c r="F270" s="55"/>
      <c r="J270" s="55"/>
      <c r="K270" s="126"/>
    </row>
    <row r="271">
      <c r="D271" s="55"/>
      <c r="E271" s="55"/>
      <c r="F271" s="55"/>
      <c r="J271" s="55"/>
      <c r="K271" s="126"/>
    </row>
    <row r="272">
      <c r="D272" s="55"/>
      <c r="E272" s="55"/>
      <c r="F272" s="55"/>
      <c r="J272" s="55"/>
      <c r="K272" s="126"/>
    </row>
    <row r="273">
      <c r="D273" s="55"/>
      <c r="E273" s="55"/>
      <c r="F273" s="55"/>
      <c r="J273" s="55"/>
      <c r="K273" s="126"/>
    </row>
    <row r="274">
      <c r="D274" s="55"/>
      <c r="E274" s="55"/>
      <c r="F274" s="55"/>
      <c r="J274" s="55"/>
      <c r="K274" s="126"/>
    </row>
    <row r="275">
      <c r="D275" s="55"/>
      <c r="E275" s="55"/>
      <c r="F275" s="55"/>
      <c r="J275" s="55"/>
      <c r="K275" s="126"/>
    </row>
    <row r="276">
      <c r="D276" s="55"/>
      <c r="E276" s="55"/>
      <c r="F276" s="55"/>
      <c r="J276" s="55"/>
      <c r="K276" s="126"/>
    </row>
    <row r="277">
      <c r="D277" s="55"/>
      <c r="E277" s="55"/>
      <c r="F277" s="55"/>
      <c r="J277" s="55"/>
      <c r="K277" s="126"/>
    </row>
    <row r="278">
      <c r="D278" s="55"/>
      <c r="E278" s="55"/>
      <c r="F278" s="55"/>
      <c r="J278" s="55"/>
      <c r="K278" s="126"/>
    </row>
    <row r="279">
      <c r="D279" s="55"/>
      <c r="E279" s="55"/>
      <c r="F279" s="55"/>
      <c r="J279" s="55"/>
      <c r="K279" s="126"/>
    </row>
    <row r="280">
      <c r="D280" s="55"/>
      <c r="E280" s="55"/>
      <c r="F280" s="55"/>
      <c r="J280" s="55"/>
      <c r="K280" s="126"/>
    </row>
    <row r="281">
      <c r="D281" s="55"/>
      <c r="E281" s="55"/>
      <c r="F281" s="55"/>
      <c r="J281" s="55"/>
      <c r="K281" s="126"/>
    </row>
    <row r="282">
      <c r="D282" s="55"/>
      <c r="E282" s="55"/>
      <c r="F282" s="55"/>
      <c r="J282" s="55"/>
      <c r="K282" s="126"/>
    </row>
    <row r="283">
      <c r="D283" s="55"/>
      <c r="E283" s="55"/>
      <c r="F283" s="55"/>
      <c r="J283" s="55"/>
      <c r="K283" s="126"/>
    </row>
    <row r="284">
      <c r="D284" s="55"/>
      <c r="E284" s="55"/>
      <c r="F284" s="55"/>
      <c r="J284" s="55"/>
      <c r="K284" s="126"/>
    </row>
    <row r="285">
      <c r="D285" s="55"/>
      <c r="E285" s="55"/>
      <c r="F285" s="55"/>
      <c r="J285" s="55"/>
      <c r="K285" s="126"/>
    </row>
    <row r="286">
      <c r="D286" s="55"/>
      <c r="E286" s="55"/>
      <c r="F286" s="55"/>
      <c r="J286" s="55"/>
      <c r="K286" s="126"/>
    </row>
    <row r="287">
      <c r="D287" s="55"/>
      <c r="E287" s="55"/>
      <c r="F287" s="55"/>
      <c r="J287" s="55"/>
      <c r="K287" s="126"/>
    </row>
    <row r="288">
      <c r="D288" s="55"/>
      <c r="E288" s="55"/>
      <c r="F288" s="55"/>
      <c r="J288" s="55"/>
      <c r="K288" s="126"/>
    </row>
    <row r="289">
      <c r="D289" s="55"/>
      <c r="E289" s="55"/>
      <c r="F289" s="55"/>
      <c r="J289" s="55"/>
      <c r="K289" s="126"/>
    </row>
    <row r="290">
      <c r="D290" s="55"/>
      <c r="E290" s="55"/>
      <c r="F290" s="55"/>
      <c r="J290" s="55"/>
      <c r="K290" s="126"/>
    </row>
    <row r="291">
      <c r="D291" s="55"/>
      <c r="E291" s="55"/>
      <c r="F291" s="55"/>
      <c r="J291" s="55"/>
      <c r="K291" s="126"/>
    </row>
    <row r="292">
      <c r="D292" s="55"/>
      <c r="E292" s="55"/>
      <c r="F292" s="55"/>
      <c r="J292" s="55"/>
      <c r="K292" s="126"/>
    </row>
    <row r="293">
      <c r="D293" s="55"/>
      <c r="E293" s="55"/>
      <c r="F293" s="55"/>
      <c r="J293" s="55"/>
      <c r="K293" s="126"/>
    </row>
    <row r="294">
      <c r="D294" s="55"/>
      <c r="E294" s="55"/>
      <c r="F294" s="55"/>
      <c r="J294" s="55"/>
      <c r="K294" s="126"/>
    </row>
    <row r="295">
      <c r="D295" s="55"/>
      <c r="E295" s="55"/>
      <c r="F295" s="55"/>
      <c r="J295" s="55"/>
      <c r="K295" s="126"/>
    </row>
    <row r="296">
      <c r="D296" s="55"/>
      <c r="E296" s="55"/>
      <c r="F296" s="55"/>
      <c r="J296" s="55"/>
      <c r="K296" s="126"/>
    </row>
    <row r="297">
      <c r="D297" s="55"/>
      <c r="E297" s="55"/>
      <c r="F297" s="55"/>
      <c r="J297" s="55"/>
      <c r="K297" s="126"/>
    </row>
    <row r="298">
      <c r="D298" s="55"/>
      <c r="E298" s="55"/>
      <c r="F298" s="55"/>
      <c r="J298" s="55"/>
      <c r="K298" s="126"/>
    </row>
    <row r="299">
      <c r="D299" s="55"/>
      <c r="E299" s="55"/>
      <c r="F299" s="55"/>
      <c r="J299" s="55"/>
      <c r="K299" s="126"/>
    </row>
    <row r="300">
      <c r="D300" s="55"/>
      <c r="E300" s="55"/>
      <c r="F300" s="55"/>
      <c r="J300" s="55"/>
      <c r="K300" s="126"/>
    </row>
    <row r="301">
      <c r="D301" s="55"/>
      <c r="E301" s="55"/>
      <c r="F301" s="55"/>
      <c r="J301" s="55"/>
      <c r="K301" s="126"/>
    </row>
    <row r="302">
      <c r="D302" s="55"/>
      <c r="E302" s="55"/>
      <c r="F302" s="55"/>
      <c r="J302" s="55"/>
      <c r="K302" s="126"/>
    </row>
    <row r="303">
      <c r="D303" s="55"/>
      <c r="E303" s="55"/>
      <c r="F303" s="55"/>
      <c r="J303" s="55"/>
      <c r="K303" s="126"/>
    </row>
    <row r="304">
      <c r="D304" s="55"/>
      <c r="E304" s="55"/>
      <c r="F304" s="55"/>
      <c r="J304" s="55"/>
      <c r="K304" s="126"/>
    </row>
    <row r="305">
      <c r="D305" s="55"/>
      <c r="E305" s="55"/>
      <c r="F305" s="55"/>
      <c r="J305" s="55"/>
      <c r="K305" s="126"/>
    </row>
    <row r="306">
      <c r="D306" s="55"/>
      <c r="E306" s="55"/>
      <c r="F306" s="55"/>
      <c r="J306" s="55"/>
      <c r="K306" s="126"/>
    </row>
    <row r="307">
      <c r="D307" s="55"/>
      <c r="E307" s="55"/>
      <c r="F307" s="55"/>
      <c r="J307" s="55"/>
      <c r="K307" s="126"/>
    </row>
    <row r="308">
      <c r="D308" s="55"/>
      <c r="E308" s="55"/>
      <c r="F308" s="55"/>
      <c r="J308" s="55"/>
      <c r="K308" s="126"/>
    </row>
    <row r="309">
      <c r="D309" s="55"/>
      <c r="E309" s="55"/>
      <c r="F309" s="55"/>
      <c r="J309" s="55"/>
      <c r="K309" s="126"/>
    </row>
    <row r="310">
      <c r="D310" s="55"/>
      <c r="E310" s="55"/>
      <c r="F310" s="55"/>
      <c r="J310" s="55"/>
      <c r="K310" s="126"/>
    </row>
    <row r="311">
      <c r="D311" s="55"/>
      <c r="E311" s="55"/>
      <c r="F311" s="55"/>
      <c r="J311" s="55"/>
      <c r="K311" s="126"/>
    </row>
    <row r="312">
      <c r="D312" s="55"/>
      <c r="E312" s="55"/>
      <c r="F312" s="55"/>
      <c r="J312" s="55"/>
      <c r="K312" s="126"/>
    </row>
    <row r="313">
      <c r="D313" s="55"/>
      <c r="E313" s="55"/>
      <c r="F313" s="55"/>
      <c r="J313" s="55"/>
      <c r="K313" s="126"/>
    </row>
    <row r="314">
      <c r="D314" s="55"/>
      <c r="E314" s="55"/>
      <c r="F314" s="55"/>
      <c r="J314" s="55"/>
      <c r="K314" s="126"/>
    </row>
    <row r="315">
      <c r="D315" s="55"/>
      <c r="E315" s="55"/>
      <c r="F315" s="55"/>
      <c r="J315" s="55"/>
      <c r="K315" s="126"/>
    </row>
    <row r="316">
      <c r="D316" s="55"/>
      <c r="E316" s="55"/>
      <c r="F316" s="55"/>
      <c r="J316" s="55"/>
      <c r="K316" s="126"/>
    </row>
    <row r="317">
      <c r="D317" s="55"/>
      <c r="E317" s="55"/>
      <c r="F317" s="55"/>
      <c r="J317" s="55"/>
      <c r="K317" s="126"/>
    </row>
    <row r="318">
      <c r="D318" s="55"/>
      <c r="E318" s="55"/>
      <c r="F318" s="55"/>
      <c r="J318" s="55"/>
      <c r="K318" s="126"/>
    </row>
    <row r="319">
      <c r="D319" s="55"/>
      <c r="E319" s="55"/>
      <c r="F319" s="55"/>
      <c r="J319" s="55"/>
      <c r="K319" s="126"/>
    </row>
    <row r="320">
      <c r="D320" s="55"/>
      <c r="E320" s="55"/>
      <c r="F320" s="55"/>
      <c r="J320" s="55"/>
      <c r="K320" s="126"/>
    </row>
    <row r="321">
      <c r="D321" s="55"/>
      <c r="E321" s="55"/>
      <c r="F321" s="55"/>
      <c r="J321" s="55"/>
      <c r="K321" s="126"/>
    </row>
    <row r="322">
      <c r="D322" s="55"/>
      <c r="E322" s="55"/>
      <c r="F322" s="55"/>
      <c r="J322" s="55"/>
      <c r="K322" s="126"/>
    </row>
    <row r="323">
      <c r="D323" s="55"/>
      <c r="E323" s="55"/>
      <c r="F323" s="55"/>
      <c r="J323" s="55"/>
      <c r="K323" s="126"/>
    </row>
    <row r="324">
      <c r="D324" s="55"/>
      <c r="E324" s="55"/>
      <c r="F324" s="55"/>
      <c r="J324" s="55"/>
      <c r="K324" s="126"/>
    </row>
    <row r="325">
      <c r="D325" s="55"/>
      <c r="E325" s="55"/>
      <c r="F325" s="55"/>
      <c r="J325" s="55"/>
      <c r="K325" s="126"/>
    </row>
    <row r="326">
      <c r="D326" s="55"/>
      <c r="E326" s="55"/>
      <c r="F326" s="55"/>
      <c r="J326" s="55"/>
      <c r="K326" s="126"/>
    </row>
    <row r="327">
      <c r="D327" s="55"/>
      <c r="E327" s="55"/>
      <c r="F327" s="55"/>
      <c r="J327" s="55"/>
      <c r="K327" s="126"/>
    </row>
    <row r="328">
      <c r="D328" s="55"/>
      <c r="E328" s="55"/>
      <c r="F328" s="55"/>
      <c r="J328" s="55"/>
      <c r="K328" s="126"/>
    </row>
    <row r="329">
      <c r="D329" s="55"/>
      <c r="E329" s="55"/>
      <c r="F329" s="55"/>
      <c r="J329" s="55"/>
      <c r="K329" s="126"/>
    </row>
    <row r="330">
      <c r="D330" s="55"/>
      <c r="E330" s="55"/>
      <c r="F330" s="55"/>
      <c r="J330" s="55"/>
      <c r="K330" s="126"/>
    </row>
    <row r="331">
      <c r="D331" s="55"/>
      <c r="E331" s="55"/>
      <c r="F331" s="55"/>
      <c r="J331" s="55"/>
      <c r="K331" s="126"/>
    </row>
    <row r="332">
      <c r="D332" s="55"/>
      <c r="E332" s="55"/>
      <c r="F332" s="55"/>
      <c r="J332" s="55"/>
      <c r="K332" s="126"/>
    </row>
    <row r="333">
      <c r="D333" s="55"/>
      <c r="E333" s="55"/>
      <c r="F333" s="55"/>
      <c r="J333" s="55"/>
      <c r="K333" s="126"/>
    </row>
    <row r="334">
      <c r="D334" s="55"/>
      <c r="E334" s="55"/>
      <c r="F334" s="55"/>
      <c r="J334" s="55"/>
      <c r="K334" s="126"/>
    </row>
    <row r="335">
      <c r="D335" s="55"/>
      <c r="E335" s="55"/>
      <c r="F335" s="55"/>
      <c r="J335" s="55"/>
      <c r="K335" s="126"/>
    </row>
    <row r="336">
      <c r="D336" s="55"/>
      <c r="E336" s="55"/>
      <c r="F336" s="55"/>
      <c r="J336" s="55"/>
      <c r="K336" s="126"/>
    </row>
    <row r="337">
      <c r="D337" s="55"/>
      <c r="E337" s="55"/>
      <c r="F337" s="55"/>
      <c r="J337" s="55"/>
      <c r="K337" s="126"/>
    </row>
    <row r="338">
      <c r="D338" s="55"/>
      <c r="E338" s="55"/>
      <c r="F338" s="55"/>
      <c r="J338" s="55"/>
      <c r="K338" s="126"/>
    </row>
    <row r="339">
      <c r="D339" s="55"/>
      <c r="E339" s="55"/>
      <c r="F339" s="55"/>
      <c r="J339" s="55"/>
      <c r="K339" s="126"/>
    </row>
    <row r="340">
      <c r="D340" s="55"/>
      <c r="E340" s="55"/>
      <c r="F340" s="55"/>
      <c r="J340" s="55"/>
      <c r="K340" s="126"/>
    </row>
    <row r="341">
      <c r="D341" s="55"/>
      <c r="E341" s="55"/>
      <c r="F341" s="55"/>
      <c r="J341" s="55"/>
      <c r="K341" s="126"/>
    </row>
    <row r="342">
      <c r="D342" s="55"/>
      <c r="E342" s="55"/>
      <c r="F342" s="55"/>
      <c r="J342" s="55"/>
      <c r="K342" s="126"/>
    </row>
    <row r="343">
      <c r="D343" s="55"/>
      <c r="E343" s="55"/>
      <c r="F343" s="55"/>
      <c r="J343" s="55"/>
      <c r="K343" s="126"/>
    </row>
    <row r="344">
      <c r="D344" s="55"/>
      <c r="E344" s="55"/>
      <c r="F344" s="55"/>
      <c r="J344" s="55"/>
      <c r="K344" s="126"/>
    </row>
    <row r="345">
      <c r="D345" s="55"/>
      <c r="E345" s="55"/>
      <c r="F345" s="55"/>
      <c r="J345" s="55"/>
      <c r="K345" s="126"/>
    </row>
    <row r="346">
      <c r="D346" s="55"/>
      <c r="E346" s="55"/>
      <c r="F346" s="55"/>
      <c r="J346" s="55"/>
      <c r="K346" s="126"/>
    </row>
    <row r="347">
      <c r="D347" s="55"/>
      <c r="E347" s="55"/>
      <c r="F347" s="55"/>
      <c r="J347" s="55"/>
      <c r="K347" s="126"/>
    </row>
    <row r="348">
      <c r="D348" s="55"/>
      <c r="E348" s="55"/>
      <c r="F348" s="55"/>
      <c r="J348" s="55"/>
      <c r="K348" s="126"/>
    </row>
    <row r="349">
      <c r="D349" s="55"/>
      <c r="E349" s="55"/>
      <c r="F349" s="55"/>
      <c r="J349" s="55"/>
      <c r="K349" s="126"/>
    </row>
    <row r="350">
      <c r="D350" s="55"/>
      <c r="E350" s="55"/>
      <c r="F350" s="55"/>
      <c r="J350" s="55"/>
      <c r="K350" s="126"/>
    </row>
    <row r="351">
      <c r="D351" s="55"/>
      <c r="E351" s="55"/>
      <c r="F351" s="55"/>
      <c r="J351" s="55"/>
      <c r="K351" s="126"/>
    </row>
    <row r="352">
      <c r="D352" s="55"/>
      <c r="E352" s="55"/>
      <c r="F352" s="55"/>
      <c r="J352" s="55"/>
      <c r="K352" s="126"/>
    </row>
    <row r="353">
      <c r="D353" s="55"/>
      <c r="E353" s="55"/>
      <c r="F353" s="55"/>
      <c r="J353" s="55"/>
      <c r="K353" s="126"/>
    </row>
    <row r="354">
      <c r="D354" s="55"/>
      <c r="E354" s="55"/>
      <c r="F354" s="55"/>
      <c r="J354" s="55"/>
      <c r="K354" s="126"/>
    </row>
    <row r="355">
      <c r="D355" s="55"/>
      <c r="E355" s="55"/>
      <c r="F355" s="55"/>
      <c r="J355" s="55"/>
      <c r="K355" s="126"/>
    </row>
    <row r="356">
      <c r="D356" s="55"/>
      <c r="E356" s="55"/>
      <c r="F356" s="55"/>
      <c r="J356" s="55"/>
      <c r="K356" s="126"/>
    </row>
    <row r="357">
      <c r="D357" s="55"/>
      <c r="E357" s="55"/>
      <c r="F357" s="55"/>
      <c r="J357" s="55"/>
      <c r="K357" s="126"/>
    </row>
    <row r="358">
      <c r="D358" s="55"/>
      <c r="E358" s="55"/>
      <c r="F358" s="55"/>
      <c r="J358" s="55"/>
      <c r="K358" s="126"/>
    </row>
    <row r="359">
      <c r="D359" s="55"/>
      <c r="E359" s="55"/>
      <c r="F359" s="55"/>
      <c r="J359" s="55"/>
      <c r="K359" s="126"/>
    </row>
    <row r="360">
      <c r="D360" s="55"/>
      <c r="E360" s="55"/>
      <c r="F360" s="55"/>
      <c r="J360" s="55"/>
      <c r="K360" s="126"/>
    </row>
    <row r="361">
      <c r="D361" s="55"/>
      <c r="E361" s="55"/>
      <c r="F361" s="55"/>
      <c r="J361" s="55"/>
      <c r="K361" s="126"/>
    </row>
    <row r="362">
      <c r="D362" s="55"/>
      <c r="E362" s="55"/>
      <c r="F362" s="55"/>
      <c r="J362" s="55"/>
      <c r="K362" s="126"/>
    </row>
    <row r="363">
      <c r="D363" s="55"/>
      <c r="E363" s="55"/>
      <c r="F363" s="55"/>
      <c r="J363" s="55"/>
      <c r="K363" s="126"/>
    </row>
    <row r="364">
      <c r="D364" s="55"/>
      <c r="E364" s="55"/>
      <c r="F364" s="55"/>
      <c r="J364" s="55"/>
      <c r="K364" s="126"/>
    </row>
    <row r="365">
      <c r="D365" s="55"/>
      <c r="E365" s="55"/>
      <c r="F365" s="55"/>
      <c r="J365" s="55"/>
      <c r="K365" s="126"/>
    </row>
    <row r="366">
      <c r="D366" s="55"/>
      <c r="E366" s="55"/>
      <c r="F366" s="55"/>
      <c r="J366" s="55"/>
      <c r="K366" s="126"/>
    </row>
    <row r="367">
      <c r="D367" s="55"/>
      <c r="E367" s="55"/>
      <c r="F367" s="55"/>
      <c r="J367" s="55"/>
      <c r="K367" s="126"/>
    </row>
    <row r="368">
      <c r="D368" s="55"/>
      <c r="E368" s="55"/>
      <c r="F368" s="55"/>
      <c r="J368" s="55"/>
      <c r="K368" s="126"/>
    </row>
    <row r="369">
      <c r="D369" s="55"/>
      <c r="E369" s="55"/>
      <c r="F369" s="55"/>
      <c r="J369" s="55"/>
      <c r="K369" s="126"/>
    </row>
    <row r="370">
      <c r="D370" s="55"/>
      <c r="E370" s="55"/>
      <c r="F370" s="55"/>
      <c r="J370" s="55"/>
      <c r="K370" s="126"/>
    </row>
    <row r="371">
      <c r="D371" s="55"/>
      <c r="E371" s="55"/>
      <c r="F371" s="55"/>
      <c r="J371" s="55"/>
      <c r="K371" s="126"/>
    </row>
    <row r="372">
      <c r="D372" s="55"/>
      <c r="E372" s="55"/>
      <c r="F372" s="55"/>
      <c r="J372" s="55"/>
      <c r="K372" s="126"/>
    </row>
    <row r="373">
      <c r="D373" s="55"/>
      <c r="E373" s="55"/>
      <c r="F373" s="55"/>
      <c r="J373" s="55"/>
      <c r="K373" s="126"/>
    </row>
    <row r="374">
      <c r="D374" s="55"/>
      <c r="E374" s="55"/>
      <c r="F374" s="55"/>
      <c r="J374" s="55"/>
      <c r="K374" s="126"/>
    </row>
    <row r="375">
      <c r="D375" s="55"/>
      <c r="E375" s="55"/>
      <c r="F375" s="55"/>
      <c r="J375" s="55"/>
      <c r="K375" s="126"/>
    </row>
    <row r="376">
      <c r="D376" s="55"/>
      <c r="E376" s="55"/>
      <c r="F376" s="55"/>
      <c r="J376" s="55"/>
      <c r="K376" s="126"/>
    </row>
    <row r="377">
      <c r="D377" s="55"/>
      <c r="E377" s="55"/>
      <c r="F377" s="55"/>
      <c r="J377" s="55"/>
      <c r="K377" s="126"/>
    </row>
    <row r="378">
      <c r="D378" s="55"/>
      <c r="E378" s="55"/>
      <c r="F378" s="55"/>
      <c r="J378" s="55"/>
      <c r="K378" s="126"/>
    </row>
    <row r="379">
      <c r="D379" s="55"/>
      <c r="E379" s="55"/>
      <c r="F379" s="55"/>
      <c r="J379" s="55"/>
      <c r="K379" s="126"/>
    </row>
    <row r="380">
      <c r="D380" s="55"/>
      <c r="E380" s="55"/>
      <c r="F380" s="55"/>
      <c r="J380" s="55"/>
      <c r="K380" s="126"/>
    </row>
    <row r="381">
      <c r="D381" s="55"/>
      <c r="E381" s="55"/>
      <c r="F381" s="55"/>
      <c r="J381" s="55"/>
      <c r="K381" s="126"/>
    </row>
    <row r="382">
      <c r="D382" s="55"/>
      <c r="E382" s="55"/>
      <c r="F382" s="55"/>
      <c r="J382" s="55"/>
      <c r="K382" s="126"/>
    </row>
    <row r="383">
      <c r="D383" s="55"/>
      <c r="E383" s="55"/>
      <c r="F383" s="55"/>
      <c r="J383" s="55"/>
      <c r="K383" s="126"/>
    </row>
    <row r="384">
      <c r="D384" s="55"/>
      <c r="E384" s="55"/>
      <c r="F384" s="55"/>
      <c r="J384" s="55"/>
      <c r="K384" s="126"/>
    </row>
    <row r="385">
      <c r="D385" s="55"/>
      <c r="E385" s="55"/>
      <c r="F385" s="55"/>
      <c r="J385" s="55"/>
      <c r="K385" s="126"/>
    </row>
    <row r="386">
      <c r="D386" s="55"/>
      <c r="E386" s="55"/>
      <c r="F386" s="55"/>
      <c r="J386" s="55"/>
      <c r="K386" s="126"/>
    </row>
    <row r="387">
      <c r="D387" s="55"/>
      <c r="E387" s="55"/>
      <c r="F387" s="55"/>
      <c r="J387" s="55"/>
      <c r="K387" s="126"/>
    </row>
    <row r="388">
      <c r="D388" s="55"/>
      <c r="E388" s="55"/>
      <c r="F388" s="55"/>
      <c r="J388" s="55"/>
      <c r="K388" s="126"/>
    </row>
    <row r="389">
      <c r="D389" s="55"/>
      <c r="E389" s="55"/>
      <c r="F389" s="55"/>
      <c r="J389" s="55"/>
      <c r="K389" s="126"/>
    </row>
    <row r="390">
      <c r="D390" s="55"/>
      <c r="E390" s="55"/>
      <c r="F390" s="55"/>
      <c r="J390" s="55"/>
      <c r="K390" s="126"/>
    </row>
    <row r="391">
      <c r="D391" s="55"/>
      <c r="E391" s="55"/>
      <c r="F391" s="55"/>
      <c r="J391" s="55"/>
      <c r="K391" s="126"/>
    </row>
    <row r="392">
      <c r="D392" s="55"/>
      <c r="E392" s="55"/>
      <c r="F392" s="55"/>
      <c r="J392" s="55"/>
      <c r="K392" s="126"/>
    </row>
    <row r="393">
      <c r="D393" s="55"/>
      <c r="E393" s="55"/>
      <c r="F393" s="55"/>
      <c r="J393" s="55"/>
      <c r="K393" s="126"/>
    </row>
    <row r="394">
      <c r="D394" s="55"/>
      <c r="E394" s="55"/>
      <c r="F394" s="55"/>
      <c r="J394" s="55"/>
      <c r="K394" s="126"/>
    </row>
    <row r="395">
      <c r="D395" s="55"/>
      <c r="E395" s="55"/>
      <c r="F395" s="55"/>
      <c r="J395" s="55"/>
      <c r="K395" s="126"/>
    </row>
    <row r="396">
      <c r="D396" s="55"/>
      <c r="E396" s="55"/>
      <c r="F396" s="55"/>
      <c r="J396" s="55"/>
      <c r="K396" s="126"/>
    </row>
    <row r="397">
      <c r="D397" s="55"/>
      <c r="E397" s="55"/>
      <c r="F397" s="55"/>
      <c r="J397" s="55"/>
      <c r="K397" s="126"/>
    </row>
    <row r="398">
      <c r="D398" s="55"/>
      <c r="E398" s="55"/>
      <c r="F398" s="55"/>
      <c r="J398" s="55"/>
      <c r="K398" s="126"/>
    </row>
    <row r="399">
      <c r="D399" s="55"/>
      <c r="E399" s="55"/>
      <c r="F399" s="55"/>
      <c r="J399" s="55"/>
      <c r="K399" s="126"/>
    </row>
    <row r="400">
      <c r="D400" s="55"/>
      <c r="E400" s="55"/>
      <c r="F400" s="55"/>
      <c r="J400" s="55"/>
      <c r="K400" s="126"/>
    </row>
    <row r="401">
      <c r="D401" s="55"/>
      <c r="E401" s="55"/>
      <c r="F401" s="55"/>
      <c r="J401" s="55"/>
      <c r="K401" s="126"/>
    </row>
    <row r="402">
      <c r="D402" s="55"/>
      <c r="E402" s="55"/>
      <c r="F402" s="55"/>
      <c r="J402" s="55"/>
      <c r="K402" s="126"/>
    </row>
    <row r="403">
      <c r="D403" s="55"/>
      <c r="E403" s="55"/>
      <c r="F403" s="55"/>
      <c r="J403" s="55"/>
      <c r="K403" s="126"/>
    </row>
    <row r="404">
      <c r="D404" s="55"/>
      <c r="E404" s="55"/>
      <c r="F404" s="55"/>
      <c r="J404" s="55"/>
      <c r="K404" s="126"/>
    </row>
    <row r="405">
      <c r="D405" s="55"/>
      <c r="E405" s="55"/>
      <c r="F405" s="55"/>
      <c r="J405" s="55"/>
      <c r="K405" s="126"/>
    </row>
    <row r="406">
      <c r="D406" s="55"/>
      <c r="E406" s="55"/>
      <c r="F406" s="55"/>
      <c r="J406" s="55"/>
      <c r="K406" s="126"/>
    </row>
    <row r="407">
      <c r="D407" s="55"/>
      <c r="E407" s="55"/>
      <c r="F407" s="55"/>
      <c r="J407" s="55"/>
      <c r="K407" s="126"/>
    </row>
    <row r="408">
      <c r="D408" s="55"/>
      <c r="E408" s="55"/>
      <c r="F408" s="55"/>
      <c r="J408" s="55"/>
      <c r="K408" s="126"/>
    </row>
    <row r="409">
      <c r="D409" s="55"/>
      <c r="E409" s="55"/>
      <c r="F409" s="55"/>
      <c r="J409" s="55"/>
      <c r="K409" s="126"/>
    </row>
    <row r="410">
      <c r="D410" s="55"/>
      <c r="E410" s="55"/>
      <c r="F410" s="55"/>
      <c r="J410" s="55"/>
      <c r="K410" s="126"/>
    </row>
    <row r="411">
      <c r="D411" s="55"/>
      <c r="E411" s="55"/>
      <c r="F411" s="55"/>
      <c r="J411" s="55"/>
      <c r="K411" s="126"/>
    </row>
    <row r="412">
      <c r="D412" s="55"/>
      <c r="E412" s="55"/>
      <c r="F412" s="55"/>
      <c r="J412" s="55"/>
      <c r="K412" s="126"/>
    </row>
    <row r="413">
      <c r="D413" s="55"/>
      <c r="E413" s="55"/>
      <c r="F413" s="55"/>
      <c r="J413" s="55"/>
      <c r="K413" s="126"/>
    </row>
    <row r="414">
      <c r="D414" s="55"/>
      <c r="E414" s="55"/>
      <c r="F414" s="55"/>
      <c r="J414" s="55"/>
      <c r="K414" s="126"/>
    </row>
    <row r="415">
      <c r="D415" s="55"/>
      <c r="E415" s="55"/>
      <c r="F415" s="55"/>
      <c r="J415" s="55"/>
      <c r="K415" s="126"/>
    </row>
    <row r="416">
      <c r="D416" s="55"/>
      <c r="E416" s="55"/>
      <c r="F416" s="55"/>
      <c r="J416" s="55"/>
      <c r="K416" s="126"/>
    </row>
    <row r="417">
      <c r="D417" s="55"/>
      <c r="E417" s="55"/>
      <c r="F417" s="55"/>
      <c r="J417" s="55"/>
      <c r="K417" s="126"/>
    </row>
    <row r="418">
      <c r="D418" s="55"/>
      <c r="E418" s="55"/>
      <c r="F418" s="55"/>
      <c r="J418" s="55"/>
      <c r="K418" s="126"/>
    </row>
    <row r="419">
      <c r="D419" s="55"/>
      <c r="E419" s="55"/>
      <c r="F419" s="55"/>
      <c r="J419" s="55"/>
      <c r="K419" s="126"/>
    </row>
    <row r="420">
      <c r="D420" s="55"/>
      <c r="E420" s="55"/>
      <c r="F420" s="55"/>
      <c r="J420" s="55"/>
      <c r="K420" s="126"/>
    </row>
    <row r="421">
      <c r="D421" s="55"/>
      <c r="E421" s="55"/>
      <c r="F421" s="55"/>
      <c r="J421" s="55"/>
      <c r="K421" s="126"/>
    </row>
    <row r="422">
      <c r="D422" s="55"/>
      <c r="E422" s="55"/>
      <c r="F422" s="55"/>
      <c r="J422" s="55"/>
      <c r="K422" s="126"/>
    </row>
    <row r="423">
      <c r="D423" s="55"/>
      <c r="E423" s="55"/>
      <c r="F423" s="55"/>
      <c r="J423" s="55"/>
      <c r="K423" s="126"/>
    </row>
    <row r="424">
      <c r="D424" s="55"/>
      <c r="E424" s="55"/>
      <c r="F424" s="55"/>
      <c r="J424" s="55"/>
      <c r="K424" s="126"/>
    </row>
    <row r="425">
      <c r="D425" s="55"/>
      <c r="E425" s="55"/>
      <c r="F425" s="55"/>
      <c r="J425" s="55"/>
      <c r="K425" s="126"/>
    </row>
    <row r="426">
      <c r="D426" s="55"/>
      <c r="E426" s="55"/>
      <c r="F426" s="55"/>
      <c r="J426" s="55"/>
      <c r="K426" s="126"/>
    </row>
    <row r="427">
      <c r="D427" s="55"/>
      <c r="E427" s="55"/>
      <c r="F427" s="55"/>
      <c r="J427" s="55"/>
      <c r="K427" s="126"/>
    </row>
    <row r="428">
      <c r="D428" s="55"/>
      <c r="E428" s="55"/>
      <c r="F428" s="55"/>
      <c r="J428" s="55"/>
      <c r="K428" s="126"/>
    </row>
    <row r="429">
      <c r="D429" s="55"/>
      <c r="E429" s="55"/>
      <c r="F429" s="55"/>
      <c r="J429" s="55"/>
      <c r="K429" s="126"/>
    </row>
    <row r="430">
      <c r="D430" s="55"/>
      <c r="E430" s="55"/>
      <c r="F430" s="55"/>
      <c r="J430" s="55"/>
      <c r="K430" s="126"/>
    </row>
    <row r="431">
      <c r="D431" s="55"/>
      <c r="E431" s="55"/>
      <c r="F431" s="55"/>
      <c r="J431" s="55"/>
      <c r="K431" s="126"/>
    </row>
    <row r="432">
      <c r="D432" s="55"/>
      <c r="E432" s="55"/>
      <c r="F432" s="55"/>
      <c r="J432" s="55"/>
      <c r="K432" s="126"/>
    </row>
    <row r="433">
      <c r="D433" s="55"/>
      <c r="E433" s="55"/>
      <c r="F433" s="55"/>
      <c r="J433" s="55"/>
      <c r="K433" s="126"/>
    </row>
    <row r="434">
      <c r="D434" s="55"/>
      <c r="E434" s="55"/>
      <c r="F434" s="55"/>
      <c r="J434" s="55"/>
      <c r="K434" s="126"/>
    </row>
    <row r="435">
      <c r="D435" s="55"/>
      <c r="E435" s="55"/>
      <c r="F435" s="55"/>
      <c r="J435" s="55"/>
      <c r="K435" s="126"/>
    </row>
    <row r="436">
      <c r="D436" s="55"/>
      <c r="E436" s="55"/>
      <c r="F436" s="55"/>
      <c r="J436" s="55"/>
      <c r="K436" s="126"/>
    </row>
    <row r="437">
      <c r="D437" s="55"/>
      <c r="E437" s="55"/>
      <c r="F437" s="55"/>
      <c r="J437" s="55"/>
      <c r="K437" s="126"/>
    </row>
    <row r="438">
      <c r="D438" s="55"/>
      <c r="E438" s="55"/>
      <c r="F438" s="55"/>
      <c r="J438" s="55"/>
      <c r="K438" s="126"/>
    </row>
    <row r="439">
      <c r="D439" s="55"/>
      <c r="E439" s="55"/>
      <c r="F439" s="55"/>
      <c r="J439" s="55"/>
      <c r="K439" s="126"/>
    </row>
    <row r="440">
      <c r="D440" s="55"/>
      <c r="E440" s="55"/>
      <c r="F440" s="55"/>
      <c r="J440" s="55"/>
      <c r="K440" s="126"/>
    </row>
    <row r="441">
      <c r="D441" s="55"/>
      <c r="E441" s="55"/>
      <c r="F441" s="55"/>
      <c r="J441" s="55"/>
      <c r="K441" s="126"/>
    </row>
    <row r="442">
      <c r="D442" s="55"/>
      <c r="E442" s="55"/>
      <c r="F442" s="55"/>
      <c r="J442" s="55"/>
      <c r="K442" s="126"/>
    </row>
    <row r="443">
      <c r="D443" s="55"/>
      <c r="E443" s="55"/>
      <c r="F443" s="55"/>
      <c r="J443" s="55"/>
      <c r="K443" s="126"/>
    </row>
    <row r="444">
      <c r="D444" s="55"/>
      <c r="E444" s="55"/>
      <c r="F444" s="55"/>
      <c r="J444" s="55"/>
      <c r="K444" s="126"/>
    </row>
    <row r="445">
      <c r="D445" s="55"/>
      <c r="E445" s="55"/>
      <c r="F445" s="55"/>
      <c r="J445" s="55"/>
      <c r="K445" s="126"/>
    </row>
    <row r="446">
      <c r="D446" s="55"/>
      <c r="E446" s="55"/>
      <c r="F446" s="55"/>
      <c r="J446" s="55"/>
      <c r="K446" s="126"/>
    </row>
    <row r="447">
      <c r="D447" s="55"/>
      <c r="E447" s="55"/>
      <c r="F447" s="55"/>
      <c r="J447" s="55"/>
      <c r="K447" s="126"/>
    </row>
    <row r="448">
      <c r="D448" s="55"/>
      <c r="E448" s="55"/>
      <c r="F448" s="55"/>
      <c r="J448" s="55"/>
      <c r="K448" s="126"/>
    </row>
    <row r="449">
      <c r="D449" s="55"/>
      <c r="E449" s="55"/>
      <c r="F449" s="55"/>
      <c r="J449" s="55"/>
      <c r="K449" s="126"/>
    </row>
    <row r="450">
      <c r="D450" s="55"/>
      <c r="E450" s="55"/>
      <c r="F450" s="55"/>
      <c r="J450" s="55"/>
      <c r="K450" s="126"/>
    </row>
    <row r="451">
      <c r="D451" s="55"/>
      <c r="E451" s="55"/>
      <c r="F451" s="55"/>
      <c r="J451" s="55"/>
      <c r="K451" s="126"/>
    </row>
    <row r="452">
      <c r="D452" s="55"/>
      <c r="E452" s="55"/>
      <c r="F452" s="55"/>
      <c r="J452" s="55"/>
      <c r="K452" s="126"/>
    </row>
    <row r="453">
      <c r="D453" s="55"/>
      <c r="E453" s="55"/>
      <c r="F453" s="55"/>
      <c r="J453" s="55"/>
      <c r="K453" s="126"/>
    </row>
    <row r="454">
      <c r="D454" s="55"/>
      <c r="E454" s="55"/>
      <c r="F454" s="55"/>
      <c r="J454" s="55"/>
      <c r="K454" s="126"/>
    </row>
    <row r="455">
      <c r="D455" s="55"/>
      <c r="E455" s="55"/>
      <c r="F455" s="55"/>
      <c r="J455" s="55"/>
      <c r="K455" s="126"/>
    </row>
    <row r="456">
      <c r="D456" s="55"/>
      <c r="E456" s="55"/>
      <c r="F456" s="55"/>
      <c r="J456" s="55"/>
      <c r="K456" s="126"/>
    </row>
    <row r="457">
      <c r="D457" s="55"/>
      <c r="E457" s="55"/>
      <c r="F457" s="55"/>
      <c r="J457" s="55"/>
      <c r="K457" s="126"/>
    </row>
    <row r="458">
      <c r="D458" s="55"/>
      <c r="E458" s="55"/>
      <c r="F458" s="55"/>
      <c r="J458" s="55"/>
      <c r="K458" s="126"/>
    </row>
    <row r="459">
      <c r="D459" s="55"/>
      <c r="E459" s="55"/>
      <c r="F459" s="55"/>
      <c r="J459" s="55"/>
      <c r="K459" s="126"/>
    </row>
    <row r="460">
      <c r="D460" s="55"/>
      <c r="E460" s="55"/>
      <c r="F460" s="55"/>
      <c r="J460" s="55"/>
      <c r="K460" s="126"/>
    </row>
    <row r="461">
      <c r="D461" s="55"/>
      <c r="E461" s="55"/>
      <c r="F461" s="55"/>
      <c r="J461" s="55"/>
      <c r="K461" s="126"/>
    </row>
    <row r="462">
      <c r="D462" s="55"/>
      <c r="E462" s="55"/>
      <c r="F462" s="55"/>
      <c r="J462" s="55"/>
      <c r="K462" s="126"/>
    </row>
    <row r="463">
      <c r="D463" s="55"/>
      <c r="E463" s="55"/>
      <c r="F463" s="55"/>
      <c r="J463" s="55"/>
      <c r="K463" s="126"/>
    </row>
    <row r="464">
      <c r="D464" s="55"/>
      <c r="E464" s="55"/>
      <c r="F464" s="55"/>
      <c r="J464" s="55"/>
      <c r="K464" s="126"/>
    </row>
    <row r="465">
      <c r="D465" s="55"/>
      <c r="E465" s="55"/>
      <c r="F465" s="55"/>
      <c r="J465" s="55"/>
      <c r="K465" s="126"/>
    </row>
    <row r="466">
      <c r="D466" s="55"/>
      <c r="E466" s="55"/>
      <c r="F466" s="55"/>
      <c r="J466" s="55"/>
      <c r="K466" s="126"/>
    </row>
    <row r="467">
      <c r="D467" s="55"/>
      <c r="E467" s="55"/>
      <c r="F467" s="55"/>
      <c r="J467" s="55"/>
      <c r="K467" s="126"/>
    </row>
    <row r="468">
      <c r="D468" s="55"/>
      <c r="E468" s="55"/>
      <c r="F468" s="55"/>
      <c r="J468" s="55"/>
      <c r="K468" s="126"/>
    </row>
    <row r="469">
      <c r="D469" s="55"/>
      <c r="E469" s="55"/>
      <c r="F469" s="55"/>
      <c r="J469" s="55"/>
      <c r="K469" s="126"/>
    </row>
    <row r="470">
      <c r="D470" s="55"/>
      <c r="E470" s="55"/>
      <c r="F470" s="55"/>
      <c r="J470" s="55"/>
      <c r="K470" s="126"/>
    </row>
    <row r="471">
      <c r="D471" s="55"/>
      <c r="E471" s="55"/>
      <c r="F471" s="55"/>
      <c r="J471" s="55"/>
      <c r="K471" s="126"/>
    </row>
    <row r="472">
      <c r="D472" s="55"/>
      <c r="E472" s="55"/>
      <c r="F472" s="55"/>
      <c r="J472" s="55"/>
      <c r="K472" s="126"/>
    </row>
    <row r="473">
      <c r="D473" s="55"/>
      <c r="E473" s="55"/>
      <c r="F473" s="55"/>
      <c r="J473" s="55"/>
      <c r="K473" s="126"/>
    </row>
    <row r="474">
      <c r="D474" s="55"/>
      <c r="E474" s="55"/>
      <c r="F474" s="55"/>
      <c r="J474" s="55"/>
      <c r="K474" s="126"/>
    </row>
    <row r="475">
      <c r="D475" s="55"/>
      <c r="E475" s="55"/>
      <c r="F475" s="55"/>
      <c r="J475" s="55"/>
      <c r="K475" s="126"/>
    </row>
    <row r="476">
      <c r="D476" s="55"/>
      <c r="E476" s="55"/>
      <c r="F476" s="55"/>
      <c r="J476" s="55"/>
      <c r="K476" s="126"/>
    </row>
    <row r="477">
      <c r="D477" s="55"/>
      <c r="E477" s="55"/>
      <c r="F477" s="55"/>
      <c r="J477" s="55"/>
      <c r="K477" s="126"/>
    </row>
    <row r="478">
      <c r="D478" s="55"/>
      <c r="E478" s="55"/>
      <c r="F478" s="55"/>
      <c r="J478" s="55"/>
      <c r="K478" s="126"/>
    </row>
    <row r="479">
      <c r="D479" s="55"/>
      <c r="E479" s="55"/>
      <c r="F479" s="55"/>
      <c r="J479" s="55"/>
      <c r="K479" s="126"/>
    </row>
    <row r="480">
      <c r="D480" s="55"/>
      <c r="E480" s="55"/>
      <c r="F480" s="55"/>
      <c r="J480" s="55"/>
      <c r="K480" s="126"/>
    </row>
    <row r="481">
      <c r="D481" s="55"/>
      <c r="E481" s="55"/>
      <c r="F481" s="55"/>
      <c r="J481" s="55"/>
      <c r="K481" s="126"/>
    </row>
    <row r="482">
      <c r="D482" s="55"/>
      <c r="E482" s="55"/>
      <c r="F482" s="55"/>
      <c r="J482" s="55"/>
      <c r="K482" s="126"/>
    </row>
    <row r="483">
      <c r="D483" s="55"/>
      <c r="E483" s="55"/>
      <c r="F483" s="55"/>
      <c r="J483" s="55"/>
      <c r="K483" s="126"/>
    </row>
    <row r="484">
      <c r="D484" s="55"/>
      <c r="E484" s="55"/>
      <c r="F484" s="55"/>
      <c r="J484" s="55"/>
      <c r="K484" s="126"/>
    </row>
    <row r="485">
      <c r="D485" s="55"/>
      <c r="E485" s="55"/>
      <c r="F485" s="55"/>
      <c r="J485" s="55"/>
      <c r="K485" s="126"/>
    </row>
    <row r="486">
      <c r="D486" s="55"/>
      <c r="E486" s="55"/>
      <c r="F486" s="55"/>
      <c r="J486" s="55"/>
      <c r="K486" s="126"/>
    </row>
    <row r="487">
      <c r="D487" s="55"/>
      <c r="E487" s="55"/>
      <c r="F487" s="55"/>
      <c r="J487" s="55"/>
      <c r="K487" s="126"/>
    </row>
    <row r="488">
      <c r="D488" s="55"/>
      <c r="E488" s="55"/>
      <c r="F488" s="55"/>
      <c r="J488" s="55"/>
      <c r="K488" s="126"/>
    </row>
    <row r="489">
      <c r="D489" s="55"/>
      <c r="E489" s="55"/>
      <c r="F489" s="55"/>
      <c r="J489" s="55"/>
      <c r="K489" s="126"/>
    </row>
    <row r="490">
      <c r="D490" s="55"/>
      <c r="E490" s="55"/>
      <c r="F490" s="55"/>
      <c r="J490" s="55"/>
      <c r="K490" s="126"/>
    </row>
    <row r="491">
      <c r="D491" s="55"/>
      <c r="E491" s="55"/>
      <c r="F491" s="55"/>
      <c r="J491" s="55"/>
      <c r="K491" s="126"/>
    </row>
    <row r="492">
      <c r="D492" s="55"/>
      <c r="E492" s="55"/>
      <c r="F492" s="55"/>
      <c r="J492" s="55"/>
      <c r="K492" s="126"/>
    </row>
    <row r="493">
      <c r="D493" s="55"/>
      <c r="E493" s="55"/>
      <c r="F493" s="55"/>
      <c r="J493" s="55"/>
      <c r="K493" s="126"/>
    </row>
    <row r="494">
      <c r="D494" s="55"/>
      <c r="E494" s="55"/>
      <c r="F494" s="55"/>
      <c r="J494" s="55"/>
      <c r="K494" s="126"/>
    </row>
    <row r="495">
      <c r="D495" s="55"/>
      <c r="E495" s="55"/>
      <c r="F495" s="55"/>
      <c r="J495" s="55"/>
      <c r="K495" s="126"/>
    </row>
    <row r="496">
      <c r="D496" s="55"/>
      <c r="E496" s="55"/>
      <c r="F496" s="55"/>
      <c r="J496" s="55"/>
      <c r="K496" s="126"/>
    </row>
    <row r="497">
      <c r="D497" s="55"/>
      <c r="E497" s="55"/>
      <c r="F497" s="55"/>
      <c r="J497" s="55"/>
      <c r="K497" s="126"/>
    </row>
    <row r="498">
      <c r="D498" s="55"/>
      <c r="E498" s="55"/>
      <c r="F498" s="55"/>
      <c r="J498" s="55"/>
      <c r="K498" s="126"/>
    </row>
    <row r="499">
      <c r="D499" s="55"/>
      <c r="E499" s="55"/>
      <c r="F499" s="55"/>
      <c r="J499" s="55"/>
      <c r="K499" s="126"/>
    </row>
    <row r="500">
      <c r="D500" s="55"/>
      <c r="E500" s="55"/>
      <c r="F500" s="55"/>
      <c r="J500" s="55"/>
      <c r="K500" s="126"/>
    </row>
    <row r="501">
      <c r="D501" s="55"/>
      <c r="E501" s="55"/>
      <c r="F501" s="55"/>
      <c r="J501" s="55"/>
      <c r="K501" s="126"/>
    </row>
    <row r="502">
      <c r="D502" s="55"/>
      <c r="E502" s="55"/>
      <c r="F502" s="55"/>
      <c r="J502" s="55"/>
      <c r="K502" s="126"/>
    </row>
    <row r="503">
      <c r="D503" s="55"/>
      <c r="E503" s="55"/>
      <c r="F503" s="55"/>
      <c r="J503" s="55"/>
      <c r="K503" s="126"/>
    </row>
    <row r="504">
      <c r="D504" s="55"/>
      <c r="E504" s="55"/>
      <c r="F504" s="55"/>
      <c r="J504" s="55"/>
      <c r="K504" s="126"/>
    </row>
    <row r="505">
      <c r="D505" s="55"/>
      <c r="E505" s="55"/>
      <c r="F505" s="55"/>
      <c r="J505" s="55"/>
      <c r="K505" s="126"/>
    </row>
    <row r="506">
      <c r="D506" s="55"/>
      <c r="E506" s="55"/>
      <c r="F506" s="55"/>
      <c r="J506" s="55"/>
      <c r="K506" s="126"/>
    </row>
    <row r="507">
      <c r="D507" s="55"/>
      <c r="E507" s="55"/>
      <c r="F507" s="55"/>
      <c r="J507" s="55"/>
      <c r="K507" s="126"/>
    </row>
    <row r="508">
      <c r="D508" s="55"/>
      <c r="E508" s="55"/>
      <c r="F508" s="55"/>
      <c r="J508" s="55"/>
      <c r="K508" s="126"/>
    </row>
    <row r="509">
      <c r="D509" s="55"/>
      <c r="E509" s="55"/>
      <c r="F509" s="55"/>
      <c r="J509" s="55"/>
      <c r="K509" s="126"/>
    </row>
    <row r="510">
      <c r="D510" s="55"/>
      <c r="E510" s="55"/>
      <c r="F510" s="55"/>
      <c r="J510" s="55"/>
      <c r="K510" s="126"/>
    </row>
    <row r="511">
      <c r="D511" s="55"/>
      <c r="E511" s="55"/>
      <c r="F511" s="55"/>
      <c r="J511" s="55"/>
      <c r="K511" s="126"/>
    </row>
    <row r="512">
      <c r="D512" s="55"/>
      <c r="E512" s="55"/>
      <c r="F512" s="55"/>
      <c r="J512" s="55"/>
      <c r="K512" s="126"/>
    </row>
    <row r="513">
      <c r="D513" s="55"/>
      <c r="E513" s="55"/>
      <c r="F513" s="55"/>
      <c r="J513" s="55"/>
      <c r="K513" s="126"/>
    </row>
    <row r="514">
      <c r="D514" s="55"/>
      <c r="E514" s="55"/>
      <c r="F514" s="55"/>
      <c r="J514" s="55"/>
      <c r="K514" s="126"/>
    </row>
    <row r="515">
      <c r="D515" s="55"/>
      <c r="E515" s="55"/>
      <c r="F515" s="55"/>
      <c r="J515" s="55"/>
      <c r="K515" s="126"/>
    </row>
    <row r="516">
      <c r="D516" s="55"/>
      <c r="E516" s="55"/>
      <c r="F516" s="55"/>
      <c r="J516" s="55"/>
      <c r="K516" s="126"/>
    </row>
    <row r="517">
      <c r="D517" s="55"/>
      <c r="E517" s="55"/>
      <c r="F517" s="55"/>
      <c r="J517" s="55"/>
      <c r="K517" s="126"/>
    </row>
    <row r="518">
      <c r="D518" s="55"/>
      <c r="E518" s="55"/>
      <c r="F518" s="55"/>
      <c r="J518" s="55"/>
      <c r="K518" s="126"/>
    </row>
    <row r="519">
      <c r="D519" s="55"/>
      <c r="E519" s="55"/>
      <c r="F519" s="55"/>
      <c r="J519" s="55"/>
      <c r="K519" s="126"/>
    </row>
    <row r="520">
      <c r="D520" s="55"/>
      <c r="E520" s="55"/>
      <c r="F520" s="55"/>
      <c r="J520" s="55"/>
      <c r="K520" s="126"/>
    </row>
    <row r="521">
      <c r="D521" s="55"/>
      <c r="E521" s="55"/>
      <c r="F521" s="55"/>
      <c r="J521" s="55"/>
      <c r="K521" s="126"/>
    </row>
    <row r="522">
      <c r="D522" s="55"/>
      <c r="E522" s="55"/>
      <c r="F522" s="55"/>
      <c r="J522" s="55"/>
      <c r="K522" s="126"/>
    </row>
    <row r="523">
      <c r="D523" s="55"/>
      <c r="E523" s="55"/>
      <c r="F523" s="55"/>
      <c r="J523" s="55"/>
      <c r="K523" s="126"/>
    </row>
    <row r="524">
      <c r="D524" s="55"/>
      <c r="E524" s="55"/>
      <c r="F524" s="55"/>
      <c r="J524" s="55"/>
      <c r="K524" s="126"/>
    </row>
    <row r="525">
      <c r="D525" s="55"/>
      <c r="E525" s="55"/>
      <c r="F525" s="55"/>
      <c r="J525" s="55"/>
      <c r="K525" s="126"/>
    </row>
    <row r="526">
      <c r="D526" s="55"/>
      <c r="E526" s="55"/>
      <c r="F526" s="55"/>
      <c r="J526" s="55"/>
      <c r="K526" s="126"/>
    </row>
    <row r="527">
      <c r="D527" s="55"/>
      <c r="E527" s="55"/>
      <c r="F527" s="55"/>
      <c r="J527" s="55"/>
      <c r="K527" s="126"/>
    </row>
    <row r="528">
      <c r="D528" s="55"/>
      <c r="E528" s="55"/>
      <c r="F528" s="55"/>
      <c r="J528" s="55"/>
      <c r="K528" s="126"/>
    </row>
    <row r="529">
      <c r="D529" s="55"/>
      <c r="E529" s="55"/>
      <c r="F529" s="55"/>
      <c r="J529" s="55"/>
      <c r="K529" s="126"/>
    </row>
    <row r="530">
      <c r="D530" s="55"/>
      <c r="E530" s="55"/>
      <c r="F530" s="55"/>
      <c r="J530" s="55"/>
      <c r="K530" s="126"/>
    </row>
    <row r="531">
      <c r="D531" s="55"/>
      <c r="E531" s="55"/>
      <c r="F531" s="55"/>
      <c r="J531" s="55"/>
      <c r="K531" s="126"/>
    </row>
    <row r="532">
      <c r="D532" s="55"/>
      <c r="E532" s="55"/>
      <c r="F532" s="55"/>
      <c r="J532" s="55"/>
      <c r="K532" s="126"/>
    </row>
    <row r="533">
      <c r="D533" s="55"/>
      <c r="E533" s="55"/>
      <c r="F533" s="55"/>
      <c r="J533" s="55"/>
      <c r="K533" s="126"/>
    </row>
    <row r="534">
      <c r="D534" s="55"/>
      <c r="E534" s="55"/>
      <c r="F534" s="55"/>
      <c r="J534" s="55"/>
      <c r="K534" s="126"/>
    </row>
    <row r="535">
      <c r="D535" s="55"/>
      <c r="E535" s="55"/>
      <c r="F535" s="55"/>
      <c r="J535" s="55"/>
      <c r="K535" s="126"/>
    </row>
    <row r="536">
      <c r="D536" s="55"/>
      <c r="E536" s="55"/>
      <c r="F536" s="55"/>
      <c r="J536" s="55"/>
      <c r="K536" s="126"/>
    </row>
    <row r="537">
      <c r="D537" s="55"/>
      <c r="E537" s="55"/>
      <c r="F537" s="55"/>
      <c r="J537" s="55"/>
      <c r="K537" s="126"/>
    </row>
    <row r="538">
      <c r="D538" s="55"/>
      <c r="E538" s="55"/>
      <c r="F538" s="55"/>
      <c r="J538" s="55"/>
      <c r="K538" s="126"/>
    </row>
    <row r="539">
      <c r="D539" s="55"/>
      <c r="E539" s="55"/>
      <c r="F539" s="55"/>
      <c r="J539" s="55"/>
      <c r="K539" s="126"/>
    </row>
    <row r="540">
      <c r="D540" s="55"/>
      <c r="E540" s="55"/>
      <c r="F540" s="55"/>
      <c r="J540" s="55"/>
      <c r="K540" s="126"/>
    </row>
    <row r="541">
      <c r="D541" s="55"/>
      <c r="E541" s="55"/>
      <c r="F541" s="55"/>
      <c r="J541" s="55"/>
      <c r="K541" s="126"/>
    </row>
    <row r="542">
      <c r="D542" s="55"/>
      <c r="E542" s="55"/>
      <c r="F542" s="55"/>
      <c r="J542" s="55"/>
      <c r="K542" s="126"/>
    </row>
    <row r="543">
      <c r="D543" s="55"/>
      <c r="E543" s="55"/>
      <c r="F543" s="55"/>
      <c r="J543" s="55"/>
      <c r="K543" s="126"/>
    </row>
    <row r="544">
      <c r="D544" s="55"/>
      <c r="E544" s="55"/>
      <c r="F544" s="55"/>
      <c r="J544" s="55"/>
      <c r="K544" s="126"/>
    </row>
    <row r="545">
      <c r="D545" s="55"/>
      <c r="E545" s="55"/>
      <c r="F545" s="55"/>
      <c r="J545" s="55"/>
      <c r="K545" s="126"/>
    </row>
    <row r="546">
      <c r="D546" s="55"/>
      <c r="E546" s="55"/>
      <c r="F546" s="55"/>
      <c r="J546" s="55"/>
      <c r="K546" s="126"/>
    </row>
    <row r="547">
      <c r="D547" s="55"/>
      <c r="E547" s="55"/>
      <c r="F547" s="55"/>
      <c r="J547" s="55"/>
      <c r="K547" s="126"/>
    </row>
    <row r="548">
      <c r="D548" s="55"/>
      <c r="E548" s="55"/>
      <c r="F548" s="55"/>
      <c r="J548" s="55"/>
      <c r="K548" s="126"/>
    </row>
    <row r="549">
      <c r="D549" s="55"/>
      <c r="E549" s="55"/>
      <c r="F549" s="55"/>
      <c r="J549" s="55"/>
      <c r="K549" s="126"/>
    </row>
    <row r="550">
      <c r="D550" s="55"/>
      <c r="E550" s="55"/>
      <c r="F550" s="55"/>
      <c r="J550" s="55"/>
      <c r="K550" s="126"/>
    </row>
    <row r="551">
      <c r="D551" s="55"/>
      <c r="E551" s="55"/>
      <c r="F551" s="55"/>
      <c r="J551" s="55"/>
      <c r="K551" s="126"/>
    </row>
    <row r="552">
      <c r="D552" s="55"/>
      <c r="E552" s="55"/>
      <c r="F552" s="55"/>
      <c r="J552" s="55"/>
      <c r="K552" s="126"/>
    </row>
    <row r="553">
      <c r="D553" s="55"/>
      <c r="E553" s="55"/>
      <c r="F553" s="55"/>
      <c r="J553" s="55"/>
      <c r="K553" s="126"/>
    </row>
    <row r="554">
      <c r="D554" s="55"/>
      <c r="E554" s="55"/>
      <c r="F554" s="55"/>
      <c r="J554" s="55"/>
      <c r="K554" s="126"/>
    </row>
    <row r="555">
      <c r="D555" s="55"/>
      <c r="E555" s="55"/>
      <c r="F555" s="55"/>
      <c r="J555" s="55"/>
      <c r="K555" s="126"/>
    </row>
    <row r="556">
      <c r="D556" s="55"/>
      <c r="E556" s="55"/>
      <c r="F556" s="55"/>
      <c r="J556" s="55"/>
      <c r="K556" s="126"/>
    </row>
    <row r="557">
      <c r="D557" s="55"/>
      <c r="E557" s="55"/>
      <c r="F557" s="55"/>
      <c r="J557" s="55"/>
      <c r="K557" s="126"/>
    </row>
    <row r="558">
      <c r="D558" s="55"/>
      <c r="E558" s="55"/>
      <c r="F558" s="55"/>
      <c r="J558" s="55"/>
      <c r="K558" s="126"/>
    </row>
    <row r="559">
      <c r="D559" s="55"/>
      <c r="E559" s="55"/>
      <c r="F559" s="55"/>
      <c r="J559" s="55"/>
      <c r="K559" s="126"/>
    </row>
    <row r="560">
      <c r="D560" s="55"/>
      <c r="E560" s="55"/>
      <c r="F560" s="55"/>
      <c r="J560" s="55"/>
      <c r="K560" s="126"/>
    </row>
    <row r="561">
      <c r="D561" s="55"/>
      <c r="E561" s="55"/>
      <c r="F561" s="55"/>
      <c r="J561" s="55"/>
      <c r="K561" s="126"/>
    </row>
    <row r="562">
      <c r="D562" s="55"/>
      <c r="E562" s="55"/>
      <c r="F562" s="55"/>
      <c r="J562" s="55"/>
      <c r="K562" s="126"/>
    </row>
    <row r="563">
      <c r="D563" s="55"/>
      <c r="E563" s="55"/>
      <c r="F563" s="55"/>
      <c r="J563" s="55"/>
      <c r="K563" s="126"/>
    </row>
    <row r="564">
      <c r="D564" s="55"/>
      <c r="E564" s="55"/>
      <c r="F564" s="55"/>
      <c r="J564" s="55"/>
      <c r="K564" s="126"/>
    </row>
    <row r="565">
      <c r="D565" s="55"/>
      <c r="E565" s="55"/>
      <c r="F565" s="55"/>
      <c r="J565" s="55"/>
      <c r="K565" s="126"/>
    </row>
    <row r="566">
      <c r="D566" s="55"/>
      <c r="E566" s="55"/>
      <c r="F566" s="55"/>
      <c r="J566" s="55"/>
      <c r="K566" s="126"/>
    </row>
    <row r="567">
      <c r="D567" s="55"/>
      <c r="E567" s="55"/>
      <c r="F567" s="55"/>
      <c r="J567" s="55"/>
      <c r="K567" s="126"/>
    </row>
    <row r="568">
      <c r="D568" s="55"/>
      <c r="E568" s="55"/>
      <c r="F568" s="55"/>
      <c r="J568" s="55"/>
      <c r="K568" s="126"/>
    </row>
    <row r="569">
      <c r="D569" s="55"/>
      <c r="E569" s="55"/>
      <c r="F569" s="55"/>
      <c r="J569" s="55"/>
      <c r="K569" s="126"/>
    </row>
    <row r="570">
      <c r="D570" s="55"/>
      <c r="E570" s="55"/>
      <c r="F570" s="55"/>
      <c r="J570" s="55"/>
      <c r="K570" s="126"/>
    </row>
    <row r="571">
      <c r="D571" s="55"/>
      <c r="E571" s="55"/>
      <c r="F571" s="55"/>
      <c r="J571" s="55"/>
      <c r="K571" s="126"/>
    </row>
    <row r="572">
      <c r="D572" s="55"/>
      <c r="E572" s="55"/>
      <c r="F572" s="55"/>
      <c r="J572" s="55"/>
      <c r="K572" s="126"/>
    </row>
    <row r="573">
      <c r="D573" s="55"/>
      <c r="E573" s="55"/>
      <c r="F573" s="55"/>
      <c r="J573" s="55"/>
      <c r="K573" s="126"/>
    </row>
    <row r="574">
      <c r="D574" s="55"/>
      <c r="E574" s="55"/>
      <c r="F574" s="55"/>
      <c r="J574" s="55"/>
      <c r="K574" s="126"/>
    </row>
    <row r="575">
      <c r="D575" s="55"/>
      <c r="E575" s="55"/>
      <c r="F575" s="55"/>
      <c r="J575" s="55"/>
      <c r="K575" s="126"/>
    </row>
    <row r="576">
      <c r="D576" s="55"/>
      <c r="E576" s="55"/>
      <c r="F576" s="55"/>
      <c r="J576" s="55"/>
      <c r="K576" s="126"/>
    </row>
    <row r="577">
      <c r="D577" s="55"/>
      <c r="E577" s="55"/>
      <c r="F577" s="55"/>
      <c r="J577" s="55"/>
      <c r="K577" s="126"/>
    </row>
    <row r="578">
      <c r="D578" s="55"/>
      <c r="E578" s="55"/>
      <c r="F578" s="55"/>
      <c r="J578" s="55"/>
      <c r="K578" s="126"/>
    </row>
    <row r="579">
      <c r="D579" s="55"/>
      <c r="E579" s="55"/>
      <c r="F579" s="55"/>
      <c r="J579" s="55"/>
      <c r="K579" s="126"/>
    </row>
    <row r="580">
      <c r="D580" s="55"/>
      <c r="E580" s="55"/>
      <c r="F580" s="55"/>
      <c r="J580" s="55"/>
      <c r="K580" s="126"/>
    </row>
    <row r="581">
      <c r="D581" s="55"/>
      <c r="E581" s="55"/>
      <c r="F581" s="55"/>
      <c r="J581" s="55"/>
      <c r="K581" s="126"/>
    </row>
    <row r="582">
      <c r="D582" s="55"/>
      <c r="E582" s="55"/>
      <c r="F582" s="55"/>
      <c r="J582" s="55"/>
      <c r="K582" s="126"/>
    </row>
    <row r="583">
      <c r="D583" s="55"/>
      <c r="E583" s="55"/>
      <c r="F583" s="55"/>
      <c r="J583" s="55"/>
      <c r="K583" s="126"/>
    </row>
    <row r="584">
      <c r="D584" s="55"/>
      <c r="E584" s="55"/>
      <c r="F584" s="55"/>
      <c r="J584" s="55"/>
      <c r="K584" s="126"/>
    </row>
    <row r="585">
      <c r="D585" s="55"/>
      <c r="E585" s="55"/>
      <c r="F585" s="55"/>
      <c r="J585" s="55"/>
      <c r="K585" s="126"/>
    </row>
    <row r="586">
      <c r="D586" s="55"/>
      <c r="E586" s="55"/>
      <c r="F586" s="55"/>
      <c r="J586" s="55"/>
      <c r="K586" s="126"/>
    </row>
    <row r="587">
      <c r="D587" s="55"/>
      <c r="E587" s="55"/>
      <c r="F587" s="55"/>
      <c r="J587" s="55"/>
      <c r="K587" s="126"/>
    </row>
    <row r="588">
      <c r="D588" s="55"/>
      <c r="E588" s="55"/>
      <c r="F588" s="55"/>
      <c r="J588" s="55"/>
      <c r="K588" s="126"/>
    </row>
    <row r="589">
      <c r="D589" s="55"/>
      <c r="E589" s="55"/>
      <c r="F589" s="55"/>
      <c r="J589" s="55"/>
      <c r="K589" s="126"/>
    </row>
    <row r="590">
      <c r="D590" s="55"/>
      <c r="E590" s="55"/>
      <c r="F590" s="55"/>
      <c r="J590" s="55"/>
      <c r="K590" s="126"/>
    </row>
    <row r="591">
      <c r="D591" s="55"/>
      <c r="E591" s="55"/>
      <c r="F591" s="55"/>
      <c r="J591" s="55"/>
      <c r="K591" s="126"/>
    </row>
    <row r="592">
      <c r="D592" s="55"/>
      <c r="E592" s="55"/>
      <c r="F592" s="55"/>
      <c r="J592" s="55"/>
      <c r="K592" s="126"/>
    </row>
    <row r="593">
      <c r="D593" s="55"/>
      <c r="E593" s="55"/>
      <c r="F593" s="55"/>
      <c r="J593" s="55"/>
      <c r="K593" s="126"/>
    </row>
    <row r="594">
      <c r="D594" s="55"/>
      <c r="E594" s="55"/>
      <c r="F594" s="55"/>
      <c r="J594" s="55"/>
      <c r="K594" s="126"/>
    </row>
    <row r="595">
      <c r="D595" s="55"/>
      <c r="E595" s="55"/>
      <c r="F595" s="55"/>
      <c r="J595" s="55"/>
      <c r="K595" s="126"/>
    </row>
    <row r="596">
      <c r="D596" s="55"/>
      <c r="E596" s="55"/>
      <c r="F596" s="55"/>
      <c r="J596" s="55"/>
      <c r="K596" s="126"/>
    </row>
    <row r="597">
      <c r="D597" s="55"/>
      <c r="E597" s="55"/>
      <c r="F597" s="55"/>
      <c r="J597" s="55"/>
      <c r="K597" s="126"/>
    </row>
    <row r="598">
      <c r="D598" s="55"/>
      <c r="E598" s="55"/>
      <c r="F598" s="55"/>
      <c r="J598" s="55"/>
      <c r="K598" s="126"/>
    </row>
    <row r="599">
      <c r="D599" s="55"/>
      <c r="E599" s="55"/>
      <c r="F599" s="55"/>
      <c r="J599" s="55"/>
      <c r="K599" s="126"/>
    </row>
    <row r="600">
      <c r="D600" s="55"/>
      <c r="E600" s="55"/>
      <c r="F600" s="55"/>
      <c r="J600" s="55"/>
      <c r="K600" s="126"/>
    </row>
    <row r="601">
      <c r="D601" s="55"/>
      <c r="E601" s="55"/>
      <c r="F601" s="55"/>
      <c r="J601" s="55"/>
      <c r="K601" s="126"/>
    </row>
    <row r="602">
      <c r="D602" s="55"/>
      <c r="E602" s="55"/>
      <c r="F602" s="55"/>
      <c r="J602" s="55"/>
      <c r="K602" s="126"/>
    </row>
    <row r="603">
      <c r="D603" s="55"/>
      <c r="E603" s="55"/>
      <c r="F603" s="55"/>
      <c r="J603" s="55"/>
      <c r="K603" s="126"/>
    </row>
    <row r="604">
      <c r="D604" s="55"/>
      <c r="E604" s="55"/>
      <c r="F604" s="55"/>
      <c r="J604" s="55"/>
      <c r="K604" s="126"/>
    </row>
    <row r="605">
      <c r="D605" s="55"/>
      <c r="E605" s="55"/>
      <c r="F605" s="55"/>
      <c r="J605" s="55"/>
      <c r="K605" s="126"/>
    </row>
    <row r="606">
      <c r="D606" s="55"/>
      <c r="E606" s="55"/>
      <c r="F606" s="55"/>
      <c r="J606" s="55"/>
      <c r="K606" s="126"/>
    </row>
    <row r="607">
      <c r="D607" s="55"/>
      <c r="E607" s="55"/>
      <c r="F607" s="55"/>
      <c r="J607" s="55"/>
      <c r="K607" s="126"/>
    </row>
    <row r="608">
      <c r="D608" s="55"/>
      <c r="E608" s="55"/>
      <c r="F608" s="55"/>
      <c r="J608" s="55"/>
      <c r="K608" s="126"/>
    </row>
    <row r="609">
      <c r="D609" s="55"/>
      <c r="E609" s="55"/>
      <c r="F609" s="55"/>
      <c r="J609" s="55"/>
      <c r="K609" s="126"/>
    </row>
    <row r="610">
      <c r="D610" s="55"/>
      <c r="E610" s="55"/>
      <c r="F610" s="55"/>
      <c r="J610" s="55"/>
      <c r="K610" s="126"/>
    </row>
    <row r="611">
      <c r="D611" s="55"/>
      <c r="E611" s="55"/>
      <c r="F611" s="55"/>
      <c r="J611" s="55"/>
      <c r="K611" s="126"/>
    </row>
    <row r="612">
      <c r="D612" s="55"/>
      <c r="E612" s="55"/>
      <c r="F612" s="55"/>
      <c r="J612" s="55"/>
      <c r="K612" s="126"/>
    </row>
    <row r="613">
      <c r="D613" s="55"/>
      <c r="E613" s="55"/>
      <c r="F613" s="55"/>
      <c r="J613" s="55"/>
      <c r="K613" s="126"/>
    </row>
    <row r="614">
      <c r="D614" s="55"/>
      <c r="E614" s="55"/>
      <c r="F614" s="55"/>
      <c r="J614" s="55"/>
      <c r="K614" s="126"/>
    </row>
    <row r="615">
      <c r="D615" s="55"/>
      <c r="E615" s="55"/>
      <c r="F615" s="55"/>
      <c r="J615" s="55"/>
      <c r="K615" s="126"/>
    </row>
    <row r="616">
      <c r="D616" s="55"/>
      <c r="E616" s="55"/>
      <c r="F616" s="55"/>
      <c r="J616" s="55"/>
      <c r="K616" s="126"/>
    </row>
    <row r="617">
      <c r="D617" s="55"/>
      <c r="E617" s="55"/>
      <c r="F617" s="55"/>
      <c r="J617" s="55"/>
      <c r="K617" s="126"/>
    </row>
    <row r="618">
      <c r="D618" s="55"/>
      <c r="E618" s="55"/>
      <c r="F618" s="55"/>
      <c r="J618" s="55"/>
      <c r="K618" s="126"/>
    </row>
    <row r="619">
      <c r="D619" s="55"/>
      <c r="E619" s="55"/>
      <c r="F619" s="55"/>
      <c r="J619" s="55"/>
      <c r="K619" s="126"/>
    </row>
    <row r="620">
      <c r="D620" s="55"/>
      <c r="E620" s="55"/>
      <c r="F620" s="55"/>
      <c r="J620" s="55"/>
      <c r="K620" s="126"/>
    </row>
    <row r="621">
      <c r="D621" s="55"/>
      <c r="E621" s="55"/>
      <c r="F621" s="55"/>
      <c r="J621" s="55"/>
      <c r="K621" s="126"/>
    </row>
    <row r="622">
      <c r="D622" s="55"/>
      <c r="E622" s="55"/>
      <c r="F622" s="55"/>
      <c r="J622" s="55"/>
      <c r="K622" s="126"/>
    </row>
    <row r="623">
      <c r="D623" s="55"/>
      <c r="E623" s="55"/>
      <c r="F623" s="55"/>
      <c r="J623" s="55"/>
      <c r="K623" s="126"/>
    </row>
    <row r="624">
      <c r="D624" s="55"/>
      <c r="E624" s="55"/>
      <c r="F624" s="55"/>
      <c r="J624" s="55"/>
      <c r="K624" s="126"/>
    </row>
    <row r="625">
      <c r="D625" s="55"/>
      <c r="E625" s="55"/>
      <c r="F625" s="55"/>
      <c r="J625" s="55"/>
      <c r="K625" s="126"/>
    </row>
    <row r="626">
      <c r="D626" s="55"/>
      <c r="E626" s="55"/>
      <c r="F626" s="55"/>
      <c r="J626" s="55"/>
      <c r="K626" s="126"/>
    </row>
    <row r="627">
      <c r="D627" s="55"/>
      <c r="E627" s="55"/>
      <c r="F627" s="55"/>
      <c r="J627" s="55"/>
      <c r="K627" s="126"/>
    </row>
    <row r="628">
      <c r="D628" s="55"/>
      <c r="E628" s="55"/>
      <c r="F628" s="55"/>
      <c r="J628" s="55"/>
      <c r="K628" s="126"/>
    </row>
    <row r="629">
      <c r="D629" s="55"/>
      <c r="E629" s="55"/>
      <c r="F629" s="55"/>
      <c r="J629" s="55"/>
      <c r="K629" s="126"/>
    </row>
    <row r="630">
      <c r="D630" s="55"/>
      <c r="E630" s="55"/>
      <c r="F630" s="55"/>
      <c r="J630" s="55"/>
      <c r="K630" s="126"/>
    </row>
    <row r="631">
      <c r="D631" s="55"/>
      <c r="E631" s="55"/>
      <c r="F631" s="55"/>
      <c r="J631" s="55"/>
      <c r="K631" s="126"/>
    </row>
    <row r="632">
      <c r="D632" s="55"/>
      <c r="E632" s="55"/>
      <c r="F632" s="55"/>
      <c r="J632" s="55"/>
      <c r="K632" s="126"/>
    </row>
    <row r="633">
      <c r="D633" s="55"/>
      <c r="E633" s="55"/>
      <c r="F633" s="55"/>
      <c r="J633" s="55"/>
      <c r="K633" s="126"/>
    </row>
    <row r="634">
      <c r="D634" s="55"/>
      <c r="E634" s="55"/>
      <c r="F634" s="55"/>
      <c r="J634" s="55"/>
      <c r="K634" s="126"/>
    </row>
    <row r="635">
      <c r="D635" s="55"/>
      <c r="E635" s="55"/>
      <c r="F635" s="55"/>
      <c r="J635" s="55"/>
      <c r="K635" s="126"/>
    </row>
    <row r="636">
      <c r="D636" s="55"/>
      <c r="E636" s="55"/>
      <c r="F636" s="55"/>
      <c r="J636" s="55"/>
      <c r="K636" s="126"/>
    </row>
    <row r="637">
      <c r="D637" s="55"/>
      <c r="E637" s="55"/>
      <c r="F637" s="55"/>
      <c r="J637" s="55"/>
      <c r="K637" s="126"/>
    </row>
    <row r="638">
      <c r="D638" s="55"/>
      <c r="E638" s="55"/>
      <c r="F638" s="55"/>
      <c r="J638" s="55"/>
      <c r="K638" s="126"/>
    </row>
    <row r="639">
      <c r="D639" s="55"/>
      <c r="E639" s="55"/>
      <c r="F639" s="55"/>
      <c r="J639" s="55"/>
      <c r="K639" s="126"/>
    </row>
    <row r="640">
      <c r="D640" s="55"/>
      <c r="E640" s="55"/>
      <c r="F640" s="55"/>
      <c r="J640" s="55"/>
      <c r="K640" s="126"/>
    </row>
    <row r="641">
      <c r="D641" s="55"/>
      <c r="E641" s="55"/>
      <c r="F641" s="55"/>
      <c r="J641" s="55"/>
      <c r="K641" s="126"/>
    </row>
    <row r="642">
      <c r="D642" s="55"/>
      <c r="E642" s="55"/>
      <c r="F642" s="55"/>
      <c r="J642" s="55"/>
      <c r="K642" s="126"/>
    </row>
    <row r="643">
      <c r="D643" s="55"/>
      <c r="E643" s="55"/>
      <c r="F643" s="55"/>
      <c r="J643" s="55"/>
      <c r="K643" s="126"/>
    </row>
    <row r="644">
      <c r="D644" s="55"/>
      <c r="E644" s="55"/>
      <c r="F644" s="55"/>
      <c r="J644" s="55"/>
      <c r="K644" s="126"/>
    </row>
    <row r="645">
      <c r="D645" s="55"/>
      <c r="E645" s="55"/>
      <c r="F645" s="55"/>
      <c r="J645" s="55"/>
      <c r="K645" s="126"/>
    </row>
    <row r="646">
      <c r="D646" s="55"/>
      <c r="E646" s="55"/>
      <c r="F646" s="55"/>
      <c r="J646" s="55"/>
      <c r="K646" s="126"/>
    </row>
    <row r="647">
      <c r="D647" s="55"/>
      <c r="E647" s="55"/>
      <c r="F647" s="55"/>
      <c r="J647" s="55"/>
      <c r="K647" s="126"/>
    </row>
    <row r="648">
      <c r="D648" s="55"/>
      <c r="E648" s="55"/>
      <c r="F648" s="55"/>
      <c r="J648" s="55"/>
      <c r="K648" s="126"/>
    </row>
    <row r="649">
      <c r="D649" s="55"/>
      <c r="E649" s="55"/>
      <c r="F649" s="55"/>
      <c r="J649" s="55"/>
      <c r="K649" s="126"/>
    </row>
    <row r="650">
      <c r="D650" s="55"/>
      <c r="E650" s="55"/>
      <c r="F650" s="55"/>
      <c r="J650" s="55"/>
      <c r="K650" s="126"/>
    </row>
    <row r="651">
      <c r="D651" s="55"/>
      <c r="E651" s="55"/>
      <c r="F651" s="55"/>
      <c r="J651" s="55"/>
      <c r="K651" s="126"/>
    </row>
    <row r="652">
      <c r="D652" s="55"/>
      <c r="E652" s="55"/>
      <c r="F652" s="55"/>
      <c r="J652" s="55"/>
      <c r="K652" s="126"/>
    </row>
    <row r="653">
      <c r="D653" s="55"/>
      <c r="E653" s="55"/>
      <c r="F653" s="55"/>
      <c r="J653" s="55"/>
      <c r="K653" s="126"/>
    </row>
    <row r="654">
      <c r="D654" s="55"/>
      <c r="E654" s="55"/>
      <c r="F654" s="55"/>
      <c r="J654" s="55"/>
      <c r="K654" s="126"/>
    </row>
    <row r="655">
      <c r="D655" s="55"/>
      <c r="E655" s="55"/>
      <c r="F655" s="55"/>
      <c r="J655" s="55"/>
      <c r="K655" s="126"/>
    </row>
    <row r="656">
      <c r="D656" s="55"/>
      <c r="E656" s="55"/>
      <c r="F656" s="55"/>
      <c r="J656" s="55"/>
      <c r="K656" s="126"/>
    </row>
    <row r="657">
      <c r="D657" s="55"/>
      <c r="E657" s="55"/>
      <c r="F657" s="55"/>
      <c r="J657" s="55"/>
      <c r="K657" s="126"/>
    </row>
    <row r="658">
      <c r="D658" s="55"/>
      <c r="E658" s="55"/>
      <c r="F658" s="55"/>
      <c r="J658" s="55"/>
      <c r="K658" s="126"/>
    </row>
    <row r="659">
      <c r="D659" s="55"/>
      <c r="E659" s="55"/>
      <c r="F659" s="55"/>
      <c r="J659" s="55"/>
      <c r="K659" s="126"/>
    </row>
    <row r="660">
      <c r="D660" s="55"/>
      <c r="E660" s="55"/>
      <c r="F660" s="55"/>
      <c r="J660" s="55"/>
      <c r="K660" s="126"/>
    </row>
    <row r="661">
      <c r="D661" s="55"/>
      <c r="E661" s="55"/>
      <c r="F661" s="55"/>
      <c r="J661" s="55"/>
      <c r="K661" s="126"/>
    </row>
    <row r="662">
      <c r="D662" s="55"/>
      <c r="E662" s="55"/>
      <c r="F662" s="55"/>
      <c r="J662" s="55"/>
      <c r="K662" s="126"/>
    </row>
    <row r="663">
      <c r="D663" s="55"/>
      <c r="E663" s="55"/>
      <c r="F663" s="55"/>
      <c r="J663" s="55"/>
      <c r="K663" s="126"/>
    </row>
    <row r="664">
      <c r="D664" s="55"/>
      <c r="E664" s="55"/>
      <c r="F664" s="55"/>
      <c r="J664" s="55"/>
      <c r="K664" s="126"/>
    </row>
    <row r="665">
      <c r="D665" s="55"/>
      <c r="E665" s="55"/>
      <c r="F665" s="55"/>
      <c r="J665" s="55"/>
      <c r="K665" s="126"/>
    </row>
    <row r="666">
      <c r="D666" s="55"/>
      <c r="E666" s="55"/>
      <c r="F666" s="55"/>
      <c r="J666" s="55"/>
      <c r="K666" s="126"/>
    </row>
    <row r="667">
      <c r="D667" s="55"/>
      <c r="E667" s="55"/>
      <c r="F667" s="55"/>
      <c r="J667" s="55"/>
      <c r="K667" s="126"/>
    </row>
    <row r="668">
      <c r="D668" s="55"/>
      <c r="E668" s="55"/>
      <c r="F668" s="55"/>
      <c r="J668" s="55"/>
      <c r="K668" s="126"/>
    </row>
    <row r="669">
      <c r="D669" s="55"/>
      <c r="E669" s="55"/>
      <c r="F669" s="55"/>
      <c r="J669" s="55"/>
      <c r="K669" s="126"/>
    </row>
    <row r="670">
      <c r="D670" s="55"/>
      <c r="E670" s="55"/>
      <c r="F670" s="55"/>
      <c r="J670" s="55"/>
      <c r="K670" s="126"/>
    </row>
    <row r="671">
      <c r="D671" s="55"/>
      <c r="E671" s="55"/>
      <c r="F671" s="55"/>
      <c r="J671" s="55"/>
      <c r="K671" s="126"/>
    </row>
    <row r="672">
      <c r="D672" s="55"/>
      <c r="E672" s="55"/>
      <c r="F672" s="55"/>
      <c r="J672" s="55"/>
      <c r="K672" s="126"/>
    </row>
    <row r="673">
      <c r="D673" s="55"/>
      <c r="E673" s="55"/>
      <c r="F673" s="55"/>
      <c r="J673" s="55"/>
      <c r="K673" s="126"/>
    </row>
    <row r="674">
      <c r="D674" s="55"/>
      <c r="E674" s="55"/>
      <c r="F674" s="55"/>
      <c r="J674" s="55"/>
      <c r="K674" s="126"/>
    </row>
    <row r="675">
      <c r="D675" s="55"/>
      <c r="E675" s="55"/>
      <c r="F675" s="55"/>
      <c r="J675" s="55"/>
      <c r="K675" s="126"/>
    </row>
    <row r="676">
      <c r="D676" s="55"/>
      <c r="E676" s="55"/>
      <c r="F676" s="55"/>
      <c r="J676" s="55"/>
      <c r="K676" s="126"/>
    </row>
    <row r="677">
      <c r="D677" s="55"/>
      <c r="E677" s="55"/>
      <c r="F677" s="55"/>
      <c r="J677" s="55"/>
      <c r="K677" s="126"/>
    </row>
    <row r="678">
      <c r="D678" s="55"/>
      <c r="E678" s="55"/>
      <c r="F678" s="55"/>
      <c r="J678" s="55"/>
      <c r="K678" s="126"/>
    </row>
    <row r="679">
      <c r="D679" s="55"/>
      <c r="E679" s="55"/>
      <c r="F679" s="55"/>
      <c r="J679" s="55"/>
      <c r="K679" s="126"/>
    </row>
    <row r="680">
      <c r="D680" s="55"/>
      <c r="E680" s="55"/>
      <c r="F680" s="55"/>
      <c r="J680" s="55"/>
      <c r="K680" s="126"/>
    </row>
    <row r="681">
      <c r="D681" s="55"/>
      <c r="E681" s="55"/>
      <c r="F681" s="55"/>
      <c r="J681" s="55"/>
      <c r="K681" s="126"/>
    </row>
    <row r="682">
      <c r="D682" s="55"/>
      <c r="E682" s="55"/>
      <c r="F682" s="55"/>
      <c r="J682" s="55"/>
      <c r="K682" s="126"/>
    </row>
    <row r="683">
      <c r="D683" s="55"/>
      <c r="E683" s="55"/>
      <c r="F683" s="55"/>
      <c r="J683" s="55"/>
      <c r="K683" s="126"/>
    </row>
    <row r="684">
      <c r="D684" s="55"/>
      <c r="E684" s="55"/>
      <c r="F684" s="55"/>
      <c r="J684" s="55"/>
      <c r="K684" s="126"/>
    </row>
    <row r="685">
      <c r="D685" s="55"/>
      <c r="E685" s="55"/>
      <c r="F685" s="55"/>
      <c r="J685" s="55"/>
      <c r="K685" s="126"/>
    </row>
    <row r="686">
      <c r="D686" s="55"/>
      <c r="E686" s="55"/>
      <c r="F686" s="55"/>
      <c r="J686" s="55"/>
      <c r="K686" s="126"/>
    </row>
    <row r="687">
      <c r="D687" s="55"/>
      <c r="E687" s="55"/>
      <c r="F687" s="55"/>
      <c r="J687" s="55"/>
      <c r="K687" s="126"/>
    </row>
    <row r="688">
      <c r="D688" s="55"/>
      <c r="E688" s="55"/>
      <c r="F688" s="55"/>
      <c r="J688" s="55"/>
      <c r="K688" s="126"/>
    </row>
    <row r="689">
      <c r="D689" s="55"/>
      <c r="E689" s="55"/>
      <c r="F689" s="55"/>
      <c r="J689" s="55"/>
      <c r="K689" s="126"/>
    </row>
    <row r="690">
      <c r="D690" s="55"/>
      <c r="E690" s="55"/>
      <c r="F690" s="55"/>
      <c r="J690" s="55"/>
      <c r="K690" s="126"/>
    </row>
    <row r="691">
      <c r="D691" s="55"/>
      <c r="E691" s="55"/>
      <c r="F691" s="55"/>
      <c r="J691" s="55"/>
      <c r="K691" s="126"/>
    </row>
    <row r="692">
      <c r="D692" s="55"/>
      <c r="E692" s="55"/>
      <c r="F692" s="55"/>
      <c r="J692" s="55"/>
      <c r="K692" s="126"/>
    </row>
    <row r="693">
      <c r="D693" s="55"/>
      <c r="E693" s="55"/>
      <c r="F693" s="55"/>
      <c r="J693" s="55"/>
      <c r="K693" s="126"/>
    </row>
    <row r="694">
      <c r="D694" s="55"/>
      <c r="E694" s="55"/>
      <c r="F694" s="55"/>
      <c r="J694" s="55"/>
      <c r="K694" s="126"/>
    </row>
    <row r="695">
      <c r="D695" s="55"/>
      <c r="E695" s="55"/>
      <c r="F695" s="55"/>
      <c r="J695" s="55"/>
      <c r="K695" s="126"/>
    </row>
    <row r="696">
      <c r="D696" s="55"/>
      <c r="E696" s="55"/>
      <c r="F696" s="55"/>
      <c r="J696" s="55"/>
      <c r="K696" s="126"/>
    </row>
    <row r="697">
      <c r="D697" s="55"/>
      <c r="E697" s="55"/>
      <c r="F697" s="55"/>
      <c r="J697" s="55"/>
      <c r="K697" s="126"/>
    </row>
    <row r="698">
      <c r="D698" s="55"/>
      <c r="E698" s="55"/>
      <c r="F698" s="55"/>
      <c r="J698" s="55"/>
      <c r="K698" s="126"/>
    </row>
    <row r="699">
      <c r="D699" s="55"/>
      <c r="E699" s="55"/>
      <c r="F699" s="55"/>
      <c r="J699" s="55"/>
      <c r="K699" s="126"/>
    </row>
    <row r="700">
      <c r="D700" s="55"/>
      <c r="E700" s="55"/>
      <c r="F700" s="55"/>
      <c r="J700" s="55"/>
      <c r="K700" s="126"/>
    </row>
    <row r="701">
      <c r="D701" s="55"/>
      <c r="E701" s="55"/>
      <c r="F701" s="55"/>
      <c r="J701" s="55"/>
      <c r="K701" s="126"/>
    </row>
    <row r="702">
      <c r="D702" s="55"/>
      <c r="E702" s="55"/>
      <c r="F702" s="55"/>
      <c r="J702" s="55"/>
      <c r="K702" s="126"/>
    </row>
    <row r="703">
      <c r="D703" s="55"/>
      <c r="E703" s="55"/>
      <c r="F703" s="55"/>
      <c r="J703" s="55"/>
      <c r="K703" s="126"/>
    </row>
    <row r="704">
      <c r="D704" s="55"/>
      <c r="E704" s="55"/>
      <c r="F704" s="55"/>
      <c r="J704" s="55"/>
      <c r="K704" s="126"/>
    </row>
    <row r="705">
      <c r="D705" s="55"/>
      <c r="E705" s="55"/>
      <c r="F705" s="55"/>
      <c r="J705" s="55"/>
      <c r="K705" s="126"/>
    </row>
    <row r="706">
      <c r="D706" s="55"/>
      <c r="E706" s="55"/>
      <c r="F706" s="55"/>
      <c r="J706" s="55"/>
      <c r="K706" s="126"/>
    </row>
    <row r="707">
      <c r="D707" s="55"/>
      <c r="E707" s="55"/>
      <c r="F707" s="55"/>
      <c r="J707" s="55"/>
      <c r="K707" s="126"/>
    </row>
    <row r="708">
      <c r="D708" s="55"/>
      <c r="E708" s="55"/>
      <c r="F708" s="55"/>
      <c r="J708" s="55"/>
      <c r="K708" s="126"/>
    </row>
    <row r="709">
      <c r="D709" s="55"/>
      <c r="E709" s="55"/>
      <c r="F709" s="55"/>
      <c r="J709" s="55"/>
      <c r="K709" s="126"/>
    </row>
    <row r="710">
      <c r="D710" s="55"/>
      <c r="E710" s="55"/>
      <c r="F710" s="55"/>
      <c r="J710" s="55"/>
      <c r="K710" s="126"/>
    </row>
    <row r="711">
      <c r="D711" s="55"/>
      <c r="E711" s="55"/>
      <c r="F711" s="55"/>
      <c r="J711" s="55"/>
      <c r="K711" s="126"/>
    </row>
    <row r="712">
      <c r="D712" s="55"/>
      <c r="E712" s="55"/>
      <c r="F712" s="55"/>
      <c r="J712" s="55"/>
      <c r="K712" s="126"/>
    </row>
    <row r="713">
      <c r="D713" s="55"/>
      <c r="E713" s="55"/>
      <c r="F713" s="55"/>
      <c r="J713" s="55"/>
      <c r="K713" s="126"/>
    </row>
    <row r="714">
      <c r="D714" s="55"/>
      <c r="E714" s="55"/>
      <c r="F714" s="55"/>
      <c r="J714" s="55"/>
      <c r="K714" s="126"/>
    </row>
    <row r="715">
      <c r="D715" s="55"/>
      <c r="E715" s="55"/>
      <c r="F715" s="55"/>
      <c r="J715" s="55"/>
      <c r="K715" s="126"/>
    </row>
    <row r="716">
      <c r="D716" s="55"/>
      <c r="E716" s="55"/>
      <c r="F716" s="55"/>
      <c r="J716" s="55"/>
      <c r="K716" s="126"/>
    </row>
    <row r="717">
      <c r="D717" s="55"/>
      <c r="E717" s="55"/>
      <c r="F717" s="55"/>
      <c r="J717" s="55"/>
      <c r="K717" s="126"/>
    </row>
    <row r="718">
      <c r="D718" s="55"/>
      <c r="E718" s="55"/>
      <c r="F718" s="55"/>
      <c r="J718" s="55"/>
      <c r="K718" s="126"/>
    </row>
    <row r="719">
      <c r="D719" s="55"/>
      <c r="E719" s="55"/>
      <c r="F719" s="55"/>
      <c r="J719" s="55"/>
      <c r="K719" s="126"/>
    </row>
    <row r="720">
      <c r="D720" s="55"/>
      <c r="E720" s="55"/>
      <c r="F720" s="55"/>
      <c r="J720" s="55"/>
      <c r="K720" s="126"/>
    </row>
    <row r="721">
      <c r="D721" s="55"/>
      <c r="E721" s="55"/>
      <c r="F721" s="55"/>
      <c r="J721" s="55"/>
      <c r="K721" s="126"/>
    </row>
    <row r="722">
      <c r="D722" s="55"/>
      <c r="E722" s="55"/>
      <c r="F722" s="55"/>
      <c r="J722" s="55"/>
      <c r="K722" s="126"/>
    </row>
    <row r="723">
      <c r="D723" s="55"/>
      <c r="E723" s="55"/>
      <c r="F723" s="55"/>
      <c r="J723" s="55"/>
      <c r="K723" s="126"/>
    </row>
    <row r="724">
      <c r="D724" s="55"/>
      <c r="E724" s="55"/>
      <c r="F724" s="55"/>
      <c r="J724" s="55"/>
      <c r="K724" s="126"/>
    </row>
    <row r="725">
      <c r="D725" s="55"/>
      <c r="E725" s="55"/>
      <c r="F725" s="55"/>
      <c r="J725" s="55"/>
      <c r="K725" s="126"/>
    </row>
    <row r="726">
      <c r="D726" s="55"/>
      <c r="E726" s="55"/>
      <c r="F726" s="55"/>
      <c r="J726" s="55"/>
      <c r="K726" s="126"/>
    </row>
    <row r="727">
      <c r="D727" s="55"/>
      <c r="E727" s="55"/>
      <c r="F727" s="55"/>
      <c r="J727" s="55"/>
      <c r="K727" s="126"/>
    </row>
    <row r="728">
      <c r="D728" s="55"/>
      <c r="E728" s="55"/>
      <c r="F728" s="55"/>
      <c r="J728" s="55"/>
      <c r="K728" s="126"/>
    </row>
    <row r="729">
      <c r="D729" s="55"/>
      <c r="E729" s="55"/>
      <c r="F729" s="55"/>
      <c r="J729" s="55"/>
      <c r="K729" s="126"/>
    </row>
    <row r="730">
      <c r="D730" s="55"/>
      <c r="E730" s="55"/>
      <c r="F730" s="55"/>
      <c r="J730" s="55"/>
      <c r="K730" s="126"/>
    </row>
    <row r="731">
      <c r="D731" s="55"/>
      <c r="E731" s="55"/>
      <c r="F731" s="55"/>
      <c r="J731" s="55"/>
      <c r="K731" s="126"/>
    </row>
    <row r="732">
      <c r="D732" s="55"/>
      <c r="E732" s="55"/>
      <c r="F732" s="55"/>
      <c r="J732" s="55"/>
      <c r="K732" s="126"/>
    </row>
    <row r="733">
      <c r="D733" s="55"/>
      <c r="E733" s="55"/>
      <c r="F733" s="55"/>
      <c r="J733" s="55"/>
      <c r="K733" s="126"/>
    </row>
    <row r="734">
      <c r="D734" s="55"/>
      <c r="E734" s="55"/>
      <c r="F734" s="55"/>
      <c r="J734" s="55"/>
      <c r="K734" s="126"/>
    </row>
    <row r="735">
      <c r="D735" s="55"/>
      <c r="E735" s="55"/>
      <c r="F735" s="55"/>
      <c r="J735" s="55"/>
      <c r="K735" s="126"/>
    </row>
    <row r="736">
      <c r="D736" s="55"/>
      <c r="E736" s="55"/>
      <c r="F736" s="55"/>
      <c r="J736" s="55"/>
      <c r="K736" s="126"/>
    </row>
    <row r="737">
      <c r="D737" s="55"/>
      <c r="E737" s="55"/>
      <c r="F737" s="55"/>
      <c r="J737" s="55"/>
      <c r="K737" s="126"/>
    </row>
    <row r="738">
      <c r="D738" s="55"/>
      <c r="E738" s="55"/>
      <c r="F738" s="55"/>
      <c r="J738" s="55"/>
      <c r="K738" s="126"/>
    </row>
    <row r="739">
      <c r="D739" s="55"/>
      <c r="E739" s="55"/>
      <c r="F739" s="55"/>
      <c r="J739" s="55"/>
      <c r="K739" s="126"/>
    </row>
    <row r="740">
      <c r="D740" s="55"/>
      <c r="E740" s="55"/>
      <c r="F740" s="55"/>
      <c r="J740" s="55"/>
      <c r="K740" s="126"/>
    </row>
    <row r="741">
      <c r="D741" s="55"/>
      <c r="E741" s="55"/>
      <c r="F741" s="55"/>
      <c r="J741" s="55"/>
      <c r="K741" s="126"/>
    </row>
    <row r="742">
      <c r="D742" s="55"/>
      <c r="E742" s="55"/>
      <c r="F742" s="55"/>
      <c r="J742" s="55"/>
      <c r="K742" s="126"/>
    </row>
    <row r="743">
      <c r="D743" s="55"/>
      <c r="E743" s="55"/>
      <c r="F743" s="55"/>
      <c r="J743" s="55"/>
      <c r="K743" s="126"/>
    </row>
    <row r="744">
      <c r="D744" s="55"/>
      <c r="E744" s="55"/>
      <c r="F744" s="55"/>
      <c r="J744" s="55"/>
      <c r="K744" s="126"/>
    </row>
    <row r="745">
      <c r="D745" s="55"/>
      <c r="E745" s="55"/>
      <c r="F745" s="55"/>
      <c r="J745" s="55"/>
      <c r="K745" s="126"/>
    </row>
    <row r="746">
      <c r="D746" s="55"/>
      <c r="E746" s="55"/>
      <c r="F746" s="55"/>
      <c r="J746" s="55"/>
      <c r="K746" s="126"/>
    </row>
    <row r="747">
      <c r="D747" s="55"/>
      <c r="E747" s="55"/>
      <c r="F747" s="55"/>
      <c r="J747" s="55"/>
      <c r="K747" s="126"/>
    </row>
    <row r="748">
      <c r="D748" s="55"/>
      <c r="E748" s="55"/>
      <c r="F748" s="55"/>
      <c r="J748" s="55"/>
      <c r="K748" s="126"/>
    </row>
    <row r="749">
      <c r="D749" s="55"/>
      <c r="E749" s="55"/>
      <c r="F749" s="55"/>
      <c r="J749" s="55"/>
      <c r="K749" s="126"/>
    </row>
    <row r="750">
      <c r="D750" s="55"/>
      <c r="E750" s="55"/>
      <c r="F750" s="55"/>
      <c r="J750" s="55"/>
      <c r="K750" s="126"/>
    </row>
    <row r="751">
      <c r="D751" s="55"/>
      <c r="E751" s="55"/>
      <c r="F751" s="55"/>
      <c r="J751" s="55"/>
      <c r="K751" s="126"/>
    </row>
    <row r="752">
      <c r="D752" s="55"/>
      <c r="E752" s="55"/>
      <c r="F752" s="55"/>
      <c r="J752" s="55"/>
      <c r="K752" s="126"/>
    </row>
    <row r="753">
      <c r="D753" s="55"/>
      <c r="E753" s="55"/>
      <c r="F753" s="55"/>
      <c r="J753" s="55"/>
      <c r="K753" s="126"/>
    </row>
    <row r="754">
      <c r="D754" s="55"/>
      <c r="E754" s="55"/>
      <c r="F754" s="55"/>
      <c r="J754" s="55"/>
      <c r="K754" s="126"/>
    </row>
    <row r="755">
      <c r="D755" s="55"/>
      <c r="E755" s="55"/>
      <c r="F755" s="55"/>
      <c r="J755" s="55"/>
      <c r="K755" s="126"/>
    </row>
    <row r="756">
      <c r="D756" s="55"/>
      <c r="E756" s="55"/>
      <c r="F756" s="55"/>
      <c r="J756" s="55"/>
      <c r="K756" s="126"/>
    </row>
    <row r="757">
      <c r="D757" s="55"/>
      <c r="E757" s="55"/>
      <c r="F757" s="55"/>
      <c r="J757" s="55"/>
      <c r="K757" s="126"/>
    </row>
    <row r="758">
      <c r="D758" s="55"/>
      <c r="E758" s="55"/>
      <c r="F758" s="55"/>
      <c r="J758" s="55"/>
      <c r="K758" s="126"/>
    </row>
    <row r="759">
      <c r="D759" s="55"/>
      <c r="E759" s="55"/>
      <c r="F759" s="55"/>
      <c r="J759" s="55"/>
      <c r="K759" s="126"/>
    </row>
    <row r="760">
      <c r="D760" s="55"/>
      <c r="E760" s="55"/>
      <c r="F760" s="55"/>
      <c r="J760" s="55"/>
      <c r="K760" s="126"/>
    </row>
    <row r="761">
      <c r="D761" s="55"/>
      <c r="E761" s="55"/>
      <c r="F761" s="55"/>
      <c r="J761" s="55"/>
      <c r="K761" s="126"/>
    </row>
    <row r="762">
      <c r="D762" s="55"/>
      <c r="E762" s="55"/>
      <c r="F762" s="55"/>
      <c r="J762" s="55"/>
      <c r="K762" s="126"/>
    </row>
    <row r="763">
      <c r="D763" s="55"/>
      <c r="E763" s="55"/>
      <c r="F763" s="55"/>
      <c r="J763" s="55"/>
      <c r="K763" s="126"/>
    </row>
    <row r="764">
      <c r="D764" s="55"/>
      <c r="E764" s="55"/>
      <c r="F764" s="55"/>
      <c r="J764" s="55"/>
      <c r="K764" s="126"/>
    </row>
    <row r="765">
      <c r="D765" s="55"/>
      <c r="E765" s="55"/>
      <c r="F765" s="55"/>
      <c r="J765" s="55"/>
      <c r="K765" s="126"/>
    </row>
    <row r="766">
      <c r="D766" s="55"/>
      <c r="E766" s="55"/>
      <c r="F766" s="55"/>
      <c r="J766" s="55"/>
      <c r="K766" s="126"/>
    </row>
    <row r="767">
      <c r="D767" s="55"/>
      <c r="E767" s="55"/>
      <c r="F767" s="55"/>
      <c r="J767" s="55"/>
      <c r="K767" s="126"/>
    </row>
    <row r="768">
      <c r="D768" s="55"/>
      <c r="E768" s="55"/>
      <c r="F768" s="55"/>
      <c r="J768" s="55"/>
      <c r="K768" s="126"/>
    </row>
    <row r="769">
      <c r="D769" s="55"/>
      <c r="E769" s="55"/>
      <c r="F769" s="55"/>
      <c r="J769" s="55"/>
      <c r="K769" s="126"/>
    </row>
    <row r="770">
      <c r="D770" s="55"/>
      <c r="E770" s="55"/>
      <c r="F770" s="55"/>
      <c r="J770" s="55"/>
      <c r="K770" s="126"/>
    </row>
    <row r="771">
      <c r="D771" s="55"/>
      <c r="E771" s="55"/>
      <c r="F771" s="55"/>
      <c r="J771" s="55"/>
      <c r="K771" s="126"/>
    </row>
    <row r="772">
      <c r="D772" s="55"/>
      <c r="E772" s="55"/>
      <c r="F772" s="55"/>
      <c r="J772" s="55"/>
      <c r="K772" s="126"/>
    </row>
    <row r="773">
      <c r="D773" s="55"/>
      <c r="E773" s="55"/>
      <c r="F773" s="55"/>
      <c r="J773" s="55"/>
      <c r="K773" s="126"/>
    </row>
    <row r="774">
      <c r="D774" s="55"/>
      <c r="E774" s="55"/>
      <c r="F774" s="55"/>
      <c r="J774" s="55"/>
      <c r="K774" s="126"/>
    </row>
    <row r="775">
      <c r="D775" s="55"/>
      <c r="E775" s="55"/>
      <c r="F775" s="55"/>
      <c r="J775" s="55"/>
      <c r="K775" s="126"/>
    </row>
    <row r="776">
      <c r="D776" s="55"/>
      <c r="E776" s="55"/>
      <c r="F776" s="55"/>
      <c r="J776" s="55"/>
      <c r="K776" s="126"/>
    </row>
    <row r="777">
      <c r="D777" s="55"/>
      <c r="E777" s="55"/>
      <c r="F777" s="55"/>
      <c r="J777" s="55"/>
      <c r="K777" s="126"/>
    </row>
    <row r="778">
      <c r="D778" s="55"/>
      <c r="E778" s="55"/>
      <c r="F778" s="55"/>
      <c r="J778" s="55"/>
      <c r="K778" s="126"/>
    </row>
    <row r="779">
      <c r="D779" s="55"/>
      <c r="E779" s="55"/>
      <c r="F779" s="55"/>
      <c r="J779" s="55"/>
      <c r="K779" s="126"/>
    </row>
    <row r="780">
      <c r="D780" s="55"/>
      <c r="E780" s="55"/>
      <c r="F780" s="55"/>
      <c r="J780" s="55"/>
      <c r="K780" s="126"/>
    </row>
    <row r="781">
      <c r="D781" s="55"/>
      <c r="E781" s="55"/>
      <c r="F781" s="55"/>
      <c r="J781" s="55"/>
      <c r="K781" s="126"/>
    </row>
    <row r="782">
      <c r="D782" s="55"/>
      <c r="E782" s="55"/>
      <c r="F782" s="55"/>
      <c r="J782" s="55"/>
      <c r="K782" s="126"/>
    </row>
    <row r="783">
      <c r="D783" s="55"/>
      <c r="E783" s="55"/>
      <c r="F783" s="55"/>
      <c r="J783" s="55"/>
      <c r="K783" s="126"/>
    </row>
    <row r="784">
      <c r="D784" s="55"/>
      <c r="E784" s="55"/>
      <c r="F784" s="55"/>
      <c r="J784" s="55"/>
      <c r="K784" s="126"/>
    </row>
    <row r="785">
      <c r="D785" s="55"/>
      <c r="E785" s="55"/>
      <c r="F785" s="55"/>
      <c r="J785" s="55"/>
      <c r="K785" s="126"/>
    </row>
    <row r="786">
      <c r="D786" s="55"/>
      <c r="E786" s="55"/>
      <c r="F786" s="55"/>
      <c r="J786" s="55"/>
      <c r="K786" s="126"/>
    </row>
    <row r="787">
      <c r="D787" s="55"/>
      <c r="E787" s="55"/>
      <c r="F787" s="55"/>
      <c r="J787" s="55"/>
      <c r="K787" s="126"/>
    </row>
    <row r="788">
      <c r="D788" s="55"/>
      <c r="E788" s="55"/>
      <c r="F788" s="55"/>
      <c r="J788" s="55"/>
      <c r="K788" s="126"/>
    </row>
    <row r="789">
      <c r="D789" s="55"/>
      <c r="E789" s="55"/>
      <c r="F789" s="55"/>
      <c r="J789" s="55"/>
      <c r="K789" s="126"/>
    </row>
    <row r="790">
      <c r="D790" s="55"/>
      <c r="E790" s="55"/>
      <c r="F790" s="55"/>
      <c r="J790" s="55"/>
      <c r="K790" s="126"/>
    </row>
    <row r="791">
      <c r="D791" s="55"/>
      <c r="E791" s="55"/>
      <c r="F791" s="55"/>
      <c r="J791" s="55"/>
      <c r="K791" s="126"/>
    </row>
    <row r="792">
      <c r="D792" s="55"/>
      <c r="E792" s="55"/>
      <c r="F792" s="55"/>
      <c r="J792" s="55"/>
      <c r="K792" s="126"/>
    </row>
    <row r="793">
      <c r="D793" s="55"/>
      <c r="E793" s="55"/>
      <c r="F793" s="55"/>
      <c r="J793" s="55"/>
      <c r="K793" s="126"/>
    </row>
    <row r="794">
      <c r="D794" s="55"/>
      <c r="E794" s="55"/>
      <c r="F794" s="55"/>
      <c r="J794" s="55"/>
      <c r="K794" s="126"/>
    </row>
    <row r="795">
      <c r="D795" s="55"/>
      <c r="E795" s="55"/>
      <c r="F795" s="55"/>
      <c r="J795" s="55"/>
      <c r="K795" s="126"/>
    </row>
    <row r="796">
      <c r="D796" s="55"/>
      <c r="E796" s="55"/>
      <c r="F796" s="55"/>
      <c r="J796" s="55"/>
      <c r="K796" s="126"/>
    </row>
    <row r="797">
      <c r="D797" s="55"/>
      <c r="E797" s="55"/>
      <c r="F797" s="55"/>
      <c r="J797" s="55"/>
      <c r="K797" s="126"/>
    </row>
    <row r="798">
      <c r="D798" s="55"/>
      <c r="E798" s="55"/>
      <c r="F798" s="55"/>
      <c r="J798" s="55"/>
      <c r="K798" s="126"/>
    </row>
    <row r="799">
      <c r="D799" s="55"/>
      <c r="E799" s="55"/>
      <c r="F799" s="55"/>
      <c r="J799" s="55"/>
      <c r="K799" s="126"/>
    </row>
    <row r="800">
      <c r="D800" s="55"/>
      <c r="E800" s="55"/>
      <c r="F800" s="55"/>
      <c r="J800" s="55"/>
      <c r="K800" s="126"/>
    </row>
    <row r="801">
      <c r="D801" s="55"/>
      <c r="E801" s="55"/>
      <c r="F801" s="55"/>
      <c r="J801" s="55"/>
      <c r="K801" s="126"/>
    </row>
    <row r="802">
      <c r="D802" s="55"/>
      <c r="E802" s="55"/>
      <c r="F802" s="55"/>
      <c r="J802" s="55"/>
      <c r="K802" s="126"/>
    </row>
    <row r="803">
      <c r="D803" s="55"/>
      <c r="E803" s="55"/>
      <c r="F803" s="55"/>
      <c r="J803" s="55"/>
      <c r="K803" s="126"/>
    </row>
    <row r="804">
      <c r="D804" s="55"/>
      <c r="E804" s="55"/>
      <c r="F804" s="55"/>
      <c r="J804" s="55"/>
      <c r="K804" s="126"/>
    </row>
    <row r="805">
      <c r="D805" s="55"/>
      <c r="E805" s="55"/>
      <c r="F805" s="55"/>
      <c r="J805" s="55"/>
      <c r="K805" s="126"/>
    </row>
    <row r="806">
      <c r="D806" s="55"/>
      <c r="E806" s="55"/>
      <c r="F806" s="55"/>
      <c r="J806" s="55"/>
      <c r="K806" s="126"/>
    </row>
    <row r="807">
      <c r="D807" s="55"/>
      <c r="E807" s="55"/>
      <c r="F807" s="55"/>
      <c r="J807" s="55"/>
      <c r="K807" s="126"/>
    </row>
    <row r="808">
      <c r="D808" s="55"/>
      <c r="E808" s="55"/>
      <c r="F808" s="55"/>
      <c r="J808" s="55"/>
      <c r="K808" s="126"/>
    </row>
    <row r="809">
      <c r="D809" s="55"/>
      <c r="E809" s="55"/>
      <c r="F809" s="55"/>
      <c r="J809" s="55"/>
      <c r="K809" s="126"/>
    </row>
    <row r="810">
      <c r="D810" s="55"/>
      <c r="E810" s="55"/>
      <c r="F810" s="55"/>
      <c r="J810" s="55"/>
      <c r="K810" s="126"/>
    </row>
    <row r="811">
      <c r="D811" s="55"/>
      <c r="E811" s="55"/>
      <c r="F811" s="55"/>
      <c r="J811" s="55"/>
      <c r="K811" s="126"/>
    </row>
    <row r="812">
      <c r="D812" s="55"/>
      <c r="E812" s="55"/>
      <c r="F812" s="55"/>
      <c r="J812" s="55"/>
      <c r="K812" s="126"/>
    </row>
    <row r="813">
      <c r="D813" s="55"/>
      <c r="E813" s="55"/>
      <c r="F813" s="55"/>
      <c r="J813" s="55"/>
      <c r="K813" s="126"/>
    </row>
    <row r="814">
      <c r="D814" s="55"/>
      <c r="E814" s="55"/>
      <c r="F814" s="55"/>
      <c r="J814" s="55"/>
      <c r="K814" s="126"/>
    </row>
    <row r="815">
      <c r="D815" s="55"/>
      <c r="E815" s="55"/>
      <c r="F815" s="55"/>
      <c r="J815" s="55"/>
      <c r="K815" s="126"/>
    </row>
    <row r="816">
      <c r="D816" s="55"/>
      <c r="E816" s="55"/>
      <c r="F816" s="55"/>
      <c r="J816" s="55"/>
      <c r="K816" s="126"/>
    </row>
    <row r="817">
      <c r="D817" s="55"/>
      <c r="E817" s="55"/>
      <c r="F817" s="55"/>
      <c r="J817" s="55"/>
      <c r="K817" s="126"/>
    </row>
    <row r="818">
      <c r="D818" s="55"/>
      <c r="E818" s="55"/>
      <c r="F818" s="55"/>
      <c r="J818" s="55"/>
      <c r="K818" s="126"/>
    </row>
    <row r="819">
      <c r="D819" s="55"/>
      <c r="E819" s="55"/>
      <c r="F819" s="55"/>
      <c r="J819" s="55"/>
      <c r="K819" s="126"/>
    </row>
    <row r="820">
      <c r="D820" s="55"/>
      <c r="E820" s="55"/>
      <c r="F820" s="55"/>
      <c r="J820" s="55"/>
      <c r="K820" s="126"/>
    </row>
    <row r="821">
      <c r="D821" s="55"/>
      <c r="E821" s="55"/>
      <c r="F821" s="55"/>
      <c r="J821" s="55"/>
      <c r="K821" s="126"/>
    </row>
    <row r="822">
      <c r="D822" s="55"/>
      <c r="E822" s="55"/>
      <c r="F822" s="55"/>
      <c r="J822" s="55"/>
      <c r="K822" s="126"/>
    </row>
    <row r="823">
      <c r="D823" s="55"/>
      <c r="E823" s="55"/>
      <c r="F823" s="55"/>
      <c r="J823" s="55"/>
      <c r="K823" s="126"/>
    </row>
    <row r="824">
      <c r="D824" s="55"/>
      <c r="E824" s="55"/>
      <c r="F824" s="55"/>
      <c r="J824" s="55"/>
      <c r="K824" s="126"/>
    </row>
    <row r="825">
      <c r="D825" s="55"/>
      <c r="E825" s="55"/>
      <c r="F825" s="55"/>
      <c r="J825" s="55"/>
      <c r="K825" s="126"/>
    </row>
    <row r="826">
      <c r="D826" s="55"/>
      <c r="E826" s="55"/>
      <c r="F826" s="55"/>
      <c r="J826" s="55"/>
      <c r="K826" s="126"/>
    </row>
    <row r="827">
      <c r="D827" s="55"/>
      <c r="E827" s="55"/>
      <c r="F827" s="55"/>
      <c r="J827" s="55"/>
      <c r="K827" s="126"/>
    </row>
    <row r="828">
      <c r="D828" s="55"/>
      <c r="E828" s="55"/>
      <c r="F828" s="55"/>
      <c r="J828" s="55"/>
      <c r="K828" s="126"/>
    </row>
    <row r="829">
      <c r="D829" s="55"/>
      <c r="E829" s="55"/>
      <c r="F829" s="55"/>
      <c r="J829" s="55"/>
      <c r="K829" s="126"/>
    </row>
    <row r="830">
      <c r="D830" s="55"/>
      <c r="E830" s="55"/>
      <c r="F830" s="55"/>
      <c r="J830" s="55"/>
      <c r="K830" s="126"/>
    </row>
    <row r="831">
      <c r="D831" s="55"/>
      <c r="E831" s="55"/>
      <c r="F831" s="55"/>
      <c r="J831" s="55"/>
      <c r="K831" s="126"/>
    </row>
    <row r="832">
      <c r="D832" s="55"/>
      <c r="E832" s="55"/>
      <c r="F832" s="55"/>
      <c r="J832" s="55"/>
      <c r="K832" s="126"/>
    </row>
    <row r="833">
      <c r="D833" s="55"/>
      <c r="E833" s="55"/>
      <c r="F833" s="55"/>
      <c r="J833" s="55"/>
      <c r="K833" s="126"/>
    </row>
    <row r="834">
      <c r="D834" s="55"/>
      <c r="E834" s="55"/>
      <c r="F834" s="55"/>
      <c r="J834" s="55"/>
      <c r="K834" s="126"/>
    </row>
    <row r="835">
      <c r="D835" s="55"/>
      <c r="E835" s="55"/>
      <c r="F835" s="55"/>
      <c r="J835" s="55"/>
      <c r="K835" s="126"/>
    </row>
    <row r="836">
      <c r="D836" s="55"/>
      <c r="E836" s="55"/>
      <c r="F836" s="55"/>
      <c r="J836" s="55"/>
      <c r="K836" s="126"/>
    </row>
    <row r="837">
      <c r="D837" s="55"/>
      <c r="E837" s="55"/>
      <c r="F837" s="55"/>
      <c r="J837" s="55"/>
      <c r="K837" s="126"/>
    </row>
    <row r="838">
      <c r="D838" s="55"/>
      <c r="E838" s="55"/>
      <c r="F838" s="55"/>
      <c r="J838" s="55"/>
      <c r="K838" s="126"/>
    </row>
    <row r="839">
      <c r="D839" s="55"/>
      <c r="E839" s="55"/>
      <c r="F839" s="55"/>
      <c r="J839" s="55"/>
      <c r="K839" s="126"/>
    </row>
    <row r="840">
      <c r="D840" s="55"/>
      <c r="E840" s="55"/>
      <c r="F840" s="55"/>
      <c r="J840" s="55"/>
      <c r="K840" s="126"/>
    </row>
    <row r="841">
      <c r="D841" s="55"/>
      <c r="E841" s="55"/>
      <c r="F841" s="55"/>
      <c r="J841" s="55"/>
      <c r="K841" s="126"/>
    </row>
    <row r="842">
      <c r="D842" s="55"/>
      <c r="E842" s="55"/>
      <c r="F842" s="55"/>
      <c r="J842" s="55"/>
      <c r="K842" s="126"/>
    </row>
    <row r="843">
      <c r="D843" s="55"/>
      <c r="E843" s="55"/>
      <c r="F843" s="55"/>
      <c r="J843" s="55"/>
      <c r="K843" s="126"/>
    </row>
    <row r="844">
      <c r="D844" s="55"/>
      <c r="E844" s="55"/>
      <c r="F844" s="55"/>
      <c r="J844" s="55"/>
      <c r="K844" s="126"/>
    </row>
    <row r="845">
      <c r="D845" s="55"/>
      <c r="E845" s="55"/>
      <c r="F845" s="55"/>
      <c r="J845" s="55"/>
      <c r="K845" s="126"/>
    </row>
    <row r="846">
      <c r="D846" s="55"/>
      <c r="E846" s="55"/>
      <c r="F846" s="55"/>
      <c r="J846" s="55"/>
      <c r="K846" s="126"/>
    </row>
    <row r="847">
      <c r="D847" s="55"/>
      <c r="E847" s="55"/>
      <c r="F847" s="55"/>
      <c r="J847" s="55"/>
      <c r="K847" s="126"/>
    </row>
    <row r="848">
      <c r="D848" s="55"/>
      <c r="E848" s="55"/>
      <c r="F848" s="55"/>
      <c r="J848" s="55"/>
      <c r="K848" s="126"/>
    </row>
    <row r="849">
      <c r="D849" s="55"/>
      <c r="E849" s="55"/>
      <c r="F849" s="55"/>
      <c r="J849" s="55"/>
      <c r="K849" s="126"/>
    </row>
    <row r="850">
      <c r="D850" s="55"/>
      <c r="E850" s="55"/>
      <c r="F850" s="55"/>
      <c r="J850" s="55"/>
      <c r="K850" s="126"/>
    </row>
    <row r="851">
      <c r="D851" s="55"/>
      <c r="E851" s="55"/>
      <c r="F851" s="55"/>
      <c r="J851" s="55"/>
      <c r="K851" s="126"/>
    </row>
    <row r="852">
      <c r="D852" s="55"/>
      <c r="E852" s="55"/>
      <c r="F852" s="55"/>
      <c r="J852" s="55"/>
      <c r="K852" s="126"/>
    </row>
    <row r="853">
      <c r="D853" s="55"/>
      <c r="E853" s="55"/>
      <c r="F853" s="55"/>
      <c r="J853" s="55"/>
      <c r="K853" s="126"/>
    </row>
    <row r="854">
      <c r="D854" s="55"/>
      <c r="E854" s="55"/>
      <c r="F854" s="55"/>
      <c r="J854" s="55"/>
      <c r="K854" s="126"/>
    </row>
    <row r="855">
      <c r="D855" s="55"/>
      <c r="E855" s="55"/>
      <c r="F855" s="55"/>
      <c r="J855" s="55"/>
      <c r="K855" s="126"/>
    </row>
    <row r="856">
      <c r="D856" s="55"/>
      <c r="E856" s="55"/>
      <c r="F856" s="55"/>
      <c r="J856" s="55"/>
      <c r="K856" s="126"/>
    </row>
    <row r="857">
      <c r="D857" s="55"/>
      <c r="E857" s="55"/>
      <c r="F857" s="55"/>
      <c r="J857" s="55"/>
      <c r="K857" s="126"/>
    </row>
    <row r="858">
      <c r="D858" s="55"/>
      <c r="E858" s="55"/>
      <c r="F858" s="55"/>
      <c r="J858" s="55"/>
      <c r="K858" s="126"/>
    </row>
    <row r="859">
      <c r="D859" s="55"/>
      <c r="E859" s="55"/>
      <c r="F859" s="55"/>
      <c r="J859" s="55"/>
      <c r="K859" s="126"/>
    </row>
    <row r="860">
      <c r="D860" s="55"/>
      <c r="E860" s="55"/>
      <c r="F860" s="55"/>
      <c r="J860" s="55"/>
      <c r="K860" s="126"/>
    </row>
    <row r="861">
      <c r="D861" s="55"/>
      <c r="E861" s="55"/>
      <c r="F861" s="55"/>
      <c r="J861" s="55"/>
      <c r="K861" s="126"/>
    </row>
    <row r="862">
      <c r="D862" s="55"/>
      <c r="E862" s="55"/>
      <c r="F862" s="55"/>
      <c r="J862" s="55"/>
      <c r="K862" s="126"/>
    </row>
    <row r="863">
      <c r="D863" s="55"/>
      <c r="E863" s="55"/>
      <c r="F863" s="55"/>
      <c r="J863" s="55"/>
      <c r="K863" s="126"/>
    </row>
    <row r="864">
      <c r="D864" s="55"/>
      <c r="E864" s="55"/>
      <c r="F864" s="55"/>
      <c r="J864" s="55"/>
      <c r="K864" s="126"/>
    </row>
    <row r="865">
      <c r="D865" s="55"/>
      <c r="E865" s="55"/>
      <c r="F865" s="55"/>
      <c r="J865" s="55"/>
      <c r="K865" s="126"/>
    </row>
    <row r="866">
      <c r="D866" s="55"/>
      <c r="E866" s="55"/>
      <c r="F866" s="55"/>
      <c r="J866" s="55"/>
      <c r="K866" s="126"/>
    </row>
    <row r="867">
      <c r="D867" s="55"/>
      <c r="E867" s="55"/>
      <c r="F867" s="55"/>
      <c r="J867" s="55"/>
      <c r="K867" s="126"/>
    </row>
    <row r="868">
      <c r="D868" s="55"/>
      <c r="E868" s="55"/>
      <c r="F868" s="55"/>
      <c r="J868" s="55"/>
      <c r="K868" s="126"/>
    </row>
    <row r="869">
      <c r="D869" s="55"/>
      <c r="E869" s="55"/>
      <c r="F869" s="55"/>
      <c r="J869" s="55"/>
      <c r="K869" s="126"/>
    </row>
    <row r="870">
      <c r="D870" s="55"/>
      <c r="E870" s="55"/>
      <c r="F870" s="55"/>
      <c r="J870" s="55"/>
      <c r="K870" s="126"/>
    </row>
    <row r="871">
      <c r="D871" s="55"/>
      <c r="E871" s="55"/>
      <c r="F871" s="55"/>
      <c r="J871" s="55"/>
      <c r="K871" s="126"/>
    </row>
    <row r="872">
      <c r="D872" s="55"/>
      <c r="E872" s="55"/>
      <c r="F872" s="55"/>
      <c r="J872" s="55"/>
      <c r="K872" s="126"/>
    </row>
    <row r="873">
      <c r="D873" s="55"/>
      <c r="E873" s="55"/>
      <c r="F873" s="55"/>
      <c r="J873" s="55"/>
      <c r="K873" s="126"/>
    </row>
    <row r="874">
      <c r="D874" s="55"/>
      <c r="E874" s="55"/>
      <c r="F874" s="55"/>
      <c r="J874" s="55"/>
      <c r="K874" s="126"/>
    </row>
    <row r="875">
      <c r="D875" s="55"/>
      <c r="E875" s="55"/>
      <c r="F875" s="55"/>
      <c r="J875" s="55"/>
      <c r="K875" s="126"/>
    </row>
    <row r="876">
      <c r="D876" s="55"/>
      <c r="E876" s="55"/>
      <c r="F876" s="55"/>
      <c r="J876" s="55"/>
      <c r="K876" s="126"/>
    </row>
    <row r="877">
      <c r="D877" s="55"/>
      <c r="E877" s="55"/>
      <c r="F877" s="55"/>
      <c r="J877" s="55"/>
      <c r="K877" s="126"/>
    </row>
    <row r="878">
      <c r="D878" s="55"/>
      <c r="E878" s="55"/>
      <c r="F878" s="55"/>
      <c r="J878" s="55"/>
      <c r="K878" s="126"/>
    </row>
    <row r="879">
      <c r="D879" s="55"/>
      <c r="E879" s="55"/>
      <c r="F879" s="55"/>
      <c r="J879" s="55"/>
      <c r="K879" s="126"/>
    </row>
    <row r="880">
      <c r="D880" s="55"/>
      <c r="E880" s="55"/>
      <c r="F880" s="55"/>
      <c r="J880" s="55"/>
      <c r="K880" s="126"/>
    </row>
    <row r="881">
      <c r="D881" s="55"/>
      <c r="E881" s="55"/>
      <c r="F881" s="55"/>
      <c r="J881" s="55"/>
      <c r="K881" s="126"/>
    </row>
    <row r="882">
      <c r="D882" s="55"/>
      <c r="E882" s="55"/>
      <c r="F882" s="55"/>
      <c r="J882" s="55"/>
      <c r="K882" s="126"/>
    </row>
    <row r="883">
      <c r="D883" s="55"/>
      <c r="E883" s="55"/>
      <c r="F883" s="55"/>
      <c r="J883" s="55"/>
      <c r="K883" s="126"/>
    </row>
    <row r="884">
      <c r="D884" s="55"/>
      <c r="E884" s="55"/>
      <c r="F884" s="55"/>
      <c r="J884" s="55"/>
      <c r="K884" s="126"/>
    </row>
    <row r="885">
      <c r="D885" s="55"/>
      <c r="E885" s="55"/>
      <c r="F885" s="55"/>
      <c r="J885" s="55"/>
      <c r="K885" s="126"/>
    </row>
    <row r="886">
      <c r="D886" s="55"/>
      <c r="E886" s="55"/>
      <c r="F886" s="55"/>
      <c r="J886" s="55"/>
      <c r="K886" s="126"/>
    </row>
    <row r="887">
      <c r="D887" s="55"/>
      <c r="E887" s="55"/>
      <c r="F887" s="55"/>
      <c r="J887" s="55"/>
      <c r="K887" s="126"/>
    </row>
    <row r="888">
      <c r="D888" s="55"/>
      <c r="E888" s="55"/>
      <c r="F888" s="55"/>
      <c r="J888" s="55"/>
      <c r="K888" s="126"/>
    </row>
    <row r="889">
      <c r="D889" s="55"/>
      <c r="E889" s="55"/>
      <c r="F889" s="55"/>
      <c r="J889" s="55"/>
      <c r="K889" s="126"/>
    </row>
    <row r="890">
      <c r="D890" s="55"/>
      <c r="E890" s="55"/>
      <c r="F890" s="55"/>
      <c r="J890" s="55"/>
      <c r="K890" s="126"/>
    </row>
    <row r="891">
      <c r="D891" s="55"/>
      <c r="E891" s="55"/>
      <c r="F891" s="55"/>
      <c r="J891" s="55"/>
      <c r="K891" s="126"/>
    </row>
    <row r="892">
      <c r="D892" s="55"/>
      <c r="E892" s="55"/>
      <c r="F892" s="55"/>
      <c r="J892" s="55"/>
      <c r="K892" s="126"/>
    </row>
    <row r="893">
      <c r="D893" s="55"/>
      <c r="E893" s="55"/>
      <c r="F893" s="55"/>
      <c r="J893" s="55"/>
      <c r="K893" s="126"/>
    </row>
    <row r="894">
      <c r="D894" s="55"/>
      <c r="E894" s="55"/>
      <c r="F894" s="55"/>
      <c r="J894" s="55"/>
      <c r="K894" s="126"/>
    </row>
    <row r="895">
      <c r="D895" s="55"/>
      <c r="E895" s="55"/>
      <c r="F895" s="55"/>
      <c r="J895" s="55"/>
      <c r="K895" s="126"/>
    </row>
    <row r="896">
      <c r="D896" s="55"/>
      <c r="E896" s="55"/>
      <c r="F896" s="55"/>
      <c r="J896" s="55"/>
      <c r="K896" s="126"/>
    </row>
    <row r="897">
      <c r="D897" s="55"/>
      <c r="E897" s="55"/>
      <c r="F897" s="55"/>
      <c r="J897" s="55"/>
      <c r="K897" s="126"/>
    </row>
    <row r="898">
      <c r="D898" s="55"/>
      <c r="E898" s="55"/>
      <c r="F898" s="55"/>
      <c r="J898" s="55"/>
      <c r="K898" s="126"/>
    </row>
    <row r="899">
      <c r="D899" s="55"/>
      <c r="E899" s="55"/>
      <c r="F899" s="55"/>
      <c r="J899" s="55"/>
      <c r="K899" s="126"/>
    </row>
    <row r="900">
      <c r="D900" s="55"/>
      <c r="E900" s="55"/>
      <c r="F900" s="55"/>
      <c r="J900" s="55"/>
      <c r="K900" s="126"/>
    </row>
    <row r="901">
      <c r="D901" s="55"/>
      <c r="E901" s="55"/>
      <c r="F901" s="55"/>
      <c r="J901" s="55"/>
      <c r="K901" s="126"/>
    </row>
    <row r="902">
      <c r="D902" s="55"/>
      <c r="E902" s="55"/>
      <c r="F902" s="55"/>
      <c r="J902" s="55"/>
      <c r="K902" s="126"/>
    </row>
    <row r="903">
      <c r="D903" s="55"/>
      <c r="E903" s="55"/>
      <c r="F903" s="55"/>
      <c r="J903" s="55"/>
      <c r="K903" s="126"/>
    </row>
    <row r="904">
      <c r="D904" s="55"/>
      <c r="E904" s="55"/>
      <c r="F904" s="55"/>
      <c r="J904" s="55"/>
      <c r="K904" s="126"/>
    </row>
    <row r="905">
      <c r="D905" s="55"/>
      <c r="E905" s="55"/>
      <c r="F905" s="55"/>
      <c r="J905" s="55"/>
      <c r="K905" s="126"/>
    </row>
    <row r="906">
      <c r="D906" s="55"/>
      <c r="E906" s="55"/>
      <c r="F906" s="55"/>
      <c r="J906" s="55"/>
      <c r="K906" s="126"/>
    </row>
    <row r="907">
      <c r="D907" s="55"/>
      <c r="E907" s="55"/>
      <c r="F907" s="55"/>
      <c r="J907" s="55"/>
      <c r="K907" s="126"/>
    </row>
    <row r="908">
      <c r="D908" s="55"/>
      <c r="E908" s="55"/>
      <c r="F908" s="55"/>
      <c r="J908" s="55"/>
      <c r="K908" s="126"/>
    </row>
    <row r="909">
      <c r="D909" s="55"/>
      <c r="E909" s="55"/>
      <c r="F909" s="55"/>
      <c r="J909" s="55"/>
      <c r="K909" s="126"/>
    </row>
    <row r="910">
      <c r="D910" s="55"/>
      <c r="E910" s="55"/>
      <c r="F910" s="55"/>
      <c r="J910" s="55"/>
      <c r="K910" s="126"/>
    </row>
    <row r="911">
      <c r="D911" s="55"/>
      <c r="E911" s="55"/>
      <c r="F911" s="55"/>
      <c r="J911" s="55"/>
      <c r="K911" s="126"/>
    </row>
    <row r="912">
      <c r="D912" s="55"/>
      <c r="E912" s="55"/>
      <c r="F912" s="55"/>
      <c r="J912" s="55"/>
      <c r="K912" s="126"/>
    </row>
    <row r="913">
      <c r="D913" s="55"/>
      <c r="E913" s="55"/>
      <c r="F913" s="55"/>
      <c r="J913" s="55"/>
      <c r="K913" s="126"/>
    </row>
    <row r="914">
      <c r="D914" s="55"/>
      <c r="E914" s="55"/>
      <c r="F914" s="55"/>
      <c r="J914" s="55"/>
      <c r="K914" s="126"/>
    </row>
    <row r="915">
      <c r="D915" s="55"/>
      <c r="E915" s="55"/>
      <c r="F915" s="55"/>
      <c r="J915" s="55"/>
      <c r="K915" s="126"/>
    </row>
    <row r="916">
      <c r="D916" s="55"/>
      <c r="E916" s="55"/>
      <c r="F916" s="55"/>
      <c r="J916" s="55"/>
      <c r="K916" s="126"/>
    </row>
    <row r="917">
      <c r="D917" s="55"/>
      <c r="E917" s="55"/>
      <c r="F917" s="55"/>
      <c r="J917" s="55"/>
      <c r="K917" s="126"/>
    </row>
    <row r="918">
      <c r="D918" s="55"/>
      <c r="E918" s="55"/>
      <c r="F918" s="55"/>
      <c r="J918" s="55"/>
      <c r="K918" s="126"/>
    </row>
    <row r="919">
      <c r="D919" s="55"/>
      <c r="E919" s="55"/>
      <c r="F919" s="55"/>
      <c r="J919" s="55"/>
      <c r="K919" s="126"/>
    </row>
    <row r="920">
      <c r="D920" s="55"/>
      <c r="E920" s="55"/>
      <c r="F920" s="55"/>
      <c r="J920" s="55"/>
      <c r="K920" s="126"/>
    </row>
    <row r="921">
      <c r="D921" s="55"/>
      <c r="E921" s="55"/>
      <c r="F921" s="55"/>
      <c r="J921" s="55"/>
      <c r="K921" s="126"/>
    </row>
    <row r="922">
      <c r="D922" s="55"/>
      <c r="E922" s="55"/>
      <c r="F922" s="55"/>
      <c r="J922" s="55"/>
      <c r="K922" s="126"/>
    </row>
    <row r="923">
      <c r="D923" s="55"/>
      <c r="E923" s="55"/>
      <c r="F923" s="55"/>
      <c r="J923" s="55"/>
      <c r="K923" s="126"/>
    </row>
    <row r="924">
      <c r="D924" s="55"/>
      <c r="E924" s="55"/>
      <c r="F924" s="55"/>
      <c r="J924" s="55"/>
      <c r="K924" s="126"/>
    </row>
    <row r="925">
      <c r="D925" s="55"/>
      <c r="E925" s="55"/>
      <c r="F925" s="55"/>
      <c r="J925" s="55"/>
      <c r="K925" s="126"/>
    </row>
    <row r="926">
      <c r="D926" s="55"/>
      <c r="E926" s="55"/>
      <c r="F926" s="55"/>
      <c r="J926" s="55"/>
      <c r="K926" s="126"/>
    </row>
    <row r="927">
      <c r="D927" s="55"/>
      <c r="E927" s="55"/>
      <c r="F927" s="55"/>
      <c r="J927" s="55"/>
      <c r="K927" s="126"/>
    </row>
    <row r="928">
      <c r="D928" s="55"/>
      <c r="E928" s="55"/>
      <c r="F928" s="55"/>
      <c r="J928" s="55"/>
      <c r="K928" s="126"/>
    </row>
    <row r="929">
      <c r="D929" s="55"/>
      <c r="E929" s="55"/>
      <c r="F929" s="55"/>
      <c r="J929" s="55"/>
      <c r="K929" s="126"/>
    </row>
    <row r="930">
      <c r="D930" s="55"/>
      <c r="E930" s="55"/>
      <c r="F930" s="55"/>
      <c r="J930" s="55"/>
      <c r="K930" s="126"/>
    </row>
    <row r="931">
      <c r="D931" s="55"/>
      <c r="E931" s="55"/>
      <c r="F931" s="55"/>
      <c r="J931" s="55"/>
      <c r="K931" s="126"/>
    </row>
    <row r="932">
      <c r="D932" s="55"/>
      <c r="E932" s="55"/>
      <c r="F932" s="55"/>
      <c r="J932" s="55"/>
      <c r="K932" s="126"/>
    </row>
    <row r="933">
      <c r="D933" s="55"/>
      <c r="E933" s="55"/>
      <c r="F933" s="55"/>
      <c r="J933" s="55"/>
      <c r="K933" s="126"/>
    </row>
    <row r="934">
      <c r="D934" s="55"/>
      <c r="E934" s="55"/>
      <c r="F934" s="55"/>
      <c r="J934" s="55"/>
      <c r="K934" s="126"/>
    </row>
    <row r="935">
      <c r="D935" s="55"/>
      <c r="E935" s="55"/>
      <c r="F935" s="55"/>
      <c r="J935" s="55"/>
      <c r="K935" s="126"/>
    </row>
    <row r="936">
      <c r="D936" s="55"/>
      <c r="E936" s="55"/>
      <c r="F936" s="55"/>
      <c r="J936" s="55"/>
      <c r="K936" s="126"/>
    </row>
    <row r="937">
      <c r="D937" s="55"/>
      <c r="E937" s="55"/>
      <c r="F937" s="55"/>
      <c r="J937" s="55"/>
      <c r="K937" s="126"/>
    </row>
    <row r="938">
      <c r="D938" s="55"/>
      <c r="E938" s="55"/>
      <c r="F938" s="55"/>
      <c r="J938" s="55"/>
      <c r="K938" s="126"/>
    </row>
    <row r="939">
      <c r="D939" s="55"/>
      <c r="E939" s="55"/>
      <c r="F939" s="55"/>
      <c r="J939" s="55"/>
      <c r="K939" s="126"/>
    </row>
    <row r="940">
      <c r="D940" s="55"/>
      <c r="E940" s="55"/>
      <c r="F940" s="55"/>
      <c r="J940" s="55"/>
      <c r="K940" s="126"/>
    </row>
    <row r="941">
      <c r="D941" s="55"/>
      <c r="E941" s="55"/>
      <c r="F941" s="55"/>
      <c r="J941" s="55"/>
      <c r="K941" s="126"/>
    </row>
    <row r="942">
      <c r="D942" s="55"/>
      <c r="E942" s="55"/>
      <c r="F942" s="55"/>
      <c r="J942" s="55"/>
      <c r="K942" s="126"/>
    </row>
    <row r="943">
      <c r="D943" s="55"/>
      <c r="E943" s="55"/>
      <c r="F943" s="55"/>
      <c r="J943" s="55"/>
      <c r="K943" s="126"/>
    </row>
    <row r="944">
      <c r="D944" s="55"/>
      <c r="E944" s="55"/>
      <c r="F944" s="55"/>
      <c r="J944" s="55"/>
      <c r="K944" s="126"/>
    </row>
    <row r="945">
      <c r="D945" s="55"/>
      <c r="E945" s="55"/>
      <c r="F945" s="55"/>
      <c r="J945" s="55"/>
      <c r="K945" s="126"/>
    </row>
    <row r="946">
      <c r="D946" s="55"/>
      <c r="E946" s="55"/>
      <c r="F946" s="55"/>
      <c r="J946" s="55"/>
      <c r="K946" s="126"/>
    </row>
    <row r="947">
      <c r="D947" s="55"/>
      <c r="E947" s="55"/>
      <c r="F947" s="55"/>
      <c r="J947" s="55"/>
      <c r="K947" s="126"/>
    </row>
    <row r="948">
      <c r="D948" s="55"/>
      <c r="E948" s="55"/>
      <c r="F948" s="55"/>
      <c r="J948" s="55"/>
      <c r="K948" s="126"/>
    </row>
    <row r="949">
      <c r="D949" s="55"/>
      <c r="E949" s="55"/>
      <c r="F949" s="55"/>
      <c r="J949" s="55"/>
      <c r="K949" s="126"/>
    </row>
    <row r="950">
      <c r="D950" s="55"/>
      <c r="E950" s="55"/>
      <c r="F950" s="55"/>
      <c r="J950" s="55"/>
      <c r="K950" s="126"/>
    </row>
    <row r="951">
      <c r="D951" s="55"/>
      <c r="E951" s="55"/>
      <c r="F951" s="55"/>
      <c r="J951" s="55"/>
      <c r="K951" s="126"/>
    </row>
    <row r="952">
      <c r="D952" s="55"/>
      <c r="E952" s="55"/>
      <c r="F952" s="55"/>
      <c r="J952" s="55"/>
      <c r="K952" s="126"/>
    </row>
    <row r="953">
      <c r="D953" s="55"/>
      <c r="E953" s="55"/>
      <c r="F953" s="55"/>
      <c r="J953" s="55"/>
      <c r="K953" s="126"/>
    </row>
    <row r="954">
      <c r="D954" s="55"/>
      <c r="E954" s="55"/>
      <c r="F954" s="55"/>
      <c r="J954" s="55"/>
      <c r="K954" s="126"/>
    </row>
    <row r="955">
      <c r="D955" s="55"/>
      <c r="E955" s="55"/>
      <c r="F955" s="55"/>
      <c r="J955" s="55"/>
      <c r="K955" s="126"/>
    </row>
    <row r="956">
      <c r="D956" s="55"/>
      <c r="E956" s="55"/>
      <c r="F956" s="55"/>
      <c r="J956" s="55"/>
      <c r="K956" s="126"/>
    </row>
    <row r="957">
      <c r="D957" s="55"/>
      <c r="E957" s="55"/>
      <c r="F957" s="55"/>
      <c r="J957" s="55"/>
      <c r="K957" s="126"/>
    </row>
    <row r="958">
      <c r="D958" s="55"/>
      <c r="E958" s="55"/>
      <c r="F958" s="55"/>
      <c r="J958" s="55"/>
      <c r="K958" s="126"/>
    </row>
    <row r="959">
      <c r="D959" s="55"/>
      <c r="E959" s="55"/>
      <c r="F959" s="55"/>
      <c r="J959" s="55"/>
      <c r="K959" s="126"/>
    </row>
    <row r="960">
      <c r="D960" s="55"/>
      <c r="E960" s="55"/>
      <c r="F960" s="55"/>
      <c r="J960" s="55"/>
      <c r="K960" s="126"/>
    </row>
    <row r="961">
      <c r="D961" s="55"/>
      <c r="E961" s="55"/>
      <c r="F961" s="55"/>
      <c r="J961" s="55"/>
      <c r="K961" s="126"/>
    </row>
    <row r="962">
      <c r="D962" s="55"/>
      <c r="E962" s="55"/>
      <c r="F962" s="55"/>
      <c r="J962" s="55"/>
      <c r="K962" s="126"/>
    </row>
    <row r="963">
      <c r="D963" s="55"/>
      <c r="E963" s="55"/>
      <c r="F963" s="55"/>
      <c r="J963" s="55"/>
      <c r="K963" s="126"/>
    </row>
    <row r="964">
      <c r="D964" s="55"/>
      <c r="E964" s="55"/>
      <c r="F964" s="55"/>
      <c r="J964" s="55"/>
      <c r="K964" s="126"/>
    </row>
    <row r="965">
      <c r="D965" s="55"/>
      <c r="E965" s="55"/>
      <c r="F965" s="55"/>
      <c r="J965" s="55"/>
      <c r="K965" s="126"/>
    </row>
    <row r="966">
      <c r="D966" s="55"/>
      <c r="E966" s="55"/>
      <c r="F966" s="55"/>
      <c r="J966" s="55"/>
      <c r="K966" s="126"/>
    </row>
    <row r="967">
      <c r="D967" s="55"/>
      <c r="E967" s="55"/>
      <c r="F967" s="55"/>
      <c r="J967" s="55"/>
      <c r="K967" s="126"/>
    </row>
    <row r="968">
      <c r="D968" s="55"/>
      <c r="E968" s="55"/>
      <c r="F968" s="55"/>
      <c r="J968" s="55"/>
      <c r="K968" s="126"/>
    </row>
    <row r="969">
      <c r="D969" s="55"/>
      <c r="E969" s="55"/>
      <c r="F969" s="55"/>
      <c r="J969" s="55"/>
      <c r="K969" s="126"/>
    </row>
    <row r="970">
      <c r="D970" s="55"/>
      <c r="E970" s="55"/>
      <c r="F970" s="55"/>
      <c r="J970" s="55"/>
      <c r="K970" s="126"/>
    </row>
    <row r="971">
      <c r="D971" s="55"/>
      <c r="E971" s="55"/>
      <c r="F971" s="55"/>
      <c r="J971" s="55"/>
      <c r="K971" s="126"/>
    </row>
    <row r="972">
      <c r="D972" s="55"/>
      <c r="E972" s="55"/>
      <c r="F972" s="55"/>
      <c r="J972" s="55"/>
      <c r="K972" s="126"/>
    </row>
    <row r="973">
      <c r="D973" s="55"/>
      <c r="E973" s="55"/>
      <c r="F973" s="55"/>
      <c r="J973" s="55"/>
      <c r="K973" s="126"/>
    </row>
    <row r="974">
      <c r="D974" s="55"/>
      <c r="E974" s="55"/>
      <c r="F974" s="55"/>
      <c r="J974" s="55"/>
      <c r="K974" s="126"/>
    </row>
    <row r="975">
      <c r="D975" s="55"/>
      <c r="E975" s="55"/>
      <c r="F975" s="55"/>
      <c r="J975" s="55"/>
      <c r="K975" s="126"/>
    </row>
    <row r="976">
      <c r="D976" s="55"/>
      <c r="E976" s="55"/>
      <c r="F976" s="55"/>
      <c r="J976" s="55"/>
      <c r="K976" s="126"/>
    </row>
    <row r="977">
      <c r="D977" s="55"/>
      <c r="E977" s="55"/>
      <c r="F977" s="55"/>
      <c r="J977" s="55"/>
      <c r="K977" s="126"/>
    </row>
    <row r="978">
      <c r="D978" s="55"/>
      <c r="E978" s="55"/>
      <c r="F978" s="55"/>
      <c r="J978" s="55"/>
      <c r="K978" s="126"/>
    </row>
    <row r="979">
      <c r="D979" s="55"/>
      <c r="E979" s="55"/>
      <c r="F979" s="55"/>
      <c r="J979" s="55"/>
      <c r="K979" s="126"/>
    </row>
    <row r="980">
      <c r="D980" s="55"/>
      <c r="E980" s="55"/>
      <c r="F980" s="55"/>
      <c r="J980" s="55"/>
      <c r="K980" s="126"/>
    </row>
    <row r="981">
      <c r="D981" s="55"/>
      <c r="E981" s="55"/>
      <c r="F981" s="55"/>
      <c r="J981" s="55"/>
      <c r="K981" s="126"/>
    </row>
    <row r="982">
      <c r="D982" s="55"/>
      <c r="E982" s="55"/>
      <c r="F982" s="55"/>
      <c r="J982" s="55"/>
      <c r="K982" s="126"/>
    </row>
    <row r="983">
      <c r="D983" s="55"/>
      <c r="E983" s="55"/>
      <c r="F983" s="55"/>
      <c r="J983" s="55"/>
      <c r="K983" s="126"/>
    </row>
    <row r="984">
      <c r="D984" s="55"/>
      <c r="E984" s="55"/>
      <c r="F984" s="55"/>
      <c r="J984" s="55"/>
      <c r="K984" s="126"/>
    </row>
    <row r="985">
      <c r="D985" s="55"/>
      <c r="E985" s="55"/>
      <c r="F985" s="55"/>
      <c r="J985" s="55"/>
      <c r="K985" s="126"/>
    </row>
    <row r="986">
      <c r="D986" s="55"/>
      <c r="E986" s="55"/>
      <c r="F986" s="55"/>
      <c r="J986" s="55"/>
      <c r="K986" s="126"/>
    </row>
    <row r="987">
      <c r="D987" s="55"/>
      <c r="E987" s="55"/>
      <c r="F987" s="55"/>
      <c r="J987" s="55"/>
      <c r="K987" s="126"/>
    </row>
    <row r="988">
      <c r="D988" s="55"/>
      <c r="E988" s="55"/>
      <c r="F988" s="55"/>
      <c r="J988" s="55"/>
      <c r="K988" s="126"/>
    </row>
    <row r="989">
      <c r="D989" s="55"/>
      <c r="E989" s="55"/>
      <c r="F989" s="55"/>
      <c r="J989" s="55"/>
      <c r="K989" s="126"/>
    </row>
    <row r="990">
      <c r="D990" s="55"/>
      <c r="E990" s="55"/>
      <c r="F990" s="55"/>
      <c r="J990" s="55"/>
      <c r="K990" s="126"/>
    </row>
    <row r="991">
      <c r="D991" s="55"/>
      <c r="E991" s="55"/>
      <c r="F991" s="55"/>
      <c r="J991" s="55"/>
      <c r="K991" s="126"/>
    </row>
    <row r="992">
      <c r="D992" s="55"/>
      <c r="E992" s="55"/>
      <c r="F992" s="55"/>
      <c r="J992" s="55"/>
      <c r="K992" s="126"/>
    </row>
    <row r="993">
      <c r="D993" s="55"/>
      <c r="E993" s="55"/>
      <c r="F993" s="55"/>
      <c r="J993" s="55"/>
      <c r="K993" s="126"/>
    </row>
    <row r="994">
      <c r="D994" s="55"/>
      <c r="E994" s="55"/>
      <c r="F994" s="55"/>
      <c r="J994" s="55"/>
      <c r="K994" s="126"/>
    </row>
    <row r="995">
      <c r="D995" s="55"/>
      <c r="E995" s="55"/>
      <c r="F995" s="55"/>
      <c r="J995" s="55"/>
      <c r="K995" s="126"/>
    </row>
    <row r="996">
      <c r="D996" s="55"/>
      <c r="E996" s="55"/>
      <c r="F996" s="55"/>
      <c r="J996" s="55"/>
      <c r="K996" s="126"/>
    </row>
    <row r="997">
      <c r="D997" s="55"/>
      <c r="E997" s="55"/>
      <c r="F997" s="55"/>
      <c r="J997" s="55"/>
      <c r="K997" s="126"/>
    </row>
    <row r="998">
      <c r="D998" s="55"/>
      <c r="E998" s="55"/>
      <c r="F998" s="55"/>
      <c r="J998" s="55"/>
      <c r="K998" s="126"/>
    </row>
    <row r="999">
      <c r="D999" s="55"/>
      <c r="E999" s="55"/>
      <c r="F999" s="55"/>
      <c r="J999" s="55"/>
      <c r="K999" s="126"/>
    </row>
    <row r="1000">
      <c r="D1000" s="55"/>
      <c r="E1000" s="55"/>
      <c r="F1000" s="55"/>
      <c r="J1000" s="55"/>
      <c r="K1000" s="126"/>
    </row>
  </sheetData>
  <mergeCells count="2">
    <mergeCell ref="A1:G1"/>
    <mergeCell ref="H1:K1"/>
  </mergeCells>
  <conditionalFormatting sqref="A1:A1000">
    <cfRule type="containsText" dxfId="0" priority="1" operator="containsText" text="Unassigned">
      <formula>NOT(ISERROR(SEARCH(("Unassigned"),(A1))))</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57"/>
    <col customWidth="1" min="2" max="2" width="15.0"/>
    <col customWidth="1" min="3" max="3" width="13.86"/>
    <col customWidth="1" min="4" max="4" width="18.86"/>
    <col customWidth="1" min="5" max="5" width="19.57"/>
    <col customWidth="1" min="6" max="6" width="28.0"/>
    <col customWidth="1" min="7" max="7" width="23.29"/>
    <col customWidth="1" min="8" max="8" width="19.29"/>
    <col customWidth="1" min="9" max="9" width="19.43"/>
    <col customWidth="1" min="10" max="10" width="27.57"/>
    <col customWidth="1" min="11" max="11" width="37.43"/>
  </cols>
  <sheetData>
    <row r="1">
      <c r="A1" s="8" t="s">
        <v>7</v>
      </c>
      <c r="B1" s="9"/>
      <c r="C1" s="9"/>
      <c r="D1" s="9"/>
      <c r="E1" s="9"/>
      <c r="F1" s="9"/>
      <c r="G1" s="22"/>
      <c r="H1" s="106" t="s">
        <v>38</v>
      </c>
    </row>
    <row r="2">
      <c r="A2" s="107" t="s">
        <v>0</v>
      </c>
      <c r="B2" s="108" t="s">
        <v>72</v>
      </c>
      <c r="C2" s="108" t="s">
        <v>73</v>
      </c>
      <c r="D2" s="109" t="s">
        <v>74</v>
      </c>
      <c r="E2" s="109" t="s">
        <v>333</v>
      </c>
      <c r="F2" s="109" t="s">
        <v>334</v>
      </c>
      <c r="G2" s="108" t="s">
        <v>327</v>
      </c>
      <c r="H2" s="110" t="s">
        <v>335</v>
      </c>
      <c r="I2" s="111" t="s">
        <v>336</v>
      </c>
      <c r="J2" s="111" t="s">
        <v>337</v>
      </c>
      <c r="K2" s="112" t="s">
        <v>338</v>
      </c>
    </row>
    <row r="3">
      <c r="A3" t="str">
        <f>IFERROR(__xludf.DUMMYFUNCTION("filter(Assignments!B3:B1000,Assignments!P3:P1000=""Dosage Sensitivity"",Assignments!O3:O1000=""Comprehensive"")"),"Assigned")</f>
        <v>Assigned</v>
      </c>
      <c r="B3" t="str">
        <f>IFERROR(__xludf.DUMMYFUNCTION("filter(Assignments!C3:C1000,Assignments!P3:P1000=""Dosage Sensitivity"",Assignments!O3:O1000=""Comprehensive"")"),"")</f>
        <v/>
      </c>
      <c r="C3" s="135">
        <f>IFERROR(__xludf.DUMMYFUNCTION("filter(Assignments!D3:D1000,Assignments!P3:P1000=""Dosage Sensitivity"",Assignments!O3:O1000=""Comprehensive"")"),43580.0)</f>
        <v>43580</v>
      </c>
      <c r="D3" s="68" t="str">
        <f>IFERROR(__xludf.DUMMYFUNCTION("filter(Assignments!E3:E1000,Assignments!P3:P1000=""Dosage Sensitivity"",Assignments!O3:O1000=""Comprehensive"")"),"Yes")</f>
        <v>Yes</v>
      </c>
      <c r="E3" s="68" t="str">
        <f>IFERROR(__xludf.DUMMYFUNCTION("filter(Assignments!F3:F1000,Assignments!P3:P1000=""Dosage Sensitivity"",Assignments!O3:O1000=""Comprehensive"")"),"Yes")</f>
        <v>Yes</v>
      </c>
      <c r="F3" s="55" t="str">
        <f>IFERROR(__xludf.DUMMYFUNCTION("filter(Assignments!G3:G1000,Assignments!P3:P1000=""Dosage Sensitivity"",Assignments!O3:O1000=""Comprehensive"")"),"Dosage Sensitivity")</f>
        <v>Dosage Sensitivity</v>
      </c>
      <c r="G3" t="str">
        <f>IFERROR(__xludf.DUMMYFUNCTION("filter(Assignments!H3:H1000,Assignments!P3:P1000=""Dosage Sensitivity"",Assignments!O3:O1000=""Comprehensive"")"),"Recurrent CNVs")</f>
        <v>Recurrent CNVs</v>
      </c>
      <c r="H3" t="str">
        <f>IFERROR(__xludf.DUMMYFUNCTION("filter(Assignments!L3:L1000,Assignments!P3:P1000=""Dosage Sensitivity"",Assignments!O3:O1000=""Comprehensive"")"),"Justin Schleede Phd")</f>
        <v>Justin Schleede Phd</v>
      </c>
      <c r="I3" t="str">
        <f>IFERROR(__xludf.DUMMYFUNCTION("filter(Assignments!M3:M1000,Assignments!P3:P1000=""Dosage Sensitivity"",Assignments!O3:O1000=""Comprehensive"")"),"schleej@labcorp.com")</f>
        <v>schleej@labcorp.com</v>
      </c>
      <c r="J3" s="55" t="str">
        <f>IFERROR(__xludf.DUMMYFUNCTION("filter(Assignments!O3:O1000,Assignments!P3:P1000=""Dosage Sensitivity"",Assignments!O3:O1000=""Comprehensive"")"),"Comprehensive")</f>
        <v>Comprehensive</v>
      </c>
      <c r="K3" t="str">
        <f>IFERROR(__xludf.DUMMYFUNCTION("filter(Assignments!W3:W1000,Assignments!P3:P1000=""Dosage Sensitivity"",Assignments!O3:O1000=""Comprehensive"")"),"")</f>
        <v/>
      </c>
    </row>
    <row r="4">
      <c r="A4" t="str">
        <f>IFERROR(__xludf.DUMMYFUNCTION("""COMPUTED_VALUE"""),"Contacted")</f>
        <v>Contacted</v>
      </c>
      <c r="B4" t="str">
        <f>IFERROR(__xludf.DUMMYFUNCTION("""COMPUTED_VALUE"""),"")</f>
        <v/>
      </c>
      <c r="C4" s="113">
        <f>IFERROR(__xludf.DUMMYFUNCTION("""COMPUTED_VALUE"""),43580.0)</f>
        <v>43580</v>
      </c>
      <c r="D4" s="55" t="str">
        <f>IFERROR(__xludf.DUMMYFUNCTION("""COMPUTED_VALUE"""),"Yes")</f>
        <v>Yes</v>
      </c>
      <c r="E4" s="55" t="str">
        <f>IFERROR(__xludf.DUMMYFUNCTION("""COMPUTED_VALUE"""),"Yes")</f>
        <v>Yes</v>
      </c>
      <c r="F4" s="55" t="str">
        <f>IFERROR(__xludf.DUMMYFUNCTION("""COMPUTED_VALUE"""),"Dosage Sensitivity")</f>
        <v>Dosage Sensitivity</v>
      </c>
      <c r="G4" t="str">
        <f>IFERROR(__xludf.DUMMYFUNCTION("""COMPUTED_VALUE"""),"")</f>
        <v/>
      </c>
      <c r="H4" t="str">
        <f>IFERROR(__xludf.DUMMYFUNCTION("""COMPUTED_VALUE"""),"Shulin Zhang")</f>
        <v>Shulin Zhang</v>
      </c>
      <c r="I4" t="str">
        <f>IFERROR(__xludf.DUMMYFUNCTION("""COMPUTED_VALUE"""),"shulin.zhang@uky.edu")</f>
        <v>shulin.zhang@uky.edu</v>
      </c>
      <c r="J4" s="55" t="str">
        <f>IFERROR(__xludf.DUMMYFUNCTION("""COMPUTED_VALUE"""),"Comprehensive")</f>
        <v>Comprehensive</v>
      </c>
      <c r="K4" t="str">
        <f>IFERROR(__xludf.DUMMYFUNCTION("""COMPUTED_VALUE"""),"1) Dosage sensitivity working group expert panel (inherited cancers) 2) Colorectal cancer 3) mitochondrial diseases")</f>
        <v>1) Dosage sensitivity working group expert panel (inherited cancers) 2) Colorectal cancer 3) mitochondrial diseases</v>
      </c>
    </row>
    <row r="5">
      <c r="A5" t="str">
        <f>IFERROR(__xludf.DUMMYFUNCTION("""COMPUTED_VALUE"""),"Assigned")</f>
        <v>Assigned</v>
      </c>
      <c r="B5" s="114">
        <f>IFERROR(__xludf.DUMMYFUNCTION("""COMPUTED_VALUE"""),43411.0)</f>
        <v>43411</v>
      </c>
      <c r="C5" s="115">
        <f>IFERROR(__xludf.DUMMYFUNCTION("""COMPUTED_VALUE"""),43453.0)</f>
        <v>43453</v>
      </c>
      <c r="D5" s="55" t="str">
        <f>IFERROR(__xludf.DUMMYFUNCTION("""COMPUTED_VALUE"""),"Yes")</f>
        <v>Yes</v>
      </c>
      <c r="E5" s="55" t="str">
        <f>IFERROR(__xludf.DUMMYFUNCTION("""COMPUTED_VALUE"""),"Yes")</f>
        <v>Yes</v>
      </c>
      <c r="F5" s="55" t="str">
        <f>IFERROR(__xludf.DUMMYFUNCTION("""COMPUTED_VALUE"""),"Dosage Sensitivity")</f>
        <v>Dosage Sensitivity</v>
      </c>
      <c r="G5" t="str">
        <f>IFERROR(__xludf.DUMMYFUNCTION("""COMPUTED_VALUE"""),"")</f>
        <v/>
      </c>
      <c r="H5" t="str">
        <f>IFERROR(__xludf.DUMMYFUNCTION("""COMPUTED_VALUE"""),"Preti Jain")</f>
        <v>Preti Jain</v>
      </c>
      <c r="I5" t="str">
        <f>IFERROR(__xludf.DUMMYFUNCTION("""COMPUTED_VALUE"""),"preti.jain@yale.edu")</f>
        <v>preti.jain@yale.edu</v>
      </c>
      <c r="J5" s="55" t="str">
        <f>IFERROR(__xludf.DUMMYFUNCTION("""COMPUTED_VALUE"""),"Comprehensive")</f>
        <v>Comprehensive</v>
      </c>
      <c r="K5" t="str">
        <f>IFERROR(__xludf.DUMMYFUNCTION("""COMPUTED_VALUE"""),"cardiomyopathy, Somatic/Germline Variant Curation, Hereditary Cancer")</f>
        <v>cardiomyopathy, Somatic/Germline Variant Curation, Hereditary Cancer</v>
      </c>
    </row>
    <row r="6">
      <c r="A6" t="str">
        <f>IFERROR(__xludf.DUMMYFUNCTION("""COMPUTED_VALUE"""),"Assigned")</f>
        <v>Assigned</v>
      </c>
      <c r="B6" s="114">
        <f>IFERROR(__xludf.DUMMYFUNCTION("""COMPUTED_VALUE"""),43356.0)</f>
        <v>43356</v>
      </c>
      <c r="C6" s="114">
        <f>IFERROR(__xludf.DUMMYFUNCTION("""COMPUTED_VALUE"""),43341.0)</f>
        <v>43341</v>
      </c>
      <c r="D6" s="55" t="str">
        <f>IFERROR(__xludf.DUMMYFUNCTION("""COMPUTED_VALUE"""),"Yes")</f>
        <v>Yes</v>
      </c>
      <c r="E6" s="55" t="str">
        <f>IFERROR(__xludf.DUMMYFUNCTION("""COMPUTED_VALUE"""),"Yes")</f>
        <v>Yes</v>
      </c>
      <c r="F6" s="55" t="str">
        <f>IFERROR(__xludf.DUMMYFUNCTION("""COMPUTED_VALUE"""),"Dosage Sensitivity")</f>
        <v>Dosage Sensitivity</v>
      </c>
      <c r="G6" t="str">
        <f>IFERROR(__xludf.DUMMYFUNCTION("""COMPUTED_VALUE"""),"")</f>
        <v/>
      </c>
      <c r="H6" t="str">
        <f>IFERROR(__xludf.DUMMYFUNCTION("""COMPUTED_VALUE"""),"Andrea Vaags")</f>
        <v>Andrea Vaags</v>
      </c>
      <c r="I6" t="str">
        <f>IFERROR(__xludf.DUMMYFUNCTION("""COMPUTED_VALUE"""),"andrea.vaags@thp.ca")</f>
        <v>andrea.vaags@thp.ca</v>
      </c>
      <c r="J6" s="55" t="str">
        <f>IFERROR(__xludf.DUMMYFUNCTION("""COMPUTED_VALUE"""),"Comprehensive")</f>
        <v>Comprehensive</v>
      </c>
      <c r="K6" t="str">
        <f>IFERROR(__xludf.DUMMYFUNCTION("""COMPUTED_VALUE"""),"Somatic/Germline Variant Curation Group (In progress); Breast and Ovarian Cancer Gene Curation Expert Panel; Hereditary Cancer Gene Curation Expert Panel (In progress); Somatic/Germline Variant Curation Group (In progress)")</f>
        <v>Somatic/Germline Variant Curation Group (In progress); Breast and Ovarian Cancer Gene Curation Expert Panel; Hereditary Cancer Gene Curation Expert Panel (In progress); Somatic/Germline Variant Curation Group (In progress)</v>
      </c>
    </row>
    <row r="7">
      <c r="A7" t="str">
        <f>IFERROR(__xludf.DUMMYFUNCTION("""COMPUTED_VALUE"""),"Assigned")</f>
        <v>Assigned</v>
      </c>
      <c r="B7" s="114">
        <f>IFERROR(__xludf.DUMMYFUNCTION("""COMPUTED_VALUE"""),43411.0)</f>
        <v>43411</v>
      </c>
      <c r="C7" s="115">
        <f>IFERROR(__xludf.DUMMYFUNCTION("""COMPUTED_VALUE"""),43453.0)</f>
        <v>43453</v>
      </c>
      <c r="D7" s="55" t="str">
        <f>IFERROR(__xludf.DUMMYFUNCTION("""COMPUTED_VALUE"""),"Yes")</f>
        <v>Yes</v>
      </c>
      <c r="E7" s="55" t="str">
        <f>IFERROR(__xludf.DUMMYFUNCTION("""COMPUTED_VALUE"""),"Yes")</f>
        <v>Yes</v>
      </c>
      <c r="F7" s="55" t="str">
        <f>IFERROR(__xludf.DUMMYFUNCTION("""COMPUTED_VALUE"""),"Dosage Sensitivity")</f>
        <v>Dosage Sensitivity</v>
      </c>
      <c r="G7" t="str">
        <f>IFERROR(__xludf.DUMMYFUNCTION("""COMPUTED_VALUE"""),"")</f>
        <v/>
      </c>
      <c r="H7" t="str">
        <f>IFERROR(__xludf.DUMMYFUNCTION("""COMPUTED_VALUE"""),"George Burghel")</f>
        <v>George Burghel</v>
      </c>
      <c r="I7" t="str">
        <f>IFERROR(__xludf.DUMMYFUNCTION("""COMPUTED_VALUE"""),"george.burghel@mft.nhs.uk")</f>
        <v>george.burghel@mft.nhs.uk</v>
      </c>
      <c r="J7" s="55" t="str">
        <f>IFERROR(__xludf.DUMMYFUNCTION("""COMPUTED_VALUE"""),"Comprehensive")</f>
        <v>Comprehensive</v>
      </c>
      <c r="K7" t="str">
        <f>IFERROR(__xludf.DUMMYFUNCTION("""COMPUTED_VALUE"""),"Experience with Dosage sensistivy but not curation. ")</f>
        <v>Experience with Dosage sensistivy but not curation. </v>
      </c>
    </row>
    <row r="8">
      <c r="A8" t="str">
        <f>IFERROR(__xludf.DUMMYFUNCTION("""COMPUTED_VALUE"""),"Assigned")</f>
        <v>Assigned</v>
      </c>
      <c r="B8" s="115">
        <f>IFERROR(__xludf.DUMMYFUNCTION("""COMPUTED_VALUE"""),43430.0)</f>
        <v>43430</v>
      </c>
      <c r="C8" s="115">
        <f>IFERROR(__xludf.DUMMYFUNCTION("""COMPUTED_VALUE"""),43453.0)</f>
        <v>43453</v>
      </c>
      <c r="D8" s="55" t="str">
        <f>IFERROR(__xludf.DUMMYFUNCTION("""COMPUTED_VALUE"""),"Yes")</f>
        <v>Yes</v>
      </c>
      <c r="E8" s="55" t="str">
        <f>IFERROR(__xludf.DUMMYFUNCTION("""COMPUTED_VALUE"""),"Yes")</f>
        <v>Yes</v>
      </c>
      <c r="F8" s="55" t="str">
        <f>IFERROR(__xludf.DUMMYFUNCTION("""COMPUTED_VALUE"""),"Dosage Sensitivity")</f>
        <v>Dosage Sensitivity</v>
      </c>
      <c r="G8" t="str">
        <f>IFERROR(__xludf.DUMMYFUNCTION("""COMPUTED_VALUE"""),"")</f>
        <v/>
      </c>
      <c r="H8" t="str">
        <f>IFERROR(__xludf.DUMMYFUNCTION("""COMPUTED_VALUE"""),"Coumarane Mani")</f>
        <v>Coumarane Mani</v>
      </c>
      <c r="I8" t="str">
        <f>IFERROR(__xludf.DUMMYFUNCTION("""COMPUTED_VALUE"""),"coumarane.mani@aruplab.com")</f>
        <v>coumarane.mani@aruplab.com</v>
      </c>
      <c r="J8" s="55" t="str">
        <f>IFERROR(__xludf.DUMMYFUNCTION("""COMPUTED_VALUE"""),"Comprehensive")</f>
        <v>Comprehensive</v>
      </c>
      <c r="K8" t="str">
        <f>IFERROR(__xludf.DUMMYFUNCTION("""COMPUTED_VALUE"""),"1. Somatic/Germline Variant Curation Group 2. Myeloid Malignancy Variant Curation Expert Panel")</f>
        <v>1. Somatic/Germline Variant Curation Group 2. Myeloid Malignancy Variant Curation Expert Panel</v>
      </c>
    </row>
    <row r="9">
      <c r="A9" t="str">
        <f>IFERROR(__xludf.DUMMYFUNCTION("""COMPUTED_VALUE"""),"Assigned")</f>
        <v>Assigned</v>
      </c>
      <c r="B9" t="str">
        <f>IFERROR(__xludf.DUMMYFUNCTION("""COMPUTED_VALUE"""),"")</f>
        <v/>
      </c>
      <c r="C9" s="115">
        <f>IFERROR(__xludf.DUMMYFUNCTION("""COMPUTED_VALUE"""),43453.0)</f>
        <v>43453</v>
      </c>
      <c r="D9" s="55" t="str">
        <f>IFERROR(__xludf.DUMMYFUNCTION("""COMPUTED_VALUE"""),"Yes")</f>
        <v>Yes</v>
      </c>
      <c r="E9" s="55" t="str">
        <f>IFERROR(__xludf.DUMMYFUNCTION("""COMPUTED_VALUE"""),"Yes")</f>
        <v>Yes</v>
      </c>
      <c r="F9" s="55" t="str">
        <f>IFERROR(__xludf.DUMMYFUNCTION("""COMPUTED_VALUE"""),"Dosage Sensitivity")</f>
        <v>Dosage Sensitivity</v>
      </c>
      <c r="G9" t="str">
        <f>IFERROR(__xludf.DUMMYFUNCTION("""COMPUTED_VALUE"""),"")</f>
        <v/>
      </c>
      <c r="H9" t="str">
        <f>IFERROR(__xludf.DUMMYFUNCTION("""COMPUTED_VALUE"""),"Mahesh Iddawela")</f>
        <v>Mahesh Iddawela</v>
      </c>
      <c r="I9" t="str">
        <f>IFERROR(__xludf.DUMMYFUNCTION("""COMPUTED_VALUE"""),"mahesh.iddawela@monash.edu")</f>
        <v>mahesh.iddawela@monash.edu</v>
      </c>
      <c r="J9" s="55" t="str">
        <f>IFERROR(__xludf.DUMMYFUNCTION("""COMPUTED_VALUE"""),"Comprehensive")</f>
        <v>Comprehensive</v>
      </c>
      <c r="K9" t="str">
        <f>IFERROR(__xludf.DUMMYFUNCTION("""COMPUTED_VALUE"""),"Somatic Cancer (TP53), Breast/Ovarian cancer")</f>
        <v>Somatic Cancer (TP53), Breast/Ovarian cancer</v>
      </c>
    </row>
    <row r="10">
      <c r="A10" t="str">
        <f>IFERROR(__xludf.DUMMYFUNCTION("""COMPUTED_VALUE"""),"Assigned")</f>
        <v>Assigned</v>
      </c>
      <c r="B10" t="str">
        <f>IFERROR(__xludf.DUMMYFUNCTION("""COMPUTED_VALUE"""),"")</f>
        <v/>
      </c>
      <c r="C10" s="115">
        <f>IFERROR(__xludf.DUMMYFUNCTION("""COMPUTED_VALUE"""),43453.0)</f>
        <v>43453</v>
      </c>
      <c r="D10" s="55" t="str">
        <f>IFERROR(__xludf.DUMMYFUNCTION("""COMPUTED_VALUE"""),"Yes")</f>
        <v>Yes</v>
      </c>
      <c r="E10" s="55" t="str">
        <f>IFERROR(__xludf.DUMMYFUNCTION("""COMPUTED_VALUE"""),"Yes")</f>
        <v>Yes</v>
      </c>
      <c r="F10" s="55" t="str">
        <f>IFERROR(__xludf.DUMMYFUNCTION("""COMPUTED_VALUE"""),"Dosage Sensitivity")</f>
        <v>Dosage Sensitivity</v>
      </c>
      <c r="G10" t="str">
        <f>IFERROR(__xludf.DUMMYFUNCTION("""COMPUTED_VALUE"""),"")</f>
        <v/>
      </c>
      <c r="H10" t="str">
        <f>IFERROR(__xludf.DUMMYFUNCTION("""COMPUTED_VALUE"""),"Diogo Ventura Lovato")</f>
        <v>Diogo Ventura Lovato</v>
      </c>
      <c r="I10" t="str">
        <f>IFERROR(__xludf.DUMMYFUNCTION("""COMPUTED_VALUE"""),"diogo.v.lovato@gmail.com")</f>
        <v>diogo.v.lovato@gmail.com</v>
      </c>
      <c r="J10" s="55" t="str">
        <f>IFERROR(__xludf.DUMMYFUNCTION("""COMPUTED_VALUE"""),"Comprehensive")</f>
        <v>Comprehensive</v>
      </c>
      <c r="K10" t="str">
        <f>IFERROR(__xludf.DUMMYFUNCTION("""COMPUTED_VALUE"""),"Autism and Intellectual Disability, Epilepsy")</f>
        <v>Autism and Intellectual Disability, Epilepsy</v>
      </c>
    </row>
    <row r="11">
      <c r="A11" t="str">
        <f>IFERROR(__xludf.DUMMYFUNCTION("""COMPUTED_VALUE"""),"Unresponsive")</f>
        <v>Unresponsive</v>
      </c>
      <c r="B11" s="114">
        <f>IFERROR(__xludf.DUMMYFUNCTION("""COMPUTED_VALUE"""),43109.0)</f>
        <v>43109</v>
      </c>
      <c r="C11" t="str">
        <f>IFERROR(__xludf.DUMMYFUNCTION("""COMPUTED_VALUE"""),"")</f>
        <v/>
      </c>
      <c r="D11" s="55" t="str">
        <f>IFERROR(__xludf.DUMMYFUNCTION("""COMPUTED_VALUE"""),"No")</f>
        <v>No</v>
      </c>
      <c r="E11" s="55" t="str">
        <f>IFERROR(__xludf.DUMMYFUNCTION("""COMPUTED_VALUE"""),"No")</f>
        <v>No</v>
      </c>
      <c r="F11" s="55" t="str">
        <f>IFERROR(__xludf.DUMMYFUNCTION("""COMPUTED_VALUE"""),"Dosage Sensitivity")</f>
        <v>Dosage Sensitivity</v>
      </c>
      <c r="G11" t="str">
        <f>IFERROR(__xludf.DUMMYFUNCTION("""COMPUTED_VALUE"""),"")</f>
        <v/>
      </c>
      <c r="H11" t="str">
        <f>IFERROR(__xludf.DUMMYFUNCTION("""COMPUTED_VALUE"""),"Jenna Guiltinan")</f>
        <v>Jenna Guiltinan</v>
      </c>
      <c r="I11" t="str">
        <f>IFERROR(__xludf.DUMMYFUNCTION("""COMPUTED_VALUE"""),"jenna.guiltinan@invitae.com")</f>
        <v>jenna.guiltinan@invitae.com</v>
      </c>
      <c r="J11" s="55" t="str">
        <f>IFERROR(__xludf.DUMMYFUNCTION("""COMPUTED_VALUE"""),"Comprehensive")</f>
        <v>Comprehensive</v>
      </c>
      <c r="K11" t="str">
        <f>IFERROR(__xludf.DUMMYFUNCTION("""COMPUTED_VALUE"""),"Dosage- Hereditary Cancer sounds the most interesting to me, but any of the dosage sensitivity working groups would be great!")</f>
        <v>Dosage- Hereditary Cancer sounds the most interesting to me, but any of the dosage sensitivity working groups would be great!</v>
      </c>
    </row>
    <row r="12">
      <c r="A12" t="str">
        <f>IFERROR(__xludf.DUMMYFUNCTION("""COMPUTED_VALUE"""),"Contacted")</f>
        <v>Contacted</v>
      </c>
      <c r="B12" t="str">
        <f>IFERROR(__xludf.DUMMYFUNCTION("""COMPUTED_VALUE"""),"")</f>
        <v/>
      </c>
      <c r="C12" s="113">
        <f>IFERROR(__xludf.DUMMYFUNCTION("""COMPUTED_VALUE"""),43580.0)</f>
        <v>43580</v>
      </c>
      <c r="D12" s="55" t="str">
        <f>IFERROR(__xludf.DUMMYFUNCTION("""COMPUTED_VALUE"""),"Yes")</f>
        <v>Yes</v>
      </c>
      <c r="E12" s="55" t="str">
        <f>IFERROR(__xludf.DUMMYFUNCTION("""COMPUTED_VALUE"""),"Yes")</f>
        <v>Yes</v>
      </c>
      <c r="F12" s="55" t="str">
        <f>IFERROR(__xludf.DUMMYFUNCTION("""COMPUTED_VALUE"""),"Dosage Sensitivity")</f>
        <v>Dosage Sensitivity</v>
      </c>
      <c r="G12" t="str">
        <f>IFERROR(__xludf.DUMMYFUNCTION("""COMPUTED_VALUE"""),"")</f>
        <v/>
      </c>
      <c r="H12" t="str">
        <f>IFERROR(__xludf.DUMMYFUNCTION("""COMPUTED_VALUE"""),"Nan Jiang")</f>
        <v>Nan Jiang</v>
      </c>
      <c r="I12" t="str">
        <f>IFERROR(__xludf.DUMMYFUNCTION("""COMPUTED_VALUE"""),"naj018@ucsd.edu")</f>
        <v>naj018@ucsd.edu</v>
      </c>
      <c r="J12" s="55" t="str">
        <f>IFERROR(__xludf.DUMMYFUNCTION("""COMPUTED_VALUE"""),"Comprehensive")</f>
        <v>Comprehensive</v>
      </c>
      <c r="K12" t="str">
        <f>IFERROR(__xludf.DUMMYFUNCTION("""COMPUTED_VALUE"""),"I am particularly interested in the variant and gene curation expert panels under dosage sensitivity working group. ")</f>
        <v>I am particularly interested in the variant and gene curation expert panels under dosage sensitivity working group. </v>
      </c>
    </row>
    <row r="13" ht="18.0" customHeight="1">
      <c r="A13" t="str">
        <f>IFERROR(__xludf.DUMMYFUNCTION("""COMPUTED_VALUE"""),"Unresponsive")</f>
        <v>Unresponsive</v>
      </c>
      <c r="B13" t="str">
        <f>IFERROR(__xludf.DUMMYFUNCTION("""COMPUTED_VALUE"""),"")</f>
        <v/>
      </c>
      <c r="C13" t="str">
        <f>IFERROR(__xludf.DUMMYFUNCTION("""COMPUTED_VALUE"""),"")</f>
        <v/>
      </c>
      <c r="D13" s="55" t="str">
        <f>IFERROR(__xludf.DUMMYFUNCTION("""COMPUTED_VALUE"""),"No")</f>
        <v>No</v>
      </c>
      <c r="E13" s="55" t="str">
        <f>IFERROR(__xludf.DUMMYFUNCTION("""COMPUTED_VALUE"""),"No")</f>
        <v>No</v>
      </c>
      <c r="F13" s="55" t="str">
        <f>IFERROR(__xludf.DUMMYFUNCTION("""COMPUTED_VALUE"""),"Dosage Sensitivity")</f>
        <v>Dosage Sensitivity</v>
      </c>
      <c r="G13" t="str">
        <f>IFERROR(__xludf.DUMMYFUNCTION("""COMPUTED_VALUE"""),"")</f>
        <v/>
      </c>
      <c r="H13" t="str">
        <f>IFERROR(__xludf.DUMMYFUNCTION("""COMPUTED_VALUE"""),"Elizabeth Spiteri")</f>
        <v>Elizabeth Spiteri</v>
      </c>
      <c r="I13" t="str">
        <f>IFERROR(__xludf.DUMMYFUNCTION("""COMPUTED_VALUE"""),"espiteri@gmail.com")</f>
        <v>espiteri@gmail.com</v>
      </c>
      <c r="J13" s="55" t="str">
        <f>IFERROR(__xludf.DUMMYFUNCTION("""COMPUTED_VALUE"""),"Comprehensive")</f>
        <v>Comprehensive</v>
      </c>
      <c r="K13" t="str">
        <f>IFERROR(__xludf.DUMMYFUNCTION("""COMPUTED_VALUE"""),"In addition to the somatic panel curation I would also be interested in Breast/Ovarian or Colon Cancer Expert panels ")</f>
        <v>In addition to the somatic panel curation I would also be interested in Breast/Ovarian or Colon Cancer Expert panels </v>
      </c>
    </row>
    <row r="14">
      <c r="A14" t="str">
        <f>IFERROR(__xludf.DUMMYFUNCTION("""COMPUTED_VALUE"""),"Unresponsive")</f>
        <v>Unresponsive</v>
      </c>
      <c r="B14" t="str">
        <f>IFERROR(__xludf.DUMMYFUNCTION("""COMPUTED_VALUE"""),"")</f>
        <v/>
      </c>
      <c r="C14" t="str">
        <f>IFERROR(__xludf.DUMMYFUNCTION("""COMPUTED_VALUE"""),"")</f>
        <v/>
      </c>
      <c r="D14" s="55" t="str">
        <f>IFERROR(__xludf.DUMMYFUNCTION("""COMPUTED_VALUE"""),"No")</f>
        <v>No</v>
      </c>
      <c r="E14" s="55" t="str">
        <f>IFERROR(__xludf.DUMMYFUNCTION("""COMPUTED_VALUE"""),"No")</f>
        <v>No</v>
      </c>
      <c r="F14" s="55" t="str">
        <f>IFERROR(__xludf.DUMMYFUNCTION("""COMPUTED_VALUE"""),"Dosage Sensitivity")</f>
        <v>Dosage Sensitivity</v>
      </c>
      <c r="G14" t="str">
        <f>IFERROR(__xludf.DUMMYFUNCTION("""COMPUTED_VALUE"""),"")</f>
        <v/>
      </c>
      <c r="H14" t="str">
        <f>IFERROR(__xludf.DUMMYFUNCTION("""COMPUTED_VALUE"""),"Hafsa Amtul")</f>
        <v>Hafsa Amtul</v>
      </c>
      <c r="I14" t="str">
        <f>IFERROR(__xludf.DUMMYFUNCTION("""COMPUTED_VALUE"""),"hafsa.amtul2502@gmail.com")</f>
        <v>hafsa.amtul2502@gmail.com</v>
      </c>
      <c r="J14" s="55" t="str">
        <f>IFERROR(__xludf.DUMMYFUNCTION("""COMPUTED_VALUE"""),"Comprehensive")</f>
        <v>Comprehensive</v>
      </c>
      <c r="K14" t="str">
        <f>IFERROR(__xludf.DUMMYFUNCTION("""COMPUTED_VALUE"""),"Dosage- Neurodevelopemental, Pediatric, Nonsmall cell lung cancer, 
Somatic TP53 ")</f>
        <v>Dosage- Neurodevelopemental, Pediatric, Nonsmall cell lung cancer, 
Somatic TP53 </v>
      </c>
    </row>
    <row r="15">
      <c r="A15" t="str">
        <f>IFERROR(__xludf.DUMMYFUNCTION("""COMPUTED_VALUE"""),"Contacted")</f>
        <v>Contacted</v>
      </c>
      <c r="B15" t="str">
        <f>IFERROR(__xludf.DUMMYFUNCTION("""COMPUTED_VALUE"""),"")</f>
        <v/>
      </c>
      <c r="C15" s="113">
        <f>IFERROR(__xludf.DUMMYFUNCTION("""COMPUTED_VALUE"""),43580.0)</f>
        <v>43580</v>
      </c>
      <c r="D15" s="55" t="str">
        <f>IFERROR(__xludf.DUMMYFUNCTION("""COMPUTED_VALUE"""),"Yes")</f>
        <v>Yes</v>
      </c>
      <c r="E15" s="55" t="str">
        <f>IFERROR(__xludf.DUMMYFUNCTION("""COMPUTED_VALUE"""),"Yes")</f>
        <v>Yes</v>
      </c>
      <c r="F15" s="55" t="str">
        <f>IFERROR(__xludf.DUMMYFUNCTION("""COMPUTED_VALUE"""),"Dosage Sensitivity")</f>
        <v>Dosage Sensitivity</v>
      </c>
      <c r="G15" t="str">
        <f>IFERROR(__xludf.DUMMYFUNCTION("""COMPUTED_VALUE"""),"")</f>
        <v/>
      </c>
      <c r="H15" t="str">
        <f>IFERROR(__xludf.DUMMYFUNCTION("""COMPUTED_VALUE"""),"Christine Preston")</f>
        <v>Christine Preston</v>
      </c>
      <c r="I15" t="str">
        <f>IFERROR(__xludf.DUMMYFUNCTION("""COMPUTED_VALUE"""),"christip@stanford.edu")</f>
        <v>christip@stanford.edu</v>
      </c>
      <c r="J15" s="55" t="str">
        <f>IFERROR(__xludf.DUMMYFUNCTION("""COMPUTED_VALUE"""),"Comprehensive")</f>
        <v>Comprehensive</v>
      </c>
      <c r="K15" t="str">
        <f>IFERROR(__xludf.DUMMYFUNCTION("""COMPUTED_VALUE"""),"Dosage Sensitivity Working Group")</f>
        <v>Dosage Sensitivity Working Group</v>
      </c>
    </row>
    <row r="16">
      <c r="A16" t="str">
        <f>IFERROR(__xludf.DUMMYFUNCTION("""COMPUTED_VALUE"""),"Unassigned")</f>
        <v>Unassigned</v>
      </c>
      <c r="B16" t="str">
        <f>IFERROR(__xludf.DUMMYFUNCTION("""COMPUTED_VALUE"""),"")</f>
        <v/>
      </c>
      <c r="C16" t="str">
        <f>IFERROR(__xludf.DUMMYFUNCTION("""COMPUTED_VALUE"""),"")</f>
        <v/>
      </c>
      <c r="D16" s="55" t="str">
        <f>IFERROR(__xludf.DUMMYFUNCTION("""COMPUTED_VALUE"""),"")</f>
        <v/>
      </c>
      <c r="E16" s="55" t="str">
        <f>IFERROR(__xludf.DUMMYFUNCTION("""COMPUTED_VALUE"""),"No")</f>
        <v>No</v>
      </c>
      <c r="F16" s="55" t="str">
        <f>IFERROR(__xludf.DUMMYFUNCTION("""COMPUTED_VALUE"""),"Baseline")</f>
        <v>Baseline</v>
      </c>
      <c r="G16" t="str">
        <f>IFERROR(__xludf.DUMMYFUNCTION("""COMPUTED_VALUE"""),"")</f>
        <v/>
      </c>
      <c r="H16" t="str">
        <f>IFERROR(__xludf.DUMMYFUNCTION("""COMPUTED_VALUE"""),"Michelle Paczosa")</f>
        <v>Michelle Paczosa</v>
      </c>
      <c r="I16" t="str">
        <f>IFERROR(__xludf.DUMMYFUNCTION("""COMPUTED_VALUE"""),"Michelle.K.Paczosa@questdiagnostics.com")</f>
        <v>Michelle.K.Paczosa@questdiagnostics.com</v>
      </c>
      <c r="J16" s="55" t="str">
        <f>IFERROR(__xludf.DUMMYFUNCTION("""COMPUTED_VALUE"""),"Comprehensive")</f>
        <v>Comprehensive</v>
      </c>
      <c r="K16" t="str">
        <f>IFERROR(__xludf.DUMMYFUNCTION("""COMPUTED_VALUE"""),"1. Recurrent 2. Neurodevelopmental 3. Cancer 4. Mitochondrial 5.Hereditary Cancer 6. Monogenic Diabetes")</f>
        <v>1. Recurrent 2. Neurodevelopmental 3. Cancer 4. Mitochondrial 5.Hereditary Cancer 6. Monogenic Diabetes</v>
      </c>
    </row>
    <row r="17">
      <c r="A17" t="str">
        <f>IFERROR(__xludf.DUMMYFUNCTION("""COMPUTED_VALUE"""),"Unassigned")</f>
        <v>Unassigned</v>
      </c>
      <c r="B17" t="str">
        <f>IFERROR(__xludf.DUMMYFUNCTION("""COMPUTED_VALUE"""),"")</f>
        <v/>
      </c>
      <c r="C17" t="str">
        <f>IFERROR(__xludf.DUMMYFUNCTION("""COMPUTED_VALUE"""),"")</f>
        <v/>
      </c>
      <c r="D17" s="55" t="str">
        <f>IFERROR(__xludf.DUMMYFUNCTION("""COMPUTED_VALUE"""),"")</f>
        <v/>
      </c>
      <c r="E17" s="55" t="str">
        <f>IFERROR(__xludf.DUMMYFUNCTION("""COMPUTED_VALUE"""),"No")</f>
        <v>No</v>
      </c>
      <c r="F17" s="55" t="str">
        <f>IFERROR(__xludf.DUMMYFUNCTION("""COMPUTED_VALUE"""),"Dosage Sensitivity")</f>
        <v>Dosage Sensitivity</v>
      </c>
      <c r="G17" t="str">
        <f>IFERROR(__xludf.DUMMYFUNCTION("""COMPUTED_VALUE"""),"")</f>
        <v/>
      </c>
      <c r="H17" t="str">
        <f>IFERROR(__xludf.DUMMYFUNCTION("""COMPUTED_VALUE"""),"Laura Sack")</f>
        <v>Laura Sack</v>
      </c>
      <c r="I17" t="str">
        <f>IFERROR(__xludf.DUMMYFUNCTION("""COMPUTED_VALUE"""),"laura@sack.io")</f>
        <v>laura@sack.io</v>
      </c>
      <c r="J17" s="55" t="str">
        <f>IFERROR(__xludf.DUMMYFUNCTION("""COMPUTED_VALUE"""),"Comprehensive")</f>
        <v>Comprehensive</v>
      </c>
      <c r="K17" t="str">
        <f>IFERROR(__xludf.DUMMYFUNCTION("""COMPUTED_VALUE"""),"Dosage-Recurrent Regions, Dosage- Neurodevelopemental, Hereditary Cancer, Intellectual Disability and Autism, Epilepsy")</f>
        <v>Dosage-Recurrent Regions, Dosage- Neurodevelopemental, Hereditary Cancer, Intellectual Disability and Autism, Epilepsy</v>
      </c>
    </row>
    <row r="18">
      <c r="A18" t="str">
        <f>IFERROR(__xludf.DUMMYFUNCTION("""COMPUTED_VALUE"""),"Unassigned")</f>
        <v>Unassigned</v>
      </c>
      <c r="B18" t="str">
        <f>IFERROR(__xludf.DUMMYFUNCTION("""COMPUTED_VALUE"""),"")</f>
        <v/>
      </c>
      <c r="C18" t="str">
        <f>IFERROR(__xludf.DUMMYFUNCTION("""COMPUTED_VALUE"""),"")</f>
        <v/>
      </c>
      <c r="D18" s="55" t="str">
        <f>IFERROR(__xludf.DUMMYFUNCTION("""COMPUTED_VALUE"""),"")</f>
        <v/>
      </c>
      <c r="E18" s="55" t="str">
        <f>IFERROR(__xludf.DUMMYFUNCTION("""COMPUTED_VALUE"""),"No")</f>
        <v>No</v>
      </c>
      <c r="F18" s="55" t="str">
        <f>IFERROR(__xludf.DUMMYFUNCTION("""COMPUTED_VALUE"""),"Dosage Sensitivity")</f>
        <v>Dosage Sensitivity</v>
      </c>
      <c r="G18" t="str">
        <f>IFERROR(__xludf.DUMMYFUNCTION("""COMPUTED_VALUE"""),"")</f>
        <v/>
      </c>
      <c r="H18" t="str">
        <f>IFERROR(__xludf.DUMMYFUNCTION("""COMPUTED_VALUE"""),"Niroshi Senaratne")</f>
        <v>Niroshi Senaratne</v>
      </c>
      <c r="I18" t="str">
        <f>IFERROR(__xludf.DUMMYFUNCTION("""COMPUTED_VALUE"""),"niroshi.senaratne@gmail.com")</f>
        <v>niroshi.senaratne@gmail.com</v>
      </c>
      <c r="J18" s="55" t="str">
        <f>IFERROR(__xludf.DUMMYFUNCTION("""COMPUTED_VALUE"""),"Comprehensive")</f>
        <v>Comprehensive</v>
      </c>
      <c r="K18" t="str">
        <f>IFERROR(__xludf.DUMMYFUNCTION("""COMPUTED_VALUE"""),"Dosage sensitivity (neurodevelopmental genes subgroup)")</f>
        <v>Dosage sensitivity (neurodevelopmental genes subgroup)</v>
      </c>
    </row>
    <row r="19">
      <c r="A19" t="str">
        <f>IFERROR(__xludf.DUMMYFUNCTION("""COMPUTED_VALUE"""),"Unassigned")</f>
        <v>Unassigned</v>
      </c>
      <c r="B19" t="str">
        <f>IFERROR(__xludf.DUMMYFUNCTION("""COMPUTED_VALUE"""),"")</f>
        <v/>
      </c>
      <c r="C19" t="str">
        <f>IFERROR(__xludf.DUMMYFUNCTION("""COMPUTED_VALUE"""),"")</f>
        <v/>
      </c>
      <c r="D19" s="55" t="str">
        <f>IFERROR(__xludf.DUMMYFUNCTION("""COMPUTED_VALUE"""),"")</f>
        <v/>
      </c>
      <c r="E19" s="55" t="str">
        <f>IFERROR(__xludf.DUMMYFUNCTION("""COMPUTED_VALUE"""),"No")</f>
        <v>No</v>
      </c>
      <c r="F19" s="55" t="str">
        <f>IFERROR(__xludf.DUMMYFUNCTION("""COMPUTED_VALUE"""),"Dosage Sensitivity")</f>
        <v>Dosage Sensitivity</v>
      </c>
      <c r="G19" t="str">
        <f>IFERROR(__xludf.DUMMYFUNCTION("""COMPUTED_VALUE"""),"")</f>
        <v/>
      </c>
      <c r="H19" t="str">
        <f>IFERROR(__xludf.DUMMYFUNCTION("""COMPUTED_VALUE"""),"Ankita Patel")</f>
        <v>Ankita Patel</v>
      </c>
      <c r="I19" t="str">
        <f>IFERROR(__xludf.DUMMYFUNCTION("""COMPUTED_VALUE"""),"aspatel1@yahoo.com")</f>
        <v>aspatel1@yahoo.com</v>
      </c>
      <c r="J19" s="55" t="str">
        <f>IFERROR(__xludf.DUMMYFUNCTION("""COMPUTED_VALUE"""),"Comprehensive")</f>
        <v>Comprehensive</v>
      </c>
      <c r="K19" t="str">
        <f>IFERROR(__xludf.DUMMYFUNCTION("""COMPUTED_VALUE"""),"no- can owrk on where there is need")</f>
        <v>no- can owrk on where there is need</v>
      </c>
    </row>
    <row r="20">
      <c r="A20" t="str">
        <f>IFERROR(__xludf.DUMMYFUNCTION("""COMPUTED_VALUE"""),"Unassigned")</f>
        <v>Unassigned</v>
      </c>
      <c r="B20" t="str">
        <f>IFERROR(__xludf.DUMMYFUNCTION("""COMPUTED_VALUE"""),"")</f>
        <v/>
      </c>
      <c r="C20" t="str">
        <f>IFERROR(__xludf.DUMMYFUNCTION("""COMPUTED_VALUE"""),"")</f>
        <v/>
      </c>
      <c r="D20" s="55" t="str">
        <f>IFERROR(__xludf.DUMMYFUNCTION("""COMPUTED_VALUE"""),"")</f>
        <v/>
      </c>
      <c r="E20" s="55" t="str">
        <f>IFERROR(__xludf.DUMMYFUNCTION("""COMPUTED_VALUE"""),"No")</f>
        <v>No</v>
      </c>
      <c r="F20" s="55" t="str">
        <f>IFERROR(__xludf.DUMMYFUNCTION("""COMPUTED_VALUE"""),"NA")</f>
        <v>NA</v>
      </c>
      <c r="G20" t="str">
        <f>IFERROR(__xludf.DUMMYFUNCTION("""COMPUTED_VALUE"""),"")</f>
        <v/>
      </c>
      <c r="H20" t="str">
        <f>IFERROR(__xludf.DUMMYFUNCTION("""COMPUTED_VALUE"""),"Cassandra Barrett")</f>
        <v>Cassandra Barrett</v>
      </c>
      <c r="I20" t="str">
        <f>IFERROR(__xludf.DUMMYFUNCTION("""COMPUTED_VALUE"""),"cas9bar@gmail.com")</f>
        <v>cas9bar@gmail.com</v>
      </c>
      <c r="J20" s="55" t="str">
        <f>IFERROR(__xludf.DUMMYFUNCTION("""COMPUTED_VALUE"""),"Comprehensive")</f>
        <v>Comprehensive</v>
      </c>
      <c r="K20" t="str">
        <f>IFERROR(__xludf.DUMMYFUNCTION("""COMPUTED_VALUE"""),"")</f>
        <v/>
      </c>
    </row>
    <row r="21">
      <c r="A21" t="str">
        <f>IFERROR(__xludf.DUMMYFUNCTION("""COMPUTED_VALUE"""),"Unassigned")</f>
        <v>Unassigned</v>
      </c>
      <c r="B21" t="str">
        <f>IFERROR(__xludf.DUMMYFUNCTION("""COMPUTED_VALUE"""),"")</f>
        <v/>
      </c>
      <c r="C21" t="str">
        <f>IFERROR(__xludf.DUMMYFUNCTION("""COMPUTED_VALUE"""),"")</f>
        <v/>
      </c>
      <c r="D21" s="55" t="str">
        <f>IFERROR(__xludf.DUMMYFUNCTION("""COMPUTED_VALUE"""),"")</f>
        <v/>
      </c>
      <c r="E21" s="55" t="str">
        <f>IFERROR(__xludf.DUMMYFUNCTION("""COMPUTED_VALUE"""),"No")</f>
        <v>No</v>
      </c>
      <c r="F21" s="55" t="str">
        <f>IFERROR(__xludf.DUMMYFUNCTION("""COMPUTED_VALUE"""),"NA")</f>
        <v>NA</v>
      </c>
      <c r="G21" t="str">
        <f>IFERROR(__xludf.DUMMYFUNCTION("""COMPUTED_VALUE"""),"")</f>
        <v/>
      </c>
      <c r="H21" t="str">
        <f>IFERROR(__xludf.DUMMYFUNCTION("""COMPUTED_VALUE"""),"Ekaterini Iordanou")</f>
        <v>Ekaterini Iordanou</v>
      </c>
      <c r="I21" t="str">
        <f>IFERROR(__xludf.DUMMYFUNCTION("""COMPUTED_VALUE"""),"iordanoue@childrensdayton.org")</f>
        <v>iordanoue@childrensdayton.org</v>
      </c>
      <c r="J21" s="55" t="str">
        <f>IFERROR(__xludf.DUMMYFUNCTION("""COMPUTED_VALUE"""),"Comprehensive")</f>
        <v>Comprehensive</v>
      </c>
      <c r="K21" t="str">
        <f>IFERROR(__xludf.DUMMYFUNCTION("""COMPUTED_VALUE"""),"")</f>
        <v/>
      </c>
    </row>
    <row r="22">
      <c r="A22" t="str">
        <f>IFERROR(__xludf.DUMMYFUNCTION("""COMPUTED_VALUE"""),"Unassigned")</f>
        <v>Unassigned</v>
      </c>
      <c r="B22" t="str">
        <f>IFERROR(__xludf.DUMMYFUNCTION("""COMPUTED_VALUE"""),"")</f>
        <v/>
      </c>
      <c r="C22" t="str">
        <f>IFERROR(__xludf.DUMMYFUNCTION("""COMPUTED_VALUE"""),"")</f>
        <v/>
      </c>
      <c r="D22" s="55" t="str">
        <f>IFERROR(__xludf.DUMMYFUNCTION("""COMPUTED_VALUE"""),"")</f>
        <v/>
      </c>
      <c r="E22" s="55" t="str">
        <f>IFERROR(__xludf.DUMMYFUNCTION("""COMPUTED_VALUE"""),"No")</f>
        <v>No</v>
      </c>
      <c r="F22" s="55" t="str">
        <f>IFERROR(__xludf.DUMMYFUNCTION("""COMPUTED_VALUE"""),"NA")</f>
        <v>NA</v>
      </c>
      <c r="G22" t="str">
        <f>IFERROR(__xludf.DUMMYFUNCTION("""COMPUTED_VALUE"""),"")</f>
        <v/>
      </c>
      <c r="H22" t="str">
        <f>IFERROR(__xludf.DUMMYFUNCTION("""COMPUTED_VALUE"""),"Benjamin Clyde")</f>
        <v>Benjamin Clyde</v>
      </c>
      <c r="I22" t="str">
        <f>IFERROR(__xludf.DUMMYFUNCTION("""COMPUTED_VALUE"""),"benjamin.clyde@aruplab.com")</f>
        <v>benjamin.clyde@aruplab.com</v>
      </c>
      <c r="J22" s="55" t="str">
        <f>IFERROR(__xludf.DUMMYFUNCTION("""COMPUTED_VALUE"""),"Comprehensive")</f>
        <v>Comprehensive</v>
      </c>
      <c r="K22" t="str">
        <f>IFERROR(__xludf.DUMMYFUNCTION("""COMPUTED_VALUE"""),"Hereditary Cancer Dosage Sensitivity Subgroup")</f>
        <v>Hereditary Cancer Dosage Sensitivity Subgroup</v>
      </c>
    </row>
    <row r="23">
      <c r="A23" t="str">
        <f>IFERROR(__xludf.DUMMYFUNCTION("""COMPUTED_VALUE"""),"Unassigned")</f>
        <v>Unassigned</v>
      </c>
      <c r="B23" t="str">
        <f>IFERROR(__xludf.DUMMYFUNCTION("""COMPUTED_VALUE"""),"")</f>
        <v/>
      </c>
      <c r="C23" t="str">
        <f>IFERROR(__xludf.DUMMYFUNCTION("""COMPUTED_VALUE"""),"")</f>
        <v/>
      </c>
      <c r="D23" s="55" t="str">
        <f>IFERROR(__xludf.DUMMYFUNCTION("""COMPUTED_VALUE"""),"")</f>
        <v/>
      </c>
      <c r="E23" s="55" t="str">
        <f>IFERROR(__xludf.DUMMYFUNCTION("""COMPUTED_VALUE"""),"No")</f>
        <v>No</v>
      </c>
      <c r="F23" s="55" t="str">
        <f>IFERROR(__xludf.DUMMYFUNCTION("""COMPUTED_VALUE"""),"NA")</f>
        <v>NA</v>
      </c>
      <c r="G23" t="str">
        <f>IFERROR(__xludf.DUMMYFUNCTION("""COMPUTED_VALUE"""),"")</f>
        <v/>
      </c>
      <c r="H23" t="str">
        <f>IFERROR(__xludf.DUMMYFUNCTION("""COMPUTED_VALUE"""),"Jaime Nagy")</f>
        <v>Jaime Nagy</v>
      </c>
      <c r="I23" t="str">
        <f>IFERROR(__xludf.DUMMYFUNCTION("""COMPUTED_VALUE"""),"jaime-nagy@uiowa.edu")</f>
        <v>jaime-nagy@uiowa.edu</v>
      </c>
      <c r="J23" s="55" t="str">
        <f>IFERROR(__xludf.DUMMYFUNCTION("""COMPUTED_VALUE"""),"Comprehensive")</f>
        <v>Comprehensive</v>
      </c>
      <c r="K23" t="str">
        <f>IFERROR(__xludf.DUMMYFUNCTION("""COMPUTED_VALUE"""),"Dosage Sensitivity working group")</f>
        <v>Dosage Sensitivity working group</v>
      </c>
    </row>
    <row r="24">
      <c r="D24" s="55"/>
      <c r="E24" s="55"/>
      <c r="F24" s="55"/>
      <c r="J24" s="55"/>
    </row>
    <row r="25">
      <c r="D25" s="55"/>
      <c r="E25" s="55"/>
      <c r="F25" s="55"/>
      <c r="J25" s="55"/>
    </row>
    <row r="26">
      <c r="D26" s="55"/>
      <c r="E26" s="55"/>
      <c r="F26" s="55"/>
      <c r="J26" s="55"/>
    </row>
    <row r="27">
      <c r="D27" s="55"/>
      <c r="E27" s="55"/>
      <c r="F27" s="55"/>
      <c r="J27" s="55"/>
    </row>
    <row r="28">
      <c r="D28" s="55"/>
      <c r="E28" s="55"/>
      <c r="F28" s="55"/>
      <c r="J28" s="55"/>
    </row>
    <row r="29">
      <c r="D29" s="55"/>
      <c r="E29" s="55"/>
      <c r="F29" s="55"/>
      <c r="J29" s="55"/>
    </row>
    <row r="30">
      <c r="D30" s="55"/>
      <c r="E30" s="55"/>
      <c r="F30" s="55"/>
      <c r="J30" s="55"/>
    </row>
    <row r="31">
      <c r="D31" s="55"/>
      <c r="E31" s="55"/>
      <c r="F31" s="55"/>
      <c r="J31" s="55"/>
    </row>
    <row r="32">
      <c r="D32" s="55"/>
      <c r="E32" s="55"/>
      <c r="F32" s="55"/>
      <c r="J32" s="55"/>
    </row>
    <row r="33">
      <c r="D33" s="55"/>
      <c r="E33" s="55"/>
      <c r="F33" s="55"/>
      <c r="J33" s="55"/>
    </row>
    <row r="34">
      <c r="D34" s="55"/>
      <c r="E34" s="55"/>
      <c r="F34" s="55"/>
      <c r="J34" s="55"/>
    </row>
    <row r="35">
      <c r="D35" s="55"/>
      <c r="E35" s="55"/>
      <c r="F35" s="55"/>
      <c r="J35" s="55"/>
    </row>
    <row r="36">
      <c r="D36" s="55"/>
      <c r="E36" s="55"/>
      <c r="F36" s="55"/>
      <c r="J36" s="55"/>
    </row>
    <row r="37">
      <c r="D37" s="55"/>
      <c r="E37" s="55"/>
      <c r="F37" s="55"/>
      <c r="J37" s="55"/>
    </row>
    <row r="38">
      <c r="D38" s="55"/>
      <c r="E38" s="55"/>
      <c r="F38" s="55"/>
      <c r="J38" s="55"/>
    </row>
    <row r="39">
      <c r="D39" s="55"/>
      <c r="E39" s="55"/>
      <c r="F39" s="55"/>
      <c r="J39" s="55"/>
    </row>
    <row r="40">
      <c r="D40" s="55"/>
      <c r="E40" s="55"/>
      <c r="F40" s="55"/>
      <c r="J40" s="55"/>
    </row>
    <row r="41">
      <c r="D41" s="55"/>
      <c r="E41" s="55"/>
      <c r="F41" s="55"/>
      <c r="J41" s="55"/>
    </row>
    <row r="42">
      <c r="D42" s="55"/>
      <c r="E42" s="55"/>
      <c r="F42" s="55"/>
      <c r="J42" s="55"/>
    </row>
    <row r="43">
      <c r="D43" s="55"/>
      <c r="E43" s="55"/>
      <c r="F43" s="55"/>
      <c r="J43" s="55"/>
    </row>
    <row r="44">
      <c r="D44" s="55"/>
      <c r="E44" s="55"/>
      <c r="F44" s="55"/>
      <c r="J44" s="55"/>
    </row>
    <row r="45">
      <c r="D45" s="55"/>
      <c r="E45" s="55"/>
      <c r="F45" s="55"/>
      <c r="J45" s="55"/>
    </row>
    <row r="46">
      <c r="D46" s="55"/>
      <c r="E46" s="55"/>
      <c r="F46" s="55"/>
      <c r="J46" s="55"/>
    </row>
    <row r="47">
      <c r="D47" s="55"/>
      <c r="E47" s="55"/>
      <c r="F47" s="55"/>
      <c r="J47" s="55"/>
    </row>
    <row r="48">
      <c r="D48" s="55"/>
      <c r="E48" s="55"/>
      <c r="F48" s="55"/>
      <c r="J48" s="55"/>
    </row>
    <row r="49">
      <c r="D49" s="55"/>
      <c r="E49" s="55"/>
      <c r="F49" s="55"/>
      <c r="J49" s="55"/>
    </row>
    <row r="50">
      <c r="D50" s="55"/>
      <c r="E50" s="55"/>
      <c r="F50" s="55"/>
      <c r="J50" s="55"/>
    </row>
    <row r="51">
      <c r="D51" s="55"/>
      <c r="E51" s="55"/>
      <c r="F51" s="55"/>
      <c r="J51" s="55"/>
    </row>
    <row r="52">
      <c r="D52" s="55"/>
      <c r="E52" s="55"/>
      <c r="F52" s="55"/>
      <c r="J52" s="55"/>
    </row>
    <row r="53">
      <c r="D53" s="55"/>
      <c r="E53" s="55"/>
      <c r="F53" s="55"/>
      <c r="J53" s="55"/>
    </row>
    <row r="54">
      <c r="D54" s="55"/>
      <c r="E54" s="55"/>
      <c r="F54" s="55"/>
      <c r="J54" s="55"/>
    </row>
    <row r="55">
      <c r="D55" s="55"/>
      <c r="E55" s="55"/>
      <c r="F55" s="55"/>
      <c r="J55" s="55"/>
    </row>
    <row r="56">
      <c r="D56" s="55"/>
      <c r="E56" s="55"/>
      <c r="F56" s="55"/>
      <c r="J56" s="55"/>
    </row>
    <row r="57">
      <c r="D57" s="55"/>
      <c r="E57" s="55"/>
      <c r="F57" s="55"/>
      <c r="J57" s="55"/>
    </row>
    <row r="58">
      <c r="D58" s="55"/>
      <c r="E58" s="55"/>
      <c r="F58" s="55"/>
      <c r="J58" s="55"/>
    </row>
    <row r="59">
      <c r="D59" s="55"/>
      <c r="E59" s="55"/>
      <c r="F59" s="55"/>
      <c r="J59" s="55"/>
    </row>
    <row r="60">
      <c r="D60" s="55"/>
      <c r="E60" s="55"/>
      <c r="F60" s="55"/>
      <c r="J60" s="55"/>
    </row>
    <row r="61">
      <c r="D61" s="55"/>
      <c r="E61" s="55"/>
      <c r="F61" s="55"/>
      <c r="J61" s="55"/>
    </row>
    <row r="62">
      <c r="D62" s="55"/>
      <c r="E62" s="55"/>
      <c r="F62" s="55"/>
      <c r="J62" s="55"/>
    </row>
    <row r="63">
      <c r="D63" s="55"/>
      <c r="E63" s="55"/>
      <c r="F63" s="55"/>
      <c r="J63" s="55"/>
    </row>
    <row r="64">
      <c r="D64" s="55"/>
      <c r="E64" s="55"/>
      <c r="F64" s="55"/>
      <c r="J64" s="55"/>
    </row>
    <row r="65">
      <c r="D65" s="55"/>
      <c r="E65" s="55"/>
      <c r="F65" s="55"/>
      <c r="J65" s="55"/>
    </row>
    <row r="66">
      <c r="D66" s="55"/>
      <c r="E66" s="55"/>
      <c r="F66" s="55"/>
      <c r="J66" s="55"/>
    </row>
    <row r="67">
      <c r="D67" s="55"/>
      <c r="E67" s="55"/>
      <c r="F67" s="55"/>
      <c r="J67" s="55"/>
    </row>
    <row r="68">
      <c r="D68" s="55"/>
      <c r="E68" s="55"/>
      <c r="F68" s="55"/>
      <c r="J68" s="55"/>
    </row>
    <row r="69">
      <c r="D69" s="55"/>
      <c r="E69" s="55"/>
      <c r="F69" s="55"/>
      <c r="J69" s="55"/>
    </row>
    <row r="70">
      <c r="D70" s="55"/>
      <c r="E70" s="55"/>
      <c r="F70" s="55"/>
      <c r="J70" s="55"/>
    </row>
    <row r="71">
      <c r="D71" s="55"/>
      <c r="E71" s="55"/>
      <c r="F71" s="55"/>
      <c r="J71" s="55"/>
    </row>
    <row r="72">
      <c r="D72" s="55"/>
      <c r="E72" s="55"/>
      <c r="F72" s="55"/>
      <c r="J72" s="55"/>
    </row>
    <row r="73">
      <c r="D73" s="55"/>
      <c r="E73" s="55"/>
      <c r="F73" s="55"/>
      <c r="J73" s="55"/>
    </row>
    <row r="74">
      <c r="D74" s="55"/>
      <c r="E74" s="55"/>
      <c r="F74" s="55"/>
      <c r="J74" s="55"/>
    </row>
    <row r="75">
      <c r="D75" s="55"/>
      <c r="E75" s="55"/>
      <c r="F75" s="55"/>
      <c r="J75" s="55"/>
    </row>
    <row r="76">
      <c r="D76" s="55"/>
      <c r="E76" s="55"/>
      <c r="F76" s="55"/>
      <c r="J76" s="55"/>
    </row>
    <row r="77">
      <c r="D77" s="55"/>
      <c r="E77" s="55"/>
      <c r="F77" s="55"/>
      <c r="J77" s="55"/>
    </row>
    <row r="78">
      <c r="D78" s="55"/>
      <c r="E78" s="55"/>
      <c r="F78" s="55"/>
      <c r="J78" s="55"/>
    </row>
    <row r="79">
      <c r="D79" s="55"/>
      <c r="E79" s="55"/>
      <c r="F79" s="55"/>
      <c r="J79" s="55"/>
    </row>
    <row r="80">
      <c r="D80" s="55"/>
      <c r="E80" s="55"/>
      <c r="F80" s="55"/>
      <c r="J80" s="55"/>
    </row>
    <row r="81">
      <c r="D81" s="55"/>
      <c r="E81" s="55"/>
      <c r="F81" s="55"/>
      <c r="J81" s="55"/>
    </row>
    <row r="82">
      <c r="D82" s="55"/>
      <c r="E82" s="55"/>
      <c r="F82" s="55"/>
      <c r="J82" s="55"/>
    </row>
    <row r="83">
      <c r="D83" s="55"/>
      <c r="E83" s="55"/>
      <c r="F83" s="55"/>
      <c r="J83" s="55"/>
    </row>
    <row r="84">
      <c r="D84" s="55"/>
      <c r="E84" s="55"/>
      <c r="F84" s="55"/>
      <c r="J84" s="55"/>
    </row>
    <row r="85">
      <c r="D85" s="55"/>
      <c r="E85" s="55"/>
      <c r="F85" s="55"/>
      <c r="J85" s="55"/>
    </row>
    <row r="86">
      <c r="D86" s="55"/>
      <c r="E86" s="55"/>
      <c r="F86" s="55"/>
      <c r="J86" s="55"/>
    </row>
    <row r="87">
      <c r="D87" s="55"/>
      <c r="E87" s="55"/>
      <c r="F87" s="55"/>
      <c r="J87" s="55"/>
    </row>
    <row r="88">
      <c r="D88" s="55"/>
      <c r="E88" s="55"/>
      <c r="F88" s="55"/>
      <c r="J88" s="55"/>
    </row>
    <row r="89">
      <c r="D89" s="55"/>
      <c r="E89" s="55"/>
      <c r="F89" s="55"/>
      <c r="J89" s="55"/>
    </row>
    <row r="90">
      <c r="D90" s="55"/>
      <c r="E90" s="55"/>
      <c r="F90" s="55"/>
      <c r="J90" s="55"/>
    </row>
    <row r="91">
      <c r="D91" s="55"/>
      <c r="E91" s="55"/>
      <c r="F91" s="55"/>
      <c r="J91" s="55"/>
    </row>
    <row r="92">
      <c r="D92" s="55"/>
      <c r="E92" s="55"/>
      <c r="F92" s="55"/>
      <c r="J92" s="55"/>
    </row>
    <row r="93">
      <c r="D93" s="55"/>
      <c r="E93" s="55"/>
      <c r="F93" s="55"/>
      <c r="J93" s="55"/>
    </row>
    <row r="94">
      <c r="D94" s="55"/>
      <c r="E94" s="55"/>
      <c r="F94" s="55"/>
      <c r="J94" s="55"/>
    </row>
    <row r="95">
      <c r="D95" s="55"/>
      <c r="E95" s="55"/>
      <c r="F95" s="55"/>
      <c r="J95" s="55"/>
    </row>
    <row r="96">
      <c r="D96" s="55"/>
      <c r="E96" s="55"/>
      <c r="F96" s="55"/>
      <c r="J96" s="55"/>
    </row>
    <row r="97">
      <c r="D97" s="55"/>
      <c r="E97" s="55"/>
      <c r="F97" s="55"/>
      <c r="J97" s="55"/>
    </row>
    <row r="98">
      <c r="D98" s="55"/>
      <c r="E98" s="55"/>
      <c r="F98" s="55"/>
      <c r="J98" s="55"/>
    </row>
    <row r="99">
      <c r="D99" s="55"/>
      <c r="E99" s="55"/>
      <c r="F99" s="55"/>
      <c r="J99" s="55"/>
    </row>
    <row r="100">
      <c r="D100" s="55"/>
      <c r="E100" s="55"/>
      <c r="F100" s="55"/>
      <c r="J100" s="55"/>
    </row>
    <row r="101">
      <c r="D101" s="55"/>
      <c r="E101" s="55"/>
      <c r="F101" s="55"/>
      <c r="J101" s="55"/>
    </row>
    <row r="102">
      <c r="D102" s="55"/>
      <c r="E102" s="55"/>
      <c r="F102" s="55"/>
      <c r="J102" s="55"/>
    </row>
    <row r="103">
      <c r="D103" s="55"/>
      <c r="E103" s="55"/>
      <c r="F103" s="55"/>
      <c r="J103" s="55"/>
    </row>
    <row r="104">
      <c r="D104" s="55"/>
      <c r="E104" s="55"/>
      <c r="F104" s="55"/>
      <c r="J104" s="55"/>
    </row>
    <row r="105">
      <c r="D105" s="55"/>
      <c r="E105" s="55"/>
      <c r="F105" s="55"/>
      <c r="J105" s="55"/>
    </row>
    <row r="106">
      <c r="D106" s="55"/>
      <c r="E106" s="55"/>
      <c r="F106" s="55"/>
      <c r="J106" s="55"/>
    </row>
    <row r="107">
      <c r="D107" s="55"/>
      <c r="E107" s="55"/>
      <c r="F107" s="55"/>
      <c r="J107" s="55"/>
    </row>
    <row r="108">
      <c r="D108" s="55"/>
      <c r="E108" s="55"/>
      <c r="F108" s="55"/>
      <c r="J108" s="55"/>
    </row>
    <row r="109">
      <c r="D109" s="55"/>
      <c r="E109" s="55"/>
      <c r="F109" s="55"/>
      <c r="J109" s="55"/>
    </row>
    <row r="110">
      <c r="D110" s="55"/>
      <c r="E110" s="55"/>
      <c r="F110" s="55"/>
      <c r="J110" s="55"/>
    </row>
    <row r="111">
      <c r="D111" s="55"/>
      <c r="E111" s="55"/>
      <c r="F111" s="55"/>
      <c r="J111" s="55"/>
    </row>
    <row r="112">
      <c r="D112" s="55"/>
      <c r="E112" s="55"/>
      <c r="F112" s="55"/>
      <c r="J112" s="55"/>
    </row>
    <row r="113">
      <c r="D113" s="55"/>
      <c r="E113" s="55"/>
      <c r="F113" s="55"/>
      <c r="J113" s="55"/>
    </row>
    <row r="114">
      <c r="D114" s="55"/>
      <c r="E114" s="55"/>
      <c r="F114" s="55"/>
      <c r="J114" s="55"/>
    </row>
    <row r="115">
      <c r="D115" s="55"/>
      <c r="E115" s="55"/>
      <c r="F115" s="55"/>
      <c r="J115" s="55"/>
    </row>
    <row r="116">
      <c r="D116" s="55"/>
      <c r="E116" s="55"/>
      <c r="F116" s="55"/>
      <c r="J116" s="55"/>
    </row>
    <row r="117">
      <c r="D117" s="55"/>
      <c r="E117" s="55"/>
      <c r="F117" s="55"/>
      <c r="J117" s="55"/>
    </row>
    <row r="118">
      <c r="D118" s="55"/>
      <c r="E118" s="55"/>
      <c r="F118" s="55"/>
      <c r="J118" s="55"/>
    </row>
    <row r="119">
      <c r="D119" s="55"/>
      <c r="E119" s="55"/>
      <c r="F119" s="55"/>
      <c r="J119" s="55"/>
    </row>
    <row r="120">
      <c r="D120" s="55"/>
      <c r="E120" s="55"/>
      <c r="F120" s="55"/>
      <c r="J120" s="55"/>
    </row>
    <row r="121">
      <c r="D121" s="55"/>
      <c r="E121" s="55"/>
      <c r="F121" s="55"/>
      <c r="J121" s="55"/>
    </row>
    <row r="122">
      <c r="D122" s="55"/>
      <c r="E122" s="55"/>
      <c r="F122" s="55"/>
      <c r="J122" s="55"/>
    </row>
    <row r="123">
      <c r="D123" s="55"/>
      <c r="E123" s="55"/>
      <c r="F123" s="55"/>
      <c r="J123" s="55"/>
    </row>
    <row r="124">
      <c r="D124" s="55"/>
      <c r="E124" s="55"/>
      <c r="F124" s="55"/>
      <c r="J124" s="55"/>
    </row>
    <row r="125">
      <c r="D125" s="55"/>
      <c r="E125" s="55"/>
      <c r="F125" s="55"/>
      <c r="J125" s="55"/>
    </row>
    <row r="126">
      <c r="D126" s="55"/>
      <c r="E126" s="55"/>
      <c r="F126" s="55"/>
      <c r="J126" s="55"/>
    </row>
    <row r="127">
      <c r="D127" s="55"/>
      <c r="E127" s="55"/>
      <c r="F127" s="55"/>
      <c r="J127" s="55"/>
    </row>
    <row r="128">
      <c r="D128" s="55"/>
      <c r="E128" s="55"/>
      <c r="F128" s="55"/>
      <c r="J128" s="55"/>
    </row>
    <row r="129">
      <c r="D129" s="55"/>
      <c r="E129" s="55"/>
      <c r="F129" s="55"/>
      <c r="J129" s="55"/>
    </row>
    <row r="130">
      <c r="D130" s="55"/>
      <c r="E130" s="55"/>
      <c r="F130" s="55"/>
      <c r="J130" s="55"/>
    </row>
    <row r="131">
      <c r="D131" s="55"/>
      <c r="E131" s="55"/>
      <c r="F131" s="55"/>
      <c r="J131" s="55"/>
    </row>
    <row r="132">
      <c r="D132" s="55"/>
      <c r="E132" s="55"/>
      <c r="F132" s="55"/>
      <c r="J132" s="55"/>
    </row>
    <row r="133">
      <c r="D133" s="55"/>
      <c r="E133" s="55"/>
      <c r="F133" s="55"/>
      <c r="J133" s="55"/>
    </row>
    <row r="134">
      <c r="D134" s="55"/>
      <c r="E134" s="55"/>
      <c r="F134" s="55"/>
      <c r="J134" s="55"/>
    </row>
    <row r="135">
      <c r="D135" s="55"/>
      <c r="E135" s="55"/>
      <c r="F135" s="55"/>
      <c r="J135" s="55"/>
    </row>
    <row r="136">
      <c r="D136" s="55"/>
      <c r="E136" s="55"/>
      <c r="F136" s="55"/>
      <c r="J136" s="55"/>
    </row>
    <row r="137">
      <c r="D137" s="55"/>
      <c r="E137" s="55"/>
      <c r="F137" s="55"/>
      <c r="J137" s="55"/>
    </row>
    <row r="138">
      <c r="D138" s="55"/>
      <c r="E138" s="55"/>
      <c r="F138" s="55"/>
      <c r="J138" s="55"/>
    </row>
    <row r="139">
      <c r="D139" s="55"/>
      <c r="E139" s="55"/>
      <c r="F139" s="55"/>
      <c r="J139" s="55"/>
    </row>
    <row r="140">
      <c r="D140" s="55"/>
      <c r="E140" s="55"/>
      <c r="F140" s="55"/>
      <c r="J140" s="55"/>
    </row>
    <row r="141">
      <c r="D141" s="55"/>
      <c r="E141" s="55"/>
      <c r="F141" s="55"/>
      <c r="J141" s="55"/>
    </row>
    <row r="142">
      <c r="D142" s="55"/>
      <c r="E142" s="55"/>
      <c r="F142" s="55"/>
      <c r="J142" s="55"/>
    </row>
    <row r="143">
      <c r="D143" s="55"/>
      <c r="E143" s="55"/>
      <c r="F143" s="55"/>
      <c r="J143" s="55"/>
    </row>
    <row r="144">
      <c r="D144" s="55"/>
      <c r="E144" s="55"/>
      <c r="F144" s="55"/>
      <c r="J144" s="55"/>
    </row>
    <row r="145">
      <c r="D145" s="55"/>
      <c r="E145" s="55"/>
      <c r="F145" s="55"/>
      <c r="J145" s="55"/>
    </row>
    <row r="146">
      <c r="D146" s="55"/>
      <c r="E146" s="55"/>
      <c r="F146" s="55"/>
      <c r="J146" s="55"/>
    </row>
    <row r="147">
      <c r="D147" s="55"/>
      <c r="E147" s="55"/>
      <c r="F147" s="55"/>
      <c r="J147" s="55"/>
    </row>
    <row r="148">
      <c r="D148" s="55"/>
      <c r="E148" s="55"/>
      <c r="F148" s="55"/>
      <c r="J148" s="55"/>
    </row>
    <row r="149">
      <c r="D149" s="55"/>
      <c r="E149" s="55"/>
      <c r="F149" s="55"/>
      <c r="J149" s="55"/>
    </row>
    <row r="150">
      <c r="D150" s="55"/>
      <c r="E150" s="55"/>
      <c r="F150" s="55"/>
      <c r="J150" s="55"/>
    </row>
    <row r="151">
      <c r="D151" s="55"/>
      <c r="E151" s="55"/>
      <c r="F151" s="55"/>
      <c r="J151" s="55"/>
    </row>
    <row r="152">
      <c r="D152" s="55"/>
      <c r="E152" s="55"/>
      <c r="F152" s="55"/>
      <c r="J152" s="55"/>
    </row>
    <row r="153">
      <c r="D153" s="55"/>
      <c r="E153" s="55"/>
      <c r="F153" s="55"/>
      <c r="J153" s="55"/>
    </row>
    <row r="154">
      <c r="D154" s="55"/>
      <c r="E154" s="55"/>
      <c r="F154" s="55"/>
      <c r="J154" s="55"/>
    </row>
    <row r="155">
      <c r="D155" s="55"/>
      <c r="E155" s="55"/>
      <c r="F155" s="55"/>
      <c r="J155" s="55"/>
    </row>
    <row r="156">
      <c r="D156" s="55"/>
      <c r="E156" s="55"/>
      <c r="F156" s="55"/>
      <c r="J156" s="55"/>
    </row>
    <row r="157">
      <c r="D157" s="55"/>
      <c r="E157" s="55"/>
      <c r="F157" s="55"/>
      <c r="J157" s="55"/>
    </row>
    <row r="158">
      <c r="D158" s="55"/>
      <c r="E158" s="55"/>
      <c r="F158" s="55"/>
      <c r="J158" s="55"/>
    </row>
    <row r="159">
      <c r="D159" s="55"/>
      <c r="E159" s="55"/>
      <c r="F159" s="55"/>
      <c r="J159" s="55"/>
    </row>
    <row r="160">
      <c r="D160" s="55"/>
      <c r="E160" s="55"/>
      <c r="F160" s="55"/>
      <c r="J160" s="55"/>
    </row>
    <row r="161">
      <c r="D161" s="55"/>
      <c r="E161" s="55"/>
      <c r="F161" s="55"/>
      <c r="J161" s="55"/>
    </row>
    <row r="162">
      <c r="D162" s="55"/>
      <c r="E162" s="55"/>
      <c r="F162" s="55"/>
      <c r="J162" s="55"/>
    </row>
    <row r="163">
      <c r="D163" s="55"/>
      <c r="E163" s="55"/>
      <c r="F163" s="55"/>
      <c r="J163" s="55"/>
    </row>
    <row r="164">
      <c r="D164" s="55"/>
      <c r="E164" s="55"/>
      <c r="F164" s="55"/>
      <c r="J164" s="55"/>
    </row>
    <row r="165">
      <c r="D165" s="55"/>
      <c r="E165" s="55"/>
      <c r="F165" s="55"/>
      <c r="J165" s="55"/>
    </row>
    <row r="166">
      <c r="D166" s="55"/>
      <c r="E166" s="55"/>
      <c r="F166" s="55"/>
      <c r="J166" s="55"/>
    </row>
    <row r="167">
      <c r="D167" s="55"/>
      <c r="E167" s="55"/>
      <c r="F167" s="55"/>
      <c r="J167" s="55"/>
    </row>
    <row r="168">
      <c r="D168" s="55"/>
      <c r="E168" s="55"/>
      <c r="F168" s="55"/>
      <c r="J168" s="55"/>
    </row>
    <row r="169">
      <c r="D169" s="55"/>
      <c r="E169" s="55"/>
      <c r="F169" s="55"/>
      <c r="J169" s="55"/>
    </row>
    <row r="170">
      <c r="D170" s="55"/>
      <c r="E170" s="55"/>
      <c r="F170" s="55"/>
      <c r="J170" s="55"/>
    </row>
    <row r="171">
      <c r="D171" s="55"/>
      <c r="E171" s="55"/>
      <c r="F171" s="55"/>
      <c r="J171" s="55"/>
    </row>
    <row r="172">
      <c r="D172" s="55"/>
      <c r="E172" s="55"/>
      <c r="F172" s="55"/>
      <c r="J172" s="55"/>
    </row>
    <row r="173">
      <c r="D173" s="55"/>
      <c r="E173" s="55"/>
      <c r="F173" s="55"/>
      <c r="J173" s="55"/>
    </row>
    <row r="174">
      <c r="D174" s="55"/>
      <c r="E174" s="55"/>
      <c r="F174" s="55"/>
      <c r="J174" s="55"/>
    </row>
    <row r="175">
      <c r="D175" s="55"/>
      <c r="E175" s="55"/>
      <c r="F175" s="55"/>
      <c r="J175" s="55"/>
    </row>
    <row r="176">
      <c r="D176" s="55"/>
      <c r="E176" s="55"/>
      <c r="F176" s="55"/>
      <c r="J176" s="55"/>
    </row>
    <row r="177">
      <c r="D177" s="55"/>
      <c r="E177" s="55"/>
      <c r="F177" s="55"/>
      <c r="J177" s="55"/>
    </row>
    <row r="178">
      <c r="D178" s="55"/>
      <c r="E178" s="55"/>
      <c r="F178" s="55"/>
      <c r="J178" s="55"/>
    </row>
    <row r="179">
      <c r="D179" s="55"/>
      <c r="E179" s="55"/>
      <c r="F179" s="55"/>
      <c r="J179" s="55"/>
    </row>
    <row r="180">
      <c r="D180" s="55"/>
      <c r="E180" s="55"/>
      <c r="F180" s="55"/>
      <c r="J180" s="55"/>
    </row>
    <row r="181">
      <c r="D181" s="55"/>
      <c r="E181" s="55"/>
      <c r="F181" s="55"/>
      <c r="J181" s="55"/>
    </row>
    <row r="182">
      <c r="D182" s="55"/>
      <c r="E182" s="55"/>
      <c r="F182" s="55"/>
      <c r="J182" s="55"/>
    </row>
    <row r="183">
      <c r="D183" s="55"/>
      <c r="E183" s="55"/>
      <c r="F183" s="55"/>
      <c r="J183" s="55"/>
    </row>
    <row r="184">
      <c r="D184" s="55"/>
      <c r="E184" s="55"/>
      <c r="F184" s="55"/>
      <c r="J184" s="55"/>
    </row>
    <row r="185">
      <c r="D185" s="55"/>
      <c r="E185" s="55"/>
      <c r="F185" s="55"/>
      <c r="J185" s="55"/>
    </row>
    <row r="186">
      <c r="D186" s="55"/>
      <c r="E186" s="55"/>
      <c r="F186" s="55"/>
      <c r="J186" s="55"/>
    </row>
    <row r="187">
      <c r="D187" s="55"/>
      <c r="E187" s="55"/>
      <c r="F187" s="55"/>
      <c r="J187" s="55"/>
    </row>
    <row r="188">
      <c r="D188" s="55"/>
      <c r="E188" s="55"/>
      <c r="F188" s="55"/>
      <c r="J188" s="55"/>
    </row>
    <row r="189">
      <c r="D189" s="55"/>
      <c r="E189" s="55"/>
      <c r="F189" s="55"/>
      <c r="J189" s="55"/>
    </row>
    <row r="190">
      <c r="D190" s="55"/>
      <c r="E190" s="55"/>
      <c r="F190" s="55"/>
      <c r="J190" s="55"/>
    </row>
    <row r="191">
      <c r="D191" s="55"/>
      <c r="E191" s="55"/>
      <c r="F191" s="55"/>
      <c r="J191" s="55"/>
    </row>
    <row r="192">
      <c r="D192" s="55"/>
      <c r="E192" s="55"/>
      <c r="F192" s="55"/>
      <c r="J192" s="55"/>
    </row>
    <row r="193">
      <c r="D193" s="55"/>
      <c r="E193" s="55"/>
      <c r="F193" s="55"/>
      <c r="J193" s="55"/>
    </row>
    <row r="194">
      <c r="D194" s="55"/>
      <c r="E194" s="55"/>
      <c r="F194" s="55"/>
      <c r="J194" s="55"/>
    </row>
    <row r="195">
      <c r="D195" s="55"/>
      <c r="E195" s="55"/>
      <c r="F195" s="55"/>
      <c r="J195" s="55"/>
    </row>
    <row r="196">
      <c r="D196" s="55"/>
      <c r="E196" s="55"/>
      <c r="F196" s="55"/>
      <c r="J196" s="55"/>
    </row>
    <row r="197">
      <c r="D197" s="55"/>
      <c r="E197" s="55"/>
      <c r="F197" s="55"/>
      <c r="J197" s="55"/>
    </row>
    <row r="198">
      <c r="D198" s="55"/>
      <c r="E198" s="55"/>
      <c r="F198" s="55"/>
      <c r="J198" s="55"/>
    </row>
    <row r="199">
      <c r="D199" s="55"/>
      <c r="E199" s="55"/>
      <c r="F199" s="55"/>
      <c r="J199" s="55"/>
    </row>
    <row r="200">
      <c r="D200" s="55"/>
      <c r="E200" s="55"/>
      <c r="F200" s="55"/>
      <c r="J200" s="55"/>
    </row>
    <row r="201">
      <c r="D201" s="55"/>
      <c r="E201" s="55"/>
      <c r="F201" s="55"/>
      <c r="J201" s="55"/>
    </row>
    <row r="202">
      <c r="D202" s="55"/>
      <c r="E202" s="55"/>
      <c r="F202" s="55"/>
      <c r="J202" s="55"/>
    </row>
    <row r="203">
      <c r="D203" s="55"/>
      <c r="E203" s="55"/>
      <c r="F203" s="55"/>
      <c r="J203" s="55"/>
    </row>
    <row r="204">
      <c r="D204" s="55"/>
      <c r="E204" s="55"/>
      <c r="F204" s="55"/>
      <c r="J204" s="55"/>
    </row>
    <row r="205">
      <c r="D205" s="55"/>
      <c r="E205" s="55"/>
      <c r="F205" s="55"/>
      <c r="J205" s="55"/>
    </row>
    <row r="206">
      <c r="D206" s="55"/>
      <c r="E206" s="55"/>
      <c r="F206" s="55"/>
      <c r="J206" s="55"/>
    </row>
    <row r="207">
      <c r="D207" s="55"/>
      <c r="E207" s="55"/>
      <c r="F207" s="55"/>
      <c r="J207" s="55"/>
    </row>
    <row r="208">
      <c r="D208" s="55"/>
      <c r="E208" s="55"/>
      <c r="F208" s="55"/>
      <c r="J208" s="55"/>
    </row>
    <row r="209">
      <c r="D209" s="55"/>
      <c r="E209" s="55"/>
      <c r="F209" s="55"/>
      <c r="J209" s="55"/>
    </row>
    <row r="210">
      <c r="D210" s="55"/>
      <c r="E210" s="55"/>
      <c r="F210" s="55"/>
      <c r="J210" s="55"/>
    </row>
    <row r="211">
      <c r="D211" s="55"/>
      <c r="E211" s="55"/>
      <c r="F211" s="55"/>
      <c r="J211" s="55"/>
    </row>
    <row r="212">
      <c r="D212" s="55"/>
      <c r="E212" s="55"/>
      <c r="F212" s="55"/>
      <c r="J212" s="55"/>
    </row>
    <row r="213">
      <c r="D213" s="55"/>
      <c r="E213" s="55"/>
      <c r="F213" s="55"/>
      <c r="J213" s="55"/>
    </row>
    <row r="214">
      <c r="D214" s="55"/>
      <c r="E214" s="55"/>
      <c r="F214" s="55"/>
      <c r="J214" s="55"/>
    </row>
    <row r="215">
      <c r="D215" s="55"/>
      <c r="E215" s="55"/>
      <c r="F215" s="55"/>
      <c r="J215" s="55"/>
    </row>
    <row r="216">
      <c r="D216" s="55"/>
      <c r="E216" s="55"/>
      <c r="F216" s="55"/>
      <c r="J216" s="55"/>
    </row>
    <row r="217">
      <c r="D217" s="55"/>
      <c r="E217" s="55"/>
      <c r="F217" s="55"/>
      <c r="J217" s="55"/>
    </row>
    <row r="218">
      <c r="D218" s="55"/>
      <c r="E218" s="55"/>
      <c r="F218" s="55"/>
      <c r="J218" s="55"/>
    </row>
    <row r="219">
      <c r="D219" s="55"/>
      <c r="E219" s="55"/>
      <c r="F219" s="55"/>
      <c r="J219" s="55"/>
    </row>
    <row r="220">
      <c r="D220" s="55"/>
      <c r="E220" s="55"/>
      <c r="F220" s="55"/>
      <c r="J220" s="55"/>
    </row>
    <row r="221">
      <c r="D221" s="55"/>
      <c r="E221" s="55"/>
      <c r="F221" s="55"/>
      <c r="J221" s="55"/>
    </row>
    <row r="222">
      <c r="D222" s="55"/>
      <c r="E222" s="55"/>
      <c r="F222" s="55"/>
      <c r="J222" s="55"/>
    </row>
    <row r="223">
      <c r="D223" s="55"/>
      <c r="E223" s="55"/>
      <c r="F223" s="55"/>
      <c r="J223" s="55"/>
    </row>
    <row r="224">
      <c r="D224" s="55"/>
      <c r="E224" s="55"/>
      <c r="F224" s="55"/>
      <c r="J224" s="55"/>
    </row>
    <row r="225">
      <c r="D225" s="55"/>
      <c r="E225" s="55"/>
      <c r="F225" s="55"/>
      <c r="J225" s="55"/>
    </row>
    <row r="226">
      <c r="D226" s="55"/>
      <c r="E226" s="55"/>
      <c r="F226" s="55"/>
      <c r="J226" s="55"/>
    </row>
    <row r="227">
      <c r="D227" s="55"/>
      <c r="E227" s="55"/>
      <c r="F227" s="55"/>
      <c r="J227" s="55"/>
    </row>
    <row r="228">
      <c r="D228" s="55"/>
      <c r="E228" s="55"/>
      <c r="F228" s="55"/>
      <c r="J228" s="55"/>
    </row>
    <row r="229">
      <c r="D229" s="55"/>
      <c r="E229" s="55"/>
      <c r="F229" s="55"/>
      <c r="J229" s="55"/>
    </row>
    <row r="230">
      <c r="D230" s="55"/>
      <c r="E230" s="55"/>
      <c r="F230" s="55"/>
      <c r="J230" s="55"/>
    </row>
    <row r="231">
      <c r="D231" s="55"/>
      <c r="E231" s="55"/>
      <c r="F231" s="55"/>
      <c r="J231" s="55"/>
    </row>
    <row r="232">
      <c r="D232" s="55"/>
      <c r="E232" s="55"/>
      <c r="F232" s="55"/>
      <c r="J232" s="55"/>
    </row>
    <row r="233">
      <c r="D233" s="55"/>
      <c r="E233" s="55"/>
      <c r="F233" s="55"/>
      <c r="J233" s="55"/>
    </row>
    <row r="234">
      <c r="D234" s="55"/>
      <c r="E234" s="55"/>
      <c r="F234" s="55"/>
      <c r="J234" s="55"/>
    </row>
    <row r="235">
      <c r="D235" s="55"/>
      <c r="E235" s="55"/>
      <c r="F235" s="55"/>
      <c r="J235" s="55"/>
    </row>
    <row r="236">
      <c r="D236" s="55"/>
      <c r="E236" s="55"/>
      <c r="F236" s="55"/>
      <c r="J236" s="55"/>
    </row>
    <row r="237">
      <c r="D237" s="55"/>
      <c r="E237" s="55"/>
      <c r="F237" s="55"/>
      <c r="J237" s="55"/>
    </row>
    <row r="238">
      <c r="D238" s="55"/>
      <c r="E238" s="55"/>
      <c r="F238" s="55"/>
      <c r="J238" s="55"/>
    </row>
    <row r="239">
      <c r="D239" s="55"/>
      <c r="E239" s="55"/>
      <c r="F239" s="55"/>
      <c r="J239" s="55"/>
    </row>
    <row r="240">
      <c r="D240" s="55"/>
      <c r="E240" s="55"/>
      <c r="F240" s="55"/>
      <c r="J240" s="55"/>
    </row>
    <row r="241">
      <c r="D241" s="55"/>
      <c r="E241" s="55"/>
      <c r="F241" s="55"/>
      <c r="J241" s="55"/>
    </row>
    <row r="242">
      <c r="D242" s="55"/>
      <c r="E242" s="55"/>
      <c r="F242" s="55"/>
      <c r="J242" s="55"/>
    </row>
    <row r="243">
      <c r="D243" s="55"/>
      <c r="E243" s="55"/>
      <c r="F243" s="55"/>
      <c r="J243" s="55"/>
    </row>
    <row r="244">
      <c r="D244" s="55"/>
      <c r="E244" s="55"/>
      <c r="F244" s="55"/>
      <c r="J244" s="55"/>
    </row>
    <row r="245">
      <c r="D245" s="55"/>
      <c r="E245" s="55"/>
      <c r="F245" s="55"/>
      <c r="J245" s="55"/>
    </row>
    <row r="246">
      <c r="D246" s="55"/>
      <c r="E246" s="55"/>
      <c r="F246" s="55"/>
      <c r="J246" s="55"/>
    </row>
    <row r="247">
      <c r="D247" s="55"/>
      <c r="E247" s="55"/>
      <c r="F247" s="55"/>
      <c r="J247" s="55"/>
    </row>
    <row r="248">
      <c r="D248" s="55"/>
      <c r="E248" s="55"/>
      <c r="F248" s="55"/>
      <c r="J248" s="55"/>
    </row>
    <row r="249">
      <c r="D249" s="55"/>
      <c r="E249" s="55"/>
      <c r="F249" s="55"/>
      <c r="J249" s="55"/>
    </row>
    <row r="250">
      <c r="D250" s="55"/>
      <c r="E250" s="55"/>
      <c r="F250" s="55"/>
      <c r="J250" s="55"/>
    </row>
    <row r="251">
      <c r="D251" s="55"/>
      <c r="E251" s="55"/>
      <c r="F251" s="55"/>
      <c r="J251" s="55"/>
    </row>
    <row r="252">
      <c r="D252" s="55"/>
      <c r="E252" s="55"/>
      <c r="F252" s="55"/>
      <c r="J252" s="55"/>
    </row>
    <row r="253">
      <c r="D253" s="55"/>
      <c r="E253" s="55"/>
      <c r="F253" s="55"/>
      <c r="J253" s="55"/>
    </row>
    <row r="254">
      <c r="D254" s="55"/>
      <c r="E254" s="55"/>
      <c r="F254" s="55"/>
      <c r="J254" s="55"/>
    </row>
    <row r="255">
      <c r="D255" s="55"/>
      <c r="E255" s="55"/>
      <c r="F255" s="55"/>
      <c r="J255" s="55"/>
    </row>
    <row r="256">
      <c r="D256" s="55"/>
      <c r="E256" s="55"/>
      <c r="F256" s="55"/>
      <c r="J256" s="55"/>
    </row>
    <row r="257">
      <c r="D257" s="55"/>
      <c r="E257" s="55"/>
      <c r="F257" s="55"/>
      <c r="J257" s="55"/>
    </row>
    <row r="258">
      <c r="D258" s="55"/>
      <c r="E258" s="55"/>
      <c r="F258" s="55"/>
      <c r="J258" s="55"/>
    </row>
    <row r="259">
      <c r="D259" s="55"/>
      <c r="E259" s="55"/>
      <c r="F259" s="55"/>
      <c r="J259" s="55"/>
    </row>
    <row r="260">
      <c r="D260" s="55"/>
      <c r="E260" s="55"/>
      <c r="F260" s="55"/>
      <c r="J260" s="55"/>
    </row>
    <row r="261">
      <c r="D261" s="55"/>
      <c r="E261" s="55"/>
      <c r="F261" s="55"/>
      <c r="J261" s="55"/>
    </row>
    <row r="262">
      <c r="D262" s="55"/>
      <c r="E262" s="55"/>
      <c r="F262" s="55"/>
      <c r="J262" s="55"/>
    </row>
    <row r="263">
      <c r="D263" s="55"/>
      <c r="E263" s="55"/>
      <c r="F263" s="55"/>
      <c r="J263" s="55"/>
    </row>
    <row r="264">
      <c r="D264" s="55"/>
      <c r="E264" s="55"/>
      <c r="F264" s="55"/>
      <c r="J264" s="55"/>
    </row>
    <row r="265">
      <c r="D265" s="55"/>
      <c r="E265" s="55"/>
      <c r="F265" s="55"/>
      <c r="J265" s="55"/>
    </row>
    <row r="266">
      <c r="D266" s="55"/>
      <c r="E266" s="55"/>
      <c r="F266" s="55"/>
      <c r="J266" s="55"/>
    </row>
    <row r="267">
      <c r="D267" s="55"/>
      <c r="E267" s="55"/>
      <c r="F267" s="55"/>
      <c r="J267" s="55"/>
    </row>
    <row r="268">
      <c r="D268" s="55"/>
      <c r="E268" s="55"/>
      <c r="F268" s="55"/>
      <c r="J268" s="55"/>
    </row>
    <row r="269">
      <c r="D269" s="55"/>
      <c r="E269" s="55"/>
      <c r="F269" s="55"/>
      <c r="J269" s="55"/>
    </row>
    <row r="270">
      <c r="D270" s="55"/>
      <c r="E270" s="55"/>
      <c r="F270" s="55"/>
      <c r="J270" s="55"/>
    </row>
    <row r="271">
      <c r="D271" s="55"/>
      <c r="E271" s="55"/>
      <c r="F271" s="55"/>
      <c r="J271" s="55"/>
    </row>
    <row r="272">
      <c r="D272" s="55"/>
      <c r="E272" s="55"/>
      <c r="F272" s="55"/>
      <c r="J272" s="55"/>
    </row>
    <row r="273">
      <c r="D273" s="55"/>
      <c r="E273" s="55"/>
      <c r="F273" s="55"/>
      <c r="J273" s="55"/>
    </row>
    <row r="274">
      <c r="D274" s="55"/>
      <c r="E274" s="55"/>
      <c r="F274" s="55"/>
      <c r="J274" s="55"/>
    </row>
    <row r="275">
      <c r="D275" s="55"/>
      <c r="E275" s="55"/>
      <c r="F275" s="55"/>
      <c r="J275" s="55"/>
    </row>
    <row r="276">
      <c r="D276" s="55"/>
      <c r="E276" s="55"/>
      <c r="F276" s="55"/>
      <c r="J276" s="55"/>
    </row>
    <row r="277">
      <c r="D277" s="55"/>
      <c r="E277" s="55"/>
      <c r="F277" s="55"/>
      <c r="J277" s="55"/>
    </row>
    <row r="278">
      <c r="D278" s="55"/>
      <c r="E278" s="55"/>
      <c r="F278" s="55"/>
      <c r="J278" s="55"/>
    </row>
    <row r="279">
      <c r="D279" s="55"/>
      <c r="E279" s="55"/>
      <c r="F279" s="55"/>
      <c r="J279" s="55"/>
    </row>
    <row r="280">
      <c r="D280" s="55"/>
      <c r="E280" s="55"/>
      <c r="F280" s="55"/>
      <c r="J280" s="55"/>
    </row>
    <row r="281">
      <c r="D281" s="55"/>
      <c r="E281" s="55"/>
      <c r="F281" s="55"/>
      <c r="J281" s="55"/>
    </row>
    <row r="282">
      <c r="D282" s="55"/>
      <c r="E282" s="55"/>
      <c r="F282" s="55"/>
      <c r="J282" s="55"/>
    </row>
    <row r="283">
      <c r="D283" s="55"/>
      <c r="E283" s="55"/>
      <c r="F283" s="55"/>
      <c r="J283" s="55"/>
    </row>
    <row r="284">
      <c r="D284" s="55"/>
      <c r="E284" s="55"/>
      <c r="F284" s="55"/>
      <c r="J284" s="55"/>
    </row>
    <row r="285">
      <c r="D285" s="55"/>
      <c r="E285" s="55"/>
      <c r="F285" s="55"/>
      <c r="J285" s="55"/>
    </row>
    <row r="286">
      <c r="D286" s="55"/>
      <c r="E286" s="55"/>
      <c r="F286" s="55"/>
      <c r="J286" s="55"/>
    </row>
    <row r="287">
      <c r="D287" s="55"/>
      <c r="E287" s="55"/>
      <c r="F287" s="55"/>
      <c r="J287" s="55"/>
    </row>
    <row r="288">
      <c r="D288" s="55"/>
      <c r="E288" s="55"/>
      <c r="F288" s="55"/>
      <c r="J288" s="55"/>
    </row>
    <row r="289">
      <c r="D289" s="55"/>
      <c r="E289" s="55"/>
      <c r="F289" s="55"/>
      <c r="J289" s="55"/>
    </row>
    <row r="290">
      <c r="D290" s="55"/>
      <c r="E290" s="55"/>
      <c r="F290" s="55"/>
      <c r="J290" s="55"/>
    </row>
    <row r="291">
      <c r="D291" s="55"/>
      <c r="E291" s="55"/>
      <c r="F291" s="55"/>
      <c r="J291" s="55"/>
    </row>
    <row r="292">
      <c r="D292" s="55"/>
      <c r="E292" s="55"/>
      <c r="F292" s="55"/>
      <c r="J292" s="55"/>
    </row>
    <row r="293">
      <c r="D293" s="55"/>
      <c r="E293" s="55"/>
      <c r="F293" s="55"/>
      <c r="J293" s="55"/>
    </row>
    <row r="294">
      <c r="D294" s="55"/>
      <c r="E294" s="55"/>
      <c r="F294" s="55"/>
      <c r="J294" s="55"/>
    </row>
    <row r="295">
      <c r="D295" s="55"/>
      <c r="E295" s="55"/>
      <c r="F295" s="55"/>
      <c r="J295" s="55"/>
    </row>
    <row r="296">
      <c r="D296" s="55"/>
      <c r="E296" s="55"/>
      <c r="F296" s="55"/>
      <c r="J296" s="55"/>
    </row>
    <row r="297">
      <c r="D297" s="55"/>
      <c r="E297" s="55"/>
      <c r="F297" s="55"/>
      <c r="J297" s="55"/>
    </row>
    <row r="298">
      <c r="D298" s="55"/>
      <c r="E298" s="55"/>
      <c r="F298" s="55"/>
      <c r="J298" s="55"/>
    </row>
    <row r="299">
      <c r="D299" s="55"/>
      <c r="E299" s="55"/>
      <c r="F299" s="55"/>
      <c r="J299" s="55"/>
    </row>
    <row r="300">
      <c r="D300" s="55"/>
      <c r="E300" s="55"/>
      <c r="F300" s="55"/>
      <c r="J300" s="55"/>
    </row>
    <row r="301">
      <c r="D301" s="55"/>
      <c r="E301" s="55"/>
      <c r="F301" s="55"/>
      <c r="J301" s="55"/>
    </row>
    <row r="302">
      <c r="D302" s="55"/>
      <c r="E302" s="55"/>
      <c r="F302" s="55"/>
      <c r="J302" s="55"/>
    </row>
    <row r="303">
      <c r="D303" s="55"/>
      <c r="E303" s="55"/>
      <c r="F303" s="55"/>
      <c r="J303" s="55"/>
    </row>
    <row r="304">
      <c r="D304" s="55"/>
      <c r="E304" s="55"/>
      <c r="F304" s="55"/>
      <c r="J304" s="55"/>
    </row>
    <row r="305">
      <c r="D305" s="55"/>
      <c r="E305" s="55"/>
      <c r="F305" s="55"/>
      <c r="J305" s="55"/>
    </row>
    <row r="306">
      <c r="D306" s="55"/>
      <c r="E306" s="55"/>
      <c r="F306" s="55"/>
      <c r="J306" s="55"/>
    </row>
    <row r="307">
      <c r="D307" s="55"/>
      <c r="E307" s="55"/>
      <c r="F307" s="55"/>
      <c r="J307" s="55"/>
    </row>
    <row r="308">
      <c r="D308" s="55"/>
      <c r="E308" s="55"/>
      <c r="F308" s="55"/>
      <c r="J308" s="55"/>
    </row>
    <row r="309">
      <c r="D309" s="55"/>
      <c r="E309" s="55"/>
      <c r="F309" s="55"/>
      <c r="J309" s="55"/>
    </row>
    <row r="310">
      <c r="D310" s="55"/>
      <c r="E310" s="55"/>
      <c r="F310" s="55"/>
      <c r="J310" s="55"/>
    </row>
    <row r="311">
      <c r="D311" s="55"/>
      <c r="E311" s="55"/>
      <c r="F311" s="55"/>
      <c r="J311" s="55"/>
    </row>
    <row r="312">
      <c r="D312" s="55"/>
      <c r="E312" s="55"/>
      <c r="F312" s="55"/>
      <c r="J312" s="55"/>
    </row>
    <row r="313">
      <c r="D313" s="55"/>
      <c r="E313" s="55"/>
      <c r="F313" s="55"/>
      <c r="J313" s="55"/>
    </row>
    <row r="314">
      <c r="D314" s="55"/>
      <c r="E314" s="55"/>
      <c r="F314" s="55"/>
      <c r="J314" s="55"/>
    </row>
    <row r="315">
      <c r="D315" s="55"/>
      <c r="E315" s="55"/>
      <c r="F315" s="55"/>
      <c r="J315" s="55"/>
    </row>
    <row r="316">
      <c r="D316" s="55"/>
      <c r="E316" s="55"/>
      <c r="F316" s="55"/>
      <c r="J316" s="55"/>
    </row>
    <row r="317">
      <c r="D317" s="55"/>
      <c r="E317" s="55"/>
      <c r="F317" s="55"/>
      <c r="J317" s="55"/>
    </row>
    <row r="318">
      <c r="D318" s="55"/>
      <c r="E318" s="55"/>
      <c r="F318" s="55"/>
      <c r="J318" s="55"/>
    </row>
    <row r="319">
      <c r="D319" s="55"/>
      <c r="E319" s="55"/>
      <c r="F319" s="55"/>
      <c r="J319" s="55"/>
    </row>
    <row r="320">
      <c r="D320" s="55"/>
      <c r="E320" s="55"/>
      <c r="F320" s="55"/>
      <c r="J320" s="55"/>
    </row>
    <row r="321">
      <c r="D321" s="55"/>
      <c r="E321" s="55"/>
      <c r="F321" s="55"/>
      <c r="J321" s="55"/>
    </row>
    <row r="322">
      <c r="D322" s="55"/>
      <c r="E322" s="55"/>
      <c r="F322" s="55"/>
      <c r="J322" s="55"/>
    </row>
    <row r="323">
      <c r="D323" s="55"/>
      <c r="E323" s="55"/>
      <c r="F323" s="55"/>
      <c r="J323" s="55"/>
    </row>
    <row r="324">
      <c r="D324" s="55"/>
      <c r="E324" s="55"/>
      <c r="F324" s="55"/>
      <c r="J324" s="55"/>
    </row>
    <row r="325">
      <c r="D325" s="55"/>
      <c r="E325" s="55"/>
      <c r="F325" s="55"/>
      <c r="J325" s="55"/>
    </row>
    <row r="326">
      <c r="D326" s="55"/>
      <c r="E326" s="55"/>
      <c r="F326" s="55"/>
      <c r="J326" s="55"/>
    </row>
    <row r="327">
      <c r="D327" s="55"/>
      <c r="E327" s="55"/>
      <c r="F327" s="55"/>
      <c r="J327" s="55"/>
    </row>
    <row r="328">
      <c r="D328" s="55"/>
      <c r="E328" s="55"/>
      <c r="F328" s="55"/>
      <c r="J328" s="55"/>
    </row>
    <row r="329">
      <c r="D329" s="55"/>
      <c r="E329" s="55"/>
      <c r="F329" s="55"/>
      <c r="J329" s="55"/>
    </row>
    <row r="330">
      <c r="D330" s="55"/>
      <c r="E330" s="55"/>
      <c r="F330" s="55"/>
      <c r="J330" s="55"/>
    </row>
    <row r="331">
      <c r="D331" s="55"/>
      <c r="E331" s="55"/>
      <c r="F331" s="55"/>
      <c r="J331" s="55"/>
    </row>
    <row r="332">
      <c r="D332" s="55"/>
      <c r="E332" s="55"/>
      <c r="F332" s="55"/>
      <c r="J332" s="55"/>
    </row>
    <row r="333">
      <c r="D333" s="55"/>
      <c r="E333" s="55"/>
      <c r="F333" s="55"/>
      <c r="J333" s="55"/>
    </row>
    <row r="334">
      <c r="D334" s="55"/>
      <c r="E334" s="55"/>
      <c r="F334" s="55"/>
      <c r="J334" s="55"/>
    </row>
    <row r="335">
      <c r="D335" s="55"/>
      <c r="E335" s="55"/>
      <c r="F335" s="55"/>
      <c r="J335" s="55"/>
    </row>
    <row r="336">
      <c r="D336" s="55"/>
      <c r="E336" s="55"/>
      <c r="F336" s="55"/>
      <c r="J336" s="55"/>
    </row>
    <row r="337">
      <c r="D337" s="55"/>
      <c r="E337" s="55"/>
      <c r="F337" s="55"/>
      <c r="J337" s="55"/>
    </row>
    <row r="338">
      <c r="D338" s="55"/>
      <c r="E338" s="55"/>
      <c r="F338" s="55"/>
      <c r="J338" s="55"/>
    </row>
    <row r="339">
      <c r="D339" s="55"/>
      <c r="E339" s="55"/>
      <c r="F339" s="55"/>
      <c r="J339" s="55"/>
    </row>
    <row r="340">
      <c r="D340" s="55"/>
      <c r="E340" s="55"/>
      <c r="F340" s="55"/>
      <c r="J340" s="55"/>
    </row>
    <row r="341">
      <c r="D341" s="55"/>
      <c r="E341" s="55"/>
      <c r="F341" s="55"/>
      <c r="J341" s="55"/>
    </row>
    <row r="342">
      <c r="D342" s="55"/>
      <c r="E342" s="55"/>
      <c r="F342" s="55"/>
      <c r="J342" s="55"/>
    </row>
    <row r="343">
      <c r="D343" s="55"/>
      <c r="E343" s="55"/>
      <c r="F343" s="55"/>
      <c r="J343" s="55"/>
    </row>
    <row r="344">
      <c r="D344" s="55"/>
      <c r="E344" s="55"/>
      <c r="F344" s="55"/>
      <c r="J344" s="55"/>
    </row>
    <row r="345">
      <c r="D345" s="55"/>
      <c r="E345" s="55"/>
      <c r="F345" s="55"/>
      <c r="J345" s="55"/>
    </row>
    <row r="346">
      <c r="D346" s="55"/>
      <c r="E346" s="55"/>
      <c r="F346" s="55"/>
      <c r="J346" s="55"/>
    </row>
    <row r="347">
      <c r="D347" s="55"/>
      <c r="E347" s="55"/>
      <c r="F347" s="55"/>
      <c r="J347" s="55"/>
    </row>
    <row r="348">
      <c r="D348" s="55"/>
      <c r="E348" s="55"/>
      <c r="F348" s="55"/>
      <c r="J348" s="55"/>
    </row>
    <row r="349">
      <c r="D349" s="55"/>
      <c r="E349" s="55"/>
      <c r="F349" s="55"/>
      <c r="J349" s="55"/>
    </row>
    <row r="350">
      <c r="D350" s="55"/>
      <c r="E350" s="55"/>
      <c r="F350" s="55"/>
      <c r="J350" s="55"/>
    </row>
    <row r="351">
      <c r="D351" s="55"/>
      <c r="E351" s="55"/>
      <c r="F351" s="55"/>
      <c r="J351" s="55"/>
    </row>
    <row r="352">
      <c r="D352" s="55"/>
      <c r="E352" s="55"/>
      <c r="F352" s="55"/>
      <c r="J352" s="55"/>
    </row>
    <row r="353">
      <c r="D353" s="55"/>
      <c r="E353" s="55"/>
      <c r="F353" s="55"/>
      <c r="J353" s="55"/>
    </row>
    <row r="354">
      <c r="D354" s="55"/>
      <c r="E354" s="55"/>
      <c r="F354" s="55"/>
      <c r="J354" s="55"/>
    </row>
    <row r="355">
      <c r="D355" s="55"/>
      <c r="E355" s="55"/>
      <c r="F355" s="55"/>
      <c r="J355" s="55"/>
    </row>
    <row r="356">
      <c r="D356" s="55"/>
      <c r="E356" s="55"/>
      <c r="F356" s="55"/>
      <c r="J356" s="55"/>
    </row>
    <row r="357">
      <c r="D357" s="55"/>
      <c r="E357" s="55"/>
      <c r="F357" s="55"/>
      <c r="J357" s="55"/>
    </row>
    <row r="358">
      <c r="D358" s="55"/>
      <c r="E358" s="55"/>
      <c r="F358" s="55"/>
      <c r="J358" s="55"/>
    </row>
    <row r="359">
      <c r="D359" s="55"/>
      <c r="E359" s="55"/>
      <c r="F359" s="55"/>
      <c r="J359" s="55"/>
    </row>
    <row r="360">
      <c r="D360" s="55"/>
      <c r="E360" s="55"/>
      <c r="F360" s="55"/>
      <c r="J360" s="55"/>
    </row>
    <row r="361">
      <c r="D361" s="55"/>
      <c r="E361" s="55"/>
      <c r="F361" s="55"/>
      <c r="J361" s="55"/>
    </row>
    <row r="362">
      <c r="D362" s="55"/>
      <c r="E362" s="55"/>
      <c r="F362" s="55"/>
      <c r="J362" s="55"/>
    </row>
    <row r="363">
      <c r="D363" s="55"/>
      <c r="E363" s="55"/>
      <c r="F363" s="55"/>
      <c r="J363" s="55"/>
    </row>
    <row r="364">
      <c r="D364" s="55"/>
      <c r="E364" s="55"/>
      <c r="F364" s="55"/>
      <c r="J364" s="55"/>
    </row>
    <row r="365">
      <c r="D365" s="55"/>
      <c r="E365" s="55"/>
      <c r="F365" s="55"/>
      <c r="J365" s="55"/>
    </row>
    <row r="366">
      <c r="D366" s="55"/>
      <c r="E366" s="55"/>
      <c r="F366" s="55"/>
      <c r="J366" s="55"/>
    </row>
    <row r="367">
      <c r="D367" s="55"/>
      <c r="E367" s="55"/>
      <c r="F367" s="55"/>
      <c r="J367" s="55"/>
    </row>
    <row r="368">
      <c r="D368" s="55"/>
      <c r="E368" s="55"/>
      <c r="F368" s="55"/>
      <c r="J368" s="55"/>
    </row>
    <row r="369">
      <c r="D369" s="55"/>
      <c r="E369" s="55"/>
      <c r="F369" s="55"/>
      <c r="J369" s="55"/>
    </row>
    <row r="370">
      <c r="D370" s="55"/>
      <c r="E370" s="55"/>
      <c r="F370" s="55"/>
      <c r="J370" s="55"/>
    </row>
    <row r="371">
      <c r="D371" s="55"/>
      <c r="E371" s="55"/>
      <c r="F371" s="55"/>
      <c r="J371" s="55"/>
    </row>
    <row r="372">
      <c r="D372" s="55"/>
      <c r="E372" s="55"/>
      <c r="F372" s="55"/>
      <c r="J372" s="55"/>
    </row>
    <row r="373">
      <c r="D373" s="55"/>
      <c r="E373" s="55"/>
      <c r="F373" s="55"/>
      <c r="J373" s="55"/>
    </row>
    <row r="374">
      <c r="D374" s="55"/>
      <c r="E374" s="55"/>
      <c r="F374" s="55"/>
      <c r="J374" s="55"/>
    </row>
    <row r="375">
      <c r="D375" s="55"/>
      <c r="E375" s="55"/>
      <c r="F375" s="55"/>
      <c r="J375" s="55"/>
    </row>
    <row r="376">
      <c r="D376" s="55"/>
      <c r="E376" s="55"/>
      <c r="F376" s="55"/>
      <c r="J376" s="55"/>
    </row>
    <row r="377">
      <c r="D377" s="55"/>
      <c r="E377" s="55"/>
      <c r="F377" s="55"/>
      <c r="J377" s="55"/>
    </row>
    <row r="378">
      <c r="D378" s="55"/>
      <c r="E378" s="55"/>
      <c r="F378" s="55"/>
      <c r="J378" s="55"/>
    </row>
    <row r="379">
      <c r="D379" s="55"/>
      <c r="E379" s="55"/>
      <c r="F379" s="55"/>
      <c r="J379" s="55"/>
    </row>
    <row r="380">
      <c r="D380" s="55"/>
      <c r="E380" s="55"/>
      <c r="F380" s="55"/>
      <c r="J380" s="55"/>
    </row>
    <row r="381">
      <c r="D381" s="55"/>
      <c r="E381" s="55"/>
      <c r="F381" s="55"/>
      <c r="J381" s="55"/>
    </row>
    <row r="382">
      <c r="D382" s="55"/>
      <c r="E382" s="55"/>
      <c r="F382" s="55"/>
      <c r="J382" s="55"/>
    </row>
    <row r="383">
      <c r="D383" s="55"/>
      <c r="E383" s="55"/>
      <c r="F383" s="55"/>
      <c r="J383" s="55"/>
    </row>
    <row r="384">
      <c r="D384" s="55"/>
      <c r="E384" s="55"/>
      <c r="F384" s="55"/>
      <c r="J384" s="55"/>
    </row>
    <row r="385">
      <c r="D385" s="55"/>
      <c r="E385" s="55"/>
      <c r="F385" s="55"/>
      <c r="J385" s="55"/>
    </row>
    <row r="386">
      <c r="D386" s="55"/>
      <c r="E386" s="55"/>
      <c r="F386" s="55"/>
      <c r="J386" s="55"/>
    </row>
    <row r="387">
      <c r="D387" s="55"/>
      <c r="E387" s="55"/>
      <c r="F387" s="55"/>
      <c r="J387" s="55"/>
    </row>
    <row r="388">
      <c r="D388" s="55"/>
      <c r="E388" s="55"/>
      <c r="F388" s="55"/>
      <c r="J388" s="55"/>
    </row>
    <row r="389">
      <c r="D389" s="55"/>
      <c r="E389" s="55"/>
      <c r="F389" s="55"/>
      <c r="J389" s="55"/>
    </row>
    <row r="390">
      <c r="D390" s="55"/>
      <c r="E390" s="55"/>
      <c r="F390" s="55"/>
      <c r="J390" s="55"/>
    </row>
    <row r="391">
      <c r="D391" s="55"/>
      <c r="E391" s="55"/>
      <c r="F391" s="55"/>
      <c r="J391" s="55"/>
    </row>
    <row r="392">
      <c r="D392" s="55"/>
      <c r="E392" s="55"/>
      <c r="F392" s="55"/>
      <c r="J392" s="55"/>
    </row>
    <row r="393">
      <c r="D393" s="55"/>
      <c r="E393" s="55"/>
      <c r="F393" s="55"/>
      <c r="J393" s="55"/>
    </row>
    <row r="394">
      <c r="D394" s="55"/>
      <c r="E394" s="55"/>
      <c r="F394" s="55"/>
      <c r="J394" s="55"/>
    </row>
    <row r="395">
      <c r="D395" s="55"/>
      <c r="E395" s="55"/>
      <c r="F395" s="55"/>
      <c r="J395" s="55"/>
    </row>
    <row r="396">
      <c r="D396" s="55"/>
      <c r="E396" s="55"/>
      <c r="F396" s="55"/>
      <c r="J396" s="55"/>
    </row>
    <row r="397">
      <c r="D397" s="55"/>
      <c r="E397" s="55"/>
      <c r="F397" s="55"/>
      <c r="J397" s="55"/>
    </row>
    <row r="398">
      <c r="D398" s="55"/>
      <c r="E398" s="55"/>
      <c r="F398" s="55"/>
      <c r="J398" s="55"/>
    </row>
    <row r="399">
      <c r="D399" s="55"/>
      <c r="E399" s="55"/>
      <c r="F399" s="55"/>
      <c r="J399" s="55"/>
    </row>
    <row r="400">
      <c r="D400" s="55"/>
      <c r="E400" s="55"/>
      <c r="F400" s="55"/>
      <c r="J400" s="55"/>
    </row>
    <row r="401">
      <c r="D401" s="55"/>
      <c r="E401" s="55"/>
      <c r="F401" s="55"/>
      <c r="J401" s="55"/>
    </row>
    <row r="402">
      <c r="D402" s="55"/>
      <c r="E402" s="55"/>
      <c r="F402" s="55"/>
      <c r="J402" s="55"/>
    </row>
    <row r="403">
      <c r="D403" s="55"/>
      <c r="E403" s="55"/>
      <c r="F403" s="55"/>
      <c r="J403" s="55"/>
    </row>
    <row r="404">
      <c r="D404" s="55"/>
      <c r="E404" s="55"/>
      <c r="F404" s="55"/>
      <c r="J404" s="55"/>
    </row>
    <row r="405">
      <c r="D405" s="55"/>
      <c r="E405" s="55"/>
      <c r="F405" s="55"/>
      <c r="J405" s="55"/>
    </row>
    <row r="406">
      <c r="D406" s="55"/>
      <c r="E406" s="55"/>
      <c r="F406" s="55"/>
      <c r="J406" s="55"/>
    </row>
    <row r="407">
      <c r="D407" s="55"/>
      <c r="E407" s="55"/>
      <c r="F407" s="55"/>
      <c r="J407" s="55"/>
    </row>
    <row r="408">
      <c r="D408" s="55"/>
      <c r="E408" s="55"/>
      <c r="F408" s="55"/>
      <c r="J408" s="55"/>
    </row>
    <row r="409">
      <c r="D409" s="55"/>
      <c r="E409" s="55"/>
      <c r="F409" s="55"/>
      <c r="J409" s="55"/>
    </row>
    <row r="410">
      <c r="D410" s="55"/>
      <c r="E410" s="55"/>
      <c r="F410" s="55"/>
      <c r="J410" s="55"/>
    </row>
    <row r="411">
      <c r="D411" s="55"/>
      <c r="E411" s="55"/>
      <c r="F411" s="55"/>
      <c r="J411" s="55"/>
    </row>
    <row r="412">
      <c r="D412" s="55"/>
      <c r="E412" s="55"/>
      <c r="F412" s="55"/>
      <c r="J412" s="55"/>
    </row>
    <row r="413">
      <c r="D413" s="55"/>
      <c r="E413" s="55"/>
      <c r="F413" s="55"/>
      <c r="J413" s="55"/>
    </row>
    <row r="414">
      <c r="D414" s="55"/>
      <c r="E414" s="55"/>
      <c r="F414" s="55"/>
      <c r="J414" s="55"/>
    </row>
    <row r="415">
      <c r="D415" s="55"/>
      <c r="E415" s="55"/>
      <c r="F415" s="55"/>
      <c r="J415" s="55"/>
    </row>
    <row r="416">
      <c r="D416" s="55"/>
      <c r="E416" s="55"/>
      <c r="F416" s="55"/>
      <c r="J416" s="55"/>
    </row>
    <row r="417">
      <c r="D417" s="55"/>
      <c r="E417" s="55"/>
      <c r="F417" s="55"/>
      <c r="J417" s="55"/>
    </row>
    <row r="418">
      <c r="D418" s="55"/>
      <c r="E418" s="55"/>
      <c r="F418" s="55"/>
      <c r="J418" s="55"/>
    </row>
    <row r="419">
      <c r="D419" s="55"/>
      <c r="E419" s="55"/>
      <c r="F419" s="55"/>
      <c r="J419" s="55"/>
    </row>
    <row r="420">
      <c r="D420" s="55"/>
      <c r="E420" s="55"/>
      <c r="F420" s="55"/>
      <c r="J420" s="55"/>
    </row>
    <row r="421">
      <c r="D421" s="55"/>
      <c r="E421" s="55"/>
      <c r="F421" s="55"/>
      <c r="J421" s="55"/>
    </row>
    <row r="422">
      <c r="D422" s="55"/>
      <c r="E422" s="55"/>
      <c r="F422" s="55"/>
      <c r="J422" s="55"/>
    </row>
    <row r="423">
      <c r="D423" s="55"/>
      <c r="E423" s="55"/>
      <c r="F423" s="55"/>
      <c r="J423" s="55"/>
    </row>
    <row r="424">
      <c r="D424" s="55"/>
      <c r="E424" s="55"/>
      <c r="F424" s="55"/>
      <c r="J424" s="55"/>
    </row>
    <row r="425">
      <c r="D425" s="55"/>
      <c r="E425" s="55"/>
      <c r="F425" s="55"/>
      <c r="J425" s="55"/>
    </row>
    <row r="426">
      <c r="D426" s="55"/>
      <c r="E426" s="55"/>
      <c r="F426" s="55"/>
      <c r="J426" s="55"/>
    </row>
    <row r="427">
      <c r="D427" s="55"/>
      <c r="E427" s="55"/>
      <c r="F427" s="55"/>
      <c r="J427" s="55"/>
    </row>
    <row r="428">
      <c r="D428" s="55"/>
      <c r="E428" s="55"/>
      <c r="F428" s="55"/>
      <c r="J428" s="55"/>
    </row>
    <row r="429">
      <c r="D429" s="55"/>
      <c r="E429" s="55"/>
      <c r="F429" s="55"/>
      <c r="J429" s="55"/>
    </row>
    <row r="430">
      <c r="D430" s="55"/>
      <c r="E430" s="55"/>
      <c r="F430" s="55"/>
      <c r="J430" s="55"/>
    </row>
    <row r="431">
      <c r="D431" s="55"/>
      <c r="E431" s="55"/>
      <c r="F431" s="55"/>
      <c r="J431" s="55"/>
    </row>
    <row r="432">
      <c r="D432" s="55"/>
      <c r="E432" s="55"/>
      <c r="F432" s="55"/>
      <c r="J432" s="55"/>
    </row>
    <row r="433">
      <c r="D433" s="55"/>
      <c r="E433" s="55"/>
      <c r="F433" s="55"/>
      <c r="J433" s="55"/>
    </row>
    <row r="434">
      <c r="D434" s="55"/>
      <c r="E434" s="55"/>
      <c r="F434" s="55"/>
      <c r="J434" s="55"/>
    </row>
    <row r="435">
      <c r="D435" s="55"/>
      <c r="E435" s="55"/>
      <c r="F435" s="55"/>
      <c r="J435" s="55"/>
    </row>
    <row r="436">
      <c r="D436" s="55"/>
      <c r="E436" s="55"/>
      <c r="F436" s="55"/>
      <c r="J436" s="55"/>
    </row>
    <row r="437">
      <c r="D437" s="55"/>
      <c r="E437" s="55"/>
      <c r="F437" s="55"/>
      <c r="J437" s="55"/>
    </row>
    <row r="438">
      <c r="D438" s="55"/>
      <c r="E438" s="55"/>
      <c r="F438" s="55"/>
      <c r="J438" s="55"/>
    </row>
    <row r="439">
      <c r="D439" s="55"/>
      <c r="E439" s="55"/>
      <c r="F439" s="55"/>
      <c r="J439" s="55"/>
    </row>
    <row r="440">
      <c r="D440" s="55"/>
      <c r="E440" s="55"/>
      <c r="F440" s="55"/>
      <c r="J440" s="55"/>
    </row>
    <row r="441">
      <c r="D441" s="55"/>
      <c r="E441" s="55"/>
      <c r="F441" s="55"/>
      <c r="J441" s="55"/>
    </row>
    <row r="442">
      <c r="D442" s="55"/>
      <c r="E442" s="55"/>
      <c r="F442" s="55"/>
      <c r="J442" s="55"/>
    </row>
    <row r="443">
      <c r="D443" s="55"/>
      <c r="E443" s="55"/>
      <c r="F443" s="55"/>
      <c r="J443" s="55"/>
    </row>
    <row r="444">
      <c r="D444" s="55"/>
      <c r="E444" s="55"/>
      <c r="F444" s="55"/>
      <c r="J444" s="55"/>
    </row>
    <row r="445">
      <c r="D445" s="55"/>
      <c r="E445" s="55"/>
      <c r="F445" s="55"/>
      <c r="J445" s="55"/>
    </row>
    <row r="446">
      <c r="D446" s="55"/>
      <c r="E446" s="55"/>
      <c r="F446" s="55"/>
      <c r="J446" s="55"/>
    </row>
    <row r="447">
      <c r="D447" s="55"/>
      <c r="E447" s="55"/>
      <c r="F447" s="55"/>
      <c r="J447" s="55"/>
    </row>
    <row r="448">
      <c r="D448" s="55"/>
      <c r="E448" s="55"/>
      <c r="F448" s="55"/>
      <c r="J448" s="55"/>
    </row>
    <row r="449">
      <c r="D449" s="55"/>
      <c r="E449" s="55"/>
      <c r="F449" s="55"/>
      <c r="J449" s="55"/>
    </row>
    <row r="450">
      <c r="D450" s="55"/>
      <c r="E450" s="55"/>
      <c r="F450" s="55"/>
      <c r="J450" s="55"/>
    </row>
    <row r="451">
      <c r="D451" s="55"/>
      <c r="E451" s="55"/>
      <c r="F451" s="55"/>
      <c r="J451" s="55"/>
    </row>
    <row r="452">
      <c r="D452" s="55"/>
      <c r="E452" s="55"/>
      <c r="F452" s="55"/>
      <c r="J452" s="55"/>
    </row>
    <row r="453">
      <c r="D453" s="55"/>
      <c r="E453" s="55"/>
      <c r="F453" s="55"/>
      <c r="J453" s="55"/>
    </row>
    <row r="454">
      <c r="D454" s="55"/>
      <c r="E454" s="55"/>
      <c r="F454" s="55"/>
      <c r="J454" s="55"/>
    </row>
    <row r="455">
      <c r="D455" s="55"/>
      <c r="E455" s="55"/>
      <c r="F455" s="55"/>
      <c r="J455" s="55"/>
    </row>
    <row r="456">
      <c r="D456" s="55"/>
      <c r="E456" s="55"/>
      <c r="F456" s="55"/>
      <c r="J456" s="55"/>
    </row>
    <row r="457">
      <c r="D457" s="55"/>
      <c r="E457" s="55"/>
      <c r="F457" s="55"/>
      <c r="J457" s="55"/>
    </row>
    <row r="458">
      <c r="D458" s="55"/>
      <c r="E458" s="55"/>
      <c r="F458" s="55"/>
      <c r="J458" s="55"/>
    </row>
    <row r="459">
      <c r="D459" s="55"/>
      <c r="E459" s="55"/>
      <c r="F459" s="55"/>
      <c r="J459" s="55"/>
    </row>
    <row r="460">
      <c r="D460" s="55"/>
      <c r="E460" s="55"/>
      <c r="F460" s="55"/>
      <c r="J460" s="55"/>
    </row>
    <row r="461">
      <c r="D461" s="55"/>
      <c r="E461" s="55"/>
      <c r="F461" s="55"/>
      <c r="J461" s="55"/>
    </row>
    <row r="462">
      <c r="D462" s="55"/>
      <c r="E462" s="55"/>
      <c r="F462" s="55"/>
      <c r="J462" s="55"/>
    </row>
    <row r="463">
      <c r="D463" s="55"/>
      <c r="E463" s="55"/>
      <c r="F463" s="55"/>
      <c r="J463" s="55"/>
    </row>
    <row r="464">
      <c r="D464" s="55"/>
      <c r="E464" s="55"/>
      <c r="F464" s="55"/>
      <c r="J464" s="55"/>
    </row>
    <row r="465">
      <c r="D465" s="55"/>
      <c r="E465" s="55"/>
      <c r="F465" s="55"/>
      <c r="J465" s="55"/>
    </row>
    <row r="466">
      <c r="D466" s="55"/>
      <c r="E466" s="55"/>
      <c r="F466" s="55"/>
      <c r="J466" s="55"/>
    </row>
    <row r="467">
      <c r="D467" s="55"/>
      <c r="E467" s="55"/>
      <c r="F467" s="55"/>
      <c r="J467" s="55"/>
    </row>
    <row r="468">
      <c r="D468" s="55"/>
      <c r="E468" s="55"/>
      <c r="F468" s="55"/>
      <c r="J468" s="55"/>
    </row>
    <row r="469">
      <c r="D469" s="55"/>
      <c r="E469" s="55"/>
      <c r="F469" s="55"/>
      <c r="J469" s="55"/>
    </row>
    <row r="470">
      <c r="D470" s="55"/>
      <c r="E470" s="55"/>
      <c r="F470" s="55"/>
      <c r="J470" s="55"/>
    </row>
    <row r="471">
      <c r="D471" s="55"/>
      <c r="E471" s="55"/>
      <c r="F471" s="55"/>
      <c r="J471" s="55"/>
    </row>
    <row r="472">
      <c r="D472" s="55"/>
      <c r="E472" s="55"/>
      <c r="F472" s="55"/>
      <c r="J472" s="55"/>
    </row>
    <row r="473">
      <c r="D473" s="55"/>
      <c r="E473" s="55"/>
      <c r="F473" s="55"/>
      <c r="J473" s="55"/>
    </row>
    <row r="474">
      <c r="D474" s="55"/>
      <c r="E474" s="55"/>
      <c r="F474" s="55"/>
      <c r="J474" s="55"/>
    </row>
    <row r="475">
      <c r="D475" s="55"/>
      <c r="E475" s="55"/>
      <c r="F475" s="55"/>
      <c r="J475" s="55"/>
    </row>
    <row r="476">
      <c r="D476" s="55"/>
      <c r="E476" s="55"/>
      <c r="F476" s="55"/>
      <c r="J476" s="55"/>
    </row>
    <row r="477">
      <c r="D477" s="55"/>
      <c r="E477" s="55"/>
      <c r="F477" s="55"/>
      <c r="J477" s="55"/>
    </row>
    <row r="478">
      <c r="D478" s="55"/>
      <c r="E478" s="55"/>
      <c r="F478" s="55"/>
      <c r="J478" s="55"/>
    </row>
    <row r="479">
      <c r="D479" s="55"/>
      <c r="E479" s="55"/>
      <c r="F479" s="55"/>
      <c r="J479" s="55"/>
    </row>
    <row r="480">
      <c r="D480" s="55"/>
      <c r="E480" s="55"/>
      <c r="F480" s="55"/>
      <c r="J480" s="55"/>
    </row>
    <row r="481">
      <c r="D481" s="55"/>
      <c r="E481" s="55"/>
      <c r="F481" s="55"/>
      <c r="J481" s="55"/>
    </row>
    <row r="482">
      <c r="D482" s="55"/>
      <c r="E482" s="55"/>
      <c r="F482" s="55"/>
      <c r="J482" s="55"/>
    </row>
    <row r="483">
      <c r="D483" s="55"/>
      <c r="E483" s="55"/>
      <c r="F483" s="55"/>
      <c r="J483" s="55"/>
    </row>
    <row r="484">
      <c r="D484" s="55"/>
      <c r="E484" s="55"/>
      <c r="F484" s="55"/>
      <c r="J484" s="55"/>
    </row>
    <row r="485">
      <c r="D485" s="55"/>
      <c r="E485" s="55"/>
      <c r="F485" s="55"/>
      <c r="J485" s="55"/>
    </row>
    <row r="486">
      <c r="D486" s="55"/>
      <c r="E486" s="55"/>
      <c r="F486" s="55"/>
      <c r="J486" s="55"/>
    </row>
    <row r="487">
      <c r="D487" s="55"/>
      <c r="E487" s="55"/>
      <c r="F487" s="55"/>
      <c r="J487" s="55"/>
    </row>
    <row r="488">
      <c r="D488" s="55"/>
      <c r="E488" s="55"/>
      <c r="F488" s="55"/>
      <c r="J488" s="55"/>
    </row>
    <row r="489">
      <c r="D489" s="55"/>
      <c r="E489" s="55"/>
      <c r="F489" s="55"/>
      <c r="J489" s="55"/>
    </row>
    <row r="490">
      <c r="D490" s="55"/>
      <c r="E490" s="55"/>
      <c r="F490" s="55"/>
      <c r="J490" s="55"/>
    </row>
    <row r="491">
      <c r="D491" s="55"/>
      <c r="E491" s="55"/>
      <c r="F491" s="55"/>
      <c r="J491" s="55"/>
    </row>
    <row r="492">
      <c r="D492" s="55"/>
      <c r="E492" s="55"/>
      <c r="F492" s="55"/>
      <c r="J492" s="55"/>
    </row>
    <row r="493">
      <c r="D493" s="55"/>
      <c r="E493" s="55"/>
      <c r="F493" s="55"/>
      <c r="J493" s="55"/>
    </row>
    <row r="494">
      <c r="D494" s="55"/>
      <c r="E494" s="55"/>
      <c r="F494" s="55"/>
      <c r="J494" s="55"/>
    </row>
    <row r="495">
      <c r="D495" s="55"/>
      <c r="E495" s="55"/>
      <c r="F495" s="55"/>
      <c r="J495" s="55"/>
    </row>
    <row r="496">
      <c r="D496" s="55"/>
      <c r="E496" s="55"/>
      <c r="F496" s="55"/>
      <c r="J496" s="55"/>
    </row>
    <row r="497">
      <c r="D497" s="55"/>
      <c r="E497" s="55"/>
      <c r="F497" s="55"/>
      <c r="J497" s="55"/>
    </row>
    <row r="498">
      <c r="D498" s="55"/>
      <c r="E498" s="55"/>
      <c r="F498" s="55"/>
      <c r="J498" s="55"/>
    </row>
    <row r="499">
      <c r="D499" s="55"/>
      <c r="E499" s="55"/>
      <c r="F499" s="55"/>
      <c r="J499" s="55"/>
    </row>
    <row r="500">
      <c r="D500" s="55"/>
      <c r="E500" s="55"/>
      <c r="F500" s="55"/>
      <c r="J500" s="55"/>
    </row>
    <row r="501">
      <c r="D501" s="55"/>
      <c r="E501" s="55"/>
      <c r="F501" s="55"/>
      <c r="J501" s="55"/>
    </row>
    <row r="502">
      <c r="D502" s="55"/>
      <c r="E502" s="55"/>
      <c r="F502" s="55"/>
      <c r="J502" s="55"/>
    </row>
    <row r="503">
      <c r="D503" s="55"/>
      <c r="E503" s="55"/>
      <c r="F503" s="55"/>
      <c r="J503" s="55"/>
    </row>
    <row r="504">
      <c r="D504" s="55"/>
      <c r="E504" s="55"/>
      <c r="F504" s="55"/>
      <c r="J504" s="55"/>
    </row>
    <row r="505">
      <c r="D505" s="55"/>
      <c r="E505" s="55"/>
      <c r="F505" s="55"/>
      <c r="J505" s="55"/>
    </row>
    <row r="506">
      <c r="D506" s="55"/>
      <c r="E506" s="55"/>
      <c r="F506" s="55"/>
      <c r="J506" s="55"/>
    </row>
    <row r="507">
      <c r="D507" s="55"/>
      <c r="E507" s="55"/>
      <c r="F507" s="55"/>
      <c r="J507" s="55"/>
    </row>
    <row r="508">
      <c r="D508" s="55"/>
      <c r="E508" s="55"/>
      <c r="F508" s="55"/>
      <c r="J508" s="55"/>
    </row>
    <row r="509">
      <c r="D509" s="55"/>
      <c r="E509" s="55"/>
      <c r="F509" s="55"/>
      <c r="J509" s="55"/>
    </row>
    <row r="510">
      <c r="D510" s="55"/>
      <c r="E510" s="55"/>
      <c r="F510" s="55"/>
      <c r="J510" s="55"/>
    </row>
    <row r="511">
      <c r="D511" s="55"/>
      <c r="E511" s="55"/>
      <c r="F511" s="55"/>
      <c r="J511" s="55"/>
    </row>
    <row r="512">
      <c r="D512" s="55"/>
      <c r="E512" s="55"/>
      <c r="F512" s="55"/>
      <c r="J512" s="55"/>
    </row>
    <row r="513">
      <c r="D513" s="55"/>
      <c r="E513" s="55"/>
      <c r="F513" s="55"/>
      <c r="J513" s="55"/>
    </row>
    <row r="514">
      <c r="D514" s="55"/>
      <c r="E514" s="55"/>
      <c r="F514" s="55"/>
      <c r="J514" s="55"/>
    </row>
    <row r="515">
      <c r="D515" s="55"/>
      <c r="E515" s="55"/>
      <c r="F515" s="55"/>
      <c r="J515" s="55"/>
    </row>
    <row r="516">
      <c r="D516" s="55"/>
      <c r="E516" s="55"/>
      <c r="F516" s="55"/>
      <c r="J516" s="55"/>
    </row>
    <row r="517">
      <c r="D517" s="55"/>
      <c r="E517" s="55"/>
      <c r="F517" s="55"/>
      <c r="J517" s="55"/>
    </row>
    <row r="518">
      <c r="D518" s="55"/>
      <c r="E518" s="55"/>
      <c r="F518" s="55"/>
      <c r="J518" s="55"/>
    </row>
    <row r="519">
      <c r="D519" s="55"/>
      <c r="E519" s="55"/>
      <c r="F519" s="55"/>
      <c r="J519" s="55"/>
    </row>
    <row r="520">
      <c r="D520" s="55"/>
      <c r="E520" s="55"/>
      <c r="F520" s="55"/>
      <c r="J520" s="55"/>
    </row>
    <row r="521">
      <c r="D521" s="55"/>
      <c r="E521" s="55"/>
      <c r="F521" s="55"/>
      <c r="J521" s="55"/>
    </row>
    <row r="522">
      <c r="D522" s="55"/>
      <c r="E522" s="55"/>
      <c r="F522" s="55"/>
      <c r="J522" s="55"/>
    </row>
    <row r="523">
      <c r="D523" s="55"/>
      <c r="E523" s="55"/>
      <c r="F523" s="55"/>
      <c r="J523" s="55"/>
    </row>
    <row r="524">
      <c r="D524" s="55"/>
      <c r="E524" s="55"/>
      <c r="F524" s="55"/>
      <c r="J524" s="55"/>
    </row>
    <row r="525">
      <c r="D525" s="55"/>
      <c r="E525" s="55"/>
      <c r="F525" s="55"/>
      <c r="J525" s="55"/>
    </row>
    <row r="526">
      <c r="D526" s="55"/>
      <c r="E526" s="55"/>
      <c r="F526" s="55"/>
      <c r="J526" s="55"/>
    </row>
    <row r="527">
      <c r="D527" s="55"/>
      <c r="E527" s="55"/>
      <c r="F527" s="55"/>
      <c r="J527" s="55"/>
    </row>
    <row r="528">
      <c r="D528" s="55"/>
      <c r="E528" s="55"/>
      <c r="F528" s="55"/>
      <c r="J528" s="55"/>
    </row>
    <row r="529">
      <c r="D529" s="55"/>
      <c r="E529" s="55"/>
      <c r="F529" s="55"/>
      <c r="J529" s="55"/>
    </row>
    <row r="530">
      <c r="D530" s="55"/>
      <c r="E530" s="55"/>
      <c r="F530" s="55"/>
      <c r="J530" s="55"/>
    </row>
    <row r="531">
      <c r="D531" s="55"/>
      <c r="E531" s="55"/>
      <c r="F531" s="55"/>
      <c r="J531" s="55"/>
    </row>
    <row r="532">
      <c r="D532" s="55"/>
      <c r="E532" s="55"/>
      <c r="F532" s="55"/>
      <c r="J532" s="55"/>
    </row>
    <row r="533">
      <c r="D533" s="55"/>
      <c r="E533" s="55"/>
      <c r="F533" s="55"/>
      <c r="J533" s="55"/>
    </row>
    <row r="534">
      <c r="D534" s="55"/>
      <c r="E534" s="55"/>
      <c r="F534" s="55"/>
      <c r="J534" s="55"/>
    </row>
    <row r="535">
      <c r="D535" s="55"/>
      <c r="E535" s="55"/>
      <c r="F535" s="55"/>
      <c r="J535" s="55"/>
    </row>
    <row r="536">
      <c r="D536" s="55"/>
      <c r="E536" s="55"/>
      <c r="F536" s="55"/>
      <c r="J536" s="55"/>
    </row>
    <row r="537">
      <c r="D537" s="55"/>
      <c r="E537" s="55"/>
      <c r="F537" s="55"/>
      <c r="J537" s="55"/>
    </row>
    <row r="538">
      <c r="D538" s="55"/>
      <c r="E538" s="55"/>
      <c r="F538" s="55"/>
      <c r="J538" s="55"/>
    </row>
    <row r="539">
      <c r="D539" s="55"/>
      <c r="E539" s="55"/>
      <c r="F539" s="55"/>
      <c r="J539" s="55"/>
    </row>
    <row r="540">
      <c r="D540" s="55"/>
      <c r="E540" s="55"/>
      <c r="F540" s="55"/>
      <c r="J540" s="55"/>
    </row>
    <row r="541">
      <c r="D541" s="55"/>
      <c r="E541" s="55"/>
      <c r="F541" s="55"/>
      <c r="J541" s="55"/>
    </row>
    <row r="542">
      <c r="D542" s="55"/>
      <c r="E542" s="55"/>
      <c r="F542" s="55"/>
      <c r="J542" s="55"/>
    </row>
    <row r="543">
      <c r="D543" s="55"/>
      <c r="E543" s="55"/>
      <c r="F543" s="55"/>
      <c r="J543" s="55"/>
    </row>
    <row r="544">
      <c r="D544" s="55"/>
      <c r="E544" s="55"/>
      <c r="F544" s="55"/>
      <c r="J544" s="55"/>
    </row>
    <row r="545">
      <c r="D545" s="55"/>
      <c r="E545" s="55"/>
      <c r="F545" s="55"/>
      <c r="J545" s="55"/>
    </row>
    <row r="546">
      <c r="D546" s="55"/>
      <c r="E546" s="55"/>
      <c r="F546" s="55"/>
      <c r="J546" s="55"/>
    </row>
    <row r="547">
      <c r="D547" s="55"/>
      <c r="E547" s="55"/>
      <c r="F547" s="55"/>
      <c r="J547" s="55"/>
    </row>
    <row r="548">
      <c r="D548" s="55"/>
      <c r="E548" s="55"/>
      <c r="F548" s="55"/>
      <c r="J548" s="55"/>
    </row>
    <row r="549">
      <c r="D549" s="55"/>
      <c r="E549" s="55"/>
      <c r="F549" s="55"/>
      <c r="J549" s="55"/>
    </row>
    <row r="550">
      <c r="D550" s="55"/>
      <c r="E550" s="55"/>
      <c r="F550" s="55"/>
      <c r="J550" s="55"/>
    </row>
    <row r="551">
      <c r="D551" s="55"/>
      <c r="E551" s="55"/>
      <c r="F551" s="55"/>
      <c r="J551" s="55"/>
    </row>
    <row r="552">
      <c r="D552" s="55"/>
      <c r="E552" s="55"/>
      <c r="F552" s="55"/>
      <c r="J552" s="55"/>
    </row>
    <row r="553">
      <c r="D553" s="55"/>
      <c r="E553" s="55"/>
      <c r="F553" s="55"/>
      <c r="J553" s="55"/>
    </row>
    <row r="554">
      <c r="D554" s="55"/>
      <c r="E554" s="55"/>
      <c r="F554" s="55"/>
      <c r="J554" s="55"/>
    </row>
    <row r="555">
      <c r="D555" s="55"/>
      <c r="E555" s="55"/>
      <c r="F555" s="55"/>
      <c r="J555" s="55"/>
    </row>
    <row r="556">
      <c r="D556" s="55"/>
      <c r="E556" s="55"/>
      <c r="F556" s="55"/>
      <c r="J556" s="55"/>
    </row>
    <row r="557">
      <c r="D557" s="55"/>
      <c r="E557" s="55"/>
      <c r="F557" s="55"/>
      <c r="J557" s="55"/>
    </row>
    <row r="558">
      <c r="D558" s="55"/>
      <c r="E558" s="55"/>
      <c r="F558" s="55"/>
      <c r="J558" s="55"/>
    </row>
    <row r="559">
      <c r="D559" s="55"/>
      <c r="E559" s="55"/>
      <c r="F559" s="55"/>
      <c r="J559" s="55"/>
    </row>
    <row r="560">
      <c r="D560" s="55"/>
      <c r="E560" s="55"/>
      <c r="F560" s="55"/>
      <c r="J560" s="55"/>
    </row>
    <row r="561">
      <c r="D561" s="55"/>
      <c r="E561" s="55"/>
      <c r="F561" s="55"/>
      <c r="J561" s="55"/>
    </row>
    <row r="562">
      <c r="D562" s="55"/>
      <c r="E562" s="55"/>
      <c r="F562" s="55"/>
      <c r="J562" s="55"/>
    </row>
    <row r="563">
      <c r="D563" s="55"/>
      <c r="E563" s="55"/>
      <c r="F563" s="55"/>
      <c r="J563" s="55"/>
    </row>
    <row r="564">
      <c r="D564" s="55"/>
      <c r="E564" s="55"/>
      <c r="F564" s="55"/>
      <c r="J564" s="55"/>
    </row>
    <row r="565">
      <c r="D565" s="55"/>
      <c r="E565" s="55"/>
      <c r="F565" s="55"/>
      <c r="J565" s="55"/>
    </row>
    <row r="566">
      <c r="D566" s="55"/>
      <c r="E566" s="55"/>
      <c r="F566" s="55"/>
      <c r="J566" s="55"/>
    </row>
    <row r="567">
      <c r="D567" s="55"/>
      <c r="E567" s="55"/>
      <c r="F567" s="55"/>
      <c r="J567" s="55"/>
    </row>
    <row r="568">
      <c r="D568" s="55"/>
      <c r="E568" s="55"/>
      <c r="F568" s="55"/>
      <c r="J568" s="55"/>
    </row>
    <row r="569">
      <c r="D569" s="55"/>
      <c r="E569" s="55"/>
      <c r="F569" s="55"/>
      <c r="J569" s="55"/>
    </row>
    <row r="570">
      <c r="D570" s="55"/>
      <c r="E570" s="55"/>
      <c r="F570" s="55"/>
      <c r="J570" s="55"/>
    </row>
    <row r="571">
      <c r="D571" s="55"/>
      <c r="E571" s="55"/>
      <c r="F571" s="55"/>
      <c r="J571" s="55"/>
    </row>
    <row r="572">
      <c r="D572" s="55"/>
      <c r="E572" s="55"/>
      <c r="F572" s="55"/>
      <c r="J572" s="55"/>
    </row>
    <row r="573">
      <c r="D573" s="55"/>
      <c r="E573" s="55"/>
      <c r="F573" s="55"/>
      <c r="J573" s="55"/>
    </row>
    <row r="574">
      <c r="D574" s="55"/>
      <c r="E574" s="55"/>
      <c r="F574" s="55"/>
      <c r="J574" s="55"/>
    </row>
    <row r="575">
      <c r="D575" s="55"/>
      <c r="E575" s="55"/>
      <c r="F575" s="55"/>
      <c r="J575" s="55"/>
    </row>
    <row r="576">
      <c r="D576" s="55"/>
      <c r="E576" s="55"/>
      <c r="F576" s="55"/>
      <c r="J576" s="55"/>
    </row>
    <row r="577">
      <c r="D577" s="55"/>
      <c r="E577" s="55"/>
      <c r="F577" s="55"/>
      <c r="J577" s="55"/>
    </row>
    <row r="578">
      <c r="D578" s="55"/>
      <c r="E578" s="55"/>
      <c r="F578" s="55"/>
      <c r="J578" s="55"/>
    </row>
    <row r="579">
      <c r="D579" s="55"/>
      <c r="E579" s="55"/>
      <c r="F579" s="55"/>
      <c r="J579" s="55"/>
    </row>
    <row r="580">
      <c r="D580" s="55"/>
      <c r="E580" s="55"/>
      <c r="F580" s="55"/>
      <c r="J580" s="55"/>
    </row>
    <row r="581">
      <c r="D581" s="55"/>
      <c r="E581" s="55"/>
      <c r="F581" s="55"/>
      <c r="J581" s="55"/>
    </row>
    <row r="582">
      <c r="D582" s="55"/>
      <c r="E582" s="55"/>
      <c r="F582" s="55"/>
      <c r="J582" s="55"/>
    </row>
    <row r="583">
      <c r="D583" s="55"/>
      <c r="E583" s="55"/>
      <c r="F583" s="55"/>
      <c r="J583" s="55"/>
    </row>
    <row r="584">
      <c r="D584" s="55"/>
      <c r="E584" s="55"/>
      <c r="F584" s="55"/>
      <c r="J584" s="55"/>
    </row>
    <row r="585">
      <c r="D585" s="55"/>
      <c r="E585" s="55"/>
      <c r="F585" s="55"/>
      <c r="J585" s="55"/>
    </row>
    <row r="586">
      <c r="D586" s="55"/>
      <c r="E586" s="55"/>
      <c r="F586" s="55"/>
      <c r="J586" s="55"/>
    </row>
    <row r="587">
      <c r="D587" s="55"/>
      <c r="E587" s="55"/>
      <c r="F587" s="55"/>
      <c r="J587" s="55"/>
    </row>
    <row r="588">
      <c r="D588" s="55"/>
      <c r="E588" s="55"/>
      <c r="F588" s="55"/>
      <c r="J588" s="55"/>
    </row>
    <row r="589">
      <c r="D589" s="55"/>
      <c r="E589" s="55"/>
      <c r="F589" s="55"/>
      <c r="J589" s="55"/>
    </row>
    <row r="590">
      <c r="D590" s="55"/>
      <c r="E590" s="55"/>
      <c r="F590" s="55"/>
      <c r="J590" s="55"/>
    </row>
    <row r="591">
      <c r="D591" s="55"/>
      <c r="E591" s="55"/>
      <c r="F591" s="55"/>
      <c r="J591" s="55"/>
    </row>
    <row r="592">
      <c r="D592" s="55"/>
      <c r="E592" s="55"/>
      <c r="F592" s="55"/>
      <c r="J592" s="55"/>
    </row>
    <row r="593">
      <c r="D593" s="55"/>
      <c r="E593" s="55"/>
      <c r="F593" s="55"/>
      <c r="J593" s="55"/>
    </row>
    <row r="594">
      <c r="D594" s="55"/>
      <c r="E594" s="55"/>
      <c r="F594" s="55"/>
      <c r="J594" s="55"/>
    </row>
    <row r="595">
      <c r="D595" s="55"/>
      <c r="E595" s="55"/>
      <c r="F595" s="55"/>
      <c r="J595" s="55"/>
    </row>
    <row r="596">
      <c r="D596" s="55"/>
      <c r="E596" s="55"/>
      <c r="F596" s="55"/>
      <c r="J596" s="55"/>
    </row>
    <row r="597">
      <c r="D597" s="55"/>
      <c r="E597" s="55"/>
      <c r="F597" s="55"/>
      <c r="J597" s="55"/>
    </row>
    <row r="598">
      <c r="D598" s="55"/>
      <c r="E598" s="55"/>
      <c r="F598" s="55"/>
      <c r="J598" s="55"/>
    </row>
    <row r="599">
      <c r="D599" s="55"/>
      <c r="E599" s="55"/>
      <c r="F599" s="55"/>
      <c r="J599" s="55"/>
    </row>
    <row r="600">
      <c r="D600" s="55"/>
      <c r="E600" s="55"/>
      <c r="F600" s="55"/>
      <c r="J600" s="55"/>
    </row>
    <row r="601">
      <c r="D601" s="55"/>
      <c r="E601" s="55"/>
      <c r="F601" s="55"/>
      <c r="J601" s="55"/>
    </row>
    <row r="602">
      <c r="D602" s="55"/>
      <c r="E602" s="55"/>
      <c r="F602" s="55"/>
      <c r="J602" s="55"/>
    </row>
    <row r="603">
      <c r="D603" s="55"/>
      <c r="E603" s="55"/>
      <c r="F603" s="55"/>
      <c r="J603" s="55"/>
    </row>
    <row r="604">
      <c r="D604" s="55"/>
      <c r="E604" s="55"/>
      <c r="F604" s="55"/>
      <c r="J604" s="55"/>
    </row>
    <row r="605">
      <c r="D605" s="55"/>
      <c r="E605" s="55"/>
      <c r="F605" s="55"/>
      <c r="J605" s="55"/>
    </row>
    <row r="606">
      <c r="D606" s="55"/>
      <c r="E606" s="55"/>
      <c r="F606" s="55"/>
      <c r="J606" s="55"/>
    </row>
    <row r="607">
      <c r="D607" s="55"/>
      <c r="E607" s="55"/>
      <c r="F607" s="55"/>
      <c r="J607" s="55"/>
    </row>
    <row r="608">
      <c r="D608" s="55"/>
      <c r="E608" s="55"/>
      <c r="F608" s="55"/>
      <c r="J608" s="55"/>
    </row>
    <row r="609">
      <c r="D609" s="55"/>
      <c r="E609" s="55"/>
      <c r="F609" s="55"/>
      <c r="J609" s="55"/>
    </row>
    <row r="610">
      <c r="D610" s="55"/>
      <c r="E610" s="55"/>
      <c r="F610" s="55"/>
      <c r="J610" s="55"/>
    </row>
    <row r="611">
      <c r="D611" s="55"/>
      <c r="E611" s="55"/>
      <c r="F611" s="55"/>
      <c r="J611" s="55"/>
    </row>
    <row r="612">
      <c r="D612" s="55"/>
      <c r="E612" s="55"/>
      <c r="F612" s="55"/>
      <c r="J612" s="55"/>
    </row>
    <row r="613">
      <c r="D613" s="55"/>
      <c r="E613" s="55"/>
      <c r="F613" s="55"/>
      <c r="J613" s="55"/>
    </row>
    <row r="614">
      <c r="D614" s="55"/>
      <c r="E614" s="55"/>
      <c r="F614" s="55"/>
      <c r="J614" s="55"/>
    </row>
    <row r="615">
      <c r="D615" s="55"/>
      <c r="E615" s="55"/>
      <c r="F615" s="55"/>
      <c r="J615" s="55"/>
    </row>
    <row r="616">
      <c r="D616" s="55"/>
      <c r="E616" s="55"/>
      <c r="F616" s="55"/>
      <c r="J616" s="55"/>
    </row>
    <row r="617">
      <c r="D617" s="55"/>
      <c r="E617" s="55"/>
      <c r="F617" s="55"/>
      <c r="J617" s="55"/>
    </row>
    <row r="618">
      <c r="D618" s="55"/>
      <c r="E618" s="55"/>
      <c r="F618" s="55"/>
      <c r="J618" s="55"/>
    </row>
    <row r="619">
      <c r="D619" s="55"/>
      <c r="E619" s="55"/>
      <c r="F619" s="55"/>
      <c r="J619" s="55"/>
    </row>
    <row r="620">
      <c r="D620" s="55"/>
      <c r="E620" s="55"/>
      <c r="F620" s="55"/>
      <c r="J620" s="55"/>
    </row>
    <row r="621">
      <c r="D621" s="55"/>
      <c r="E621" s="55"/>
      <c r="F621" s="55"/>
      <c r="J621" s="55"/>
    </row>
    <row r="622">
      <c r="D622" s="55"/>
      <c r="E622" s="55"/>
      <c r="F622" s="55"/>
      <c r="J622" s="55"/>
    </row>
    <row r="623">
      <c r="D623" s="55"/>
      <c r="E623" s="55"/>
      <c r="F623" s="55"/>
      <c r="J623" s="55"/>
    </row>
    <row r="624">
      <c r="D624" s="55"/>
      <c r="E624" s="55"/>
      <c r="F624" s="55"/>
      <c r="J624" s="55"/>
    </row>
    <row r="625">
      <c r="D625" s="55"/>
      <c r="E625" s="55"/>
      <c r="F625" s="55"/>
      <c r="J625" s="55"/>
    </row>
    <row r="626">
      <c r="D626" s="55"/>
      <c r="E626" s="55"/>
      <c r="F626" s="55"/>
      <c r="J626" s="55"/>
    </row>
    <row r="627">
      <c r="D627" s="55"/>
      <c r="E627" s="55"/>
      <c r="F627" s="55"/>
      <c r="J627" s="55"/>
    </row>
    <row r="628">
      <c r="D628" s="55"/>
      <c r="E628" s="55"/>
      <c r="F628" s="55"/>
      <c r="J628" s="55"/>
    </row>
    <row r="629">
      <c r="D629" s="55"/>
      <c r="E629" s="55"/>
      <c r="F629" s="55"/>
      <c r="J629" s="55"/>
    </row>
    <row r="630">
      <c r="D630" s="55"/>
      <c r="E630" s="55"/>
      <c r="F630" s="55"/>
      <c r="J630" s="55"/>
    </row>
    <row r="631">
      <c r="D631" s="55"/>
      <c r="E631" s="55"/>
      <c r="F631" s="55"/>
      <c r="J631" s="55"/>
    </row>
    <row r="632">
      <c r="D632" s="55"/>
      <c r="E632" s="55"/>
      <c r="F632" s="55"/>
      <c r="J632" s="55"/>
    </row>
    <row r="633">
      <c r="D633" s="55"/>
      <c r="E633" s="55"/>
      <c r="F633" s="55"/>
      <c r="J633" s="55"/>
    </row>
    <row r="634">
      <c r="D634" s="55"/>
      <c r="E634" s="55"/>
      <c r="F634" s="55"/>
      <c r="J634" s="55"/>
    </row>
    <row r="635">
      <c r="D635" s="55"/>
      <c r="E635" s="55"/>
      <c r="F635" s="55"/>
      <c r="J635" s="55"/>
    </row>
    <row r="636">
      <c r="D636" s="55"/>
      <c r="E636" s="55"/>
      <c r="F636" s="55"/>
      <c r="J636" s="55"/>
    </row>
    <row r="637">
      <c r="D637" s="55"/>
      <c r="E637" s="55"/>
      <c r="F637" s="55"/>
      <c r="J637" s="55"/>
    </row>
    <row r="638">
      <c r="D638" s="55"/>
      <c r="E638" s="55"/>
      <c r="F638" s="55"/>
      <c r="J638" s="55"/>
    </row>
    <row r="639">
      <c r="D639" s="55"/>
      <c r="E639" s="55"/>
      <c r="F639" s="55"/>
      <c r="J639" s="55"/>
    </row>
    <row r="640">
      <c r="D640" s="55"/>
      <c r="E640" s="55"/>
      <c r="F640" s="55"/>
      <c r="J640" s="55"/>
    </row>
    <row r="641">
      <c r="D641" s="55"/>
      <c r="E641" s="55"/>
      <c r="F641" s="55"/>
      <c r="J641" s="55"/>
    </row>
    <row r="642">
      <c r="D642" s="55"/>
      <c r="E642" s="55"/>
      <c r="F642" s="55"/>
      <c r="J642" s="55"/>
    </row>
    <row r="643">
      <c r="D643" s="55"/>
      <c r="E643" s="55"/>
      <c r="F643" s="55"/>
      <c r="J643" s="55"/>
    </row>
    <row r="644">
      <c r="D644" s="55"/>
      <c r="E644" s="55"/>
      <c r="F644" s="55"/>
      <c r="J644" s="55"/>
    </row>
    <row r="645">
      <c r="D645" s="55"/>
      <c r="E645" s="55"/>
      <c r="F645" s="55"/>
      <c r="J645" s="55"/>
    </row>
    <row r="646">
      <c r="D646" s="55"/>
      <c r="E646" s="55"/>
      <c r="F646" s="55"/>
      <c r="J646" s="55"/>
    </row>
    <row r="647">
      <c r="D647" s="55"/>
      <c r="E647" s="55"/>
      <c r="F647" s="55"/>
      <c r="J647" s="55"/>
    </row>
    <row r="648">
      <c r="D648" s="55"/>
      <c r="E648" s="55"/>
      <c r="F648" s="55"/>
      <c r="J648" s="55"/>
    </row>
    <row r="649">
      <c r="D649" s="55"/>
      <c r="E649" s="55"/>
      <c r="F649" s="55"/>
      <c r="J649" s="55"/>
    </row>
    <row r="650">
      <c r="D650" s="55"/>
      <c r="E650" s="55"/>
      <c r="F650" s="55"/>
      <c r="J650" s="55"/>
    </row>
    <row r="651">
      <c r="D651" s="55"/>
      <c r="E651" s="55"/>
      <c r="F651" s="55"/>
      <c r="J651" s="55"/>
    </row>
    <row r="652">
      <c r="D652" s="55"/>
      <c r="E652" s="55"/>
      <c r="F652" s="55"/>
      <c r="J652" s="55"/>
    </row>
    <row r="653">
      <c r="D653" s="55"/>
      <c r="E653" s="55"/>
      <c r="F653" s="55"/>
      <c r="J653" s="55"/>
    </row>
    <row r="654">
      <c r="D654" s="55"/>
      <c r="E654" s="55"/>
      <c r="F654" s="55"/>
      <c r="J654" s="55"/>
    </row>
    <row r="655">
      <c r="D655" s="55"/>
      <c r="E655" s="55"/>
      <c r="F655" s="55"/>
      <c r="J655" s="55"/>
    </row>
    <row r="656">
      <c r="D656" s="55"/>
      <c r="E656" s="55"/>
      <c r="F656" s="55"/>
      <c r="J656" s="55"/>
    </row>
    <row r="657">
      <c r="D657" s="55"/>
      <c r="E657" s="55"/>
      <c r="F657" s="55"/>
      <c r="J657" s="55"/>
    </row>
    <row r="658">
      <c r="D658" s="55"/>
      <c r="E658" s="55"/>
      <c r="F658" s="55"/>
      <c r="J658" s="55"/>
    </row>
    <row r="659">
      <c r="D659" s="55"/>
      <c r="E659" s="55"/>
      <c r="F659" s="55"/>
      <c r="J659" s="55"/>
    </row>
    <row r="660">
      <c r="D660" s="55"/>
      <c r="E660" s="55"/>
      <c r="F660" s="55"/>
      <c r="J660" s="55"/>
    </row>
    <row r="661">
      <c r="D661" s="55"/>
      <c r="E661" s="55"/>
      <c r="F661" s="55"/>
      <c r="J661" s="55"/>
    </row>
    <row r="662">
      <c r="D662" s="55"/>
      <c r="E662" s="55"/>
      <c r="F662" s="55"/>
      <c r="J662" s="55"/>
    </row>
    <row r="663">
      <c r="D663" s="55"/>
      <c r="E663" s="55"/>
      <c r="F663" s="55"/>
      <c r="J663" s="55"/>
    </row>
    <row r="664">
      <c r="D664" s="55"/>
      <c r="E664" s="55"/>
      <c r="F664" s="55"/>
      <c r="J664" s="55"/>
    </row>
    <row r="665">
      <c r="D665" s="55"/>
      <c r="E665" s="55"/>
      <c r="F665" s="55"/>
      <c r="J665" s="55"/>
    </row>
    <row r="666">
      <c r="D666" s="55"/>
      <c r="E666" s="55"/>
      <c r="F666" s="55"/>
      <c r="J666" s="55"/>
    </row>
    <row r="667">
      <c r="D667" s="55"/>
      <c r="E667" s="55"/>
      <c r="F667" s="55"/>
      <c r="J667" s="55"/>
    </row>
    <row r="668">
      <c r="D668" s="55"/>
      <c r="E668" s="55"/>
      <c r="F668" s="55"/>
      <c r="J668" s="55"/>
    </row>
    <row r="669">
      <c r="D669" s="55"/>
      <c r="E669" s="55"/>
      <c r="F669" s="55"/>
      <c r="J669" s="55"/>
    </row>
    <row r="670">
      <c r="D670" s="55"/>
      <c r="E670" s="55"/>
      <c r="F670" s="55"/>
      <c r="J670" s="55"/>
    </row>
    <row r="671">
      <c r="D671" s="55"/>
      <c r="E671" s="55"/>
      <c r="F671" s="55"/>
      <c r="J671" s="55"/>
    </row>
    <row r="672">
      <c r="D672" s="55"/>
      <c r="E672" s="55"/>
      <c r="F672" s="55"/>
      <c r="J672" s="55"/>
    </row>
    <row r="673">
      <c r="D673" s="55"/>
      <c r="E673" s="55"/>
      <c r="F673" s="55"/>
      <c r="J673" s="55"/>
    </row>
    <row r="674">
      <c r="D674" s="55"/>
      <c r="E674" s="55"/>
      <c r="F674" s="55"/>
      <c r="J674" s="55"/>
    </row>
    <row r="675">
      <c r="D675" s="55"/>
      <c r="E675" s="55"/>
      <c r="F675" s="55"/>
      <c r="J675" s="55"/>
    </row>
    <row r="676">
      <c r="D676" s="55"/>
      <c r="E676" s="55"/>
      <c r="F676" s="55"/>
      <c r="J676" s="55"/>
    </row>
    <row r="677">
      <c r="D677" s="55"/>
      <c r="E677" s="55"/>
      <c r="F677" s="55"/>
      <c r="J677" s="55"/>
    </row>
    <row r="678">
      <c r="D678" s="55"/>
      <c r="E678" s="55"/>
      <c r="F678" s="55"/>
      <c r="J678" s="55"/>
    </row>
    <row r="679">
      <c r="D679" s="55"/>
      <c r="E679" s="55"/>
      <c r="F679" s="55"/>
      <c r="J679" s="55"/>
    </row>
    <row r="680">
      <c r="D680" s="55"/>
      <c r="E680" s="55"/>
      <c r="F680" s="55"/>
      <c r="J680" s="55"/>
    </row>
    <row r="681">
      <c r="D681" s="55"/>
      <c r="E681" s="55"/>
      <c r="F681" s="55"/>
      <c r="J681" s="55"/>
    </row>
    <row r="682">
      <c r="D682" s="55"/>
      <c r="E682" s="55"/>
      <c r="F682" s="55"/>
      <c r="J682" s="55"/>
    </row>
    <row r="683">
      <c r="D683" s="55"/>
      <c r="E683" s="55"/>
      <c r="F683" s="55"/>
      <c r="J683" s="55"/>
    </row>
    <row r="684">
      <c r="D684" s="55"/>
      <c r="E684" s="55"/>
      <c r="F684" s="55"/>
      <c r="J684" s="55"/>
    </row>
    <row r="685">
      <c r="D685" s="55"/>
      <c r="E685" s="55"/>
      <c r="F685" s="55"/>
      <c r="J685" s="55"/>
    </row>
    <row r="686">
      <c r="D686" s="55"/>
      <c r="E686" s="55"/>
      <c r="F686" s="55"/>
      <c r="J686" s="55"/>
    </row>
    <row r="687">
      <c r="D687" s="55"/>
      <c r="E687" s="55"/>
      <c r="F687" s="55"/>
      <c r="J687" s="55"/>
    </row>
    <row r="688">
      <c r="D688" s="55"/>
      <c r="E688" s="55"/>
      <c r="F688" s="55"/>
      <c r="J688" s="55"/>
    </row>
    <row r="689">
      <c r="D689" s="55"/>
      <c r="E689" s="55"/>
      <c r="F689" s="55"/>
      <c r="J689" s="55"/>
    </row>
    <row r="690">
      <c r="D690" s="55"/>
      <c r="E690" s="55"/>
      <c r="F690" s="55"/>
      <c r="J690" s="55"/>
    </row>
    <row r="691">
      <c r="D691" s="55"/>
      <c r="E691" s="55"/>
      <c r="F691" s="55"/>
      <c r="J691" s="55"/>
    </row>
    <row r="692">
      <c r="D692" s="55"/>
      <c r="E692" s="55"/>
      <c r="F692" s="55"/>
      <c r="J692" s="55"/>
    </row>
    <row r="693">
      <c r="D693" s="55"/>
      <c r="E693" s="55"/>
      <c r="F693" s="55"/>
      <c r="J693" s="55"/>
    </row>
    <row r="694">
      <c r="D694" s="55"/>
      <c r="E694" s="55"/>
      <c r="F694" s="55"/>
      <c r="J694" s="55"/>
    </row>
    <row r="695">
      <c r="D695" s="55"/>
      <c r="E695" s="55"/>
      <c r="F695" s="55"/>
      <c r="J695" s="55"/>
    </row>
    <row r="696">
      <c r="D696" s="55"/>
      <c r="E696" s="55"/>
      <c r="F696" s="55"/>
      <c r="J696" s="55"/>
    </row>
    <row r="697">
      <c r="D697" s="55"/>
      <c r="E697" s="55"/>
      <c r="F697" s="55"/>
      <c r="J697" s="55"/>
    </row>
    <row r="698">
      <c r="D698" s="55"/>
      <c r="E698" s="55"/>
      <c r="F698" s="55"/>
      <c r="J698" s="55"/>
    </row>
    <row r="699">
      <c r="D699" s="55"/>
      <c r="E699" s="55"/>
      <c r="F699" s="55"/>
      <c r="J699" s="55"/>
    </row>
    <row r="700">
      <c r="D700" s="55"/>
      <c r="E700" s="55"/>
      <c r="F700" s="55"/>
      <c r="J700" s="55"/>
    </row>
    <row r="701">
      <c r="D701" s="55"/>
      <c r="E701" s="55"/>
      <c r="F701" s="55"/>
      <c r="J701" s="55"/>
    </row>
    <row r="702">
      <c r="D702" s="55"/>
      <c r="E702" s="55"/>
      <c r="F702" s="55"/>
      <c r="J702" s="55"/>
    </row>
    <row r="703">
      <c r="D703" s="55"/>
      <c r="E703" s="55"/>
      <c r="F703" s="55"/>
      <c r="J703" s="55"/>
    </row>
    <row r="704">
      <c r="D704" s="55"/>
      <c r="E704" s="55"/>
      <c r="F704" s="55"/>
      <c r="J704" s="55"/>
    </row>
    <row r="705">
      <c r="D705" s="55"/>
      <c r="E705" s="55"/>
      <c r="F705" s="55"/>
      <c r="J705" s="55"/>
    </row>
    <row r="706">
      <c r="D706" s="55"/>
      <c r="E706" s="55"/>
      <c r="F706" s="55"/>
      <c r="J706" s="55"/>
    </row>
    <row r="707">
      <c r="D707" s="55"/>
      <c r="E707" s="55"/>
      <c r="F707" s="55"/>
      <c r="J707" s="55"/>
    </row>
    <row r="708">
      <c r="D708" s="55"/>
      <c r="E708" s="55"/>
      <c r="F708" s="55"/>
      <c r="J708" s="55"/>
    </row>
    <row r="709">
      <c r="D709" s="55"/>
      <c r="E709" s="55"/>
      <c r="F709" s="55"/>
      <c r="J709" s="55"/>
    </row>
    <row r="710">
      <c r="D710" s="55"/>
      <c r="E710" s="55"/>
      <c r="F710" s="55"/>
      <c r="J710" s="55"/>
    </row>
    <row r="711">
      <c r="D711" s="55"/>
      <c r="E711" s="55"/>
      <c r="F711" s="55"/>
      <c r="J711" s="55"/>
    </row>
    <row r="712">
      <c r="D712" s="55"/>
      <c r="E712" s="55"/>
      <c r="F712" s="55"/>
      <c r="J712" s="55"/>
    </row>
    <row r="713">
      <c r="D713" s="55"/>
      <c r="E713" s="55"/>
      <c r="F713" s="55"/>
      <c r="J713" s="55"/>
    </row>
    <row r="714">
      <c r="D714" s="55"/>
      <c r="E714" s="55"/>
      <c r="F714" s="55"/>
      <c r="J714" s="55"/>
    </row>
    <row r="715">
      <c r="D715" s="55"/>
      <c r="E715" s="55"/>
      <c r="F715" s="55"/>
      <c r="J715" s="55"/>
    </row>
    <row r="716">
      <c r="D716" s="55"/>
      <c r="E716" s="55"/>
      <c r="F716" s="55"/>
      <c r="J716" s="55"/>
    </row>
    <row r="717">
      <c r="D717" s="55"/>
      <c r="E717" s="55"/>
      <c r="F717" s="55"/>
      <c r="J717" s="55"/>
    </row>
    <row r="718">
      <c r="D718" s="55"/>
      <c r="E718" s="55"/>
      <c r="F718" s="55"/>
      <c r="J718" s="55"/>
    </row>
    <row r="719">
      <c r="D719" s="55"/>
      <c r="E719" s="55"/>
      <c r="F719" s="55"/>
      <c r="J719" s="55"/>
    </row>
    <row r="720">
      <c r="D720" s="55"/>
      <c r="E720" s="55"/>
      <c r="F720" s="55"/>
      <c r="J720" s="55"/>
    </row>
    <row r="721">
      <c r="D721" s="55"/>
      <c r="E721" s="55"/>
      <c r="F721" s="55"/>
      <c r="J721" s="55"/>
    </row>
    <row r="722">
      <c r="D722" s="55"/>
      <c r="E722" s="55"/>
      <c r="F722" s="55"/>
      <c r="J722" s="55"/>
    </row>
    <row r="723">
      <c r="D723" s="55"/>
      <c r="E723" s="55"/>
      <c r="F723" s="55"/>
      <c r="J723" s="55"/>
    </row>
    <row r="724">
      <c r="D724" s="55"/>
      <c r="E724" s="55"/>
      <c r="F724" s="55"/>
      <c r="J724" s="55"/>
    </row>
    <row r="725">
      <c r="D725" s="55"/>
      <c r="E725" s="55"/>
      <c r="F725" s="55"/>
      <c r="J725" s="55"/>
    </row>
    <row r="726">
      <c r="D726" s="55"/>
      <c r="E726" s="55"/>
      <c r="F726" s="55"/>
      <c r="J726" s="55"/>
    </row>
    <row r="727">
      <c r="D727" s="55"/>
      <c r="E727" s="55"/>
      <c r="F727" s="55"/>
      <c r="J727" s="55"/>
    </row>
    <row r="728">
      <c r="D728" s="55"/>
      <c r="E728" s="55"/>
      <c r="F728" s="55"/>
      <c r="J728" s="55"/>
    </row>
    <row r="729">
      <c r="D729" s="55"/>
      <c r="E729" s="55"/>
      <c r="F729" s="55"/>
      <c r="J729" s="55"/>
    </row>
    <row r="730">
      <c r="D730" s="55"/>
      <c r="E730" s="55"/>
      <c r="F730" s="55"/>
      <c r="J730" s="55"/>
    </row>
    <row r="731">
      <c r="D731" s="55"/>
      <c r="E731" s="55"/>
      <c r="F731" s="55"/>
      <c r="J731" s="55"/>
    </row>
    <row r="732">
      <c r="D732" s="55"/>
      <c r="E732" s="55"/>
      <c r="F732" s="55"/>
      <c r="J732" s="55"/>
    </row>
    <row r="733">
      <c r="D733" s="55"/>
      <c r="E733" s="55"/>
      <c r="F733" s="55"/>
      <c r="J733" s="55"/>
    </row>
    <row r="734">
      <c r="D734" s="55"/>
      <c r="E734" s="55"/>
      <c r="F734" s="55"/>
      <c r="J734" s="55"/>
    </row>
    <row r="735">
      <c r="D735" s="55"/>
      <c r="E735" s="55"/>
      <c r="F735" s="55"/>
      <c r="J735" s="55"/>
    </row>
    <row r="736">
      <c r="D736" s="55"/>
      <c r="E736" s="55"/>
      <c r="F736" s="55"/>
      <c r="J736" s="55"/>
    </row>
    <row r="737">
      <c r="D737" s="55"/>
      <c r="E737" s="55"/>
      <c r="F737" s="55"/>
      <c r="J737" s="55"/>
    </row>
    <row r="738">
      <c r="D738" s="55"/>
      <c r="E738" s="55"/>
      <c r="F738" s="55"/>
      <c r="J738" s="55"/>
    </row>
    <row r="739">
      <c r="D739" s="55"/>
      <c r="E739" s="55"/>
      <c r="F739" s="55"/>
      <c r="J739" s="55"/>
    </row>
    <row r="740">
      <c r="D740" s="55"/>
      <c r="E740" s="55"/>
      <c r="F740" s="55"/>
      <c r="J740" s="55"/>
    </row>
    <row r="741">
      <c r="D741" s="55"/>
      <c r="E741" s="55"/>
      <c r="F741" s="55"/>
      <c r="J741" s="55"/>
    </row>
    <row r="742">
      <c r="D742" s="55"/>
      <c r="E742" s="55"/>
      <c r="F742" s="55"/>
      <c r="J742" s="55"/>
    </row>
    <row r="743">
      <c r="D743" s="55"/>
      <c r="E743" s="55"/>
      <c r="F743" s="55"/>
      <c r="J743" s="55"/>
    </row>
    <row r="744">
      <c r="D744" s="55"/>
      <c r="E744" s="55"/>
      <c r="F744" s="55"/>
      <c r="J744" s="55"/>
    </row>
    <row r="745">
      <c r="D745" s="55"/>
      <c r="E745" s="55"/>
      <c r="F745" s="55"/>
      <c r="J745" s="55"/>
    </row>
    <row r="746">
      <c r="D746" s="55"/>
      <c r="E746" s="55"/>
      <c r="F746" s="55"/>
      <c r="J746" s="55"/>
    </row>
    <row r="747">
      <c r="D747" s="55"/>
      <c r="E747" s="55"/>
      <c r="F747" s="55"/>
      <c r="J747" s="55"/>
    </row>
    <row r="748">
      <c r="D748" s="55"/>
      <c r="E748" s="55"/>
      <c r="F748" s="55"/>
      <c r="J748" s="55"/>
    </row>
    <row r="749">
      <c r="D749" s="55"/>
      <c r="E749" s="55"/>
      <c r="F749" s="55"/>
      <c r="J749" s="55"/>
    </row>
    <row r="750">
      <c r="D750" s="55"/>
      <c r="E750" s="55"/>
      <c r="F750" s="55"/>
      <c r="J750" s="55"/>
    </row>
    <row r="751">
      <c r="D751" s="55"/>
      <c r="E751" s="55"/>
      <c r="F751" s="55"/>
      <c r="J751" s="55"/>
    </row>
    <row r="752">
      <c r="D752" s="55"/>
      <c r="E752" s="55"/>
      <c r="F752" s="55"/>
      <c r="J752" s="55"/>
    </row>
    <row r="753">
      <c r="D753" s="55"/>
      <c r="E753" s="55"/>
      <c r="F753" s="55"/>
      <c r="J753" s="55"/>
    </row>
    <row r="754">
      <c r="D754" s="55"/>
      <c r="E754" s="55"/>
      <c r="F754" s="55"/>
      <c r="J754" s="55"/>
    </row>
    <row r="755">
      <c r="D755" s="55"/>
      <c r="E755" s="55"/>
      <c r="F755" s="55"/>
      <c r="J755" s="55"/>
    </row>
    <row r="756">
      <c r="D756" s="55"/>
      <c r="E756" s="55"/>
      <c r="F756" s="55"/>
      <c r="J756" s="55"/>
    </row>
    <row r="757">
      <c r="D757" s="55"/>
      <c r="E757" s="55"/>
      <c r="F757" s="55"/>
      <c r="J757" s="55"/>
    </row>
    <row r="758">
      <c r="D758" s="55"/>
      <c r="E758" s="55"/>
      <c r="F758" s="55"/>
      <c r="J758" s="55"/>
    </row>
    <row r="759">
      <c r="D759" s="55"/>
      <c r="E759" s="55"/>
      <c r="F759" s="55"/>
      <c r="J759" s="55"/>
    </row>
    <row r="760">
      <c r="D760" s="55"/>
      <c r="E760" s="55"/>
      <c r="F760" s="55"/>
      <c r="J760" s="55"/>
    </row>
    <row r="761">
      <c r="D761" s="55"/>
      <c r="E761" s="55"/>
      <c r="F761" s="55"/>
      <c r="J761" s="55"/>
    </row>
    <row r="762">
      <c r="D762" s="55"/>
      <c r="E762" s="55"/>
      <c r="F762" s="55"/>
      <c r="J762" s="55"/>
    </row>
    <row r="763">
      <c r="D763" s="55"/>
      <c r="E763" s="55"/>
      <c r="F763" s="55"/>
      <c r="J763" s="55"/>
    </row>
    <row r="764">
      <c r="D764" s="55"/>
      <c r="E764" s="55"/>
      <c r="F764" s="55"/>
      <c r="J764" s="55"/>
    </row>
    <row r="765">
      <c r="D765" s="55"/>
      <c r="E765" s="55"/>
      <c r="F765" s="55"/>
      <c r="J765" s="55"/>
    </row>
    <row r="766">
      <c r="D766" s="55"/>
      <c r="E766" s="55"/>
      <c r="F766" s="55"/>
      <c r="J766" s="55"/>
    </row>
    <row r="767">
      <c r="D767" s="55"/>
      <c r="E767" s="55"/>
      <c r="F767" s="55"/>
      <c r="J767" s="55"/>
    </row>
    <row r="768">
      <c r="D768" s="55"/>
      <c r="E768" s="55"/>
      <c r="F768" s="55"/>
      <c r="J768" s="55"/>
    </row>
    <row r="769">
      <c r="D769" s="55"/>
      <c r="E769" s="55"/>
      <c r="F769" s="55"/>
      <c r="J769" s="55"/>
    </row>
    <row r="770">
      <c r="D770" s="55"/>
      <c r="E770" s="55"/>
      <c r="F770" s="55"/>
      <c r="J770" s="55"/>
    </row>
    <row r="771">
      <c r="D771" s="55"/>
      <c r="E771" s="55"/>
      <c r="F771" s="55"/>
      <c r="J771" s="55"/>
    </row>
    <row r="772">
      <c r="D772" s="55"/>
      <c r="E772" s="55"/>
      <c r="F772" s="55"/>
      <c r="J772" s="55"/>
    </row>
    <row r="773">
      <c r="D773" s="55"/>
      <c r="E773" s="55"/>
      <c r="F773" s="55"/>
      <c r="J773" s="55"/>
    </row>
    <row r="774">
      <c r="D774" s="55"/>
      <c r="E774" s="55"/>
      <c r="F774" s="55"/>
      <c r="J774" s="55"/>
    </row>
    <row r="775">
      <c r="D775" s="55"/>
      <c r="E775" s="55"/>
      <c r="F775" s="55"/>
      <c r="J775" s="55"/>
    </row>
    <row r="776">
      <c r="D776" s="55"/>
      <c r="E776" s="55"/>
      <c r="F776" s="55"/>
      <c r="J776" s="55"/>
    </row>
    <row r="777">
      <c r="D777" s="55"/>
      <c r="E777" s="55"/>
      <c r="F777" s="55"/>
      <c r="J777" s="55"/>
    </row>
    <row r="778">
      <c r="D778" s="55"/>
      <c r="E778" s="55"/>
      <c r="F778" s="55"/>
      <c r="J778" s="55"/>
    </row>
    <row r="779">
      <c r="D779" s="55"/>
      <c r="E779" s="55"/>
      <c r="F779" s="55"/>
      <c r="J779" s="55"/>
    </row>
    <row r="780">
      <c r="D780" s="55"/>
      <c r="E780" s="55"/>
      <c r="F780" s="55"/>
      <c r="J780" s="55"/>
    </row>
    <row r="781">
      <c r="D781" s="55"/>
      <c r="E781" s="55"/>
      <c r="F781" s="55"/>
      <c r="J781" s="55"/>
    </row>
    <row r="782">
      <c r="D782" s="55"/>
      <c r="E782" s="55"/>
      <c r="F782" s="55"/>
      <c r="J782" s="55"/>
    </row>
    <row r="783">
      <c r="D783" s="55"/>
      <c r="E783" s="55"/>
      <c r="F783" s="55"/>
      <c r="J783" s="55"/>
    </row>
    <row r="784">
      <c r="D784" s="55"/>
      <c r="E784" s="55"/>
      <c r="F784" s="55"/>
      <c r="J784" s="55"/>
    </row>
    <row r="785">
      <c r="D785" s="55"/>
      <c r="E785" s="55"/>
      <c r="F785" s="55"/>
      <c r="J785" s="55"/>
    </row>
    <row r="786">
      <c r="D786" s="55"/>
      <c r="E786" s="55"/>
      <c r="F786" s="55"/>
      <c r="J786" s="55"/>
    </row>
    <row r="787">
      <c r="D787" s="55"/>
      <c r="E787" s="55"/>
      <c r="F787" s="55"/>
      <c r="J787" s="55"/>
    </row>
    <row r="788">
      <c r="D788" s="55"/>
      <c r="E788" s="55"/>
      <c r="F788" s="55"/>
      <c r="J788" s="55"/>
    </row>
    <row r="789">
      <c r="D789" s="55"/>
      <c r="E789" s="55"/>
      <c r="F789" s="55"/>
      <c r="J789" s="55"/>
    </row>
    <row r="790">
      <c r="D790" s="55"/>
      <c r="E790" s="55"/>
      <c r="F790" s="55"/>
      <c r="J790" s="55"/>
    </row>
    <row r="791">
      <c r="D791" s="55"/>
      <c r="E791" s="55"/>
      <c r="F791" s="55"/>
      <c r="J791" s="55"/>
    </row>
    <row r="792">
      <c r="D792" s="55"/>
      <c r="E792" s="55"/>
      <c r="F792" s="55"/>
      <c r="J792" s="55"/>
    </row>
    <row r="793">
      <c r="D793" s="55"/>
      <c r="E793" s="55"/>
      <c r="F793" s="55"/>
      <c r="J793" s="55"/>
    </row>
    <row r="794">
      <c r="D794" s="55"/>
      <c r="E794" s="55"/>
      <c r="F794" s="55"/>
      <c r="J794" s="55"/>
    </row>
    <row r="795">
      <c r="D795" s="55"/>
      <c r="E795" s="55"/>
      <c r="F795" s="55"/>
      <c r="J795" s="55"/>
    </row>
    <row r="796">
      <c r="D796" s="55"/>
      <c r="E796" s="55"/>
      <c r="F796" s="55"/>
      <c r="J796" s="55"/>
    </row>
    <row r="797">
      <c r="D797" s="55"/>
      <c r="E797" s="55"/>
      <c r="F797" s="55"/>
      <c r="J797" s="55"/>
    </row>
    <row r="798">
      <c r="D798" s="55"/>
      <c r="E798" s="55"/>
      <c r="F798" s="55"/>
      <c r="J798" s="55"/>
    </row>
    <row r="799">
      <c r="D799" s="55"/>
      <c r="E799" s="55"/>
      <c r="F799" s="55"/>
      <c r="J799" s="55"/>
    </row>
    <row r="800">
      <c r="D800" s="55"/>
      <c r="E800" s="55"/>
      <c r="F800" s="55"/>
      <c r="J800" s="55"/>
    </row>
    <row r="801">
      <c r="D801" s="55"/>
      <c r="E801" s="55"/>
      <c r="F801" s="55"/>
      <c r="J801" s="55"/>
    </row>
    <row r="802">
      <c r="D802" s="55"/>
      <c r="E802" s="55"/>
      <c r="F802" s="55"/>
      <c r="J802" s="55"/>
    </row>
    <row r="803">
      <c r="D803" s="55"/>
      <c r="E803" s="55"/>
      <c r="F803" s="55"/>
      <c r="J803" s="55"/>
    </row>
    <row r="804">
      <c r="D804" s="55"/>
      <c r="E804" s="55"/>
      <c r="F804" s="55"/>
      <c r="J804" s="55"/>
    </row>
    <row r="805">
      <c r="D805" s="55"/>
      <c r="E805" s="55"/>
      <c r="F805" s="55"/>
      <c r="J805" s="55"/>
    </row>
    <row r="806">
      <c r="D806" s="55"/>
      <c r="E806" s="55"/>
      <c r="F806" s="55"/>
      <c r="J806" s="55"/>
    </row>
    <row r="807">
      <c r="D807" s="55"/>
      <c r="E807" s="55"/>
      <c r="F807" s="55"/>
      <c r="J807" s="55"/>
    </row>
    <row r="808">
      <c r="D808" s="55"/>
      <c r="E808" s="55"/>
      <c r="F808" s="55"/>
      <c r="J808" s="55"/>
    </row>
    <row r="809">
      <c r="D809" s="55"/>
      <c r="E809" s="55"/>
      <c r="F809" s="55"/>
      <c r="J809" s="55"/>
    </row>
    <row r="810">
      <c r="D810" s="55"/>
      <c r="E810" s="55"/>
      <c r="F810" s="55"/>
      <c r="J810" s="55"/>
    </row>
    <row r="811">
      <c r="D811" s="55"/>
      <c r="E811" s="55"/>
      <c r="F811" s="55"/>
      <c r="J811" s="55"/>
    </row>
    <row r="812">
      <c r="D812" s="55"/>
      <c r="E812" s="55"/>
      <c r="F812" s="55"/>
      <c r="J812" s="55"/>
    </row>
    <row r="813">
      <c r="D813" s="55"/>
      <c r="E813" s="55"/>
      <c r="F813" s="55"/>
      <c r="J813" s="55"/>
    </row>
    <row r="814">
      <c r="D814" s="55"/>
      <c r="E814" s="55"/>
      <c r="F814" s="55"/>
      <c r="J814" s="55"/>
    </row>
    <row r="815">
      <c r="D815" s="55"/>
      <c r="E815" s="55"/>
      <c r="F815" s="55"/>
      <c r="J815" s="55"/>
    </row>
    <row r="816">
      <c r="D816" s="55"/>
      <c r="E816" s="55"/>
      <c r="F816" s="55"/>
      <c r="J816" s="55"/>
    </row>
    <row r="817">
      <c r="D817" s="55"/>
      <c r="E817" s="55"/>
      <c r="F817" s="55"/>
      <c r="J817" s="55"/>
    </row>
    <row r="818">
      <c r="D818" s="55"/>
      <c r="E818" s="55"/>
      <c r="F818" s="55"/>
      <c r="J818" s="55"/>
    </row>
    <row r="819">
      <c r="D819" s="55"/>
      <c r="E819" s="55"/>
      <c r="F819" s="55"/>
      <c r="J819" s="55"/>
    </row>
    <row r="820">
      <c r="D820" s="55"/>
      <c r="E820" s="55"/>
      <c r="F820" s="55"/>
      <c r="J820" s="55"/>
    </row>
    <row r="821">
      <c r="D821" s="55"/>
      <c r="E821" s="55"/>
      <c r="F821" s="55"/>
      <c r="J821" s="55"/>
    </row>
    <row r="822">
      <c r="D822" s="55"/>
      <c r="E822" s="55"/>
      <c r="F822" s="55"/>
      <c r="J822" s="55"/>
    </row>
    <row r="823">
      <c r="D823" s="55"/>
      <c r="E823" s="55"/>
      <c r="F823" s="55"/>
      <c r="J823" s="55"/>
    </row>
    <row r="824">
      <c r="D824" s="55"/>
      <c r="E824" s="55"/>
      <c r="F824" s="55"/>
      <c r="J824" s="55"/>
    </row>
    <row r="825">
      <c r="D825" s="55"/>
      <c r="E825" s="55"/>
      <c r="F825" s="55"/>
      <c r="J825" s="55"/>
    </row>
    <row r="826">
      <c r="D826" s="55"/>
      <c r="E826" s="55"/>
      <c r="F826" s="55"/>
      <c r="J826" s="55"/>
    </row>
    <row r="827">
      <c r="D827" s="55"/>
      <c r="E827" s="55"/>
      <c r="F827" s="55"/>
      <c r="J827" s="55"/>
    </row>
    <row r="828">
      <c r="D828" s="55"/>
      <c r="E828" s="55"/>
      <c r="F828" s="55"/>
      <c r="J828" s="55"/>
    </row>
    <row r="829">
      <c r="D829" s="55"/>
      <c r="E829" s="55"/>
      <c r="F829" s="55"/>
      <c r="J829" s="55"/>
    </row>
    <row r="830">
      <c r="D830" s="55"/>
      <c r="E830" s="55"/>
      <c r="F830" s="55"/>
      <c r="J830" s="55"/>
    </row>
    <row r="831">
      <c r="D831" s="55"/>
      <c r="E831" s="55"/>
      <c r="F831" s="55"/>
      <c r="J831" s="55"/>
    </row>
    <row r="832">
      <c r="D832" s="55"/>
      <c r="E832" s="55"/>
      <c r="F832" s="55"/>
      <c r="J832" s="55"/>
    </row>
    <row r="833">
      <c r="D833" s="55"/>
      <c r="E833" s="55"/>
      <c r="F833" s="55"/>
      <c r="J833" s="55"/>
    </row>
    <row r="834">
      <c r="D834" s="55"/>
      <c r="E834" s="55"/>
      <c r="F834" s="55"/>
      <c r="J834" s="55"/>
    </row>
    <row r="835">
      <c r="D835" s="55"/>
      <c r="E835" s="55"/>
      <c r="F835" s="55"/>
      <c r="J835" s="55"/>
    </row>
    <row r="836">
      <c r="D836" s="55"/>
      <c r="E836" s="55"/>
      <c r="F836" s="55"/>
      <c r="J836" s="55"/>
    </row>
    <row r="837">
      <c r="D837" s="55"/>
      <c r="E837" s="55"/>
      <c r="F837" s="55"/>
      <c r="J837" s="55"/>
    </row>
    <row r="838">
      <c r="D838" s="55"/>
      <c r="E838" s="55"/>
      <c r="F838" s="55"/>
      <c r="J838" s="55"/>
    </row>
    <row r="839">
      <c r="D839" s="55"/>
      <c r="E839" s="55"/>
      <c r="F839" s="55"/>
      <c r="J839" s="55"/>
    </row>
    <row r="840">
      <c r="D840" s="55"/>
      <c r="E840" s="55"/>
      <c r="F840" s="55"/>
      <c r="J840" s="55"/>
    </row>
    <row r="841">
      <c r="D841" s="55"/>
      <c r="E841" s="55"/>
      <c r="F841" s="55"/>
      <c r="J841" s="55"/>
    </row>
    <row r="842">
      <c r="D842" s="55"/>
      <c r="E842" s="55"/>
      <c r="F842" s="55"/>
      <c r="J842" s="55"/>
    </row>
    <row r="843">
      <c r="D843" s="55"/>
      <c r="E843" s="55"/>
      <c r="F843" s="55"/>
      <c r="J843" s="55"/>
    </row>
    <row r="844">
      <c r="D844" s="55"/>
      <c r="E844" s="55"/>
      <c r="F844" s="55"/>
      <c r="J844" s="55"/>
    </row>
    <row r="845">
      <c r="D845" s="55"/>
      <c r="E845" s="55"/>
      <c r="F845" s="55"/>
      <c r="J845" s="55"/>
    </row>
    <row r="846">
      <c r="D846" s="55"/>
      <c r="E846" s="55"/>
      <c r="F846" s="55"/>
      <c r="J846" s="55"/>
    </row>
    <row r="847">
      <c r="D847" s="55"/>
      <c r="E847" s="55"/>
      <c r="F847" s="55"/>
      <c r="J847" s="55"/>
    </row>
    <row r="848">
      <c r="D848" s="55"/>
      <c r="E848" s="55"/>
      <c r="F848" s="55"/>
      <c r="J848" s="55"/>
    </row>
    <row r="849">
      <c r="D849" s="55"/>
      <c r="E849" s="55"/>
      <c r="F849" s="55"/>
      <c r="J849" s="55"/>
    </row>
    <row r="850">
      <c r="D850" s="55"/>
      <c r="E850" s="55"/>
      <c r="F850" s="55"/>
      <c r="J850" s="55"/>
    </row>
    <row r="851">
      <c r="D851" s="55"/>
      <c r="E851" s="55"/>
      <c r="F851" s="55"/>
      <c r="J851" s="55"/>
    </row>
    <row r="852">
      <c r="D852" s="55"/>
      <c r="E852" s="55"/>
      <c r="F852" s="55"/>
      <c r="J852" s="55"/>
    </row>
    <row r="853">
      <c r="D853" s="55"/>
      <c r="E853" s="55"/>
      <c r="F853" s="55"/>
      <c r="J853" s="55"/>
    </row>
    <row r="854">
      <c r="D854" s="55"/>
      <c r="E854" s="55"/>
      <c r="F854" s="55"/>
      <c r="J854" s="55"/>
    </row>
    <row r="855">
      <c r="D855" s="55"/>
      <c r="E855" s="55"/>
      <c r="F855" s="55"/>
      <c r="J855" s="55"/>
    </row>
    <row r="856">
      <c r="D856" s="55"/>
      <c r="E856" s="55"/>
      <c r="F856" s="55"/>
      <c r="J856" s="55"/>
    </row>
    <row r="857">
      <c r="D857" s="55"/>
      <c r="E857" s="55"/>
      <c r="F857" s="55"/>
      <c r="J857" s="55"/>
    </row>
    <row r="858">
      <c r="D858" s="55"/>
      <c r="E858" s="55"/>
      <c r="F858" s="55"/>
      <c r="J858" s="55"/>
    </row>
    <row r="859">
      <c r="D859" s="55"/>
      <c r="E859" s="55"/>
      <c r="F859" s="55"/>
      <c r="J859" s="55"/>
    </row>
    <row r="860">
      <c r="D860" s="55"/>
      <c r="E860" s="55"/>
      <c r="F860" s="55"/>
      <c r="J860" s="55"/>
    </row>
    <row r="861">
      <c r="D861" s="55"/>
      <c r="E861" s="55"/>
      <c r="F861" s="55"/>
      <c r="J861" s="55"/>
    </row>
    <row r="862">
      <c r="D862" s="55"/>
      <c r="E862" s="55"/>
      <c r="F862" s="55"/>
      <c r="J862" s="55"/>
    </row>
    <row r="863">
      <c r="D863" s="55"/>
      <c r="E863" s="55"/>
      <c r="F863" s="55"/>
      <c r="J863" s="55"/>
    </row>
    <row r="864">
      <c r="D864" s="55"/>
      <c r="E864" s="55"/>
      <c r="F864" s="55"/>
      <c r="J864" s="55"/>
    </row>
    <row r="865">
      <c r="D865" s="55"/>
      <c r="E865" s="55"/>
      <c r="F865" s="55"/>
      <c r="J865" s="55"/>
    </row>
    <row r="866">
      <c r="D866" s="55"/>
      <c r="E866" s="55"/>
      <c r="F866" s="55"/>
      <c r="J866" s="55"/>
    </row>
    <row r="867">
      <c r="D867" s="55"/>
      <c r="E867" s="55"/>
      <c r="F867" s="55"/>
      <c r="J867" s="55"/>
    </row>
    <row r="868">
      <c r="D868" s="55"/>
      <c r="E868" s="55"/>
      <c r="F868" s="55"/>
      <c r="J868" s="55"/>
    </row>
    <row r="869">
      <c r="D869" s="55"/>
      <c r="E869" s="55"/>
      <c r="F869" s="55"/>
      <c r="J869" s="55"/>
    </row>
    <row r="870">
      <c r="D870" s="55"/>
      <c r="E870" s="55"/>
      <c r="F870" s="55"/>
      <c r="J870" s="55"/>
    </row>
    <row r="871">
      <c r="D871" s="55"/>
      <c r="E871" s="55"/>
      <c r="F871" s="55"/>
      <c r="J871" s="55"/>
    </row>
    <row r="872">
      <c r="D872" s="55"/>
      <c r="E872" s="55"/>
      <c r="F872" s="55"/>
      <c r="J872" s="55"/>
    </row>
    <row r="873">
      <c r="D873" s="55"/>
      <c r="E873" s="55"/>
      <c r="F873" s="55"/>
      <c r="J873" s="55"/>
    </row>
    <row r="874">
      <c r="D874" s="55"/>
      <c r="E874" s="55"/>
      <c r="F874" s="55"/>
      <c r="J874" s="55"/>
    </row>
    <row r="875">
      <c r="D875" s="55"/>
      <c r="E875" s="55"/>
      <c r="F875" s="55"/>
      <c r="J875" s="55"/>
    </row>
    <row r="876">
      <c r="D876" s="55"/>
      <c r="E876" s="55"/>
      <c r="F876" s="55"/>
      <c r="J876" s="55"/>
    </row>
    <row r="877">
      <c r="D877" s="55"/>
      <c r="E877" s="55"/>
      <c r="F877" s="55"/>
      <c r="J877" s="55"/>
    </row>
    <row r="878">
      <c r="D878" s="55"/>
      <c r="E878" s="55"/>
      <c r="F878" s="55"/>
      <c r="J878" s="55"/>
    </row>
    <row r="879">
      <c r="D879" s="55"/>
      <c r="E879" s="55"/>
      <c r="F879" s="55"/>
      <c r="J879" s="55"/>
    </row>
    <row r="880">
      <c r="D880" s="55"/>
      <c r="E880" s="55"/>
      <c r="F880" s="55"/>
      <c r="J880" s="55"/>
    </row>
    <row r="881">
      <c r="D881" s="55"/>
      <c r="E881" s="55"/>
      <c r="F881" s="55"/>
      <c r="J881" s="55"/>
    </row>
    <row r="882">
      <c r="D882" s="55"/>
      <c r="E882" s="55"/>
      <c r="F882" s="55"/>
      <c r="J882" s="55"/>
    </row>
    <row r="883">
      <c r="D883" s="55"/>
      <c r="E883" s="55"/>
      <c r="F883" s="55"/>
      <c r="J883" s="55"/>
    </row>
    <row r="884">
      <c r="D884" s="55"/>
      <c r="E884" s="55"/>
      <c r="F884" s="55"/>
      <c r="J884" s="55"/>
    </row>
    <row r="885">
      <c r="D885" s="55"/>
      <c r="E885" s="55"/>
      <c r="F885" s="55"/>
      <c r="J885" s="55"/>
    </row>
    <row r="886">
      <c r="D886" s="55"/>
      <c r="E886" s="55"/>
      <c r="F886" s="55"/>
      <c r="J886" s="55"/>
    </row>
    <row r="887">
      <c r="D887" s="55"/>
      <c r="E887" s="55"/>
      <c r="F887" s="55"/>
      <c r="J887" s="55"/>
    </row>
    <row r="888">
      <c r="D888" s="55"/>
      <c r="E888" s="55"/>
      <c r="F888" s="55"/>
      <c r="J888" s="55"/>
    </row>
    <row r="889">
      <c r="D889" s="55"/>
      <c r="E889" s="55"/>
      <c r="F889" s="55"/>
      <c r="J889" s="55"/>
    </row>
    <row r="890">
      <c r="D890" s="55"/>
      <c r="E890" s="55"/>
      <c r="F890" s="55"/>
      <c r="J890" s="55"/>
    </row>
    <row r="891">
      <c r="D891" s="55"/>
      <c r="E891" s="55"/>
      <c r="F891" s="55"/>
      <c r="J891" s="55"/>
    </row>
    <row r="892">
      <c r="D892" s="55"/>
      <c r="E892" s="55"/>
      <c r="F892" s="55"/>
      <c r="J892" s="55"/>
    </row>
    <row r="893">
      <c r="D893" s="55"/>
      <c r="E893" s="55"/>
      <c r="F893" s="55"/>
      <c r="J893" s="55"/>
    </row>
    <row r="894">
      <c r="D894" s="55"/>
      <c r="E894" s="55"/>
      <c r="F894" s="55"/>
      <c r="J894" s="55"/>
    </row>
    <row r="895">
      <c r="D895" s="55"/>
      <c r="E895" s="55"/>
      <c r="F895" s="55"/>
      <c r="J895" s="55"/>
    </row>
    <row r="896">
      <c r="D896" s="55"/>
      <c r="E896" s="55"/>
      <c r="F896" s="55"/>
      <c r="J896" s="55"/>
    </row>
    <row r="897">
      <c r="D897" s="55"/>
      <c r="E897" s="55"/>
      <c r="F897" s="55"/>
      <c r="J897" s="55"/>
    </row>
    <row r="898">
      <c r="D898" s="55"/>
      <c r="E898" s="55"/>
      <c r="F898" s="55"/>
      <c r="J898" s="55"/>
    </row>
    <row r="899">
      <c r="D899" s="55"/>
      <c r="E899" s="55"/>
      <c r="F899" s="55"/>
      <c r="J899" s="55"/>
    </row>
    <row r="900">
      <c r="D900" s="55"/>
      <c r="E900" s="55"/>
      <c r="F900" s="55"/>
      <c r="J900" s="55"/>
    </row>
    <row r="901">
      <c r="D901" s="55"/>
      <c r="E901" s="55"/>
      <c r="F901" s="55"/>
      <c r="J901" s="55"/>
    </row>
    <row r="902">
      <c r="D902" s="55"/>
      <c r="E902" s="55"/>
      <c r="F902" s="55"/>
      <c r="J902" s="55"/>
    </row>
    <row r="903">
      <c r="D903" s="55"/>
      <c r="E903" s="55"/>
      <c r="F903" s="55"/>
      <c r="J903" s="55"/>
    </row>
    <row r="904">
      <c r="D904" s="55"/>
      <c r="E904" s="55"/>
      <c r="F904" s="55"/>
      <c r="J904" s="55"/>
    </row>
    <row r="905">
      <c r="D905" s="55"/>
      <c r="E905" s="55"/>
      <c r="F905" s="55"/>
      <c r="J905" s="55"/>
    </row>
    <row r="906">
      <c r="D906" s="55"/>
      <c r="E906" s="55"/>
      <c r="F906" s="55"/>
      <c r="J906" s="55"/>
    </row>
    <row r="907">
      <c r="D907" s="55"/>
      <c r="E907" s="55"/>
      <c r="F907" s="55"/>
      <c r="J907" s="55"/>
    </row>
    <row r="908">
      <c r="D908" s="55"/>
      <c r="E908" s="55"/>
      <c r="F908" s="55"/>
      <c r="J908" s="55"/>
    </row>
    <row r="909">
      <c r="D909" s="55"/>
      <c r="E909" s="55"/>
      <c r="F909" s="55"/>
      <c r="J909" s="55"/>
    </row>
    <row r="910">
      <c r="D910" s="55"/>
      <c r="E910" s="55"/>
      <c r="F910" s="55"/>
      <c r="J910" s="55"/>
    </row>
    <row r="911">
      <c r="D911" s="55"/>
      <c r="E911" s="55"/>
      <c r="F911" s="55"/>
      <c r="J911" s="55"/>
    </row>
    <row r="912">
      <c r="D912" s="55"/>
      <c r="E912" s="55"/>
      <c r="F912" s="55"/>
      <c r="J912" s="55"/>
    </row>
    <row r="913">
      <c r="D913" s="55"/>
      <c r="E913" s="55"/>
      <c r="F913" s="55"/>
      <c r="J913" s="55"/>
    </row>
    <row r="914">
      <c r="D914" s="55"/>
      <c r="E914" s="55"/>
      <c r="F914" s="55"/>
      <c r="J914" s="55"/>
    </row>
    <row r="915">
      <c r="D915" s="55"/>
      <c r="E915" s="55"/>
      <c r="F915" s="55"/>
      <c r="J915" s="55"/>
    </row>
    <row r="916">
      <c r="D916" s="55"/>
      <c r="E916" s="55"/>
      <c r="F916" s="55"/>
      <c r="J916" s="55"/>
    </row>
    <row r="917">
      <c r="D917" s="55"/>
      <c r="E917" s="55"/>
      <c r="F917" s="55"/>
      <c r="J917" s="55"/>
    </row>
    <row r="918">
      <c r="D918" s="55"/>
      <c r="E918" s="55"/>
      <c r="F918" s="55"/>
      <c r="J918" s="55"/>
    </row>
    <row r="919">
      <c r="D919" s="55"/>
      <c r="E919" s="55"/>
      <c r="F919" s="55"/>
      <c r="J919" s="55"/>
    </row>
    <row r="920">
      <c r="D920" s="55"/>
      <c r="E920" s="55"/>
      <c r="F920" s="55"/>
      <c r="J920" s="55"/>
    </row>
    <row r="921">
      <c r="D921" s="55"/>
      <c r="E921" s="55"/>
      <c r="F921" s="55"/>
      <c r="J921" s="55"/>
    </row>
    <row r="922">
      <c r="D922" s="55"/>
      <c r="E922" s="55"/>
      <c r="F922" s="55"/>
      <c r="J922" s="55"/>
    </row>
    <row r="923">
      <c r="D923" s="55"/>
      <c r="E923" s="55"/>
      <c r="F923" s="55"/>
      <c r="J923" s="55"/>
    </row>
    <row r="924">
      <c r="D924" s="55"/>
      <c r="E924" s="55"/>
      <c r="F924" s="55"/>
      <c r="J924" s="55"/>
    </row>
    <row r="925">
      <c r="D925" s="55"/>
      <c r="E925" s="55"/>
      <c r="F925" s="55"/>
      <c r="J925" s="55"/>
    </row>
    <row r="926">
      <c r="D926" s="55"/>
      <c r="E926" s="55"/>
      <c r="F926" s="55"/>
      <c r="J926" s="55"/>
    </row>
    <row r="927">
      <c r="D927" s="55"/>
      <c r="E927" s="55"/>
      <c r="F927" s="55"/>
      <c r="J927" s="55"/>
    </row>
    <row r="928">
      <c r="D928" s="55"/>
      <c r="E928" s="55"/>
      <c r="F928" s="55"/>
      <c r="J928" s="55"/>
    </row>
    <row r="929">
      <c r="D929" s="55"/>
      <c r="E929" s="55"/>
      <c r="F929" s="55"/>
      <c r="J929" s="55"/>
    </row>
    <row r="930">
      <c r="D930" s="55"/>
      <c r="E930" s="55"/>
      <c r="F930" s="55"/>
      <c r="J930" s="55"/>
    </row>
    <row r="931">
      <c r="D931" s="55"/>
      <c r="E931" s="55"/>
      <c r="F931" s="55"/>
      <c r="J931" s="55"/>
    </row>
    <row r="932">
      <c r="D932" s="55"/>
      <c r="E932" s="55"/>
      <c r="F932" s="55"/>
      <c r="J932" s="55"/>
    </row>
    <row r="933">
      <c r="D933" s="55"/>
      <c r="E933" s="55"/>
      <c r="F933" s="55"/>
      <c r="J933" s="55"/>
    </row>
    <row r="934">
      <c r="D934" s="55"/>
      <c r="E934" s="55"/>
      <c r="F934" s="55"/>
      <c r="J934" s="55"/>
    </row>
    <row r="935">
      <c r="D935" s="55"/>
      <c r="E935" s="55"/>
      <c r="F935" s="55"/>
      <c r="J935" s="55"/>
    </row>
    <row r="936">
      <c r="D936" s="55"/>
      <c r="E936" s="55"/>
      <c r="F936" s="55"/>
      <c r="J936" s="55"/>
    </row>
    <row r="937">
      <c r="D937" s="55"/>
      <c r="E937" s="55"/>
      <c r="F937" s="55"/>
      <c r="J937" s="55"/>
    </row>
    <row r="938">
      <c r="D938" s="55"/>
      <c r="E938" s="55"/>
      <c r="F938" s="55"/>
      <c r="J938" s="55"/>
    </row>
    <row r="939">
      <c r="D939" s="55"/>
      <c r="E939" s="55"/>
      <c r="F939" s="55"/>
      <c r="J939" s="55"/>
    </row>
    <row r="940">
      <c r="D940" s="55"/>
      <c r="E940" s="55"/>
      <c r="F940" s="55"/>
      <c r="J940" s="55"/>
    </row>
    <row r="941">
      <c r="D941" s="55"/>
      <c r="E941" s="55"/>
      <c r="F941" s="55"/>
      <c r="J941" s="55"/>
    </row>
    <row r="942">
      <c r="D942" s="55"/>
      <c r="E942" s="55"/>
      <c r="F942" s="55"/>
      <c r="J942" s="55"/>
    </row>
    <row r="943">
      <c r="D943" s="55"/>
      <c r="E943" s="55"/>
      <c r="F943" s="55"/>
      <c r="J943" s="55"/>
    </row>
    <row r="944">
      <c r="D944" s="55"/>
      <c r="E944" s="55"/>
      <c r="F944" s="55"/>
      <c r="J944" s="55"/>
    </row>
    <row r="945">
      <c r="D945" s="55"/>
      <c r="E945" s="55"/>
      <c r="F945" s="55"/>
      <c r="J945" s="55"/>
    </row>
    <row r="946">
      <c r="D946" s="55"/>
      <c r="E946" s="55"/>
      <c r="F946" s="55"/>
      <c r="J946" s="55"/>
    </row>
    <row r="947">
      <c r="D947" s="55"/>
      <c r="E947" s="55"/>
      <c r="F947" s="55"/>
      <c r="J947" s="55"/>
    </row>
    <row r="948">
      <c r="D948" s="55"/>
      <c r="E948" s="55"/>
      <c r="F948" s="55"/>
      <c r="J948" s="55"/>
    </row>
    <row r="949">
      <c r="D949" s="55"/>
      <c r="E949" s="55"/>
      <c r="F949" s="55"/>
      <c r="J949" s="55"/>
    </row>
    <row r="950">
      <c r="D950" s="55"/>
      <c r="E950" s="55"/>
      <c r="F950" s="55"/>
      <c r="J950" s="55"/>
    </row>
    <row r="951">
      <c r="D951" s="55"/>
      <c r="E951" s="55"/>
      <c r="F951" s="55"/>
      <c r="J951" s="55"/>
    </row>
    <row r="952">
      <c r="D952" s="55"/>
      <c r="E952" s="55"/>
      <c r="F952" s="55"/>
      <c r="J952" s="55"/>
    </row>
    <row r="953">
      <c r="D953" s="55"/>
      <c r="E953" s="55"/>
      <c r="F953" s="55"/>
      <c r="J953" s="55"/>
    </row>
    <row r="954">
      <c r="D954" s="55"/>
      <c r="E954" s="55"/>
      <c r="F954" s="55"/>
      <c r="J954" s="55"/>
    </row>
    <row r="955">
      <c r="D955" s="55"/>
      <c r="E955" s="55"/>
      <c r="F955" s="55"/>
      <c r="J955" s="55"/>
    </row>
    <row r="956">
      <c r="D956" s="55"/>
      <c r="E956" s="55"/>
      <c r="F956" s="55"/>
      <c r="J956" s="55"/>
    </row>
    <row r="957">
      <c r="D957" s="55"/>
      <c r="E957" s="55"/>
      <c r="F957" s="55"/>
      <c r="J957" s="55"/>
    </row>
    <row r="958">
      <c r="D958" s="55"/>
      <c r="E958" s="55"/>
      <c r="F958" s="55"/>
      <c r="J958" s="55"/>
    </row>
    <row r="959">
      <c r="D959" s="55"/>
      <c r="E959" s="55"/>
      <c r="F959" s="55"/>
      <c r="J959" s="55"/>
    </row>
    <row r="960">
      <c r="D960" s="55"/>
      <c r="E960" s="55"/>
      <c r="F960" s="55"/>
      <c r="J960" s="55"/>
    </row>
    <row r="961">
      <c r="D961" s="55"/>
      <c r="E961" s="55"/>
      <c r="F961" s="55"/>
      <c r="J961" s="55"/>
    </row>
    <row r="962">
      <c r="D962" s="55"/>
      <c r="E962" s="55"/>
      <c r="F962" s="55"/>
      <c r="J962" s="55"/>
    </row>
    <row r="963">
      <c r="D963" s="55"/>
      <c r="E963" s="55"/>
      <c r="F963" s="55"/>
      <c r="J963" s="55"/>
    </row>
    <row r="964">
      <c r="D964" s="55"/>
      <c r="E964" s="55"/>
      <c r="F964" s="55"/>
      <c r="J964" s="55"/>
    </row>
    <row r="965">
      <c r="D965" s="55"/>
      <c r="E965" s="55"/>
      <c r="F965" s="55"/>
      <c r="J965" s="55"/>
    </row>
    <row r="966">
      <c r="D966" s="55"/>
      <c r="E966" s="55"/>
      <c r="F966" s="55"/>
      <c r="J966" s="55"/>
    </row>
    <row r="967">
      <c r="D967" s="55"/>
      <c r="E967" s="55"/>
      <c r="F967" s="55"/>
      <c r="J967" s="55"/>
    </row>
    <row r="968">
      <c r="D968" s="55"/>
      <c r="E968" s="55"/>
      <c r="F968" s="55"/>
      <c r="J968" s="55"/>
    </row>
    <row r="969">
      <c r="D969" s="55"/>
      <c r="E969" s="55"/>
      <c r="F969" s="55"/>
      <c r="J969" s="55"/>
    </row>
    <row r="970">
      <c r="D970" s="55"/>
      <c r="E970" s="55"/>
      <c r="F970" s="55"/>
      <c r="J970" s="55"/>
    </row>
    <row r="971">
      <c r="D971" s="55"/>
      <c r="E971" s="55"/>
      <c r="F971" s="55"/>
      <c r="J971" s="55"/>
    </row>
    <row r="972">
      <c r="D972" s="55"/>
      <c r="E972" s="55"/>
      <c r="F972" s="55"/>
      <c r="J972" s="55"/>
    </row>
    <row r="973">
      <c r="D973" s="55"/>
      <c r="E973" s="55"/>
      <c r="F973" s="55"/>
      <c r="J973" s="55"/>
    </row>
    <row r="974">
      <c r="D974" s="55"/>
      <c r="E974" s="55"/>
      <c r="F974" s="55"/>
      <c r="J974" s="55"/>
    </row>
    <row r="975">
      <c r="D975" s="55"/>
      <c r="E975" s="55"/>
      <c r="F975" s="55"/>
      <c r="J975" s="55"/>
    </row>
    <row r="976">
      <c r="D976" s="55"/>
      <c r="E976" s="55"/>
      <c r="F976" s="55"/>
      <c r="J976" s="55"/>
    </row>
    <row r="977">
      <c r="D977" s="55"/>
      <c r="E977" s="55"/>
      <c r="F977" s="55"/>
      <c r="J977" s="55"/>
    </row>
    <row r="978">
      <c r="D978" s="55"/>
      <c r="E978" s="55"/>
      <c r="F978" s="55"/>
      <c r="J978" s="55"/>
    </row>
    <row r="979">
      <c r="D979" s="55"/>
      <c r="E979" s="55"/>
      <c r="F979" s="55"/>
      <c r="J979" s="55"/>
    </row>
    <row r="980">
      <c r="D980" s="55"/>
      <c r="E980" s="55"/>
      <c r="F980" s="55"/>
      <c r="J980" s="55"/>
    </row>
    <row r="981">
      <c r="D981" s="55"/>
      <c r="E981" s="55"/>
      <c r="F981" s="55"/>
      <c r="J981" s="55"/>
    </row>
    <row r="982">
      <c r="D982" s="55"/>
      <c r="E982" s="55"/>
      <c r="F982" s="55"/>
      <c r="J982" s="55"/>
    </row>
    <row r="983">
      <c r="D983" s="55"/>
      <c r="E983" s="55"/>
      <c r="F983" s="55"/>
      <c r="J983" s="55"/>
    </row>
    <row r="984">
      <c r="D984" s="55"/>
      <c r="E984" s="55"/>
      <c r="F984" s="55"/>
      <c r="J984" s="55"/>
    </row>
    <row r="985">
      <c r="D985" s="55"/>
      <c r="E985" s="55"/>
      <c r="F985" s="55"/>
      <c r="J985" s="55"/>
    </row>
    <row r="986">
      <c r="D986" s="55"/>
      <c r="E986" s="55"/>
      <c r="F986" s="55"/>
      <c r="J986" s="55"/>
    </row>
    <row r="987">
      <c r="D987" s="55"/>
      <c r="E987" s="55"/>
      <c r="F987" s="55"/>
      <c r="J987" s="55"/>
    </row>
    <row r="988">
      <c r="D988" s="55"/>
      <c r="E988" s="55"/>
      <c r="F988" s="55"/>
      <c r="J988" s="55"/>
    </row>
    <row r="989">
      <c r="D989" s="55"/>
      <c r="E989" s="55"/>
      <c r="F989" s="55"/>
      <c r="J989" s="55"/>
    </row>
    <row r="990">
      <c r="D990" s="55"/>
      <c r="E990" s="55"/>
      <c r="F990" s="55"/>
      <c r="J990" s="55"/>
    </row>
    <row r="991">
      <c r="D991" s="55"/>
      <c r="E991" s="55"/>
      <c r="F991" s="55"/>
      <c r="J991" s="55"/>
    </row>
    <row r="992">
      <c r="D992" s="55"/>
      <c r="E992" s="55"/>
      <c r="F992" s="55"/>
      <c r="J992" s="55"/>
    </row>
    <row r="993">
      <c r="D993" s="55"/>
      <c r="E993" s="55"/>
      <c r="F993" s="55"/>
      <c r="J993" s="55"/>
    </row>
    <row r="994">
      <c r="D994" s="55"/>
      <c r="E994" s="55"/>
      <c r="F994" s="55"/>
      <c r="J994" s="55"/>
    </row>
    <row r="995">
      <c r="D995" s="55"/>
      <c r="E995" s="55"/>
      <c r="F995" s="55"/>
      <c r="J995" s="55"/>
    </row>
    <row r="996">
      <c r="D996" s="55"/>
      <c r="E996" s="55"/>
      <c r="F996" s="55"/>
      <c r="J996" s="55"/>
    </row>
    <row r="997">
      <c r="D997" s="55"/>
      <c r="E997" s="55"/>
      <c r="F997" s="55"/>
      <c r="J997" s="55"/>
    </row>
    <row r="998">
      <c r="D998" s="55"/>
      <c r="E998" s="55"/>
      <c r="F998" s="55"/>
      <c r="J998" s="55"/>
    </row>
    <row r="999">
      <c r="D999" s="55"/>
      <c r="E999" s="55"/>
      <c r="F999" s="55"/>
      <c r="J999" s="55"/>
    </row>
    <row r="1000">
      <c r="D1000" s="55"/>
      <c r="E1000" s="55"/>
      <c r="F1000" s="55"/>
      <c r="J1000" s="55"/>
    </row>
  </sheetData>
  <mergeCells count="2">
    <mergeCell ref="A1:G1"/>
    <mergeCell ref="H1:K1"/>
  </mergeCells>
  <conditionalFormatting sqref="A1:A1000">
    <cfRule type="containsText" dxfId="0" priority="1" operator="containsText" text="Unassigned">
      <formula>NOT(ISERROR(SEARCH(("Unassigned"),(A1))))</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3.86"/>
    <col customWidth="1" min="2" max="2" width="15.86"/>
    <col customWidth="1" min="4" max="4" width="19.0"/>
    <col customWidth="1" min="5" max="5" width="21.43"/>
    <col customWidth="1" min="6" max="6" width="28.14"/>
    <col customWidth="1" min="8" max="8" width="17.86"/>
    <col customWidth="1" min="9" max="9" width="26.14"/>
    <col customWidth="1" min="10" max="10" width="27.43"/>
    <col customWidth="1" min="11" max="11" width="27.86"/>
  </cols>
  <sheetData>
    <row r="1">
      <c r="A1" s="8" t="s">
        <v>7</v>
      </c>
      <c r="B1" s="9"/>
      <c r="C1" s="9"/>
      <c r="D1" s="9"/>
      <c r="E1" s="9"/>
      <c r="F1" s="9"/>
      <c r="G1" s="22"/>
      <c r="H1" s="106" t="s">
        <v>38</v>
      </c>
    </row>
    <row r="2">
      <c r="A2" s="107" t="s">
        <v>0</v>
      </c>
      <c r="B2" s="108" t="s">
        <v>72</v>
      </c>
      <c r="C2" s="108" t="s">
        <v>73</v>
      </c>
      <c r="D2" s="109" t="s">
        <v>74</v>
      </c>
      <c r="E2" s="109" t="s">
        <v>333</v>
      </c>
      <c r="F2" s="109" t="s">
        <v>334</v>
      </c>
      <c r="G2" s="108" t="s">
        <v>327</v>
      </c>
      <c r="H2" s="110" t="s">
        <v>335</v>
      </c>
      <c r="I2" s="111" t="s">
        <v>336</v>
      </c>
      <c r="J2" s="111" t="s">
        <v>337</v>
      </c>
      <c r="K2" s="112" t="s">
        <v>338</v>
      </c>
    </row>
    <row r="3">
      <c r="A3" t="str">
        <f>IFERROR(__xludf.DUMMYFUNCTION("filter(Assignments!B3:B1000,Assignments!P3:P1000=""Somatic Cancer"",Assignments!O3:O1000=""Comprehensive"")"),"Declined")</f>
        <v>Declined</v>
      </c>
      <c r="B3" t="str">
        <f>IFERROR(__xludf.DUMMYFUNCTION("filter(Assignments!C3:C1000,Assignments!P3:P1000=""Somatic Cancer"",Assignments!O3:O1000=""Comprehensive"")"),"")</f>
        <v/>
      </c>
      <c r="C3" t="str">
        <f>IFERROR(__xludf.DUMMYFUNCTION("filter(Assignments!D3:D1000,Assignments!P3:P1000=""Somatic Cancer"",Assignments!O3:O1000=""Comprehensive"")"),"")</f>
        <v/>
      </c>
      <c r="D3" s="68" t="str">
        <f>IFERROR(__xludf.DUMMYFUNCTION("filter(Assignments!E3:E1000,Assignments!P3:P1000=""Somatic Cancer"",Assignments!O3:O1000=""Comprehensive"")"),"No")</f>
        <v>No</v>
      </c>
      <c r="E3" s="68" t="str">
        <f>IFERROR(__xludf.DUMMYFUNCTION("filter(Assignments!F3:F1000,Assignments!P3:P1000=""Somatic Cancer"",Assignments!O3:O1000=""Comprehensive"")"),"No")</f>
        <v>No</v>
      </c>
      <c r="F3" s="55" t="str">
        <f>IFERROR(__xludf.DUMMYFUNCTION("filter(Assignments!G3:G1000,Assignments!P3:P1000=""Somatic Cancer"",Assignments!O3:O1000=""Comprehensive"")"),"Somatic Cancer")</f>
        <v>Somatic Cancer</v>
      </c>
      <c r="G3" t="str">
        <f>IFERROR(__xludf.DUMMYFUNCTION("filter(Assignments!H3:H1000,Assignments!P3:P1000=""Somatic Cancer"",Assignments!O3:O1000=""Comprehensive"")"),"Pediatric cancer")</f>
        <v>Pediatric cancer</v>
      </c>
      <c r="H3" t="str">
        <f>IFERROR(__xludf.DUMMYFUNCTION("filter(Assignments!L3:L1000,Assignments!P3:P1000=""Somatic Cancer"",Assignments!O3:O1000=""Comprehensive"")"),"Suneeta Mandava")</f>
        <v>Suneeta Mandava</v>
      </c>
      <c r="I3" t="str">
        <f>IFERROR(__xludf.DUMMYFUNCTION("filter(Assignments!M3:M1000,Assignments!P3:P1000=""Somatic Cancer"",Assignments!O3:O1000=""Comprehensive"")"),"suneeta.mandava@gmail.com")</f>
        <v>suneeta.mandava@gmail.com</v>
      </c>
      <c r="J3" s="55" t="str">
        <f>IFERROR(__xludf.DUMMYFUNCTION("filter(Assignments!O3:O1000,Assignments!P3:P1000=""Somatic Cancer"",Assignments!O3:O1000=""Comprehensive"")"),"Comprehensive")</f>
        <v>Comprehensive</v>
      </c>
      <c r="K3" t="str">
        <f>IFERROR(__xludf.DUMMYFUNCTION("filter(Assignments!W3:W1000,Assignments!P3:P1000=""Somatic Cancer"",Assignments!O3:O1000=""Comprehensive"")"),"somatic cancer TP53")</f>
        <v>somatic cancer TP53</v>
      </c>
    </row>
    <row r="4">
      <c r="A4" t="str">
        <f>IFERROR(__xludf.DUMMYFUNCTION("""COMPUTED_VALUE"""),"Unresponsive")</f>
        <v>Unresponsive</v>
      </c>
      <c r="B4" s="115">
        <f>IFERROR(__xludf.DUMMYFUNCTION("""COMPUTED_VALUE"""),43474.0)</f>
        <v>43474</v>
      </c>
      <c r="C4" s="118">
        <f>IFERROR(__xludf.DUMMYFUNCTION("""COMPUTED_VALUE"""),43476.0)</f>
        <v>43476</v>
      </c>
      <c r="D4" s="55" t="str">
        <f>IFERROR(__xludf.DUMMYFUNCTION("""COMPUTED_VALUE"""),"Yes")</f>
        <v>Yes</v>
      </c>
      <c r="E4" s="55" t="str">
        <f>IFERROR(__xludf.DUMMYFUNCTION("""COMPUTED_VALUE"""),"No")</f>
        <v>No</v>
      </c>
      <c r="F4" s="55" t="str">
        <f>IFERROR(__xludf.DUMMYFUNCTION("""COMPUTED_VALUE"""),"Somatic Cancer")</f>
        <v>Somatic Cancer</v>
      </c>
      <c r="G4" t="str">
        <f>IFERROR(__xludf.DUMMYFUNCTION("""COMPUTED_VALUE"""),"Somatic WG")</f>
        <v>Somatic WG</v>
      </c>
      <c r="H4" t="str">
        <f>IFERROR(__xludf.DUMMYFUNCTION("""COMPUTED_VALUE"""),"Rajavarman Kittu")</f>
        <v>Rajavarman Kittu</v>
      </c>
      <c r="I4" t="str">
        <f>IFERROR(__xludf.DUMMYFUNCTION("""COMPUTED_VALUE"""),"rajavarman21@gmail.com")</f>
        <v>rajavarman21@gmail.com</v>
      </c>
      <c r="J4" s="55" t="str">
        <f>IFERROR(__xludf.DUMMYFUNCTION("""COMPUTED_VALUE"""),"Comprehensive")</f>
        <v>Comprehensive</v>
      </c>
      <c r="K4" t="str">
        <f>IFERROR(__xludf.DUMMYFUNCTION("""COMPUTED_VALUE"""),"As mentioned above in the table( ranking) i prefer to contribute. if that is not possible i would like to be any ClinGen Expert Panel/Working Group where there is need for help.")</f>
        <v>As mentioned above in the table( ranking) i prefer to contribute. if that is not possible i would like to be any ClinGen Expert Panel/Working Group where there is need for help.</v>
      </c>
    </row>
    <row r="5">
      <c r="A5" t="str">
        <f>IFERROR(__xludf.DUMMYFUNCTION("""COMPUTED_VALUE"""),"Unresponsive")</f>
        <v>Unresponsive</v>
      </c>
      <c r="B5" s="113">
        <f>IFERROR(__xludf.DUMMYFUNCTION("""COMPUTED_VALUE"""),43476.0)</f>
        <v>43476</v>
      </c>
      <c r="C5" s="118">
        <f>IFERROR(__xludf.DUMMYFUNCTION("""COMPUTED_VALUE"""),43476.0)</f>
        <v>43476</v>
      </c>
      <c r="D5" s="55" t="str">
        <f>IFERROR(__xludf.DUMMYFUNCTION("""COMPUTED_VALUE"""),"Yes")</f>
        <v>Yes</v>
      </c>
      <c r="E5" s="55" t="str">
        <f>IFERROR(__xludf.DUMMYFUNCTION("""COMPUTED_VALUE"""),"No")</f>
        <v>No</v>
      </c>
      <c r="F5" s="55" t="str">
        <f>IFERROR(__xludf.DUMMYFUNCTION("""COMPUTED_VALUE"""),"Somatic Cancer")</f>
        <v>Somatic Cancer</v>
      </c>
      <c r="G5" t="str">
        <f>IFERROR(__xludf.DUMMYFUNCTION("""COMPUTED_VALUE"""),"pancreatic cancer taskforce")</f>
        <v>pancreatic cancer taskforce</v>
      </c>
      <c r="H5" t="str">
        <f>IFERROR(__xludf.DUMMYFUNCTION("""COMPUTED_VALUE"""),"Sameeha Shirwadkar")</f>
        <v>Sameeha Shirwadkar</v>
      </c>
      <c r="I5" t="str">
        <f>IFERROR(__xludf.DUMMYFUNCTION("""COMPUTED_VALUE"""),"sameeha9@gmail.com")</f>
        <v>sameeha9@gmail.com</v>
      </c>
      <c r="J5" s="55" t="str">
        <f>IFERROR(__xludf.DUMMYFUNCTION("""COMPUTED_VALUE"""),"Comprehensive")</f>
        <v>Comprehensive</v>
      </c>
      <c r="K5" t="str">
        <f>IFERROR(__xludf.DUMMYFUNCTION("""COMPUTED_VALUE"""),"Somatic/Germline Variant Curation Group and TP53 Variant Curation Expert Panel")</f>
        <v>Somatic/Germline Variant Curation Group and TP53 Variant Curation Expert Panel</v>
      </c>
    </row>
    <row r="6">
      <c r="A6" t="str">
        <f>IFERROR(__xludf.DUMMYFUNCTION("""COMPUTED_VALUE"""),"Unresponsive")</f>
        <v>Unresponsive</v>
      </c>
      <c r="B6" t="str">
        <f>IFERROR(__xludf.DUMMYFUNCTION("""COMPUTED_VALUE"""),"")</f>
        <v/>
      </c>
      <c r="C6" s="118" t="str">
        <f>IFERROR(__xludf.DUMMYFUNCTION("""COMPUTED_VALUE"""),"")</f>
        <v/>
      </c>
      <c r="D6" s="55" t="str">
        <f>IFERROR(__xludf.DUMMYFUNCTION("""COMPUTED_VALUE"""),"No")</f>
        <v>No</v>
      </c>
      <c r="E6" s="55" t="str">
        <f>IFERROR(__xludf.DUMMYFUNCTION("""COMPUTED_VALUE"""),"No")</f>
        <v>No</v>
      </c>
      <c r="F6" s="55" t="str">
        <f>IFERROR(__xludf.DUMMYFUNCTION("""COMPUTED_VALUE"""),"Somatic Cancer")</f>
        <v>Somatic Cancer</v>
      </c>
      <c r="G6" t="str">
        <f>IFERROR(__xludf.DUMMYFUNCTION("""COMPUTED_VALUE"""),"pediatric cancer taskforce")</f>
        <v>pediatric cancer taskforce</v>
      </c>
      <c r="H6" t="str">
        <f>IFERROR(__xludf.DUMMYFUNCTION("""COMPUTED_VALUE"""),"Heather Williams")</f>
        <v>Heather Williams</v>
      </c>
      <c r="I6" t="str">
        <f>IFERROR(__xludf.DUMMYFUNCTION("""COMPUTED_VALUE"""),"heather.williams30@nhs.net")</f>
        <v>heather.williams30@nhs.net</v>
      </c>
      <c r="J6" s="55" t="str">
        <f>IFERROR(__xludf.DUMMYFUNCTION("""COMPUTED_VALUE"""),"Comprehensive")</f>
        <v>Comprehensive</v>
      </c>
      <c r="K6" t="str">
        <f>IFERROR(__xludf.DUMMYFUNCTION("""COMPUTED_VALUE"""),"Myeloid Malignancy Variant Curation Expert Panel Somatic/Germline Variant Curation Group")</f>
        <v>Myeloid Malignancy Variant Curation Expert Panel Somatic/Germline Variant Curation Group</v>
      </c>
    </row>
    <row r="7">
      <c r="A7" t="str">
        <f>IFERROR(__xludf.DUMMYFUNCTION("""COMPUTED_VALUE"""),"Unresponsive")</f>
        <v>Unresponsive</v>
      </c>
      <c r="B7" s="114">
        <f>IFERROR(__xludf.DUMMYFUNCTION("""COMPUTED_VALUE"""),43411.0)</f>
        <v>43411</v>
      </c>
      <c r="C7" s="118">
        <f>IFERROR(__xludf.DUMMYFUNCTION("""COMPUTED_VALUE"""),43476.0)</f>
        <v>43476</v>
      </c>
      <c r="D7" s="55" t="str">
        <f>IFERROR(__xludf.DUMMYFUNCTION("""COMPUTED_VALUE"""),"Yes")</f>
        <v>Yes</v>
      </c>
      <c r="E7" s="55" t="str">
        <f>IFERROR(__xludf.DUMMYFUNCTION("""COMPUTED_VALUE"""),"No")</f>
        <v>No</v>
      </c>
      <c r="F7" s="55" t="str">
        <f>IFERROR(__xludf.DUMMYFUNCTION("""COMPUTED_VALUE"""),"Somatic Cancer")</f>
        <v>Somatic Cancer</v>
      </c>
      <c r="G7" t="str">
        <f>IFERROR(__xludf.DUMMYFUNCTION("""COMPUTED_VALUE"""),"pediatric cancer taskforce")</f>
        <v>pediatric cancer taskforce</v>
      </c>
      <c r="H7" t="str">
        <f>IFERROR(__xludf.DUMMYFUNCTION("""COMPUTED_VALUE"""),"Laura Richards")</f>
        <v>Laura Richards</v>
      </c>
      <c r="I7" t="str">
        <f>IFERROR(__xludf.DUMMYFUNCTION("""COMPUTED_VALUE"""),"lauram.richards@mail.utoronto.ca")</f>
        <v>lauram.richards@mail.utoronto.ca</v>
      </c>
      <c r="J7" s="55" t="str">
        <f>IFERROR(__xludf.DUMMYFUNCTION("""COMPUTED_VALUE"""),"Comprehensive")</f>
        <v>Comprehensive</v>
      </c>
      <c r="K7" t="str">
        <f>IFERROR(__xludf.DUMMYFUNCTION("""COMPUTED_VALUE"""),"All expert panels in Hereditary Cancer CDWG")</f>
        <v>All expert panels in Hereditary Cancer CDWG</v>
      </c>
    </row>
    <row r="8">
      <c r="A8" t="str">
        <f>IFERROR(__xludf.DUMMYFUNCTION("""COMPUTED_VALUE"""),"Unresponsive")</f>
        <v>Unresponsive</v>
      </c>
      <c r="B8" s="114">
        <f>IFERROR(__xludf.DUMMYFUNCTION("""COMPUTED_VALUE"""),43411.0)</f>
        <v>43411</v>
      </c>
      <c r="C8" s="118" t="str">
        <f>IFERROR(__xludf.DUMMYFUNCTION("""COMPUTED_VALUE"""),"")</f>
        <v/>
      </c>
      <c r="D8" s="55" t="str">
        <f>IFERROR(__xludf.DUMMYFUNCTION("""COMPUTED_VALUE"""),"No")</f>
        <v>No</v>
      </c>
      <c r="E8" s="55" t="str">
        <f>IFERROR(__xludf.DUMMYFUNCTION("""COMPUTED_VALUE"""),"No")</f>
        <v>No</v>
      </c>
      <c r="F8" s="55" t="str">
        <f>IFERROR(__xludf.DUMMYFUNCTION("""COMPUTED_VALUE"""),"Somatic Cancer")</f>
        <v>Somatic Cancer</v>
      </c>
      <c r="G8" t="str">
        <f>IFERROR(__xludf.DUMMYFUNCTION("""COMPUTED_VALUE"""),"")</f>
        <v/>
      </c>
      <c r="H8" t="str">
        <f>IFERROR(__xludf.DUMMYFUNCTION("""COMPUTED_VALUE"""),"Aysegul Ozanturk")</f>
        <v>Aysegul Ozanturk</v>
      </c>
      <c r="I8" t="str">
        <f>IFERROR(__xludf.DUMMYFUNCTION("""COMPUTED_VALUE"""),"aozanturk@gmail.com")</f>
        <v>aozanturk@gmail.com</v>
      </c>
      <c r="J8" s="55" t="str">
        <f>IFERROR(__xludf.DUMMYFUNCTION("""COMPUTED_VALUE"""),"Comprehensive")</f>
        <v>Comprehensive</v>
      </c>
      <c r="K8" t="str">
        <f>IFERROR(__xludf.DUMMYFUNCTION("""COMPUTED_VALUE"""),"I would say mostly rare disorders. I have an expertise on ciliary disorders/ Syndromic IDs/ inborn error of metabolic disorders. Happy to share my resume.")</f>
        <v>I would say mostly rare disorders. I have an expertise on ciliary disorders/ Syndromic IDs/ inborn error of metabolic disorders. Happy to share my resume.</v>
      </c>
    </row>
    <row r="9">
      <c r="A9" t="str">
        <f>IFERROR(__xludf.DUMMYFUNCTION("""COMPUTED_VALUE"""),"Declined")</f>
        <v>Declined</v>
      </c>
      <c r="B9" s="114">
        <f>IFERROR(__xludf.DUMMYFUNCTION("""COMPUTED_VALUE"""),43411.0)</f>
        <v>43411</v>
      </c>
      <c r="C9" s="118">
        <f>IFERROR(__xludf.DUMMYFUNCTION("""COMPUTED_VALUE"""),43476.0)</f>
        <v>43476</v>
      </c>
      <c r="D9" s="55" t="str">
        <f>IFERROR(__xludf.DUMMYFUNCTION("""COMPUTED_VALUE"""),"Yes")</f>
        <v>Yes</v>
      </c>
      <c r="E9" s="55" t="str">
        <f>IFERROR(__xludf.DUMMYFUNCTION("""COMPUTED_VALUE"""),"No")</f>
        <v>No</v>
      </c>
      <c r="F9" s="55" t="str">
        <f>IFERROR(__xludf.DUMMYFUNCTION("""COMPUTED_VALUE"""),"Somatic Cancer")</f>
        <v>Somatic Cancer</v>
      </c>
      <c r="G9" t="str">
        <f>IFERROR(__xludf.DUMMYFUNCTION("""COMPUTED_VALUE"""),"pancreatic cancer taskforce")</f>
        <v>pancreatic cancer taskforce</v>
      </c>
      <c r="H9" t="str">
        <f>IFERROR(__xludf.DUMMYFUNCTION("""COMPUTED_VALUE"""),"Kaylee Barber")</f>
        <v>Kaylee Barber</v>
      </c>
      <c r="I9" t="str">
        <f>IFERROR(__xludf.DUMMYFUNCTION("""COMPUTED_VALUE"""),"kbarber@bioreference.com")</f>
        <v>kbarber@bioreference.com</v>
      </c>
      <c r="J9" s="55" t="str">
        <f>IFERROR(__xludf.DUMMYFUNCTION("""COMPUTED_VALUE"""),"Comprehensive")</f>
        <v>Comprehensive</v>
      </c>
      <c r="K9" t="str">
        <f>IFERROR(__xludf.DUMMYFUNCTION("""COMPUTED_VALUE"""),"Somatic Cancer Working Group, Somatic/Germline Variant Curation Group")</f>
        <v>Somatic Cancer Working Group, Somatic/Germline Variant Curation Group</v>
      </c>
    </row>
    <row r="10">
      <c r="A10" t="str">
        <f>IFERROR(__xludf.DUMMYFUNCTION("""COMPUTED_VALUE"""),"Assigned")</f>
        <v>Assigned</v>
      </c>
      <c r="B10" s="114">
        <f>IFERROR(__xludf.DUMMYFUNCTION("""COMPUTED_VALUE"""),43411.0)</f>
        <v>43411</v>
      </c>
      <c r="C10" s="118">
        <f>IFERROR(__xludf.DUMMYFUNCTION("""COMPUTED_VALUE"""),43476.0)</f>
        <v>43476</v>
      </c>
      <c r="D10" s="55" t="str">
        <f>IFERROR(__xludf.DUMMYFUNCTION("""COMPUTED_VALUE"""),"Yes")</f>
        <v>Yes</v>
      </c>
      <c r="E10" s="55" t="str">
        <f>IFERROR(__xludf.DUMMYFUNCTION("""COMPUTED_VALUE"""),"No")</f>
        <v>No</v>
      </c>
      <c r="F10" s="55" t="str">
        <f>IFERROR(__xludf.DUMMYFUNCTION("""COMPUTED_VALUE"""),"Somatic Cancer")</f>
        <v>Somatic Cancer</v>
      </c>
      <c r="G10" t="str">
        <f>IFERROR(__xludf.DUMMYFUNCTION("""COMPUTED_VALUE"""),"pediatric and pancreatic cancer taskforces")</f>
        <v>pediatric and pancreatic cancer taskforces</v>
      </c>
      <c r="H10" t="str">
        <f>IFERROR(__xludf.DUMMYFUNCTION("""COMPUTED_VALUE"""),"Wan-Hsin Lin")</f>
        <v>Wan-Hsin Lin</v>
      </c>
      <c r="I10" t="str">
        <f>IFERROR(__xludf.DUMMYFUNCTION("""COMPUTED_VALUE"""),"lin.wanhsin@mayo.edu")</f>
        <v>lin.wanhsin@mayo.edu</v>
      </c>
      <c r="J10" s="55" t="str">
        <f>IFERROR(__xludf.DUMMYFUNCTION("""COMPUTED_VALUE"""),"Comprehensive")</f>
        <v>Comprehensive</v>
      </c>
      <c r="K10" t="str">
        <f>IFERROR(__xludf.DUMMYFUNCTION("""COMPUTED_VALUE"""),"The Expert Panels/Working Groups that I am interested in are listed below. 1. ""Clinical Domain Working Groups""-Hereditary Cancer CDWG: Hereditary Cancer Gene Curation Expert Panel, Myeloid Malignancy Variant Curation Expert Panel, Somatic/Germline Varia"&amp;"nt Curation Group. 2. Gene Curation Working Group 3. Somatic Cancer Working Group")</f>
        <v>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v>
      </c>
    </row>
    <row r="11">
      <c r="A11" t="str">
        <f>IFERROR(__xludf.DUMMYFUNCTION("""COMPUTED_VALUE"""),"Unresponsive")</f>
        <v>Unresponsive</v>
      </c>
      <c r="B11" s="114">
        <f>IFERROR(__xludf.DUMMYFUNCTION("""COMPUTED_VALUE"""),43411.0)</f>
        <v>43411</v>
      </c>
      <c r="C11" s="118">
        <f>IFERROR(__xludf.DUMMYFUNCTION("""COMPUTED_VALUE"""),43476.0)</f>
        <v>43476</v>
      </c>
      <c r="D11" s="55" t="str">
        <f>IFERROR(__xludf.DUMMYFUNCTION("""COMPUTED_VALUE"""),"Yes")</f>
        <v>Yes</v>
      </c>
      <c r="E11" s="55" t="str">
        <f>IFERROR(__xludf.DUMMYFUNCTION("""COMPUTED_VALUE"""),"No")</f>
        <v>No</v>
      </c>
      <c r="F11" s="55" t="str">
        <f>IFERROR(__xludf.DUMMYFUNCTION("""COMPUTED_VALUE"""),"Somatic Cancer")</f>
        <v>Somatic Cancer</v>
      </c>
      <c r="G11" t="str">
        <f>IFERROR(__xludf.DUMMYFUNCTION("""COMPUTED_VALUE"""),"pediatric cancer taskforce")</f>
        <v>pediatric cancer taskforce</v>
      </c>
      <c r="H11" t="str">
        <f>IFERROR(__xludf.DUMMYFUNCTION("""COMPUTED_VALUE"""),"Stefan Rentas")</f>
        <v>Stefan Rentas</v>
      </c>
      <c r="I11" t="str">
        <f>IFERROR(__xludf.DUMMYFUNCTION("""COMPUTED_VALUE"""),"rentass@email.chop.edu")</f>
        <v>rentass@email.chop.edu</v>
      </c>
      <c r="J11" s="55" t="str">
        <f>IFERROR(__xludf.DUMMYFUNCTION("""COMPUTED_VALUE"""),"Comprehensive")</f>
        <v>Comprehensive</v>
      </c>
      <c r="K11" t="str">
        <f>IFERROR(__xludf.DUMMYFUNCTION("""COMPUTED_VALUE"""),"As a current trainee in laboratory genomics I think it would be a fantastic experience to get involved in the ClinGen community. I have interest in assisting and volunteering with the Hereditary Cancer Gene Curation Expert Panel, Somatic/Germline Variant "&amp;"Curation Group, Myeloid Malignancy Variant Curation Expert Panel, or the Dosage Sensitivity Curation team.")</f>
        <v>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v>
      </c>
    </row>
    <row r="12">
      <c r="A12" t="str">
        <f>IFERROR(__xludf.DUMMYFUNCTION("""COMPUTED_VALUE"""),"Unresponsive")</f>
        <v>Unresponsive</v>
      </c>
      <c r="B12" s="115">
        <f>IFERROR(__xludf.DUMMYFUNCTION("""COMPUTED_VALUE"""),43434.0)</f>
        <v>43434</v>
      </c>
      <c r="C12" s="118" t="str">
        <f>IFERROR(__xludf.DUMMYFUNCTION("""COMPUTED_VALUE"""),"")</f>
        <v/>
      </c>
      <c r="D12" s="55" t="str">
        <f>IFERROR(__xludf.DUMMYFUNCTION("""COMPUTED_VALUE"""),"No")</f>
        <v>No</v>
      </c>
      <c r="E12" s="55" t="str">
        <f>IFERROR(__xludf.DUMMYFUNCTION("""COMPUTED_VALUE"""),"No")</f>
        <v>No</v>
      </c>
      <c r="F12" s="55" t="str">
        <f>IFERROR(__xludf.DUMMYFUNCTION("""COMPUTED_VALUE"""),"Somatic Cancer")</f>
        <v>Somatic Cancer</v>
      </c>
      <c r="G12" t="str">
        <f>IFERROR(__xludf.DUMMYFUNCTION("""COMPUTED_VALUE"""),"")</f>
        <v/>
      </c>
      <c r="H12" t="str">
        <f>IFERROR(__xludf.DUMMYFUNCTION("""COMPUTED_VALUE"""),"Willonie Mendonca")</f>
        <v>Willonie Mendonca</v>
      </c>
      <c r="I12" t="str">
        <f>IFERROR(__xludf.DUMMYFUNCTION("""COMPUTED_VALUE"""),"willonie@gmail.com")</f>
        <v>willonie@gmail.com</v>
      </c>
      <c r="J12" s="55" t="str">
        <f>IFERROR(__xludf.DUMMYFUNCTION("""COMPUTED_VALUE"""),"Comprehensive")</f>
        <v>Comprehensive</v>
      </c>
      <c r="K12" t="str">
        <f>IFERROR(__xludf.DUMMYFUNCTION("""COMPUTED_VALUE"""),"Somatic cancer working groupHereditary cancer working group")</f>
        <v>Somatic cancer working groupHereditary cancer working group</v>
      </c>
    </row>
    <row r="13">
      <c r="A13" t="str">
        <f>IFERROR(__xludf.DUMMYFUNCTION("""COMPUTED_VALUE"""),"Unresponsive")</f>
        <v>Unresponsive</v>
      </c>
      <c r="B13" s="115">
        <f>IFERROR(__xludf.DUMMYFUNCTION("""COMPUTED_VALUE"""),43434.0)</f>
        <v>43434</v>
      </c>
      <c r="C13" s="118">
        <f>IFERROR(__xludf.DUMMYFUNCTION("""COMPUTED_VALUE"""),43476.0)</f>
        <v>43476</v>
      </c>
      <c r="D13" s="55" t="str">
        <f>IFERROR(__xludf.DUMMYFUNCTION("""COMPUTED_VALUE"""),"Yes")</f>
        <v>Yes</v>
      </c>
      <c r="E13" s="55" t="str">
        <f>IFERROR(__xludf.DUMMYFUNCTION("""COMPUTED_VALUE"""),"No")</f>
        <v>No</v>
      </c>
      <c r="F13" s="55" t="str">
        <f>IFERROR(__xludf.DUMMYFUNCTION("""COMPUTED_VALUE"""),"Somatic Cancer")</f>
        <v>Somatic Cancer</v>
      </c>
      <c r="G13" t="str">
        <f>IFERROR(__xludf.DUMMYFUNCTION("""COMPUTED_VALUE"""),"pancreatic cancer taskforce")</f>
        <v>pancreatic cancer taskforce</v>
      </c>
      <c r="H13" t="str">
        <f>IFERROR(__xludf.DUMMYFUNCTION("""COMPUTED_VALUE"""),"Iman Haroun")</f>
        <v>Iman Haroun</v>
      </c>
      <c r="I13" t="str">
        <f>IFERROR(__xludf.DUMMYFUNCTION("""COMPUTED_VALUE"""),"iman.haroun@readinghealth.org")</f>
        <v>iman.haroun@readinghealth.org</v>
      </c>
      <c r="J13" s="55" t="str">
        <f>IFERROR(__xludf.DUMMYFUNCTION("""COMPUTED_VALUE"""),"Comprehensive")</f>
        <v>Comprehensive</v>
      </c>
      <c r="K13" t="str">
        <f>IFERROR(__xludf.DUMMYFUNCTION("""COMPUTED_VALUE"""),"Somatic Cancer, Pancreatic")</f>
        <v>Somatic Cancer, Pancreatic</v>
      </c>
    </row>
    <row r="14">
      <c r="A14" t="str">
        <f>IFERROR(__xludf.DUMMYFUNCTION("""COMPUTED_VALUE"""),"Contacted")</f>
        <v>Contacted</v>
      </c>
      <c r="B14" t="str">
        <f>IFERROR(__xludf.DUMMYFUNCTION("""COMPUTED_VALUE"""),"")</f>
        <v/>
      </c>
      <c r="C14" s="118">
        <f>IFERROR(__xludf.DUMMYFUNCTION("""COMPUTED_VALUE"""),43598.0)</f>
        <v>43598</v>
      </c>
      <c r="D14" s="55" t="str">
        <f>IFERROR(__xludf.DUMMYFUNCTION("""COMPUTED_VALUE"""),"Yes")</f>
        <v>Yes</v>
      </c>
      <c r="E14" s="55" t="str">
        <f>IFERROR(__xludf.DUMMYFUNCTION("""COMPUTED_VALUE"""),"No")</f>
        <v>No</v>
      </c>
      <c r="F14" s="55" t="str">
        <f>IFERROR(__xludf.DUMMYFUNCTION("""COMPUTED_VALUE"""),"Somatic Cancer")</f>
        <v>Somatic Cancer</v>
      </c>
      <c r="G14" t="str">
        <f>IFERROR(__xludf.DUMMYFUNCTION("""COMPUTED_VALUE"""),"")</f>
        <v/>
      </c>
      <c r="H14" t="str">
        <f>IFERROR(__xludf.DUMMYFUNCTION("""COMPUTED_VALUE"""),"Qiuxiang Ou")</f>
        <v>Qiuxiang Ou</v>
      </c>
      <c r="I14" t="str">
        <f>IFERROR(__xludf.DUMMYFUNCTION("""COMPUTED_VALUE"""),"dorothy.ou@gmail.com")</f>
        <v>dorothy.ou@gmail.com</v>
      </c>
      <c r="J14" s="55" t="str">
        <f>IFERROR(__xludf.DUMMYFUNCTION("""COMPUTED_VALUE"""),"Comprehensive")</f>
        <v>Comprehensive</v>
      </c>
      <c r="K14" t="str">
        <f>IFERROR(__xludf.DUMMYFUNCTION("""COMPUTED_VALUE"""),"Somatic Cancer Working Group")</f>
        <v>Somatic Cancer Working Group</v>
      </c>
    </row>
    <row r="15">
      <c r="A15" t="str">
        <f>IFERROR(__xludf.DUMMYFUNCTION("""COMPUTED_VALUE"""),"Assigned")</f>
        <v>Assigned</v>
      </c>
      <c r="B15" s="114">
        <f>IFERROR(__xludf.DUMMYFUNCTION("""COMPUTED_VALUE"""),43467.0)</f>
        <v>43467</v>
      </c>
      <c r="C15" s="115">
        <f>IFERROR(__xludf.DUMMYFUNCTION("""COMPUTED_VALUE"""),43476.0)</f>
        <v>43476</v>
      </c>
      <c r="D15" s="55" t="str">
        <f>IFERROR(__xludf.DUMMYFUNCTION("""COMPUTED_VALUE"""),"Yes")</f>
        <v>Yes</v>
      </c>
      <c r="E15" s="55" t="str">
        <f>IFERROR(__xludf.DUMMYFUNCTION("""COMPUTED_VALUE"""),"No")</f>
        <v>No</v>
      </c>
      <c r="F15" s="55" t="str">
        <f>IFERROR(__xludf.DUMMYFUNCTION("""COMPUTED_VALUE"""),"Actionability")</f>
        <v>Actionability</v>
      </c>
      <c r="G15" t="str">
        <f>IFERROR(__xludf.DUMMYFUNCTION("""COMPUTED_VALUE"""),"Actionability")</f>
        <v>Actionability</v>
      </c>
      <c r="H15" t="str">
        <f>IFERROR(__xludf.DUMMYFUNCTION("""COMPUTED_VALUE"""),"Laura Fuqua")</f>
        <v>Laura Fuqua</v>
      </c>
      <c r="I15" t="str">
        <f>IFERROR(__xludf.DUMMYFUNCTION("""COMPUTED_VALUE"""),"laura.fuqua@gmail.com")</f>
        <v>laura.fuqua@gmail.com</v>
      </c>
      <c r="J15" s="55" t="str">
        <f>IFERROR(__xludf.DUMMYFUNCTION("""COMPUTED_VALUE"""),"Comprehensive")</f>
        <v>Comprehensive</v>
      </c>
      <c r="K15" t="str">
        <f>IFERROR(__xludf.DUMMYFUNCTION("""COMPUTED_VALUE"""),"NA")</f>
        <v>NA</v>
      </c>
    </row>
    <row r="16">
      <c r="A16" t="str">
        <f>IFERROR(__xludf.DUMMYFUNCTION("""COMPUTED_VALUE"""),"Unresponsive")</f>
        <v>Unresponsive</v>
      </c>
      <c r="B16" t="str">
        <f>IFERROR(__xludf.DUMMYFUNCTION("""COMPUTED_VALUE"""),"")</f>
        <v/>
      </c>
      <c r="C16" t="str">
        <f>IFERROR(__xludf.DUMMYFUNCTION("""COMPUTED_VALUE"""),"")</f>
        <v/>
      </c>
      <c r="D16" s="55" t="str">
        <f>IFERROR(__xludf.DUMMYFUNCTION("""COMPUTED_VALUE"""),"No")</f>
        <v>No</v>
      </c>
      <c r="E16" s="55" t="str">
        <f>IFERROR(__xludf.DUMMYFUNCTION("""COMPUTED_VALUE"""),"No")</f>
        <v>No</v>
      </c>
      <c r="F16" s="55" t="str">
        <f>IFERROR(__xludf.DUMMYFUNCTION("""COMPUTED_VALUE"""),"Somatic Cancer")</f>
        <v>Somatic Cancer</v>
      </c>
      <c r="G16" t="str">
        <f>IFERROR(__xludf.DUMMYFUNCTION("""COMPUTED_VALUE"""),"")</f>
        <v/>
      </c>
      <c r="H16" t="str">
        <f>IFERROR(__xludf.DUMMYFUNCTION("""COMPUTED_VALUE"""),"Milda Auglyte")</f>
        <v>Milda Auglyte</v>
      </c>
      <c r="I16" t="str">
        <f>IFERROR(__xludf.DUMMYFUNCTION("""COMPUTED_VALUE"""),"mildaaug@gmail.com")</f>
        <v>mildaaug@gmail.com</v>
      </c>
      <c r="J16" s="55" t="str">
        <f>IFERROR(__xludf.DUMMYFUNCTION("""COMPUTED_VALUE"""),"Comprehensive")</f>
        <v>Comprehensive</v>
      </c>
      <c r="K16" t="str">
        <f>IFERROR(__xludf.DUMMYFUNCTION("""COMPUTED_VALUE"""),"I would be interested in newly forming groups: Breast/Ovarian Cancer, Nonsmall cell lung cancer and Somatic TP53.")</f>
        <v>I would be interested in newly forming groups: Breast/Ovarian Cancer, Nonsmall cell lung cancer and Somatic TP53.</v>
      </c>
    </row>
    <row r="17">
      <c r="A17" t="str">
        <f>IFERROR(__xludf.DUMMYFUNCTION("""COMPUTED_VALUE"""),"Declined")</f>
        <v>Declined</v>
      </c>
      <c r="B17" t="str">
        <f>IFERROR(__xludf.DUMMYFUNCTION("""COMPUTED_VALUE"""),"")</f>
        <v/>
      </c>
      <c r="C17" t="str">
        <f>IFERROR(__xludf.DUMMYFUNCTION("""COMPUTED_VALUE"""),"")</f>
        <v/>
      </c>
      <c r="D17" s="55" t="str">
        <f>IFERROR(__xludf.DUMMYFUNCTION("""COMPUTED_VALUE"""),"No")</f>
        <v>No</v>
      </c>
      <c r="E17" s="55" t="str">
        <f>IFERROR(__xludf.DUMMYFUNCTION("""COMPUTED_VALUE"""),"No")</f>
        <v>No</v>
      </c>
      <c r="F17" s="55" t="str">
        <f>IFERROR(__xludf.DUMMYFUNCTION("""COMPUTED_VALUE"""),"Somatic Cancer")</f>
        <v>Somatic Cancer</v>
      </c>
      <c r="G17" t="str">
        <f>IFERROR(__xludf.DUMMYFUNCTION("""COMPUTED_VALUE"""),"Pediatric cancer taskforce")</f>
        <v>Pediatric cancer taskforce</v>
      </c>
      <c r="H17" t="str">
        <f>IFERROR(__xludf.DUMMYFUNCTION("""COMPUTED_VALUE"""),"Andres Ressia")</f>
        <v>Andres Ressia</v>
      </c>
      <c r="I17" t="str">
        <f>IFERROR(__xludf.DUMMYFUNCTION("""COMPUTED_VALUE"""),"andresressiacolino@gmail.com")</f>
        <v>andresressiacolino@gmail.com</v>
      </c>
      <c r="J17" s="55" t="str">
        <f>IFERROR(__xludf.DUMMYFUNCTION("""COMPUTED_VALUE"""),"Comprehensive")</f>
        <v>Comprehensive</v>
      </c>
      <c r="K17" t="str">
        <f>IFERROR(__xludf.DUMMYFUNCTION("""COMPUTED_VALUE"""),"Breast/Ovarian Cancer (newly forming)")</f>
        <v>Breast/Ovarian Cancer (newly forming)</v>
      </c>
    </row>
    <row r="18">
      <c r="A18" t="str">
        <f>IFERROR(__xludf.DUMMYFUNCTION("""COMPUTED_VALUE"""),"Assigned")</f>
        <v>Assigned</v>
      </c>
      <c r="B18" s="115">
        <f>IFERROR(__xludf.DUMMYFUNCTION("""COMPUTED_VALUE"""),43452.0)</f>
        <v>43452</v>
      </c>
      <c r="C18" s="118">
        <f>IFERROR(__xludf.DUMMYFUNCTION("""COMPUTED_VALUE"""),43581.0)</f>
        <v>43581</v>
      </c>
      <c r="D18" s="55" t="str">
        <f>IFERROR(__xludf.DUMMYFUNCTION("""COMPUTED_VALUE"""),"Yes")</f>
        <v>Yes</v>
      </c>
      <c r="E18" s="55" t="str">
        <f>IFERROR(__xludf.DUMMYFUNCTION("""COMPUTED_VALUE"""),"No")</f>
        <v>No</v>
      </c>
      <c r="F18" s="55" t="str">
        <f>IFERROR(__xludf.DUMMYFUNCTION("""COMPUTED_VALUE"""),"Somatic Cancer")</f>
        <v>Somatic Cancer</v>
      </c>
      <c r="G18" t="str">
        <f>IFERROR(__xludf.DUMMYFUNCTION("""COMPUTED_VALUE"""),"Pancreatic cancer taskforce")</f>
        <v>Pancreatic cancer taskforce</v>
      </c>
      <c r="H18" t="str">
        <f>IFERROR(__xludf.DUMMYFUNCTION("""COMPUTED_VALUE"""),"Parisa Lotfi")</f>
        <v>Parisa Lotfi</v>
      </c>
      <c r="I18" t="str">
        <f>IFERROR(__xludf.DUMMYFUNCTION("""COMPUTED_VALUE"""),"Parisa_Lotfi@yahoo.com")</f>
        <v>Parisa_Lotfi@yahoo.com</v>
      </c>
      <c r="J18" s="55" t="str">
        <f>IFERROR(__xludf.DUMMYFUNCTION("""COMPUTED_VALUE"""),"Comprehensive")</f>
        <v>Comprehensive</v>
      </c>
      <c r="K18" t="str">
        <f>IFERROR(__xludf.DUMMYFUNCTION("""COMPUTED_VALUE"""),"intellectual disability/autism group")</f>
        <v>intellectual disability/autism group</v>
      </c>
    </row>
    <row r="19">
      <c r="A19" t="str">
        <f>IFERROR(__xludf.DUMMYFUNCTION("""COMPUTED_VALUE"""),"Declined")</f>
        <v>Declined</v>
      </c>
      <c r="B19" s="115">
        <f>IFERROR(__xludf.DUMMYFUNCTION("""COMPUTED_VALUE"""),43452.0)</f>
        <v>43452</v>
      </c>
      <c r="C19" t="str">
        <f>IFERROR(__xludf.DUMMYFUNCTION("""COMPUTED_VALUE"""),"")</f>
        <v/>
      </c>
      <c r="D19" s="55" t="str">
        <f>IFERROR(__xludf.DUMMYFUNCTION("""COMPUTED_VALUE"""),"No")</f>
        <v>No</v>
      </c>
      <c r="E19" s="55" t="str">
        <f>IFERROR(__xludf.DUMMYFUNCTION("""COMPUTED_VALUE"""),"No")</f>
        <v>No</v>
      </c>
      <c r="F19" s="55" t="str">
        <f>IFERROR(__xludf.DUMMYFUNCTION("""COMPUTED_VALUE"""),"Somatic Cancer")</f>
        <v>Somatic Cancer</v>
      </c>
      <c r="G19" t="str">
        <f>IFERROR(__xludf.DUMMYFUNCTION("""COMPUTED_VALUE"""),"Pediatric cancer taskforce")</f>
        <v>Pediatric cancer taskforce</v>
      </c>
      <c r="H19" t="str">
        <f>IFERROR(__xludf.DUMMYFUNCTION("""COMPUTED_VALUE"""),"Huei San Leong")</f>
        <v>Huei San Leong</v>
      </c>
      <c r="I19" t="str">
        <f>IFERROR(__xludf.DUMMYFUNCTION("""COMPUTED_VALUE"""),"hueisan.leong@petermac.org")</f>
        <v>hueisan.leong@petermac.org</v>
      </c>
      <c r="J19" s="55" t="str">
        <f>IFERROR(__xludf.DUMMYFUNCTION("""COMPUTED_VALUE"""),"Comprehensive")</f>
        <v>Comprehensive</v>
      </c>
      <c r="K19" t="str">
        <f>IFERROR(__xludf.DUMMYFUNCTION("""COMPUTED_VALUE"""),"1) Breast/Ovarian Cancer 2) Colorectal Cancer 3) CDH1")</f>
        <v>1) Breast/Ovarian Cancer 2) Colorectal Cancer 3) CDH1</v>
      </c>
    </row>
    <row r="20">
      <c r="A20" t="str">
        <f>IFERROR(__xludf.DUMMYFUNCTION("""COMPUTED_VALUE"""),"Unresponsive")</f>
        <v>Unresponsive</v>
      </c>
      <c r="B20" s="115">
        <f>IFERROR(__xludf.DUMMYFUNCTION("""COMPUTED_VALUE"""),43452.0)</f>
        <v>43452</v>
      </c>
      <c r="C20" t="str">
        <f>IFERROR(__xludf.DUMMYFUNCTION("""COMPUTED_VALUE"""),"")</f>
        <v/>
      </c>
      <c r="D20" s="55" t="str">
        <f>IFERROR(__xludf.DUMMYFUNCTION("""COMPUTED_VALUE"""),"No")</f>
        <v>No</v>
      </c>
      <c r="E20" s="55" t="str">
        <f>IFERROR(__xludf.DUMMYFUNCTION("""COMPUTED_VALUE"""),"No")</f>
        <v>No</v>
      </c>
      <c r="F20" s="55" t="str">
        <f>IFERROR(__xludf.DUMMYFUNCTION("""COMPUTED_VALUE"""),"Somatic Cancer")</f>
        <v>Somatic Cancer</v>
      </c>
      <c r="G20" t="str">
        <f>IFERROR(__xludf.DUMMYFUNCTION("""COMPUTED_VALUE"""),"")</f>
        <v/>
      </c>
      <c r="H20" t="str">
        <f>IFERROR(__xludf.DUMMYFUNCTION("""COMPUTED_VALUE"""),"Pandurang Kolekar")</f>
        <v>Pandurang Kolekar</v>
      </c>
      <c r="I20" t="str">
        <f>IFERROR(__xludf.DUMMYFUNCTION("""COMPUTED_VALUE"""),"pandurang.kolekar@gmail.com")</f>
        <v>pandurang.kolekar@gmail.com</v>
      </c>
      <c r="J20" s="55" t="str">
        <f>IFERROR(__xludf.DUMMYFUNCTION("""COMPUTED_VALUE"""),"Comprehensive")</f>
        <v>Comprehensive</v>
      </c>
      <c r="K20" t="str">
        <f>IFERROR(__xludf.DUMMYFUNCTION("""COMPUTED_VALUE"""),"Somatic cancer WG")</f>
        <v>Somatic cancer WG</v>
      </c>
    </row>
    <row r="21">
      <c r="A21" t="str">
        <f>IFERROR(__xludf.DUMMYFUNCTION("""COMPUTED_VALUE"""),"Unresponsive")</f>
        <v>Unresponsive</v>
      </c>
      <c r="B21" s="115">
        <f>IFERROR(__xludf.DUMMYFUNCTION("""COMPUTED_VALUE"""),43452.0)</f>
        <v>43452</v>
      </c>
      <c r="C21" t="str">
        <f>IFERROR(__xludf.DUMMYFUNCTION("""COMPUTED_VALUE"""),"")</f>
        <v/>
      </c>
      <c r="D21" s="55" t="str">
        <f>IFERROR(__xludf.DUMMYFUNCTION("""COMPUTED_VALUE"""),"No")</f>
        <v>No</v>
      </c>
      <c r="E21" s="55" t="str">
        <f>IFERROR(__xludf.DUMMYFUNCTION("""COMPUTED_VALUE"""),"No")</f>
        <v>No</v>
      </c>
      <c r="F21" s="55" t="str">
        <f>IFERROR(__xludf.DUMMYFUNCTION("""COMPUTED_VALUE"""),"Somatic Cancer")</f>
        <v>Somatic Cancer</v>
      </c>
      <c r="G21" t="str">
        <f>IFERROR(__xludf.DUMMYFUNCTION("""COMPUTED_VALUE"""),"")</f>
        <v/>
      </c>
      <c r="H21" t="str">
        <f>IFERROR(__xludf.DUMMYFUNCTION("""COMPUTED_VALUE"""),"Jianhong Zhou")</f>
        <v>Jianhong Zhou</v>
      </c>
      <c r="I21" t="str">
        <f>IFERROR(__xludf.DUMMYFUNCTION("""COMPUTED_VALUE"""),"jhzhou2008@hotmail.com")</f>
        <v>jhzhou2008@hotmail.com</v>
      </c>
      <c r="J21" s="55" t="str">
        <f>IFERROR(__xludf.DUMMYFUNCTION("""COMPUTED_VALUE"""),"Comprehensive")</f>
        <v>Comprehensive</v>
      </c>
      <c r="K21" t="str">
        <f>IFERROR(__xludf.DUMMYFUNCTION("""COMPUTED_VALUE"""),"Somatic Cancer WG")</f>
        <v>Somatic Cancer WG</v>
      </c>
    </row>
    <row r="22">
      <c r="A22" t="str">
        <f>IFERROR(__xludf.DUMMYFUNCTION("""COMPUTED_VALUE"""),"Contacted")</f>
        <v>Contacted</v>
      </c>
      <c r="B22" t="str">
        <f>IFERROR(__xludf.DUMMYFUNCTION("""COMPUTED_VALUE"""),"")</f>
        <v/>
      </c>
      <c r="C22" s="118">
        <f>IFERROR(__xludf.DUMMYFUNCTION("""COMPUTED_VALUE"""),43598.0)</f>
        <v>43598</v>
      </c>
      <c r="D22" s="55" t="str">
        <f>IFERROR(__xludf.DUMMYFUNCTION("""COMPUTED_VALUE"""),"Yes")</f>
        <v>Yes</v>
      </c>
      <c r="E22" s="55" t="str">
        <f>IFERROR(__xludf.DUMMYFUNCTION("""COMPUTED_VALUE"""),"No")</f>
        <v>No</v>
      </c>
      <c r="F22" s="55" t="str">
        <f>IFERROR(__xludf.DUMMYFUNCTION("""COMPUTED_VALUE"""),"Somatic Cancer")</f>
        <v>Somatic Cancer</v>
      </c>
      <c r="G22" t="str">
        <f>IFERROR(__xludf.DUMMYFUNCTION("""COMPUTED_VALUE"""),"")</f>
        <v/>
      </c>
      <c r="H22" t="str">
        <f>IFERROR(__xludf.DUMMYFUNCTION("""COMPUTED_VALUE"""),"Ranjit Shetty")</f>
        <v>Ranjit Shetty</v>
      </c>
      <c r="I22" t="str">
        <f>IFERROR(__xludf.DUMMYFUNCTION("""COMPUTED_VALUE"""),"ranjit.shetty@novartis.com")</f>
        <v>ranjit.shetty@novartis.com</v>
      </c>
      <c r="J22" s="55" t="str">
        <f>IFERROR(__xludf.DUMMYFUNCTION("""COMPUTED_VALUE"""),"Comprehensive")</f>
        <v>Comprehensive</v>
      </c>
      <c r="K22" t="str">
        <f>IFERROR(__xludf.DUMMYFUNCTION("""COMPUTED_VALUE"""),"")</f>
        <v/>
      </c>
    </row>
    <row r="23">
      <c r="A23" t="str">
        <f>IFERROR(__xludf.DUMMYFUNCTION("""COMPUTED_VALUE"""),"Contacted")</f>
        <v>Contacted</v>
      </c>
      <c r="B23" t="str">
        <f>IFERROR(__xludf.DUMMYFUNCTION("""COMPUTED_VALUE"""),"")</f>
        <v/>
      </c>
      <c r="C23" s="118">
        <f>IFERROR(__xludf.DUMMYFUNCTION("""COMPUTED_VALUE"""),43581.0)</f>
        <v>43581</v>
      </c>
      <c r="D23" s="55" t="str">
        <f>IFERROR(__xludf.DUMMYFUNCTION("""COMPUTED_VALUE"""),"Yes")</f>
        <v>Yes</v>
      </c>
      <c r="E23" s="55" t="str">
        <f>IFERROR(__xludf.DUMMYFUNCTION("""COMPUTED_VALUE"""),"No")</f>
        <v>No</v>
      </c>
      <c r="F23" s="55" t="str">
        <f>IFERROR(__xludf.DUMMYFUNCTION("""COMPUTED_VALUE"""),"Somatic Cancer")</f>
        <v>Somatic Cancer</v>
      </c>
      <c r="G23" t="str">
        <f>IFERROR(__xludf.DUMMYFUNCTION("""COMPUTED_VALUE"""),"Pediatric cancer taskforce")</f>
        <v>Pediatric cancer taskforce</v>
      </c>
      <c r="H23" t="str">
        <f>IFERROR(__xludf.DUMMYFUNCTION("""COMPUTED_VALUE"""),"HUILING XU")</f>
        <v>HUILING XU</v>
      </c>
      <c r="I23" t="str">
        <f>IFERROR(__xludf.DUMMYFUNCTION("""COMPUTED_VALUE"""),"huiling.xu@petermac.org")</f>
        <v>huiling.xu@petermac.org</v>
      </c>
      <c r="J23" s="55" t="str">
        <f>IFERROR(__xludf.DUMMYFUNCTION("""COMPUTED_VALUE"""),"Comprehensive")</f>
        <v>Comprehensive</v>
      </c>
      <c r="K23" t="str">
        <f>IFERROR(__xludf.DUMMYFUNCTION("""COMPUTED_VALUE"""),"Somatic cancer working groups")</f>
        <v>Somatic cancer working groups</v>
      </c>
    </row>
    <row r="24">
      <c r="A24" t="str">
        <f>IFERROR(__xludf.DUMMYFUNCTION("""COMPUTED_VALUE"""),"Contacted")</f>
        <v>Contacted</v>
      </c>
      <c r="B24" t="str">
        <f>IFERROR(__xludf.DUMMYFUNCTION("""COMPUTED_VALUE"""),"")</f>
        <v/>
      </c>
      <c r="C24" s="118">
        <f>IFERROR(__xludf.DUMMYFUNCTION("""COMPUTED_VALUE"""),43581.0)</f>
        <v>43581</v>
      </c>
      <c r="D24" s="55" t="str">
        <f>IFERROR(__xludf.DUMMYFUNCTION("""COMPUTED_VALUE"""),"Yes")</f>
        <v>Yes</v>
      </c>
      <c r="E24" s="55" t="str">
        <f>IFERROR(__xludf.DUMMYFUNCTION("""COMPUTED_VALUE"""),"No")</f>
        <v>No</v>
      </c>
      <c r="F24" s="55" t="str">
        <f>IFERROR(__xludf.DUMMYFUNCTION("""COMPUTED_VALUE"""),"Somatic Cancer")</f>
        <v>Somatic Cancer</v>
      </c>
      <c r="G24" t="str">
        <f>IFERROR(__xludf.DUMMYFUNCTION("""COMPUTED_VALUE"""),"")</f>
        <v/>
      </c>
      <c r="H24" t="str">
        <f>IFERROR(__xludf.DUMMYFUNCTION("""COMPUTED_VALUE"""),"Venkataswamy Eswarachari")</f>
        <v>Venkataswamy Eswarachari</v>
      </c>
      <c r="I24" t="str">
        <f>IFERROR(__xludf.DUMMYFUNCTION("""COMPUTED_VALUE"""),"venkataswamy@medgenome.com")</f>
        <v>venkataswamy@medgenome.com</v>
      </c>
      <c r="J24" s="55" t="str">
        <f>IFERROR(__xludf.DUMMYFUNCTION("""COMPUTED_VALUE"""),"Comprehensive")</f>
        <v>Comprehensive</v>
      </c>
      <c r="K24" t="str">
        <f>IFERROR(__xludf.DUMMYFUNCTION("""COMPUTED_VALUE"""),"")</f>
        <v/>
      </c>
    </row>
    <row r="25">
      <c r="A25" t="str">
        <f>IFERROR(__xludf.DUMMYFUNCTION("""COMPUTED_VALUE"""),"Contacted")</f>
        <v>Contacted</v>
      </c>
      <c r="B25" t="str">
        <f>IFERROR(__xludf.DUMMYFUNCTION("""COMPUTED_VALUE"""),"")</f>
        <v/>
      </c>
      <c r="C25" s="118">
        <f>IFERROR(__xludf.DUMMYFUNCTION("""COMPUTED_VALUE"""),43581.0)</f>
        <v>43581</v>
      </c>
      <c r="D25" s="55" t="str">
        <f>IFERROR(__xludf.DUMMYFUNCTION("""COMPUTED_VALUE"""),"Yes")</f>
        <v>Yes</v>
      </c>
      <c r="E25" s="55" t="str">
        <f>IFERROR(__xludf.DUMMYFUNCTION("""COMPUTED_VALUE"""),"No")</f>
        <v>No</v>
      </c>
      <c r="F25" s="55" t="str">
        <f>IFERROR(__xludf.DUMMYFUNCTION("""COMPUTED_VALUE"""),"Somatic Cancer")</f>
        <v>Somatic Cancer</v>
      </c>
      <c r="G25" t="str">
        <f>IFERROR(__xludf.DUMMYFUNCTION("""COMPUTED_VALUE"""),"")</f>
        <v/>
      </c>
      <c r="H25" t="str">
        <f>IFERROR(__xludf.DUMMYFUNCTION("""COMPUTED_VALUE"""),"Ying Zou")</f>
        <v>Ying Zou</v>
      </c>
      <c r="I25" t="str">
        <f>IFERROR(__xludf.DUMMYFUNCTION("""COMPUTED_VALUE""")," yzou19@jhmi.edu")</f>
        <v> yzou19@jhmi.edu</v>
      </c>
      <c r="J25" s="55" t="str">
        <f>IFERROR(__xludf.DUMMYFUNCTION("""COMPUTED_VALUE"""),"Comprehensive")</f>
        <v>Comprehensive</v>
      </c>
      <c r="K25" t="str">
        <f>IFERROR(__xludf.DUMMYFUNCTION("""COMPUTED_VALUE"""),"somatic cancer")</f>
        <v>somatic cancer</v>
      </c>
    </row>
    <row r="26">
      <c r="A26" t="str">
        <f>IFERROR(__xludf.DUMMYFUNCTION("""COMPUTED_VALUE"""),"Contacted")</f>
        <v>Contacted</v>
      </c>
      <c r="B26" s="115">
        <f>IFERROR(__xludf.DUMMYFUNCTION("""COMPUTED_VALUE"""),43705.0)</f>
        <v>43705</v>
      </c>
      <c r="C26" t="str">
        <f>IFERROR(__xludf.DUMMYFUNCTION("""COMPUTED_VALUE"""),"")</f>
        <v/>
      </c>
      <c r="D26" s="55" t="str">
        <f>IFERROR(__xludf.DUMMYFUNCTION("""COMPUTED_VALUE"""),"")</f>
        <v/>
      </c>
      <c r="E26" s="55" t="str">
        <f>IFERROR(__xludf.DUMMYFUNCTION("""COMPUTED_VALUE"""),"No")</f>
        <v>No</v>
      </c>
      <c r="F26" s="55" t="str">
        <f>IFERROR(__xludf.DUMMYFUNCTION("""COMPUTED_VALUE"""),"Somatic Cancer")</f>
        <v>Somatic Cancer</v>
      </c>
      <c r="G26" t="str">
        <f>IFERROR(__xludf.DUMMYFUNCTION("""COMPUTED_VALUE"""),"")</f>
        <v/>
      </c>
      <c r="H26" t="str">
        <f>IFERROR(__xludf.DUMMYFUNCTION("""COMPUTED_VALUE"""),"Erin Sybouts")</f>
        <v>Erin Sybouts</v>
      </c>
      <c r="I26" t="str">
        <f>IFERROR(__xludf.DUMMYFUNCTION("""COMPUTED_VALUE"""),"sybouts@livemail.uthscsa.edu")</f>
        <v>sybouts@livemail.uthscsa.edu</v>
      </c>
      <c r="J26" s="55" t="str">
        <f>IFERROR(__xludf.DUMMYFUNCTION("""COMPUTED_VALUE"""),"Comprehensive")</f>
        <v>Comprehensive</v>
      </c>
      <c r="K26" t="str">
        <f>IFERROR(__xludf.DUMMYFUNCTION("""COMPUTED_VALUE"""),"TP53")</f>
        <v>TP53</v>
      </c>
    </row>
    <row r="27">
      <c r="A27" t="str">
        <f>IFERROR(__xludf.DUMMYFUNCTION("""COMPUTED_VALUE"""),"Unresponsive")</f>
        <v>Unresponsive</v>
      </c>
      <c r="B27" t="str">
        <f>IFERROR(__xludf.DUMMYFUNCTION("""COMPUTED_VALUE"""),"")</f>
        <v/>
      </c>
      <c r="C27" s="115">
        <f>IFERROR(__xludf.DUMMYFUNCTION("""COMPUTED_VALUE"""),43476.0)</f>
        <v>43476</v>
      </c>
      <c r="D27" s="55" t="str">
        <f>IFERROR(__xludf.DUMMYFUNCTION("""COMPUTED_VALUE"""),"Yes")</f>
        <v>Yes</v>
      </c>
      <c r="E27" s="55" t="str">
        <f>IFERROR(__xludf.DUMMYFUNCTION("""COMPUTED_VALUE"""),"No")</f>
        <v>No</v>
      </c>
      <c r="F27" s="55" t="str">
        <f>IFERROR(__xludf.DUMMYFUNCTION("""COMPUTED_VALUE"""),"Somatic Cancer")</f>
        <v>Somatic Cancer</v>
      </c>
      <c r="G27" t="str">
        <f>IFERROR(__xludf.DUMMYFUNCTION("""COMPUTED_VALUE"""),"")</f>
        <v/>
      </c>
      <c r="H27" t="str">
        <f>IFERROR(__xludf.DUMMYFUNCTION("""COMPUTED_VALUE"""),"Lisa Dyer")</f>
        <v>Lisa Dyer</v>
      </c>
      <c r="I27" t="str">
        <f>IFERROR(__xludf.DUMMYFUNCTION("""COMPUTED_VALUE"""),"Lisa.Dyer@cchmc.org")</f>
        <v>Lisa.Dyer@cchmc.org</v>
      </c>
      <c r="J27" s="55" t="str">
        <f>IFERROR(__xludf.DUMMYFUNCTION("""COMPUTED_VALUE"""),"Comprehensive")</f>
        <v>Comprehensive</v>
      </c>
      <c r="K27" t="str">
        <f>IFERROR(__xludf.DUMMYFUNCTION("""COMPUTED_VALUE"""),"")</f>
        <v/>
      </c>
    </row>
    <row r="28">
      <c r="A28" t="str">
        <f>IFERROR(__xludf.DUMMYFUNCTION("""COMPUTED_VALUE"""),"Contacted")</f>
        <v>Contacted</v>
      </c>
      <c r="B28" s="115">
        <f>IFERROR(__xludf.DUMMYFUNCTION("""COMPUTED_VALUE"""),43705.0)</f>
        <v>43705</v>
      </c>
      <c r="C28" s="113">
        <f>IFERROR(__xludf.DUMMYFUNCTION("""COMPUTED_VALUE"""),43719.0)</f>
        <v>43719</v>
      </c>
      <c r="D28" s="55" t="str">
        <f>IFERROR(__xludf.DUMMYFUNCTION("""COMPUTED_VALUE"""),"No")</f>
        <v>No</v>
      </c>
      <c r="E28" s="55" t="str">
        <f>IFERROR(__xludf.DUMMYFUNCTION("""COMPUTED_VALUE"""),"No")</f>
        <v>No</v>
      </c>
      <c r="F28" s="55" t="str">
        <f>IFERROR(__xludf.DUMMYFUNCTION("""COMPUTED_VALUE"""),"Somatic Cancer")</f>
        <v>Somatic Cancer</v>
      </c>
      <c r="G28" t="str">
        <f>IFERROR(__xludf.DUMMYFUNCTION("""COMPUTED_VALUE"""),"")</f>
        <v/>
      </c>
      <c r="H28" t="str">
        <f>IFERROR(__xludf.DUMMYFUNCTION("""COMPUTED_VALUE"""),"Christina Bridges")</f>
        <v>Christina Bridges</v>
      </c>
      <c r="I28" t="str">
        <f>IFERROR(__xludf.DUMMYFUNCTION("""COMPUTED_VALUE"""),"c.bridges@med.unc.edu")</f>
        <v>c.bridges@med.unc.edu</v>
      </c>
      <c r="J28" s="55" t="str">
        <f>IFERROR(__xludf.DUMMYFUNCTION("""COMPUTED_VALUE"""),"Comprehensive")</f>
        <v>Comprehensive</v>
      </c>
      <c r="K28" t="str">
        <f>IFERROR(__xludf.DUMMYFUNCTION("""COMPUTED_VALUE"""),"I do not feel that I am qualified, at this time, for any Expert Panels, but I have indicated some preferences for Working Group involvement.  However, I would be interested to learn which areas represent ClinGen's greatest needs, currently, and I would co"&amp;"nsider if it seems I could offer value in such an area. ")</f>
        <v>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v>
      </c>
    </row>
    <row r="29">
      <c r="A29" t="str">
        <f>IFERROR(__xludf.DUMMYFUNCTION("""COMPUTED_VALUE"""),"Contacted")</f>
        <v>Contacted</v>
      </c>
      <c r="B29" s="115">
        <f>IFERROR(__xludf.DUMMYFUNCTION("""COMPUTED_VALUE"""),43705.0)</f>
        <v>43705</v>
      </c>
      <c r="C29" s="113">
        <f>IFERROR(__xludf.DUMMYFUNCTION("""COMPUTED_VALUE"""),43719.0)</f>
        <v>43719</v>
      </c>
      <c r="D29" s="55" t="str">
        <f>IFERROR(__xludf.DUMMYFUNCTION("""COMPUTED_VALUE"""),"No")</f>
        <v>No</v>
      </c>
      <c r="E29" s="55" t="str">
        <f>IFERROR(__xludf.DUMMYFUNCTION("""COMPUTED_VALUE"""),"No")</f>
        <v>No</v>
      </c>
      <c r="F29" s="55" t="str">
        <f>IFERROR(__xludf.DUMMYFUNCTION("""COMPUTED_VALUE"""),"Somatic Cancer")</f>
        <v>Somatic Cancer</v>
      </c>
      <c r="G29" t="str">
        <f>IFERROR(__xludf.DUMMYFUNCTION("""COMPUTED_VALUE"""),"")</f>
        <v/>
      </c>
      <c r="H29" t="str">
        <f>IFERROR(__xludf.DUMMYFUNCTION("""COMPUTED_VALUE"""),"Priyabrata Panigrahi")</f>
        <v>Priyabrata Panigrahi</v>
      </c>
      <c r="I29" t="str">
        <f>IFERROR(__xludf.DUMMYFUNCTION("""COMPUTED_VALUE"""),"pb.panigrahi86@gmail.com")</f>
        <v>pb.panigrahi86@gmail.com</v>
      </c>
      <c r="J29" s="55" t="str">
        <f>IFERROR(__xludf.DUMMYFUNCTION("""COMPUTED_VALUE"""),"Comprehensive")</f>
        <v>Comprehensive</v>
      </c>
      <c r="K29" t="str">
        <f>IFERROR(__xludf.DUMMYFUNCTION("""COMPUTED_VALUE"""),"Dont know")</f>
        <v>Dont know</v>
      </c>
    </row>
    <row r="30">
      <c r="A30" t="str">
        <f>IFERROR(__xludf.DUMMYFUNCTION("""COMPUTED_VALUE"""),"Assigned")</f>
        <v>Assigned</v>
      </c>
      <c r="B30" s="115">
        <f>IFERROR(__xludf.DUMMYFUNCTION("""COMPUTED_VALUE"""),43705.0)</f>
        <v>43705</v>
      </c>
      <c r="C30" s="113">
        <f>IFERROR(__xludf.DUMMYFUNCTION("""COMPUTED_VALUE"""),43719.0)</f>
        <v>43719</v>
      </c>
      <c r="D30" s="55" t="str">
        <f>IFERROR(__xludf.DUMMYFUNCTION("""COMPUTED_VALUE"""),"Yes")</f>
        <v>Yes</v>
      </c>
      <c r="E30" s="55" t="str">
        <f>IFERROR(__xludf.DUMMYFUNCTION("""COMPUTED_VALUE"""),"No")</f>
        <v>No</v>
      </c>
      <c r="F30" s="55" t="str">
        <f>IFERROR(__xludf.DUMMYFUNCTION("""COMPUTED_VALUE"""),"Somatic Cancer")</f>
        <v>Somatic Cancer</v>
      </c>
      <c r="G30" t="str">
        <f>IFERROR(__xludf.DUMMYFUNCTION("""COMPUTED_VALUE"""),"hematological cancer taskforce")</f>
        <v>hematological cancer taskforce</v>
      </c>
      <c r="H30" t="str">
        <f>IFERROR(__xludf.DUMMYFUNCTION("""COMPUTED_VALUE"""),"Lori Millner")</f>
        <v>Lori Millner</v>
      </c>
      <c r="I30" t="str">
        <f>IFERROR(__xludf.DUMMYFUNCTION("""COMPUTED_VALUE"""),"lorimillner77@gmail.com")</f>
        <v>lorimillner77@gmail.com</v>
      </c>
      <c r="J30" s="55" t="str">
        <f>IFERROR(__xludf.DUMMYFUNCTION("""COMPUTED_VALUE"""),"Comprehensive")</f>
        <v>Comprehensive</v>
      </c>
      <c r="K30" t="str">
        <f>IFERROR(__xludf.DUMMYFUNCTION("""COMPUTED_VALUE"""),"")</f>
        <v/>
      </c>
    </row>
    <row r="31">
      <c r="A31" t="str">
        <f>IFERROR(__xludf.DUMMYFUNCTION("""COMPUTED_VALUE"""),"Assigned")</f>
        <v>Assigned</v>
      </c>
      <c r="B31" s="115">
        <f>IFERROR(__xludf.DUMMYFUNCTION("""COMPUTED_VALUE"""),43705.0)</f>
        <v>43705</v>
      </c>
      <c r="C31" s="113">
        <f>IFERROR(__xludf.DUMMYFUNCTION("""COMPUTED_VALUE"""),43719.0)</f>
        <v>43719</v>
      </c>
      <c r="D31" s="55" t="str">
        <f>IFERROR(__xludf.DUMMYFUNCTION("""COMPUTED_VALUE"""),"Yes")</f>
        <v>Yes</v>
      </c>
      <c r="E31" s="55" t="str">
        <f>IFERROR(__xludf.DUMMYFUNCTION("""COMPUTED_VALUE"""),"No")</f>
        <v>No</v>
      </c>
      <c r="F31" s="55" t="str">
        <f>IFERROR(__xludf.DUMMYFUNCTION("""COMPUTED_VALUE"""),"Somatic Cancer")</f>
        <v>Somatic Cancer</v>
      </c>
      <c r="G31" t="str">
        <f>IFERROR(__xludf.DUMMYFUNCTION("""COMPUTED_VALUE"""),"Pediatric cancer and Hematological cancer taskforce")</f>
        <v>Pediatric cancer and Hematological cancer taskforce</v>
      </c>
      <c r="H31" t="str">
        <f>IFERROR(__xludf.DUMMYFUNCTION("""COMPUTED_VALUE"""),"Panieh Terraf")</f>
        <v>Panieh Terraf</v>
      </c>
      <c r="I31" t="str">
        <f>IFERROR(__xludf.DUMMYFUNCTION("""COMPUTED_VALUE"""),"pterraf@bwh.harvard.edu")</f>
        <v>pterraf@bwh.harvard.edu</v>
      </c>
      <c r="J31" s="55" t="str">
        <f>IFERROR(__xludf.DUMMYFUNCTION("""COMPUTED_VALUE"""),"Comprehensive")</f>
        <v>Comprehensive</v>
      </c>
      <c r="K31" t="str">
        <f>IFERROR(__xludf.DUMMYFUNCTION("""COMPUTED_VALUE"""),"Variant curation: myeloid malignancy, colorectal cancer, cardiomyopathy 
Somatic cancer working group: All, particularly pediatrics.
Dosage sensitivity: hereditary cancers, neurodevelopmental ")</f>
        <v>Variant curation: myeloid malignancy, colorectal cancer, cardiomyopathy 
Somatic cancer working group: All, particularly pediatrics.
Dosage sensitivity: hereditary cancers, neurodevelopmental </v>
      </c>
    </row>
    <row r="32">
      <c r="A32" t="str">
        <f>IFERROR(__xludf.DUMMYFUNCTION("""COMPUTED_VALUE"""),"Contacted")</f>
        <v>Contacted</v>
      </c>
      <c r="B32" s="115">
        <f>IFERROR(__xludf.DUMMYFUNCTION("""COMPUTED_VALUE"""),43705.0)</f>
        <v>43705</v>
      </c>
      <c r="C32" s="113">
        <f>IFERROR(__xludf.DUMMYFUNCTION("""COMPUTED_VALUE"""),43719.0)</f>
        <v>43719</v>
      </c>
      <c r="D32" s="55" t="str">
        <f>IFERROR(__xludf.DUMMYFUNCTION("""COMPUTED_VALUE"""),"Yes")</f>
        <v>Yes</v>
      </c>
      <c r="E32" s="55" t="str">
        <f>IFERROR(__xludf.DUMMYFUNCTION("""COMPUTED_VALUE"""),"No")</f>
        <v>No</v>
      </c>
      <c r="F32" s="55" t="str">
        <f>IFERROR(__xludf.DUMMYFUNCTION("""COMPUTED_VALUE"""),"Somatic Cancer")</f>
        <v>Somatic Cancer</v>
      </c>
      <c r="G32" t="str">
        <f>IFERROR(__xludf.DUMMYFUNCTION("""COMPUTED_VALUE"""),"")</f>
        <v/>
      </c>
      <c r="H32" t="str">
        <f>IFERROR(__xludf.DUMMYFUNCTION("""COMPUTED_VALUE"""),"Eric Kil")</f>
        <v>Eric Kil</v>
      </c>
      <c r="I32" t="str">
        <f>IFERROR(__xludf.DUMMYFUNCTION("""COMPUTED_VALUE"""),"ekil18@students.kgi.edu")</f>
        <v>ekil18@students.kgi.edu</v>
      </c>
      <c r="J32" s="55" t="str">
        <f>IFERROR(__xludf.DUMMYFUNCTION("""COMPUTED_VALUE"""),"comprehensive")</f>
        <v>comprehensive</v>
      </c>
      <c r="K32" t="str">
        <f>IFERROR(__xludf.DUMMYFUNCTION("""COMPUTED_VALUE"""),"I am interested in neuro-related conditions and cancer.")</f>
        <v>I am interested in neuro-related conditions and cancer.</v>
      </c>
    </row>
    <row r="33">
      <c r="A33" t="str">
        <f>IFERROR(__xludf.DUMMYFUNCTION("""COMPUTED_VALUE"""),"Assigned")</f>
        <v>Assigned</v>
      </c>
      <c r="B33" s="115">
        <f>IFERROR(__xludf.DUMMYFUNCTION("""COMPUTED_VALUE"""),43705.0)</f>
        <v>43705</v>
      </c>
      <c r="C33" s="113">
        <f>IFERROR(__xludf.DUMMYFUNCTION("""COMPUTED_VALUE"""),43719.0)</f>
        <v>43719</v>
      </c>
      <c r="D33" s="55" t="str">
        <f>IFERROR(__xludf.DUMMYFUNCTION("""COMPUTED_VALUE"""),"Yes")</f>
        <v>Yes</v>
      </c>
      <c r="E33" s="55" t="str">
        <f>IFERROR(__xludf.DUMMYFUNCTION("""COMPUTED_VALUE"""),"No")</f>
        <v>No</v>
      </c>
      <c r="F33" s="55" t="str">
        <f>IFERROR(__xludf.DUMMYFUNCTION("""COMPUTED_VALUE"""),"Somatic Cancer")</f>
        <v>Somatic Cancer</v>
      </c>
      <c r="G33" t="str">
        <f>IFERROR(__xludf.DUMMYFUNCTION("""COMPUTED_VALUE"""),"Genitourinary cancer taskforce")</f>
        <v>Genitourinary cancer taskforce</v>
      </c>
      <c r="H33" t="str">
        <f>IFERROR(__xludf.DUMMYFUNCTION("""COMPUTED_VALUE"""),"Joseph Steward")</f>
        <v>Joseph Steward</v>
      </c>
      <c r="I33" t="str">
        <f>IFERROR(__xludf.DUMMYFUNCTION("""COMPUTED_VALUE"""),"jsteward2930@gmail.com")</f>
        <v>jsteward2930@gmail.com</v>
      </c>
      <c r="J33" s="55" t="str">
        <f>IFERROR(__xludf.DUMMYFUNCTION("""COMPUTED_VALUE"""),"comprehensive")</f>
        <v>comprehensive</v>
      </c>
      <c r="K33" t="str">
        <f>IFERROR(__xludf.DUMMYFUNCTION("""COMPUTED_VALUE"""),"Pancreatic ")</f>
        <v>Pancreatic </v>
      </c>
    </row>
    <row r="34">
      <c r="A34" t="str">
        <f>IFERROR(__xludf.DUMMYFUNCTION("""COMPUTED_VALUE"""),"Assigned")</f>
        <v>Assigned</v>
      </c>
      <c r="B34" s="115">
        <f>IFERROR(__xludf.DUMMYFUNCTION("""COMPUTED_VALUE"""),43705.0)</f>
        <v>43705</v>
      </c>
      <c r="C34" s="115">
        <f>IFERROR(__xludf.DUMMYFUNCTION("""COMPUTED_VALUE"""),43719.0)</f>
        <v>43719</v>
      </c>
      <c r="D34" s="55" t="str">
        <f>IFERROR(__xludf.DUMMYFUNCTION("""COMPUTED_VALUE"""),"Yes")</f>
        <v>Yes</v>
      </c>
      <c r="E34" s="55" t="str">
        <f>IFERROR(__xludf.DUMMYFUNCTION("""COMPUTED_VALUE"""),"No")</f>
        <v>No</v>
      </c>
      <c r="F34" s="55" t="str">
        <f>IFERROR(__xludf.DUMMYFUNCTION("""COMPUTED_VALUE"""),"Somatic Cancer")</f>
        <v>Somatic Cancer</v>
      </c>
      <c r="G34" t="str">
        <f>IFERROR(__xludf.DUMMYFUNCTION("""COMPUTED_VALUE"""),"Hematological Cancer taskforce")</f>
        <v>Hematological Cancer taskforce</v>
      </c>
      <c r="H34" t="str">
        <f>IFERROR(__xludf.DUMMYFUNCTION("""COMPUTED_VALUE"""),"FENGLI ZHANG")</f>
        <v>FENGLI ZHANG</v>
      </c>
      <c r="I34" t="str">
        <f>IFERROR(__xludf.DUMMYFUNCTION("""COMPUTED_VALUE"""),"fengli.zhang@slh.wisc.edu")</f>
        <v>fengli.zhang@slh.wisc.edu</v>
      </c>
      <c r="J34" s="55" t="str">
        <f>IFERROR(__xludf.DUMMYFUNCTION("""COMPUTED_VALUE"""),"Comprehensive")</f>
        <v>Comprehensive</v>
      </c>
      <c r="K34" t="str">
        <f>IFERROR(__xludf.DUMMYFUNCTION("""COMPUTED_VALUE"""),"Cancer")</f>
        <v>Cancer</v>
      </c>
    </row>
    <row r="35">
      <c r="A35" t="str">
        <f>IFERROR(__xludf.DUMMYFUNCTION("""COMPUTED_VALUE"""),"Contacted")</f>
        <v>Contacted</v>
      </c>
      <c r="B35" t="str">
        <f>IFERROR(__xludf.DUMMYFUNCTION("""COMPUTED_VALUE"""),"")</f>
        <v/>
      </c>
      <c r="C35" t="str">
        <f>IFERROR(__xludf.DUMMYFUNCTION("""COMPUTED_VALUE"""),"")</f>
        <v/>
      </c>
      <c r="D35" s="55" t="str">
        <f>IFERROR(__xludf.DUMMYFUNCTION("""COMPUTED_VALUE"""),"")</f>
        <v/>
      </c>
      <c r="E35" s="55" t="str">
        <f>IFERROR(__xludf.DUMMYFUNCTION("""COMPUTED_VALUE"""),"No")</f>
        <v>No</v>
      </c>
      <c r="F35" s="55" t="str">
        <f>IFERROR(__xludf.DUMMYFUNCTION("""COMPUTED_VALUE"""),"NA")</f>
        <v>NA</v>
      </c>
      <c r="G35" t="str">
        <f>IFERROR(__xludf.DUMMYFUNCTION("""COMPUTED_VALUE"""),"")</f>
        <v/>
      </c>
      <c r="H35" t="str">
        <f>IFERROR(__xludf.DUMMYFUNCTION("""COMPUTED_VALUE"""),"Donia Hany Mostafa ")</f>
        <v>Donia Hany Mostafa </v>
      </c>
      <c r="I35" t="str">
        <f>IFERROR(__xludf.DUMMYFUNCTION("""COMPUTED_VALUE"""),"donia.1518105@stemkalubya.moe.edu.eg")</f>
        <v>donia.1518105@stemkalubya.moe.edu.eg</v>
      </c>
      <c r="J35" s="55" t="str">
        <f>IFERROR(__xludf.DUMMYFUNCTION("""COMPUTED_VALUE"""),"Comprehensive")</f>
        <v>Comprehensive</v>
      </c>
      <c r="K35" t="str">
        <f>IFERROR(__xludf.DUMMYFUNCTION("""COMPUTED_VALUE"""),"Yes, I am very interested about being in group that will help me to do many researches and will help me to be through a new experience. ")</f>
        <v>Yes, I am very interested about being in group that will help me to do many researches and will help me to be through a new experience. </v>
      </c>
    </row>
    <row r="36">
      <c r="A36" t="str">
        <f>IFERROR(__xludf.DUMMYFUNCTION("""COMPUTED_VALUE"""),"Unassigned")</f>
        <v>Unassigned</v>
      </c>
      <c r="B36" t="str">
        <f>IFERROR(__xludf.DUMMYFUNCTION("""COMPUTED_VALUE"""),"")</f>
        <v/>
      </c>
      <c r="C36" t="str">
        <f>IFERROR(__xludf.DUMMYFUNCTION("""COMPUTED_VALUE"""),"")</f>
        <v/>
      </c>
      <c r="D36" s="55" t="str">
        <f>IFERROR(__xludf.DUMMYFUNCTION("""COMPUTED_VALUE"""),"")</f>
        <v/>
      </c>
      <c r="E36" s="55" t="str">
        <f>IFERROR(__xludf.DUMMYFUNCTION("""COMPUTED_VALUE"""),"No")</f>
        <v>No</v>
      </c>
      <c r="F36" s="55" t="str">
        <f>IFERROR(__xludf.DUMMYFUNCTION("""COMPUTED_VALUE"""),"Somatic Cancer")</f>
        <v>Somatic Cancer</v>
      </c>
      <c r="G36" t="str">
        <f>IFERROR(__xludf.DUMMYFUNCTION("""COMPUTED_VALUE"""),"")</f>
        <v/>
      </c>
      <c r="H36" t="str">
        <f>IFERROR(__xludf.DUMMYFUNCTION("""COMPUTED_VALUE"""),"Rasha hekal ")</f>
        <v>Rasha hekal </v>
      </c>
      <c r="I36" t="str">
        <f>IFERROR(__xludf.DUMMYFUNCTION("""COMPUTED_VALUE"""),"rasha.hekal.152003@gmail.com")</f>
        <v>rasha.hekal.152003@gmail.com</v>
      </c>
      <c r="J36" s="55" t="str">
        <f>IFERROR(__xludf.DUMMYFUNCTION("""COMPUTED_VALUE"""),"Comprehensive")</f>
        <v>Comprehensive</v>
      </c>
      <c r="K36" t="str">
        <f>IFERROR(__xludf.DUMMYFUNCTION("""COMPUTED_VALUE"""),"Yes I am very interested to join this group. ")</f>
        <v>Yes I am very interested to join this group. </v>
      </c>
    </row>
    <row r="37">
      <c r="A37" t="str">
        <f>IFERROR(__xludf.DUMMYFUNCTION("""COMPUTED_VALUE"""),"Unassigned")</f>
        <v>Unassigned</v>
      </c>
      <c r="B37" t="str">
        <f>IFERROR(__xludf.DUMMYFUNCTION("""COMPUTED_VALUE"""),"")</f>
        <v/>
      </c>
      <c r="C37" t="str">
        <f>IFERROR(__xludf.DUMMYFUNCTION("""COMPUTED_VALUE"""),"")</f>
        <v/>
      </c>
      <c r="D37" s="55" t="str">
        <f>IFERROR(__xludf.DUMMYFUNCTION("""COMPUTED_VALUE"""),"")</f>
        <v/>
      </c>
      <c r="E37" s="55" t="str">
        <f>IFERROR(__xludf.DUMMYFUNCTION("""COMPUTED_VALUE"""),"No")</f>
        <v>No</v>
      </c>
      <c r="F37" s="55" t="str">
        <f>IFERROR(__xludf.DUMMYFUNCTION("""COMPUTED_VALUE"""),"Somatic Cancer")</f>
        <v>Somatic Cancer</v>
      </c>
      <c r="G37" t="str">
        <f>IFERROR(__xludf.DUMMYFUNCTION("""COMPUTED_VALUE"""),"")</f>
        <v/>
      </c>
      <c r="H37" t="str">
        <f>IFERROR(__xludf.DUMMYFUNCTION("""COMPUTED_VALUE"""),"Nihal Ahmed ")</f>
        <v>Nihal Ahmed </v>
      </c>
      <c r="I37" t="str">
        <f>IFERROR(__xludf.DUMMYFUNCTION("""COMPUTED_VALUE"""),"nihalahmed087@gmail.com")</f>
        <v>nihalahmed087@gmail.com</v>
      </c>
      <c r="J37" s="55" t="str">
        <f>IFERROR(__xludf.DUMMYFUNCTION("""COMPUTED_VALUE"""),"Comprehensive")</f>
        <v>Comprehensive</v>
      </c>
      <c r="K37" t="str">
        <f>IFERROR(__xludf.DUMMYFUNCTION("""COMPUTED_VALUE"""),"Not so interested ")</f>
        <v>Not so interested </v>
      </c>
    </row>
    <row r="38">
      <c r="A38" t="str">
        <f>IFERROR(__xludf.DUMMYFUNCTION("""COMPUTED_VALUE"""),"Unassigned")</f>
        <v>Unassigned</v>
      </c>
      <c r="B38" t="str">
        <f>IFERROR(__xludf.DUMMYFUNCTION("""COMPUTED_VALUE"""),"")</f>
        <v/>
      </c>
      <c r="C38" t="str">
        <f>IFERROR(__xludf.DUMMYFUNCTION("""COMPUTED_VALUE"""),"")</f>
        <v/>
      </c>
      <c r="D38" s="55" t="str">
        <f>IFERROR(__xludf.DUMMYFUNCTION("""COMPUTED_VALUE"""),"")</f>
        <v/>
      </c>
      <c r="E38" s="55" t="str">
        <f>IFERROR(__xludf.DUMMYFUNCTION("""COMPUTED_VALUE"""),"No")</f>
        <v>No</v>
      </c>
      <c r="F38" s="55" t="str">
        <f>IFERROR(__xludf.DUMMYFUNCTION("""COMPUTED_VALUE"""),"Somatic Cancer")</f>
        <v>Somatic Cancer</v>
      </c>
      <c r="G38" t="str">
        <f>IFERROR(__xludf.DUMMYFUNCTION("""COMPUTED_VALUE"""),"")</f>
        <v/>
      </c>
      <c r="H38" t="str">
        <f>IFERROR(__xludf.DUMMYFUNCTION("""COMPUTED_VALUE"""),"Zonggao Shi")</f>
        <v>Zonggao Shi</v>
      </c>
      <c r="I38" t="str">
        <f>IFERROR(__xludf.DUMMYFUNCTION("""COMPUTED_VALUE"""),"zshi1@stjude.org")</f>
        <v>zshi1@stjude.org</v>
      </c>
      <c r="J38" s="55" t="str">
        <f>IFERROR(__xludf.DUMMYFUNCTION("""COMPUTED_VALUE"""),"Comprehensive")</f>
        <v>Comprehensive</v>
      </c>
      <c r="K38" t="str">
        <f>IFERROR(__xludf.DUMMYFUNCTION("""COMPUTED_VALUE"""),"Yes, Somatic Cancer Pediatric Taskforce would be a good match")</f>
        <v>Yes, Somatic Cancer Pediatric Taskforce would be a good match</v>
      </c>
    </row>
    <row r="39">
      <c r="A39" t="str">
        <f>IFERROR(__xludf.DUMMYFUNCTION("""COMPUTED_VALUE"""),"Unassigned")</f>
        <v>Unassigned</v>
      </c>
      <c r="B39" t="str">
        <f>IFERROR(__xludf.DUMMYFUNCTION("""COMPUTED_VALUE"""),"")</f>
        <v/>
      </c>
      <c r="C39" t="str">
        <f>IFERROR(__xludf.DUMMYFUNCTION("""COMPUTED_VALUE"""),"")</f>
        <v/>
      </c>
      <c r="D39" s="55" t="str">
        <f>IFERROR(__xludf.DUMMYFUNCTION("""COMPUTED_VALUE"""),"")</f>
        <v/>
      </c>
      <c r="E39" s="55" t="str">
        <f>IFERROR(__xludf.DUMMYFUNCTION("""COMPUTED_VALUE"""),"No")</f>
        <v>No</v>
      </c>
      <c r="F39" s="55" t="str">
        <f>IFERROR(__xludf.DUMMYFUNCTION("""COMPUTED_VALUE"""),"Somatic Cancer")</f>
        <v>Somatic Cancer</v>
      </c>
      <c r="G39" t="str">
        <f>IFERROR(__xludf.DUMMYFUNCTION("""COMPUTED_VALUE"""),"")</f>
        <v/>
      </c>
      <c r="H39" t="str">
        <f>IFERROR(__xludf.DUMMYFUNCTION("""COMPUTED_VALUE"""),"Emilie Lalonde")</f>
        <v>Emilie Lalonde</v>
      </c>
      <c r="I39" t="str">
        <f>IFERROR(__xludf.DUMMYFUNCTION("""COMPUTED_VALUE"""),"lalondee@email.chop.edu")</f>
        <v>lalondee@email.chop.edu</v>
      </c>
      <c r="J39" s="55" t="str">
        <f>IFERROR(__xludf.DUMMYFUNCTION("""COMPUTED_VALUE"""),"Comprehensive")</f>
        <v>Comprehensive</v>
      </c>
      <c r="K39" t="str">
        <f>IFERROR(__xludf.DUMMYFUNCTION("""COMPUTED_VALUE"""),"Somatic cancer WG, hereditary cancer EP, RASopathy EP, Myeloid Malignancy EP, dosage hereditary cancer WG, others as needed")</f>
        <v>Somatic cancer WG, hereditary cancer EP, RASopathy EP, Myeloid Malignancy EP, dosage hereditary cancer WG, others as needed</v>
      </c>
    </row>
    <row r="40">
      <c r="A40" t="str">
        <f>IFERROR(__xludf.DUMMYFUNCTION("""COMPUTED_VALUE"""),"Unassigned")</f>
        <v>Unassigned</v>
      </c>
      <c r="B40" t="str">
        <f>IFERROR(__xludf.DUMMYFUNCTION("""COMPUTED_VALUE"""),"")</f>
        <v/>
      </c>
      <c r="C40" t="str">
        <f>IFERROR(__xludf.DUMMYFUNCTION("""COMPUTED_VALUE"""),"")</f>
        <v/>
      </c>
      <c r="D40" s="55" t="str">
        <f>IFERROR(__xludf.DUMMYFUNCTION("""COMPUTED_VALUE"""),"")</f>
        <v/>
      </c>
      <c r="E40" s="55" t="str">
        <f>IFERROR(__xludf.DUMMYFUNCTION("""COMPUTED_VALUE"""),"No")</f>
        <v>No</v>
      </c>
      <c r="F40" s="55" t="str">
        <f>IFERROR(__xludf.DUMMYFUNCTION("""COMPUTED_VALUE"""),"Somatic Cancer")</f>
        <v>Somatic Cancer</v>
      </c>
      <c r="G40" t="str">
        <f>IFERROR(__xludf.DUMMYFUNCTION("""COMPUTED_VALUE"""),"")</f>
        <v/>
      </c>
      <c r="H40" t="str">
        <f>IFERROR(__xludf.DUMMYFUNCTION("""COMPUTED_VALUE"""),"KC Vavra")</f>
        <v>KC Vavra</v>
      </c>
      <c r="I40" t="str">
        <f>IFERROR(__xludf.DUMMYFUNCTION("""COMPUTED_VALUE"""),"kc.vavra@agilent.com")</f>
        <v>kc.vavra@agilent.com</v>
      </c>
      <c r="J40" s="55" t="str">
        <f>IFERROR(__xludf.DUMMYFUNCTION("""COMPUTED_VALUE"""),"Comprehensive")</f>
        <v>Comprehensive</v>
      </c>
      <c r="K40" t="str">
        <f>IFERROR(__xludf.DUMMYFUNCTION("""COMPUTED_VALUE"""),"")</f>
        <v/>
      </c>
    </row>
    <row r="41">
      <c r="A41" t="str">
        <f>IFERROR(__xludf.DUMMYFUNCTION("""COMPUTED_VALUE"""),"Unassigned")</f>
        <v>Unassigned</v>
      </c>
      <c r="B41" t="str">
        <f>IFERROR(__xludf.DUMMYFUNCTION("""COMPUTED_VALUE"""),"")</f>
        <v/>
      </c>
      <c r="C41" t="str">
        <f>IFERROR(__xludf.DUMMYFUNCTION("""COMPUTED_VALUE"""),"")</f>
        <v/>
      </c>
      <c r="D41" s="55" t="str">
        <f>IFERROR(__xludf.DUMMYFUNCTION("""COMPUTED_VALUE"""),"")</f>
        <v/>
      </c>
      <c r="E41" s="55" t="str">
        <f>IFERROR(__xludf.DUMMYFUNCTION("""COMPUTED_VALUE"""),"No")</f>
        <v>No</v>
      </c>
      <c r="F41" s="55" t="str">
        <f>IFERROR(__xludf.DUMMYFUNCTION("""COMPUTED_VALUE"""),"Somatic Cancer")</f>
        <v>Somatic Cancer</v>
      </c>
      <c r="G41" t="str">
        <f>IFERROR(__xludf.DUMMYFUNCTION("""COMPUTED_VALUE"""),"")</f>
        <v/>
      </c>
      <c r="H41" t="str">
        <f>IFERROR(__xludf.DUMMYFUNCTION("""COMPUTED_VALUE"""),"Eileen Chen")</f>
        <v>Eileen Chen</v>
      </c>
      <c r="I41" t="str">
        <f>IFERROR(__xludf.DUMMYFUNCTION("""COMPUTED_VALUE"""),"eileen.chen.x.q@sgh.com.sg")</f>
        <v>eileen.chen.x.q@sgh.com.sg</v>
      </c>
      <c r="J41" s="55" t="str">
        <f>IFERROR(__xludf.DUMMYFUNCTION("""COMPUTED_VALUE"""),"Comprehensive")</f>
        <v>Comprehensive</v>
      </c>
      <c r="K41" t="str">
        <f>IFERROR(__xludf.DUMMYFUNCTION("""COMPUTED_VALUE"""),"Yes. Somatic Cancer Working Group as the first choice.")</f>
        <v>Yes. Somatic Cancer Working Group as the first choice.</v>
      </c>
    </row>
    <row r="42">
      <c r="A42" t="str">
        <f>IFERROR(__xludf.DUMMYFUNCTION("""COMPUTED_VALUE"""),"Unassigned")</f>
        <v>Unassigned</v>
      </c>
      <c r="B42" t="str">
        <f>IFERROR(__xludf.DUMMYFUNCTION("""COMPUTED_VALUE"""),"")</f>
        <v/>
      </c>
      <c r="C42" t="str">
        <f>IFERROR(__xludf.DUMMYFUNCTION("""COMPUTED_VALUE"""),"")</f>
        <v/>
      </c>
      <c r="D42" s="55" t="str">
        <f>IFERROR(__xludf.DUMMYFUNCTION("""COMPUTED_VALUE"""),"")</f>
        <v/>
      </c>
      <c r="E42" s="55" t="str">
        <f>IFERROR(__xludf.DUMMYFUNCTION("""COMPUTED_VALUE"""),"No")</f>
        <v>No</v>
      </c>
      <c r="F42" s="55" t="str">
        <f>IFERROR(__xludf.DUMMYFUNCTION("""COMPUTED_VALUE"""),"Somatic Cancer")</f>
        <v>Somatic Cancer</v>
      </c>
      <c r="G42" t="str">
        <f>IFERROR(__xludf.DUMMYFUNCTION("""COMPUTED_VALUE"""),"")</f>
        <v/>
      </c>
      <c r="H42" t="str">
        <f>IFERROR(__xludf.DUMMYFUNCTION("""COMPUTED_VALUE"""),"Qing Zhang")</f>
        <v>Qing Zhang</v>
      </c>
      <c r="I42" t="str">
        <f>IFERROR(__xludf.DUMMYFUNCTION("""COMPUTED_VALUE"""),"qz1seattle@yahoo.com")</f>
        <v>qz1seattle@yahoo.com</v>
      </c>
      <c r="J42" s="55" t="str">
        <f>IFERROR(__xludf.DUMMYFUNCTION("""COMPUTED_VALUE"""),"Comprehensive")</f>
        <v>Comprehensive</v>
      </c>
      <c r="K42" t="str">
        <f>IFERROR(__xludf.DUMMYFUNCTION("""COMPUTED_VALUE"""),"Somatic Cancer Working Group")</f>
        <v>Somatic Cancer Working Group</v>
      </c>
    </row>
    <row r="43">
      <c r="A43" t="str">
        <f>IFERROR(__xludf.DUMMYFUNCTION("""COMPUTED_VALUE"""),"Unassigned")</f>
        <v>Unassigned</v>
      </c>
      <c r="B43" t="str">
        <f>IFERROR(__xludf.DUMMYFUNCTION("""COMPUTED_VALUE"""),"")</f>
        <v/>
      </c>
      <c r="C43" t="str">
        <f>IFERROR(__xludf.DUMMYFUNCTION("""COMPUTED_VALUE"""),"")</f>
        <v/>
      </c>
      <c r="D43" s="55" t="str">
        <f>IFERROR(__xludf.DUMMYFUNCTION("""COMPUTED_VALUE"""),"")</f>
        <v/>
      </c>
      <c r="E43" s="55" t="str">
        <f>IFERROR(__xludf.DUMMYFUNCTION("""COMPUTED_VALUE"""),"No")</f>
        <v>No</v>
      </c>
      <c r="F43" s="55" t="str">
        <f>IFERROR(__xludf.DUMMYFUNCTION("""COMPUTED_VALUE"""),"Somatic Cancer")</f>
        <v>Somatic Cancer</v>
      </c>
      <c r="G43" t="str">
        <f>IFERROR(__xludf.DUMMYFUNCTION("""COMPUTED_VALUE"""),"")</f>
        <v/>
      </c>
      <c r="H43" t="str">
        <f>IFERROR(__xludf.DUMMYFUNCTION("""COMPUTED_VALUE"""),"Gokce Toruner")</f>
        <v>Gokce Toruner</v>
      </c>
      <c r="I43" t="str">
        <f>IFERROR(__xludf.DUMMYFUNCTION("""COMPUTED_VALUE"""),"gatoruner@mdanderson.org")</f>
        <v>gatoruner@mdanderson.org</v>
      </c>
      <c r="J43" s="55" t="str">
        <f>IFERROR(__xludf.DUMMYFUNCTION("""COMPUTED_VALUE"""),"Comprehensive")</f>
        <v>Comprehensive</v>
      </c>
      <c r="K43" t="str">
        <f>IFERROR(__xludf.DUMMYFUNCTION("""COMPUTED_VALUE"""),"Somatic Cancer")</f>
        <v>Somatic Cancer</v>
      </c>
    </row>
    <row r="44">
      <c r="A44" t="str">
        <f>IFERROR(__xludf.DUMMYFUNCTION("""COMPUTED_VALUE"""),"Unassigned")</f>
        <v>Unassigned</v>
      </c>
      <c r="B44" t="str">
        <f>IFERROR(__xludf.DUMMYFUNCTION("""COMPUTED_VALUE"""),"")</f>
        <v/>
      </c>
      <c r="C44" t="str">
        <f>IFERROR(__xludf.DUMMYFUNCTION("""COMPUTED_VALUE"""),"")</f>
        <v/>
      </c>
      <c r="D44" s="55" t="str">
        <f>IFERROR(__xludf.DUMMYFUNCTION("""COMPUTED_VALUE"""),"")</f>
        <v/>
      </c>
      <c r="E44" s="55" t="str">
        <f>IFERROR(__xludf.DUMMYFUNCTION("""COMPUTED_VALUE"""),"No")</f>
        <v>No</v>
      </c>
      <c r="F44" s="55" t="str">
        <f>IFERROR(__xludf.DUMMYFUNCTION("""COMPUTED_VALUE"""),"Somatic Cancer")</f>
        <v>Somatic Cancer</v>
      </c>
      <c r="G44" t="str">
        <f>IFERROR(__xludf.DUMMYFUNCTION("""COMPUTED_VALUE"""),"")</f>
        <v/>
      </c>
      <c r="H44" t="str">
        <f>IFERROR(__xludf.DUMMYFUNCTION("""COMPUTED_VALUE"""),"Nicole Hinceman")</f>
        <v>Nicole Hinceman</v>
      </c>
      <c r="I44" t="str">
        <f>IFERROR(__xludf.DUMMYFUNCTION("""COMPUTED_VALUE"""),"nhinceman@genedx.com")</f>
        <v>nhinceman@genedx.com</v>
      </c>
      <c r="J44" s="55" t="str">
        <f>IFERROR(__xludf.DUMMYFUNCTION("""COMPUTED_VALUE"""),"Comprehensive")</f>
        <v>Comprehensive</v>
      </c>
      <c r="K44" t="str">
        <f>IFERROR(__xludf.DUMMYFUNCTION("""COMPUTED_VALUE"""),"Pediatric Somatic Cancer Working Group")</f>
        <v>Pediatric Somatic Cancer Working Group</v>
      </c>
    </row>
    <row r="45">
      <c r="A45" t="str">
        <f>IFERROR(__xludf.DUMMYFUNCTION("""COMPUTED_VALUE"""),"Unassigned")</f>
        <v>Unassigned</v>
      </c>
      <c r="B45" t="str">
        <f>IFERROR(__xludf.DUMMYFUNCTION("""COMPUTED_VALUE"""),"")</f>
        <v/>
      </c>
      <c r="C45" t="str">
        <f>IFERROR(__xludf.DUMMYFUNCTION("""COMPUTED_VALUE"""),"")</f>
        <v/>
      </c>
      <c r="D45" s="55" t="str">
        <f>IFERROR(__xludf.DUMMYFUNCTION("""COMPUTED_VALUE"""),"")</f>
        <v/>
      </c>
      <c r="E45" s="55" t="str">
        <f>IFERROR(__xludf.DUMMYFUNCTION("""COMPUTED_VALUE"""),"No")</f>
        <v>No</v>
      </c>
      <c r="F45" s="55" t="str">
        <f>IFERROR(__xludf.DUMMYFUNCTION("""COMPUTED_VALUE"""),"Somatic Cancer")</f>
        <v>Somatic Cancer</v>
      </c>
      <c r="G45" t="str">
        <f>IFERROR(__xludf.DUMMYFUNCTION("""COMPUTED_VALUE"""),"")</f>
        <v/>
      </c>
      <c r="H45" t="str">
        <f>IFERROR(__xludf.DUMMYFUNCTION("""COMPUTED_VALUE"""),"cynthia chow")</f>
        <v>cynthia chow</v>
      </c>
      <c r="I45" t="str">
        <f>IFERROR(__xludf.DUMMYFUNCTION("""COMPUTED_VALUE"""),"cchow3@bccancer.bc.ca")</f>
        <v>cchow3@bccancer.bc.ca</v>
      </c>
      <c r="J45" s="55" t="str">
        <f>IFERROR(__xludf.DUMMYFUNCTION("""COMPUTED_VALUE"""),"Comprehensive")</f>
        <v>Comprehensive</v>
      </c>
      <c r="K45" t="str">
        <f>IFERROR(__xludf.DUMMYFUNCTION("""COMPUTED_VALUE"""),"")</f>
        <v/>
      </c>
    </row>
    <row r="46">
      <c r="A46" t="str">
        <f>IFERROR(__xludf.DUMMYFUNCTION("""COMPUTED_VALUE"""),"Unassigned")</f>
        <v>Unassigned</v>
      </c>
      <c r="B46" t="str">
        <f>IFERROR(__xludf.DUMMYFUNCTION("""COMPUTED_VALUE"""),"")</f>
        <v/>
      </c>
      <c r="C46" t="str">
        <f>IFERROR(__xludf.DUMMYFUNCTION("""COMPUTED_VALUE"""),"")</f>
        <v/>
      </c>
      <c r="D46" s="55" t="str">
        <f>IFERROR(__xludf.DUMMYFUNCTION("""COMPUTED_VALUE"""),"")</f>
        <v/>
      </c>
      <c r="E46" s="55" t="str">
        <f>IFERROR(__xludf.DUMMYFUNCTION("""COMPUTED_VALUE"""),"No")</f>
        <v>No</v>
      </c>
      <c r="F46" s="55" t="str">
        <f>IFERROR(__xludf.DUMMYFUNCTION("""COMPUTED_VALUE"""),"NA")</f>
        <v>NA</v>
      </c>
      <c r="G46" t="str">
        <f>IFERROR(__xludf.DUMMYFUNCTION("""COMPUTED_VALUE"""),"")</f>
        <v/>
      </c>
      <c r="H46" t="str">
        <f>IFERROR(__xludf.DUMMYFUNCTION("""COMPUTED_VALUE"""),"Nan Jiang")</f>
        <v>Nan Jiang</v>
      </c>
      <c r="I46" t="str">
        <f>IFERROR(__xludf.DUMMYFUNCTION("""COMPUTED_VALUE"""),"nj2421@cumc.columbia.edu")</f>
        <v>nj2421@cumc.columbia.edu</v>
      </c>
      <c r="J46" s="55" t="str">
        <f>IFERROR(__xludf.DUMMYFUNCTION("""COMPUTED_VALUE"""),"Comprehensive")</f>
        <v>Comprehensive</v>
      </c>
      <c r="K46" t="str">
        <f>IFERROR(__xludf.DUMMYFUNCTION("""COMPUTED_VALUE"""),"Hereditary Cancer, Brain Malformations , Somatic Cancer Pediatric")</f>
        <v>Hereditary Cancer, Brain Malformations , Somatic Cancer Pediatric</v>
      </c>
    </row>
    <row r="47">
      <c r="D47" s="55"/>
      <c r="E47" s="55"/>
      <c r="F47" s="55"/>
      <c r="J47" s="55"/>
    </row>
    <row r="48">
      <c r="D48" s="55"/>
      <c r="E48" s="55"/>
      <c r="F48" s="55"/>
      <c r="J48" s="55"/>
    </row>
    <row r="49">
      <c r="D49" s="55"/>
      <c r="E49" s="55"/>
      <c r="F49" s="55"/>
      <c r="J49" s="55"/>
    </row>
    <row r="50">
      <c r="D50" s="55"/>
      <c r="E50" s="55"/>
      <c r="F50" s="55"/>
      <c r="J50" s="55"/>
    </row>
    <row r="51">
      <c r="D51" s="55"/>
      <c r="E51" s="55"/>
      <c r="F51" s="55"/>
      <c r="J51" s="55"/>
    </row>
    <row r="52">
      <c r="D52" s="55"/>
      <c r="E52" s="55"/>
      <c r="F52" s="55"/>
      <c r="J52" s="55"/>
    </row>
    <row r="53">
      <c r="D53" s="55"/>
      <c r="E53" s="55"/>
      <c r="F53" s="55"/>
      <c r="J53" s="55"/>
    </row>
    <row r="54">
      <c r="D54" s="55"/>
      <c r="E54" s="55"/>
      <c r="F54" s="55"/>
      <c r="J54" s="55"/>
    </row>
    <row r="55">
      <c r="D55" s="55"/>
      <c r="E55" s="55"/>
      <c r="F55" s="55"/>
      <c r="J55" s="55"/>
    </row>
    <row r="56">
      <c r="D56" s="55"/>
      <c r="E56" s="55"/>
      <c r="F56" s="55"/>
      <c r="J56" s="55"/>
    </row>
    <row r="57">
      <c r="D57" s="55"/>
      <c r="E57" s="55"/>
      <c r="F57" s="55"/>
      <c r="J57" s="55"/>
    </row>
    <row r="58">
      <c r="D58" s="55"/>
      <c r="E58" s="55"/>
      <c r="F58" s="55"/>
      <c r="J58" s="55"/>
    </row>
    <row r="59">
      <c r="D59" s="55"/>
      <c r="E59" s="55"/>
      <c r="F59" s="55"/>
      <c r="J59" s="55"/>
    </row>
    <row r="60">
      <c r="D60" s="55"/>
      <c r="E60" s="55"/>
      <c r="F60" s="55"/>
      <c r="J60" s="55"/>
    </row>
    <row r="61">
      <c r="D61" s="55"/>
      <c r="E61" s="55"/>
      <c r="F61" s="55"/>
      <c r="J61" s="55"/>
    </row>
    <row r="62">
      <c r="D62" s="55"/>
      <c r="E62" s="55"/>
      <c r="F62" s="55"/>
      <c r="J62" s="55"/>
    </row>
    <row r="63">
      <c r="D63" s="55"/>
      <c r="E63" s="55"/>
      <c r="F63" s="55"/>
      <c r="J63" s="55"/>
    </row>
    <row r="64">
      <c r="D64" s="55"/>
      <c r="E64" s="55"/>
      <c r="F64" s="55"/>
      <c r="J64" s="55"/>
    </row>
    <row r="65">
      <c r="D65" s="55"/>
      <c r="E65" s="55"/>
      <c r="F65" s="55"/>
      <c r="J65" s="55"/>
    </row>
    <row r="66">
      <c r="D66" s="55"/>
      <c r="E66" s="55"/>
      <c r="F66" s="55"/>
      <c r="J66" s="55"/>
    </row>
    <row r="67">
      <c r="D67" s="55"/>
      <c r="E67" s="55"/>
      <c r="F67" s="55"/>
      <c r="J67" s="55"/>
    </row>
    <row r="68">
      <c r="D68" s="55"/>
      <c r="E68" s="55"/>
      <c r="F68" s="55"/>
      <c r="J68" s="55"/>
    </row>
    <row r="69">
      <c r="D69" s="55"/>
      <c r="E69" s="55"/>
      <c r="F69" s="55"/>
      <c r="J69" s="55"/>
    </row>
    <row r="70">
      <c r="D70" s="55"/>
      <c r="E70" s="55"/>
      <c r="F70" s="55"/>
      <c r="J70" s="55"/>
    </row>
    <row r="71">
      <c r="D71" s="55"/>
      <c r="E71" s="55"/>
      <c r="F71" s="55"/>
      <c r="J71" s="55"/>
    </row>
    <row r="72">
      <c r="D72" s="55"/>
      <c r="E72" s="55"/>
      <c r="F72" s="55"/>
      <c r="J72" s="55"/>
    </row>
    <row r="73">
      <c r="D73" s="55"/>
      <c r="E73" s="55"/>
      <c r="F73" s="55"/>
      <c r="J73" s="55"/>
    </row>
    <row r="74">
      <c r="D74" s="55"/>
      <c r="E74" s="55"/>
      <c r="F74" s="55"/>
      <c r="J74" s="55"/>
    </row>
    <row r="75">
      <c r="D75" s="55"/>
      <c r="E75" s="55"/>
      <c r="F75" s="55"/>
      <c r="J75" s="55"/>
    </row>
    <row r="76">
      <c r="D76" s="55"/>
      <c r="E76" s="55"/>
      <c r="F76" s="55"/>
      <c r="J76" s="55"/>
    </row>
    <row r="77">
      <c r="D77" s="55"/>
      <c r="E77" s="55"/>
      <c r="F77" s="55"/>
      <c r="J77" s="55"/>
    </row>
    <row r="78">
      <c r="D78" s="55"/>
      <c r="E78" s="55"/>
      <c r="F78" s="55"/>
      <c r="J78" s="55"/>
    </row>
    <row r="79">
      <c r="D79" s="55"/>
      <c r="E79" s="55"/>
      <c r="F79" s="55"/>
      <c r="J79" s="55"/>
    </row>
    <row r="80">
      <c r="D80" s="55"/>
      <c r="E80" s="55"/>
      <c r="F80" s="55"/>
      <c r="J80" s="55"/>
    </row>
    <row r="81">
      <c r="D81" s="55"/>
      <c r="E81" s="55"/>
      <c r="F81" s="55"/>
      <c r="J81" s="55"/>
    </row>
    <row r="82">
      <c r="D82" s="55"/>
      <c r="E82" s="55"/>
      <c r="F82" s="55"/>
      <c r="J82" s="55"/>
    </row>
    <row r="83">
      <c r="D83" s="55"/>
      <c r="E83" s="55"/>
      <c r="F83" s="55"/>
      <c r="J83" s="55"/>
    </row>
    <row r="84">
      <c r="D84" s="55"/>
      <c r="E84" s="55"/>
      <c r="F84" s="55"/>
      <c r="J84" s="55"/>
    </row>
    <row r="85">
      <c r="D85" s="55"/>
      <c r="E85" s="55"/>
      <c r="F85" s="55"/>
      <c r="J85" s="55"/>
    </row>
    <row r="86">
      <c r="D86" s="55"/>
      <c r="E86" s="55"/>
      <c r="F86" s="55"/>
      <c r="J86" s="55"/>
    </row>
    <row r="87">
      <c r="D87" s="55"/>
      <c r="E87" s="55"/>
      <c r="F87" s="55"/>
      <c r="J87" s="55"/>
    </row>
    <row r="88">
      <c r="D88" s="55"/>
      <c r="E88" s="55"/>
      <c r="F88" s="55"/>
      <c r="J88" s="55"/>
    </row>
    <row r="89">
      <c r="D89" s="55"/>
      <c r="E89" s="55"/>
      <c r="F89" s="55"/>
      <c r="J89" s="55"/>
    </row>
    <row r="90">
      <c r="D90" s="55"/>
      <c r="E90" s="55"/>
      <c r="F90" s="55"/>
      <c r="J90" s="55"/>
    </row>
    <row r="91">
      <c r="D91" s="55"/>
      <c r="E91" s="55"/>
      <c r="F91" s="55"/>
      <c r="J91" s="55"/>
    </row>
    <row r="92">
      <c r="D92" s="55"/>
      <c r="E92" s="55"/>
      <c r="F92" s="55"/>
      <c r="J92" s="55"/>
    </row>
    <row r="93">
      <c r="D93" s="55"/>
      <c r="E93" s="55"/>
      <c r="F93" s="55"/>
      <c r="J93" s="55"/>
    </row>
    <row r="94">
      <c r="D94" s="55"/>
      <c r="E94" s="55"/>
      <c r="F94" s="55"/>
      <c r="J94" s="55"/>
    </row>
    <row r="95">
      <c r="D95" s="55"/>
      <c r="E95" s="55"/>
      <c r="F95" s="55"/>
      <c r="J95" s="55"/>
    </row>
    <row r="96">
      <c r="D96" s="55"/>
      <c r="E96" s="55"/>
      <c r="F96" s="55"/>
      <c r="J96" s="55"/>
    </row>
    <row r="97">
      <c r="D97" s="55"/>
      <c r="E97" s="55"/>
      <c r="F97" s="55"/>
      <c r="J97" s="55"/>
    </row>
    <row r="98">
      <c r="D98" s="55"/>
      <c r="E98" s="55"/>
      <c r="F98" s="55"/>
      <c r="J98" s="55"/>
    </row>
    <row r="99">
      <c r="D99" s="55"/>
      <c r="E99" s="55"/>
      <c r="F99" s="55"/>
      <c r="J99" s="55"/>
    </row>
    <row r="100">
      <c r="D100" s="55"/>
      <c r="E100" s="55"/>
      <c r="F100" s="55"/>
      <c r="J100" s="55"/>
    </row>
    <row r="101">
      <c r="D101" s="55"/>
      <c r="E101" s="55"/>
      <c r="F101" s="55"/>
      <c r="J101" s="55"/>
    </row>
    <row r="102">
      <c r="D102" s="55"/>
      <c r="E102" s="55"/>
      <c r="F102" s="55"/>
      <c r="J102" s="55"/>
    </row>
    <row r="103">
      <c r="D103" s="55"/>
      <c r="E103" s="55"/>
      <c r="F103" s="55"/>
      <c r="J103" s="55"/>
    </row>
    <row r="104">
      <c r="D104" s="55"/>
      <c r="E104" s="55"/>
      <c r="F104" s="55"/>
      <c r="J104" s="55"/>
    </row>
    <row r="105">
      <c r="D105" s="55"/>
      <c r="E105" s="55"/>
      <c r="F105" s="55"/>
      <c r="J105" s="55"/>
    </row>
    <row r="106">
      <c r="D106" s="55"/>
      <c r="E106" s="55"/>
      <c r="F106" s="55"/>
      <c r="J106" s="55"/>
    </row>
    <row r="107">
      <c r="D107" s="55"/>
      <c r="E107" s="55"/>
      <c r="F107" s="55"/>
      <c r="J107" s="55"/>
    </row>
    <row r="108">
      <c r="D108" s="55"/>
      <c r="E108" s="55"/>
      <c r="F108" s="55"/>
      <c r="J108" s="55"/>
    </row>
    <row r="109">
      <c r="D109" s="55"/>
      <c r="E109" s="55"/>
      <c r="F109" s="55"/>
      <c r="J109" s="55"/>
    </row>
    <row r="110">
      <c r="D110" s="55"/>
      <c r="E110" s="55"/>
      <c r="F110" s="55"/>
      <c r="J110" s="55"/>
    </row>
    <row r="111">
      <c r="D111" s="55"/>
      <c r="E111" s="55"/>
      <c r="F111" s="55"/>
      <c r="J111" s="55"/>
    </row>
    <row r="112">
      <c r="D112" s="55"/>
      <c r="E112" s="55"/>
      <c r="F112" s="55"/>
      <c r="J112" s="55"/>
    </row>
    <row r="113">
      <c r="D113" s="55"/>
      <c r="E113" s="55"/>
      <c r="F113" s="55"/>
      <c r="J113" s="55"/>
    </row>
    <row r="114">
      <c r="D114" s="55"/>
      <c r="E114" s="55"/>
      <c r="F114" s="55"/>
      <c r="J114" s="55"/>
    </row>
    <row r="115">
      <c r="D115" s="55"/>
      <c r="E115" s="55"/>
      <c r="F115" s="55"/>
      <c r="J115" s="55"/>
    </row>
    <row r="116">
      <c r="D116" s="55"/>
      <c r="E116" s="55"/>
      <c r="F116" s="55"/>
      <c r="J116" s="55"/>
    </row>
    <row r="117">
      <c r="D117" s="55"/>
      <c r="E117" s="55"/>
      <c r="F117" s="55"/>
      <c r="J117" s="55"/>
    </row>
    <row r="118">
      <c r="D118" s="55"/>
      <c r="E118" s="55"/>
      <c r="F118" s="55"/>
      <c r="J118" s="55"/>
    </row>
    <row r="119">
      <c r="D119" s="55"/>
      <c r="E119" s="55"/>
      <c r="F119" s="55"/>
      <c r="J119" s="55"/>
    </row>
    <row r="120">
      <c r="D120" s="55"/>
      <c r="E120" s="55"/>
      <c r="F120" s="55"/>
      <c r="J120" s="55"/>
    </row>
    <row r="121">
      <c r="D121" s="55"/>
      <c r="E121" s="55"/>
      <c r="F121" s="55"/>
      <c r="J121" s="55"/>
    </row>
    <row r="122">
      <c r="D122" s="55"/>
      <c r="E122" s="55"/>
      <c r="F122" s="55"/>
      <c r="J122" s="55"/>
    </row>
    <row r="123">
      <c r="D123" s="55"/>
      <c r="E123" s="55"/>
      <c r="F123" s="55"/>
      <c r="J123" s="55"/>
    </row>
    <row r="124">
      <c r="D124" s="55"/>
      <c r="E124" s="55"/>
      <c r="F124" s="55"/>
      <c r="J124" s="55"/>
    </row>
    <row r="125">
      <c r="D125" s="55"/>
      <c r="E125" s="55"/>
      <c r="F125" s="55"/>
      <c r="J125" s="55"/>
    </row>
    <row r="126">
      <c r="D126" s="55"/>
      <c r="E126" s="55"/>
      <c r="F126" s="55"/>
      <c r="J126" s="55"/>
    </row>
    <row r="127">
      <c r="D127" s="55"/>
      <c r="E127" s="55"/>
      <c r="F127" s="55"/>
      <c r="J127" s="55"/>
    </row>
    <row r="128">
      <c r="D128" s="55"/>
      <c r="E128" s="55"/>
      <c r="F128" s="55"/>
      <c r="J128" s="55"/>
    </row>
    <row r="129">
      <c r="D129" s="55"/>
      <c r="E129" s="55"/>
      <c r="F129" s="55"/>
      <c r="J129" s="55"/>
    </row>
    <row r="130">
      <c r="D130" s="55"/>
      <c r="E130" s="55"/>
      <c r="F130" s="55"/>
      <c r="J130" s="55"/>
    </row>
    <row r="131">
      <c r="D131" s="55"/>
      <c r="E131" s="55"/>
      <c r="F131" s="55"/>
      <c r="J131" s="55"/>
    </row>
    <row r="132">
      <c r="D132" s="55"/>
      <c r="E132" s="55"/>
      <c r="F132" s="55"/>
      <c r="J132" s="55"/>
    </row>
    <row r="133">
      <c r="D133" s="55"/>
      <c r="E133" s="55"/>
      <c r="F133" s="55"/>
      <c r="J133" s="55"/>
    </row>
    <row r="134">
      <c r="D134" s="55"/>
      <c r="E134" s="55"/>
      <c r="F134" s="55"/>
      <c r="J134" s="55"/>
    </row>
    <row r="135">
      <c r="D135" s="55"/>
      <c r="E135" s="55"/>
      <c r="F135" s="55"/>
      <c r="J135" s="55"/>
    </row>
    <row r="136">
      <c r="D136" s="55"/>
      <c r="E136" s="55"/>
      <c r="F136" s="55"/>
      <c r="J136" s="55"/>
    </row>
    <row r="137">
      <c r="D137" s="55"/>
      <c r="E137" s="55"/>
      <c r="F137" s="55"/>
      <c r="J137" s="55"/>
    </row>
    <row r="138">
      <c r="D138" s="55"/>
      <c r="E138" s="55"/>
      <c r="F138" s="55"/>
      <c r="J138" s="55"/>
    </row>
    <row r="139">
      <c r="D139" s="55"/>
      <c r="E139" s="55"/>
      <c r="F139" s="55"/>
      <c r="J139" s="55"/>
    </row>
    <row r="140">
      <c r="D140" s="55"/>
      <c r="E140" s="55"/>
      <c r="F140" s="55"/>
      <c r="J140" s="55"/>
    </row>
    <row r="141">
      <c r="D141" s="55"/>
      <c r="E141" s="55"/>
      <c r="F141" s="55"/>
      <c r="J141" s="55"/>
    </row>
    <row r="142">
      <c r="D142" s="55"/>
      <c r="E142" s="55"/>
      <c r="F142" s="55"/>
      <c r="J142" s="55"/>
    </row>
    <row r="143">
      <c r="D143" s="55"/>
      <c r="E143" s="55"/>
      <c r="F143" s="55"/>
      <c r="J143" s="55"/>
    </row>
    <row r="144">
      <c r="D144" s="55"/>
      <c r="E144" s="55"/>
      <c r="F144" s="55"/>
      <c r="J144" s="55"/>
    </row>
    <row r="145">
      <c r="D145" s="55"/>
      <c r="E145" s="55"/>
      <c r="F145" s="55"/>
      <c r="J145" s="55"/>
    </row>
    <row r="146">
      <c r="D146" s="55"/>
      <c r="E146" s="55"/>
      <c r="F146" s="55"/>
      <c r="J146" s="55"/>
    </row>
    <row r="147">
      <c r="D147" s="55"/>
      <c r="E147" s="55"/>
      <c r="F147" s="55"/>
      <c r="J147" s="55"/>
    </row>
    <row r="148">
      <c r="D148" s="55"/>
      <c r="E148" s="55"/>
      <c r="F148" s="55"/>
      <c r="J148" s="55"/>
    </row>
    <row r="149">
      <c r="D149" s="55"/>
      <c r="E149" s="55"/>
      <c r="F149" s="55"/>
      <c r="J149" s="55"/>
    </row>
    <row r="150">
      <c r="D150" s="55"/>
      <c r="E150" s="55"/>
      <c r="F150" s="55"/>
      <c r="J150" s="55"/>
    </row>
    <row r="151">
      <c r="D151" s="55"/>
      <c r="E151" s="55"/>
      <c r="F151" s="55"/>
      <c r="J151" s="55"/>
    </row>
    <row r="152">
      <c r="D152" s="55"/>
      <c r="E152" s="55"/>
      <c r="F152" s="55"/>
      <c r="J152" s="55"/>
    </row>
    <row r="153">
      <c r="D153" s="55"/>
      <c r="E153" s="55"/>
      <c r="F153" s="55"/>
      <c r="J153" s="55"/>
    </row>
    <row r="154">
      <c r="D154" s="55"/>
      <c r="E154" s="55"/>
      <c r="F154" s="55"/>
      <c r="J154" s="55"/>
    </row>
    <row r="155">
      <c r="D155" s="55"/>
      <c r="E155" s="55"/>
      <c r="F155" s="55"/>
      <c r="J155" s="55"/>
    </row>
    <row r="156">
      <c r="D156" s="55"/>
      <c r="E156" s="55"/>
      <c r="F156" s="55"/>
      <c r="J156" s="55"/>
    </row>
    <row r="157">
      <c r="D157" s="55"/>
      <c r="E157" s="55"/>
      <c r="F157" s="55"/>
      <c r="J157" s="55"/>
    </row>
    <row r="158">
      <c r="D158" s="55"/>
      <c r="E158" s="55"/>
      <c r="F158" s="55"/>
      <c r="J158" s="55"/>
    </row>
    <row r="159">
      <c r="D159" s="55"/>
      <c r="E159" s="55"/>
      <c r="F159" s="55"/>
      <c r="J159" s="55"/>
    </row>
    <row r="160">
      <c r="D160" s="55"/>
      <c r="E160" s="55"/>
      <c r="F160" s="55"/>
      <c r="J160" s="55"/>
    </row>
    <row r="161">
      <c r="D161" s="55"/>
      <c r="E161" s="55"/>
      <c r="F161" s="55"/>
      <c r="J161" s="55"/>
    </row>
    <row r="162">
      <c r="D162" s="55"/>
      <c r="E162" s="55"/>
      <c r="F162" s="55"/>
      <c r="J162" s="55"/>
    </row>
    <row r="163">
      <c r="D163" s="55"/>
      <c r="E163" s="55"/>
      <c r="F163" s="55"/>
      <c r="J163" s="55"/>
    </row>
    <row r="164">
      <c r="D164" s="55"/>
      <c r="E164" s="55"/>
      <c r="F164" s="55"/>
      <c r="J164" s="55"/>
    </row>
    <row r="165">
      <c r="D165" s="55"/>
      <c r="E165" s="55"/>
      <c r="F165" s="55"/>
      <c r="J165" s="55"/>
    </row>
    <row r="166">
      <c r="D166" s="55"/>
      <c r="E166" s="55"/>
      <c r="F166" s="55"/>
      <c r="J166" s="55"/>
    </row>
    <row r="167">
      <c r="D167" s="55"/>
      <c r="E167" s="55"/>
      <c r="F167" s="55"/>
      <c r="J167" s="55"/>
    </row>
    <row r="168">
      <c r="D168" s="55"/>
      <c r="E168" s="55"/>
      <c r="F168" s="55"/>
      <c r="J168" s="55"/>
    </row>
    <row r="169">
      <c r="D169" s="55"/>
      <c r="E169" s="55"/>
      <c r="F169" s="55"/>
      <c r="J169" s="55"/>
    </row>
    <row r="170">
      <c r="D170" s="55"/>
      <c r="E170" s="55"/>
      <c r="F170" s="55"/>
      <c r="J170" s="55"/>
    </row>
    <row r="171">
      <c r="D171" s="55"/>
      <c r="E171" s="55"/>
      <c r="F171" s="55"/>
      <c r="J171" s="55"/>
    </row>
    <row r="172">
      <c r="D172" s="55"/>
      <c r="E172" s="55"/>
      <c r="F172" s="55"/>
      <c r="J172" s="55"/>
    </row>
    <row r="173">
      <c r="D173" s="55"/>
      <c r="E173" s="55"/>
      <c r="F173" s="55"/>
      <c r="J173" s="55"/>
    </row>
    <row r="174">
      <c r="D174" s="55"/>
      <c r="E174" s="55"/>
      <c r="F174" s="55"/>
      <c r="J174" s="55"/>
    </row>
    <row r="175">
      <c r="D175" s="55"/>
      <c r="E175" s="55"/>
      <c r="F175" s="55"/>
      <c r="J175" s="55"/>
    </row>
    <row r="176">
      <c r="D176" s="55"/>
      <c r="E176" s="55"/>
      <c r="F176" s="55"/>
      <c r="J176" s="55"/>
    </row>
    <row r="177">
      <c r="D177" s="55"/>
      <c r="E177" s="55"/>
      <c r="F177" s="55"/>
      <c r="J177" s="55"/>
    </row>
    <row r="178">
      <c r="D178" s="55"/>
      <c r="E178" s="55"/>
      <c r="F178" s="55"/>
      <c r="J178" s="55"/>
    </row>
    <row r="179">
      <c r="D179" s="55"/>
      <c r="E179" s="55"/>
      <c r="F179" s="55"/>
      <c r="J179" s="55"/>
    </row>
    <row r="180">
      <c r="D180" s="55"/>
      <c r="E180" s="55"/>
      <c r="F180" s="55"/>
      <c r="J180" s="55"/>
    </row>
    <row r="181">
      <c r="D181" s="55"/>
      <c r="E181" s="55"/>
      <c r="F181" s="55"/>
      <c r="J181" s="55"/>
    </row>
    <row r="182">
      <c r="D182" s="55"/>
      <c r="E182" s="55"/>
      <c r="F182" s="55"/>
      <c r="J182" s="55"/>
    </row>
    <row r="183">
      <c r="D183" s="55"/>
      <c r="E183" s="55"/>
      <c r="F183" s="55"/>
      <c r="J183" s="55"/>
    </row>
    <row r="184">
      <c r="D184" s="55"/>
      <c r="E184" s="55"/>
      <c r="F184" s="55"/>
      <c r="J184" s="55"/>
    </row>
    <row r="185">
      <c r="D185" s="55"/>
      <c r="E185" s="55"/>
      <c r="F185" s="55"/>
      <c r="J185" s="55"/>
    </row>
    <row r="186">
      <c r="D186" s="55"/>
      <c r="E186" s="55"/>
      <c r="F186" s="55"/>
      <c r="J186" s="55"/>
    </row>
    <row r="187">
      <c r="D187" s="55"/>
      <c r="E187" s="55"/>
      <c r="F187" s="55"/>
      <c r="J187" s="55"/>
    </row>
    <row r="188">
      <c r="D188" s="55"/>
      <c r="E188" s="55"/>
      <c r="F188" s="55"/>
      <c r="J188" s="55"/>
    </row>
    <row r="189">
      <c r="D189" s="55"/>
      <c r="E189" s="55"/>
      <c r="F189" s="55"/>
      <c r="J189" s="55"/>
    </row>
    <row r="190">
      <c r="D190" s="55"/>
      <c r="E190" s="55"/>
      <c r="F190" s="55"/>
      <c r="J190" s="55"/>
    </row>
    <row r="191">
      <c r="D191" s="55"/>
      <c r="E191" s="55"/>
      <c r="F191" s="55"/>
      <c r="J191" s="55"/>
    </row>
    <row r="192">
      <c r="D192" s="55"/>
      <c r="E192" s="55"/>
      <c r="F192" s="55"/>
      <c r="J192" s="55"/>
    </row>
    <row r="193">
      <c r="D193" s="55"/>
      <c r="E193" s="55"/>
      <c r="F193" s="55"/>
      <c r="J193" s="55"/>
    </row>
    <row r="194">
      <c r="D194" s="55"/>
      <c r="E194" s="55"/>
      <c r="F194" s="55"/>
      <c r="J194" s="55"/>
    </row>
    <row r="195">
      <c r="D195" s="55"/>
      <c r="E195" s="55"/>
      <c r="F195" s="55"/>
      <c r="J195" s="55"/>
    </row>
    <row r="196">
      <c r="D196" s="55"/>
      <c r="E196" s="55"/>
      <c r="F196" s="55"/>
      <c r="J196" s="55"/>
    </row>
    <row r="197">
      <c r="D197" s="55"/>
      <c r="E197" s="55"/>
      <c r="F197" s="55"/>
      <c r="J197" s="55"/>
    </row>
    <row r="198">
      <c r="D198" s="55"/>
      <c r="E198" s="55"/>
      <c r="F198" s="55"/>
      <c r="J198" s="55"/>
    </row>
    <row r="199">
      <c r="D199" s="55"/>
      <c r="E199" s="55"/>
      <c r="F199" s="55"/>
      <c r="J199" s="55"/>
    </row>
    <row r="200">
      <c r="D200" s="55"/>
      <c r="E200" s="55"/>
      <c r="F200" s="55"/>
      <c r="J200" s="55"/>
    </row>
    <row r="201">
      <c r="D201" s="55"/>
      <c r="E201" s="55"/>
      <c r="F201" s="55"/>
      <c r="J201" s="55"/>
    </row>
    <row r="202">
      <c r="D202" s="55"/>
      <c r="E202" s="55"/>
      <c r="F202" s="55"/>
      <c r="J202" s="55"/>
    </row>
    <row r="203">
      <c r="D203" s="55"/>
      <c r="E203" s="55"/>
      <c r="F203" s="55"/>
      <c r="J203" s="55"/>
    </row>
    <row r="204">
      <c r="D204" s="55"/>
      <c r="E204" s="55"/>
      <c r="F204" s="55"/>
      <c r="J204" s="55"/>
    </row>
    <row r="205">
      <c r="D205" s="55"/>
      <c r="E205" s="55"/>
      <c r="F205" s="55"/>
      <c r="J205" s="55"/>
    </row>
    <row r="206">
      <c r="D206" s="55"/>
      <c r="E206" s="55"/>
      <c r="F206" s="55"/>
      <c r="J206" s="55"/>
    </row>
    <row r="207">
      <c r="D207" s="55"/>
      <c r="E207" s="55"/>
      <c r="F207" s="55"/>
      <c r="J207" s="55"/>
    </row>
    <row r="208">
      <c r="D208" s="55"/>
      <c r="E208" s="55"/>
      <c r="F208" s="55"/>
      <c r="J208" s="55"/>
    </row>
    <row r="209">
      <c r="D209" s="55"/>
      <c r="E209" s="55"/>
      <c r="F209" s="55"/>
      <c r="J209" s="55"/>
    </row>
    <row r="210">
      <c r="D210" s="55"/>
      <c r="E210" s="55"/>
      <c r="F210" s="55"/>
      <c r="J210" s="55"/>
    </row>
    <row r="211">
      <c r="D211" s="55"/>
      <c r="E211" s="55"/>
      <c r="F211" s="55"/>
      <c r="J211" s="55"/>
    </row>
    <row r="212">
      <c r="D212" s="55"/>
      <c r="E212" s="55"/>
      <c r="F212" s="55"/>
      <c r="J212" s="55"/>
    </row>
    <row r="213">
      <c r="D213" s="55"/>
      <c r="E213" s="55"/>
      <c r="F213" s="55"/>
      <c r="J213" s="55"/>
    </row>
    <row r="214">
      <c r="D214" s="55"/>
      <c r="E214" s="55"/>
      <c r="F214" s="55"/>
      <c r="J214" s="55"/>
    </row>
    <row r="215">
      <c r="D215" s="55"/>
      <c r="E215" s="55"/>
      <c r="F215" s="55"/>
      <c r="J215" s="55"/>
    </row>
    <row r="216">
      <c r="D216" s="55"/>
      <c r="E216" s="55"/>
      <c r="F216" s="55"/>
      <c r="J216" s="55"/>
    </row>
    <row r="217">
      <c r="D217" s="55"/>
      <c r="E217" s="55"/>
      <c r="F217" s="55"/>
      <c r="J217" s="55"/>
    </row>
    <row r="218">
      <c r="D218" s="55"/>
      <c r="E218" s="55"/>
      <c r="F218" s="55"/>
      <c r="J218" s="55"/>
    </row>
    <row r="219">
      <c r="D219" s="55"/>
      <c r="E219" s="55"/>
      <c r="F219" s="55"/>
      <c r="J219" s="55"/>
    </row>
    <row r="220">
      <c r="D220" s="55"/>
      <c r="E220" s="55"/>
      <c r="F220" s="55"/>
      <c r="J220" s="55"/>
    </row>
    <row r="221">
      <c r="D221" s="55"/>
      <c r="E221" s="55"/>
      <c r="F221" s="55"/>
      <c r="J221" s="55"/>
    </row>
    <row r="222">
      <c r="D222" s="55"/>
      <c r="E222" s="55"/>
      <c r="F222" s="55"/>
      <c r="J222" s="55"/>
    </row>
    <row r="223">
      <c r="D223" s="55"/>
      <c r="E223" s="55"/>
      <c r="F223" s="55"/>
      <c r="J223" s="55"/>
    </row>
    <row r="224">
      <c r="D224" s="55"/>
      <c r="E224" s="55"/>
      <c r="F224" s="55"/>
      <c r="J224" s="55"/>
    </row>
    <row r="225">
      <c r="D225" s="55"/>
      <c r="E225" s="55"/>
      <c r="F225" s="55"/>
      <c r="J225" s="55"/>
    </row>
    <row r="226">
      <c r="D226" s="55"/>
      <c r="E226" s="55"/>
      <c r="F226" s="55"/>
      <c r="J226" s="55"/>
    </row>
    <row r="227">
      <c r="D227" s="55"/>
      <c r="E227" s="55"/>
      <c r="F227" s="55"/>
      <c r="J227" s="55"/>
    </row>
    <row r="228">
      <c r="D228" s="55"/>
      <c r="E228" s="55"/>
      <c r="F228" s="55"/>
      <c r="J228" s="55"/>
    </row>
    <row r="229">
      <c r="D229" s="55"/>
      <c r="E229" s="55"/>
      <c r="F229" s="55"/>
      <c r="J229" s="55"/>
    </row>
    <row r="230">
      <c r="D230" s="55"/>
      <c r="E230" s="55"/>
      <c r="F230" s="55"/>
      <c r="J230" s="55"/>
    </row>
    <row r="231">
      <c r="D231" s="55"/>
      <c r="E231" s="55"/>
      <c r="F231" s="55"/>
      <c r="J231" s="55"/>
    </row>
    <row r="232">
      <c r="D232" s="55"/>
      <c r="E232" s="55"/>
      <c r="F232" s="55"/>
      <c r="J232" s="55"/>
    </row>
    <row r="233">
      <c r="D233" s="55"/>
      <c r="E233" s="55"/>
      <c r="F233" s="55"/>
      <c r="J233" s="55"/>
    </row>
    <row r="234">
      <c r="D234" s="55"/>
      <c r="E234" s="55"/>
      <c r="F234" s="55"/>
      <c r="J234" s="55"/>
    </row>
    <row r="235">
      <c r="D235" s="55"/>
      <c r="E235" s="55"/>
      <c r="F235" s="55"/>
      <c r="J235" s="55"/>
    </row>
    <row r="236">
      <c r="D236" s="55"/>
      <c r="E236" s="55"/>
      <c r="F236" s="55"/>
      <c r="J236" s="55"/>
    </row>
    <row r="237">
      <c r="D237" s="55"/>
      <c r="E237" s="55"/>
      <c r="F237" s="55"/>
      <c r="J237" s="55"/>
    </row>
    <row r="238">
      <c r="D238" s="55"/>
      <c r="E238" s="55"/>
      <c r="F238" s="55"/>
      <c r="J238" s="55"/>
    </row>
    <row r="239">
      <c r="D239" s="55"/>
      <c r="E239" s="55"/>
      <c r="F239" s="55"/>
      <c r="J239" s="55"/>
    </row>
    <row r="240">
      <c r="D240" s="55"/>
      <c r="E240" s="55"/>
      <c r="F240" s="55"/>
      <c r="J240" s="55"/>
    </row>
    <row r="241">
      <c r="D241" s="55"/>
      <c r="E241" s="55"/>
      <c r="F241" s="55"/>
      <c r="J241" s="55"/>
    </row>
    <row r="242">
      <c r="D242" s="55"/>
      <c r="E242" s="55"/>
      <c r="F242" s="55"/>
      <c r="J242" s="55"/>
    </row>
    <row r="243">
      <c r="D243" s="55"/>
      <c r="E243" s="55"/>
      <c r="F243" s="55"/>
      <c r="J243" s="55"/>
    </row>
    <row r="244">
      <c r="D244" s="55"/>
      <c r="E244" s="55"/>
      <c r="F244" s="55"/>
      <c r="J244" s="55"/>
    </row>
    <row r="245">
      <c r="D245" s="55"/>
      <c r="E245" s="55"/>
      <c r="F245" s="55"/>
      <c r="J245" s="55"/>
    </row>
    <row r="246">
      <c r="D246" s="55"/>
      <c r="E246" s="55"/>
      <c r="F246" s="55"/>
      <c r="J246" s="55"/>
    </row>
    <row r="247">
      <c r="D247" s="55"/>
      <c r="E247" s="55"/>
      <c r="F247" s="55"/>
      <c r="J247" s="55"/>
    </row>
    <row r="248">
      <c r="D248" s="55"/>
      <c r="E248" s="55"/>
      <c r="F248" s="55"/>
      <c r="J248" s="55"/>
    </row>
    <row r="249">
      <c r="D249" s="55"/>
      <c r="E249" s="55"/>
      <c r="F249" s="55"/>
      <c r="J249" s="55"/>
    </row>
    <row r="250">
      <c r="D250" s="55"/>
      <c r="E250" s="55"/>
      <c r="F250" s="55"/>
      <c r="J250" s="55"/>
    </row>
    <row r="251">
      <c r="D251" s="55"/>
      <c r="E251" s="55"/>
      <c r="F251" s="55"/>
      <c r="J251" s="55"/>
    </row>
    <row r="252">
      <c r="D252" s="55"/>
      <c r="E252" s="55"/>
      <c r="F252" s="55"/>
      <c r="J252" s="55"/>
    </row>
    <row r="253">
      <c r="D253" s="55"/>
      <c r="E253" s="55"/>
      <c r="F253" s="55"/>
      <c r="J253" s="55"/>
    </row>
    <row r="254">
      <c r="D254" s="55"/>
      <c r="E254" s="55"/>
      <c r="F254" s="55"/>
      <c r="J254" s="55"/>
    </row>
    <row r="255">
      <c r="D255" s="55"/>
      <c r="E255" s="55"/>
      <c r="F255" s="55"/>
      <c r="J255" s="55"/>
    </row>
    <row r="256">
      <c r="D256" s="55"/>
      <c r="E256" s="55"/>
      <c r="F256" s="55"/>
      <c r="J256" s="55"/>
    </row>
    <row r="257">
      <c r="D257" s="55"/>
      <c r="E257" s="55"/>
      <c r="F257" s="55"/>
      <c r="J257" s="55"/>
    </row>
    <row r="258">
      <c r="D258" s="55"/>
      <c r="E258" s="55"/>
      <c r="F258" s="55"/>
      <c r="J258" s="55"/>
    </row>
    <row r="259">
      <c r="D259" s="55"/>
      <c r="E259" s="55"/>
      <c r="F259" s="55"/>
      <c r="J259" s="55"/>
    </row>
    <row r="260">
      <c r="D260" s="55"/>
      <c r="E260" s="55"/>
      <c r="F260" s="55"/>
      <c r="J260" s="55"/>
    </row>
    <row r="261">
      <c r="D261" s="55"/>
      <c r="E261" s="55"/>
      <c r="F261" s="55"/>
      <c r="J261" s="55"/>
    </row>
    <row r="262">
      <c r="D262" s="55"/>
      <c r="E262" s="55"/>
      <c r="F262" s="55"/>
      <c r="J262" s="55"/>
    </row>
    <row r="263">
      <c r="D263" s="55"/>
      <c r="E263" s="55"/>
      <c r="F263" s="55"/>
      <c r="J263" s="55"/>
    </row>
    <row r="264">
      <c r="D264" s="55"/>
      <c r="E264" s="55"/>
      <c r="F264" s="55"/>
      <c r="J264" s="55"/>
    </row>
    <row r="265">
      <c r="D265" s="55"/>
      <c r="E265" s="55"/>
      <c r="F265" s="55"/>
      <c r="J265" s="55"/>
    </row>
    <row r="266">
      <c r="D266" s="55"/>
      <c r="E266" s="55"/>
      <c r="F266" s="55"/>
      <c r="J266" s="55"/>
    </row>
    <row r="267">
      <c r="D267" s="55"/>
      <c r="E267" s="55"/>
      <c r="F267" s="55"/>
      <c r="J267" s="55"/>
    </row>
    <row r="268">
      <c r="D268" s="55"/>
      <c r="E268" s="55"/>
      <c r="F268" s="55"/>
      <c r="J268" s="55"/>
    </row>
    <row r="269">
      <c r="D269" s="55"/>
      <c r="E269" s="55"/>
      <c r="F269" s="55"/>
      <c r="J269" s="55"/>
    </row>
    <row r="270">
      <c r="D270" s="55"/>
      <c r="E270" s="55"/>
      <c r="F270" s="55"/>
      <c r="J270" s="55"/>
    </row>
    <row r="271">
      <c r="D271" s="55"/>
      <c r="E271" s="55"/>
      <c r="F271" s="55"/>
      <c r="J271" s="55"/>
    </row>
    <row r="272">
      <c r="D272" s="55"/>
      <c r="E272" s="55"/>
      <c r="F272" s="55"/>
      <c r="J272" s="55"/>
    </row>
    <row r="273">
      <c r="D273" s="55"/>
      <c r="E273" s="55"/>
      <c r="F273" s="55"/>
      <c r="J273" s="55"/>
    </row>
    <row r="274">
      <c r="D274" s="55"/>
      <c r="E274" s="55"/>
      <c r="F274" s="55"/>
      <c r="J274" s="55"/>
    </row>
    <row r="275">
      <c r="D275" s="55"/>
      <c r="E275" s="55"/>
      <c r="F275" s="55"/>
      <c r="J275" s="55"/>
    </row>
    <row r="276">
      <c r="D276" s="55"/>
      <c r="E276" s="55"/>
      <c r="F276" s="55"/>
      <c r="J276" s="55"/>
    </row>
    <row r="277">
      <c r="D277" s="55"/>
      <c r="E277" s="55"/>
      <c r="F277" s="55"/>
      <c r="J277" s="55"/>
    </row>
    <row r="278">
      <c r="D278" s="55"/>
      <c r="E278" s="55"/>
      <c r="F278" s="55"/>
      <c r="J278" s="55"/>
    </row>
    <row r="279">
      <c r="D279" s="55"/>
      <c r="E279" s="55"/>
      <c r="F279" s="55"/>
      <c r="J279" s="55"/>
    </row>
    <row r="280">
      <c r="D280" s="55"/>
      <c r="E280" s="55"/>
      <c r="F280" s="55"/>
      <c r="J280" s="55"/>
    </row>
    <row r="281">
      <c r="D281" s="55"/>
      <c r="E281" s="55"/>
      <c r="F281" s="55"/>
      <c r="J281" s="55"/>
    </row>
    <row r="282">
      <c r="D282" s="55"/>
      <c r="E282" s="55"/>
      <c r="F282" s="55"/>
      <c r="J282" s="55"/>
    </row>
    <row r="283">
      <c r="D283" s="55"/>
      <c r="E283" s="55"/>
      <c r="F283" s="55"/>
      <c r="J283" s="55"/>
    </row>
    <row r="284">
      <c r="D284" s="55"/>
      <c r="E284" s="55"/>
      <c r="F284" s="55"/>
      <c r="J284" s="55"/>
    </row>
    <row r="285">
      <c r="D285" s="55"/>
      <c r="E285" s="55"/>
      <c r="F285" s="55"/>
      <c r="J285" s="55"/>
    </row>
    <row r="286">
      <c r="D286" s="55"/>
      <c r="E286" s="55"/>
      <c r="F286" s="55"/>
      <c r="J286" s="55"/>
    </row>
    <row r="287">
      <c r="D287" s="55"/>
      <c r="E287" s="55"/>
      <c r="F287" s="55"/>
      <c r="J287" s="55"/>
    </row>
    <row r="288">
      <c r="D288" s="55"/>
      <c r="E288" s="55"/>
      <c r="F288" s="55"/>
      <c r="J288" s="55"/>
    </row>
    <row r="289">
      <c r="D289" s="55"/>
      <c r="E289" s="55"/>
      <c r="F289" s="55"/>
      <c r="J289" s="55"/>
    </row>
    <row r="290">
      <c r="D290" s="55"/>
      <c r="E290" s="55"/>
      <c r="F290" s="55"/>
      <c r="J290" s="55"/>
    </row>
    <row r="291">
      <c r="D291" s="55"/>
      <c r="E291" s="55"/>
      <c r="F291" s="55"/>
      <c r="J291" s="55"/>
    </row>
    <row r="292">
      <c r="D292" s="55"/>
      <c r="E292" s="55"/>
      <c r="F292" s="55"/>
      <c r="J292" s="55"/>
    </row>
    <row r="293">
      <c r="D293" s="55"/>
      <c r="E293" s="55"/>
      <c r="F293" s="55"/>
      <c r="J293" s="55"/>
    </row>
    <row r="294">
      <c r="D294" s="55"/>
      <c r="E294" s="55"/>
      <c r="F294" s="55"/>
      <c r="J294" s="55"/>
    </row>
    <row r="295">
      <c r="D295" s="55"/>
      <c r="E295" s="55"/>
      <c r="F295" s="55"/>
      <c r="J295" s="55"/>
    </row>
    <row r="296">
      <c r="D296" s="55"/>
      <c r="E296" s="55"/>
      <c r="F296" s="55"/>
      <c r="J296" s="55"/>
    </row>
    <row r="297">
      <c r="D297" s="55"/>
      <c r="E297" s="55"/>
      <c r="F297" s="55"/>
      <c r="J297" s="55"/>
    </row>
    <row r="298">
      <c r="D298" s="55"/>
      <c r="E298" s="55"/>
      <c r="F298" s="55"/>
      <c r="J298" s="55"/>
    </row>
    <row r="299">
      <c r="D299" s="55"/>
      <c r="E299" s="55"/>
      <c r="F299" s="55"/>
      <c r="J299" s="55"/>
    </row>
    <row r="300">
      <c r="D300" s="55"/>
      <c r="E300" s="55"/>
      <c r="F300" s="55"/>
      <c r="J300" s="55"/>
    </row>
    <row r="301">
      <c r="D301" s="55"/>
      <c r="E301" s="55"/>
      <c r="F301" s="55"/>
      <c r="J301" s="55"/>
    </row>
    <row r="302">
      <c r="D302" s="55"/>
      <c r="E302" s="55"/>
      <c r="F302" s="55"/>
      <c r="J302" s="55"/>
    </row>
    <row r="303">
      <c r="D303" s="55"/>
      <c r="E303" s="55"/>
      <c r="F303" s="55"/>
      <c r="J303" s="55"/>
    </row>
    <row r="304">
      <c r="D304" s="55"/>
      <c r="E304" s="55"/>
      <c r="F304" s="55"/>
      <c r="J304" s="55"/>
    </row>
    <row r="305">
      <c r="D305" s="55"/>
      <c r="E305" s="55"/>
      <c r="F305" s="55"/>
      <c r="J305" s="55"/>
    </row>
    <row r="306">
      <c r="D306" s="55"/>
      <c r="E306" s="55"/>
      <c r="F306" s="55"/>
      <c r="J306" s="55"/>
    </row>
    <row r="307">
      <c r="D307" s="55"/>
      <c r="E307" s="55"/>
      <c r="F307" s="55"/>
      <c r="J307" s="55"/>
    </row>
    <row r="308">
      <c r="D308" s="55"/>
      <c r="E308" s="55"/>
      <c r="F308" s="55"/>
      <c r="J308" s="55"/>
    </row>
    <row r="309">
      <c r="D309" s="55"/>
      <c r="E309" s="55"/>
      <c r="F309" s="55"/>
      <c r="J309" s="55"/>
    </row>
    <row r="310">
      <c r="D310" s="55"/>
      <c r="E310" s="55"/>
      <c r="F310" s="55"/>
      <c r="J310" s="55"/>
    </row>
    <row r="311">
      <c r="D311" s="55"/>
      <c r="E311" s="55"/>
      <c r="F311" s="55"/>
      <c r="J311" s="55"/>
    </row>
    <row r="312">
      <c r="D312" s="55"/>
      <c r="E312" s="55"/>
      <c r="F312" s="55"/>
      <c r="J312" s="55"/>
    </row>
    <row r="313">
      <c r="D313" s="55"/>
      <c r="E313" s="55"/>
      <c r="F313" s="55"/>
      <c r="J313" s="55"/>
    </row>
    <row r="314">
      <c r="D314" s="55"/>
      <c r="E314" s="55"/>
      <c r="F314" s="55"/>
      <c r="J314" s="55"/>
    </row>
    <row r="315">
      <c r="D315" s="55"/>
      <c r="E315" s="55"/>
      <c r="F315" s="55"/>
      <c r="J315" s="55"/>
    </row>
    <row r="316">
      <c r="D316" s="55"/>
      <c r="E316" s="55"/>
      <c r="F316" s="55"/>
      <c r="J316" s="55"/>
    </row>
    <row r="317">
      <c r="D317" s="55"/>
      <c r="E317" s="55"/>
      <c r="F317" s="55"/>
      <c r="J317" s="55"/>
    </row>
    <row r="318">
      <c r="D318" s="55"/>
      <c r="E318" s="55"/>
      <c r="F318" s="55"/>
      <c r="J318" s="55"/>
    </row>
    <row r="319">
      <c r="D319" s="55"/>
      <c r="E319" s="55"/>
      <c r="F319" s="55"/>
      <c r="J319" s="55"/>
    </row>
    <row r="320">
      <c r="D320" s="55"/>
      <c r="E320" s="55"/>
      <c r="F320" s="55"/>
      <c r="J320" s="55"/>
    </row>
    <row r="321">
      <c r="D321" s="55"/>
      <c r="E321" s="55"/>
      <c r="F321" s="55"/>
      <c r="J321" s="55"/>
    </row>
    <row r="322">
      <c r="D322" s="55"/>
      <c r="E322" s="55"/>
      <c r="F322" s="55"/>
      <c r="J322" s="55"/>
    </row>
    <row r="323">
      <c r="D323" s="55"/>
      <c r="E323" s="55"/>
      <c r="F323" s="55"/>
      <c r="J323" s="55"/>
    </row>
    <row r="324">
      <c r="D324" s="55"/>
      <c r="E324" s="55"/>
      <c r="F324" s="55"/>
      <c r="J324" s="55"/>
    </row>
    <row r="325">
      <c r="D325" s="55"/>
      <c r="E325" s="55"/>
      <c r="F325" s="55"/>
      <c r="J325" s="55"/>
    </row>
    <row r="326">
      <c r="D326" s="55"/>
      <c r="E326" s="55"/>
      <c r="F326" s="55"/>
      <c r="J326" s="55"/>
    </row>
    <row r="327">
      <c r="D327" s="55"/>
      <c r="E327" s="55"/>
      <c r="F327" s="55"/>
      <c r="J327" s="55"/>
    </row>
    <row r="328">
      <c r="D328" s="55"/>
      <c r="E328" s="55"/>
      <c r="F328" s="55"/>
      <c r="J328" s="55"/>
    </row>
    <row r="329">
      <c r="D329" s="55"/>
      <c r="E329" s="55"/>
      <c r="F329" s="55"/>
      <c r="J329" s="55"/>
    </row>
    <row r="330">
      <c r="D330" s="55"/>
      <c r="E330" s="55"/>
      <c r="F330" s="55"/>
      <c r="J330" s="55"/>
    </row>
    <row r="331">
      <c r="D331" s="55"/>
      <c r="E331" s="55"/>
      <c r="F331" s="55"/>
      <c r="J331" s="55"/>
    </row>
    <row r="332">
      <c r="D332" s="55"/>
      <c r="E332" s="55"/>
      <c r="F332" s="55"/>
      <c r="J332" s="55"/>
    </row>
    <row r="333">
      <c r="D333" s="55"/>
      <c r="E333" s="55"/>
      <c r="F333" s="55"/>
      <c r="J333" s="55"/>
    </row>
    <row r="334">
      <c r="D334" s="55"/>
      <c r="E334" s="55"/>
      <c r="F334" s="55"/>
      <c r="J334" s="55"/>
    </row>
    <row r="335">
      <c r="D335" s="55"/>
      <c r="E335" s="55"/>
      <c r="F335" s="55"/>
      <c r="J335" s="55"/>
    </row>
    <row r="336">
      <c r="D336" s="55"/>
      <c r="E336" s="55"/>
      <c r="F336" s="55"/>
      <c r="J336" s="55"/>
    </row>
    <row r="337">
      <c r="D337" s="55"/>
      <c r="E337" s="55"/>
      <c r="F337" s="55"/>
      <c r="J337" s="55"/>
    </row>
    <row r="338">
      <c r="D338" s="55"/>
      <c r="E338" s="55"/>
      <c r="F338" s="55"/>
      <c r="J338" s="55"/>
    </row>
    <row r="339">
      <c r="D339" s="55"/>
      <c r="E339" s="55"/>
      <c r="F339" s="55"/>
      <c r="J339" s="55"/>
    </row>
    <row r="340">
      <c r="D340" s="55"/>
      <c r="E340" s="55"/>
      <c r="F340" s="55"/>
      <c r="J340" s="55"/>
    </row>
    <row r="341">
      <c r="D341" s="55"/>
      <c r="E341" s="55"/>
      <c r="F341" s="55"/>
      <c r="J341" s="55"/>
    </row>
    <row r="342">
      <c r="D342" s="55"/>
      <c r="E342" s="55"/>
      <c r="F342" s="55"/>
      <c r="J342" s="55"/>
    </row>
    <row r="343">
      <c r="D343" s="55"/>
      <c r="E343" s="55"/>
      <c r="F343" s="55"/>
      <c r="J343" s="55"/>
    </row>
    <row r="344">
      <c r="D344" s="55"/>
      <c r="E344" s="55"/>
      <c r="F344" s="55"/>
      <c r="J344" s="55"/>
    </row>
    <row r="345">
      <c r="D345" s="55"/>
      <c r="E345" s="55"/>
      <c r="F345" s="55"/>
      <c r="J345" s="55"/>
    </row>
    <row r="346">
      <c r="D346" s="55"/>
      <c r="E346" s="55"/>
      <c r="F346" s="55"/>
      <c r="J346" s="55"/>
    </row>
    <row r="347">
      <c r="D347" s="55"/>
      <c r="E347" s="55"/>
      <c r="F347" s="55"/>
      <c r="J347" s="55"/>
    </row>
    <row r="348">
      <c r="D348" s="55"/>
      <c r="E348" s="55"/>
      <c r="F348" s="55"/>
      <c r="J348" s="55"/>
    </row>
    <row r="349">
      <c r="D349" s="55"/>
      <c r="E349" s="55"/>
      <c r="F349" s="55"/>
      <c r="J349" s="55"/>
    </row>
    <row r="350">
      <c r="D350" s="55"/>
      <c r="E350" s="55"/>
      <c r="F350" s="55"/>
      <c r="J350" s="55"/>
    </row>
    <row r="351">
      <c r="D351" s="55"/>
      <c r="E351" s="55"/>
      <c r="F351" s="55"/>
      <c r="J351" s="55"/>
    </row>
    <row r="352">
      <c r="D352" s="55"/>
      <c r="E352" s="55"/>
      <c r="F352" s="55"/>
      <c r="J352" s="55"/>
    </row>
    <row r="353">
      <c r="D353" s="55"/>
      <c r="E353" s="55"/>
      <c r="F353" s="55"/>
      <c r="J353" s="55"/>
    </row>
    <row r="354">
      <c r="D354" s="55"/>
      <c r="E354" s="55"/>
      <c r="F354" s="55"/>
      <c r="J354" s="55"/>
    </row>
    <row r="355">
      <c r="D355" s="55"/>
      <c r="E355" s="55"/>
      <c r="F355" s="55"/>
      <c r="J355" s="55"/>
    </row>
    <row r="356">
      <c r="D356" s="55"/>
      <c r="E356" s="55"/>
      <c r="F356" s="55"/>
      <c r="J356" s="55"/>
    </row>
    <row r="357">
      <c r="D357" s="55"/>
      <c r="E357" s="55"/>
      <c r="F357" s="55"/>
      <c r="J357" s="55"/>
    </row>
    <row r="358">
      <c r="D358" s="55"/>
      <c r="E358" s="55"/>
      <c r="F358" s="55"/>
      <c r="J358" s="55"/>
    </row>
    <row r="359">
      <c r="D359" s="55"/>
      <c r="E359" s="55"/>
      <c r="F359" s="55"/>
      <c r="J359" s="55"/>
    </row>
    <row r="360">
      <c r="D360" s="55"/>
      <c r="E360" s="55"/>
      <c r="F360" s="55"/>
      <c r="J360" s="55"/>
    </row>
    <row r="361">
      <c r="D361" s="55"/>
      <c r="E361" s="55"/>
      <c r="F361" s="55"/>
      <c r="J361" s="55"/>
    </row>
    <row r="362">
      <c r="D362" s="55"/>
      <c r="E362" s="55"/>
      <c r="F362" s="55"/>
      <c r="J362" s="55"/>
    </row>
    <row r="363">
      <c r="D363" s="55"/>
      <c r="E363" s="55"/>
      <c r="F363" s="55"/>
      <c r="J363" s="55"/>
    </row>
    <row r="364">
      <c r="D364" s="55"/>
      <c r="E364" s="55"/>
      <c r="F364" s="55"/>
      <c r="J364" s="55"/>
    </row>
    <row r="365">
      <c r="D365" s="55"/>
      <c r="E365" s="55"/>
      <c r="F365" s="55"/>
      <c r="J365" s="55"/>
    </row>
    <row r="366">
      <c r="D366" s="55"/>
      <c r="E366" s="55"/>
      <c r="F366" s="55"/>
      <c r="J366" s="55"/>
    </row>
    <row r="367">
      <c r="D367" s="55"/>
      <c r="E367" s="55"/>
      <c r="F367" s="55"/>
      <c r="J367" s="55"/>
    </row>
    <row r="368">
      <c r="D368" s="55"/>
      <c r="E368" s="55"/>
      <c r="F368" s="55"/>
      <c r="J368" s="55"/>
    </row>
    <row r="369">
      <c r="D369" s="55"/>
      <c r="E369" s="55"/>
      <c r="F369" s="55"/>
      <c r="J369" s="55"/>
    </row>
    <row r="370">
      <c r="D370" s="55"/>
      <c r="E370" s="55"/>
      <c r="F370" s="55"/>
      <c r="J370" s="55"/>
    </row>
    <row r="371">
      <c r="D371" s="55"/>
      <c r="E371" s="55"/>
      <c r="F371" s="55"/>
      <c r="J371" s="55"/>
    </row>
    <row r="372">
      <c r="D372" s="55"/>
      <c r="E372" s="55"/>
      <c r="F372" s="55"/>
      <c r="J372" s="55"/>
    </row>
    <row r="373">
      <c r="D373" s="55"/>
      <c r="E373" s="55"/>
      <c r="F373" s="55"/>
      <c r="J373" s="55"/>
    </row>
    <row r="374">
      <c r="D374" s="55"/>
      <c r="E374" s="55"/>
      <c r="F374" s="55"/>
      <c r="J374" s="55"/>
    </row>
    <row r="375">
      <c r="D375" s="55"/>
      <c r="E375" s="55"/>
      <c r="F375" s="55"/>
      <c r="J375" s="55"/>
    </row>
    <row r="376">
      <c r="D376" s="55"/>
      <c r="E376" s="55"/>
      <c r="F376" s="55"/>
      <c r="J376" s="55"/>
    </row>
    <row r="377">
      <c r="D377" s="55"/>
      <c r="E377" s="55"/>
      <c r="F377" s="55"/>
      <c r="J377" s="55"/>
    </row>
    <row r="378">
      <c r="D378" s="55"/>
      <c r="E378" s="55"/>
      <c r="F378" s="55"/>
      <c r="J378" s="55"/>
    </row>
    <row r="379">
      <c r="D379" s="55"/>
      <c r="E379" s="55"/>
      <c r="F379" s="55"/>
      <c r="J379" s="55"/>
    </row>
    <row r="380">
      <c r="D380" s="55"/>
      <c r="E380" s="55"/>
      <c r="F380" s="55"/>
      <c r="J380" s="55"/>
    </row>
    <row r="381">
      <c r="D381" s="55"/>
      <c r="E381" s="55"/>
      <c r="F381" s="55"/>
      <c r="J381" s="55"/>
    </row>
    <row r="382">
      <c r="D382" s="55"/>
      <c r="E382" s="55"/>
      <c r="F382" s="55"/>
      <c r="J382" s="55"/>
    </row>
    <row r="383">
      <c r="D383" s="55"/>
      <c r="E383" s="55"/>
      <c r="F383" s="55"/>
      <c r="J383" s="55"/>
    </row>
    <row r="384">
      <c r="D384" s="55"/>
      <c r="E384" s="55"/>
      <c r="F384" s="55"/>
      <c r="J384" s="55"/>
    </row>
    <row r="385">
      <c r="D385" s="55"/>
      <c r="E385" s="55"/>
      <c r="F385" s="55"/>
      <c r="J385" s="55"/>
    </row>
    <row r="386">
      <c r="D386" s="55"/>
      <c r="E386" s="55"/>
      <c r="F386" s="55"/>
      <c r="J386" s="55"/>
    </row>
    <row r="387">
      <c r="D387" s="55"/>
      <c r="E387" s="55"/>
      <c r="F387" s="55"/>
      <c r="J387" s="55"/>
    </row>
    <row r="388">
      <c r="D388" s="55"/>
      <c r="E388" s="55"/>
      <c r="F388" s="55"/>
      <c r="J388" s="55"/>
    </row>
    <row r="389">
      <c r="D389" s="55"/>
      <c r="E389" s="55"/>
      <c r="F389" s="55"/>
      <c r="J389" s="55"/>
    </row>
    <row r="390">
      <c r="D390" s="55"/>
      <c r="E390" s="55"/>
      <c r="F390" s="55"/>
      <c r="J390" s="55"/>
    </row>
    <row r="391">
      <c r="D391" s="55"/>
      <c r="E391" s="55"/>
      <c r="F391" s="55"/>
      <c r="J391" s="55"/>
    </row>
    <row r="392">
      <c r="D392" s="55"/>
      <c r="E392" s="55"/>
      <c r="F392" s="55"/>
      <c r="J392" s="55"/>
    </row>
    <row r="393">
      <c r="D393" s="55"/>
      <c r="E393" s="55"/>
      <c r="F393" s="55"/>
      <c r="J393" s="55"/>
    </row>
    <row r="394">
      <c r="D394" s="55"/>
      <c r="E394" s="55"/>
      <c r="F394" s="55"/>
      <c r="J394" s="55"/>
    </row>
    <row r="395">
      <c r="D395" s="55"/>
      <c r="E395" s="55"/>
      <c r="F395" s="55"/>
      <c r="J395" s="55"/>
    </row>
    <row r="396">
      <c r="D396" s="55"/>
      <c r="E396" s="55"/>
      <c r="F396" s="55"/>
      <c r="J396" s="55"/>
    </row>
    <row r="397">
      <c r="D397" s="55"/>
      <c r="E397" s="55"/>
      <c r="F397" s="55"/>
      <c r="J397" s="55"/>
    </row>
    <row r="398">
      <c r="D398" s="55"/>
      <c r="E398" s="55"/>
      <c r="F398" s="55"/>
      <c r="J398" s="55"/>
    </row>
    <row r="399">
      <c r="D399" s="55"/>
      <c r="E399" s="55"/>
      <c r="F399" s="55"/>
      <c r="J399" s="55"/>
    </row>
    <row r="400">
      <c r="D400" s="55"/>
      <c r="E400" s="55"/>
      <c r="F400" s="55"/>
      <c r="J400" s="55"/>
    </row>
    <row r="401">
      <c r="D401" s="55"/>
      <c r="E401" s="55"/>
      <c r="F401" s="55"/>
      <c r="J401" s="55"/>
    </row>
    <row r="402">
      <c r="D402" s="55"/>
      <c r="E402" s="55"/>
      <c r="F402" s="55"/>
      <c r="J402" s="55"/>
    </row>
    <row r="403">
      <c r="D403" s="55"/>
      <c r="E403" s="55"/>
      <c r="F403" s="55"/>
      <c r="J403" s="55"/>
    </row>
    <row r="404">
      <c r="D404" s="55"/>
      <c r="E404" s="55"/>
      <c r="F404" s="55"/>
      <c r="J404" s="55"/>
    </row>
    <row r="405">
      <c r="D405" s="55"/>
      <c r="E405" s="55"/>
      <c r="F405" s="55"/>
      <c r="J405" s="55"/>
    </row>
    <row r="406">
      <c r="D406" s="55"/>
      <c r="E406" s="55"/>
      <c r="F406" s="55"/>
      <c r="J406" s="55"/>
    </row>
    <row r="407">
      <c r="D407" s="55"/>
      <c r="E407" s="55"/>
      <c r="F407" s="55"/>
      <c r="J407" s="55"/>
    </row>
    <row r="408">
      <c r="D408" s="55"/>
      <c r="E408" s="55"/>
      <c r="F408" s="55"/>
      <c r="J408" s="55"/>
    </row>
    <row r="409">
      <c r="D409" s="55"/>
      <c r="E409" s="55"/>
      <c r="F409" s="55"/>
      <c r="J409" s="55"/>
    </row>
    <row r="410">
      <c r="D410" s="55"/>
      <c r="E410" s="55"/>
      <c r="F410" s="55"/>
      <c r="J410" s="55"/>
    </row>
    <row r="411">
      <c r="D411" s="55"/>
      <c r="E411" s="55"/>
      <c r="F411" s="55"/>
      <c r="J411" s="55"/>
    </row>
    <row r="412">
      <c r="D412" s="55"/>
      <c r="E412" s="55"/>
      <c r="F412" s="55"/>
      <c r="J412" s="55"/>
    </row>
    <row r="413">
      <c r="D413" s="55"/>
      <c r="E413" s="55"/>
      <c r="F413" s="55"/>
      <c r="J413" s="55"/>
    </row>
    <row r="414">
      <c r="D414" s="55"/>
      <c r="E414" s="55"/>
      <c r="F414" s="55"/>
      <c r="J414" s="55"/>
    </row>
    <row r="415">
      <c r="D415" s="55"/>
      <c r="E415" s="55"/>
      <c r="F415" s="55"/>
      <c r="J415" s="55"/>
    </row>
    <row r="416">
      <c r="D416" s="55"/>
      <c r="E416" s="55"/>
      <c r="F416" s="55"/>
      <c r="J416" s="55"/>
    </row>
    <row r="417">
      <c r="D417" s="55"/>
      <c r="E417" s="55"/>
      <c r="F417" s="55"/>
      <c r="J417" s="55"/>
    </row>
    <row r="418">
      <c r="D418" s="55"/>
      <c r="E418" s="55"/>
      <c r="F418" s="55"/>
      <c r="J418" s="55"/>
    </row>
    <row r="419">
      <c r="D419" s="55"/>
      <c r="E419" s="55"/>
      <c r="F419" s="55"/>
      <c r="J419" s="55"/>
    </row>
    <row r="420">
      <c r="D420" s="55"/>
      <c r="E420" s="55"/>
      <c r="F420" s="55"/>
      <c r="J420" s="55"/>
    </row>
    <row r="421">
      <c r="D421" s="55"/>
      <c r="E421" s="55"/>
      <c r="F421" s="55"/>
      <c r="J421" s="55"/>
    </row>
    <row r="422">
      <c r="D422" s="55"/>
      <c r="E422" s="55"/>
      <c r="F422" s="55"/>
      <c r="J422" s="55"/>
    </row>
    <row r="423">
      <c r="D423" s="55"/>
      <c r="E423" s="55"/>
      <c r="F423" s="55"/>
      <c r="J423" s="55"/>
    </row>
    <row r="424">
      <c r="D424" s="55"/>
      <c r="E424" s="55"/>
      <c r="F424" s="55"/>
      <c r="J424" s="55"/>
    </row>
    <row r="425">
      <c r="D425" s="55"/>
      <c r="E425" s="55"/>
      <c r="F425" s="55"/>
      <c r="J425" s="55"/>
    </row>
    <row r="426">
      <c r="D426" s="55"/>
      <c r="E426" s="55"/>
      <c r="F426" s="55"/>
      <c r="J426" s="55"/>
    </row>
    <row r="427">
      <c r="D427" s="55"/>
      <c r="E427" s="55"/>
      <c r="F427" s="55"/>
      <c r="J427" s="55"/>
    </row>
    <row r="428">
      <c r="D428" s="55"/>
      <c r="E428" s="55"/>
      <c r="F428" s="55"/>
      <c r="J428" s="55"/>
    </row>
    <row r="429">
      <c r="D429" s="55"/>
      <c r="E429" s="55"/>
      <c r="F429" s="55"/>
      <c r="J429" s="55"/>
    </row>
    <row r="430">
      <c r="D430" s="55"/>
      <c r="E430" s="55"/>
      <c r="F430" s="55"/>
      <c r="J430" s="55"/>
    </row>
    <row r="431">
      <c r="D431" s="55"/>
      <c r="E431" s="55"/>
      <c r="F431" s="55"/>
      <c r="J431" s="55"/>
    </row>
    <row r="432">
      <c r="D432" s="55"/>
      <c r="E432" s="55"/>
      <c r="F432" s="55"/>
      <c r="J432" s="55"/>
    </row>
    <row r="433">
      <c r="D433" s="55"/>
      <c r="E433" s="55"/>
      <c r="F433" s="55"/>
      <c r="J433" s="55"/>
    </row>
    <row r="434">
      <c r="D434" s="55"/>
      <c r="E434" s="55"/>
      <c r="F434" s="55"/>
      <c r="J434" s="55"/>
    </row>
    <row r="435">
      <c r="D435" s="55"/>
      <c r="E435" s="55"/>
      <c r="F435" s="55"/>
      <c r="J435" s="55"/>
    </row>
    <row r="436">
      <c r="D436" s="55"/>
      <c r="E436" s="55"/>
      <c r="F436" s="55"/>
      <c r="J436" s="55"/>
    </row>
    <row r="437">
      <c r="D437" s="55"/>
      <c r="E437" s="55"/>
      <c r="F437" s="55"/>
      <c r="J437" s="55"/>
    </row>
    <row r="438">
      <c r="D438" s="55"/>
      <c r="E438" s="55"/>
      <c r="F438" s="55"/>
      <c r="J438" s="55"/>
    </row>
    <row r="439">
      <c r="D439" s="55"/>
      <c r="E439" s="55"/>
      <c r="F439" s="55"/>
      <c r="J439" s="55"/>
    </row>
    <row r="440">
      <c r="D440" s="55"/>
      <c r="E440" s="55"/>
      <c r="F440" s="55"/>
      <c r="J440" s="55"/>
    </row>
    <row r="441">
      <c r="D441" s="55"/>
      <c r="E441" s="55"/>
      <c r="F441" s="55"/>
      <c r="J441" s="55"/>
    </row>
    <row r="442">
      <c r="D442" s="55"/>
      <c r="E442" s="55"/>
      <c r="F442" s="55"/>
      <c r="J442" s="55"/>
    </row>
    <row r="443">
      <c r="D443" s="55"/>
      <c r="E443" s="55"/>
      <c r="F443" s="55"/>
      <c r="J443" s="55"/>
    </row>
    <row r="444">
      <c r="D444" s="55"/>
      <c r="E444" s="55"/>
      <c r="F444" s="55"/>
      <c r="J444" s="55"/>
    </row>
    <row r="445">
      <c r="D445" s="55"/>
      <c r="E445" s="55"/>
      <c r="F445" s="55"/>
      <c r="J445" s="55"/>
    </row>
    <row r="446">
      <c r="D446" s="55"/>
      <c r="E446" s="55"/>
      <c r="F446" s="55"/>
      <c r="J446" s="55"/>
    </row>
    <row r="447">
      <c r="D447" s="55"/>
      <c r="E447" s="55"/>
      <c r="F447" s="55"/>
      <c r="J447" s="55"/>
    </row>
    <row r="448">
      <c r="D448" s="55"/>
      <c r="E448" s="55"/>
      <c r="F448" s="55"/>
      <c r="J448" s="55"/>
    </row>
    <row r="449">
      <c r="D449" s="55"/>
      <c r="E449" s="55"/>
      <c r="F449" s="55"/>
      <c r="J449" s="55"/>
    </row>
    <row r="450">
      <c r="D450" s="55"/>
      <c r="E450" s="55"/>
      <c r="F450" s="55"/>
      <c r="J450" s="55"/>
    </row>
    <row r="451">
      <c r="D451" s="55"/>
      <c r="E451" s="55"/>
      <c r="F451" s="55"/>
      <c r="J451" s="55"/>
    </row>
    <row r="452">
      <c r="D452" s="55"/>
      <c r="E452" s="55"/>
      <c r="F452" s="55"/>
      <c r="J452" s="55"/>
    </row>
    <row r="453">
      <c r="D453" s="55"/>
      <c r="E453" s="55"/>
      <c r="F453" s="55"/>
      <c r="J453" s="55"/>
    </row>
    <row r="454">
      <c r="D454" s="55"/>
      <c r="E454" s="55"/>
      <c r="F454" s="55"/>
      <c r="J454" s="55"/>
    </row>
    <row r="455">
      <c r="D455" s="55"/>
      <c r="E455" s="55"/>
      <c r="F455" s="55"/>
      <c r="J455" s="55"/>
    </row>
    <row r="456">
      <c r="D456" s="55"/>
      <c r="E456" s="55"/>
      <c r="F456" s="55"/>
      <c r="J456" s="55"/>
    </row>
    <row r="457">
      <c r="D457" s="55"/>
      <c r="E457" s="55"/>
      <c r="F457" s="55"/>
      <c r="J457" s="55"/>
    </row>
    <row r="458">
      <c r="D458" s="55"/>
      <c r="E458" s="55"/>
      <c r="F458" s="55"/>
      <c r="J458" s="55"/>
    </row>
    <row r="459">
      <c r="D459" s="55"/>
      <c r="E459" s="55"/>
      <c r="F459" s="55"/>
      <c r="J459" s="55"/>
    </row>
    <row r="460">
      <c r="D460" s="55"/>
      <c r="E460" s="55"/>
      <c r="F460" s="55"/>
      <c r="J460" s="55"/>
    </row>
    <row r="461">
      <c r="D461" s="55"/>
      <c r="E461" s="55"/>
      <c r="F461" s="55"/>
      <c r="J461" s="55"/>
    </row>
    <row r="462">
      <c r="D462" s="55"/>
      <c r="E462" s="55"/>
      <c r="F462" s="55"/>
      <c r="J462" s="55"/>
    </row>
    <row r="463">
      <c r="D463" s="55"/>
      <c r="E463" s="55"/>
      <c r="F463" s="55"/>
      <c r="J463" s="55"/>
    </row>
    <row r="464">
      <c r="D464" s="55"/>
      <c r="E464" s="55"/>
      <c r="F464" s="55"/>
      <c r="J464" s="55"/>
    </row>
    <row r="465">
      <c r="D465" s="55"/>
      <c r="E465" s="55"/>
      <c r="F465" s="55"/>
      <c r="J465" s="55"/>
    </row>
    <row r="466">
      <c r="D466" s="55"/>
      <c r="E466" s="55"/>
      <c r="F466" s="55"/>
      <c r="J466" s="55"/>
    </row>
    <row r="467">
      <c r="D467" s="55"/>
      <c r="E467" s="55"/>
      <c r="F467" s="55"/>
      <c r="J467" s="55"/>
    </row>
    <row r="468">
      <c r="D468" s="55"/>
      <c r="E468" s="55"/>
      <c r="F468" s="55"/>
      <c r="J468" s="55"/>
    </row>
    <row r="469">
      <c r="D469" s="55"/>
      <c r="E469" s="55"/>
      <c r="F469" s="55"/>
      <c r="J469" s="55"/>
    </row>
    <row r="470">
      <c r="D470" s="55"/>
      <c r="E470" s="55"/>
      <c r="F470" s="55"/>
      <c r="J470" s="55"/>
    </row>
    <row r="471">
      <c r="D471" s="55"/>
      <c r="E471" s="55"/>
      <c r="F471" s="55"/>
      <c r="J471" s="55"/>
    </row>
    <row r="472">
      <c r="D472" s="55"/>
      <c r="E472" s="55"/>
      <c r="F472" s="55"/>
      <c r="J472" s="55"/>
    </row>
    <row r="473">
      <c r="D473" s="55"/>
      <c r="E473" s="55"/>
      <c r="F473" s="55"/>
      <c r="J473" s="55"/>
    </row>
    <row r="474">
      <c r="D474" s="55"/>
      <c r="E474" s="55"/>
      <c r="F474" s="55"/>
      <c r="J474" s="55"/>
    </row>
    <row r="475">
      <c r="D475" s="55"/>
      <c r="E475" s="55"/>
      <c r="F475" s="55"/>
      <c r="J475" s="55"/>
    </row>
    <row r="476">
      <c r="D476" s="55"/>
      <c r="E476" s="55"/>
      <c r="F476" s="55"/>
      <c r="J476" s="55"/>
    </row>
    <row r="477">
      <c r="D477" s="55"/>
      <c r="E477" s="55"/>
      <c r="F477" s="55"/>
      <c r="J477" s="55"/>
    </row>
    <row r="478">
      <c r="D478" s="55"/>
      <c r="E478" s="55"/>
      <c r="F478" s="55"/>
      <c r="J478" s="55"/>
    </row>
    <row r="479">
      <c r="D479" s="55"/>
      <c r="E479" s="55"/>
      <c r="F479" s="55"/>
      <c r="J479" s="55"/>
    </row>
    <row r="480">
      <c r="D480" s="55"/>
      <c r="E480" s="55"/>
      <c r="F480" s="55"/>
      <c r="J480" s="55"/>
    </row>
    <row r="481">
      <c r="D481" s="55"/>
      <c r="E481" s="55"/>
      <c r="F481" s="55"/>
      <c r="J481" s="55"/>
    </row>
    <row r="482">
      <c r="D482" s="55"/>
      <c r="E482" s="55"/>
      <c r="F482" s="55"/>
      <c r="J482" s="55"/>
    </row>
    <row r="483">
      <c r="D483" s="55"/>
      <c r="E483" s="55"/>
      <c r="F483" s="55"/>
      <c r="J483" s="55"/>
    </row>
    <row r="484">
      <c r="D484" s="55"/>
      <c r="E484" s="55"/>
      <c r="F484" s="55"/>
      <c r="J484" s="55"/>
    </row>
    <row r="485">
      <c r="D485" s="55"/>
      <c r="E485" s="55"/>
      <c r="F485" s="55"/>
      <c r="J485" s="55"/>
    </row>
    <row r="486">
      <c r="D486" s="55"/>
      <c r="E486" s="55"/>
      <c r="F486" s="55"/>
      <c r="J486" s="55"/>
    </row>
    <row r="487">
      <c r="D487" s="55"/>
      <c r="E487" s="55"/>
      <c r="F487" s="55"/>
      <c r="J487" s="55"/>
    </row>
    <row r="488">
      <c r="D488" s="55"/>
      <c r="E488" s="55"/>
      <c r="F488" s="55"/>
      <c r="J488" s="55"/>
    </row>
    <row r="489">
      <c r="D489" s="55"/>
      <c r="E489" s="55"/>
      <c r="F489" s="55"/>
      <c r="J489" s="55"/>
    </row>
    <row r="490">
      <c r="D490" s="55"/>
      <c r="E490" s="55"/>
      <c r="F490" s="55"/>
      <c r="J490" s="55"/>
    </row>
    <row r="491">
      <c r="D491" s="55"/>
      <c r="E491" s="55"/>
      <c r="F491" s="55"/>
      <c r="J491" s="55"/>
    </row>
    <row r="492">
      <c r="D492" s="55"/>
      <c r="E492" s="55"/>
      <c r="F492" s="55"/>
      <c r="J492" s="55"/>
    </row>
    <row r="493">
      <c r="D493" s="55"/>
      <c r="E493" s="55"/>
      <c r="F493" s="55"/>
      <c r="J493" s="55"/>
    </row>
    <row r="494">
      <c r="D494" s="55"/>
      <c r="E494" s="55"/>
      <c r="F494" s="55"/>
      <c r="J494" s="55"/>
    </row>
    <row r="495">
      <c r="D495" s="55"/>
      <c r="E495" s="55"/>
      <c r="F495" s="55"/>
      <c r="J495" s="55"/>
    </row>
    <row r="496">
      <c r="D496" s="55"/>
      <c r="E496" s="55"/>
      <c r="F496" s="55"/>
      <c r="J496" s="55"/>
    </row>
    <row r="497">
      <c r="D497" s="55"/>
      <c r="E497" s="55"/>
      <c r="F497" s="55"/>
      <c r="J497" s="55"/>
    </row>
    <row r="498">
      <c r="D498" s="55"/>
      <c r="E498" s="55"/>
      <c r="F498" s="55"/>
      <c r="J498" s="55"/>
    </row>
    <row r="499">
      <c r="D499" s="55"/>
      <c r="E499" s="55"/>
      <c r="F499" s="55"/>
      <c r="J499" s="55"/>
    </row>
    <row r="500">
      <c r="D500" s="55"/>
      <c r="E500" s="55"/>
      <c r="F500" s="55"/>
      <c r="J500" s="55"/>
    </row>
    <row r="501">
      <c r="D501" s="55"/>
      <c r="E501" s="55"/>
      <c r="F501" s="55"/>
      <c r="J501" s="55"/>
    </row>
    <row r="502">
      <c r="D502" s="55"/>
      <c r="E502" s="55"/>
      <c r="F502" s="55"/>
      <c r="J502" s="55"/>
    </row>
    <row r="503">
      <c r="D503" s="55"/>
      <c r="E503" s="55"/>
      <c r="F503" s="55"/>
      <c r="J503" s="55"/>
    </row>
    <row r="504">
      <c r="D504" s="55"/>
      <c r="E504" s="55"/>
      <c r="F504" s="55"/>
      <c r="J504" s="55"/>
    </row>
    <row r="505">
      <c r="D505" s="55"/>
      <c r="E505" s="55"/>
      <c r="F505" s="55"/>
      <c r="J505" s="55"/>
    </row>
    <row r="506">
      <c r="D506" s="55"/>
      <c r="E506" s="55"/>
      <c r="F506" s="55"/>
      <c r="J506" s="55"/>
    </row>
    <row r="507">
      <c r="D507" s="55"/>
      <c r="E507" s="55"/>
      <c r="F507" s="55"/>
      <c r="J507" s="55"/>
    </row>
    <row r="508">
      <c r="D508" s="55"/>
      <c r="E508" s="55"/>
      <c r="F508" s="55"/>
      <c r="J508" s="55"/>
    </row>
    <row r="509">
      <c r="D509" s="55"/>
      <c r="E509" s="55"/>
      <c r="F509" s="55"/>
      <c r="J509" s="55"/>
    </row>
    <row r="510">
      <c r="D510" s="55"/>
      <c r="E510" s="55"/>
      <c r="F510" s="55"/>
      <c r="J510" s="55"/>
    </row>
    <row r="511">
      <c r="D511" s="55"/>
      <c r="E511" s="55"/>
      <c r="F511" s="55"/>
      <c r="J511" s="55"/>
    </row>
    <row r="512">
      <c r="D512" s="55"/>
      <c r="E512" s="55"/>
      <c r="F512" s="55"/>
      <c r="J512" s="55"/>
    </row>
    <row r="513">
      <c r="D513" s="55"/>
      <c r="E513" s="55"/>
      <c r="F513" s="55"/>
      <c r="J513" s="55"/>
    </row>
    <row r="514">
      <c r="D514" s="55"/>
      <c r="E514" s="55"/>
      <c r="F514" s="55"/>
      <c r="J514" s="55"/>
    </row>
    <row r="515">
      <c r="D515" s="55"/>
      <c r="E515" s="55"/>
      <c r="F515" s="55"/>
      <c r="J515" s="55"/>
    </row>
    <row r="516">
      <c r="D516" s="55"/>
      <c r="E516" s="55"/>
      <c r="F516" s="55"/>
      <c r="J516" s="55"/>
    </row>
    <row r="517">
      <c r="D517" s="55"/>
      <c r="E517" s="55"/>
      <c r="F517" s="55"/>
      <c r="J517" s="55"/>
    </row>
    <row r="518">
      <c r="D518" s="55"/>
      <c r="E518" s="55"/>
      <c r="F518" s="55"/>
      <c r="J518" s="55"/>
    </row>
    <row r="519">
      <c r="D519" s="55"/>
      <c r="E519" s="55"/>
      <c r="F519" s="55"/>
      <c r="J519" s="55"/>
    </row>
    <row r="520">
      <c r="D520" s="55"/>
      <c r="E520" s="55"/>
      <c r="F520" s="55"/>
      <c r="J520" s="55"/>
    </row>
    <row r="521">
      <c r="D521" s="55"/>
      <c r="E521" s="55"/>
      <c r="F521" s="55"/>
      <c r="J521" s="55"/>
    </row>
    <row r="522">
      <c r="D522" s="55"/>
      <c r="E522" s="55"/>
      <c r="F522" s="55"/>
      <c r="J522" s="55"/>
    </row>
    <row r="523">
      <c r="D523" s="55"/>
      <c r="E523" s="55"/>
      <c r="F523" s="55"/>
      <c r="J523" s="55"/>
    </row>
    <row r="524">
      <c r="D524" s="55"/>
      <c r="E524" s="55"/>
      <c r="F524" s="55"/>
      <c r="J524" s="55"/>
    </row>
    <row r="525">
      <c r="D525" s="55"/>
      <c r="E525" s="55"/>
      <c r="F525" s="55"/>
      <c r="J525" s="55"/>
    </row>
    <row r="526">
      <c r="D526" s="55"/>
      <c r="E526" s="55"/>
      <c r="F526" s="55"/>
      <c r="J526" s="55"/>
    </row>
    <row r="527">
      <c r="D527" s="55"/>
      <c r="E527" s="55"/>
      <c r="F527" s="55"/>
      <c r="J527" s="55"/>
    </row>
    <row r="528">
      <c r="D528" s="55"/>
      <c r="E528" s="55"/>
      <c r="F528" s="55"/>
      <c r="J528" s="55"/>
    </row>
    <row r="529">
      <c r="D529" s="55"/>
      <c r="E529" s="55"/>
      <c r="F529" s="55"/>
      <c r="J529" s="55"/>
    </row>
    <row r="530">
      <c r="D530" s="55"/>
      <c r="E530" s="55"/>
      <c r="F530" s="55"/>
      <c r="J530" s="55"/>
    </row>
    <row r="531">
      <c r="D531" s="55"/>
      <c r="E531" s="55"/>
      <c r="F531" s="55"/>
      <c r="J531" s="55"/>
    </row>
    <row r="532">
      <c r="D532" s="55"/>
      <c r="E532" s="55"/>
      <c r="F532" s="55"/>
      <c r="J532" s="55"/>
    </row>
    <row r="533">
      <c r="D533" s="55"/>
      <c r="E533" s="55"/>
      <c r="F533" s="55"/>
      <c r="J533" s="55"/>
    </row>
    <row r="534">
      <c r="D534" s="55"/>
      <c r="E534" s="55"/>
      <c r="F534" s="55"/>
      <c r="J534" s="55"/>
    </row>
    <row r="535">
      <c r="D535" s="55"/>
      <c r="E535" s="55"/>
      <c r="F535" s="55"/>
      <c r="J535" s="55"/>
    </row>
    <row r="536">
      <c r="D536" s="55"/>
      <c r="E536" s="55"/>
      <c r="F536" s="55"/>
      <c r="J536" s="55"/>
    </row>
    <row r="537">
      <c r="D537" s="55"/>
      <c r="E537" s="55"/>
      <c r="F537" s="55"/>
      <c r="J537" s="55"/>
    </row>
    <row r="538">
      <c r="D538" s="55"/>
      <c r="E538" s="55"/>
      <c r="F538" s="55"/>
      <c r="J538" s="55"/>
    </row>
    <row r="539">
      <c r="D539" s="55"/>
      <c r="E539" s="55"/>
      <c r="F539" s="55"/>
      <c r="J539" s="55"/>
    </row>
    <row r="540">
      <c r="D540" s="55"/>
      <c r="E540" s="55"/>
      <c r="F540" s="55"/>
      <c r="J540" s="55"/>
    </row>
    <row r="541">
      <c r="D541" s="55"/>
      <c r="E541" s="55"/>
      <c r="F541" s="55"/>
      <c r="J541" s="55"/>
    </row>
    <row r="542">
      <c r="D542" s="55"/>
      <c r="E542" s="55"/>
      <c r="F542" s="55"/>
      <c r="J542" s="55"/>
    </row>
    <row r="543">
      <c r="D543" s="55"/>
      <c r="E543" s="55"/>
      <c r="F543" s="55"/>
      <c r="J543" s="55"/>
    </row>
    <row r="544">
      <c r="D544" s="55"/>
      <c r="E544" s="55"/>
      <c r="F544" s="55"/>
      <c r="J544" s="55"/>
    </row>
    <row r="545">
      <c r="D545" s="55"/>
      <c r="E545" s="55"/>
      <c r="F545" s="55"/>
      <c r="J545" s="55"/>
    </row>
    <row r="546">
      <c r="D546" s="55"/>
      <c r="E546" s="55"/>
      <c r="F546" s="55"/>
      <c r="J546" s="55"/>
    </row>
    <row r="547">
      <c r="D547" s="55"/>
      <c r="E547" s="55"/>
      <c r="F547" s="55"/>
      <c r="J547" s="55"/>
    </row>
    <row r="548">
      <c r="D548" s="55"/>
      <c r="E548" s="55"/>
      <c r="F548" s="55"/>
      <c r="J548" s="55"/>
    </row>
    <row r="549">
      <c r="D549" s="55"/>
      <c r="E549" s="55"/>
      <c r="F549" s="55"/>
      <c r="J549" s="55"/>
    </row>
    <row r="550">
      <c r="D550" s="55"/>
      <c r="E550" s="55"/>
      <c r="F550" s="55"/>
      <c r="J550" s="55"/>
    </row>
    <row r="551">
      <c r="D551" s="55"/>
      <c r="E551" s="55"/>
      <c r="F551" s="55"/>
      <c r="J551" s="55"/>
    </row>
    <row r="552">
      <c r="D552" s="55"/>
      <c r="E552" s="55"/>
      <c r="F552" s="55"/>
      <c r="J552" s="55"/>
    </row>
    <row r="553">
      <c r="D553" s="55"/>
      <c r="E553" s="55"/>
      <c r="F553" s="55"/>
      <c r="J553" s="55"/>
    </row>
    <row r="554">
      <c r="D554" s="55"/>
      <c r="E554" s="55"/>
      <c r="F554" s="55"/>
      <c r="J554" s="55"/>
    </row>
    <row r="555">
      <c r="D555" s="55"/>
      <c r="E555" s="55"/>
      <c r="F555" s="55"/>
      <c r="J555" s="55"/>
    </row>
    <row r="556">
      <c r="D556" s="55"/>
      <c r="E556" s="55"/>
      <c r="F556" s="55"/>
      <c r="J556" s="55"/>
    </row>
    <row r="557">
      <c r="D557" s="55"/>
      <c r="E557" s="55"/>
      <c r="F557" s="55"/>
      <c r="J557" s="55"/>
    </row>
    <row r="558">
      <c r="D558" s="55"/>
      <c r="E558" s="55"/>
      <c r="F558" s="55"/>
      <c r="J558" s="55"/>
    </row>
    <row r="559">
      <c r="D559" s="55"/>
      <c r="E559" s="55"/>
      <c r="F559" s="55"/>
      <c r="J559" s="55"/>
    </row>
    <row r="560">
      <c r="D560" s="55"/>
      <c r="E560" s="55"/>
      <c r="F560" s="55"/>
      <c r="J560" s="55"/>
    </row>
    <row r="561">
      <c r="D561" s="55"/>
      <c r="E561" s="55"/>
      <c r="F561" s="55"/>
      <c r="J561" s="55"/>
    </row>
    <row r="562">
      <c r="D562" s="55"/>
      <c r="E562" s="55"/>
      <c r="F562" s="55"/>
      <c r="J562" s="55"/>
    </row>
    <row r="563">
      <c r="D563" s="55"/>
      <c r="E563" s="55"/>
      <c r="F563" s="55"/>
      <c r="J563" s="55"/>
    </row>
    <row r="564">
      <c r="D564" s="55"/>
      <c r="E564" s="55"/>
      <c r="F564" s="55"/>
      <c r="J564" s="55"/>
    </row>
    <row r="565">
      <c r="D565" s="55"/>
      <c r="E565" s="55"/>
      <c r="F565" s="55"/>
      <c r="J565" s="55"/>
    </row>
    <row r="566">
      <c r="D566" s="55"/>
      <c r="E566" s="55"/>
      <c r="F566" s="55"/>
      <c r="J566" s="55"/>
    </row>
    <row r="567">
      <c r="D567" s="55"/>
      <c r="E567" s="55"/>
      <c r="F567" s="55"/>
      <c r="J567" s="55"/>
    </row>
    <row r="568">
      <c r="D568" s="55"/>
      <c r="E568" s="55"/>
      <c r="F568" s="55"/>
      <c r="J568" s="55"/>
    </row>
    <row r="569">
      <c r="D569" s="55"/>
      <c r="E569" s="55"/>
      <c r="F569" s="55"/>
      <c r="J569" s="55"/>
    </row>
    <row r="570">
      <c r="D570" s="55"/>
      <c r="E570" s="55"/>
      <c r="F570" s="55"/>
      <c r="J570" s="55"/>
    </row>
    <row r="571">
      <c r="D571" s="55"/>
      <c r="E571" s="55"/>
      <c r="F571" s="55"/>
      <c r="J571" s="55"/>
    </row>
    <row r="572">
      <c r="D572" s="55"/>
      <c r="E572" s="55"/>
      <c r="F572" s="55"/>
      <c r="J572" s="55"/>
    </row>
    <row r="573">
      <c r="D573" s="55"/>
      <c r="E573" s="55"/>
      <c r="F573" s="55"/>
      <c r="J573" s="55"/>
    </row>
    <row r="574">
      <c r="D574" s="55"/>
      <c r="E574" s="55"/>
      <c r="F574" s="55"/>
      <c r="J574" s="55"/>
    </row>
    <row r="575">
      <c r="D575" s="55"/>
      <c r="E575" s="55"/>
      <c r="F575" s="55"/>
      <c r="J575" s="55"/>
    </row>
    <row r="576">
      <c r="D576" s="55"/>
      <c r="E576" s="55"/>
      <c r="F576" s="55"/>
      <c r="J576" s="55"/>
    </row>
    <row r="577">
      <c r="D577" s="55"/>
      <c r="E577" s="55"/>
      <c r="F577" s="55"/>
      <c r="J577" s="55"/>
    </row>
    <row r="578">
      <c r="D578" s="55"/>
      <c r="E578" s="55"/>
      <c r="F578" s="55"/>
      <c r="J578" s="55"/>
    </row>
    <row r="579">
      <c r="D579" s="55"/>
      <c r="E579" s="55"/>
      <c r="F579" s="55"/>
      <c r="J579" s="55"/>
    </row>
    <row r="580">
      <c r="D580" s="55"/>
      <c r="E580" s="55"/>
      <c r="F580" s="55"/>
      <c r="J580" s="55"/>
    </row>
    <row r="581">
      <c r="D581" s="55"/>
      <c r="E581" s="55"/>
      <c r="F581" s="55"/>
      <c r="J581" s="55"/>
    </row>
    <row r="582">
      <c r="D582" s="55"/>
      <c r="E582" s="55"/>
      <c r="F582" s="55"/>
      <c r="J582" s="55"/>
    </row>
    <row r="583">
      <c r="D583" s="55"/>
      <c r="E583" s="55"/>
      <c r="F583" s="55"/>
      <c r="J583" s="55"/>
    </row>
    <row r="584">
      <c r="D584" s="55"/>
      <c r="E584" s="55"/>
      <c r="F584" s="55"/>
      <c r="J584" s="55"/>
    </row>
    <row r="585">
      <c r="D585" s="55"/>
      <c r="E585" s="55"/>
      <c r="F585" s="55"/>
      <c r="J585" s="55"/>
    </row>
    <row r="586">
      <c r="D586" s="55"/>
      <c r="E586" s="55"/>
      <c r="F586" s="55"/>
      <c r="J586" s="55"/>
    </row>
    <row r="587">
      <c r="D587" s="55"/>
      <c r="E587" s="55"/>
      <c r="F587" s="55"/>
      <c r="J587" s="55"/>
    </row>
    <row r="588">
      <c r="D588" s="55"/>
      <c r="E588" s="55"/>
      <c r="F588" s="55"/>
      <c r="J588" s="55"/>
    </row>
    <row r="589">
      <c r="D589" s="55"/>
      <c r="E589" s="55"/>
      <c r="F589" s="55"/>
      <c r="J589" s="55"/>
    </row>
    <row r="590">
      <c r="D590" s="55"/>
      <c r="E590" s="55"/>
      <c r="F590" s="55"/>
      <c r="J590" s="55"/>
    </row>
    <row r="591">
      <c r="D591" s="55"/>
      <c r="E591" s="55"/>
      <c r="F591" s="55"/>
      <c r="J591" s="55"/>
    </row>
    <row r="592">
      <c r="D592" s="55"/>
      <c r="E592" s="55"/>
      <c r="F592" s="55"/>
      <c r="J592" s="55"/>
    </row>
    <row r="593">
      <c r="D593" s="55"/>
      <c r="E593" s="55"/>
      <c r="F593" s="55"/>
      <c r="J593" s="55"/>
    </row>
    <row r="594">
      <c r="D594" s="55"/>
      <c r="E594" s="55"/>
      <c r="F594" s="55"/>
      <c r="J594" s="55"/>
    </row>
    <row r="595">
      <c r="D595" s="55"/>
      <c r="E595" s="55"/>
      <c r="F595" s="55"/>
      <c r="J595" s="55"/>
    </row>
    <row r="596">
      <c r="D596" s="55"/>
      <c r="E596" s="55"/>
      <c r="F596" s="55"/>
      <c r="J596" s="55"/>
    </row>
    <row r="597">
      <c r="D597" s="55"/>
      <c r="E597" s="55"/>
      <c r="F597" s="55"/>
      <c r="J597" s="55"/>
    </row>
    <row r="598">
      <c r="D598" s="55"/>
      <c r="E598" s="55"/>
      <c r="F598" s="55"/>
      <c r="J598" s="55"/>
    </row>
    <row r="599">
      <c r="D599" s="55"/>
      <c r="E599" s="55"/>
      <c r="F599" s="55"/>
      <c r="J599" s="55"/>
    </row>
    <row r="600">
      <c r="D600" s="55"/>
      <c r="E600" s="55"/>
      <c r="F600" s="55"/>
      <c r="J600" s="55"/>
    </row>
    <row r="601">
      <c r="D601" s="55"/>
      <c r="E601" s="55"/>
      <c r="F601" s="55"/>
      <c r="J601" s="55"/>
    </row>
    <row r="602">
      <c r="D602" s="55"/>
      <c r="E602" s="55"/>
      <c r="F602" s="55"/>
      <c r="J602" s="55"/>
    </row>
    <row r="603">
      <c r="D603" s="55"/>
      <c r="E603" s="55"/>
      <c r="F603" s="55"/>
      <c r="J603" s="55"/>
    </row>
    <row r="604">
      <c r="D604" s="55"/>
      <c r="E604" s="55"/>
      <c r="F604" s="55"/>
      <c r="J604" s="55"/>
    </row>
    <row r="605">
      <c r="D605" s="55"/>
      <c r="E605" s="55"/>
      <c r="F605" s="55"/>
      <c r="J605" s="55"/>
    </row>
    <row r="606">
      <c r="D606" s="55"/>
      <c r="E606" s="55"/>
      <c r="F606" s="55"/>
      <c r="J606" s="55"/>
    </row>
    <row r="607">
      <c r="D607" s="55"/>
      <c r="E607" s="55"/>
      <c r="F607" s="55"/>
      <c r="J607" s="55"/>
    </row>
    <row r="608">
      <c r="D608" s="55"/>
      <c r="E608" s="55"/>
      <c r="F608" s="55"/>
      <c r="J608" s="55"/>
    </row>
    <row r="609">
      <c r="D609" s="55"/>
      <c r="E609" s="55"/>
      <c r="F609" s="55"/>
      <c r="J609" s="55"/>
    </row>
    <row r="610">
      <c r="D610" s="55"/>
      <c r="E610" s="55"/>
      <c r="F610" s="55"/>
      <c r="J610" s="55"/>
    </row>
    <row r="611">
      <c r="D611" s="55"/>
      <c r="E611" s="55"/>
      <c r="F611" s="55"/>
      <c r="J611" s="55"/>
    </row>
    <row r="612">
      <c r="D612" s="55"/>
      <c r="E612" s="55"/>
      <c r="F612" s="55"/>
      <c r="J612" s="55"/>
    </row>
    <row r="613">
      <c r="D613" s="55"/>
      <c r="E613" s="55"/>
      <c r="F613" s="55"/>
      <c r="J613" s="55"/>
    </row>
    <row r="614">
      <c r="D614" s="55"/>
      <c r="E614" s="55"/>
      <c r="F614" s="55"/>
      <c r="J614" s="55"/>
    </row>
    <row r="615">
      <c r="D615" s="55"/>
      <c r="E615" s="55"/>
      <c r="F615" s="55"/>
      <c r="J615" s="55"/>
    </row>
    <row r="616">
      <c r="D616" s="55"/>
      <c r="E616" s="55"/>
      <c r="F616" s="55"/>
      <c r="J616" s="55"/>
    </row>
    <row r="617">
      <c r="D617" s="55"/>
      <c r="E617" s="55"/>
      <c r="F617" s="55"/>
      <c r="J617" s="55"/>
    </row>
    <row r="618">
      <c r="D618" s="55"/>
      <c r="E618" s="55"/>
      <c r="F618" s="55"/>
      <c r="J618" s="55"/>
    </row>
    <row r="619">
      <c r="D619" s="55"/>
      <c r="E619" s="55"/>
      <c r="F619" s="55"/>
      <c r="J619" s="55"/>
    </row>
    <row r="620">
      <c r="D620" s="55"/>
      <c r="E620" s="55"/>
      <c r="F620" s="55"/>
      <c r="J620" s="55"/>
    </row>
    <row r="621">
      <c r="D621" s="55"/>
      <c r="E621" s="55"/>
      <c r="F621" s="55"/>
      <c r="J621" s="55"/>
    </row>
    <row r="622">
      <c r="D622" s="55"/>
      <c r="E622" s="55"/>
      <c r="F622" s="55"/>
      <c r="J622" s="55"/>
    </row>
    <row r="623">
      <c r="D623" s="55"/>
      <c r="E623" s="55"/>
      <c r="F623" s="55"/>
      <c r="J623" s="55"/>
    </row>
    <row r="624">
      <c r="D624" s="55"/>
      <c r="E624" s="55"/>
      <c r="F624" s="55"/>
      <c r="J624" s="55"/>
    </row>
    <row r="625">
      <c r="D625" s="55"/>
      <c r="E625" s="55"/>
      <c r="F625" s="55"/>
      <c r="J625" s="55"/>
    </row>
    <row r="626">
      <c r="D626" s="55"/>
      <c r="E626" s="55"/>
      <c r="F626" s="55"/>
      <c r="J626" s="55"/>
    </row>
    <row r="627">
      <c r="D627" s="55"/>
      <c r="E627" s="55"/>
      <c r="F627" s="55"/>
      <c r="J627" s="55"/>
    </row>
    <row r="628">
      <c r="D628" s="55"/>
      <c r="E628" s="55"/>
      <c r="F628" s="55"/>
      <c r="J628" s="55"/>
    </row>
    <row r="629">
      <c r="D629" s="55"/>
      <c r="E629" s="55"/>
      <c r="F629" s="55"/>
      <c r="J629" s="55"/>
    </row>
    <row r="630">
      <c r="D630" s="55"/>
      <c r="E630" s="55"/>
      <c r="F630" s="55"/>
      <c r="J630" s="55"/>
    </row>
    <row r="631">
      <c r="D631" s="55"/>
      <c r="E631" s="55"/>
      <c r="F631" s="55"/>
      <c r="J631" s="55"/>
    </row>
    <row r="632">
      <c r="D632" s="55"/>
      <c r="E632" s="55"/>
      <c r="F632" s="55"/>
      <c r="J632" s="55"/>
    </row>
    <row r="633">
      <c r="D633" s="55"/>
      <c r="E633" s="55"/>
      <c r="F633" s="55"/>
      <c r="J633" s="55"/>
    </row>
    <row r="634">
      <c r="D634" s="55"/>
      <c r="E634" s="55"/>
      <c r="F634" s="55"/>
      <c r="J634" s="55"/>
    </row>
    <row r="635">
      <c r="D635" s="55"/>
      <c r="E635" s="55"/>
      <c r="F635" s="55"/>
      <c r="J635" s="55"/>
    </row>
    <row r="636">
      <c r="D636" s="55"/>
      <c r="E636" s="55"/>
      <c r="F636" s="55"/>
      <c r="J636" s="55"/>
    </row>
    <row r="637">
      <c r="D637" s="55"/>
      <c r="E637" s="55"/>
      <c r="F637" s="55"/>
      <c r="J637" s="55"/>
    </row>
    <row r="638">
      <c r="D638" s="55"/>
      <c r="E638" s="55"/>
      <c r="F638" s="55"/>
      <c r="J638" s="55"/>
    </row>
    <row r="639">
      <c r="D639" s="55"/>
      <c r="E639" s="55"/>
      <c r="F639" s="55"/>
      <c r="J639" s="55"/>
    </row>
    <row r="640">
      <c r="D640" s="55"/>
      <c r="E640" s="55"/>
      <c r="F640" s="55"/>
      <c r="J640" s="55"/>
    </row>
    <row r="641">
      <c r="D641" s="55"/>
      <c r="E641" s="55"/>
      <c r="F641" s="55"/>
      <c r="J641" s="55"/>
    </row>
    <row r="642">
      <c r="D642" s="55"/>
      <c r="E642" s="55"/>
      <c r="F642" s="55"/>
      <c r="J642" s="55"/>
    </row>
    <row r="643">
      <c r="D643" s="55"/>
      <c r="E643" s="55"/>
      <c r="F643" s="55"/>
      <c r="J643" s="55"/>
    </row>
    <row r="644">
      <c r="D644" s="55"/>
      <c r="E644" s="55"/>
      <c r="F644" s="55"/>
      <c r="J644" s="55"/>
    </row>
    <row r="645">
      <c r="D645" s="55"/>
      <c r="E645" s="55"/>
      <c r="F645" s="55"/>
      <c r="J645" s="55"/>
    </row>
    <row r="646">
      <c r="D646" s="55"/>
      <c r="E646" s="55"/>
      <c r="F646" s="55"/>
      <c r="J646" s="55"/>
    </row>
    <row r="647">
      <c r="D647" s="55"/>
      <c r="E647" s="55"/>
      <c r="F647" s="55"/>
      <c r="J647" s="55"/>
    </row>
    <row r="648">
      <c r="D648" s="55"/>
      <c r="E648" s="55"/>
      <c r="F648" s="55"/>
      <c r="J648" s="55"/>
    </row>
    <row r="649">
      <c r="D649" s="55"/>
      <c r="E649" s="55"/>
      <c r="F649" s="55"/>
      <c r="J649" s="55"/>
    </row>
    <row r="650">
      <c r="D650" s="55"/>
      <c r="E650" s="55"/>
      <c r="F650" s="55"/>
      <c r="J650" s="55"/>
    </row>
    <row r="651">
      <c r="D651" s="55"/>
      <c r="E651" s="55"/>
      <c r="F651" s="55"/>
      <c r="J651" s="55"/>
    </row>
    <row r="652">
      <c r="D652" s="55"/>
      <c r="E652" s="55"/>
      <c r="F652" s="55"/>
      <c r="J652" s="55"/>
    </row>
    <row r="653">
      <c r="D653" s="55"/>
      <c r="E653" s="55"/>
      <c r="F653" s="55"/>
      <c r="J653" s="55"/>
    </row>
    <row r="654">
      <c r="D654" s="55"/>
      <c r="E654" s="55"/>
      <c r="F654" s="55"/>
      <c r="J654" s="55"/>
    </row>
    <row r="655">
      <c r="D655" s="55"/>
      <c r="E655" s="55"/>
      <c r="F655" s="55"/>
      <c r="J655" s="55"/>
    </row>
    <row r="656">
      <c r="D656" s="55"/>
      <c r="E656" s="55"/>
      <c r="F656" s="55"/>
      <c r="J656" s="55"/>
    </row>
    <row r="657">
      <c r="D657" s="55"/>
      <c r="E657" s="55"/>
      <c r="F657" s="55"/>
      <c r="J657" s="55"/>
    </row>
    <row r="658">
      <c r="D658" s="55"/>
      <c r="E658" s="55"/>
      <c r="F658" s="55"/>
      <c r="J658" s="55"/>
    </row>
    <row r="659">
      <c r="D659" s="55"/>
      <c r="E659" s="55"/>
      <c r="F659" s="55"/>
      <c r="J659" s="55"/>
    </row>
    <row r="660">
      <c r="D660" s="55"/>
      <c r="E660" s="55"/>
      <c r="F660" s="55"/>
      <c r="J660" s="55"/>
    </row>
    <row r="661">
      <c r="D661" s="55"/>
      <c r="E661" s="55"/>
      <c r="F661" s="55"/>
      <c r="J661" s="55"/>
    </row>
    <row r="662">
      <c r="D662" s="55"/>
      <c r="E662" s="55"/>
      <c r="F662" s="55"/>
      <c r="J662" s="55"/>
    </row>
    <row r="663">
      <c r="D663" s="55"/>
      <c r="E663" s="55"/>
      <c r="F663" s="55"/>
      <c r="J663" s="55"/>
    </row>
    <row r="664">
      <c r="D664" s="55"/>
      <c r="E664" s="55"/>
      <c r="F664" s="55"/>
      <c r="J664" s="55"/>
    </row>
    <row r="665">
      <c r="D665" s="55"/>
      <c r="E665" s="55"/>
      <c r="F665" s="55"/>
      <c r="J665" s="55"/>
    </row>
    <row r="666">
      <c r="D666" s="55"/>
      <c r="E666" s="55"/>
      <c r="F666" s="55"/>
      <c r="J666" s="55"/>
    </row>
    <row r="667">
      <c r="D667" s="55"/>
      <c r="E667" s="55"/>
      <c r="F667" s="55"/>
      <c r="J667" s="55"/>
    </row>
    <row r="668">
      <c r="D668" s="55"/>
      <c r="E668" s="55"/>
      <c r="F668" s="55"/>
      <c r="J668" s="55"/>
    </row>
    <row r="669">
      <c r="D669" s="55"/>
      <c r="E669" s="55"/>
      <c r="F669" s="55"/>
      <c r="J669" s="55"/>
    </row>
    <row r="670">
      <c r="D670" s="55"/>
      <c r="E670" s="55"/>
      <c r="F670" s="55"/>
      <c r="J670" s="55"/>
    </row>
    <row r="671">
      <c r="D671" s="55"/>
      <c r="E671" s="55"/>
      <c r="F671" s="55"/>
      <c r="J671" s="55"/>
    </row>
    <row r="672">
      <c r="D672" s="55"/>
      <c r="E672" s="55"/>
      <c r="F672" s="55"/>
      <c r="J672" s="55"/>
    </row>
    <row r="673">
      <c r="D673" s="55"/>
      <c r="E673" s="55"/>
      <c r="F673" s="55"/>
      <c r="J673" s="55"/>
    </row>
    <row r="674">
      <c r="D674" s="55"/>
      <c r="E674" s="55"/>
      <c r="F674" s="55"/>
      <c r="J674" s="55"/>
    </row>
    <row r="675">
      <c r="D675" s="55"/>
      <c r="E675" s="55"/>
      <c r="F675" s="55"/>
      <c r="J675" s="55"/>
    </row>
    <row r="676">
      <c r="D676" s="55"/>
      <c r="E676" s="55"/>
      <c r="F676" s="55"/>
      <c r="J676" s="55"/>
    </row>
    <row r="677">
      <c r="D677" s="55"/>
      <c r="E677" s="55"/>
      <c r="F677" s="55"/>
      <c r="J677" s="55"/>
    </row>
    <row r="678">
      <c r="D678" s="55"/>
      <c r="E678" s="55"/>
      <c r="F678" s="55"/>
      <c r="J678" s="55"/>
    </row>
    <row r="679">
      <c r="D679" s="55"/>
      <c r="E679" s="55"/>
      <c r="F679" s="55"/>
      <c r="J679" s="55"/>
    </row>
    <row r="680">
      <c r="D680" s="55"/>
      <c r="E680" s="55"/>
      <c r="F680" s="55"/>
      <c r="J680" s="55"/>
    </row>
    <row r="681">
      <c r="D681" s="55"/>
      <c r="E681" s="55"/>
      <c r="F681" s="55"/>
      <c r="J681" s="55"/>
    </row>
    <row r="682">
      <c r="D682" s="55"/>
      <c r="E682" s="55"/>
      <c r="F682" s="55"/>
      <c r="J682" s="55"/>
    </row>
    <row r="683">
      <c r="D683" s="55"/>
      <c r="E683" s="55"/>
      <c r="F683" s="55"/>
      <c r="J683" s="55"/>
    </row>
    <row r="684">
      <c r="D684" s="55"/>
      <c r="E684" s="55"/>
      <c r="F684" s="55"/>
      <c r="J684" s="55"/>
    </row>
    <row r="685">
      <c r="D685" s="55"/>
      <c r="E685" s="55"/>
      <c r="F685" s="55"/>
      <c r="J685" s="55"/>
    </row>
    <row r="686">
      <c r="D686" s="55"/>
      <c r="E686" s="55"/>
      <c r="F686" s="55"/>
      <c r="J686" s="55"/>
    </row>
    <row r="687">
      <c r="D687" s="55"/>
      <c r="E687" s="55"/>
      <c r="F687" s="55"/>
      <c r="J687" s="55"/>
    </row>
    <row r="688">
      <c r="D688" s="55"/>
      <c r="E688" s="55"/>
      <c r="F688" s="55"/>
      <c r="J688" s="55"/>
    </row>
    <row r="689">
      <c r="D689" s="55"/>
      <c r="E689" s="55"/>
      <c r="F689" s="55"/>
      <c r="J689" s="55"/>
    </row>
    <row r="690">
      <c r="D690" s="55"/>
      <c r="E690" s="55"/>
      <c r="F690" s="55"/>
      <c r="J690" s="55"/>
    </row>
    <row r="691">
      <c r="D691" s="55"/>
      <c r="E691" s="55"/>
      <c r="F691" s="55"/>
      <c r="J691" s="55"/>
    </row>
    <row r="692">
      <c r="D692" s="55"/>
      <c r="E692" s="55"/>
      <c r="F692" s="55"/>
      <c r="J692" s="55"/>
    </row>
    <row r="693">
      <c r="D693" s="55"/>
      <c r="E693" s="55"/>
      <c r="F693" s="55"/>
      <c r="J693" s="55"/>
    </row>
    <row r="694">
      <c r="D694" s="55"/>
      <c r="E694" s="55"/>
      <c r="F694" s="55"/>
      <c r="J694" s="55"/>
    </row>
    <row r="695">
      <c r="D695" s="55"/>
      <c r="E695" s="55"/>
      <c r="F695" s="55"/>
      <c r="J695" s="55"/>
    </row>
    <row r="696">
      <c r="D696" s="55"/>
      <c r="E696" s="55"/>
      <c r="F696" s="55"/>
      <c r="J696" s="55"/>
    </row>
    <row r="697">
      <c r="D697" s="55"/>
      <c r="E697" s="55"/>
      <c r="F697" s="55"/>
      <c r="J697" s="55"/>
    </row>
    <row r="698">
      <c r="D698" s="55"/>
      <c r="E698" s="55"/>
      <c r="F698" s="55"/>
      <c r="J698" s="55"/>
    </row>
    <row r="699">
      <c r="D699" s="55"/>
      <c r="E699" s="55"/>
      <c r="F699" s="55"/>
      <c r="J699" s="55"/>
    </row>
    <row r="700">
      <c r="D700" s="55"/>
      <c r="E700" s="55"/>
      <c r="F700" s="55"/>
      <c r="J700" s="55"/>
    </row>
    <row r="701">
      <c r="D701" s="55"/>
      <c r="E701" s="55"/>
      <c r="F701" s="55"/>
      <c r="J701" s="55"/>
    </row>
    <row r="702">
      <c r="D702" s="55"/>
      <c r="E702" s="55"/>
      <c r="F702" s="55"/>
      <c r="J702" s="55"/>
    </row>
    <row r="703">
      <c r="D703" s="55"/>
      <c r="E703" s="55"/>
      <c r="F703" s="55"/>
      <c r="J703" s="55"/>
    </row>
    <row r="704">
      <c r="D704" s="55"/>
      <c r="E704" s="55"/>
      <c r="F704" s="55"/>
      <c r="J704" s="55"/>
    </row>
    <row r="705">
      <c r="D705" s="55"/>
      <c r="E705" s="55"/>
      <c r="F705" s="55"/>
      <c r="J705" s="55"/>
    </row>
    <row r="706">
      <c r="D706" s="55"/>
      <c r="E706" s="55"/>
      <c r="F706" s="55"/>
      <c r="J706" s="55"/>
    </row>
    <row r="707">
      <c r="D707" s="55"/>
      <c r="E707" s="55"/>
      <c r="F707" s="55"/>
      <c r="J707" s="55"/>
    </row>
    <row r="708">
      <c r="D708" s="55"/>
      <c r="E708" s="55"/>
      <c r="F708" s="55"/>
      <c r="J708" s="55"/>
    </row>
    <row r="709">
      <c r="D709" s="55"/>
      <c r="E709" s="55"/>
      <c r="F709" s="55"/>
      <c r="J709" s="55"/>
    </row>
    <row r="710">
      <c r="D710" s="55"/>
      <c r="E710" s="55"/>
      <c r="F710" s="55"/>
      <c r="J710" s="55"/>
    </row>
    <row r="711">
      <c r="D711" s="55"/>
      <c r="E711" s="55"/>
      <c r="F711" s="55"/>
      <c r="J711" s="55"/>
    </row>
    <row r="712">
      <c r="D712" s="55"/>
      <c r="E712" s="55"/>
      <c r="F712" s="55"/>
      <c r="J712" s="55"/>
    </row>
    <row r="713">
      <c r="D713" s="55"/>
      <c r="E713" s="55"/>
      <c r="F713" s="55"/>
      <c r="J713" s="55"/>
    </row>
    <row r="714">
      <c r="D714" s="55"/>
      <c r="E714" s="55"/>
      <c r="F714" s="55"/>
      <c r="J714" s="55"/>
    </row>
    <row r="715">
      <c r="D715" s="55"/>
      <c r="E715" s="55"/>
      <c r="F715" s="55"/>
      <c r="J715" s="55"/>
    </row>
    <row r="716">
      <c r="D716" s="55"/>
      <c r="E716" s="55"/>
      <c r="F716" s="55"/>
      <c r="J716" s="55"/>
    </row>
    <row r="717">
      <c r="D717" s="55"/>
      <c r="E717" s="55"/>
      <c r="F717" s="55"/>
      <c r="J717" s="55"/>
    </row>
    <row r="718">
      <c r="D718" s="55"/>
      <c r="E718" s="55"/>
      <c r="F718" s="55"/>
      <c r="J718" s="55"/>
    </row>
    <row r="719">
      <c r="D719" s="55"/>
      <c r="E719" s="55"/>
      <c r="F719" s="55"/>
      <c r="J719" s="55"/>
    </row>
    <row r="720">
      <c r="D720" s="55"/>
      <c r="E720" s="55"/>
      <c r="F720" s="55"/>
      <c r="J720" s="55"/>
    </row>
    <row r="721">
      <c r="D721" s="55"/>
      <c r="E721" s="55"/>
      <c r="F721" s="55"/>
      <c r="J721" s="55"/>
    </row>
    <row r="722">
      <c r="D722" s="55"/>
      <c r="E722" s="55"/>
      <c r="F722" s="55"/>
      <c r="J722" s="55"/>
    </row>
    <row r="723">
      <c r="D723" s="55"/>
      <c r="E723" s="55"/>
      <c r="F723" s="55"/>
      <c r="J723" s="55"/>
    </row>
    <row r="724">
      <c r="D724" s="55"/>
      <c r="E724" s="55"/>
      <c r="F724" s="55"/>
      <c r="J724" s="55"/>
    </row>
    <row r="725">
      <c r="D725" s="55"/>
      <c r="E725" s="55"/>
      <c r="F725" s="55"/>
      <c r="J725" s="55"/>
    </row>
    <row r="726">
      <c r="D726" s="55"/>
      <c r="E726" s="55"/>
      <c r="F726" s="55"/>
      <c r="J726" s="55"/>
    </row>
    <row r="727">
      <c r="D727" s="55"/>
      <c r="E727" s="55"/>
      <c r="F727" s="55"/>
      <c r="J727" s="55"/>
    </row>
    <row r="728">
      <c r="D728" s="55"/>
      <c r="E728" s="55"/>
      <c r="F728" s="55"/>
      <c r="J728" s="55"/>
    </row>
    <row r="729">
      <c r="D729" s="55"/>
      <c r="E729" s="55"/>
      <c r="F729" s="55"/>
      <c r="J729" s="55"/>
    </row>
    <row r="730">
      <c r="D730" s="55"/>
      <c r="E730" s="55"/>
      <c r="F730" s="55"/>
      <c r="J730" s="55"/>
    </row>
    <row r="731">
      <c r="D731" s="55"/>
      <c r="E731" s="55"/>
      <c r="F731" s="55"/>
      <c r="J731" s="55"/>
    </row>
    <row r="732">
      <c r="D732" s="55"/>
      <c r="E732" s="55"/>
      <c r="F732" s="55"/>
      <c r="J732" s="55"/>
    </row>
    <row r="733">
      <c r="D733" s="55"/>
      <c r="E733" s="55"/>
      <c r="F733" s="55"/>
      <c r="J733" s="55"/>
    </row>
    <row r="734">
      <c r="D734" s="55"/>
      <c r="E734" s="55"/>
      <c r="F734" s="55"/>
      <c r="J734" s="55"/>
    </row>
    <row r="735">
      <c r="D735" s="55"/>
      <c r="E735" s="55"/>
      <c r="F735" s="55"/>
      <c r="J735" s="55"/>
    </row>
    <row r="736">
      <c r="D736" s="55"/>
      <c r="E736" s="55"/>
      <c r="F736" s="55"/>
      <c r="J736" s="55"/>
    </row>
    <row r="737">
      <c r="D737" s="55"/>
      <c r="E737" s="55"/>
      <c r="F737" s="55"/>
      <c r="J737" s="55"/>
    </row>
    <row r="738">
      <c r="D738" s="55"/>
      <c r="E738" s="55"/>
      <c r="F738" s="55"/>
      <c r="J738" s="55"/>
    </row>
    <row r="739">
      <c r="D739" s="55"/>
      <c r="E739" s="55"/>
      <c r="F739" s="55"/>
      <c r="J739" s="55"/>
    </row>
    <row r="740">
      <c r="D740" s="55"/>
      <c r="E740" s="55"/>
      <c r="F740" s="55"/>
      <c r="J740" s="55"/>
    </row>
    <row r="741">
      <c r="D741" s="55"/>
      <c r="E741" s="55"/>
      <c r="F741" s="55"/>
      <c r="J741" s="55"/>
    </row>
    <row r="742">
      <c r="D742" s="55"/>
      <c r="E742" s="55"/>
      <c r="F742" s="55"/>
      <c r="J742" s="55"/>
    </row>
    <row r="743">
      <c r="D743" s="55"/>
      <c r="E743" s="55"/>
      <c r="F743" s="55"/>
      <c r="J743" s="55"/>
    </row>
    <row r="744">
      <c r="D744" s="55"/>
      <c r="E744" s="55"/>
      <c r="F744" s="55"/>
      <c r="J744" s="55"/>
    </row>
    <row r="745">
      <c r="D745" s="55"/>
      <c r="E745" s="55"/>
      <c r="F745" s="55"/>
      <c r="J745" s="55"/>
    </row>
    <row r="746">
      <c r="D746" s="55"/>
      <c r="E746" s="55"/>
      <c r="F746" s="55"/>
      <c r="J746" s="55"/>
    </row>
    <row r="747">
      <c r="D747" s="55"/>
      <c r="E747" s="55"/>
      <c r="F747" s="55"/>
      <c r="J747" s="55"/>
    </row>
    <row r="748">
      <c r="D748" s="55"/>
      <c r="E748" s="55"/>
      <c r="F748" s="55"/>
      <c r="J748" s="55"/>
    </row>
    <row r="749">
      <c r="D749" s="55"/>
      <c r="E749" s="55"/>
      <c r="F749" s="55"/>
      <c r="J749" s="55"/>
    </row>
    <row r="750">
      <c r="D750" s="55"/>
      <c r="E750" s="55"/>
      <c r="F750" s="55"/>
      <c r="J750" s="55"/>
    </row>
    <row r="751">
      <c r="D751" s="55"/>
      <c r="E751" s="55"/>
      <c r="F751" s="55"/>
      <c r="J751" s="55"/>
    </row>
    <row r="752">
      <c r="D752" s="55"/>
      <c r="E752" s="55"/>
      <c r="F752" s="55"/>
      <c r="J752" s="55"/>
    </row>
    <row r="753">
      <c r="D753" s="55"/>
      <c r="E753" s="55"/>
      <c r="F753" s="55"/>
      <c r="J753" s="55"/>
    </row>
    <row r="754">
      <c r="D754" s="55"/>
      <c r="E754" s="55"/>
      <c r="F754" s="55"/>
      <c r="J754" s="55"/>
    </row>
    <row r="755">
      <c r="D755" s="55"/>
      <c r="E755" s="55"/>
      <c r="F755" s="55"/>
      <c r="J755" s="55"/>
    </row>
    <row r="756">
      <c r="D756" s="55"/>
      <c r="E756" s="55"/>
      <c r="F756" s="55"/>
      <c r="J756" s="55"/>
    </row>
    <row r="757">
      <c r="D757" s="55"/>
      <c r="E757" s="55"/>
      <c r="F757" s="55"/>
      <c r="J757" s="55"/>
    </row>
    <row r="758">
      <c r="D758" s="55"/>
      <c r="E758" s="55"/>
      <c r="F758" s="55"/>
      <c r="J758" s="55"/>
    </row>
    <row r="759">
      <c r="D759" s="55"/>
      <c r="E759" s="55"/>
      <c r="F759" s="55"/>
      <c r="J759" s="55"/>
    </row>
    <row r="760">
      <c r="D760" s="55"/>
      <c r="E760" s="55"/>
      <c r="F760" s="55"/>
      <c r="J760" s="55"/>
    </row>
    <row r="761">
      <c r="D761" s="55"/>
      <c r="E761" s="55"/>
      <c r="F761" s="55"/>
      <c r="J761" s="55"/>
    </row>
    <row r="762">
      <c r="D762" s="55"/>
      <c r="E762" s="55"/>
      <c r="F762" s="55"/>
      <c r="J762" s="55"/>
    </row>
    <row r="763">
      <c r="D763" s="55"/>
      <c r="E763" s="55"/>
      <c r="F763" s="55"/>
      <c r="J763" s="55"/>
    </row>
    <row r="764">
      <c r="D764" s="55"/>
      <c r="E764" s="55"/>
      <c r="F764" s="55"/>
      <c r="J764" s="55"/>
    </row>
    <row r="765">
      <c r="D765" s="55"/>
      <c r="E765" s="55"/>
      <c r="F765" s="55"/>
      <c r="J765" s="55"/>
    </row>
    <row r="766">
      <c r="D766" s="55"/>
      <c r="E766" s="55"/>
      <c r="F766" s="55"/>
      <c r="J766" s="55"/>
    </row>
    <row r="767">
      <c r="D767" s="55"/>
      <c r="E767" s="55"/>
      <c r="F767" s="55"/>
      <c r="J767" s="55"/>
    </row>
    <row r="768">
      <c r="D768" s="55"/>
      <c r="E768" s="55"/>
      <c r="F768" s="55"/>
      <c r="J768" s="55"/>
    </row>
    <row r="769">
      <c r="D769" s="55"/>
      <c r="E769" s="55"/>
      <c r="F769" s="55"/>
      <c r="J769" s="55"/>
    </row>
    <row r="770">
      <c r="D770" s="55"/>
      <c r="E770" s="55"/>
      <c r="F770" s="55"/>
      <c r="J770" s="55"/>
    </row>
    <row r="771">
      <c r="D771" s="55"/>
      <c r="E771" s="55"/>
      <c r="F771" s="55"/>
      <c r="J771" s="55"/>
    </row>
    <row r="772">
      <c r="D772" s="55"/>
      <c r="E772" s="55"/>
      <c r="F772" s="55"/>
      <c r="J772" s="55"/>
    </row>
    <row r="773">
      <c r="D773" s="55"/>
      <c r="E773" s="55"/>
      <c r="F773" s="55"/>
      <c r="J773" s="55"/>
    </row>
    <row r="774">
      <c r="D774" s="55"/>
      <c r="E774" s="55"/>
      <c r="F774" s="55"/>
      <c r="J774" s="55"/>
    </row>
    <row r="775">
      <c r="D775" s="55"/>
      <c r="E775" s="55"/>
      <c r="F775" s="55"/>
      <c r="J775" s="55"/>
    </row>
    <row r="776">
      <c r="D776" s="55"/>
      <c r="E776" s="55"/>
      <c r="F776" s="55"/>
      <c r="J776" s="55"/>
    </row>
    <row r="777">
      <c r="D777" s="55"/>
      <c r="E777" s="55"/>
      <c r="F777" s="55"/>
      <c r="J777" s="55"/>
    </row>
    <row r="778">
      <c r="D778" s="55"/>
      <c r="E778" s="55"/>
      <c r="F778" s="55"/>
      <c r="J778" s="55"/>
    </row>
    <row r="779">
      <c r="D779" s="55"/>
      <c r="E779" s="55"/>
      <c r="F779" s="55"/>
      <c r="J779" s="55"/>
    </row>
    <row r="780">
      <c r="D780" s="55"/>
      <c r="E780" s="55"/>
      <c r="F780" s="55"/>
      <c r="J780" s="55"/>
    </row>
    <row r="781">
      <c r="D781" s="55"/>
      <c r="E781" s="55"/>
      <c r="F781" s="55"/>
      <c r="J781" s="55"/>
    </row>
    <row r="782">
      <c r="D782" s="55"/>
      <c r="E782" s="55"/>
      <c r="F782" s="55"/>
      <c r="J782" s="55"/>
    </row>
    <row r="783">
      <c r="D783" s="55"/>
      <c r="E783" s="55"/>
      <c r="F783" s="55"/>
      <c r="J783" s="55"/>
    </row>
    <row r="784">
      <c r="D784" s="55"/>
      <c r="E784" s="55"/>
      <c r="F784" s="55"/>
      <c r="J784" s="55"/>
    </row>
    <row r="785">
      <c r="D785" s="55"/>
      <c r="E785" s="55"/>
      <c r="F785" s="55"/>
      <c r="J785" s="55"/>
    </row>
    <row r="786">
      <c r="D786" s="55"/>
      <c r="E786" s="55"/>
      <c r="F786" s="55"/>
      <c r="J786" s="55"/>
    </row>
    <row r="787">
      <c r="D787" s="55"/>
      <c r="E787" s="55"/>
      <c r="F787" s="55"/>
      <c r="J787" s="55"/>
    </row>
    <row r="788">
      <c r="D788" s="55"/>
      <c r="E788" s="55"/>
      <c r="F788" s="55"/>
      <c r="J788" s="55"/>
    </row>
    <row r="789">
      <c r="D789" s="55"/>
      <c r="E789" s="55"/>
      <c r="F789" s="55"/>
      <c r="J789" s="55"/>
    </row>
    <row r="790">
      <c r="D790" s="55"/>
      <c r="E790" s="55"/>
      <c r="F790" s="55"/>
      <c r="J790" s="55"/>
    </row>
    <row r="791">
      <c r="D791" s="55"/>
      <c r="E791" s="55"/>
      <c r="F791" s="55"/>
      <c r="J791" s="55"/>
    </row>
    <row r="792">
      <c r="D792" s="55"/>
      <c r="E792" s="55"/>
      <c r="F792" s="55"/>
      <c r="J792" s="55"/>
    </row>
    <row r="793">
      <c r="D793" s="55"/>
      <c r="E793" s="55"/>
      <c r="F793" s="55"/>
      <c r="J793" s="55"/>
    </row>
    <row r="794">
      <c r="D794" s="55"/>
      <c r="E794" s="55"/>
      <c r="F794" s="55"/>
      <c r="J794" s="55"/>
    </row>
    <row r="795">
      <c r="D795" s="55"/>
      <c r="E795" s="55"/>
      <c r="F795" s="55"/>
      <c r="J795" s="55"/>
    </row>
    <row r="796">
      <c r="D796" s="55"/>
      <c r="E796" s="55"/>
      <c r="F796" s="55"/>
      <c r="J796" s="55"/>
    </row>
    <row r="797">
      <c r="D797" s="55"/>
      <c r="E797" s="55"/>
      <c r="F797" s="55"/>
      <c r="J797" s="55"/>
    </row>
    <row r="798">
      <c r="D798" s="55"/>
      <c r="E798" s="55"/>
      <c r="F798" s="55"/>
      <c r="J798" s="55"/>
    </row>
    <row r="799">
      <c r="D799" s="55"/>
      <c r="E799" s="55"/>
      <c r="F799" s="55"/>
      <c r="J799" s="55"/>
    </row>
    <row r="800">
      <c r="D800" s="55"/>
      <c r="E800" s="55"/>
      <c r="F800" s="55"/>
      <c r="J800" s="55"/>
    </row>
    <row r="801">
      <c r="D801" s="55"/>
      <c r="E801" s="55"/>
      <c r="F801" s="55"/>
      <c r="J801" s="55"/>
    </row>
    <row r="802">
      <c r="D802" s="55"/>
      <c r="E802" s="55"/>
      <c r="F802" s="55"/>
      <c r="J802" s="55"/>
    </row>
    <row r="803">
      <c r="D803" s="55"/>
      <c r="E803" s="55"/>
      <c r="F803" s="55"/>
      <c r="J803" s="55"/>
    </row>
    <row r="804">
      <c r="D804" s="55"/>
      <c r="E804" s="55"/>
      <c r="F804" s="55"/>
      <c r="J804" s="55"/>
    </row>
    <row r="805">
      <c r="D805" s="55"/>
      <c r="E805" s="55"/>
      <c r="F805" s="55"/>
      <c r="J805" s="55"/>
    </row>
    <row r="806">
      <c r="D806" s="55"/>
      <c r="E806" s="55"/>
      <c r="F806" s="55"/>
      <c r="J806" s="55"/>
    </row>
    <row r="807">
      <c r="D807" s="55"/>
      <c r="E807" s="55"/>
      <c r="F807" s="55"/>
      <c r="J807" s="55"/>
    </row>
    <row r="808">
      <c r="D808" s="55"/>
      <c r="E808" s="55"/>
      <c r="F808" s="55"/>
      <c r="J808" s="55"/>
    </row>
    <row r="809">
      <c r="D809" s="55"/>
      <c r="E809" s="55"/>
      <c r="F809" s="55"/>
      <c r="J809" s="55"/>
    </row>
    <row r="810">
      <c r="D810" s="55"/>
      <c r="E810" s="55"/>
      <c r="F810" s="55"/>
      <c r="J810" s="55"/>
    </row>
    <row r="811">
      <c r="D811" s="55"/>
      <c r="E811" s="55"/>
      <c r="F811" s="55"/>
      <c r="J811" s="55"/>
    </row>
    <row r="812">
      <c r="D812" s="55"/>
      <c r="E812" s="55"/>
      <c r="F812" s="55"/>
      <c r="J812" s="55"/>
    </row>
    <row r="813">
      <c r="D813" s="55"/>
      <c r="E813" s="55"/>
      <c r="F813" s="55"/>
      <c r="J813" s="55"/>
    </row>
    <row r="814">
      <c r="D814" s="55"/>
      <c r="E814" s="55"/>
      <c r="F814" s="55"/>
      <c r="J814" s="55"/>
    </row>
    <row r="815">
      <c r="D815" s="55"/>
      <c r="E815" s="55"/>
      <c r="F815" s="55"/>
      <c r="J815" s="55"/>
    </row>
    <row r="816">
      <c r="D816" s="55"/>
      <c r="E816" s="55"/>
      <c r="F816" s="55"/>
      <c r="J816" s="55"/>
    </row>
    <row r="817">
      <c r="D817" s="55"/>
      <c r="E817" s="55"/>
      <c r="F817" s="55"/>
      <c r="J817" s="55"/>
    </row>
    <row r="818">
      <c r="D818" s="55"/>
      <c r="E818" s="55"/>
      <c r="F818" s="55"/>
      <c r="J818" s="55"/>
    </row>
    <row r="819">
      <c r="D819" s="55"/>
      <c r="E819" s="55"/>
      <c r="F819" s="55"/>
      <c r="J819" s="55"/>
    </row>
    <row r="820">
      <c r="D820" s="55"/>
      <c r="E820" s="55"/>
      <c r="F820" s="55"/>
      <c r="J820" s="55"/>
    </row>
    <row r="821">
      <c r="D821" s="55"/>
      <c r="E821" s="55"/>
      <c r="F821" s="55"/>
      <c r="J821" s="55"/>
    </row>
    <row r="822">
      <c r="D822" s="55"/>
      <c r="E822" s="55"/>
      <c r="F822" s="55"/>
      <c r="J822" s="55"/>
    </row>
    <row r="823">
      <c r="D823" s="55"/>
      <c r="E823" s="55"/>
      <c r="F823" s="55"/>
      <c r="J823" s="55"/>
    </row>
    <row r="824">
      <c r="D824" s="55"/>
      <c r="E824" s="55"/>
      <c r="F824" s="55"/>
      <c r="J824" s="55"/>
    </row>
    <row r="825">
      <c r="D825" s="55"/>
      <c r="E825" s="55"/>
      <c r="F825" s="55"/>
      <c r="J825" s="55"/>
    </row>
    <row r="826">
      <c r="D826" s="55"/>
      <c r="E826" s="55"/>
      <c r="F826" s="55"/>
      <c r="J826" s="55"/>
    </row>
    <row r="827">
      <c r="D827" s="55"/>
      <c r="E827" s="55"/>
      <c r="F827" s="55"/>
      <c r="J827" s="55"/>
    </row>
    <row r="828">
      <c r="D828" s="55"/>
      <c r="E828" s="55"/>
      <c r="F828" s="55"/>
      <c r="J828" s="55"/>
    </row>
    <row r="829">
      <c r="D829" s="55"/>
      <c r="E829" s="55"/>
      <c r="F829" s="55"/>
      <c r="J829" s="55"/>
    </row>
    <row r="830">
      <c r="D830" s="55"/>
      <c r="E830" s="55"/>
      <c r="F830" s="55"/>
      <c r="J830" s="55"/>
    </row>
    <row r="831">
      <c r="D831" s="55"/>
      <c r="E831" s="55"/>
      <c r="F831" s="55"/>
      <c r="J831" s="55"/>
    </row>
    <row r="832">
      <c r="D832" s="55"/>
      <c r="E832" s="55"/>
      <c r="F832" s="55"/>
      <c r="J832" s="55"/>
    </row>
    <row r="833">
      <c r="D833" s="55"/>
      <c r="E833" s="55"/>
      <c r="F833" s="55"/>
      <c r="J833" s="55"/>
    </row>
    <row r="834">
      <c r="D834" s="55"/>
      <c r="E834" s="55"/>
      <c r="F834" s="55"/>
      <c r="J834" s="55"/>
    </row>
    <row r="835">
      <c r="D835" s="55"/>
      <c r="E835" s="55"/>
      <c r="F835" s="55"/>
      <c r="J835" s="55"/>
    </row>
    <row r="836">
      <c r="D836" s="55"/>
      <c r="E836" s="55"/>
      <c r="F836" s="55"/>
      <c r="J836" s="55"/>
    </row>
    <row r="837">
      <c r="D837" s="55"/>
      <c r="E837" s="55"/>
      <c r="F837" s="55"/>
      <c r="J837" s="55"/>
    </row>
    <row r="838">
      <c r="D838" s="55"/>
      <c r="E838" s="55"/>
      <c r="F838" s="55"/>
      <c r="J838" s="55"/>
    </row>
    <row r="839">
      <c r="D839" s="55"/>
      <c r="E839" s="55"/>
      <c r="F839" s="55"/>
      <c r="J839" s="55"/>
    </row>
    <row r="840">
      <c r="D840" s="55"/>
      <c r="E840" s="55"/>
      <c r="F840" s="55"/>
      <c r="J840" s="55"/>
    </row>
    <row r="841">
      <c r="D841" s="55"/>
      <c r="E841" s="55"/>
      <c r="F841" s="55"/>
      <c r="J841" s="55"/>
    </row>
    <row r="842">
      <c r="D842" s="55"/>
      <c r="E842" s="55"/>
      <c r="F842" s="55"/>
      <c r="J842" s="55"/>
    </row>
    <row r="843">
      <c r="D843" s="55"/>
      <c r="E843" s="55"/>
      <c r="F843" s="55"/>
      <c r="J843" s="55"/>
    </row>
    <row r="844">
      <c r="D844" s="55"/>
      <c r="E844" s="55"/>
      <c r="F844" s="55"/>
      <c r="J844" s="55"/>
    </row>
    <row r="845">
      <c r="D845" s="55"/>
      <c r="E845" s="55"/>
      <c r="F845" s="55"/>
      <c r="J845" s="55"/>
    </row>
    <row r="846">
      <c r="D846" s="55"/>
      <c r="E846" s="55"/>
      <c r="F846" s="55"/>
      <c r="J846" s="55"/>
    </row>
    <row r="847">
      <c r="D847" s="55"/>
      <c r="E847" s="55"/>
      <c r="F847" s="55"/>
      <c r="J847" s="55"/>
    </row>
    <row r="848">
      <c r="D848" s="55"/>
      <c r="E848" s="55"/>
      <c r="F848" s="55"/>
      <c r="J848" s="55"/>
    </row>
    <row r="849">
      <c r="D849" s="55"/>
      <c r="E849" s="55"/>
      <c r="F849" s="55"/>
      <c r="J849" s="55"/>
    </row>
    <row r="850">
      <c r="D850" s="55"/>
      <c r="E850" s="55"/>
      <c r="F850" s="55"/>
      <c r="J850" s="55"/>
    </row>
    <row r="851">
      <c r="D851" s="55"/>
      <c r="E851" s="55"/>
      <c r="F851" s="55"/>
      <c r="J851" s="55"/>
    </row>
    <row r="852">
      <c r="D852" s="55"/>
      <c r="E852" s="55"/>
      <c r="F852" s="55"/>
      <c r="J852" s="55"/>
    </row>
    <row r="853">
      <c r="D853" s="55"/>
      <c r="E853" s="55"/>
      <c r="F853" s="55"/>
      <c r="J853" s="55"/>
    </row>
    <row r="854">
      <c r="D854" s="55"/>
      <c r="E854" s="55"/>
      <c r="F854" s="55"/>
      <c r="J854" s="55"/>
    </row>
    <row r="855">
      <c r="D855" s="55"/>
      <c r="E855" s="55"/>
      <c r="F855" s="55"/>
      <c r="J855" s="55"/>
    </row>
    <row r="856">
      <c r="D856" s="55"/>
      <c r="E856" s="55"/>
      <c r="F856" s="55"/>
      <c r="J856" s="55"/>
    </row>
    <row r="857">
      <c r="D857" s="55"/>
      <c r="E857" s="55"/>
      <c r="F857" s="55"/>
      <c r="J857" s="55"/>
    </row>
    <row r="858">
      <c r="D858" s="55"/>
      <c r="E858" s="55"/>
      <c r="F858" s="55"/>
      <c r="J858" s="55"/>
    </row>
    <row r="859">
      <c r="D859" s="55"/>
      <c r="E859" s="55"/>
      <c r="F859" s="55"/>
      <c r="J859" s="55"/>
    </row>
    <row r="860">
      <c r="D860" s="55"/>
      <c r="E860" s="55"/>
      <c r="F860" s="55"/>
      <c r="J860" s="55"/>
    </row>
    <row r="861">
      <c r="D861" s="55"/>
      <c r="E861" s="55"/>
      <c r="F861" s="55"/>
      <c r="J861" s="55"/>
    </row>
    <row r="862">
      <c r="D862" s="55"/>
      <c r="E862" s="55"/>
      <c r="F862" s="55"/>
      <c r="J862" s="55"/>
    </row>
    <row r="863">
      <c r="D863" s="55"/>
      <c r="E863" s="55"/>
      <c r="F863" s="55"/>
      <c r="J863" s="55"/>
    </row>
    <row r="864">
      <c r="D864" s="55"/>
      <c r="E864" s="55"/>
      <c r="F864" s="55"/>
      <c r="J864" s="55"/>
    </row>
    <row r="865">
      <c r="D865" s="55"/>
      <c r="E865" s="55"/>
      <c r="F865" s="55"/>
      <c r="J865" s="55"/>
    </row>
    <row r="866">
      <c r="D866" s="55"/>
      <c r="E866" s="55"/>
      <c r="F866" s="55"/>
      <c r="J866" s="55"/>
    </row>
    <row r="867">
      <c r="D867" s="55"/>
      <c r="E867" s="55"/>
      <c r="F867" s="55"/>
      <c r="J867" s="55"/>
    </row>
    <row r="868">
      <c r="D868" s="55"/>
      <c r="E868" s="55"/>
      <c r="F868" s="55"/>
      <c r="J868" s="55"/>
    </row>
    <row r="869">
      <c r="D869" s="55"/>
      <c r="E869" s="55"/>
      <c r="F869" s="55"/>
      <c r="J869" s="55"/>
    </row>
    <row r="870">
      <c r="D870" s="55"/>
      <c r="E870" s="55"/>
      <c r="F870" s="55"/>
      <c r="J870" s="55"/>
    </row>
    <row r="871">
      <c r="D871" s="55"/>
      <c r="E871" s="55"/>
      <c r="F871" s="55"/>
      <c r="J871" s="55"/>
    </row>
    <row r="872">
      <c r="D872" s="55"/>
      <c r="E872" s="55"/>
      <c r="F872" s="55"/>
      <c r="J872" s="55"/>
    </row>
    <row r="873">
      <c r="D873" s="55"/>
      <c r="E873" s="55"/>
      <c r="F873" s="55"/>
      <c r="J873" s="55"/>
    </row>
    <row r="874">
      <c r="D874" s="55"/>
      <c r="E874" s="55"/>
      <c r="F874" s="55"/>
      <c r="J874" s="55"/>
    </row>
    <row r="875">
      <c r="D875" s="55"/>
      <c r="E875" s="55"/>
      <c r="F875" s="55"/>
      <c r="J875" s="55"/>
    </row>
    <row r="876">
      <c r="D876" s="55"/>
      <c r="E876" s="55"/>
      <c r="F876" s="55"/>
      <c r="J876" s="55"/>
    </row>
    <row r="877">
      <c r="D877" s="55"/>
      <c r="E877" s="55"/>
      <c r="F877" s="55"/>
      <c r="J877" s="55"/>
    </row>
    <row r="878">
      <c r="D878" s="55"/>
      <c r="E878" s="55"/>
      <c r="F878" s="55"/>
      <c r="J878" s="55"/>
    </row>
    <row r="879">
      <c r="D879" s="55"/>
      <c r="E879" s="55"/>
      <c r="F879" s="55"/>
      <c r="J879" s="55"/>
    </row>
    <row r="880">
      <c r="D880" s="55"/>
      <c r="E880" s="55"/>
      <c r="F880" s="55"/>
      <c r="J880" s="55"/>
    </row>
    <row r="881">
      <c r="D881" s="55"/>
      <c r="E881" s="55"/>
      <c r="F881" s="55"/>
      <c r="J881" s="55"/>
    </row>
    <row r="882">
      <c r="D882" s="55"/>
      <c r="E882" s="55"/>
      <c r="F882" s="55"/>
      <c r="J882" s="55"/>
    </row>
    <row r="883">
      <c r="D883" s="55"/>
      <c r="E883" s="55"/>
      <c r="F883" s="55"/>
      <c r="J883" s="55"/>
    </row>
    <row r="884">
      <c r="D884" s="55"/>
      <c r="E884" s="55"/>
      <c r="F884" s="55"/>
      <c r="J884" s="55"/>
    </row>
    <row r="885">
      <c r="D885" s="55"/>
      <c r="E885" s="55"/>
      <c r="F885" s="55"/>
      <c r="J885" s="55"/>
    </row>
    <row r="886">
      <c r="D886" s="55"/>
      <c r="E886" s="55"/>
      <c r="F886" s="55"/>
      <c r="J886" s="55"/>
    </row>
    <row r="887">
      <c r="D887" s="55"/>
      <c r="E887" s="55"/>
      <c r="F887" s="55"/>
      <c r="J887" s="55"/>
    </row>
    <row r="888">
      <c r="D888" s="55"/>
      <c r="E888" s="55"/>
      <c r="F888" s="55"/>
      <c r="J888" s="55"/>
    </row>
    <row r="889">
      <c r="D889" s="55"/>
      <c r="E889" s="55"/>
      <c r="F889" s="55"/>
      <c r="J889" s="55"/>
    </row>
    <row r="890">
      <c r="D890" s="55"/>
      <c r="E890" s="55"/>
      <c r="F890" s="55"/>
      <c r="J890" s="55"/>
    </row>
    <row r="891">
      <c r="D891" s="55"/>
      <c r="E891" s="55"/>
      <c r="F891" s="55"/>
      <c r="J891" s="55"/>
    </row>
    <row r="892">
      <c r="D892" s="55"/>
      <c r="E892" s="55"/>
      <c r="F892" s="55"/>
      <c r="J892" s="55"/>
    </row>
    <row r="893">
      <c r="D893" s="55"/>
      <c r="E893" s="55"/>
      <c r="F893" s="55"/>
      <c r="J893" s="55"/>
    </row>
    <row r="894">
      <c r="D894" s="55"/>
      <c r="E894" s="55"/>
      <c r="F894" s="55"/>
      <c r="J894" s="55"/>
    </row>
    <row r="895">
      <c r="D895" s="55"/>
      <c r="E895" s="55"/>
      <c r="F895" s="55"/>
      <c r="J895" s="55"/>
    </row>
    <row r="896">
      <c r="D896" s="55"/>
      <c r="E896" s="55"/>
      <c r="F896" s="55"/>
      <c r="J896" s="55"/>
    </row>
    <row r="897">
      <c r="D897" s="55"/>
      <c r="E897" s="55"/>
      <c r="F897" s="55"/>
      <c r="J897" s="55"/>
    </row>
    <row r="898">
      <c r="D898" s="55"/>
      <c r="E898" s="55"/>
      <c r="F898" s="55"/>
      <c r="J898" s="55"/>
    </row>
    <row r="899">
      <c r="D899" s="55"/>
      <c r="E899" s="55"/>
      <c r="F899" s="55"/>
      <c r="J899" s="55"/>
    </row>
    <row r="900">
      <c r="D900" s="55"/>
      <c r="E900" s="55"/>
      <c r="F900" s="55"/>
      <c r="J900" s="55"/>
    </row>
    <row r="901">
      <c r="D901" s="55"/>
      <c r="E901" s="55"/>
      <c r="F901" s="55"/>
      <c r="J901" s="55"/>
    </row>
    <row r="902">
      <c r="D902" s="55"/>
      <c r="E902" s="55"/>
      <c r="F902" s="55"/>
      <c r="J902" s="55"/>
    </row>
    <row r="903">
      <c r="D903" s="55"/>
      <c r="E903" s="55"/>
      <c r="F903" s="55"/>
      <c r="J903" s="55"/>
    </row>
    <row r="904">
      <c r="D904" s="55"/>
      <c r="E904" s="55"/>
      <c r="F904" s="55"/>
      <c r="J904" s="55"/>
    </row>
    <row r="905">
      <c r="D905" s="55"/>
      <c r="E905" s="55"/>
      <c r="F905" s="55"/>
      <c r="J905" s="55"/>
    </row>
    <row r="906">
      <c r="D906" s="55"/>
      <c r="E906" s="55"/>
      <c r="F906" s="55"/>
      <c r="J906" s="55"/>
    </row>
    <row r="907">
      <c r="D907" s="55"/>
      <c r="E907" s="55"/>
      <c r="F907" s="55"/>
      <c r="J907" s="55"/>
    </row>
    <row r="908">
      <c r="D908" s="55"/>
      <c r="E908" s="55"/>
      <c r="F908" s="55"/>
      <c r="J908" s="55"/>
    </row>
    <row r="909">
      <c r="D909" s="55"/>
      <c r="E909" s="55"/>
      <c r="F909" s="55"/>
      <c r="J909" s="55"/>
    </row>
    <row r="910">
      <c r="D910" s="55"/>
      <c r="E910" s="55"/>
      <c r="F910" s="55"/>
      <c r="J910" s="55"/>
    </row>
    <row r="911">
      <c r="D911" s="55"/>
      <c r="E911" s="55"/>
      <c r="F911" s="55"/>
      <c r="J911" s="55"/>
    </row>
    <row r="912">
      <c r="D912" s="55"/>
      <c r="E912" s="55"/>
      <c r="F912" s="55"/>
      <c r="J912" s="55"/>
    </row>
    <row r="913">
      <c r="D913" s="55"/>
      <c r="E913" s="55"/>
      <c r="F913" s="55"/>
      <c r="J913" s="55"/>
    </row>
    <row r="914">
      <c r="D914" s="55"/>
      <c r="E914" s="55"/>
      <c r="F914" s="55"/>
      <c r="J914" s="55"/>
    </row>
    <row r="915">
      <c r="D915" s="55"/>
      <c r="E915" s="55"/>
      <c r="F915" s="55"/>
      <c r="J915" s="55"/>
    </row>
    <row r="916">
      <c r="D916" s="55"/>
      <c r="E916" s="55"/>
      <c r="F916" s="55"/>
      <c r="J916" s="55"/>
    </row>
    <row r="917">
      <c r="D917" s="55"/>
      <c r="E917" s="55"/>
      <c r="F917" s="55"/>
      <c r="J917" s="55"/>
    </row>
    <row r="918">
      <c r="D918" s="55"/>
      <c r="E918" s="55"/>
      <c r="F918" s="55"/>
      <c r="J918" s="55"/>
    </row>
    <row r="919">
      <c r="D919" s="55"/>
      <c r="E919" s="55"/>
      <c r="F919" s="55"/>
      <c r="J919" s="55"/>
    </row>
    <row r="920">
      <c r="D920" s="55"/>
      <c r="E920" s="55"/>
      <c r="F920" s="55"/>
      <c r="J920" s="55"/>
    </row>
    <row r="921">
      <c r="D921" s="55"/>
      <c r="E921" s="55"/>
      <c r="F921" s="55"/>
      <c r="J921" s="55"/>
    </row>
    <row r="922">
      <c r="D922" s="55"/>
      <c r="E922" s="55"/>
      <c r="F922" s="55"/>
      <c r="J922" s="55"/>
    </row>
    <row r="923">
      <c r="D923" s="55"/>
      <c r="E923" s="55"/>
      <c r="F923" s="55"/>
      <c r="J923" s="55"/>
    </row>
    <row r="924">
      <c r="D924" s="55"/>
      <c r="E924" s="55"/>
      <c r="F924" s="55"/>
      <c r="J924" s="55"/>
    </row>
    <row r="925">
      <c r="D925" s="55"/>
      <c r="E925" s="55"/>
      <c r="F925" s="55"/>
      <c r="J925" s="55"/>
    </row>
    <row r="926">
      <c r="D926" s="55"/>
      <c r="E926" s="55"/>
      <c r="F926" s="55"/>
      <c r="J926" s="55"/>
    </row>
    <row r="927">
      <c r="D927" s="55"/>
      <c r="E927" s="55"/>
      <c r="F927" s="55"/>
      <c r="J927" s="55"/>
    </row>
    <row r="928">
      <c r="D928" s="55"/>
      <c r="E928" s="55"/>
      <c r="F928" s="55"/>
      <c r="J928" s="55"/>
    </row>
    <row r="929">
      <c r="D929" s="55"/>
      <c r="E929" s="55"/>
      <c r="F929" s="55"/>
      <c r="J929" s="55"/>
    </row>
    <row r="930">
      <c r="D930" s="55"/>
      <c r="E930" s="55"/>
      <c r="F930" s="55"/>
      <c r="J930" s="55"/>
    </row>
    <row r="931">
      <c r="D931" s="55"/>
      <c r="E931" s="55"/>
      <c r="F931" s="55"/>
      <c r="J931" s="55"/>
    </row>
    <row r="932">
      <c r="D932" s="55"/>
      <c r="E932" s="55"/>
      <c r="F932" s="55"/>
      <c r="J932" s="55"/>
    </row>
    <row r="933">
      <c r="D933" s="55"/>
      <c r="E933" s="55"/>
      <c r="F933" s="55"/>
      <c r="J933" s="55"/>
    </row>
    <row r="934">
      <c r="D934" s="55"/>
      <c r="E934" s="55"/>
      <c r="F934" s="55"/>
      <c r="J934" s="55"/>
    </row>
    <row r="935">
      <c r="D935" s="55"/>
      <c r="E935" s="55"/>
      <c r="F935" s="55"/>
      <c r="J935" s="55"/>
    </row>
    <row r="936">
      <c r="D936" s="55"/>
      <c r="E936" s="55"/>
      <c r="F936" s="55"/>
      <c r="J936" s="55"/>
    </row>
    <row r="937">
      <c r="D937" s="55"/>
      <c r="E937" s="55"/>
      <c r="F937" s="55"/>
      <c r="J937" s="55"/>
    </row>
    <row r="938">
      <c r="D938" s="55"/>
      <c r="E938" s="55"/>
      <c r="F938" s="55"/>
      <c r="J938" s="55"/>
    </row>
    <row r="939">
      <c r="D939" s="55"/>
      <c r="E939" s="55"/>
      <c r="F939" s="55"/>
      <c r="J939" s="55"/>
    </row>
    <row r="940">
      <c r="D940" s="55"/>
      <c r="E940" s="55"/>
      <c r="F940" s="55"/>
      <c r="J940" s="55"/>
    </row>
    <row r="941">
      <c r="D941" s="55"/>
      <c r="E941" s="55"/>
      <c r="F941" s="55"/>
      <c r="J941" s="55"/>
    </row>
    <row r="942">
      <c r="D942" s="55"/>
      <c r="E942" s="55"/>
      <c r="F942" s="55"/>
      <c r="J942" s="55"/>
    </row>
    <row r="943">
      <c r="D943" s="55"/>
      <c r="E943" s="55"/>
      <c r="F943" s="55"/>
      <c r="J943" s="55"/>
    </row>
    <row r="944">
      <c r="D944" s="55"/>
      <c r="E944" s="55"/>
      <c r="F944" s="55"/>
      <c r="J944" s="55"/>
    </row>
    <row r="945">
      <c r="D945" s="55"/>
      <c r="E945" s="55"/>
      <c r="F945" s="55"/>
      <c r="J945" s="55"/>
    </row>
    <row r="946">
      <c r="D946" s="55"/>
      <c r="E946" s="55"/>
      <c r="F946" s="55"/>
      <c r="J946" s="55"/>
    </row>
    <row r="947">
      <c r="D947" s="55"/>
      <c r="E947" s="55"/>
      <c r="F947" s="55"/>
      <c r="J947" s="55"/>
    </row>
    <row r="948">
      <c r="D948" s="55"/>
      <c r="E948" s="55"/>
      <c r="F948" s="55"/>
      <c r="J948" s="55"/>
    </row>
    <row r="949">
      <c r="D949" s="55"/>
      <c r="E949" s="55"/>
      <c r="F949" s="55"/>
      <c r="J949" s="55"/>
    </row>
    <row r="950">
      <c r="D950" s="55"/>
      <c r="E950" s="55"/>
      <c r="F950" s="55"/>
      <c r="J950" s="55"/>
    </row>
    <row r="951">
      <c r="D951" s="55"/>
      <c r="E951" s="55"/>
      <c r="F951" s="55"/>
      <c r="J951" s="55"/>
    </row>
    <row r="952">
      <c r="D952" s="55"/>
      <c r="E952" s="55"/>
      <c r="F952" s="55"/>
      <c r="J952" s="55"/>
    </row>
    <row r="953">
      <c r="D953" s="55"/>
      <c r="E953" s="55"/>
      <c r="F953" s="55"/>
      <c r="J953" s="55"/>
    </row>
    <row r="954">
      <c r="D954" s="55"/>
      <c r="E954" s="55"/>
      <c r="F954" s="55"/>
      <c r="J954" s="55"/>
    </row>
    <row r="955">
      <c r="D955" s="55"/>
      <c r="E955" s="55"/>
      <c r="F955" s="55"/>
      <c r="J955" s="55"/>
    </row>
    <row r="956">
      <c r="D956" s="55"/>
      <c r="E956" s="55"/>
      <c r="F956" s="55"/>
      <c r="J956" s="55"/>
    </row>
    <row r="957">
      <c r="D957" s="55"/>
      <c r="E957" s="55"/>
      <c r="F957" s="55"/>
      <c r="J957" s="55"/>
    </row>
    <row r="958">
      <c r="D958" s="55"/>
      <c r="E958" s="55"/>
      <c r="F958" s="55"/>
      <c r="J958" s="55"/>
    </row>
    <row r="959">
      <c r="D959" s="55"/>
      <c r="E959" s="55"/>
      <c r="F959" s="55"/>
      <c r="J959" s="55"/>
    </row>
    <row r="960">
      <c r="D960" s="55"/>
      <c r="E960" s="55"/>
      <c r="F960" s="55"/>
      <c r="J960" s="55"/>
    </row>
    <row r="961">
      <c r="D961" s="55"/>
      <c r="E961" s="55"/>
      <c r="F961" s="55"/>
      <c r="J961" s="55"/>
    </row>
    <row r="962">
      <c r="D962" s="55"/>
      <c r="E962" s="55"/>
      <c r="F962" s="55"/>
      <c r="J962" s="55"/>
    </row>
    <row r="963">
      <c r="D963" s="55"/>
      <c r="E963" s="55"/>
      <c r="F963" s="55"/>
      <c r="J963" s="55"/>
    </row>
    <row r="964">
      <c r="D964" s="55"/>
      <c r="E964" s="55"/>
      <c r="F964" s="55"/>
      <c r="J964" s="55"/>
    </row>
    <row r="965">
      <c r="D965" s="55"/>
      <c r="E965" s="55"/>
      <c r="F965" s="55"/>
      <c r="J965" s="55"/>
    </row>
    <row r="966">
      <c r="D966" s="55"/>
      <c r="E966" s="55"/>
      <c r="F966" s="55"/>
      <c r="J966" s="55"/>
    </row>
    <row r="967">
      <c r="D967" s="55"/>
      <c r="E967" s="55"/>
      <c r="F967" s="55"/>
      <c r="J967" s="55"/>
    </row>
    <row r="968">
      <c r="D968" s="55"/>
      <c r="E968" s="55"/>
      <c r="F968" s="55"/>
      <c r="J968" s="55"/>
    </row>
    <row r="969">
      <c r="D969" s="55"/>
      <c r="E969" s="55"/>
      <c r="F969" s="55"/>
      <c r="J969" s="55"/>
    </row>
    <row r="970">
      <c r="D970" s="55"/>
      <c r="E970" s="55"/>
      <c r="F970" s="55"/>
      <c r="J970" s="55"/>
    </row>
    <row r="971">
      <c r="D971" s="55"/>
      <c r="E971" s="55"/>
      <c r="F971" s="55"/>
      <c r="J971" s="55"/>
    </row>
    <row r="972">
      <c r="D972" s="55"/>
      <c r="E972" s="55"/>
      <c r="F972" s="55"/>
      <c r="J972" s="55"/>
    </row>
    <row r="973">
      <c r="D973" s="55"/>
      <c r="E973" s="55"/>
      <c r="F973" s="55"/>
      <c r="J973" s="55"/>
    </row>
    <row r="974">
      <c r="D974" s="55"/>
      <c r="E974" s="55"/>
      <c r="F974" s="55"/>
      <c r="J974" s="55"/>
    </row>
    <row r="975">
      <c r="D975" s="55"/>
      <c r="E975" s="55"/>
      <c r="F975" s="55"/>
      <c r="J975" s="55"/>
    </row>
    <row r="976">
      <c r="D976" s="55"/>
      <c r="E976" s="55"/>
      <c r="F976" s="55"/>
      <c r="J976" s="55"/>
    </row>
    <row r="977">
      <c r="D977" s="55"/>
      <c r="E977" s="55"/>
      <c r="F977" s="55"/>
      <c r="J977" s="55"/>
    </row>
    <row r="978">
      <c r="D978" s="55"/>
      <c r="E978" s="55"/>
      <c r="F978" s="55"/>
      <c r="J978" s="55"/>
    </row>
    <row r="979">
      <c r="D979" s="55"/>
      <c r="E979" s="55"/>
      <c r="F979" s="55"/>
      <c r="J979" s="55"/>
    </row>
    <row r="980">
      <c r="D980" s="55"/>
      <c r="E980" s="55"/>
      <c r="F980" s="55"/>
      <c r="J980" s="55"/>
    </row>
    <row r="981">
      <c r="D981" s="55"/>
      <c r="E981" s="55"/>
      <c r="F981" s="55"/>
      <c r="J981" s="55"/>
    </row>
    <row r="982">
      <c r="D982" s="55"/>
      <c r="E982" s="55"/>
      <c r="F982" s="55"/>
      <c r="J982" s="55"/>
    </row>
    <row r="983">
      <c r="D983" s="55"/>
      <c r="E983" s="55"/>
      <c r="F983" s="55"/>
      <c r="J983" s="55"/>
    </row>
    <row r="984">
      <c r="D984" s="55"/>
      <c r="E984" s="55"/>
      <c r="F984" s="55"/>
      <c r="J984" s="55"/>
    </row>
    <row r="985">
      <c r="D985" s="55"/>
      <c r="E985" s="55"/>
      <c r="F985" s="55"/>
      <c r="J985" s="55"/>
    </row>
    <row r="986">
      <c r="D986" s="55"/>
      <c r="E986" s="55"/>
      <c r="F986" s="55"/>
      <c r="J986" s="55"/>
    </row>
    <row r="987">
      <c r="D987" s="55"/>
      <c r="E987" s="55"/>
      <c r="F987" s="55"/>
      <c r="J987" s="55"/>
    </row>
    <row r="988">
      <c r="D988" s="55"/>
      <c r="E988" s="55"/>
      <c r="F988" s="55"/>
      <c r="J988" s="55"/>
    </row>
    <row r="989">
      <c r="D989" s="55"/>
      <c r="E989" s="55"/>
      <c r="F989" s="55"/>
      <c r="J989" s="55"/>
    </row>
    <row r="990">
      <c r="D990" s="55"/>
      <c r="E990" s="55"/>
      <c r="F990" s="55"/>
      <c r="J990" s="55"/>
    </row>
    <row r="991">
      <c r="D991" s="55"/>
      <c r="E991" s="55"/>
      <c r="F991" s="55"/>
      <c r="J991" s="55"/>
    </row>
    <row r="992">
      <c r="D992" s="55"/>
      <c r="E992" s="55"/>
      <c r="F992" s="55"/>
      <c r="J992" s="55"/>
    </row>
    <row r="993">
      <c r="D993" s="55"/>
      <c r="E993" s="55"/>
      <c r="F993" s="55"/>
      <c r="J993" s="55"/>
    </row>
    <row r="994">
      <c r="D994" s="55"/>
      <c r="E994" s="55"/>
      <c r="F994" s="55"/>
      <c r="J994" s="55"/>
    </row>
    <row r="995">
      <c r="D995" s="55"/>
      <c r="E995" s="55"/>
      <c r="F995" s="55"/>
      <c r="J995" s="55"/>
    </row>
    <row r="996">
      <c r="D996" s="55"/>
      <c r="E996" s="55"/>
      <c r="F996" s="55"/>
      <c r="J996" s="55"/>
    </row>
    <row r="997">
      <c r="D997" s="55"/>
      <c r="E997" s="55"/>
      <c r="F997" s="55"/>
      <c r="J997" s="55"/>
    </row>
    <row r="998">
      <c r="D998" s="55"/>
      <c r="E998" s="55"/>
      <c r="F998" s="55"/>
      <c r="J998" s="55"/>
    </row>
    <row r="999">
      <c r="D999" s="55"/>
      <c r="E999" s="55"/>
      <c r="F999" s="55"/>
      <c r="J999" s="55"/>
    </row>
    <row r="1000">
      <c r="D1000" s="55"/>
      <c r="E1000" s="55"/>
      <c r="F1000" s="55"/>
      <c r="J1000" s="55"/>
    </row>
  </sheetData>
  <mergeCells count="2">
    <mergeCell ref="A1:G1"/>
    <mergeCell ref="H1:K1"/>
  </mergeCells>
  <conditionalFormatting sqref="A1:A1000">
    <cfRule type="containsText" dxfId="0" priority="1" operator="containsText" text="Unassigned">
      <formula>NOT(ISERROR(SEARCH(("Unassigned"),(A1))))</formula>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0"/>
    <col customWidth="1" min="2" max="2" width="25.29"/>
    <col customWidth="1" min="3" max="3" width="31.14"/>
    <col customWidth="1" min="4" max="4" width="15.14"/>
    <col customWidth="1" min="5" max="5" width="16.57"/>
    <col customWidth="1" min="6" max="6" width="21.71"/>
    <col customWidth="1" min="7" max="7" width="22.86"/>
    <col customWidth="1" min="8" max="8" width="21.14"/>
    <col customWidth="1" min="9" max="9" width="25.57"/>
    <col customWidth="1" min="10" max="10" width="23.43"/>
    <col customWidth="1" min="11" max="11" width="29.29"/>
    <col customWidth="1" min="12" max="12" width="23.29"/>
    <col customWidth="1" min="13" max="13" width="24.43"/>
    <col customWidth="1" min="14" max="14" width="32.14"/>
  </cols>
  <sheetData>
    <row r="1">
      <c r="A1" s="136" t="s">
        <v>58</v>
      </c>
      <c r="B1" s="136" t="s">
        <v>81</v>
      </c>
      <c r="C1" s="136" t="s">
        <v>363</v>
      </c>
      <c r="D1" s="137" t="s">
        <v>364</v>
      </c>
      <c r="E1" s="137" t="s">
        <v>365</v>
      </c>
      <c r="F1" s="138" t="s">
        <v>333</v>
      </c>
      <c r="G1" s="138" t="s">
        <v>76</v>
      </c>
      <c r="H1" s="139" t="s">
        <v>366</v>
      </c>
      <c r="I1" s="139" t="s">
        <v>367</v>
      </c>
      <c r="J1" s="139" t="s">
        <v>368</v>
      </c>
      <c r="K1" s="139" t="s">
        <v>369</v>
      </c>
      <c r="L1" s="139" t="s">
        <v>370</v>
      </c>
      <c r="M1" s="139" t="s">
        <v>102</v>
      </c>
      <c r="N1" s="140"/>
      <c r="O1" s="140"/>
      <c r="P1" s="140"/>
      <c r="Q1" s="140"/>
      <c r="R1" s="140"/>
      <c r="S1" s="140"/>
      <c r="T1" s="140"/>
      <c r="U1" s="140"/>
      <c r="V1" s="140"/>
      <c r="W1" s="140"/>
      <c r="X1" s="140"/>
      <c r="Y1" s="140"/>
      <c r="Z1" s="140"/>
      <c r="AA1" s="140"/>
      <c r="AB1" s="140"/>
      <c r="AC1" s="140"/>
      <c r="AD1" s="140"/>
    </row>
    <row r="2">
      <c r="A2" s="141">
        <f>IFERROR(__xludf.DUMMYFUNCTION("FILTER(Assignments!A3:A1311, Assignments!E3:E1311=""Yes"")"),43446.65079341435)</f>
        <v>43446.65079</v>
      </c>
      <c r="B2" s="142" t="str">
        <f>IFERROR(__xludf.DUMMYFUNCTION("FILTER(Assignments!L3:L1311, Assignments!E3:E1311=""Yes"")"),"Xiaodong Wang")</f>
        <v>Xiaodong Wang</v>
      </c>
      <c r="C2" s="142" t="str">
        <f>IFERROR(__xludf.DUMMYFUNCTION("FILTER(Assignments!M3:M1311, Assignments!E3:E1311=""Yes"")"),"xdwang@ciphergene.com")</f>
        <v>xdwang@ciphergene.com</v>
      </c>
      <c r="D2" s="142" t="str">
        <f>IFERROR(__xludf.DUMMYFUNCTION("FILTER(Assignments!B3:B1311,Assignments!E3:E1311=""Yes"")"),"Contacted")</f>
        <v>Contacted</v>
      </c>
      <c r="E2" s="143">
        <f>IFERROR(__xludf.DUMMYFUNCTION("filter(Assignments!D3:D1311,Assignments!E3:E1311=""Yes"")"),43570.0)</f>
        <v>43570</v>
      </c>
      <c r="F2" s="144" t="str">
        <f>IFERROR(__xludf.DUMMYFUNCTION("filter(Assignments!F3:F1311, Assignments!E3:E1311=""Yes"")"),"Yes")</f>
        <v>Yes</v>
      </c>
      <c r="G2" s="68" t="str">
        <f>IFERROR(__xludf.DUMMYFUNCTION("filter(Assignments!G3:G1311,Assignments!E3:E1311=""Yes"")"),"Gene Disease Validity")</f>
        <v>Gene Disease Validity</v>
      </c>
      <c r="H2" s="68" t="str">
        <f>IFERROR(__xludf.DUMMYFUNCTION("filter(Assignments!H3:H1311,Assignments!E3:E1311=""Yes"")"),"Epilepsy")</f>
        <v>Epilepsy</v>
      </c>
      <c r="I2" s="145">
        <f t="shared" ref="I2:I123" si="1">EDATE(E2,3)</f>
        <v>43661</v>
      </c>
      <c r="J2" s="146">
        <f>IFERROR(__xludf.DUMMYFUNCTION("filter(Assignments!J3:J1311,Assignments!E3:E1311=""Yes"")"),43712.0)</f>
        <v>43712</v>
      </c>
      <c r="K2" s="147">
        <f t="shared" ref="K2:K123" si="2">EDATE(E2,6)</f>
        <v>43753</v>
      </c>
      <c r="L2" s="94" t="str">
        <f>IFERROR(__xludf.DUMMYFUNCTION("filter(Assignments!K3:K1311,Assignments!E3:E1311=""Yes"")"),"")</f>
        <v/>
      </c>
      <c r="M2" s="55"/>
      <c r="N2" s="55"/>
      <c r="O2" s="55"/>
      <c r="P2" s="55"/>
      <c r="Q2" s="55"/>
      <c r="R2" s="55"/>
      <c r="S2" s="55"/>
      <c r="T2" s="55"/>
      <c r="U2" s="55"/>
      <c r="V2" s="55"/>
      <c r="W2" s="55"/>
      <c r="X2" s="55"/>
      <c r="Y2" s="55"/>
      <c r="Z2" s="55"/>
      <c r="AA2" s="55"/>
      <c r="AB2" s="55"/>
      <c r="AC2" s="55"/>
      <c r="AD2" s="55"/>
    </row>
    <row r="3">
      <c r="A3" s="148">
        <f>IFERROR(__xludf.DUMMYFUNCTION("""COMPUTED_VALUE"""),43447.421107152775)</f>
        <v>43447.42111</v>
      </c>
      <c r="B3" s="149" t="str">
        <f>IFERROR(__xludf.DUMMYFUNCTION("""COMPUTED_VALUE"""),"Jennifer Howe")</f>
        <v>Jennifer Howe</v>
      </c>
      <c r="C3" s="149" t="str">
        <f>IFERROR(__xludf.DUMMYFUNCTION("""COMPUTED_VALUE"""),"jhowe@sickkids.ca")</f>
        <v>jhowe@sickkids.ca</v>
      </c>
      <c r="D3" s="55" t="str">
        <f>IFERROR(__xludf.DUMMYFUNCTION("""COMPUTED_VALUE"""),"Declined")</f>
        <v>Declined</v>
      </c>
      <c r="E3" s="94">
        <f>IFERROR(__xludf.DUMMYFUNCTION("""COMPUTED_VALUE"""),43446.0)</f>
        <v>43446</v>
      </c>
      <c r="F3" s="55" t="str">
        <f>IFERROR(__xludf.DUMMYFUNCTION("""COMPUTED_VALUE"""),"Yes")</f>
        <v>Yes</v>
      </c>
      <c r="G3" s="55" t="str">
        <f>IFERROR(__xludf.DUMMYFUNCTION("""COMPUTED_VALUE"""),"Gene Disease Validity")</f>
        <v>Gene Disease Validity</v>
      </c>
      <c r="H3" s="55" t="str">
        <f>IFERROR(__xludf.DUMMYFUNCTION("""COMPUTED_VALUE"""),"ID Autism")</f>
        <v>ID Autism</v>
      </c>
      <c r="I3" s="150">
        <f t="shared" si="1"/>
        <v>43536</v>
      </c>
      <c r="J3" s="94">
        <f>IFERROR(__xludf.DUMMYFUNCTION("""COMPUTED_VALUE"""),43592.0)</f>
        <v>43592</v>
      </c>
      <c r="K3" s="147">
        <f t="shared" si="2"/>
        <v>43628</v>
      </c>
      <c r="L3" s="94">
        <f>IFERROR(__xludf.DUMMYFUNCTION("""COMPUTED_VALUE"""),43713.0)</f>
        <v>43713</v>
      </c>
      <c r="M3" s="55"/>
      <c r="N3" s="55"/>
      <c r="O3" s="55"/>
      <c r="P3" s="55"/>
      <c r="Q3" s="55"/>
      <c r="R3" s="55"/>
      <c r="S3" s="55"/>
      <c r="T3" s="55"/>
      <c r="U3" s="55"/>
      <c r="V3" s="55"/>
      <c r="W3" s="55"/>
      <c r="X3" s="55"/>
      <c r="Y3" s="55"/>
      <c r="Z3" s="55"/>
      <c r="AA3" s="55"/>
      <c r="AB3" s="55"/>
      <c r="AC3" s="55"/>
      <c r="AD3" s="55"/>
    </row>
    <row r="4">
      <c r="A4" s="148">
        <f>IFERROR(__xludf.DUMMYFUNCTION("""COMPUTED_VALUE"""),43378.48075231482)</f>
        <v>43378.48075</v>
      </c>
      <c r="B4" s="149" t="str">
        <f>IFERROR(__xludf.DUMMYFUNCTION("""COMPUTED_VALUE"""),"Kalpana Panneerselvam")</f>
        <v>Kalpana Panneerselvam</v>
      </c>
      <c r="C4" s="149" t="str">
        <f>IFERROR(__xludf.DUMMYFUNCTION("""COMPUTED_VALUE"""),"kalpanarpanneerselvam@gmail.com")</f>
        <v>kalpanarpanneerselvam@gmail.com</v>
      </c>
      <c r="D4" s="55" t="str">
        <f>IFERROR(__xludf.DUMMYFUNCTION("""COMPUTED_VALUE"""),"Declined")</f>
        <v>Declined</v>
      </c>
      <c r="E4" s="94">
        <f>IFERROR(__xludf.DUMMYFUNCTION("""COMPUTED_VALUE"""),43446.0)</f>
        <v>43446</v>
      </c>
      <c r="F4" s="104" t="str">
        <f>IFERROR(__xludf.DUMMYFUNCTION("""COMPUTED_VALUE"""),"Yes")</f>
        <v>Yes</v>
      </c>
      <c r="G4" s="55" t="str">
        <f>IFERROR(__xludf.DUMMYFUNCTION("""COMPUTED_VALUE"""),"Gene Disease Validity")</f>
        <v>Gene Disease Validity</v>
      </c>
      <c r="H4" s="55" t="str">
        <f>IFERROR(__xludf.DUMMYFUNCTION("""COMPUTED_VALUE"""),"Hereditary Cancer")</f>
        <v>Hereditary Cancer</v>
      </c>
      <c r="I4" s="150">
        <f t="shared" si="1"/>
        <v>43536</v>
      </c>
      <c r="J4" s="94">
        <f>IFERROR(__xludf.DUMMYFUNCTION("""COMPUTED_VALUE"""),43592.0)</f>
        <v>43592</v>
      </c>
      <c r="K4" s="147">
        <f t="shared" si="2"/>
        <v>43628</v>
      </c>
      <c r="L4" s="94">
        <f>IFERROR(__xludf.DUMMYFUNCTION("""COMPUTED_VALUE"""),43713.0)</f>
        <v>43713</v>
      </c>
      <c r="M4" s="55"/>
      <c r="N4" s="55"/>
      <c r="O4" s="55"/>
      <c r="P4" s="55"/>
      <c r="Q4" s="55"/>
      <c r="R4" s="55"/>
      <c r="S4" s="55"/>
      <c r="T4" s="55"/>
      <c r="U4" s="55"/>
      <c r="V4" s="55"/>
      <c r="W4" s="55"/>
      <c r="X4" s="55"/>
      <c r="Y4" s="55"/>
      <c r="Z4" s="55"/>
      <c r="AA4" s="55"/>
      <c r="AB4" s="55"/>
      <c r="AC4" s="55"/>
      <c r="AD4" s="55"/>
    </row>
    <row r="5">
      <c r="A5" s="148">
        <f>IFERROR(__xludf.DUMMYFUNCTION("""COMPUTED_VALUE"""),43447.71939452546)</f>
        <v>43447.71939</v>
      </c>
      <c r="B5" s="149" t="str">
        <f>IFERROR(__xludf.DUMMYFUNCTION("""COMPUTED_VALUE"""),"Justin Schleede Phd")</f>
        <v>Justin Schleede Phd</v>
      </c>
      <c r="C5" s="149" t="str">
        <f>IFERROR(__xludf.DUMMYFUNCTION("""COMPUTED_VALUE"""),"schleej@labcorp.com")</f>
        <v>schleej@labcorp.com</v>
      </c>
      <c r="D5" s="55" t="str">
        <f>IFERROR(__xludf.DUMMYFUNCTION("""COMPUTED_VALUE"""),"Assigned")</f>
        <v>Assigned</v>
      </c>
      <c r="E5" s="93">
        <f>IFERROR(__xludf.DUMMYFUNCTION("""COMPUTED_VALUE"""),43580.0)</f>
        <v>43580</v>
      </c>
      <c r="F5" s="93" t="str">
        <f>IFERROR(__xludf.DUMMYFUNCTION("""COMPUTED_VALUE"""),"Yes")</f>
        <v>Yes</v>
      </c>
      <c r="G5" s="55" t="str">
        <f>IFERROR(__xludf.DUMMYFUNCTION("""COMPUTED_VALUE"""),"Dosage Sensitivity")</f>
        <v>Dosage Sensitivity</v>
      </c>
      <c r="H5" s="55" t="str">
        <f>IFERROR(__xludf.DUMMYFUNCTION("""COMPUTED_VALUE"""),"Recurrent CNVs")</f>
        <v>Recurrent CNVs</v>
      </c>
      <c r="I5" s="150">
        <f t="shared" si="1"/>
        <v>43671</v>
      </c>
      <c r="J5" s="94">
        <f>IFERROR(__xludf.DUMMYFUNCTION("""COMPUTED_VALUE"""),43712.0)</f>
        <v>43712</v>
      </c>
      <c r="K5" s="147">
        <f t="shared" si="2"/>
        <v>43763</v>
      </c>
      <c r="L5" s="94" t="str">
        <f>IFERROR(__xludf.DUMMYFUNCTION("""COMPUTED_VALUE"""),"")</f>
        <v/>
      </c>
      <c r="M5" s="55"/>
      <c r="N5" s="55"/>
      <c r="O5" s="55"/>
      <c r="P5" s="55"/>
      <c r="Q5" s="55"/>
      <c r="R5" s="55"/>
      <c r="S5" s="55"/>
      <c r="T5" s="55"/>
      <c r="U5" s="55"/>
      <c r="V5" s="55"/>
      <c r="W5" s="55"/>
      <c r="X5" s="55"/>
      <c r="Y5" s="55"/>
      <c r="Z5" s="55"/>
      <c r="AA5" s="55"/>
      <c r="AB5" s="55"/>
      <c r="AC5" s="55"/>
      <c r="AD5" s="55"/>
    </row>
    <row r="6">
      <c r="A6" s="148">
        <f>IFERROR(__xludf.DUMMYFUNCTION("""COMPUTED_VALUE"""),43452.62491731482)</f>
        <v>43452.62492</v>
      </c>
      <c r="B6" s="149" t="str">
        <f>IFERROR(__xludf.DUMMYFUNCTION("""COMPUTED_VALUE"""),"Juan Carlos Diaz ")</f>
        <v>Juan Carlos Diaz </v>
      </c>
      <c r="C6" s="149" t="str">
        <f>IFERROR(__xludf.DUMMYFUNCTION("""COMPUTED_VALUE"""),"cuallijuan@hotmail.com ")</f>
        <v>cuallijuan@hotmail.com </v>
      </c>
      <c r="D6" s="55" t="str">
        <f>IFERROR(__xludf.DUMMYFUNCTION("""COMPUTED_VALUE"""),"Contacted")</f>
        <v>Contacted</v>
      </c>
      <c r="E6" s="93">
        <f>IFERROR(__xludf.DUMMYFUNCTION("""COMPUTED_VALUE"""),43678.0)</f>
        <v>43678</v>
      </c>
      <c r="F6" s="94" t="str">
        <f>IFERROR(__xludf.DUMMYFUNCTION("""COMPUTED_VALUE"""),"No")</f>
        <v>No</v>
      </c>
      <c r="G6" s="55" t="str">
        <f>IFERROR(__xludf.DUMMYFUNCTION("""COMPUTED_VALUE"""),"Actionability")</f>
        <v>Actionability</v>
      </c>
      <c r="H6" s="55" t="str">
        <f>IFERROR(__xludf.DUMMYFUNCTION("""COMPUTED_VALUE"""),"")</f>
        <v/>
      </c>
      <c r="I6" s="150">
        <f t="shared" si="1"/>
        <v>43770</v>
      </c>
      <c r="J6" s="55" t="str">
        <f>IFERROR(__xludf.DUMMYFUNCTION("""COMPUTED_VALUE"""),"")</f>
        <v/>
      </c>
      <c r="K6" s="147">
        <f t="shared" si="2"/>
        <v>43862</v>
      </c>
      <c r="L6" s="55" t="str">
        <f>IFERROR(__xludf.DUMMYFUNCTION("""COMPUTED_VALUE"""),"")</f>
        <v/>
      </c>
      <c r="M6" s="55"/>
      <c r="N6" s="55"/>
      <c r="O6" s="55"/>
      <c r="P6" s="55"/>
      <c r="Q6" s="55"/>
      <c r="R6" s="55"/>
      <c r="S6" s="55"/>
      <c r="T6" s="55"/>
      <c r="U6" s="55"/>
      <c r="V6" s="55"/>
      <c r="W6" s="55"/>
      <c r="X6" s="55"/>
      <c r="Y6" s="55"/>
      <c r="Z6" s="55"/>
      <c r="AA6" s="55"/>
      <c r="AB6" s="55"/>
      <c r="AC6" s="55"/>
      <c r="AD6" s="55"/>
    </row>
    <row r="7">
      <c r="A7" s="148">
        <f>IFERROR(__xludf.DUMMYFUNCTION("""COMPUTED_VALUE"""),43453.554362870374)</f>
        <v>43453.55436</v>
      </c>
      <c r="B7" s="149" t="str">
        <f>IFERROR(__xludf.DUMMYFUNCTION("""COMPUTED_VALUE"""),"Tomohiko Ai")</f>
        <v>Tomohiko Ai</v>
      </c>
      <c r="C7" s="149" t="str">
        <f>IFERROR(__xludf.DUMMYFUNCTION("""COMPUTED_VALUE"""),"Tomohiko.Ai@osumc.edu")</f>
        <v>Tomohiko.Ai@osumc.edu</v>
      </c>
      <c r="D7" s="55" t="str">
        <f>IFERROR(__xludf.DUMMYFUNCTION("""COMPUTED_VALUE"""),"Contacted")</f>
        <v>Contacted</v>
      </c>
      <c r="E7" s="93">
        <f>IFERROR(__xludf.DUMMYFUNCTION("""COMPUTED_VALUE"""),43570.0)</f>
        <v>43570</v>
      </c>
      <c r="F7" s="105" t="str">
        <f>IFERROR(__xludf.DUMMYFUNCTION("""COMPUTED_VALUE"""),"Yes")</f>
        <v>Yes</v>
      </c>
      <c r="G7" s="55" t="str">
        <f>IFERROR(__xludf.DUMMYFUNCTION("""COMPUTED_VALUE"""),"Gene Disease Validity")</f>
        <v>Gene Disease Validity</v>
      </c>
      <c r="H7" s="55" t="str">
        <f>IFERROR(__xludf.DUMMYFUNCTION("""COMPUTED_VALUE"""),"Dilated Cardiomyopathy")</f>
        <v>Dilated Cardiomyopathy</v>
      </c>
      <c r="I7" s="150">
        <f t="shared" si="1"/>
        <v>43661</v>
      </c>
      <c r="J7" s="94">
        <f>IFERROR(__xludf.DUMMYFUNCTION("""COMPUTED_VALUE"""),43712.0)</f>
        <v>43712</v>
      </c>
      <c r="K7" s="147">
        <f t="shared" si="2"/>
        <v>43753</v>
      </c>
      <c r="L7" s="94" t="str">
        <f>IFERROR(__xludf.DUMMYFUNCTION("""COMPUTED_VALUE"""),"")</f>
        <v/>
      </c>
      <c r="M7" s="55"/>
      <c r="N7" s="55"/>
      <c r="O7" s="55"/>
      <c r="P7" s="55"/>
      <c r="Q7" s="55"/>
      <c r="R7" s="55"/>
      <c r="S7" s="55"/>
      <c r="T7" s="55"/>
      <c r="U7" s="55"/>
      <c r="V7" s="55"/>
      <c r="W7" s="55"/>
      <c r="X7" s="55"/>
      <c r="Y7" s="55"/>
      <c r="Z7" s="55"/>
      <c r="AA7" s="55"/>
      <c r="AB7" s="55"/>
      <c r="AC7" s="55"/>
      <c r="AD7" s="55"/>
    </row>
    <row r="8">
      <c r="A8" s="148">
        <f>IFERROR(__xludf.DUMMYFUNCTION("""COMPUTED_VALUE"""),43404.87436342593)</f>
        <v>43404.87436</v>
      </c>
      <c r="B8" s="149" t="str">
        <f>IFERROR(__xludf.DUMMYFUNCTION("""COMPUTED_VALUE"""),"Rajavarman Kittu")</f>
        <v>Rajavarman Kittu</v>
      </c>
      <c r="C8" s="149" t="str">
        <f>IFERROR(__xludf.DUMMYFUNCTION("""COMPUTED_VALUE"""),"rajavarman21@gmail.com")</f>
        <v>rajavarman21@gmail.com</v>
      </c>
      <c r="D8" s="55" t="str">
        <f>IFERROR(__xludf.DUMMYFUNCTION("""COMPUTED_VALUE"""),"Unresponsive")</f>
        <v>Unresponsive</v>
      </c>
      <c r="E8" s="104">
        <f>IFERROR(__xludf.DUMMYFUNCTION("""COMPUTED_VALUE"""),43476.0)</f>
        <v>43476</v>
      </c>
      <c r="F8" s="93" t="str">
        <f>IFERROR(__xludf.DUMMYFUNCTION("""COMPUTED_VALUE"""),"No")</f>
        <v>No</v>
      </c>
      <c r="G8" s="55" t="str">
        <f>IFERROR(__xludf.DUMMYFUNCTION("""COMPUTED_VALUE"""),"Somatic Cancer")</f>
        <v>Somatic Cancer</v>
      </c>
      <c r="H8" s="55" t="str">
        <f>IFERROR(__xludf.DUMMYFUNCTION("""COMPUTED_VALUE"""),"Somatic WG")</f>
        <v>Somatic WG</v>
      </c>
      <c r="I8" s="150">
        <f t="shared" si="1"/>
        <v>43566</v>
      </c>
      <c r="J8" s="94">
        <f>IFERROR(__xludf.DUMMYFUNCTION("""COMPUTED_VALUE"""),43592.0)</f>
        <v>43592</v>
      </c>
      <c r="K8" s="147">
        <f t="shared" si="2"/>
        <v>43657</v>
      </c>
      <c r="L8" s="55" t="str">
        <f>IFERROR(__xludf.DUMMYFUNCTION("""COMPUTED_VALUE"""),"-")</f>
        <v>-</v>
      </c>
      <c r="M8" s="55"/>
      <c r="N8" s="55"/>
      <c r="O8" s="55"/>
      <c r="P8" s="55"/>
      <c r="Q8" s="55"/>
      <c r="R8" s="55"/>
      <c r="S8" s="55"/>
      <c r="T8" s="55"/>
      <c r="U8" s="55"/>
      <c r="V8" s="55"/>
      <c r="W8" s="55"/>
      <c r="X8" s="55"/>
      <c r="Y8" s="55"/>
      <c r="Z8" s="55"/>
      <c r="AA8" s="55"/>
      <c r="AB8" s="55"/>
      <c r="AC8" s="55"/>
      <c r="AD8" s="55"/>
    </row>
    <row r="9">
      <c r="A9" s="148">
        <f>IFERROR(__xludf.DUMMYFUNCTION("""COMPUTED_VALUE"""),43454.651333263886)</f>
        <v>43454.65133</v>
      </c>
      <c r="B9" s="149" t="str">
        <f>IFERROR(__xludf.DUMMYFUNCTION("""COMPUTED_VALUE"""),"Rhea Vallente")</f>
        <v>Rhea Vallente</v>
      </c>
      <c r="C9" s="149" t="str">
        <f>IFERROR(__xludf.DUMMYFUNCTION("""COMPUTED_VALUE"""),"rvallente@fulgentgenetics.com")</f>
        <v>rvallente@fulgentgenetics.com</v>
      </c>
      <c r="D9" s="55" t="str">
        <f>IFERROR(__xludf.DUMMYFUNCTION("""COMPUTED_VALUE"""),"Contacted")</f>
        <v>Contacted</v>
      </c>
      <c r="E9" s="93">
        <f>IFERROR(__xludf.DUMMYFUNCTION("""COMPUTED_VALUE"""),43678.0)</f>
        <v>43678</v>
      </c>
      <c r="F9" s="93" t="str">
        <f>IFERROR(__xludf.DUMMYFUNCTION("""COMPUTED_VALUE"""),"No")</f>
        <v>No</v>
      </c>
      <c r="G9" s="55" t="str">
        <f>IFERROR(__xludf.DUMMYFUNCTION("""COMPUTED_VALUE"""),"Actionability")</f>
        <v>Actionability</v>
      </c>
      <c r="H9" s="55" t="str">
        <f>IFERROR(__xludf.DUMMYFUNCTION("""COMPUTED_VALUE"""),"")</f>
        <v/>
      </c>
      <c r="I9" s="150">
        <f t="shared" si="1"/>
        <v>43770</v>
      </c>
      <c r="J9" s="55" t="str">
        <f>IFERROR(__xludf.DUMMYFUNCTION("""COMPUTED_VALUE"""),"")</f>
        <v/>
      </c>
      <c r="K9" s="147">
        <f t="shared" si="2"/>
        <v>43862</v>
      </c>
      <c r="L9" s="55" t="str">
        <f>IFERROR(__xludf.DUMMYFUNCTION("""COMPUTED_VALUE"""),"")</f>
        <v/>
      </c>
      <c r="M9" s="55"/>
      <c r="N9" s="55"/>
      <c r="O9" s="55"/>
      <c r="P9" s="55"/>
      <c r="Q9" s="55"/>
      <c r="R9" s="55"/>
      <c r="S9" s="55"/>
      <c r="T9" s="55"/>
      <c r="U9" s="55"/>
      <c r="V9" s="55"/>
      <c r="W9" s="55"/>
      <c r="X9" s="55"/>
      <c r="Y9" s="55"/>
      <c r="Z9" s="55"/>
      <c r="AA9" s="55"/>
      <c r="AB9" s="55"/>
      <c r="AC9" s="55"/>
      <c r="AD9" s="55"/>
    </row>
    <row r="10">
      <c r="A10" s="148">
        <f>IFERROR(__xludf.DUMMYFUNCTION("""COMPUTED_VALUE"""),43462.7220768287)</f>
        <v>43462.72208</v>
      </c>
      <c r="B10" s="149" t="str">
        <f>IFERROR(__xludf.DUMMYFUNCTION("""COMPUTED_VALUE"""),"Caitlin Hale")</f>
        <v>Caitlin Hale</v>
      </c>
      <c r="C10" s="149" t="str">
        <f>IFERROR(__xludf.DUMMYFUNCTION("""COMPUTED_VALUE"""),"CHale@stanfordchildrens.org")</f>
        <v>CHale@stanfordchildrens.org</v>
      </c>
      <c r="D10" s="55" t="str">
        <f>IFERROR(__xludf.DUMMYFUNCTION("""COMPUTED_VALUE"""),"Declined")</f>
        <v>Declined</v>
      </c>
      <c r="E10" s="94">
        <f>IFERROR(__xludf.DUMMYFUNCTION("""COMPUTED_VALUE"""),43585.0)</f>
        <v>43585</v>
      </c>
      <c r="F10" s="105" t="str">
        <f>IFERROR(__xludf.DUMMYFUNCTION("""COMPUTED_VALUE"""),"Yes")</f>
        <v>Yes</v>
      </c>
      <c r="G10" s="55" t="str">
        <f>IFERROR(__xludf.DUMMYFUNCTION("""COMPUTED_VALUE"""),"Gene Disease Validity")</f>
        <v>Gene Disease Validity</v>
      </c>
      <c r="H10" s="55" t="str">
        <f>IFERROR(__xludf.DUMMYFUNCTION("""COMPUTED_VALUE"""),"ID/Autism")</f>
        <v>ID/Autism</v>
      </c>
      <c r="I10" s="150">
        <f t="shared" si="1"/>
        <v>43676</v>
      </c>
      <c r="J10" s="94">
        <f>IFERROR(__xludf.DUMMYFUNCTION("""COMPUTED_VALUE"""),43712.0)</f>
        <v>43712</v>
      </c>
      <c r="K10" s="147">
        <f t="shared" si="2"/>
        <v>43768</v>
      </c>
      <c r="L10" s="94" t="str">
        <f>IFERROR(__xludf.DUMMYFUNCTION("""COMPUTED_VALUE"""),"")</f>
        <v/>
      </c>
      <c r="M10" s="55"/>
      <c r="N10" s="55"/>
      <c r="O10" s="55"/>
      <c r="P10" s="55"/>
      <c r="Q10" s="55"/>
      <c r="R10" s="55"/>
      <c r="S10" s="55"/>
      <c r="T10" s="55"/>
      <c r="U10" s="55"/>
      <c r="V10" s="55"/>
      <c r="W10" s="55"/>
      <c r="X10" s="55"/>
      <c r="Y10" s="55"/>
      <c r="Z10" s="55"/>
      <c r="AA10" s="55"/>
      <c r="AB10" s="55"/>
      <c r="AC10" s="55"/>
      <c r="AD10" s="55"/>
    </row>
    <row r="11">
      <c r="A11" s="148">
        <f>IFERROR(__xludf.DUMMYFUNCTION("""COMPUTED_VALUE"""),43465.469464884256)</f>
        <v>43465.46946</v>
      </c>
      <c r="B11" s="149" t="str">
        <f>IFERROR(__xludf.DUMMYFUNCTION("""COMPUTED_VALUE"""),"Melissa Murfin")</f>
        <v>Melissa Murfin</v>
      </c>
      <c r="C11" s="149" t="str">
        <f>IFERROR(__xludf.DUMMYFUNCTION("""COMPUTED_VALUE"""),"mmurfin@elon.edu")</f>
        <v>mmurfin@elon.edu</v>
      </c>
      <c r="D11" s="55" t="str">
        <f>IFERROR(__xludf.DUMMYFUNCTION("""COMPUTED_VALUE"""),"Contacted")</f>
        <v>Contacted</v>
      </c>
      <c r="E11" s="105">
        <f>IFERROR(__xludf.DUMMYFUNCTION("""COMPUTED_VALUE"""),43567.0)</f>
        <v>43567</v>
      </c>
      <c r="F11" s="93" t="str">
        <f>IFERROR(__xludf.DUMMYFUNCTION("""COMPUTED_VALUE"""),"Yes")</f>
        <v>Yes</v>
      </c>
      <c r="G11" s="55" t="str">
        <f>IFERROR(__xludf.DUMMYFUNCTION("""COMPUTED_VALUE"""),"Actionability")</f>
        <v>Actionability</v>
      </c>
      <c r="H11" s="55" t="str">
        <f>IFERROR(__xludf.DUMMYFUNCTION("""COMPUTED_VALUE"""),"Actionability")</f>
        <v>Actionability</v>
      </c>
      <c r="I11" s="150">
        <f t="shared" si="1"/>
        <v>43658</v>
      </c>
      <c r="J11" s="94">
        <f>IFERROR(__xludf.DUMMYFUNCTION("""COMPUTED_VALUE"""),43712.0)</f>
        <v>43712</v>
      </c>
      <c r="K11" s="147">
        <f t="shared" si="2"/>
        <v>43750</v>
      </c>
      <c r="L11" s="94" t="str">
        <f>IFERROR(__xludf.DUMMYFUNCTION("""COMPUTED_VALUE"""),"")</f>
        <v/>
      </c>
      <c r="M11" s="55"/>
      <c r="N11" s="55"/>
      <c r="O11" s="55"/>
      <c r="P11" s="55"/>
      <c r="Q11" s="55"/>
      <c r="R11" s="55"/>
      <c r="S11" s="55"/>
      <c r="T11" s="55"/>
      <c r="U11" s="55"/>
      <c r="V11" s="55"/>
      <c r="W11" s="55"/>
      <c r="X11" s="55"/>
      <c r="Y11" s="55"/>
      <c r="Z11" s="55"/>
      <c r="AA11" s="55"/>
      <c r="AB11" s="55"/>
      <c r="AC11" s="55"/>
      <c r="AD11" s="55"/>
    </row>
    <row r="12">
      <c r="A12" s="148">
        <f>IFERROR(__xludf.DUMMYFUNCTION("""COMPUTED_VALUE"""),43467.289876111114)</f>
        <v>43467.28988</v>
      </c>
      <c r="B12" s="149" t="str">
        <f>IFERROR(__xludf.DUMMYFUNCTION("""COMPUTED_VALUE"""),"Ana León")</f>
        <v>Ana León</v>
      </c>
      <c r="C12" s="149" t="str">
        <f>IFERROR(__xludf.DUMMYFUNCTION("""COMPUTED_VALUE"""),"aleon@pros.upv.es")</f>
        <v>aleon@pros.upv.es</v>
      </c>
      <c r="D12" s="55" t="str">
        <f>IFERROR(__xludf.DUMMYFUNCTION("""COMPUTED_VALUE"""),"Contacted")</f>
        <v>Contacted</v>
      </c>
      <c r="E12" s="93">
        <f>IFERROR(__xludf.DUMMYFUNCTION("""COMPUTED_VALUE"""),43585.0)</f>
        <v>43585</v>
      </c>
      <c r="F12" s="94" t="str">
        <f>IFERROR(__xludf.DUMMYFUNCTION("""COMPUTED_VALUE"""),"Yes")</f>
        <v>Yes</v>
      </c>
      <c r="G12" s="55" t="str">
        <f>IFERROR(__xludf.DUMMYFUNCTION("""COMPUTED_VALUE"""),"Gene Disease Validity")</f>
        <v>Gene Disease Validity</v>
      </c>
      <c r="H12" s="55" t="str">
        <f>IFERROR(__xludf.DUMMYFUNCTION("""COMPUTED_VALUE"""),"Hemo/Thrombo")</f>
        <v>Hemo/Thrombo</v>
      </c>
      <c r="I12" s="150">
        <f t="shared" si="1"/>
        <v>43676</v>
      </c>
      <c r="J12" s="94">
        <f>IFERROR(__xludf.DUMMYFUNCTION("""COMPUTED_VALUE"""),43712.0)</f>
        <v>43712</v>
      </c>
      <c r="K12" s="147">
        <f t="shared" si="2"/>
        <v>43768</v>
      </c>
      <c r="L12" s="94" t="str">
        <f>IFERROR(__xludf.DUMMYFUNCTION("""COMPUTED_VALUE"""),"")</f>
        <v/>
      </c>
      <c r="M12" s="55"/>
      <c r="N12" s="55"/>
      <c r="O12" s="55"/>
      <c r="P12" s="55"/>
      <c r="Q12" s="55"/>
      <c r="R12" s="55"/>
      <c r="S12" s="55"/>
      <c r="T12" s="55"/>
      <c r="U12" s="55"/>
      <c r="V12" s="55"/>
      <c r="W12" s="55"/>
      <c r="X12" s="55"/>
      <c r="Y12" s="55"/>
      <c r="Z12" s="55"/>
      <c r="AA12" s="55"/>
      <c r="AB12" s="55"/>
      <c r="AC12" s="55"/>
      <c r="AD12" s="55"/>
    </row>
    <row r="13">
      <c r="A13" s="148">
        <f>IFERROR(__xludf.DUMMYFUNCTION("""COMPUTED_VALUE"""),43469.322247662036)</f>
        <v>43469.32225</v>
      </c>
      <c r="B13" s="149" t="str">
        <f>IFERROR(__xludf.DUMMYFUNCTION("""COMPUTED_VALUE"""),"Catalina Betancur")</f>
        <v>Catalina Betancur</v>
      </c>
      <c r="C13" s="149" t="str">
        <f>IFERROR(__xludf.DUMMYFUNCTION("""COMPUTED_VALUE"""),"Catalina.Betancur@inserm.fr")</f>
        <v>Catalina.Betancur@inserm.fr</v>
      </c>
      <c r="D13" s="55" t="str">
        <f>IFERROR(__xludf.DUMMYFUNCTION("""COMPUTED_VALUE"""),"Assigned")</f>
        <v>Assigned</v>
      </c>
      <c r="E13" s="94">
        <f>IFERROR(__xludf.DUMMYFUNCTION("""COMPUTED_VALUE"""),43446.0)</f>
        <v>43446</v>
      </c>
      <c r="F13" s="93" t="str">
        <f>IFERROR(__xludf.DUMMYFUNCTION("""COMPUTED_VALUE"""),"Yes")</f>
        <v>Yes</v>
      </c>
      <c r="G13" s="55" t="str">
        <f>IFERROR(__xludf.DUMMYFUNCTION("""COMPUTED_VALUE"""),"Gene Disease Validity")</f>
        <v>Gene Disease Validity</v>
      </c>
      <c r="H13" s="55" t="str">
        <f>IFERROR(__xludf.DUMMYFUNCTION("""COMPUTED_VALUE"""),"ID Autism")</f>
        <v>ID Autism</v>
      </c>
      <c r="I13" s="150">
        <f t="shared" si="1"/>
        <v>43536</v>
      </c>
      <c r="J13" s="55" t="str">
        <f>IFERROR(__xludf.DUMMYFUNCTION("""COMPUTED_VALUE"""),"")</f>
        <v/>
      </c>
      <c r="K13" s="147">
        <f t="shared" si="2"/>
        <v>43628</v>
      </c>
      <c r="L13" s="55" t="str">
        <f>IFERROR(__xludf.DUMMYFUNCTION("""COMPUTED_VALUE"""),"")</f>
        <v/>
      </c>
      <c r="M13" s="55"/>
      <c r="N13" s="55"/>
      <c r="O13" s="55"/>
      <c r="P13" s="55"/>
      <c r="Q13" s="55"/>
      <c r="R13" s="55"/>
      <c r="S13" s="55"/>
      <c r="T13" s="55"/>
      <c r="U13" s="55"/>
      <c r="V13" s="55"/>
      <c r="W13" s="55"/>
      <c r="X13" s="55"/>
      <c r="Y13" s="55"/>
      <c r="Z13" s="55"/>
      <c r="AA13" s="55"/>
      <c r="AB13" s="55"/>
      <c r="AC13" s="55"/>
      <c r="AD13" s="55"/>
    </row>
    <row r="14">
      <c r="A14" s="148">
        <f>IFERROR(__xludf.DUMMYFUNCTION("""COMPUTED_VALUE"""),43472.425777592594)</f>
        <v>43472.42578</v>
      </c>
      <c r="B14" s="149" t="str">
        <f>IFERROR(__xludf.DUMMYFUNCTION("""COMPUTED_VALUE"""),"Shulin Zhang")</f>
        <v>Shulin Zhang</v>
      </c>
      <c r="C14" s="149" t="str">
        <f>IFERROR(__xludf.DUMMYFUNCTION("""COMPUTED_VALUE"""),"shulin.zhang@uky.edu")</f>
        <v>shulin.zhang@uky.edu</v>
      </c>
      <c r="D14" s="55" t="str">
        <f>IFERROR(__xludf.DUMMYFUNCTION("""COMPUTED_VALUE"""),"Contacted")</f>
        <v>Contacted</v>
      </c>
      <c r="E14" s="93">
        <f>IFERROR(__xludf.DUMMYFUNCTION("""COMPUTED_VALUE"""),43580.0)</f>
        <v>43580</v>
      </c>
      <c r="F14" s="93" t="str">
        <f>IFERROR(__xludf.DUMMYFUNCTION("""COMPUTED_VALUE"""),"Yes")</f>
        <v>Yes</v>
      </c>
      <c r="G14" s="55" t="str">
        <f>IFERROR(__xludf.DUMMYFUNCTION("""COMPUTED_VALUE"""),"Dosage Sensitivity")</f>
        <v>Dosage Sensitivity</v>
      </c>
      <c r="H14" s="55" t="str">
        <f>IFERROR(__xludf.DUMMYFUNCTION("""COMPUTED_VALUE"""),"")</f>
        <v/>
      </c>
      <c r="I14" s="150">
        <f t="shared" si="1"/>
        <v>43671</v>
      </c>
      <c r="J14" s="94">
        <f>IFERROR(__xludf.DUMMYFUNCTION("""COMPUTED_VALUE"""),43712.0)</f>
        <v>43712</v>
      </c>
      <c r="K14" s="147">
        <f t="shared" si="2"/>
        <v>43763</v>
      </c>
      <c r="L14" s="94" t="str">
        <f>IFERROR(__xludf.DUMMYFUNCTION("""COMPUTED_VALUE"""),"")</f>
        <v/>
      </c>
      <c r="M14" s="55"/>
      <c r="N14" s="55"/>
      <c r="O14" s="55"/>
      <c r="P14" s="55"/>
      <c r="Q14" s="55"/>
      <c r="R14" s="55"/>
      <c r="S14" s="55"/>
      <c r="T14" s="55"/>
      <c r="U14" s="55"/>
      <c r="V14" s="55"/>
      <c r="W14" s="55"/>
      <c r="X14" s="55"/>
      <c r="Y14" s="55"/>
      <c r="Z14" s="55"/>
      <c r="AA14" s="55"/>
      <c r="AB14" s="55"/>
      <c r="AC14" s="55"/>
      <c r="AD14" s="55"/>
    </row>
    <row r="15">
      <c r="A15" s="148">
        <f>IFERROR(__xludf.DUMMYFUNCTION("""COMPUTED_VALUE"""),43472.537255601856)</f>
        <v>43472.53726</v>
      </c>
      <c r="B15" s="149" t="str">
        <f>IFERROR(__xludf.DUMMYFUNCTION("""COMPUTED_VALUE"""),"Marwan Shinawi")</f>
        <v>Marwan Shinawi</v>
      </c>
      <c r="C15" s="149" t="str">
        <f>IFERROR(__xludf.DUMMYFUNCTION("""COMPUTED_VALUE"""),"mshinawi@wustl.edu")</f>
        <v>mshinawi@wustl.edu</v>
      </c>
      <c r="D15" s="55" t="str">
        <f>IFERROR(__xludf.DUMMYFUNCTION("""COMPUTED_VALUE"""),"Contacted")</f>
        <v>Contacted</v>
      </c>
      <c r="E15" s="105">
        <f>IFERROR(__xludf.DUMMYFUNCTION("""COMPUTED_VALUE"""),43567.0)</f>
        <v>43567</v>
      </c>
      <c r="F15" s="93" t="str">
        <f>IFERROR(__xludf.DUMMYFUNCTION("""COMPUTED_VALUE"""),"No")</f>
        <v>No</v>
      </c>
      <c r="G15" s="55" t="str">
        <f>IFERROR(__xludf.DUMMYFUNCTION("""COMPUTED_VALUE"""),"Actionability")</f>
        <v>Actionability</v>
      </c>
      <c r="H15" s="55" t="str">
        <f>IFERROR(__xludf.DUMMYFUNCTION("""COMPUTED_VALUE"""),"")</f>
        <v/>
      </c>
      <c r="I15" s="150">
        <f t="shared" si="1"/>
        <v>43658</v>
      </c>
      <c r="J15" s="55" t="str">
        <f>IFERROR(__xludf.DUMMYFUNCTION("""COMPUTED_VALUE"""),"")</f>
        <v/>
      </c>
      <c r="K15" s="147">
        <f t="shared" si="2"/>
        <v>43750</v>
      </c>
      <c r="L15" s="55" t="str">
        <f>IFERROR(__xludf.DUMMYFUNCTION("""COMPUTED_VALUE"""),"")</f>
        <v/>
      </c>
      <c r="M15" s="55"/>
      <c r="N15" s="55"/>
      <c r="O15" s="55"/>
      <c r="P15" s="55"/>
      <c r="Q15" s="55"/>
      <c r="R15" s="55"/>
      <c r="S15" s="55"/>
      <c r="T15" s="55"/>
      <c r="U15" s="55"/>
      <c r="V15" s="55"/>
      <c r="W15" s="55"/>
      <c r="X15" s="55"/>
      <c r="Y15" s="55"/>
      <c r="Z15" s="55"/>
      <c r="AA15" s="55"/>
      <c r="AB15" s="55"/>
      <c r="AC15" s="55"/>
      <c r="AD15" s="55"/>
    </row>
    <row r="16">
      <c r="A16" s="148">
        <f>IFERROR(__xludf.DUMMYFUNCTION("""COMPUTED_VALUE"""),43473.39076508102)</f>
        <v>43473.39077</v>
      </c>
      <c r="B16" s="149" t="str">
        <f>IFERROR(__xludf.DUMMYFUNCTION("""COMPUTED_VALUE"""),"Adam Coovadia")</f>
        <v>Adam Coovadia</v>
      </c>
      <c r="C16" s="149" t="str">
        <f>IFERROR(__xludf.DUMMYFUNCTION("""COMPUTED_VALUE"""),"coovadiaa@gmail.com")</f>
        <v>coovadiaa@gmail.com</v>
      </c>
      <c r="D16" s="55" t="str">
        <f>IFERROR(__xludf.DUMMYFUNCTION("""COMPUTED_VALUE"""),"Contacted")</f>
        <v>Contacted</v>
      </c>
      <c r="E16" s="93">
        <f>IFERROR(__xludf.DUMMYFUNCTION("""COMPUTED_VALUE"""),43605.0)</f>
        <v>43605</v>
      </c>
      <c r="F16" s="94" t="str">
        <f>IFERROR(__xludf.DUMMYFUNCTION("""COMPUTED_VALUE"""),"Yes")</f>
        <v>Yes</v>
      </c>
      <c r="G16" s="55" t="str">
        <f>IFERROR(__xludf.DUMMYFUNCTION("""COMPUTED_VALUE"""),"Variant Pathogenicity")</f>
        <v>Variant Pathogenicity</v>
      </c>
      <c r="H16" s="55" t="str">
        <f>IFERROR(__xludf.DUMMYFUNCTION("""COMPUTED_VALUE"""),"Hearing Loss")</f>
        <v>Hearing Loss</v>
      </c>
      <c r="I16" s="150">
        <f t="shared" si="1"/>
        <v>43697</v>
      </c>
      <c r="J16" s="94">
        <f>IFERROR(__xludf.DUMMYFUNCTION("""COMPUTED_VALUE"""),43712.0)</f>
        <v>43712</v>
      </c>
      <c r="K16" s="147">
        <f t="shared" si="2"/>
        <v>43789</v>
      </c>
      <c r="L16" s="94" t="str">
        <f>IFERROR(__xludf.DUMMYFUNCTION("""COMPUTED_VALUE"""),"")</f>
        <v/>
      </c>
      <c r="M16" s="55"/>
      <c r="N16" s="55"/>
      <c r="O16" s="55"/>
      <c r="P16" s="55"/>
      <c r="Q16" s="55"/>
      <c r="R16" s="55"/>
      <c r="S16" s="55"/>
      <c r="T16" s="55"/>
      <c r="U16" s="55"/>
      <c r="V16" s="55"/>
      <c r="W16" s="55"/>
      <c r="X16" s="55"/>
      <c r="Y16" s="55"/>
      <c r="Z16" s="55"/>
      <c r="AA16" s="55"/>
      <c r="AB16" s="55"/>
      <c r="AC16" s="55"/>
      <c r="AD16" s="55"/>
    </row>
    <row r="17">
      <c r="A17" s="148">
        <f>IFERROR(__xludf.DUMMYFUNCTION("""COMPUTED_VALUE"""),43332.58121527778)</f>
        <v>43332.58122</v>
      </c>
      <c r="B17" s="149" t="str">
        <f>IFERROR(__xludf.DUMMYFUNCTION("""COMPUTED_VALUE"""),"Volkan Okur")</f>
        <v>Volkan Okur</v>
      </c>
      <c r="C17" s="149" t="str">
        <f>IFERROR(__xludf.DUMMYFUNCTION("""COMPUTED_VALUE"""),"vokur@bcm.edu")</f>
        <v>vokur@bcm.edu</v>
      </c>
      <c r="D17" s="55" t="str">
        <f>IFERROR(__xludf.DUMMYFUNCTION("""COMPUTED_VALUE"""),"Assigned")</f>
        <v>Assigned</v>
      </c>
      <c r="E17" s="94">
        <f>IFERROR(__xludf.DUMMYFUNCTION("""COMPUTED_VALUE"""),43446.0)</f>
        <v>43446</v>
      </c>
      <c r="F17" s="93" t="str">
        <f>IFERROR(__xludf.DUMMYFUNCTION("""COMPUTED_VALUE"""),"Yes")</f>
        <v>Yes</v>
      </c>
      <c r="G17" s="55" t="str">
        <f>IFERROR(__xludf.DUMMYFUNCTION("""COMPUTED_VALUE"""),"Gene Disease Validity")</f>
        <v>Gene Disease Validity</v>
      </c>
      <c r="H17" s="55" t="str">
        <f>IFERROR(__xludf.DUMMYFUNCTION("""COMPUTED_VALUE"""),"Hereditary Cancer")</f>
        <v>Hereditary Cancer</v>
      </c>
      <c r="I17" s="150">
        <f t="shared" si="1"/>
        <v>43536</v>
      </c>
      <c r="J17" s="94">
        <f>IFERROR(__xludf.DUMMYFUNCTION("""COMPUTED_VALUE"""),43592.0)</f>
        <v>43592</v>
      </c>
      <c r="K17" s="147">
        <f t="shared" si="2"/>
        <v>43628</v>
      </c>
      <c r="L17" s="94">
        <f>IFERROR(__xludf.DUMMYFUNCTION("""COMPUTED_VALUE"""),43713.0)</f>
        <v>43713</v>
      </c>
      <c r="M17" s="55"/>
      <c r="N17" s="55"/>
      <c r="O17" s="55"/>
      <c r="P17" s="55"/>
      <c r="Q17" s="55"/>
      <c r="R17" s="55"/>
      <c r="S17" s="55"/>
      <c r="T17" s="55"/>
      <c r="U17" s="55"/>
      <c r="V17" s="55"/>
      <c r="W17" s="55"/>
      <c r="X17" s="55"/>
      <c r="Y17" s="55"/>
      <c r="Z17" s="55"/>
      <c r="AA17" s="55"/>
      <c r="AB17" s="55"/>
      <c r="AC17" s="55"/>
      <c r="AD17" s="55"/>
    </row>
    <row r="18">
      <c r="A18" s="148">
        <f>IFERROR(__xludf.DUMMYFUNCTION("""COMPUTED_VALUE"""),43332.58226851852)</f>
        <v>43332.58227</v>
      </c>
      <c r="B18" s="149" t="str">
        <f>IFERROR(__xludf.DUMMYFUNCTION("""COMPUTED_VALUE"""),"Mythily Ganapathi")</f>
        <v>Mythily Ganapathi</v>
      </c>
      <c r="C18" s="149" t="str">
        <f>IFERROR(__xludf.DUMMYFUNCTION("""COMPUTED_VALUE"""),"mg3560@cumc.columbia.edu")</f>
        <v>mg3560@cumc.columbia.edu</v>
      </c>
      <c r="D18" s="55" t="str">
        <f>IFERROR(__xludf.DUMMYFUNCTION("""COMPUTED_VALUE"""),"Assigned")</f>
        <v>Assigned</v>
      </c>
      <c r="E18" s="94">
        <f>IFERROR(__xludf.DUMMYFUNCTION("""COMPUTED_VALUE"""),43446.0)</f>
        <v>43446</v>
      </c>
      <c r="F18" s="93" t="str">
        <f>IFERROR(__xludf.DUMMYFUNCTION("""COMPUTED_VALUE"""),"Yes")</f>
        <v>Yes</v>
      </c>
      <c r="G18" s="55" t="str">
        <f>IFERROR(__xludf.DUMMYFUNCTION("""COMPUTED_VALUE"""),"Gene Disease Validity")</f>
        <v>Gene Disease Validity</v>
      </c>
      <c r="H18" s="55" t="str">
        <f>IFERROR(__xludf.DUMMYFUNCTION("""COMPUTED_VALUE"""),"ID/Autism")</f>
        <v>ID/Autism</v>
      </c>
      <c r="I18" s="150">
        <f t="shared" si="1"/>
        <v>43536</v>
      </c>
      <c r="J18" s="94">
        <f>IFERROR(__xludf.DUMMYFUNCTION("""COMPUTED_VALUE"""),43592.0)</f>
        <v>43592</v>
      </c>
      <c r="K18" s="147">
        <f t="shared" si="2"/>
        <v>43628</v>
      </c>
      <c r="L18" s="94">
        <f>IFERROR(__xludf.DUMMYFUNCTION("""COMPUTED_VALUE"""),43713.0)</f>
        <v>43713</v>
      </c>
      <c r="M18" s="55"/>
      <c r="N18" s="55"/>
      <c r="O18" s="55"/>
      <c r="P18" s="55"/>
      <c r="Q18" s="55"/>
      <c r="R18" s="55"/>
      <c r="S18" s="55"/>
      <c r="T18" s="55"/>
      <c r="U18" s="55"/>
      <c r="V18" s="55"/>
      <c r="W18" s="55"/>
      <c r="X18" s="55"/>
      <c r="Y18" s="55"/>
      <c r="Z18" s="55"/>
      <c r="AA18" s="55"/>
      <c r="AB18" s="55"/>
      <c r="AC18" s="55"/>
      <c r="AD18" s="55"/>
    </row>
    <row r="19">
      <c r="A19" s="151">
        <f>IFERROR(__xludf.DUMMYFUNCTION("""COMPUTED_VALUE"""),43332.58315972222)</f>
        <v>43332.58316</v>
      </c>
      <c r="B19" s="149" t="str">
        <f>IFERROR(__xludf.DUMMYFUNCTION("""COMPUTED_VALUE"""),"Leslie Oldfield")</f>
        <v>Leslie Oldfield</v>
      </c>
      <c r="C19" s="149" t="str">
        <f>IFERROR(__xludf.DUMMYFUNCTION("""COMPUTED_VALUE"""),"leslie.oldfield@gmail.com")</f>
        <v>leslie.oldfield@gmail.com</v>
      </c>
      <c r="D19" s="55" t="str">
        <f>IFERROR(__xludf.DUMMYFUNCTION("""COMPUTED_VALUE"""),"Unresponsive")</f>
        <v>Unresponsive</v>
      </c>
      <c r="E19" s="93">
        <f>IFERROR(__xludf.DUMMYFUNCTION("""COMPUTED_VALUE"""),43585.0)</f>
        <v>43585</v>
      </c>
      <c r="F19" s="93" t="str">
        <f>IFERROR(__xludf.DUMMYFUNCTION("""COMPUTED_VALUE"""),"No")</f>
        <v>No</v>
      </c>
      <c r="G19" s="55" t="str">
        <f>IFERROR(__xludf.DUMMYFUNCTION("""COMPUTED_VALUE"""),"Gene Disease Validity")</f>
        <v>Gene Disease Validity</v>
      </c>
      <c r="H19" s="55" t="str">
        <f>IFERROR(__xludf.DUMMYFUNCTION("""COMPUTED_VALUE"""),"")</f>
        <v/>
      </c>
      <c r="I19" s="150">
        <f t="shared" si="1"/>
        <v>43676</v>
      </c>
      <c r="J19" s="55" t="str">
        <f>IFERROR(__xludf.DUMMYFUNCTION("""COMPUTED_VALUE"""),"")</f>
        <v/>
      </c>
      <c r="K19" s="147">
        <f t="shared" si="2"/>
        <v>43768</v>
      </c>
      <c r="L19" s="55" t="str">
        <f>IFERROR(__xludf.DUMMYFUNCTION("""COMPUTED_VALUE"""),"")</f>
        <v/>
      </c>
      <c r="M19" s="55"/>
      <c r="N19" s="55"/>
      <c r="O19" s="55"/>
      <c r="P19" s="55"/>
      <c r="Q19" s="55"/>
      <c r="R19" s="55"/>
      <c r="S19" s="55"/>
      <c r="T19" s="55"/>
      <c r="U19" s="55"/>
      <c r="V19" s="55"/>
      <c r="W19" s="55"/>
      <c r="X19" s="55"/>
      <c r="Y19" s="55"/>
      <c r="Z19" s="55"/>
      <c r="AA19" s="55"/>
      <c r="AB19" s="55"/>
      <c r="AC19" s="55"/>
      <c r="AD19" s="55"/>
    </row>
    <row r="20">
      <c r="A20" s="148">
        <f>IFERROR(__xludf.DUMMYFUNCTION("""COMPUTED_VALUE"""),43333.58667824074)</f>
        <v>43333.58668</v>
      </c>
      <c r="B20" s="149" t="str">
        <f>IFERROR(__xludf.DUMMYFUNCTION("""COMPUTED_VALUE"""),"John Shoffner")</f>
        <v>John Shoffner</v>
      </c>
      <c r="C20" s="149" t="str">
        <f>IFERROR(__xludf.DUMMYFUNCTION("""COMPUTED_VALUE"""),"jmsiv9903@icloud.com")</f>
        <v>jmsiv9903@icloud.com</v>
      </c>
      <c r="D20" s="55" t="str">
        <f>IFERROR(__xludf.DUMMYFUNCTION("""COMPUTED_VALUE"""),"Assigned")</f>
        <v>Assigned</v>
      </c>
      <c r="E20" s="94">
        <f>IFERROR(__xludf.DUMMYFUNCTION("""COMPUTED_VALUE"""),43446.0)</f>
        <v>43446</v>
      </c>
      <c r="F20" s="93" t="str">
        <f>IFERROR(__xludf.DUMMYFUNCTION("""COMPUTED_VALUE"""),"Yes")</f>
        <v>Yes</v>
      </c>
      <c r="G20" s="55" t="str">
        <f>IFERROR(__xludf.DUMMYFUNCTION("""COMPUTED_VALUE"""),"Gene Disease Validity")</f>
        <v>Gene Disease Validity</v>
      </c>
      <c r="H20" s="55" t="str">
        <f>IFERROR(__xludf.DUMMYFUNCTION("""COMPUTED_VALUE"""),"Mitochondrial GCEP")</f>
        <v>Mitochondrial GCEP</v>
      </c>
      <c r="I20" s="150">
        <f t="shared" si="1"/>
        <v>43536</v>
      </c>
      <c r="J20" s="94">
        <f>IFERROR(__xludf.DUMMYFUNCTION("""COMPUTED_VALUE"""),43592.0)</f>
        <v>43592</v>
      </c>
      <c r="K20" s="147">
        <f t="shared" si="2"/>
        <v>43628</v>
      </c>
      <c r="L20" s="94">
        <f>IFERROR(__xludf.DUMMYFUNCTION("""COMPUTED_VALUE"""),43713.0)</f>
        <v>43713</v>
      </c>
      <c r="M20" s="55"/>
      <c r="N20" s="55"/>
      <c r="O20" s="55"/>
      <c r="P20" s="55"/>
      <c r="Q20" s="55"/>
      <c r="R20" s="55"/>
      <c r="S20" s="55"/>
      <c r="T20" s="55"/>
      <c r="U20" s="55"/>
      <c r="V20" s="55"/>
      <c r="W20" s="55"/>
      <c r="X20" s="55"/>
      <c r="Y20" s="55"/>
      <c r="Z20" s="55"/>
      <c r="AA20" s="55"/>
      <c r="AB20" s="55"/>
      <c r="AC20" s="55"/>
      <c r="AD20" s="55"/>
    </row>
    <row r="21">
      <c r="A21" s="148">
        <f>IFERROR(__xludf.DUMMYFUNCTION("""COMPUTED_VALUE"""),43335.587488425925)</f>
        <v>43335.58749</v>
      </c>
      <c r="B21" s="149" t="str">
        <f>IFERROR(__xludf.DUMMYFUNCTION("""COMPUTED_VALUE"""),"Isabelle Thiffault")</f>
        <v>Isabelle Thiffault</v>
      </c>
      <c r="C21" s="149" t="str">
        <f>IFERROR(__xludf.DUMMYFUNCTION("""COMPUTED_VALUE"""),"ithiffault@cmh.edu")</f>
        <v>ithiffault@cmh.edu</v>
      </c>
      <c r="D21" s="55" t="str">
        <f>IFERROR(__xludf.DUMMYFUNCTION("""COMPUTED_VALUE"""),"Assigned")</f>
        <v>Assigned</v>
      </c>
      <c r="E21" s="94">
        <f>IFERROR(__xludf.DUMMYFUNCTION("""COMPUTED_VALUE"""),43446.0)</f>
        <v>43446</v>
      </c>
      <c r="F21" s="93" t="str">
        <f>IFERROR(__xludf.DUMMYFUNCTION("""COMPUTED_VALUE"""),"Yes")</f>
        <v>Yes</v>
      </c>
      <c r="G21" s="55" t="str">
        <f>IFERROR(__xludf.DUMMYFUNCTION("""COMPUTED_VALUE"""),"Gene Disease Validity")</f>
        <v>Gene Disease Validity</v>
      </c>
      <c r="H21" s="55" t="str">
        <f>IFERROR(__xludf.DUMMYFUNCTION("""COMPUTED_VALUE"""),"Mitochondrial GCEP")</f>
        <v>Mitochondrial GCEP</v>
      </c>
      <c r="I21" s="150">
        <f t="shared" si="1"/>
        <v>43536</v>
      </c>
      <c r="J21" s="94">
        <f>IFERROR(__xludf.DUMMYFUNCTION("""COMPUTED_VALUE"""),43592.0)</f>
        <v>43592</v>
      </c>
      <c r="K21" s="147">
        <f t="shared" si="2"/>
        <v>43628</v>
      </c>
      <c r="L21" s="94">
        <f>IFERROR(__xludf.DUMMYFUNCTION("""COMPUTED_VALUE"""),43713.0)</f>
        <v>43713</v>
      </c>
      <c r="M21" s="55"/>
      <c r="N21" s="55"/>
      <c r="O21" s="55"/>
      <c r="P21" s="55"/>
      <c r="Q21" s="55"/>
      <c r="R21" s="55"/>
      <c r="S21" s="55"/>
      <c r="T21" s="55"/>
      <c r="U21" s="55"/>
      <c r="V21" s="55"/>
      <c r="W21" s="55"/>
      <c r="X21" s="55"/>
      <c r="Y21" s="55"/>
      <c r="Z21" s="55"/>
      <c r="AA21" s="55"/>
      <c r="AB21" s="55"/>
      <c r="AC21" s="55"/>
      <c r="AD21" s="55"/>
    </row>
    <row r="22">
      <c r="A22" s="148">
        <f>IFERROR(__xludf.DUMMYFUNCTION("""COMPUTED_VALUE"""),43350.59027777778)</f>
        <v>43350.59028</v>
      </c>
      <c r="B22" s="149" t="str">
        <f>IFERROR(__xludf.DUMMYFUNCTION("""COMPUTED_VALUE"""),"Colin Ellis")</f>
        <v>Colin Ellis</v>
      </c>
      <c r="C22" s="149" t="str">
        <f>IFERROR(__xludf.DUMMYFUNCTION("""COMPUTED_VALUE"""),"colin.ellis@uphs.upenn.edu")</f>
        <v>colin.ellis@uphs.upenn.edu</v>
      </c>
      <c r="D22" s="55" t="str">
        <f>IFERROR(__xludf.DUMMYFUNCTION("""COMPUTED_VALUE"""),"Assigned")</f>
        <v>Assigned</v>
      </c>
      <c r="E22" s="94">
        <f>IFERROR(__xludf.DUMMYFUNCTION("""COMPUTED_VALUE"""),43446.0)</f>
        <v>43446</v>
      </c>
      <c r="F22" s="93" t="str">
        <f>IFERROR(__xludf.DUMMYFUNCTION("""COMPUTED_VALUE"""),"Yes")</f>
        <v>Yes</v>
      </c>
      <c r="G22" s="55" t="str">
        <f>IFERROR(__xludf.DUMMYFUNCTION("""COMPUTED_VALUE"""),"Gene Disease Validity")</f>
        <v>Gene Disease Validity</v>
      </c>
      <c r="H22" s="55" t="str">
        <f>IFERROR(__xludf.DUMMYFUNCTION("""COMPUTED_VALUE"""),"Epilepsy GCEP")</f>
        <v>Epilepsy GCEP</v>
      </c>
      <c r="I22" s="150">
        <f t="shared" si="1"/>
        <v>43536</v>
      </c>
      <c r="J22" s="94">
        <f>IFERROR(__xludf.DUMMYFUNCTION("""COMPUTED_VALUE"""),43592.0)</f>
        <v>43592</v>
      </c>
      <c r="K22" s="147">
        <f t="shared" si="2"/>
        <v>43628</v>
      </c>
      <c r="L22" s="94">
        <f>IFERROR(__xludf.DUMMYFUNCTION("""COMPUTED_VALUE"""),43713.0)</f>
        <v>43713</v>
      </c>
      <c r="M22" s="55"/>
      <c r="N22" s="55"/>
      <c r="O22" s="55"/>
      <c r="P22" s="55"/>
      <c r="Q22" s="55"/>
      <c r="R22" s="55"/>
      <c r="S22" s="55"/>
      <c r="T22" s="55"/>
      <c r="U22" s="55"/>
      <c r="V22" s="55"/>
      <c r="W22" s="55"/>
      <c r="X22" s="55"/>
      <c r="Y22" s="55"/>
      <c r="Z22" s="55"/>
      <c r="AA22" s="55"/>
      <c r="AB22" s="55"/>
      <c r="AC22" s="55"/>
      <c r="AD22" s="55"/>
    </row>
    <row r="23">
      <c r="A23" s="148">
        <f>IFERROR(__xludf.DUMMYFUNCTION("""COMPUTED_VALUE"""),43354.59087962963)</f>
        <v>43354.59088</v>
      </c>
      <c r="B23" s="149" t="str">
        <f>IFERROR(__xludf.DUMMYFUNCTION("""COMPUTED_VALUE"""),"Mansour Zamanpoor")</f>
        <v>Mansour Zamanpoor</v>
      </c>
      <c r="C23" s="149" t="str">
        <f>IFERROR(__xludf.DUMMYFUNCTION("""COMPUTED_VALUE"""),"mansour.zamanpoor@ccdhb.org.nz")</f>
        <v>mansour.zamanpoor@ccdhb.org.nz</v>
      </c>
      <c r="D23" s="55" t="str">
        <f>IFERROR(__xludf.DUMMYFUNCTION("""COMPUTED_VALUE"""),"Declined")</f>
        <v>Declined</v>
      </c>
      <c r="E23" s="94">
        <f>IFERROR(__xludf.DUMMYFUNCTION("""COMPUTED_VALUE"""),43446.0)</f>
        <v>43446</v>
      </c>
      <c r="F23" s="104" t="str">
        <f>IFERROR(__xludf.DUMMYFUNCTION("""COMPUTED_VALUE"""),"Yes")</f>
        <v>Yes</v>
      </c>
      <c r="G23" s="55" t="str">
        <f>IFERROR(__xludf.DUMMYFUNCTION("""COMPUTED_VALUE"""),"Gene Disease Validity")</f>
        <v>Gene Disease Validity</v>
      </c>
      <c r="H23" s="55" t="str">
        <f>IFERROR(__xludf.DUMMYFUNCTION("""COMPUTED_VALUE"""),"Hereditary Cancer")</f>
        <v>Hereditary Cancer</v>
      </c>
      <c r="I23" s="150">
        <f t="shared" si="1"/>
        <v>43536</v>
      </c>
      <c r="J23" s="94">
        <f>IFERROR(__xludf.DUMMYFUNCTION("""COMPUTED_VALUE"""),43592.0)</f>
        <v>43592</v>
      </c>
      <c r="K23" s="147">
        <f t="shared" si="2"/>
        <v>43628</v>
      </c>
      <c r="L23" s="94">
        <f>IFERROR(__xludf.DUMMYFUNCTION("""COMPUTED_VALUE"""),43713.0)</f>
        <v>43713</v>
      </c>
      <c r="M23" s="55"/>
      <c r="N23" s="55"/>
      <c r="O23" s="55"/>
      <c r="P23" s="55"/>
      <c r="Q23" s="55"/>
      <c r="R23" s="55"/>
      <c r="S23" s="55"/>
      <c r="T23" s="55"/>
      <c r="U23" s="55"/>
      <c r="V23" s="55"/>
      <c r="W23" s="55"/>
      <c r="X23" s="55"/>
      <c r="Y23" s="55"/>
      <c r="Z23" s="55"/>
      <c r="AA23" s="55"/>
      <c r="AB23" s="55"/>
      <c r="AC23" s="55"/>
      <c r="AD23" s="55"/>
    </row>
    <row r="24">
      <c r="A24" s="148">
        <f>IFERROR(__xludf.DUMMYFUNCTION("""COMPUTED_VALUE"""),43356.59159722222)</f>
        <v>43356.5916</v>
      </c>
      <c r="B24" s="149" t="str">
        <f>IFERROR(__xludf.DUMMYFUNCTION("""COMPUTED_VALUE"""),"Benjamin Kang")</f>
        <v>Benjamin Kang</v>
      </c>
      <c r="C24" s="149" t="str">
        <f>IFERROR(__xludf.DUMMYFUNCTION("""COMPUTED_VALUE"""),"bekang@emory.edu")</f>
        <v>bekang@emory.edu</v>
      </c>
      <c r="D24" s="55" t="str">
        <f>IFERROR(__xludf.DUMMYFUNCTION("""COMPUTED_VALUE"""),"Assigned")</f>
        <v>Assigned</v>
      </c>
      <c r="E24" s="94">
        <f>IFERROR(__xludf.DUMMYFUNCTION("""COMPUTED_VALUE"""),43446.0)</f>
        <v>43446</v>
      </c>
      <c r="F24" s="105" t="str">
        <f>IFERROR(__xludf.DUMMYFUNCTION("""COMPUTED_VALUE"""),"Yes")</f>
        <v>Yes</v>
      </c>
      <c r="G24" s="55" t="str">
        <f>IFERROR(__xludf.DUMMYFUNCTION("""COMPUTED_VALUE"""),"Gene Disease Validity")</f>
        <v>Gene Disease Validity</v>
      </c>
      <c r="H24" s="55" t="str">
        <f>IFERROR(__xludf.DUMMYFUNCTION("""COMPUTED_VALUE"""),"Epilepsy ")</f>
        <v>Epilepsy </v>
      </c>
      <c r="I24" s="150">
        <f t="shared" si="1"/>
        <v>43536</v>
      </c>
      <c r="J24" s="94">
        <f>IFERROR(__xludf.DUMMYFUNCTION("""COMPUTED_VALUE"""),43592.0)</f>
        <v>43592</v>
      </c>
      <c r="K24" s="147">
        <f t="shared" si="2"/>
        <v>43628</v>
      </c>
      <c r="L24" s="94">
        <f>IFERROR(__xludf.DUMMYFUNCTION("""COMPUTED_VALUE"""),43713.0)</f>
        <v>43713</v>
      </c>
      <c r="M24" s="55"/>
      <c r="N24" s="55"/>
      <c r="O24" s="55"/>
      <c r="P24" s="55"/>
      <c r="Q24" s="55"/>
      <c r="R24" s="55"/>
      <c r="S24" s="55"/>
      <c r="T24" s="55"/>
      <c r="U24" s="55"/>
      <c r="V24" s="55"/>
      <c r="W24" s="55"/>
      <c r="X24" s="55"/>
      <c r="Y24" s="55"/>
      <c r="Z24" s="55"/>
      <c r="AA24" s="55"/>
      <c r="AB24" s="55"/>
      <c r="AC24" s="55"/>
      <c r="AD24" s="55"/>
    </row>
    <row r="25">
      <c r="A25" s="148">
        <f>IFERROR(__xludf.DUMMYFUNCTION("""COMPUTED_VALUE"""),43357.59306712963)</f>
        <v>43357.59307</v>
      </c>
      <c r="B25" s="149" t="str">
        <f>IFERROR(__xludf.DUMMYFUNCTION("""COMPUTED_VALUE"""),"Ljubica Caldovic")</f>
        <v>Ljubica Caldovic</v>
      </c>
      <c r="C25" s="149" t="str">
        <f>IFERROR(__xludf.DUMMYFUNCTION("""COMPUTED_VALUE"""),"lcaldovic@childrensnational.org")</f>
        <v>lcaldovic@childrensnational.org</v>
      </c>
      <c r="D25" s="55" t="str">
        <f>IFERROR(__xludf.DUMMYFUNCTION("""COMPUTED_VALUE"""),"Contacted")</f>
        <v>Contacted</v>
      </c>
      <c r="E25" s="94">
        <f>IFERROR(__xludf.DUMMYFUNCTION("""COMPUTED_VALUE"""),43585.0)</f>
        <v>43585</v>
      </c>
      <c r="F25" s="105" t="str">
        <f>IFERROR(__xludf.DUMMYFUNCTION("""COMPUTED_VALUE"""),"Yes")</f>
        <v>Yes</v>
      </c>
      <c r="G25" s="55" t="str">
        <f>IFERROR(__xludf.DUMMYFUNCTION("""COMPUTED_VALUE"""),"Gene Disease Validity")</f>
        <v>Gene Disease Validity</v>
      </c>
      <c r="H25" s="55" t="str">
        <f>IFERROR(__xludf.DUMMYFUNCTION("""COMPUTED_VALUE"""),"Aminoacidopathy")</f>
        <v>Aminoacidopathy</v>
      </c>
      <c r="I25" s="150">
        <f t="shared" si="1"/>
        <v>43676</v>
      </c>
      <c r="J25" s="55" t="str">
        <f>IFERROR(__xludf.DUMMYFUNCTION("""COMPUTED_VALUE"""),"")</f>
        <v/>
      </c>
      <c r="K25" s="147">
        <f t="shared" si="2"/>
        <v>43768</v>
      </c>
      <c r="L25" s="55" t="str">
        <f>IFERROR(__xludf.DUMMYFUNCTION("""COMPUTED_VALUE"""),"")</f>
        <v/>
      </c>
      <c r="M25" s="55"/>
      <c r="N25" s="55"/>
      <c r="O25" s="55"/>
      <c r="P25" s="55"/>
      <c r="Q25" s="55"/>
      <c r="R25" s="55"/>
      <c r="S25" s="55"/>
      <c r="T25" s="55"/>
      <c r="U25" s="55"/>
      <c r="V25" s="55"/>
      <c r="W25" s="55"/>
      <c r="X25" s="55"/>
      <c r="Y25" s="55"/>
      <c r="Z25" s="55"/>
      <c r="AA25" s="55"/>
      <c r="AB25" s="55"/>
      <c r="AC25" s="55"/>
      <c r="AD25" s="55"/>
    </row>
    <row r="26">
      <c r="A26" s="148">
        <f>IFERROR(__xludf.DUMMYFUNCTION("""COMPUTED_VALUE"""),43384.5971412037)</f>
        <v>43384.59714</v>
      </c>
      <c r="B26" s="149" t="str">
        <f>IFERROR(__xludf.DUMMYFUNCTION("""COMPUTED_VALUE"""),"Vaidehi Jobanputra")</f>
        <v>Vaidehi Jobanputra</v>
      </c>
      <c r="C26" s="149" t="str">
        <f>IFERROR(__xludf.DUMMYFUNCTION("""COMPUTED_VALUE"""),"vjobanputra@nygenome.org")</f>
        <v>vjobanputra@nygenome.org</v>
      </c>
      <c r="D26" s="55" t="str">
        <f>IFERROR(__xludf.DUMMYFUNCTION("""COMPUTED_VALUE"""),"Contacted")</f>
        <v>Contacted</v>
      </c>
      <c r="E26" s="94">
        <f>IFERROR(__xludf.DUMMYFUNCTION("""COMPUTED_VALUE"""),43446.0)</f>
        <v>43446</v>
      </c>
      <c r="F26" s="105" t="str">
        <f>IFERROR(__xludf.DUMMYFUNCTION("""COMPUTED_VALUE"""),"No")</f>
        <v>No</v>
      </c>
      <c r="G26" s="55" t="str">
        <f>IFERROR(__xludf.DUMMYFUNCTION("""COMPUTED_VALUE"""),"Gene Disease Validity")</f>
        <v>Gene Disease Validity</v>
      </c>
      <c r="H26" s="55" t="str">
        <f>IFERROR(__xludf.DUMMYFUNCTION("""COMPUTED_VALUE"""),"")</f>
        <v/>
      </c>
      <c r="I26" s="150">
        <f t="shared" si="1"/>
        <v>43536</v>
      </c>
      <c r="J26" s="55" t="str">
        <f>IFERROR(__xludf.DUMMYFUNCTION("""COMPUTED_VALUE"""),"")</f>
        <v/>
      </c>
      <c r="K26" s="147">
        <f t="shared" si="2"/>
        <v>43628</v>
      </c>
      <c r="L26" s="55" t="str">
        <f>IFERROR(__xludf.DUMMYFUNCTION("""COMPUTED_VALUE"""),"")</f>
        <v/>
      </c>
      <c r="M26" s="55"/>
      <c r="N26" s="55"/>
      <c r="O26" s="55"/>
      <c r="P26" s="55"/>
      <c r="Q26" s="55"/>
      <c r="R26" s="55"/>
      <c r="S26" s="55"/>
      <c r="T26" s="55"/>
      <c r="U26" s="55"/>
      <c r="V26" s="55"/>
      <c r="W26" s="55"/>
      <c r="X26" s="55"/>
      <c r="Y26" s="55"/>
      <c r="Z26" s="55"/>
      <c r="AA26" s="55"/>
      <c r="AB26" s="55"/>
      <c r="AC26" s="55"/>
      <c r="AD26" s="55"/>
    </row>
    <row r="27">
      <c r="A27" s="148">
        <f>IFERROR(__xludf.DUMMYFUNCTION("""COMPUTED_VALUE"""),43413.59946759259)</f>
        <v>43413.59947</v>
      </c>
      <c r="B27" s="149" t="str">
        <f>IFERROR(__xludf.DUMMYFUNCTION("""COMPUTED_VALUE"""),"Erik Thorland")</f>
        <v>Erik Thorland</v>
      </c>
      <c r="C27" s="149" t="str">
        <f>IFERROR(__xludf.DUMMYFUNCTION("""COMPUTED_VALUE"""),"thorland.erik@mayo.edu")</f>
        <v>thorland.erik@mayo.edu</v>
      </c>
      <c r="D27" s="55" t="str">
        <f>IFERROR(__xludf.DUMMYFUNCTION("""COMPUTED_VALUE"""),"Contacted")</f>
        <v>Contacted</v>
      </c>
      <c r="E27" s="93">
        <f>IFERROR(__xludf.DUMMYFUNCTION("""COMPUTED_VALUE"""),43585.0)</f>
        <v>43585</v>
      </c>
      <c r="F27" s="55" t="str">
        <f>IFERROR(__xludf.DUMMYFUNCTION("""COMPUTED_VALUE"""),"No")</f>
        <v>No</v>
      </c>
      <c r="G27" s="55" t="str">
        <f>IFERROR(__xludf.DUMMYFUNCTION("""COMPUTED_VALUE"""),"Gene Disease Validity")</f>
        <v>Gene Disease Validity</v>
      </c>
      <c r="H27" s="55" t="str">
        <f>IFERROR(__xludf.DUMMYFUNCTION("""COMPUTED_VALUE"""),"Epilepsy")</f>
        <v>Epilepsy</v>
      </c>
      <c r="I27" s="150">
        <f t="shared" si="1"/>
        <v>43676</v>
      </c>
      <c r="J27" s="94">
        <f>IFERROR(__xludf.DUMMYFUNCTION("""COMPUTED_VALUE"""),43712.0)</f>
        <v>43712</v>
      </c>
      <c r="K27" s="147">
        <f t="shared" si="2"/>
        <v>43768</v>
      </c>
      <c r="L27" s="94" t="str">
        <f>IFERROR(__xludf.DUMMYFUNCTION("""COMPUTED_VALUE"""),"")</f>
        <v/>
      </c>
      <c r="M27" s="55"/>
      <c r="N27" s="55"/>
      <c r="O27" s="55"/>
      <c r="P27" s="55"/>
      <c r="Q27" s="55"/>
      <c r="R27" s="55"/>
      <c r="S27" s="55"/>
      <c r="T27" s="55"/>
      <c r="U27" s="55"/>
      <c r="V27" s="55"/>
      <c r="W27" s="55"/>
      <c r="X27" s="55"/>
      <c r="Y27" s="55"/>
      <c r="Z27" s="55"/>
      <c r="AA27" s="55"/>
      <c r="AB27" s="55"/>
      <c r="AC27" s="55"/>
      <c r="AD27" s="55"/>
    </row>
    <row r="28">
      <c r="A28" s="148">
        <f>IFERROR(__xludf.DUMMYFUNCTION("""COMPUTED_VALUE"""),43434.60061342592)</f>
        <v>43434.60061</v>
      </c>
      <c r="B28" s="149" t="str">
        <f>IFERROR(__xludf.DUMMYFUNCTION("""COMPUTED_VALUE"""),"Olivia Rennie")</f>
        <v>Olivia Rennie</v>
      </c>
      <c r="C28" s="149" t="str">
        <f>IFERROR(__xludf.DUMMYFUNCTION("""COMPUTED_VALUE"""),"olivia.rennie@sickkids.ca")</f>
        <v>olivia.rennie@sickkids.ca</v>
      </c>
      <c r="D28" s="55" t="str">
        <f>IFERROR(__xludf.DUMMYFUNCTION("""COMPUTED_VALUE"""),"Assigned")</f>
        <v>Assigned</v>
      </c>
      <c r="E28" s="94">
        <f>IFERROR(__xludf.DUMMYFUNCTION("""COMPUTED_VALUE"""),43446.0)</f>
        <v>43446</v>
      </c>
      <c r="F28" s="93" t="str">
        <f>IFERROR(__xludf.DUMMYFUNCTION("""COMPUTED_VALUE"""),"Yes")</f>
        <v>Yes</v>
      </c>
      <c r="G28" s="55" t="str">
        <f>IFERROR(__xludf.DUMMYFUNCTION("""COMPUTED_VALUE"""),"Gene Disease Validity")</f>
        <v>Gene Disease Validity</v>
      </c>
      <c r="H28" s="55" t="str">
        <f>IFERROR(__xludf.DUMMYFUNCTION("""COMPUTED_VALUE"""),"ID Autism")</f>
        <v>ID Autism</v>
      </c>
      <c r="I28" s="150">
        <f t="shared" si="1"/>
        <v>43536</v>
      </c>
      <c r="J28" s="94">
        <f>IFERROR(__xludf.DUMMYFUNCTION("""COMPUTED_VALUE"""),43592.0)</f>
        <v>43592</v>
      </c>
      <c r="K28" s="147">
        <f t="shared" si="2"/>
        <v>43628</v>
      </c>
      <c r="L28" s="94">
        <f>IFERROR(__xludf.DUMMYFUNCTION("""COMPUTED_VALUE"""),43713.0)</f>
        <v>43713</v>
      </c>
      <c r="M28" s="55"/>
      <c r="N28" s="55"/>
      <c r="O28" s="55"/>
      <c r="P28" s="55"/>
      <c r="Q28" s="55"/>
      <c r="R28" s="55"/>
      <c r="S28" s="55"/>
      <c r="T28" s="55"/>
      <c r="U28" s="55"/>
      <c r="V28" s="55"/>
      <c r="W28" s="55"/>
      <c r="X28" s="55"/>
      <c r="Y28" s="55"/>
      <c r="Z28" s="55"/>
      <c r="AA28" s="55"/>
      <c r="AB28" s="55"/>
      <c r="AC28" s="55"/>
      <c r="AD28" s="55"/>
    </row>
    <row r="29">
      <c r="A29" s="148">
        <f>IFERROR(__xludf.DUMMYFUNCTION("""COMPUTED_VALUE"""),43473.60137534723)</f>
        <v>43473.60138</v>
      </c>
      <c r="B29" s="149" t="str">
        <f>IFERROR(__xludf.DUMMYFUNCTION("""COMPUTED_VALUE"""),"Kira Dies")</f>
        <v>Kira Dies</v>
      </c>
      <c r="C29" s="149" t="str">
        <f>IFERROR(__xludf.DUMMYFUNCTION("""COMPUTED_VALUE"""),"Kira.Dies@childrens.harvard.edu")</f>
        <v>Kira.Dies@childrens.harvard.edu</v>
      </c>
      <c r="D29" s="55" t="str">
        <f>IFERROR(__xludf.DUMMYFUNCTION("""COMPUTED_VALUE"""),"Declined")</f>
        <v>Declined</v>
      </c>
      <c r="E29" s="94">
        <f>IFERROR(__xludf.DUMMYFUNCTION("""COMPUTED_VALUE"""),43446.0)</f>
        <v>43446</v>
      </c>
      <c r="F29" s="93" t="str">
        <f>IFERROR(__xludf.DUMMYFUNCTION("""COMPUTED_VALUE"""),"Yes")</f>
        <v>Yes</v>
      </c>
      <c r="G29" s="55" t="str">
        <f>IFERROR(__xludf.DUMMYFUNCTION("""COMPUTED_VALUE"""),"Gene Disease Validity")</f>
        <v>Gene Disease Validity</v>
      </c>
      <c r="H29" s="55" t="str">
        <f>IFERROR(__xludf.DUMMYFUNCTION("""COMPUTED_VALUE"""),"ID Autism")</f>
        <v>ID Autism</v>
      </c>
      <c r="I29" s="150">
        <f t="shared" si="1"/>
        <v>43536</v>
      </c>
      <c r="J29" s="94">
        <f>IFERROR(__xludf.DUMMYFUNCTION("""COMPUTED_VALUE"""),43592.0)</f>
        <v>43592</v>
      </c>
      <c r="K29" s="147">
        <f t="shared" si="2"/>
        <v>43628</v>
      </c>
      <c r="L29" s="94">
        <f>IFERROR(__xludf.DUMMYFUNCTION("""COMPUTED_VALUE"""),43713.0)</f>
        <v>43713</v>
      </c>
      <c r="M29" s="55"/>
      <c r="N29" s="55"/>
      <c r="O29" s="55"/>
      <c r="P29" s="55"/>
      <c r="Q29" s="55"/>
      <c r="R29" s="55"/>
      <c r="S29" s="55"/>
      <c r="T29" s="55"/>
      <c r="U29" s="55"/>
      <c r="V29" s="55"/>
      <c r="W29" s="55"/>
      <c r="X29" s="55"/>
      <c r="Y29" s="55"/>
      <c r="Z29" s="55"/>
      <c r="AA29" s="55"/>
      <c r="AB29" s="55"/>
      <c r="AC29" s="55"/>
      <c r="AD29" s="55"/>
    </row>
    <row r="30">
      <c r="A30" s="148">
        <f>IFERROR(__xludf.DUMMYFUNCTION("""COMPUTED_VALUE"""),43335.60587962963)</f>
        <v>43335.60588</v>
      </c>
      <c r="B30" s="149" t="str">
        <f>IFERROR(__xludf.DUMMYFUNCTION("""COMPUTED_VALUE"""),"Sainan Wei")</f>
        <v>Sainan Wei</v>
      </c>
      <c r="C30" s="149" t="str">
        <f>IFERROR(__xludf.DUMMYFUNCTION("""COMPUTED_VALUE"""),"sainan.wei@uky.edu ")</f>
        <v>sainan.wei@uky.edu </v>
      </c>
      <c r="D30" s="55" t="str">
        <f>IFERROR(__xludf.DUMMYFUNCTION("""COMPUTED_VALUE"""),"Assigned")</f>
        <v>Assigned</v>
      </c>
      <c r="E30" s="105">
        <f>IFERROR(__xludf.DUMMYFUNCTION("""COMPUTED_VALUE"""),43341.0)</f>
        <v>43341</v>
      </c>
      <c r="F30" s="105" t="str">
        <f>IFERROR(__xludf.DUMMYFUNCTION("""COMPUTED_VALUE"""),"Yes")</f>
        <v>Yes</v>
      </c>
      <c r="G30" s="55" t="str">
        <f>IFERROR(__xludf.DUMMYFUNCTION("""COMPUTED_VALUE"""),"Gene Disease Validity")</f>
        <v>Gene Disease Validity</v>
      </c>
      <c r="H30" s="55" t="str">
        <f>IFERROR(__xludf.DUMMYFUNCTION("""COMPUTED_VALUE"""),"Hereditary Cancer")</f>
        <v>Hereditary Cancer</v>
      </c>
      <c r="I30" s="150">
        <f t="shared" si="1"/>
        <v>43433</v>
      </c>
      <c r="J30" s="94">
        <f>IFERROR(__xludf.DUMMYFUNCTION("""COMPUTED_VALUE"""),43592.0)</f>
        <v>43592</v>
      </c>
      <c r="K30" s="147">
        <f t="shared" si="2"/>
        <v>43524</v>
      </c>
      <c r="L30" s="94">
        <f>IFERROR(__xludf.DUMMYFUNCTION("""COMPUTED_VALUE"""),43713.0)</f>
        <v>43713</v>
      </c>
      <c r="M30" s="55"/>
      <c r="N30" s="55"/>
      <c r="O30" s="55"/>
      <c r="P30" s="55"/>
      <c r="Q30" s="55"/>
      <c r="R30" s="55"/>
      <c r="S30" s="55"/>
      <c r="T30" s="55"/>
      <c r="U30" s="55"/>
      <c r="V30" s="55"/>
      <c r="W30" s="55"/>
      <c r="X30" s="55"/>
      <c r="Y30" s="55"/>
      <c r="Z30" s="55"/>
      <c r="AA30" s="55"/>
      <c r="AB30" s="55"/>
      <c r="AC30" s="55"/>
      <c r="AD30" s="55"/>
    </row>
    <row r="31">
      <c r="A31" s="148">
        <f>IFERROR(__xludf.DUMMYFUNCTION("""COMPUTED_VALUE"""),43339.60663194444)</f>
        <v>43339.60663</v>
      </c>
      <c r="B31" s="149" t="str">
        <f>IFERROR(__xludf.DUMMYFUNCTION("""COMPUTED_VALUE"""),"Preti Jain")</f>
        <v>Preti Jain</v>
      </c>
      <c r="C31" s="149" t="str">
        <f>IFERROR(__xludf.DUMMYFUNCTION("""COMPUTED_VALUE"""),"preti.jain@yale.edu")</f>
        <v>preti.jain@yale.edu</v>
      </c>
      <c r="D31" s="55" t="str">
        <f>IFERROR(__xludf.DUMMYFUNCTION("""COMPUTED_VALUE"""),"Assigned")</f>
        <v>Assigned</v>
      </c>
      <c r="E31" s="94">
        <f>IFERROR(__xludf.DUMMYFUNCTION("""COMPUTED_VALUE"""),43453.0)</f>
        <v>43453</v>
      </c>
      <c r="F31" s="104" t="str">
        <f>IFERROR(__xludf.DUMMYFUNCTION("""COMPUTED_VALUE"""),"Yes")</f>
        <v>Yes</v>
      </c>
      <c r="G31" s="55" t="str">
        <f>IFERROR(__xludf.DUMMYFUNCTION("""COMPUTED_VALUE"""),"Dosage Sensitivity")</f>
        <v>Dosage Sensitivity</v>
      </c>
      <c r="H31" s="55" t="str">
        <f>IFERROR(__xludf.DUMMYFUNCTION("""COMPUTED_VALUE"""),"")</f>
        <v/>
      </c>
      <c r="I31" s="150">
        <f t="shared" si="1"/>
        <v>43543</v>
      </c>
      <c r="J31" s="94">
        <f>IFERROR(__xludf.DUMMYFUNCTION("""COMPUTED_VALUE"""),43592.0)</f>
        <v>43592</v>
      </c>
      <c r="K31" s="147">
        <f t="shared" si="2"/>
        <v>43635</v>
      </c>
      <c r="L31" s="94">
        <f>IFERROR(__xludf.DUMMYFUNCTION("""COMPUTED_VALUE"""),43713.0)</f>
        <v>43713</v>
      </c>
      <c r="M31" s="55"/>
      <c r="N31" s="55"/>
      <c r="O31" s="55"/>
      <c r="P31" s="55"/>
      <c r="Q31" s="55"/>
      <c r="R31" s="55"/>
      <c r="S31" s="55"/>
      <c r="T31" s="55"/>
      <c r="U31" s="55"/>
      <c r="V31" s="55"/>
      <c r="W31" s="55"/>
      <c r="X31" s="55"/>
      <c r="Y31" s="55"/>
      <c r="Z31" s="55"/>
      <c r="AA31" s="55"/>
      <c r="AB31" s="55"/>
      <c r="AC31" s="55"/>
      <c r="AD31" s="55"/>
    </row>
    <row r="32">
      <c r="A32" s="148">
        <f>IFERROR(__xludf.DUMMYFUNCTION("""COMPUTED_VALUE"""),43355.61038194444)</f>
        <v>43355.61038</v>
      </c>
      <c r="B32" s="149" t="str">
        <f>IFERROR(__xludf.DUMMYFUNCTION("""COMPUTED_VALUE"""),"Andrea Vaags")</f>
        <v>Andrea Vaags</v>
      </c>
      <c r="C32" s="149" t="str">
        <f>IFERROR(__xludf.DUMMYFUNCTION("""COMPUTED_VALUE"""),"andrea.vaags@thp.ca")</f>
        <v>andrea.vaags@thp.ca</v>
      </c>
      <c r="D32" s="55" t="str">
        <f>IFERROR(__xludf.DUMMYFUNCTION("""COMPUTED_VALUE"""),"Assigned")</f>
        <v>Assigned</v>
      </c>
      <c r="E32" s="105">
        <f>IFERROR(__xludf.DUMMYFUNCTION("""COMPUTED_VALUE"""),43341.0)</f>
        <v>43341</v>
      </c>
      <c r="F32" s="93" t="str">
        <f>IFERROR(__xludf.DUMMYFUNCTION("""COMPUTED_VALUE"""),"Yes")</f>
        <v>Yes</v>
      </c>
      <c r="G32" s="55" t="str">
        <f>IFERROR(__xludf.DUMMYFUNCTION("""COMPUTED_VALUE"""),"Dosage Sensitivity")</f>
        <v>Dosage Sensitivity</v>
      </c>
      <c r="H32" s="55" t="str">
        <f>IFERROR(__xludf.DUMMYFUNCTION("""COMPUTED_VALUE"""),"")</f>
        <v/>
      </c>
      <c r="I32" s="150">
        <f t="shared" si="1"/>
        <v>43433</v>
      </c>
      <c r="J32" s="94">
        <f>IFERROR(__xludf.DUMMYFUNCTION("""COMPUTED_VALUE"""),43592.0)</f>
        <v>43592</v>
      </c>
      <c r="K32" s="147">
        <f t="shared" si="2"/>
        <v>43524</v>
      </c>
      <c r="L32" s="94">
        <f>IFERROR(__xludf.DUMMYFUNCTION("""COMPUTED_VALUE"""),43713.0)</f>
        <v>43713</v>
      </c>
      <c r="M32" s="55"/>
      <c r="N32" s="55"/>
      <c r="O32" s="55"/>
      <c r="P32" s="55"/>
      <c r="Q32" s="55"/>
      <c r="R32" s="55"/>
      <c r="S32" s="55"/>
      <c r="T32" s="55"/>
      <c r="U32" s="55"/>
      <c r="V32" s="55"/>
      <c r="W32" s="55"/>
      <c r="X32" s="55"/>
      <c r="Y32" s="55"/>
      <c r="Z32" s="55"/>
      <c r="AA32" s="55"/>
      <c r="AB32" s="55"/>
      <c r="AC32" s="55"/>
      <c r="AD32" s="55"/>
    </row>
    <row r="33" ht="16.5" customHeight="1">
      <c r="A33" s="148">
        <f>IFERROR(__xludf.DUMMYFUNCTION("""COMPUTED_VALUE"""),43402.61143518519)</f>
        <v>43402.61144</v>
      </c>
      <c r="B33" s="149" t="str">
        <f>IFERROR(__xludf.DUMMYFUNCTION("""COMPUTED_VALUE"""),"George Burghel")</f>
        <v>George Burghel</v>
      </c>
      <c r="C33" s="149" t="str">
        <f>IFERROR(__xludf.DUMMYFUNCTION("""COMPUTED_VALUE"""),"george.burghel@mft.nhs.uk")</f>
        <v>george.burghel@mft.nhs.uk</v>
      </c>
      <c r="D33" s="55" t="str">
        <f>IFERROR(__xludf.DUMMYFUNCTION("""COMPUTED_VALUE"""),"Assigned")</f>
        <v>Assigned</v>
      </c>
      <c r="E33" s="94">
        <f>IFERROR(__xludf.DUMMYFUNCTION("""COMPUTED_VALUE"""),43453.0)</f>
        <v>43453</v>
      </c>
      <c r="F33" s="104" t="str">
        <f>IFERROR(__xludf.DUMMYFUNCTION("""COMPUTED_VALUE"""),"Yes")</f>
        <v>Yes</v>
      </c>
      <c r="G33" s="55" t="str">
        <f>IFERROR(__xludf.DUMMYFUNCTION("""COMPUTED_VALUE"""),"Dosage Sensitivity")</f>
        <v>Dosage Sensitivity</v>
      </c>
      <c r="H33" s="55" t="str">
        <f>IFERROR(__xludf.DUMMYFUNCTION("""COMPUTED_VALUE"""),"")</f>
        <v/>
      </c>
      <c r="I33" s="150">
        <f t="shared" si="1"/>
        <v>43543</v>
      </c>
      <c r="J33" s="94">
        <f>IFERROR(__xludf.DUMMYFUNCTION("""COMPUTED_VALUE"""),43592.0)</f>
        <v>43592</v>
      </c>
      <c r="K33" s="147">
        <f t="shared" si="2"/>
        <v>43635</v>
      </c>
      <c r="L33" s="94">
        <f>IFERROR(__xludf.DUMMYFUNCTION("""COMPUTED_VALUE"""),43713.0)</f>
        <v>43713</v>
      </c>
      <c r="M33" s="55"/>
      <c r="N33" s="55"/>
      <c r="O33" s="55"/>
      <c r="P33" s="55"/>
      <c r="Q33" s="55"/>
      <c r="R33" s="55"/>
      <c r="S33" s="55"/>
      <c r="T33" s="55"/>
      <c r="U33" s="55"/>
      <c r="V33" s="55"/>
      <c r="W33" s="55"/>
      <c r="X33" s="55"/>
      <c r="Y33" s="55"/>
      <c r="Z33" s="55"/>
      <c r="AA33" s="55"/>
      <c r="AB33" s="55"/>
      <c r="AC33" s="55"/>
      <c r="AD33" s="55"/>
    </row>
    <row r="34">
      <c r="A34" s="148">
        <f>IFERROR(__xludf.DUMMYFUNCTION("""COMPUTED_VALUE"""),43417.612164351856)</f>
        <v>43417.61216</v>
      </c>
      <c r="B34" s="149" t="str">
        <f>IFERROR(__xludf.DUMMYFUNCTION("""COMPUTED_VALUE"""),"Coumarane Mani")</f>
        <v>Coumarane Mani</v>
      </c>
      <c r="C34" s="149" t="str">
        <f>IFERROR(__xludf.DUMMYFUNCTION("""COMPUTED_VALUE"""),"coumarane.mani@aruplab.com")</f>
        <v>coumarane.mani@aruplab.com</v>
      </c>
      <c r="D34" s="55" t="str">
        <f>IFERROR(__xludf.DUMMYFUNCTION("""COMPUTED_VALUE"""),"Assigned")</f>
        <v>Assigned</v>
      </c>
      <c r="E34" s="94">
        <f>IFERROR(__xludf.DUMMYFUNCTION("""COMPUTED_VALUE"""),43453.0)</f>
        <v>43453</v>
      </c>
      <c r="F34" s="104" t="str">
        <f>IFERROR(__xludf.DUMMYFUNCTION("""COMPUTED_VALUE"""),"Yes")</f>
        <v>Yes</v>
      </c>
      <c r="G34" s="55" t="str">
        <f>IFERROR(__xludf.DUMMYFUNCTION("""COMPUTED_VALUE"""),"Dosage Sensitivity")</f>
        <v>Dosage Sensitivity</v>
      </c>
      <c r="H34" s="55" t="str">
        <f>IFERROR(__xludf.DUMMYFUNCTION("""COMPUTED_VALUE"""),"")</f>
        <v/>
      </c>
      <c r="I34" s="150">
        <f t="shared" si="1"/>
        <v>43543</v>
      </c>
      <c r="J34" s="94">
        <f>IFERROR(__xludf.DUMMYFUNCTION("""COMPUTED_VALUE"""),43592.0)</f>
        <v>43592</v>
      </c>
      <c r="K34" s="147">
        <f t="shared" si="2"/>
        <v>43635</v>
      </c>
      <c r="L34" s="94">
        <f>IFERROR(__xludf.DUMMYFUNCTION("""COMPUTED_VALUE"""),43713.0)</f>
        <v>43713</v>
      </c>
      <c r="M34" s="55"/>
      <c r="N34" s="55"/>
      <c r="O34" s="55"/>
      <c r="P34" s="55"/>
      <c r="Q34" s="55"/>
      <c r="R34" s="55"/>
      <c r="S34" s="55"/>
      <c r="T34" s="55"/>
      <c r="U34" s="55"/>
      <c r="V34" s="55"/>
      <c r="W34" s="55"/>
      <c r="X34" s="55"/>
      <c r="Y34" s="55"/>
      <c r="Z34" s="55"/>
      <c r="AA34" s="55"/>
      <c r="AB34" s="55"/>
      <c r="AC34" s="55"/>
      <c r="AD34" s="55"/>
    </row>
    <row r="35">
      <c r="A35" s="148">
        <f>IFERROR(__xludf.DUMMYFUNCTION("""COMPUTED_VALUE"""),43438.613125)</f>
        <v>43438.61313</v>
      </c>
      <c r="B35" s="149" t="str">
        <f>IFERROR(__xludf.DUMMYFUNCTION("""COMPUTED_VALUE"""),"Mahesh Iddawela")</f>
        <v>Mahesh Iddawela</v>
      </c>
      <c r="C35" s="149" t="str">
        <f>IFERROR(__xludf.DUMMYFUNCTION("""COMPUTED_VALUE"""),"mahesh.iddawela@monash.edu")</f>
        <v>mahesh.iddawela@monash.edu</v>
      </c>
      <c r="D35" s="55" t="str">
        <f>IFERROR(__xludf.DUMMYFUNCTION("""COMPUTED_VALUE"""),"Assigned")</f>
        <v>Assigned</v>
      </c>
      <c r="E35" s="94">
        <f>IFERROR(__xludf.DUMMYFUNCTION("""COMPUTED_VALUE"""),43453.0)</f>
        <v>43453</v>
      </c>
      <c r="F35" s="94" t="str">
        <f>IFERROR(__xludf.DUMMYFUNCTION("""COMPUTED_VALUE"""),"Yes")</f>
        <v>Yes</v>
      </c>
      <c r="G35" s="55" t="str">
        <f>IFERROR(__xludf.DUMMYFUNCTION("""COMPUTED_VALUE"""),"Dosage Sensitivity")</f>
        <v>Dosage Sensitivity</v>
      </c>
      <c r="H35" s="55" t="str">
        <f>IFERROR(__xludf.DUMMYFUNCTION("""COMPUTED_VALUE"""),"")</f>
        <v/>
      </c>
      <c r="I35" s="150">
        <f t="shared" si="1"/>
        <v>43543</v>
      </c>
      <c r="J35" s="94">
        <f>IFERROR(__xludf.DUMMYFUNCTION("""COMPUTED_VALUE"""),43592.0)</f>
        <v>43592</v>
      </c>
      <c r="K35" s="147">
        <f t="shared" si="2"/>
        <v>43635</v>
      </c>
      <c r="L35" s="94">
        <f>IFERROR(__xludf.DUMMYFUNCTION("""COMPUTED_VALUE"""),43713.0)</f>
        <v>43713</v>
      </c>
      <c r="M35" s="55"/>
      <c r="N35" s="55"/>
      <c r="O35" s="55"/>
      <c r="P35" s="55"/>
      <c r="Q35" s="55"/>
      <c r="R35" s="55"/>
      <c r="S35" s="55"/>
      <c r="T35" s="55"/>
      <c r="U35" s="55"/>
      <c r="V35" s="55"/>
      <c r="W35" s="55"/>
      <c r="X35" s="55"/>
      <c r="Y35" s="55"/>
      <c r="Z35" s="55"/>
      <c r="AA35" s="55"/>
      <c r="AB35" s="55"/>
      <c r="AC35" s="55"/>
      <c r="AD35" s="55"/>
    </row>
    <row r="36">
      <c r="A36" s="148">
        <f>IFERROR(__xludf.DUMMYFUNCTION("""COMPUTED_VALUE"""),43440.61386574074)</f>
        <v>43440.61387</v>
      </c>
      <c r="B36" s="149" t="str">
        <f>IFERROR(__xludf.DUMMYFUNCTION("""COMPUTED_VALUE"""),"Diogo Ventura Lovato")</f>
        <v>Diogo Ventura Lovato</v>
      </c>
      <c r="C36" s="149" t="str">
        <f>IFERROR(__xludf.DUMMYFUNCTION("""COMPUTED_VALUE"""),"diogo.v.lovato@gmail.com")</f>
        <v>diogo.v.lovato@gmail.com</v>
      </c>
      <c r="D36" s="55" t="str">
        <f>IFERROR(__xludf.DUMMYFUNCTION("""COMPUTED_VALUE"""),"Assigned")</f>
        <v>Assigned</v>
      </c>
      <c r="E36" s="94">
        <f>IFERROR(__xludf.DUMMYFUNCTION("""COMPUTED_VALUE"""),43453.0)</f>
        <v>43453</v>
      </c>
      <c r="F36" s="93" t="str">
        <f>IFERROR(__xludf.DUMMYFUNCTION("""COMPUTED_VALUE"""),"Yes")</f>
        <v>Yes</v>
      </c>
      <c r="G36" s="55" t="str">
        <f>IFERROR(__xludf.DUMMYFUNCTION("""COMPUTED_VALUE"""),"Dosage Sensitivity")</f>
        <v>Dosage Sensitivity</v>
      </c>
      <c r="H36" s="55" t="str">
        <f>IFERROR(__xludf.DUMMYFUNCTION("""COMPUTED_VALUE"""),"")</f>
        <v/>
      </c>
      <c r="I36" s="150">
        <f t="shared" si="1"/>
        <v>43543</v>
      </c>
      <c r="J36" s="94">
        <f>IFERROR(__xludf.DUMMYFUNCTION("""COMPUTED_VALUE"""),43592.0)</f>
        <v>43592</v>
      </c>
      <c r="K36" s="147">
        <f t="shared" si="2"/>
        <v>43635</v>
      </c>
      <c r="L36" s="94">
        <f>IFERROR(__xludf.DUMMYFUNCTION("""COMPUTED_VALUE"""),43713.0)</f>
        <v>43713</v>
      </c>
      <c r="M36" s="55"/>
      <c r="N36" s="55"/>
      <c r="O36" s="55"/>
      <c r="P36" s="55"/>
      <c r="Q36" s="55"/>
      <c r="R36" s="55"/>
      <c r="S36" s="55"/>
      <c r="T36" s="55"/>
      <c r="U36" s="55"/>
      <c r="V36" s="55"/>
      <c r="W36" s="55"/>
      <c r="X36" s="55"/>
      <c r="Y36" s="55"/>
      <c r="Z36" s="55"/>
      <c r="AA36" s="55"/>
      <c r="AB36" s="55"/>
      <c r="AC36" s="55"/>
      <c r="AD36" s="55"/>
    </row>
    <row r="37">
      <c r="A37" s="148">
        <f>IFERROR(__xludf.DUMMYFUNCTION("""COMPUTED_VALUE"""),43343.39832175926)</f>
        <v>43343.39832</v>
      </c>
      <c r="B37" s="149" t="str">
        <f>IFERROR(__xludf.DUMMYFUNCTION("""COMPUTED_VALUE"""),"Sameeha Shirwadkar")</f>
        <v>Sameeha Shirwadkar</v>
      </c>
      <c r="C37" s="149" t="str">
        <f>IFERROR(__xludf.DUMMYFUNCTION("""COMPUTED_VALUE"""),"sameeha9@gmail.com")</f>
        <v>sameeha9@gmail.com</v>
      </c>
      <c r="D37" s="55" t="str">
        <f>IFERROR(__xludf.DUMMYFUNCTION("""COMPUTED_VALUE"""),"Unresponsive")</f>
        <v>Unresponsive</v>
      </c>
      <c r="E37" s="104">
        <f>IFERROR(__xludf.DUMMYFUNCTION("""COMPUTED_VALUE"""),43476.0)</f>
        <v>43476</v>
      </c>
      <c r="F37" s="105" t="str">
        <f>IFERROR(__xludf.DUMMYFUNCTION("""COMPUTED_VALUE"""),"No")</f>
        <v>No</v>
      </c>
      <c r="G37" s="55" t="str">
        <f>IFERROR(__xludf.DUMMYFUNCTION("""COMPUTED_VALUE"""),"Somatic Cancer")</f>
        <v>Somatic Cancer</v>
      </c>
      <c r="H37" s="55" t="str">
        <f>IFERROR(__xludf.DUMMYFUNCTION("""COMPUTED_VALUE"""),"pancreatic cancer taskforce")</f>
        <v>pancreatic cancer taskforce</v>
      </c>
      <c r="I37" s="150">
        <f t="shared" si="1"/>
        <v>43566</v>
      </c>
      <c r="J37" s="94">
        <f>IFERROR(__xludf.DUMMYFUNCTION("""COMPUTED_VALUE"""),43592.0)</f>
        <v>43592</v>
      </c>
      <c r="K37" s="147">
        <f t="shared" si="2"/>
        <v>43657</v>
      </c>
      <c r="L37" s="55" t="str">
        <f>IFERROR(__xludf.DUMMYFUNCTION("""COMPUTED_VALUE"""),"-")</f>
        <v>-</v>
      </c>
      <c r="M37" s="55"/>
      <c r="N37" s="55"/>
      <c r="O37" s="55"/>
      <c r="P37" s="55"/>
      <c r="Q37" s="55"/>
      <c r="R37" s="55"/>
      <c r="S37" s="55"/>
      <c r="T37" s="55"/>
      <c r="U37" s="55"/>
      <c r="V37" s="55"/>
      <c r="W37" s="55"/>
      <c r="X37" s="55"/>
      <c r="Y37" s="55"/>
      <c r="Z37" s="55"/>
      <c r="AA37" s="55"/>
      <c r="AB37" s="55"/>
      <c r="AC37" s="55"/>
      <c r="AD37" s="55"/>
    </row>
    <row r="38">
      <c r="A38" s="148">
        <f>IFERROR(__xludf.DUMMYFUNCTION("""COMPUTED_VALUE"""),43368.40216435185)</f>
        <v>43368.40216</v>
      </c>
      <c r="B38" s="149" t="str">
        <f>IFERROR(__xludf.DUMMYFUNCTION("""COMPUTED_VALUE"""),"Laura Richards")</f>
        <v>Laura Richards</v>
      </c>
      <c r="C38" s="149" t="str">
        <f>IFERROR(__xludf.DUMMYFUNCTION("""COMPUTED_VALUE"""),"lauram.richards@mail.utoronto.ca")</f>
        <v>lauram.richards@mail.utoronto.ca</v>
      </c>
      <c r="D38" s="55" t="str">
        <f>IFERROR(__xludf.DUMMYFUNCTION("""COMPUTED_VALUE"""),"Unresponsive")</f>
        <v>Unresponsive</v>
      </c>
      <c r="E38" s="104">
        <f>IFERROR(__xludf.DUMMYFUNCTION("""COMPUTED_VALUE"""),43476.0)</f>
        <v>43476</v>
      </c>
      <c r="F38" s="104" t="str">
        <f>IFERROR(__xludf.DUMMYFUNCTION("""COMPUTED_VALUE"""),"No")</f>
        <v>No</v>
      </c>
      <c r="G38" s="55" t="str">
        <f>IFERROR(__xludf.DUMMYFUNCTION("""COMPUTED_VALUE"""),"Somatic Cancer")</f>
        <v>Somatic Cancer</v>
      </c>
      <c r="H38" s="55" t="str">
        <f>IFERROR(__xludf.DUMMYFUNCTION("""COMPUTED_VALUE"""),"pediatric cancer taskforce")</f>
        <v>pediatric cancer taskforce</v>
      </c>
      <c r="I38" s="150">
        <f t="shared" si="1"/>
        <v>43566</v>
      </c>
      <c r="J38" s="94">
        <f>IFERROR(__xludf.DUMMYFUNCTION("""COMPUTED_VALUE"""),43592.0)</f>
        <v>43592</v>
      </c>
      <c r="K38" s="147">
        <f t="shared" si="2"/>
        <v>43657</v>
      </c>
      <c r="L38" s="94">
        <f>IFERROR(__xludf.DUMMYFUNCTION("""COMPUTED_VALUE"""),43713.0)</f>
        <v>43713</v>
      </c>
      <c r="M38" s="55"/>
      <c r="N38" s="55"/>
      <c r="O38" s="55"/>
      <c r="P38" s="55"/>
      <c r="Q38" s="55"/>
      <c r="R38" s="55"/>
      <c r="S38" s="55"/>
      <c r="T38" s="55"/>
      <c r="U38" s="55"/>
      <c r="V38" s="55"/>
      <c r="W38" s="55"/>
      <c r="X38" s="55"/>
      <c r="Y38" s="55"/>
      <c r="Z38" s="55"/>
      <c r="AA38" s="55"/>
      <c r="AB38" s="55"/>
      <c r="AC38" s="55"/>
      <c r="AD38" s="55"/>
    </row>
    <row r="39">
      <c r="A39" s="148">
        <f>IFERROR(__xludf.DUMMYFUNCTION("""COMPUTED_VALUE"""),43382.413773148146)</f>
        <v>43382.41377</v>
      </c>
      <c r="B39" s="149" t="str">
        <f>IFERROR(__xludf.DUMMYFUNCTION("""COMPUTED_VALUE"""),"Kaylee Barber")</f>
        <v>Kaylee Barber</v>
      </c>
      <c r="C39" s="149" t="str">
        <f>IFERROR(__xludf.DUMMYFUNCTION("""COMPUTED_VALUE"""),"kbarber@bioreference.com")</f>
        <v>kbarber@bioreference.com</v>
      </c>
      <c r="D39" s="55" t="str">
        <f>IFERROR(__xludf.DUMMYFUNCTION("""COMPUTED_VALUE"""),"Declined")</f>
        <v>Declined</v>
      </c>
      <c r="E39" s="104">
        <f>IFERROR(__xludf.DUMMYFUNCTION("""COMPUTED_VALUE"""),43476.0)</f>
        <v>43476</v>
      </c>
      <c r="F39" s="93" t="str">
        <f>IFERROR(__xludf.DUMMYFUNCTION("""COMPUTED_VALUE"""),"No")</f>
        <v>No</v>
      </c>
      <c r="G39" s="55" t="str">
        <f>IFERROR(__xludf.DUMMYFUNCTION("""COMPUTED_VALUE"""),"Somatic Cancer")</f>
        <v>Somatic Cancer</v>
      </c>
      <c r="H39" s="55" t="str">
        <f>IFERROR(__xludf.DUMMYFUNCTION("""COMPUTED_VALUE"""),"pancreatic cancer taskforce")</f>
        <v>pancreatic cancer taskforce</v>
      </c>
      <c r="I39" s="150">
        <f t="shared" si="1"/>
        <v>43566</v>
      </c>
      <c r="J39" s="94">
        <f>IFERROR(__xludf.DUMMYFUNCTION("""COMPUTED_VALUE"""),43592.0)</f>
        <v>43592</v>
      </c>
      <c r="K39" s="147">
        <f t="shared" si="2"/>
        <v>43657</v>
      </c>
      <c r="L39" s="55" t="str">
        <f>IFERROR(__xludf.DUMMYFUNCTION("""COMPUTED_VALUE"""),"-")</f>
        <v>-</v>
      </c>
      <c r="M39" s="55"/>
      <c r="N39" s="55"/>
      <c r="O39" s="55"/>
      <c r="P39" s="55"/>
      <c r="Q39" s="55"/>
      <c r="R39" s="55"/>
      <c r="S39" s="55"/>
      <c r="T39" s="55"/>
      <c r="U39" s="55"/>
      <c r="V39" s="55"/>
      <c r="W39" s="55"/>
      <c r="X39" s="55"/>
      <c r="Y39" s="55"/>
      <c r="Z39" s="55"/>
      <c r="AA39" s="55"/>
      <c r="AB39" s="55"/>
      <c r="AC39" s="55"/>
      <c r="AD39" s="55"/>
    </row>
    <row r="40">
      <c r="A40" s="148">
        <f>IFERROR(__xludf.DUMMYFUNCTION("""COMPUTED_VALUE"""),43395.41673611111)</f>
        <v>43395.41674</v>
      </c>
      <c r="B40" s="149" t="str">
        <f>IFERROR(__xludf.DUMMYFUNCTION("""COMPUTED_VALUE"""),"Wan-Hsin Lin")</f>
        <v>Wan-Hsin Lin</v>
      </c>
      <c r="C40" s="149" t="str">
        <f>IFERROR(__xludf.DUMMYFUNCTION("""COMPUTED_VALUE"""),"lin.wanhsin@mayo.edu")</f>
        <v>lin.wanhsin@mayo.edu</v>
      </c>
      <c r="D40" s="55" t="str">
        <f>IFERROR(__xludf.DUMMYFUNCTION("""COMPUTED_VALUE"""),"Assigned")</f>
        <v>Assigned</v>
      </c>
      <c r="E40" s="104">
        <f>IFERROR(__xludf.DUMMYFUNCTION("""COMPUTED_VALUE"""),43476.0)</f>
        <v>43476</v>
      </c>
      <c r="F40" s="93" t="str">
        <f>IFERROR(__xludf.DUMMYFUNCTION("""COMPUTED_VALUE"""),"No")</f>
        <v>No</v>
      </c>
      <c r="G40" s="55" t="str">
        <f>IFERROR(__xludf.DUMMYFUNCTION("""COMPUTED_VALUE"""),"Somatic Cancer")</f>
        <v>Somatic Cancer</v>
      </c>
      <c r="H40" s="55" t="str">
        <f>IFERROR(__xludf.DUMMYFUNCTION("""COMPUTED_VALUE"""),"pediatric and pancreatic cancer taskforces")</f>
        <v>pediatric and pancreatic cancer taskforces</v>
      </c>
      <c r="I40" s="150">
        <f t="shared" si="1"/>
        <v>43566</v>
      </c>
      <c r="J40" s="94">
        <f>IFERROR(__xludf.DUMMYFUNCTION("""COMPUTED_VALUE"""),43592.0)</f>
        <v>43592</v>
      </c>
      <c r="K40" s="147">
        <f t="shared" si="2"/>
        <v>43657</v>
      </c>
      <c r="L40" s="94">
        <f>IFERROR(__xludf.DUMMYFUNCTION("""COMPUTED_VALUE"""),43713.0)</f>
        <v>43713</v>
      </c>
      <c r="M40" s="55"/>
      <c r="N40" s="55"/>
      <c r="O40" s="55"/>
      <c r="P40" s="55"/>
      <c r="Q40" s="55"/>
      <c r="R40" s="55"/>
      <c r="S40" s="55"/>
      <c r="T40" s="55"/>
      <c r="U40" s="55"/>
      <c r="V40" s="55"/>
      <c r="W40" s="55"/>
      <c r="X40" s="55"/>
      <c r="Y40" s="55"/>
      <c r="Z40" s="55"/>
      <c r="AA40" s="55"/>
      <c r="AB40" s="55"/>
      <c r="AC40" s="55"/>
      <c r="AD40" s="55"/>
    </row>
    <row r="41">
      <c r="A41" s="148">
        <f>IFERROR(__xludf.DUMMYFUNCTION("""COMPUTED_VALUE"""),43398.4188425926)</f>
        <v>43398.41884</v>
      </c>
      <c r="B41" s="149" t="str">
        <f>IFERROR(__xludf.DUMMYFUNCTION("""COMPUTED_VALUE"""),"Stefan Rentas")</f>
        <v>Stefan Rentas</v>
      </c>
      <c r="C41" s="149" t="str">
        <f>IFERROR(__xludf.DUMMYFUNCTION("""COMPUTED_VALUE"""),"rentass@email.chop.edu")</f>
        <v>rentass@email.chop.edu</v>
      </c>
      <c r="D41" s="55" t="str">
        <f>IFERROR(__xludf.DUMMYFUNCTION("""COMPUTED_VALUE"""),"Unresponsive")</f>
        <v>Unresponsive</v>
      </c>
      <c r="E41" s="104">
        <f>IFERROR(__xludf.DUMMYFUNCTION("""COMPUTED_VALUE"""),43476.0)</f>
        <v>43476</v>
      </c>
      <c r="F41" s="104" t="str">
        <f>IFERROR(__xludf.DUMMYFUNCTION("""COMPUTED_VALUE"""),"No")</f>
        <v>No</v>
      </c>
      <c r="G41" s="55" t="str">
        <f>IFERROR(__xludf.DUMMYFUNCTION("""COMPUTED_VALUE"""),"Somatic Cancer")</f>
        <v>Somatic Cancer</v>
      </c>
      <c r="H41" s="55" t="str">
        <f>IFERROR(__xludf.DUMMYFUNCTION("""COMPUTED_VALUE"""),"pediatric cancer taskforce")</f>
        <v>pediatric cancer taskforce</v>
      </c>
      <c r="I41" s="150">
        <f t="shared" si="1"/>
        <v>43566</v>
      </c>
      <c r="J41" s="94">
        <f>IFERROR(__xludf.DUMMYFUNCTION("""COMPUTED_VALUE"""),43592.0)</f>
        <v>43592</v>
      </c>
      <c r="K41" s="147">
        <f t="shared" si="2"/>
        <v>43657</v>
      </c>
      <c r="L41" s="94">
        <f>IFERROR(__xludf.DUMMYFUNCTION("""COMPUTED_VALUE"""),43713.0)</f>
        <v>43713</v>
      </c>
      <c r="M41" s="55"/>
      <c r="N41" s="55"/>
      <c r="O41" s="55"/>
      <c r="P41" s="55"/>
      <c r="Q41" s="55"/>
      <c r="R41" s="55"/>
      <c r="S41" s="55"/>
      <c r="T41" s="55"/>
      <c r="U41" s="55"/>
      <c r="V41" s="55"/>
      <c r="W41" s="55"/>
      <c r="X41" s="55"/>
      <c r="Y41" s="55"/>
      <c r="Z41" s="55"/>
      <c r="AA41" s="55"/>
      <c r="AB41" s="55"/>
      <c r="AC41" s="55"/>
      <c r="AD41" s="55"/>
    </row>
    <row r="42">
      <c r="A42" s="148">
        <f>IFERROR(__xludf.DUMMYFUNCTION("""COMPUTED_VALUE"""),43422.42162037037)</f>
        <v>43422.42162</v>
      </c>
      <c r="B42" s="149" t="str">
        <f>IFERROR(__xludf.DUMMYFUNCTION("""COMPUTED_VALUE"""),"Iman Haroun")</f>
        <v>Iman Haroun</v>
      </c>
      <c r="C42" s="149" t="str">
        <f>IFERROR(__xludf.DUMMYFUNCTION("""COMPUTED_VALUE"""),"iman.haroun@readinghealth.org")</f>
        <v>iman.haroun@readinghealth.org</v>
      </c>
      <c r="D42" s="55" t="str">
        <f>IFERROR(__xludf.DUMMYFUNCTION("""COMPUTED_VALUE"""),"Unresponsive")</f>
        <v>Unresponsive</v>
      </c>
      <c r="E42" s="104">
        <f>IFERROR(__xludf.DUMMYFUNCTION("""COMPUTED_VALUE"""),43476.0)</f>
        <v>43476</v>
      </c>
      <c r="F42" s="94" t="str">
        <f>IFERROR(__xludf.DUMMYFUNCTION("""COMPUTED_VALUE"""),"No")</f>
        <v>No</v>
      </c>
      <c r="G42" s="55" t="str">
        <f>IFERROR(__xludf.DUMMYFUNCTION("""COMPUTED_VALUE"""),"Somatic Cancer")</f>
        <v>Somatic Cancer</v>
      </c>
      <c r="H42" s="55" t="str">
        <f>IFERROR(__xludf.DUMMYFUNCTION("""COMPUTED_VALUE"""),"pancreatic cancer taskforce")</f>
        <v>pancreatic cancer taskforce</v>
      </c>
      <c r="I42" s="150">
        <f t="shared" si="1"/>
        <v>43566</v>
      </c>
      <c r="J42" s="94">
        <f>IFERROR(__xludf.DUMMYFUNCTION("""COMPUTED_VALUE"""),43592.0)</f>
        <v>43592</v>
      </c>
      <c r="K42" s="147">
        <f t="shared" si="2"/>
        <v>43657</v>
      </c>
      <c r="L42" s="55" t="str">
        <f>IFERROR(__xludf.DUMMYFUNCTION("""COMPUTED_VALUE"""),"-")</f>
        <v>-</v>
      </c>
      <c r="M42" s="55"/>
      <c r="N42" s="55"/>
      <c r="O42" s="55"/>
      <c r="P42" s="55"/>
      <c r="Q42" s="55"/>
      <c r="R42" s="55"/>
      <c r="S42" s="55"/>
      <c r="T42" s="55"/>
      <c r="U42" s="55"/>
      <c r="V42" s="55"/>
      <c r="W42" s="55"/>
      <c r="X42" s="55"/>
      <c r="Y42" s="55"/>
      <c r="Z42" s="55"/>
      <c r="AA42" s="55"/>
      <c r="AB42" s="55"/>
      <c r="AC42" s="55"/>
      <c r="AD42" s="55"/>
    </row>
    <row r="43">
      <c r="A43" s="148">
        <f>IFERROR(__xludf.DUMMYFUNCTION("""COMPUTED_VALUE"""),43334.433587962965)</f>
        <v>43334.43359</v>
      </c>
      <c r="B43" s="149" t="str">
        <f>IFERROR(__xludf.DUMMYFUNCTION("""COMPUTED_VALUE"""),"Luke Drury")</f>
        <v>Luke Drury</v>
      </c>
      <c r="C43" s="149" t="str">
        <f>IFERROR(__xludf.DUMMYFUNCTION("""COMPUTED_VALUE"""),"luke.drury@preventiongenetics.com")</f>
        <v>luke.drury@preventiongenetics.com</v>
      </c>
      <c r="D43" s="55" t="str">
        <f>IFERROR(__xludf.DUMMYFUNCTION("""COMPUTED_VALUE"""),"Unresponsive")</f>
        <v>Unresponsive</v>
      </c>
      <c r="E43" s="93">
        <f>IFERROR(__xludf.DUMMYFUNCTION("""COMPUTED_VALUE"""),43605.0)</f>
        <v>43605</v>
      </c>
      <c r="F43" s="93" t="str">
        <f>IFERROR(__xludf.DUMMYFUNCTION("""COMPUTED_VALUE"""),"Yes")</f>
        <v>Yes</v>
      </c>
      <c r="G43" s="55" t="str">
        <f>IFERROR(__xludf.DUMMYFUNCTION("""COMPUTED_VALUE"""),"Variant Pathogenicity")</f>
        <v>Variant Pathogenicity</v>
      </c>
      <c r="H43" s="55" t="str">
        <f>IFERROR(__xludf.DUMMYFUNCTION("""COMPUTED_VALUE"""),"")</f>
        <v/>
      </c>
      <c r="I43" s="150">
        <f t="shared" si="1"/>
        <v>43697</v>
      </c>
      <c r="J43" s="55" t="str">
        <f>IFERROR(__xludf.DUMMYFUNCTION("""COMPUTED_VALUE"""),"")</f>
        <v/>
      </c>
      <c r="K43" s="147">
        <f t="shared" si="2"/>
        <v>43789</v>
      </c>
      <c r="L43" s="55" t="str">
        <f>IFERROR(__xludf.DUMMYFUNCTION("""COMPUTED_VALUE"""),"")</f>
        <v/>
      </c>
      <c r="M43" s="55"/>
      <c r="N43" s="55"/>
      <c r="O43" s="55"/>
      <c r="P43" s="55"/>
      <c r="Q43" s="55"/>
      <c r="R43" s="55"/>
      <c r="S43" s="55"/>
      <c r="T43" s="55"/>
      <c r="U43" s="55"/>
      <c r="V43" s="55"/>
      <c r="W43" s="55"/>
      <c r="X43" s="55"/>
      <c r="Y43" s="55"/>
      <c r="Z43" s="55"/>
      <c r="AA43" s="55"/>
      <c r="AB43" s="55"/>
      <c r="AC43" s="55"/>
      <c r="AD43" s="55"/>
    </row>
    <row r="44">
      <c r="A44" s="148">
        <f>IFERROR(__xludf.DUMMYFUNCTION("""COMPUTED_VALUE"""),43336.43583333334)</f>
        <v>43336.43583</v>
      </c>
      <c r="B44" s="149" t="str">
        <f>IFERROR(__xludf.DUMMYFUNCTION("""COMPUTED_VALUE"""),"Lynne Rosenblum")</f>
        <v>Lynne Rosenblum</v>
      </c>
      <c r="C44" s="149" t="str">
        <f>IFERROR(__xludf.DUMMYFUNCTION("""COMPUTED_VALUE"""),"lynne.rosenblum@integratedgenetics.com")</f>
        <v>lynne.rosenblum@integratedgenetics.com</v>
      </c>
      <c r="D44" s="55" t="str">
        <f>IFERROR(__xludf.DUMMYFUNCTION("""COMPUTED_VALUE"""),"Assigned")</f>
        <v>Assigned</v>
      </c>
      <c r="E44" s="93">
        <f>IFERROR(__xludf.DUMMYFUNCTION("""COMPUTED_VALUE"""),43605.0)</f>
        <v>43605</v>
      </c>
      <c r="F44" s="93" t="str">
        <f>IFERROR(__xludf.DUMMYFUNCTION("""COMPUTED_VALUE"""),"Yes")</f>
        <v>Yes</v>
      </c>
      <c r="G44" s="55" t="str">
        <f>IFERROR(__xludf.DUMMYFUNCTION("""COMPUTED_VALUE"""),"Variant Pathogenicity")</f>
        <v>Variant Pathogenicity</v>
      </c>
      <c r="H44" s="55" t="str">
        <f>IFERROR(__xludf.DUMMYFUNCTION("""COMPUTED_VALUE"""),"Storage Disease")</f>
        <v>Storage Disease</v>
      </c>
      <c r="I44" s="150">
        <f t="shared" si="1"/>
        <v>43697</v>
      </c>
      <c r="J44" s="94">
        <f>IFERROR(__xludf.DUMMYFUNCTION("""COMPUTED_VALUE"""),43712.0)</f>
        <v>43712</v>
      </c>
      <c r="K44" s="147">
        <f t="shared" si="2"/>
        <v>43789</v>
      </c>
      <c r="L44" s="94" t="str">
        <f>IFERROR(__xludf.DUMMYFUNCTION("""COMPUTED_VALUE"""),"")</f>
        <v/>
      </c>
      <c r="M44" s="55"/>
      <c r="N44" s="55"/>
      <c r="O44" s="55"/>
      <c r="P44" s="55"/>
      <c r="Q44" s="55"/>
      <c r="R44" s="55"/>
      <c r="S44" s="55"/>
      <c r="T44" s="55"/>
      <c r="U44" s="55"/>
      <c r="V44" s="55"/>
      <c r="W44" s="55"/>
      <c r="X44" s="55"/>
      <c r="Y44" s="55"/>
      <c r="Z44" s="55"/>
      <c r="AA44" s="55"/>
      <c r="AB44" s="55"/>
      <c r="AC44" s="55"/>
      <c r="AD44" s="55"/>
    </row>
    <row r="45">
      <c r="A45" s="148">
        <f>IFERROR(__xludf.DUMMYFUNCTION("""COMPUTED_VALUE"""),43340.43892361112)</f>
        <v>43340.43892</v>
      </c>
      <c r="B45" s="149" t="str">
        <f>IFERROR(__xludf.DUMMYFUNCTION("""COMPUTED_VALUE"""),"Yang Wang")</f>
        <v>Yang Wang</v>
      </c>
      <c r="C45" s="149" t="str">
        <f>IFERROR(__xludf.DUMMYFUNCTION("""COMPUTED_VALUE"""),"yangwangcmg@gmail.com")</f>
        <v>yangwangcmg@gmail.com</v>
      </c>
      <c r="D45" s="55" t="str">
        <f>IFERROR(__xludf.DUMMYFUNCTION("""COMPUTED_VALUE"""),"Assigned")</f>
        <v>Assigned</v>
      </c>
      <c r="E45" s="93">
        <f>IFERROR(__xludf.DUMMYFUNCTION("""COMPUTED_VALUE"""),43605.0)</f>
        <v>43605</v>
      </c>
      <c r="F45" s="93" t="str">
        <f>IFERROR(__xludf.DUMMYFUNCTION("""COMPUTED_VALUE"""),"No")</f>
        <v>No</v>
      </c>
      <c r="G45" s="55" t="str">
        <f>IFERROR(__xludf.DUMMYFUNCTION("""COMPUTED_VALUE"""),"Variant Pathogenicity")</f>
        <v>Variant Pathogenicity</v>
      </c>
      <c r="H45" s="55" t="str">
        <f>IFERROR(__xludf.DUMMYFUNCTION("""COMPUTED_VALUE"""),"ACADVL")</f>
        <v>ACADVL</v>
      </c>
      <c r="I45" s="150">
        <f t="shared" si="1"/>
        <v>43697</v>
      </c>
      <c r="J45" s="94">
        <f>IFERROR(__xludf.DUMMYFUNCTION("""COMPUTED_VALUE"""),43712.0)</f>
        <v>43712</v>
      </c>
      <c r="K45" s="147">
        <f t="shared" si="2"/>
        <v>43789</v>
      </c>
      <c r="L45" s="94" t="str">
        <f>IFERROR(__xludf.DUMMYFUNCTION("""COMPUTED_VALUE"""),"")</f>
        <v/>
      </c>
      <c r="M45" s="55"/>
      <c r="N45" s="55"/>
      <c r="O45" s="55"/>
      <c r="P45" s="55"/>
      <c r="Q45" s="55"/>
      <c r="R45" s="55"/>
      <c r="S45" s="55"/>
      <c r="T45" s="55"/>
      <c r="U45" s="55"/>
      <c r="V45" s="55"/>
      <c r="W45" s="55"/>
      <c r="X45" s="55"/>
      <c r="Y45" s="55"/>
      <c r="Z45" s="55"/>
      <c r="AA45" s="55"/>
      <c r="AB45" s="55"/>
      <c r="AC45" s="55"/>
      <c r="AD45" s="55"/>
    </row>
    <row r="46">
      <c r="A46" s="148">
        <f>IFERROR(__xludf.DUMMYFUNCTION("""COMPUTED_VALUE"""),43340.441666666666)</f>
        <v>43340.44167</v>
      </c>
      <c r="B46" s="149" t="str">
        <f>IFERROR(__xludf.DUMMYFUNCTION("""COMPUTED_VALUE"""),"Elaine Spector ")</f>
        <v>Elaine Spector </v>
      </c>
      <c r="C46" s="149" t="str">
        <f>IFERROR(__xludf.DUMMYFUNCTION("""COMPUTED_VALUE"""),"elaine.spector@childrenscolorado.org")</f>
        <v>elaine.spector@childrenscolorado.org</v>
      </c>
      <c r="D46" s="55" t="str">
        <f>IFERROR(__xludf.DUMMYFUNCTION("""COMPUTED_VALUE"""),"Contacted")</f>
        <v>Contacted</v>
      </c>
      <c r="E46" s="94">
        <f>IFERROR(__xludf.DUMMYFUNCTION("""COMPUTED_VALUE"""),43446.0)</f>
        <v>43446</v>
      </c>
      <c r="F46" s="93" t="str">
        <f>IFERROR(__xludf.DUMMYFUNCTION("""COMPUTED_VALUE"""),"No")</f>
        <v>No</v>
      </c>
      <c r="G46" s="55" t="str">
        <f>IFERROR(__xludf.DUMMYFUNCTION("""COMPUTED_VALUE"""),"Gene Disease Validity")</f>
        <v>Gene Disease Validity</v>
      </c>
      <c r="H46" s="55" t="str">
        <f>IFERROR(__xludf.DUMMYFUNCTION("""COMPUTED_VALUE"""),"")</f>
        <v/>
      </c>
      <c r="I46" s="150">
        <f t="shared" si="1"/>
        <v>43536</v>
      </c>
      <c r="J46" s="55" t="str">
        <f>IFERROR(__xludf.DUMMYFUNCTION("""COMPUTED_VALUE"""),"")</f>
        <v/>
      </c>
      <c r="K46" s="147">
        <f t="shared" si="2"/>
        <v>43628</v>
      </c>
      <c r="L46" s="55" t="str">
        <f>IFERROR(__xludf.DUMMYFUNCTION("""COMPUTED_VALUE"""),"")</f>
        <v/>
      </c>
      <c r="M46" s="55"/>
      <c r="N46" s="55"/>
      <c r="O46" s="55"/>
      <c r="P46" s="55"/>
      <c r="Q46" s="55"/>
      <c r="R46" s="55"/>
      <c r="S46" s="55"/>
      <c r="T46" s="55"/>
      <c r="U46" s="55"/>
      <c r="V46" s="55"/>
      <c r="W46" s="55"/>
      <c r="X46" s="55"/>
      <c r="Y46" s="55"/>
      <c r="Z46" s="55"/>
      <c r="AA46" s="55"/>
      <c r="AB46" s="55"/>
      <c r="AC46" s="55"/>
      <c r="AD46" s="55"/>
    </row>
    <row r="47">
      <c r="A47" s="148">
        <f>IFERROR(__xludf.DUMMYFUNCTION("""COMPUTED_VALUE"""),43369.4483449074)</f>
        <v>43369.44834</v>
      </c>
      <c r="B47" s="149" t="str">
        <f>IFERROR(__xludf.DUMMYFUNCTION("""COMPUTED_VALUE"""),"Rhonda Lassiter ")</f>
        <v>Rhonda Lassiter </v>
      </c>
      <c r="C47" s="149" t="str">
        <f>IFERROR(__xludf.DUMMYFUNCTION("""COMPUTED_VALUE"""),"rlassiter@ambrygen.com")</f>
        <v>rlassiter@ambrygen.com</v>
      </c>
      <c r="D47" s="55" t="str">
        <f>IFERROR(__xludf.DUMMYFUNCTION("""COMPUTED_VALUE"""),"Assigned")</f>
        <v>Assigned</v>
      </c>
      <c r="E47" s="93">
        <f>IFERROR(__xludf.DUMMYFUNCTION("""COMPUTED_VALUE"""),43608.0)</f>
        <v>43608</v>
      </c>
      <c r="F47" s="93" t="str">
        <f>IFERROR(__xludf.DUMMYFUNCTION("""COMPUTED_VALUE"""),"Yes")</f>
        <v>Yes</v>
      </c>
      <c r="G47" s="55" t="str">
        <f>IFERROR(__xludf.DUMMYFUNCTION("""COMPUTED_VALUE"""),"Variant Pathogenicity")</f>
        <v>Variant Pathogenicity</v>
      </c>
      <c r="H47" s="55" t="str">
        <f>IFERROR(__xludf.DUMMYFUNCTION("""COMPUTED_VALUE"""),"Brain Malformations")</f>
        <v>Brain Malformations</v>
      </c>
      <c r="I47" s="150">
        <f t="shared" si="1"/>
        <v>43700</v>
      </c>
      <c r="J47" s="94">
        <f>IFERROR(__xludf.DUMMYFUNCTION("""COMPUTED_VALUE"""),43712.0)</f>
        <v>43712</v>
      </c>
      <c r="K47" s="147">
        <f t="shared" si="2"/>
        <v>43792</v>
      </c>
      <c r="L47" s="94" t="str">
        <f>IFERROR(__xludf.DUMMYFUNCTION("""COMPUTED_VALUE"""),"")</f>
        <v/>
      </c>
      <c r="M47" s="55"/>
      <c r="N47" s="55"/>
      <c r="O47" s="55"/>
      <c r="P47" s="55"/>
      <c r="Q47" s="55"/>
      <c r="R47" s="55"/>
      <c r="S47" s="55"/>
      <c r="T47" s="55"/>
      <c r="U47" s="55"/>
      <c r="V47" s="55"/>
      <c r="W47" s="55"/>
      <c r="X47" s="55"/>
      <c r="Y47" s="55"/>
      <c r="Z47" s="55"/>
      <c r="AA47" s="55"/>
      <c r="AB47" s="55"/>
      <c r="AC47" s="55"/>
      <c r="AD47" s="55"/>
    </row>
    <row r="48">
      <c r="A48" s="148">
        <f>IFERROR(__xludf.DUMMYFUNCTION("""COMPUTED_VALUE"""),43389.45233796297)</f>
        <v>43389.45234</v>
      </c>
      <c r="B48" s="149" t="str">
        <f>IFERROR(__xludf.DUMMYFUNCTION("""COMPUTED_VALUE"""),"Emma Reble ")</f>
        <v>Emma Reble </v>
      </c>
      <c r="C48" s="149" t="str">
        <f>IFERROR(__xludf.DUMMYFUNCTION("""COMPUTED_VALUE"""),"reblee@smh.ca")</f>
        <v>reblee@smh.ca</v>
      </c>
      <c r="D48" s="55" t="str">
        <f>IFERROR(__xludf.DUMMYFUNCTION("""COMPUTED_VALUE"""),"Contacted")</f>
        <v>Contacted</v>
      </c>
      <c r="E48" s="93">
        <f>IFERROR(__xludf.DUMMYFUNCTION("""COMPUTED_VALUE"""),43608.0)</f>
        <v>43608</v>
      </c>
      <c r="F48" s="93" t="str">
        <f>IFERROR(__xludf.DUMMYFUNCTION("""COMPUTED_VALUE"""),"Yes")</f>
        <v>Yes</v>
      </c>
      <c r="G48" s="55" t="str">
        <f>IFERROR(__xludf.DUMMYFUNCTION("""COMPUTED_VALUE"""),"Variant Pathogenicity")</f>
        <v>Variant Pathogenicity</v>
      </c>
      <c r="H48" s="55" t="str">
        <f>IFERROR(__xludf.DUMMYFUNCTION("""COMPUTED_VALUE"""),"Mito")</f>
        <v>Mito</v>
      </c>
      <c r="I48" s="150">
        <f t="shared" si="1"/>
        <v>43700</v>
      </c>
      <c r="J48" s="94">
        <f>IFERROR(__xludf.DUMMYFUNCTION("""COMPUTED_VALUE"""),43712.0)</f>
        <v>43712</v>
      </c>
      <c r="K48" s="147">
        <f t="shared" si="2"/>
        <v>43792</v>
      </c>
      <c r="L48" s="94" t="str">
        <f>IFERROR(__xludf.DUMMYFUNCTION("""COMPUTED_VALUE"""),"")</f>
        <v/>
      </c>
      <c r="M48" s="55"/>
      <c r="N48" s="55"/>
      <c r="O48" s="55"/>
      <c r="P48" s="55"/>
      <c r="Q48" s="55"/>
      <c r="R48" s="55"/>
      <c r="S48" s="55"/>
      <c r="T48" s="55"/>
      <c r="U48" s="55"/>
      <c r="V48" s="55"/>
      <c r="W48" s="55"/>
      <c r="X48" s="55"/>
      <c r="Y48" s="55"/>
      <c r="Z48" s="55"/>
      <c r="AA48" s="55"/>
      <c r="AB48" s="55"/>
      <c r="AC48" s="55"/>
      <c r="AD48" s="55"/>
    </row>
    <row r="49">
      <c r="A49" s="148">
        <f>IFERROR(__xludf.DUMMYFUNCTION("""COMPUTED_VALUE"""),43395.455196759256)</f>
        <v>43395.4552</v>
      </c>
      <c r="B49" s="149" t="str">
        <f>IFERROR(__xludf.DUMMYFUNCTION("""COMPUTED_VALUE"""),"Qiliang Ding")</f>
        <v>Qiliang Ding</v>
      </c>
      <c r="C49" s="149" t="str">
        <f>IFERROR(__xludf.DUMMYFUNCTION("""COMPUTED_VALUE"""),"qd29@cornell.edu")</f>
        <v>qd29@cornell.edu</v>
      </c>
      <c r="D49" s="55" t="str">
        <f>IFERROR(__xludf.DUMMYFUNCTION("""COMPUTED_VALUE"""),"Assigned")</f>
        <v>Assigned</v>
      </c>
      <c r="E49" s="93">
        <f>IFERROR(__xludf.DUMMYFUNCTION("""COMPUTED_VALUE"""),43608.0)</f>
        <v>43608</v>
      </c>
      <c r="F49" s="93" t="str">
        <f>IFERROR(__xludf.DUMMYFUNCTION("""COMPUTED_VALUE"""),"Yes")</f>
        <v>Yes</v>
      </c>
      <c r="G49" s="55" t="str">
        <f>IFERROR(__xludf.DUMMYFUNCTION("""COMPUTED_VALUE"""),"Variant Pathogenicity")</f>
        <v>Variant Pathogenicity</v>
      </c>
      <c r="H49" s="55" t="str">
        <f>IFERROR(__xludf.DUMMYFUNCTION("""COMPUTED_VALUE"""),"Coagulation Factor Deficiency")</f>
        <v>Coagulation Factor Deficiency</v>
      </c>
      <c r="I49" s="150">
        <f t="shared" si="1"/>
        <v>43700</v>
      </c>
      <c r="J49" s="94">
        <f>IFERROR(__xludf.DUMMYFUNCTION("""COMPUTED_VALUE"""),43712.0)</f>
        <v>43712</v>
      </c>
      <c r="K49" s="147">
        <f t="shared" si="2"/>
        <v>43792</v>
      </c>
      <c r="L49" s="94" t="str">
        <f>IFERROR(__xludf.DUMMYFUNCTION("""COMPUTED_VALUE"""),"")</f>
        <v/>
      </c>
      <c r="M49" s="55"/>
      <c r="N49" s="55"/>
      <c r="O49" s="55"/>
      <c r="P49" s="55"/>
      <c r="Q49" s="55"/>
      <c r="R49" s="55"/>
      <c r="S49" s="55"/>
      <c r="T49" s="55"/>
      <c r="U49" s="55"/>
      <c r="V49" s="55"/>
      <c r="W49" s="55"/>
      <c r="X49" s="55"/>
      <c r="Y49" s="55"/>
      <c r="Z49" s="55"/>
      <c r="AA49" s="55"/>
      <c r="AB49" s="55"/>
      <c r="AC49" s="55"/>
      <c r="AD49" s="55"/>
    </row>
    <row r="50">
      <c r="A50" s="148">
        <f>IFERROR(__xludf.DUMMYFUNCTION("""COMPUTED_VALUE"""),43398.45934027778)</f>
        <v>43398.45934</v>
      </c>
      <c r="B50" s="149" t="str">
        <f>IFERROR(__xludf.DUMMYFUNCTION("""COMPUTED_VALUE"""),"Amy Donahue")</f>
        <v>Amy Donahue</v>
      </c>
      <c r="C50" s="149" t="str">
        <f>IFERROR(__xludf.DUMMYFUNCTION("""COMPUTED_VALUE"""),"adonahue@mcw.edu")</f>
        <v>adonahue@mcw.edu</v>
      </c>
      <c r="D50" s="55" t="str">
        <f>IFERROR(__xludf.DUMMYFUNCTION("""COMPUTED_VALUE"""),"Contacted")</f>
        <v>Contacted</v>
      </c>
      <c r="E50" s="93">
        <f>IFERROR(__xludf.DUMMYFUNCTION("""COMPUTED_VALUE"""),43608.0)</f>
        <v>43608</v>
      </c>
      <c r="F50" s="104" t="str">
        <f>IFERROR(__xludf.DUMMYFUNCTION("""COMPUTED_VALUE"""),"No")</f>
        <v>No</v>
      </c>
      <c r="G50" s="55" t="str">
        <f>IFERROR(__xludf.DUMMYFUNCTION("""COMPUTED_VALUE"""),"Variant Pathogenicity")</f>
        <v>Variant Pathogenicity</v>
      </c>
      <c r="H50" s="55" t="str">
        <f>IFERROR(__xludf.DUMMYFUNCTION("""COMPUTED_VALUE"""),"")</f>
        <v/>
      </c>
      <c r="I50" s="150">
        <f t="shared" si="1"/>
        <v>43700</v>
      </c>
      <c r="J50" s="55" t="str">
        <f>IFERROR(__xludf.DUMMYFUNCTION("""COMPUTED_VALUE"""),"")</f>
        <v/>
      </c>
      <c r="K50" s="147">
        <f t="shared" si="2"/>
        <v>43792</v>
      </c>
      <c r="L50" s="55" t="str">
        <f>IFERROR(__xludf.DUMMYFUNCTION("""COMPUTED_VALUE"""),"")</f>
        <v/>
      </c>
      <c r="M50" s="55"/>
      <c r="N50" s="55"/>
      <c r="O50" s="55"/>
      <c r="P50" s="55"/>
      <c r="Q50" s="55"/>
      <c r="R50" s="55"/>
      <c r="S50" s="55"/>
      <c r="T50" s="55"/>
      <c r="U50" s="55"/>
      <c r="V50" s="55"/>
      <c r="W50" s="55"/>
      <c r="X50" s="55"/>
      <c r="Y50" s="55"/>
      <c r="Z50" s="55"/>
      <c r="AA50" s="55"/>
      <c r="AB50" s="55"/>
      <c r="AC50" s="55"/>
      <c r="AD50" s="55"/>
    </row>
    <row r="51">
      <c r="A51" s="148">
        <f>IFERROR(__xludf.DUMMYFUNCTION("""COMPUTED_VALUE"""),43409.46091435185)</f>
        <v>43409.46091</v>
      </c>
      <c r="B51" s="149" t="str">
        <f>IFERROR(__xludf.DUMMYFUNCTION("""COMPUTED_VALUE"""),"Dave Ferguson")</f>
        <v>Dave Ferguson</v>
      </c>
      <c r="C51" s="149" t="str">
        <f>IFERROR(__xludf.DUMMYFUNCTION("""COMPUTED_VALUE"""),"dferguso@uci.edu")</f>
        <v>dferguso@uci.edu</v>
      </c>
      <c r="D51" s="55" t="str">
        <f>IFERROR(__xludf.DUMMYFUNCTION("""COMPUTED_VALUE"""),"Assigned")</f>
        <v>Assigned</v>
      </c>
      <c r="E51" s="93">
        <f>IFERROR(__xludf.DUMMYFUNCTION("""COMPUTED_VALUE"""),43605.0)</f>
        <v>43605</v>
      </c>
      <c r="F51" s="93" t="str">
        <f>IFERROR(__xludf.DUMMYFUNCTION("""COMPUTED_VALUE"""),"Yes")</f>
        <v>Yes</v>
      </c>
      <c r="G51" s="55" t="str">
        <f>IFERROR(__xludf.DUMMYFUNCTION("""COMPUTED_VALUE"""),"Variant Pathogenicity")</f>
        <v>Variant Pathogenicity</v>
      </c>
      <c r="H51" s="55" t="str">
        <f>IFERROR(__xludf.DUMMYFUNCTION("""COMPUTED_VALUE"""),"Mito")</f>
        <v>Mito</v>
      </c>
      <c r="I51" s="150">
        <f t="shared" si="1"/>
        <v>43697</v>
      </c>
      <c r="J51" s="94">
        <f>IFERROR(__xludf.DUMMYFUNCTION("""COMPUTED_VALUE"""),43712.0)</f>
        <v>43712</v>
      </c>
      <c r="K51" s="147">
        <f t="shared" si="2"/>
        <v>43789</v>
      </c>
      <c r="L51" s="94" t="str">
        <f>IFERROR(__xludf.DUMMYFUNCTION("""COMPUTED_VALUE"""),"")</f>
        <v/>
      </c>
      <c r="M51" s="55"/>
      <c r="N51" s="55"/>
      <c r="O51" s="55"/>
      <c r="P51" s="55"/>
      <c r="Q51" s="55"/>
      <c r="R51" s="55"/>
      <c r="S51" s="55"/>
      <c r="T51" s="55"/>
      <c r="U51" s="55"/>
      <c r="V51" s="55"/>
      <c r="W51" s="55"/>
      <c r="X51" s="55"/>
      <c r="Y51" s="55"/>
      <c r="Z51" s="55"/>
      <c r="AA51" s="55"/>
      <c r="AB51" s="55"/>
      <c r="AC51" s="55"/>
      <c r="AD51" s="55"/>
    </row>
    <row r="52">
      <c r="A52" s="148">
        <f>IFERROR(__xludf.DUMMYFUNCTION("""COMPUTED_VALUE"""),43418.46555555555)</f>
        <v>43418.46556</v>
      </c>
      <c r="B52" s="149" t="str">
        <f>IFERROR(__xludf.DUMMYFUNCTION("""COMPUTED_VALUE"""),"Alisdair Philp")</f>
        <v>Alisdair Philp</v>
      </c>
      <c r="C52" s="149" t="str">
        <f>IFERROR(__xludf.DUMMYFUNCTION("""COMPUTED_VALUE"""),"arphilp@gmail.com")</f>
        <v>arphilp@gmail.com</v>
      </c>
      <c r="D52" s="55" t="str">
        <f>IFERROR(__xludf.DUMMYFUNCTION("""COMPUTED_VALUE"""),"Assigned")</f>
        <v>Assigned</v>
      </c>
      <c r="E52" s="93">
        <f>IFERROR(__xludf.DUMMYFUNCTION("""COMPUTED_VALUE"""),43608.0)</f>
        <v>43608</v>
      </c>
      <c r="F52" s="93" t="str">
        <f>IFERROR(__xludf.DUMMYFUNCTION("""COMPUTED_VALUE"""),"Yes")</f>
        <v>Yes</v>
      </c>
      <c r="G52" s="55" t="str">
        <f>IFERROR(__xludf.DUMMYFUNCTION("""COMPUTED_VALUE"""),"Variant Pathogenicity")</f>
        <v>Variant Pathogenicity</v>
      </c>
      <c r="H52" s="55" t="str">
        <f>IFERROR(__xludf.DUMMYFUNCTION("""COMPUTED_VALUE"""),"TP53")</f>
        <v>TP53</v>
      </c>
      <c r="I52" s="150">
        <f t="shared" si="1"/>
        <v>43700</v>
      </c>
      <c r="J52" s="94">
        <f>IFERROR(__xludf.DUMMYFUNCTION("""COMPUTED_VALUE"""),43712.0)</f>
        <v>43712</v>
      </c>
      <c r="K52" s="147">
        <f t="shared" si="2"/>
        <v>43792</v>
      </c>
      <c r="L52" s="94" t="str">
        <f>IFERROR(__xludf.DUMMYFUNCTION("""COMPUTED_VALUE"""),"")</f>
        <v/>
      </c>
      <c r="M52" s="55"/>
      <c r="N52" s="55"/>
      <c r="O52" s="55"/>
      <c r="P52" s="55"/>
      <c r="Q52" s="55"/>
      <c r="R52" s="55"/>
      <c r="S52" s="55"/>
      <c r="T52" s="55"/>
      <c r="U52" s="55"/>
      <c r="V52" s="55"/>
      <c r="W52" s="55"/>
      <c r="X52" s="55"/>
      <c r="Y52" s="55"/>
      <c r="Z52" s="55"/>
      <c r="AA52" s="55"/>
      <c r="AB52" s="55"/>
      <c r="AC52" s="55"/>
      <c r="AD52" s="55"/>
    </row>
    <row r="53">
      <c r="A53" s="148">
        <f>IFERROR(__xludf.DUMMYFUNCTION("""COMPUTED_VALUE"""),43483.53342149306)</f>
        <v>43483.53342</v>
      </c>
      <c r="B53" s="149" t="str">
        <f>IFERROR(__xludf.DUMMYFUNCTION("""COMPUTED_VALUE"""),"Nan Jiang")</f>
        <v>Nan Jiang</v>
      </c>
      <c r="C53" s="149" t="str">
        <f>IFERROR(__xludf.DUMMYFUNCTION("""COMPUTED_VALUE"""),"naj018@ucsd.edu")</f>
        <v>naj018@ucsd.edu</v>
      </c>
      <c r="D53" s="55" t="str">
        <f>IFERROR(__xludf.DUMMYFUNCTION("""COMPUTED_VALUE"""),"Contacted")</f>
        <v>Contacted</v>
      </c>
      <c r="E53" s="93">
        <f>IFERROR(__xludf.DUMMYFUNCTION("""COMPUTED_VALUE"""),43580.0)</f>
        <v>43580</v>
      </c>
      <c r="F53" s="93" t="str">
        <f>IFERROR(__xludf.DUMMYFUNCTION("""COMPUTED_VALUE"""),"Yes")</f>
        <v>Yes</v>
      </c>
      <c r="G53" s="55" t="str">
        <f>IFERROR(__xludf.DUMMYFUNCTION("""COMPUTED_VALUE"""),"Dosage Sensitivity")</f>
        <v>Dosage Sensitivity</v>
      </c>
      <c r="H53" s="55" t="str">
        <f>IFERROR(__xludf.DUMMYFUNCTION("""COMPUTED_VALUE"""),"")</f>
        <v/>
      </c>
      <c r="I53" s="150">
        <f t="shared" si="1"/>
        <v>43671</v>
      </c>
      <c r="J53" s="94">
        <f>IFERROR(__xludf.DUMMYFUNCTION("""COMPUTED_VALUE"""),43712.0)</f>
        <v>43712</v>
      </c>
      <c r="K53" s="147">
        <f t="shared" si="2"/>
        <v>43763</v>
      </c>
      <c r="L53" s="94" t="str">
        <f>IFERROR(__xludf.DUMMYFUNCTION("""COMPUTED_VALUE"""),"")</f>
        <v/>
      </c>
      <c r="M53" s="55"/>
      <c r="N53" s="55"/>
      <c r="O53" s="55"/>
      <c r="P53" s="55"/>
      <c r="Q53" s="55"/>
      <c r="R53" s="55"/>
      <c r="S53" s="55"/>
      <c r="T53" s="55"/>
      <c r="U53" s="55"/>
      <c r="V53" s="55"/>
      <c r="W53" s="55"/>
      <c r="X53" s="55"/>
      <c r="Y53" s="55"/>
      <c r="Z53" s="55"/>
      <c r="AA53" s="55"/>
      <c r="AB53" s="55"/>
      <c r="AC53" s="55"/>
      <c r="AD53" s="55"/>
    </row>
    <row r="54">
      <c r="A54" s="148">
        <f>IFERROR(__xludf.DUMMYFUNCTION("""COMPUTED_VALUE"""),43483.55459590278)</f>
        <v>43483.5546</v>
      </c>
      <c r="B54" s="149" t="str">
        <f>IFERROR(__xludf.DUMMYFUNCTION("""COMPUTED_VALUE"""),"Ny Hoang")</f>
        <v>Ny Hoang</v>
      </c>
      <c r="C54" s="149" t="str">
        <f>IFERROR(__xludf.DUMMYFUNCTION("""COMPUTED_VALUE"""),"ny.hoang@sickkids.ca")</f>
        <v>ny.hoang@sickkids.ca</v>
      </c>
      <c r="D54" s="55" t="str">
        <f>IFERROR(__xludf.DUMMYFUNCTION("""COMPUTED_VALUE"""),"Declined")</f>
        <v>Declined</v>
      </c>
      <c r="E54" s="94">
        <f>IFERROR(__xludf.DUMMYFUNCTION("""COMPUTED_VALUE"""),43446.0)</f>
        <v>43446</v>
      </c>
      <c r="F54" s="93" t="str">
        <f>IFERROR(__xludf.DUMMYFUNCTION("""COMPUTED_VALUE"""),"Yes")</f>
        <v>Yes</v>
      </c>
      <c r="G54" s="55" t="str">
        <f>IFERROR(__xludf.DUMMYFUNCTION("""COMPUTED_VALUE"""),"Gene Disease Validity")</f>
        <v>Gene Disease Validity</v>
      </c>
      <c r="H54" s="55" t="str">
        <f>IFERROR(__xludf.DUMMYFUNCTION("""COMPUTED_VALUE"""),"ID Autism")</f>
        <v>ID Autism</v>
      </c>
      <c r="I54" s="150">
        <f t="shared" si="1"/>
        <v>43536</v>
      </c>
      <c r="J54" s="94">
        <f>IFERROR(__xludf.DUMMYFUNCTION("""COMPUTED_VALUE"""),43592.0)</f>
        <v>43592</v>
      </c>
      <c r="K54" s="147">
        <f t="shared" si="2"/>
        <v>43628</v>
      </c>
      <c r="L54" s="94">
        <f>IFERROR(__xludf.DUMMYFUNCTION("""COMPUTED_VALUE"""),43713.0)</f>
        <v>43713</v>
      </c>
      <c r="M54" s="55"/>
      <c r="N54" s="55"/>
      <c r="O54" s="55"/>
      <c r="P54" s="55"/>
      <c r="Q54" s="55"/>
      <c r="R54" s="55"/>
      <c r="S54" s="55"/>
      <c r="T54" s="55"/>
      <c r="U54" s="55"/>
      <c r="V54" s="55"/>
      <c r="W54" s="55"/>
      <c r="X54" s="55"/>
      <c r="Y54" s="55"/>
      <c r="Z54" s="55"/>
      <c r="AA54" s="55"/>
      <c r="AB54" s="55"/>
      <c r="AC54" s="55"/>
      <c r="AD54" s="55"/>
    </row>
    <row r="55">
      <c r="A55" s="148">
        <f>IFERROR(__xludf.DUMMYFUNCTION("""COMPUTED_VALUE"""),43485.69615496528)</f>
        <v>43485.69615</v>
      </c>
      <c r="B55" s="149" t="str">
        <f>IFERROR(__xludf.DUMMYFUNCTION("""COMPUTED_VALUE"""),"Qiuxiang Ou")</f>
        <v>Qiuxiang Ou</v>
      </c>
      <c r="C55" s="149" t="str">
        <f>IFERROR(__xludf.DUMMYFUNCTION("""COMPUTED_VALUE"""),"dorothy.ou@gmail.com")</f>
        <v>dorothy.ou@gmail.com</v>
      </c>
      <c r="D55" s="55" t="str">
        <f>IFERROR(__xludf.DUMMYFUNCTION("""COMPUTED_VALUE"""),"Contacted")</f>
        <v>Contacted</v>
      </c>
      <c r="E55" s="104">
        <f>IFERROR(__xludf.DUMMYFUNCTION("""COMPUTED_VALUE"""),43598.0)</f>
        <v>43598</v>
      </c>
      <c r="F55" s="93" t="str">
        <f>IFERROR(__xludf.DUMMYFUNCTION("""COMPUTED_VALUE"""),"No")</f>
        <v>No</v>
      </c>
      <c r="G55" s="55" t="str">
        <f>IFERROR(__xludf.DUMMYFUNCTION("""COMPUTED_VALUE"""),"Somatic Cancer")</f>
        <v>Somatic Cancer</v>
      </c>
      <c r="H55" s="55" t="str">
        <f>IFERROR(__xludf.DUMMYFUNCTION("""COMPUTED_VALUE"""),"")</f>
        <v/>
      </c>
      <c r="I55" s="150">
        <f t="shared" si="1"/>
        <v>43690</v>
      </c>
      <c r="J55" s="94">
        <f>IFERROR(__xludf.DUMMYFUNCTION("""COMPUTED_VALUE"""),43712.0)</f>
        <v>43712</v>
      </c>
      <c r="K55" s="147">
        <f t="shared" si="2"/>
        <v>43782</v>
      </c>
      <c r="L55" s="94" t="str">
        <f>IFERROR(__xludf.DUMMYFUNCTION("""COMPUTED_VALUE"""),"")</f>
        <v/>
      </c>
      <c r="M55" s="55"/>
      <c r="N55" s="55"/>
      <c r="O55" s="55"/>
      <c r="P55" s="55"/>
      <c r="Q55" s="55"/>
      <c r="R55" s="55"/>
      <c r="S55" s="55"/>
      <c r="T55" s="55"/>
      <c r="U55" s="55"/>
      <c r="V55" s="55"/>
      <c r="W55" s="55"/>
      <c r="X55" s="55"/>
      <c r="Y55" s="55"/>
      <c r="Z55" s="55"/>
      <c r="AA55" s="55"/>
      <c r="AB55" s="55"/>
      <c r="AC55" s="55"/>
      <c r="AD55" s="55"/>
    </row>
    <row r="56">
      <c r="A56" s="148">
        <f>IFERROR(__xludf.DUMMYFUNCTION("""COMPUTED_VALUE"""),43416.37436342593)</f>
        <v>43416.37436</v>
      </c>
      <c r="B56" s="149" t="str">
        <f>IFERROR(__xludf.DUMMYFUNCTION("""COMPUTED_VALUE"""),"Kylin Boehler")</f>
        <v>Kylin Boehler</v>
      </c>
      <c r="C56" s="149" t="str">
        <f>IFERROR(__xludf.DUMMYFUNCTION("""COMPUTED_VALUE"""),"kylin.y.boehler@questdiagnostics.com")</f>
        <v>kylin.y.boehler@questdiagnostics.com</v>
      </c>
      <c r="D56" s="55" t="str">
        <f>IFERROR(__xludf.DUMMYFUNCTION("""COMPUTED_VALUE"""),"Assigned")</f>
        <v>Assigned</v>
      </c>
      <c r="E56" s="105">
        <f>IFERROR(__xludf.DUMMYFUNCTION("""COMPUTED_VALUE"""),43522.0)</f>
        <v>43522</v>
      </c>
      <c r="F56" s="94" t="str">
        <f>IFERROR(__xludf.DUMMYFUNCTION("""COMPUTED_VALUE"""),"Yes")</f>
        <v>Yes</v>
      </c>
      <c r="G56" s="55" t="str">
        <f>IFERROR(__xludf.DUMMYFUNCTION("""COMPUTED_VALUE"""),"Actionability")</f>
        <v>Actionability</v>
      </c>
      <c r="H56" s="55" t="str">
        <f>IFERROR(__xludf.DUMMYFUNCTION("""COMPUTED_VALUE"""),"Actionability")</f>
        <v>Actionability</v>
      </c>
      <c r="I56" s="150">
        <f t="shared" si="1"/>
        <v>43611</v>
      </c>
      <c r="J56" s="55" t="str">
        <f>IFERROR(__xludf.DUMMYFUNCTION("""COMPUTED_VALUE"""),"")</f>
        <v/>
      </c>
      <c r="K56" s="147">
        <f t="shared" si="2"/>
        <v>43703</v>
      </c>
      <c r="L56" s="55" t="str">
        <f>IFERROR(__xludf.DUMMYFUNCTION("""COMPUTED_VALUE"""),"")</f>
        <v/>
      </c>
      <c r="M56" s="55"/>
      <c r="N56" s="55"/>
      <c r="O56" s="55"/>
      <c r="P56" s="55"/>
      <c r="Q56" s="55"/>
      <c r="R56" s="55"/>
      <c r="S56" s="55"/>
      <c r="T56" s="55"/>
      <c r="U56" s="55"/>
      <c r="V56" s="55"/>
      <c r="W56" s="55"/>
      <c r="X56" s="55"/>
      <c r="Y56" s="55"/>
      <c r="Z56" s="55"/>
      <c r="AA56" s="55"/>
      <c r="AB56" s="55"/>
      <c r="AC56" s="55"/>
      <c r="AD56" s="55"/>
    </row>
    <row r="57">
      <c r="A57" s="148">
        <f>IFERROR(__xludf.DUMMYFUNCTION("""COMPUTED_VALUE"""),43378.381261574075)</f>
        <v>43378.38126</v>
      </c>
      <c r="B57" s="149" t="str">
        <f>IFERROR(__xludf.DUMMYFUNCTION("""COMPUTED_VALUE"""),"Nharimann Azima")</f>
        <v>Nharimann Azima</v>
      </c>
      <c r="C57" s="149" t="str">
        <f>IFERROR(__xludf.DUMMYFUNCTION("""COMPUTED_VALUE"""),"naa3f@gwu.edu")</f>
        <v>naa3f@gwu.edu</v>
      </c>
      <c r="D57" s="55" t="str">
        <f>IFERROR(__xludf.DUMMYFUNCTION("""COMPUTED_VALUE"""),"Unresponsive")</f>
        <v>Unresponsive</v>
      </c>
      <c r="E57" s="105">
        <f>IFERROR(__xludf.DUMMYFUNCTION("""COMPUTED_VALUE"""),43567.0)</f>
        <v>43567</v>
      </c>
      <c r="F57" s="93" t="str">
        <f>IFERROR(__xludf.DUMMYFUNCTION("""COMPUTED_VALUE"""),"No")</f>
        <v>No</v>
      </c>
      <c r="G57" s="55" t="str">
        <f>IFERROR(__xludf.DUMMYFUNCTION("""COMPUTED_VALUE"""),"Actionability")</f>
        <v>Actionability</v>
      </c>
      <c r="H57" s="55" t="str">
        <f>IFERROR(__xludf.DUMMYFUNCTION("""COMPUTED_VALUE"""),"")</f>
        <v/>
      </c>
      <c r="I57" s="150">
        <f t="shared" si="1"/>
        <v>43658</v>
      </c>
      <c r="J57" s="55" t="str">
        <f>IFERROR(__xludf.DUMMYFUNCTION("""COMPUTED_VALUE"""),"")</f>
        <v/>
      </c>
      <c r="K57" s="147">
        <f t="shared" si="2"/>
        <v>43750</v>
      </c>
      <c r="L57" s="55" t="str">
        <f>IFERROR(__xludf.DUMMYFUNCTION("""COMPUTED_VALUE"""),"")</f>
        <v/>
      </c>
      <c r="M57" s="55"/>
      <c r="N57" s="55"/>
      <c r="O57" s="55"/>
      <c r="P57" s="55"/>
      <c r="Q57" s="55"/>
      <c r="R57" s="55"/>
      <c r="S57" s="55"/>
      <c r="T57" s="55"/>
      <c r="U57" s="55"/>
      <c r="V57" s="55"/>
      <c r="W57" s="55"/>
      <c r="X57" s="55"/>
      <c r="Y57" s="55"/>
      <c r="Z57" s="55"/>
      <c r="AA57" s="55"/>
      <c r="AB57" s="55"/>
      <c r="AC57" s="55"/>
      <c r="AD57" s="55"/>
    </row>
    <row r="58">
      <c r="A58" s="148">
        <f>IFERROR(__xludf.DUMMYFUNCTION("""COMPUTED_VALUE"""),43415.38344907407)</f>
        <v>43415.38345</v>
      </c>
      <c r="B58" s="149" t="str">
        <f>IFERROR(__xludf.DUMMYFUNCTION("""COMPUTED_VALUE"""),"Krzysztof Szczaluba")</f>
        <v>Krzysztof Szczaluba</v>
      </c>
      <c r="C58" s="149" t="str">
        <f>IFERROR(__xludf.DUMMYFUNCTION("""COMPUTED_VALUE"""),"krzysztof.szczaluba@gmail.com")</f>
        <v>krzysztof.szczaluba@gmail.com</v>
      </c>
      <c r="D58" s="55" t="str">
        <f>IFERROR(__xludf.DUMMYFUNCTION("""COMPUTED_VALUE"""),"Assigned")</f>
        <v>Assigned</v>
      </c>
      <c r="E58" s="93">
        <f>IFERROR(__xludf.DUMMYFUNCTION("""COMPUTED_VALUE"""),43678.0)</f>
        <v>43678</v>
      </c>
      <c r="F58" s="93" t="str">
        <f>IFERROR(__xludf.DUMMYFUNCTION("""COMPUTED_VALUE"""),"Yes")</f>
        <v>Yes</v>
      </c>
      <c r="G58" s="55" t="str">
        <f>IFERROR(__xludf.DUMMYFUNCTION("""COMPUTED_VALUE"""),"Actionability")</f>
        <v>Actionability</v>
      </c>
      <c r="H58" s="55" t="str">
        <f>IFERROR(__xludf.DUMMYFUNCTION("""COMPUTED_VALUE"""),"Actionability")</f>
        <v>Actionability</v>
      </c>
      <c r="I58" s="150">
        <f t="shared" si="1"/>
        <v>43770</v>
      </c>
      <c r="J58" s="55" t="str">
        <f>IFERROR(__xludf.DUMMYFUNCTION("""COMPUTED_VALUE"""),"")</f>
        <v/>
      </c>
      <c r="K58" s="147">
        <f t="shared" si="2"/>
        <v>43862</v>
      </c>
      <c r="L58" s="55" t="str">
        <f>IFERROR(__xludf.DUMMYFUNCTION("""COMPUTED_VALUE"""),"")</f>
        <v/>
      </c>
      <c r="M58" s="55"/>
      <c r="N58" s="55"/>
      <c r="O58" s="55"/>
      <c r="P58" s="55"/>
      <c r="Q58" s="55"/>
      <c r="R58" s="55"/>
      <c r="S58" s="55"/>
      <c r="T58" s="55"/>
      <c r="U58" s="55"/>
      <c r="V58" s="55"/>
      <c r="W58" s="55"/>
      <c r="X58" s="55"/>
      <c r="Y58" s="55"/>
      <c r="Z58" s="55"/>
      <c r="AA58" s="55"/>
      <c r="AB58" s="55"/>
      <c r="AC58" s="55"/>
      <c r="AD58" s="55"/>
    </row>
    <row r="59">
      <c r="A59" s="148">
        <f>IFERROR(__xludf.DUMMYFUNCTION("""COMPUTED_VALUE"""),43418.386828703704)</f>
        <v>43418.38683</v>
      </c>
      <c r="B59" s="149" t="str">
        <f>IFERROR(__xludf.DUMMYFUNCTION("""COMPUTED_VALUE"""),"Fiona Curtis")</f>
        <v>Fiona Curtis</v>
      </c>
      <c r="C59" s="149" t="str">
        <f>IFERROR(__xludf.DUMMYFUNCTION("""COMPUTED_VALUE"""),"fionakatherinecurtis@yahoo.ca")</f>
        <v>fionakatherinecurtis@yahoo.ca</v>
      </c>
      <c r="D59" s="55" t="str">
        <f>IFERROR(__xludf.DUMMYFUNCTION("""COMPUTED_VALUE"""),"Unresponsive")</f>
        <v>Unresponsive</v>
      </c>
      <c r="E59" s="105">
        <f>IFERROR(__xludf.DUMMYFUNCTION("""COMPUTED_VALUE"""),43522.0)</f>
        <v>43522</v>
      </c>
      <c r="F59" s="104" t="str">
        <f>IFERROR(__xludf.DUMMYFUNCTION("""COMPUTED_VALUE"""),"No")</f>
        <v>No</v>
      </c>
      <c r="G59" s="55" t="str">
        <f>IFERROR(__xludf.DUMMYFUNCTION("""COMPUTED_VALUE"""),"Actionability")</f>
        <v>Actionability</v>
      </c>
      <c r="H59" s="55" t="str">
        <f>IFERROR(__xludf.DUMMYFUNCTION("""COMPUTED_VALUE"""),"Actionability")</f>
        <v>Actionability</v>
      </c>
      <c r="I59" s="150">
        <f t="shared" si="1"/>
        <v>43611</v>
      </c>
      <c r="J59" s="55" t="str">
        <f>IFERROR(__xludf.DUMMYFUNCTION("""COMPUTED_VALUE"""),"")</f>
        <v/>
      </c>
      <c r="K59" s="147">
        <f t="shared" si="2"/>
        <v>43703</v>
      </c>
      <c r="L59" s="55" t="str">
        <f>IFERROR(__xludf.DUMMYFUNCTION("""COMPUTED_VALUE"""),"")</f>
        <v/>
      </c>
      <c r="M59" s="55"/>
      <c r="N59" s="55"/>
      <c r="O59" s="55"/>
      <c r="P59" s="55"/>
      <c r="Q59" s="55"/>
      <c r="R59" s="55"/>
      <c r="S59" s="55"/>
      <c r="T59" s="55"/>
      <c r="U59" s="55"/>
      <c r="V59" s="55"/>
      <c r="W59" s="55"/>
      <c r="X59" s="55"/>
      <c r="Y59" s="55"/>
      <c r="Z59" s="55"/>
      <c r="AA59" s="55"/>
      <c r="AB59" s="55"/>
      <c r="AC59" s="55"/>
      <c r="AD59" s="55"/>
    </row>
    <row r="60" ht="18.0" customHeight="1">
      <c r="A60" s="148">
        <f>IFERROR(__xludf.DUMMYFUNCTION("""COMPUTED_VALUE"""),43430.4000462963)</f>
        <v>43430.40005</v>
      </c>
      <c r="B60" s="149" t="str">
        <f>IFERROR(__xludf.DUMMYFUNCTION("""COMPUTED_VALUE"""),"Laura Fuqua")</f>
        <v>Laura Fuqua</v>
      </c>
      <c r="C60" s="149" t="str">
        <f>IFERROR(__xludf.DUMMYFUNCTION("""COMPUTED_VALUE"""),"laura.fuqua@gmail.com")</f>
        <v>laura.fuqua@gmail.com</v>
      </c>
      <c r="D60" s="55" t="str">
        <f>IFERROR(__xludf.DUMMYFUNCTION("""COMPUTED_VALUE"""),"Assigned")</f>
        <v>Assigned</v>
      </c>
      <c r="E60" s="94">
        <f>IFERROR(__xludf.DUMMYFUNCTION("""COMPUTED_VALUE"""),43476.0)</f>
        <v>43476</v>
      </c>
      <c r="F60" s="94" t="str">
        <f>IFERROR(__xludf.DUMMYFUNCTION("""COMPUTED_VALUE"""),"No")</f>
        <v>No</v>
      </c>
      <c r="G60" s="55" t="str">
        <f>IFERROR(__xludf.DUMMYFUNCTION("""COMPUTED_VALUE"""),"Actionability")</f>
        <v>Actionability</v>
      </c>
      <c r="H60" s="55" t="str">
        <f>IFERROR(__xludf.DUMMYFUNCTION("""COMPUTED_VALUE"""),"Actionability")</f>
        <v>Actionability</v>
      </c>
      <c r="I60" s="150">
        <f t="shared" si="1"/>
        <v>43566</v>
      </c>
      <c r="J60" s="94">
        <f>IFERROR(__xludf.DUMMYFUNCTION("""COMPUTED_VALUE"""),43593.0)</f>
        <v>43593</v>
      </c>
      <c r="K60" s="147">
        <f t="shared" si="2"/>
        <v>43657</v>
      </c>
      <c r="L60" s="94">
        <f>IFERROR(__xludf.DUMMYFUNCTION("""COMPUTED_VALUE"""),43713.0)</f>
        <v>43713</v>
      </c>
      <c r="M60" s="55"/>
      <c r="N60" s="55"/>
      <c r="O60" s="55"/>
      <c r="P60" s="55"/>
      <c r="Q60" s="55"/>
      <c r="R60" s="55"/>
      <c r="S60" s="55"/>
      <c r="T60" s="55"/>
      <c r="U60" s="55"/>
      <c r="V60" s="55"/>
      <c r="W60" s="55"/>
      <c r="X60" s="55"/>
      <c r="Y60" s="55"/>
      <c r="Z60" s="55"/>
      <c r="AA60" s="55"/>
      <c r="AB60" s="55"/>
      <c r="AC60" s="55"/>
      <c r="AD60" s="55"/>
    </row>
    <row r="61" ht="17.25" customHeight="1">
      <c r="A61" s="148">
        <f>IFERROR(__xludf.DUMMYFUNCTION("""COMPUTED_VALUE"""),43437.40190972222)</f>
        <v>43437.40191</v>
      </c>
      <c r="B61" s="149" t="str">
        <f>IFERROR(__xludf.DUMMYFUNCTION("""COMPUTED_VALUE"""),"Morgan Similuk")</f>
        <v>Morgan Similuk</v>
      </c>
      <c r="C61" s="149" t="str">
        <f>IFERROR(__xludf.DUMMYFUNCTION("""COMPUTED_VALUE"""),"Morgan.similuk@nih.gov")</f>
        <v>Morgan.similuk@nih.gov</v>
      </c>
      <c r="D61" s="55" t="str">
        <f>IFERROR(__xludf.DUMMYFUNCTION("""COMPUTED_VALUE"""),"Follow up email")</f>
        <v>Follow up email</v>
      </c>
      <c r="E61" s="93">
        <f>IFERROR(__xludf.DUMMYFUNCTION("""COMPUTED_VALUE"""),43769.0)</f>
        <v>43769</v>
      </c>
      <c r="F61" s="94" t="str">
        <f>IFERROR(__xludf.DUMMYFUNCTION("""COMPUTED_VALUE"""),"Yes")</f>
        <v>Yes</v>
      </c>
      <c r="G61" s="55" t="str">
        <f>IFERROR(__xludf.DUMMYFUNCTION("""COMPUTED_VALUE"""),"Actionability")</f>
        <v>Actionability</v>
      </c>
      <c r="H61" s="55" t="str">
        <f>IFERROR(__xludf.DUMMYFUNCTION("""COMPUTED_VALUE"""),"Actionability")</f>
        <v>Actionability</v>
      </c>
      <c r="I61" s="150">
        <f t="shared" si="1"/>
        <v>43861</v>
      </c>
      <c r="J61" s="55" t="str">
        <f>IFERROR(__xludf.DUMMYFUNCTION("""COMPUTED_VALUE"""),"")</f>
        <v/>
      </c>
      <c r="K61" s="147">
        <f t="shared" si="2"/>
        <v>43951</v>
      </c>
      <c r="L61" s="55" t="str">
        <f>IFERROR(__xludf.DUMMYFUNCTION("""COMPUTED_VALUE"""),"")</f>
        <v/>
      </c>
      <c r="M61" s="55"/>
      <c r="N61" s="55"/>
      <c r="O61" s="55"/>
      <c r="P61" s="55"/>
      <c r="Q61" s="55"/>
      <c r="R61" s="55"/>
      <c r="S61" s="55"/>
      <c r="T61" s="55"/>
      <c r="U61" s="55"/>
      <c r="V61" s="55"/>
      <c r="W61" s="55"/>
      <c r="X61" s="55"/>
      <c r="Y61" s="55"/>
      <c r="Z61" s="55"/>
      <c r="AA61" s="55"/>
      <c r="AB61" s="55"/>
      <c r="AC61" s="55"/>
      <c r="AD61" s="55"/>
    </row>
    <row r="62">
      <c r="A62" s="148">
        <f>IFERROR(__xludf.DUMMYFUNCTION("""COMPUTED_VALUE"""),43439.40657407408)</f>
        <v>43439.40657</v>
      </c>
      <c r="B62" s="149" t="str">
        <f>IFERROR(__xludf.DUMMYFUNCTION("""COMPUTED_VALUE"""),"Sandra P Smieszek")</f>
        <v>Sandra P Smieszek</v>
      </c>
      <c r="C62" s="149" t="str">
        <f>IFERROR(__xludf.DUMMYFUNCTION("""COMPUTED_VALUE"""),"sps92@case.edu")</f>
        <v>sps92@case.edu</v>
      </c>
      <c r="D62" s="55" t="str">
        <f>IFERROR(__xludf.DUMMYFUNCTION("""COMPUTED_VALUE"""),"Unresponsive")</f>
        <v>Unresponsive</v>
      </c>
      <c r="E62" s="93">
        <f>IFERROR(__xludf.DUMMYFUNCTION("""COMPUTED_VALUE"""),43678.0)</f>
        <v>43678</v>
      </c>
      <c r="F62" s="93" t="str">
        <f>IFERROR(__xludf.DUMMYFUNCTION("""COMPUTED_VALUE"""),"No")</f>
        <v>No</v>
      </c>
      <c r="G62" s="55" t="str">
        <f>IFERROR(__xludf.DUMMYFUNCTION("""COMPUTED_VALUE"""),"Actionability")</f>
        <v>Actionability</v>
      </c>
      <c r="H62" s="55" t="str">
        <f>IFERROR(__xludf.DUMMYFUNCTION("""COMPUTED_VALUE"""),"")</f>
        <v/>
      </c>
      <c r="I62" s="150">
        <f t="shared" si="1"/>
        <v>43770</v>
      </c>
      <c r="J62" s="55" t="str">
        <f>IFERROR(__xludf.DUMMYFUNCTION("""COMPUTED_VALUE"""),"")</f>
        <v/>
      </c>
      <c r="K62" s="147">
        <f t="shared" si="2"/>
        <v>43862</v>
      </c>
      <c r="L62" s="55" t="str">
        <f>IFERROR(__xludf.DUMMYFUNCTION("""COMPUTED_VALUE"""),"")</f>
        <v/>
      </c>
      <c r="M62" s="55"/>
      <c r="N62" s="55"/>
      <c r="O62" s="55"/>
      <c r="P62" s="55"/>
      <c r="Q62" s="55"/>
      <c r="R62" s="55"/>
      <c r="S62" s="55"/>
      <c r="T62" s="55"/>
      <c r="U62" s="55"/>
      <c r="V62" s="55"/>
      <c r="W62" s="55"/>
      <c r="X62" s="55"/>
      <c r="Y62" s="55"/>
      <c r="Z62" s="55"/>
      <c r="AA62" s="55"/>
      <c r="AB62" s="55"/>
      <c r="AC62" s="55"/>
      <c r="AD62" s="55"/>
    </row>
    <row r="63">
      <c r="A63" s="148">
        <f>IFERROR(__xludf.DUMMYFUNCTION("""COMPUTED_VALUE"""),43354.42292824074)</f>
        <v>43354.42293</v>
      </c>
      <c r="B63" s="149" t="str">
        <f>IFERROR(__xludf.DUMMYFUNCTION("""COMPUTED_VALUE"""),"Parisa Lotfi")</f>
        <v>Parisa Lotfi</v>
      </c>
      <c r="C63" s="149" t="str">
        <f>IFERROR(__xludf.DUMMYFUNCTION("""COMPUTED_VALUE"""),"Parisa_Lotfi@yahoo.com")</f>
        <v>Parisa_Lotfi@yahoo.com</v>
      </c>
      <c r="D63" s="55" t="str">
        <f>IFERROR(__xludf.DUMMYFUNCTION("""COMPUTED_VALUE"""),"Assigned")</f>
        <v>Assigned</v>
      </c>
      <c r="E63" s="104">
        <f>IFERROR(__xludf.DUMMYFUNCTION("""COMPUTED_VALUE"""),43581.0)</f>
        <v>43581</v>
      </c>
      <c r="F63" s="94" t="str">
        <f>IFERROR(__xludf.DUMMYFUNCTION("""COMPUTED_VALUE"""),"No")</f>
        <v>No</v>
      </c>
      <c r="G63" s="55" t="str">
        <f>IFERROR(__xludf.DUMMYFUNCTION("""COMPUTED_VALUE"""),"Somatic Cancer")</f>
        <v>Somatic Cancer</v>
      </c>
      <c r="H63" s="55" t="str">
        <f>IFERROR(__xludf.DUMMYFUNCTION("""COMPUTED_VALUE"""),"Pancreatic cancer taskforce")</f>
        <v>Pancreatic cancer taskforce</v>
      </c>
      <c r="I63" s="150">
        <f t="shared" si="1"/>
        <v>43672</v>
      </c>
      <c r="J63" s="94">
        <f>IFERROR(__xludf.DUMMYFUNCTION("""COMPUTED_VALUE"""),43712.0)</f>
        <v>43712</v>
      </c>
      <c r="K63" s="147">
        <f t="shared" si="2"/>
        <v>43764</v>
      </c>
      <c r="L63" s="94" t="str">
        <f>IFERROR(__xludf.DUMMYFUNCTION("""COMPUTED_VALUE"""),"")</f>
        <v/>
      </c>
      <c r="M63" s="55"/>
      <c r="N63" s="55"/>
      <c r="O63" s="55"/>
      <c r="P63" s="55"/>
      <c r="Q63" s="55"/>
      <c r="R63" s="55"/>
      <c r="S63" s="55"/>
      <c r="T63" s="55"/>
      <c r="U63" s="55"/>
      <c r="V63" s="55"/>
      <c r="W63" s="55"/>
      <c r="X63" s="55"/>
      <c r="Y63" s="55"/>
      <c r="Z63" s="55"/>
      <c r="AA63" s="55"/>
      <c r="AB63" s="55"/>
      <c r="AC63" s="55"/>
      <c r="AD63" s="55"/>
    </row>
    <row r="64">
      <c r="A64" s="148">
        <f>IFERROR(__xludf.DUMMYFUNCTION("""COMPUTED_VALUE"""),43496.573591817134)</f>
        <v>43496.57359</v>
      </c>
      <c r="B64" s="149" t="str">
        <f>IFERROR(__xludf.DUMMYFUNCTION("""COMPUTED_VALUE"""),"Szabolcs Szelinger")</f>
        <v>Szabolcs Szelinger</v>
      </c>
      <c r="C64" s="149" t="str">
        <f>IFERROR(__xludf.DUMMYFUNCTION("""COMPUTED_VALUE"""),"sszelinger@tgen.org")</f>
        <v>sszelinger@tgen.org</v>
      </c>
      <c r="D64" s="55" t="str">
        <f>IFERROR(__xludf.DUMMYFUNCTION("""COMPUTED_VALUE"""),"Contacted")</f>
        <v>Contacted</v>
      </c>
      <c r="E64" s="93">
        <f>IFERROR(__xludf.DUMMYFUNCTION("""COMPUTED_VALUE"""),43692.0)</f>
        <v>43692</v>
      </c>
      <c r="F64" s="94" t="str">
        <f>IFERROR(__xludf.DUMMYFUNCTION("""COMPUTED_VALUE"""),"No")</f>
        <v>No</v>
      </c>
      <c r="G64" s="55" t="str">
        <f>IFERROR(__xludf.DUMMYFUNCTION("""COMPUTED_VALUE"""),"Gene Disease Validity")</f>
        <v>Gene Disease Validity</v>
      </c>
      <c r="H64" s="55" t="str">
        <f>IFERROR(__xludf.DUMMYFUNCTION("""COMPUTED_VALUE"""),"")</f>
        <v/>
      </c>
      <c r="I64" s="150">
        <f t="shared" si="1"/>
        <v>43784</v>
      </c>
      <c r="J64" s="55" t="str">
        <f>IFERROR(__xludf.DUMMYFUNCTION("""COMPUTED_VALUE"""),"")</f>
        <v/>
      </c>
      <c r="K64" s="147">
        <f t="shared" si="2"/>
        <v>43876</v>
      </c>
      <c r="L64" s="55" t="str">
        <f>IFERROR(__xludf.DUMMYFUNCTION("""COMPUTED_VALUE"""),"")</f>
        <v/>
      </c>
      <c r="M64" s="55"/>
      <c r="N64" s="55"/>
      <c r="O64" s="55"/>
      <c r="P64" s="55"/>
      <c r="Q64" s="55"/>
      <c r="R64" s="55"/>
      <c r="S64" s="55"/>
      <c r="T64" s="55"/>
      <c r="U64" s="55"/>
      <c r="V64" s="55"/>
      <c r="W64" s="55"/>
      <c r="X64" s="55"/>
      <c r="Y64" s="55"/>
      <c r="Z64" s="55"/>
      <c r="AA64" s="55"/>
      <c r="AB64" s="55"/>
      <c r="AC64" s="55"/>
      <c r="AD64" s="55"/>
    </row>
    <row r="65" ht="17.25" customHeight="1">
      <c r="A65" s="148">
        <f>IFERROR(__xludf.DUMMYFUNCTION("""COMPUTED_VALUE"""),43498.50725701389)</f>
        <v>43498.50726</v>
      </c>
      <c r="B65" s="149" t="str">
        <f>IFERROR(__xludf.DUMMYFUNCTION("""COMPUTED_VALUE"""),"Ramesh Vaidyanathan")</f>
        <v>Ramesh Vaidyanathan</v>
      </c>
      <c r="C65" s="149" t="str">
        <f>IFERROR(__xludf.DUMMYFUNCTION("""COMPUTED_VALUE"""),"vaid@rocketmail.com")</f>
        <v>vaid@rocketmail.com</v>
      </c>
      <c r="D65" s="55" t="str">
        <f>IFERROR(__xludf.DUMMYFUNCTION("""COMPUTED_VALUE"""),"Unresponsive")</f>
        <v>Unresponsive</v>
      </c>
      <c r="E65" s="105">
        <f>IFERROR(__xludf.DUMMYFUNCTION("""COMPUTED_VALUE"""),43567.0)</f>
        <v>43567</v>
      </c>
      <c r="F65" s="94" t="str">
        <f>IFERROR(__xludf.DUMMYFUNCTION("""COMPUTED_VALUE"""),"Yes")</f>
        <v>Yes</v>
      </c>
      <c r="G65" s="55" t="str">
        <f>IFERROR(__xludf.DUMMYFUNCTION("""COMPUTED_VALUE"""),"Actionability")</f>
        <v>Actionability</v>
      </c>
      <c r="H65" s="55" t="str">
        <f>IFERROR(__xludf.DUMMYFUNCTION("""COMPUTED_VALUE"""),"Actionability")</f>
        <v>Actionability</v>
      </c>
      <c r="I65" s="150">
        <f t="shared" si="1"/>
        <v>43658</v>
      </c>
      <c r="J65" s="94">
        <f>IFERROR(__xludf.DUMMYFUNCTION("""COMPUTED_VALUE"""),43712.0)</f>
        <v>43712</v>
      </c>
      <c r="K65" s="147">
        <f t="shared" si="2"/>
        <v>43750</v>
      </c>
      <c r="L65" s="94" t="str">
        <f>IFERROR(__xludf.DUMMYFUNCTION("""COMPUTED_VALUE"""),"")</f>
        <v/>
      </c>
      <c r="M65" s="55"/>
      <c r="N65" s="55"/>
      <c r="O65" s="55"/>
      <c r="P65" s="55"/>
      <c r="Q65" s="55"/>
      <c r="R65" s="55"/>
      <c r="S65" s="55"/>
      <c r="T65" s="55"/>
      <c r="U65" s="55"/>
      <c r="V65" s="55"/>
      <c r="W65" s="55"/>
      <c r="X65" s="55"/>
      <c r="Y65" s="55"/>
      <c r="Z65" s="55"/>
      <c r="AA65" s="55"/>
      <c r="AB65" s="55"/>
      <c r="AC65" s="55"/>
      <c r="AD65" s="55"/>
    </row>
    <row r="66">
      <c r="A66" s="148">
        <f>IFERROR(__xludf.DUMMYFUNCTION("""COMPUTED_VALUE"""),43504.64437269676)</f>
        <v>43504.64437</v>
      </c>
      <c r="B66" s="149" t="str">
        <f>IFERROR(__xludf.DUMMYFUNCTION("""COMPUTED_VALUE"""),"Ranjit Shetty")</f>
        <v>Ranjit Shetty</v>
      </c>
      <c r="C66" s="149" t="str">
        <f>IFERROR(__xludf.DUMMYFUNCTION("""COMPUTED_VALUE"""),"ranjit.shetty@novartis.com")</f>
        <v>ranjit.shetty@novartis.com</v>
      </c>
      <c r="D66" s="55" t="str">
        <f>IFERROR(__xludf.DUMMYFUNCTION("""COMPUTED_VALUE"""),"Contacted")</f>
        <v>Contacted</v>
      </c>
      <c r="E66" s="104">
        <f>IFERROR(__xludf.DUMMYFUNCTION("""COMPUTED_VALUE"""),43598.0)</f>
        <v>43598</v>
      </c>
      <c r="F66" s="94" t="str">
        <f>IFERROR(__xludf.DUMMYFUNCTION("""COMPUTED_VALUE"""),"No")</f>
        <v>No</v>
      </c>
      <c r="G66" s="55" t="str">
        <f>IFERROR(__xludf.DUMMYFUNCTION("""COMPUTED_VALUE"""),"Somatic Cancer")</f>
        <v>Somatic Cancer</v>
      </c>
      <c r="H66" s="55" t="str">
        <f>IFERROR(__xludf.DUMMYFUNCTION("""COMPUTED_VALUE"""),"")</f>
        <v/>
      </c>
      <c r="I66" s="150">
        <f t="shared" si="1"/>
        <v>43690</v>
      </c>
      <c r="J66" s="55" t="str">
        <f>IFERROR(__xludf.DUMMYFUNCTION("""COMPUTED_VALUE"""),"")</f>
        <v/>
      </c>
      <c r="K66" s="147">
        <f t="shared" si="2"/>
        <v>43782</v>
      </c>
      <c r="L66" s="55" t="str">
        <f>IFERROR(__xludf.DUMMYFUNCTION("""COMPUTED_VALUE"""),"")</f>
        <v/>
      </c>
      <c r="M66" s="55"/>
      <c r="N66" s="55"/>
      <c r="O66" s="55"/>
      <c r="P66" s="55"/>
      <c r="Q66" s="55"/>
      <c r="R66" s="55"/>
      <c r="S66" s="55"/>
      <c r="T66" s="55"/>
      <c r="U66" s="55"/>
      <c r="V66" s="55"/>
      <c r="W66" s="55"/>
      <c r="X66" s="55"/>
      <c r="Y66" s="55"/>
      <c r="Z66" s="55"/>
      <c r="AA66" s="55"/>
      <c r="AB66" s="55"/>
      <c r="AC66" s="55"/>
      <c r="AD66" s="55"/>
    </row>
    <row r="67">
      <c r="A67" s="148">
        <f>IFERROR(__xludf.DUMMYFUNCTION("""COMPUTED_VALUE"""),43510.15695694444)</f>
        <v>43510.15696</v>
      </c>
      <c r="B67" s="149" t="str">
        <f>IFERROR(__xludf.DUMMYFUNCTION("""COMPUTED_VALUE"""),"Brooke H. Miller")</f>
        <v>Brooke H. Miller</v>
      </c>
      <c r="C67" s="149" t="str">
        <f>IFERROR(__xludf.DUMMYFUNCTION("""COMPUTED_VALUE"""),"brooke.h.miller@gmail.com")</f>
        <v>brooke.h.miller@gmail.com</v>
      </c>
      <c r="D67" s="55" t="str">
        <f>IFERROR(__xludf.DUMMYFUNCTION("""COMPUTED_VALUE"""),"Contacted")</f>
        <v>Contacted</v>
      </c>
      <c r="E67" s="93">
        <f>IFERROR(__xludf.DUMMYFUNCTION("""COMPUTED_VALUE"""),43696.0)</f>
        <v>43696</v>
      </c>
      <c r="F67" s="94" t="str">
        <f>IFERROR(__xludf.DUMMYFUNCTION("""COMPUTED_VALUE"""),"No")</f>
        <v>No</v>
      </c>
      <c r="G67" s="55" t="str">
        <f>IFERROR(__xludf.DUMMYFUNCTION("""COMPUTED_VALUE"""),"Gene Disease Validity")</f>
        <v>Gene Disease Validity</v>
      </c>
      <c r="H67" s="55" t="str">
        <f>IFERROR(__xludf.DUMMYFUNCTION("""COMPUTED_VALUE"""),"")</f>
        <v/>
      </c>
      <c r="I67" s="150">
        <f t="shared" si="1"/>
        <v>43788</v>
      </c>
      <c r="J67" s="55" t="str">
        <f>IFERROR(__xludf.DUMMYFUNCTION("""COMPUTED_VALUE"""),"")</f>
        <v/>
      </c>
      <c r="K67" s="147">
        <f t="shared" si="2"/>
        <v>43880</v>
      </c>
      <c r="L67" s="55" t="str">
        <f>IFERROR(__xludf.DUMMYFUNCTION("""COMPUTED_VALUE"""),"")</f>
        <v/>
      </c>
      <c r="M67" s="55"/>
      <c r="N67" s="55"/>
      <c r="O67" s="55"/>
      <c r="P67" s="55"/>
      <c r="Q67" s="55"/>
      <c r="R67" s="55"/>
      <c r="S67" s="55"/>
      <c r="T67" s="55"/>
      <c r="U67" s="55"/>
      <c r="V67" s="55"/>
      <c r="W67" s="55"/>
      <c r="X67" s="55"/>
      <c r="Y67" s="55"/>
      <c r="Z67" s="55"/>
      <c r="AA67" s="55"/>
      <c r="AB67" s="55"/>
      <c r="AC67" s="55"/>
      <c r="AD67" s="55"/>
    </row>
    <row r="68">
      <c r="A68" s="148">
        <f>IFERROR(__xludf.DUMMYFUNCTION("""COMPUTED_VALUE"""),43515.32583059028)</f>
        <v>43515.32583</v>
      </c>
      <c r="B68" s="149" t="str">
        <f>IFERROR(__xludf.DUMMYFUNCTION("""COMPUTED_VALUE"""),"HUILING XU")</f>
        <v>HUILING XU</v>
      </c>
      <c r="C68" s="149" t="str">
        <f>IFERROR(__xludf.DUMMYFUNCTION("""COMPUTED_VALUE"""),"huiling.xu@petermac.org")</f>
        <v>huiling.xu@petermac.org</v>
      </c>
      <c r="D68" s="55" t="str">
        <f>IFERROR(__xludf.DUMMYFUNCTION("""COMPUTED_VALUE"""),"Contacted")</f>
        <v>Contacted</v>
      </c>
      <c r="E68" s="104">
        <f>IFERROR(__xludf.DUMMYFUNCTION("""COMPUTED_VALUE"""),43581.0)</f>
        <v>43581</v>
      </c>
      <c r="F68" s="94" t="str">
        <f>IFERROR(__xludf.DUMMYFUNCTION("""COMPUTED_VALUE"""),"No")</f>
        <v>No</v>
      </c>
      <c r="G68" s="55" t="str">
        <f>IFERROR(__xludf.DUMMYFUNCTION("""COMPUTED_VALUE"""),"Somatic Cancer")</f>
        <v>Somatic Cancer</v>
      </c>
      <c r="H68" s="55" t="str">
        <f>IFERROR(__xludf.DUMMYFUNCTION("""COMPUTED_VALUE"""),"Pediatric cancer taskforce")</f>
        <v>Pediatric cancer taskforce</v>
      </c>
      <c r="I68" s="150">
        <f t="shared" si="1"/>
        <v>43672</v>
      </c>
      <c r="J68" s="94">
        <f>IFERROR(__xludf.DUMMYFUNCTION("""COMPUTED_VALUE"""),43712.0)</f>
        <v>43712</v>
      </c>
      <c r="K68" s="147">
        <f t="shared" si="2"/>
        <v>43764</v>
      </c>
      <c r="L68" s="94" t="str">
        <f>IFERROR(__xludf.DUMMYFUNCTION("""COMPUTED_VALUE"""),"")</f>
        <v/>
      </c>
      <c r="M68" s="55"/>
      <c r="N68" s="55"/>
      <c r="O68" s="55"/>
      <c r="P68" s="55"/>
      <c r="Q68" s="55"/>
      <c r="R68" s="55"/>
      <c r="S68" s="55"/>
      <c r="T68" s="55"/>
      <c r="U68" s="55"/>
      <c r="V68" s="55"/>
      <c r="W68" s="55"/>
      <c r="X68" s="55"/>
      <c r="Y68" s="55"/>
      <c r="Z68" s="55"/>
      <c r="AA68" s="55"/>
      <c r="AB68" s="55"/>
      <c r="AC68" s="55"/>
      <c r="AD68" s="55"/>
    </row>
    <row r="69">
      <c r="A69" s="148">
        <f>IFERROR(__xludf.DUMMYFUNCTION("""COMPUTED_VALUE"""),43524.49831216435)</f>
        <v>43524.49831</v>
      </c>
      <c r="B69" s="149" t="str">
        <f>IFERROR(__xludf.DUMMYFUNCTION("""COMPUTED_VALUE"""),"Nilufar Inamdar")</f>
        <v>Nilufar Inamdar</v>
      </c>
      <c r="C69" s="149" t="str">
        <f>IFERROR(__xludf.DUMMYFUNCTION("""COMPUTED_VALUE"""),"inamdar555@yahoo.com")</f>
        <v>inamdar555@yahoo.com</v>
      </c>
      <c r="D69" s="55" t="str">
        <f>IFERROR(__xludf.DUMMYFUNCTION("""COMPUTED_VALUE"""),"Contacted")</f>
        <v>Contacted</v>
      </c>
      <c r="E69" s="104">
        <f>IFERROR(__xludf.DUMMYFUNCTION("""COMPUTED_VALUE"""),43570.0)</f>
        <v>43570</v>
      </c>
      <c r="F69" s="94" t="str">
        <f>IFERROR(__xludf.DUMMYFUNCTION("""COMPUTED_VALUE"""),"Yes")</f>
        <v>Yes</v>
      </c>
      <c r="G69" s="55" t="str">
        <f>IFERROR(__xludf.DUMMYFUNCTION("""COMPUTED_VALUE"""),"Gene Disease Validity")</f>
        <v>Gene Disease Validity</v>
      </c>
      <c r="H69" s="55" t="str">
        <f>IFERROR(__xludf.DUMMYFUNCTION("""COMPUTED_VALUE"""),"Aminoacidopathy")</f>
        <v>Aminoacidopathy</v>
      </c>
      <c r="I69" s="150">
        <f t="shared" si="1"/>
        <v>43661</v>
      </c>
      <c r="J69" s="94">
        <f>IFERROR(__xludf.DUMMYFUNCTION("""COMPUTED_VALUE"""),43712.0)</f>
        <v>43712</v>
      </c>
      <c r="K69" s="147">
        <f t="shared" si="2"/>
        <v>43753</v>
      </c>
      <c r="L69" s="94" t="str">
        <f>IFERROR(__xludf.DUMMYFUNCTION("""COMPUTED_VALUE"""),"")</f>
        <v/>
      </c>
      <c r="M69" s="55"/>
      <c r="N69" s="55"/>
      <c r="O69" s="55"/>
      <c r="P69" s="55"/>
      <c r="Q69" s="55"/>
      <c r="R69" s="55"/>
      <c r="S69" s="55"/>
      <c r="T69" s="55"/>
      <c r="U69" s="55"/>
      <c r="V69" s="55"/>
      <c r="W69" s="55"/>
      <c r="X69" s="55"/>
      <c r="Y69" s="55"/>
      <c r="Z69" s="55"/>
      <c r="AA69" s="55"/>
      <c r="AB69" s="55"/>
      <c r="AC69" s="55"/>
      <c r="AD69" s="55"/>
    </row>
    <row r="70">
      <c r="A70" s="148">
        <f>IFERROR(__xludf.DUMMYFUNCTION("""COMPUTED_VALUE"""),43525.50388739583)</f>
        <v>43525.50389</v>
      </c>
      <c r="B70" s="149" t="str">
        <f>IFERROR(__xludf.DUMMYFUNCTION("""COMPUTED_VALUE"""),"Michael McLachlan")</f>
        <v>Michael McLachlan</v>
      </c>
      <c r="C70" s="149" t="str">
        <f>IFERROR(__xludf.DUMMYFUNCTION("""COMPUTED_VALUE"""),"mikejmclachlan@gmail.com")</f>
        <v>mikejmclachlan@gmail.com</v>
      </c>
      <c r="D70" s="55" t="str">
        <f>IFERROR(__xludf.DUMMYFUNCTION("""COMPUTED_VALUE"""),"Contacted")</f>
        <v>Contacted</v>
      </c>
      <c r="E70" s="94">
        <f>IFERROR(__xludf.DUMMYFUNCTION("""COMPUTED_VALUE"""),43608.0)</f>
        <v>43608</v>
      </c>
      <c r="F70" s="94" t="str">
        <f>IFERROR(__xludf.DUMMYFUNCTION("""COMPUTED_VALUE"""),"Yes")</f>
        <v>Yes</v>
      </c>
      <c r="G70" s="55" t="str">
        <f>IFERROR(__xludf.DUMMYFUNCTION("""COMPUTED_VALUE"""),"Variant Pathogenicity")</f>
        <v>Variant Pathogenicity</v>
      </c>
      <c r="H70" s="55" t="str">
        <f>IFERROR(__xludf.DUMMYFUNCTION("""COMPUTED_VALUE"""),"ACADVL")</f>
        <v>ACADVL</v>
      </c>
      <c r="I70" s="150">
        <f t="shared" si="1"/>
        <v>43700</v>
      </c>
      <c r="J70" s="94">
        <f>IFERROR(__xludf.DUMMYFUNCTION("""COMPUTED_VALUE"""),43712.0)</f>
        <v>43712</v>
      </c>
      <c r="K70" s="147">
        <f t="shared" si="2"/>
        <v>43792</v>
      </c>
      <c r="L70" s="94" t="str">
        <f>IFERROR(__xludf.DUMMYFUNCTION("""COMPUTED_VALUE"""),"")</f>
        <v/>
      </c>
      <c r="M70" s="55"/>
      <c r="N70" s="55"/>
      <c r="O70" s="55"/>
      <c r="P70" s="55"/>
      <c r="Q70" s="55"/>
      <c r="R70" s="55"/>
      <c r="S70" s="55"/>
      <c r="T70" s="55"/>
      <c r="U70" s="55"/>
      <c r="V70" s="55"/>
      <c r="W70" s="55"/>
      <c r="X70" s="55"/>
      <c r="Y70" s="55"/>
      <c r="Z70" s="55"/>
      <c r="AA70" s="55"/>
      <c r="AB70" s="55"/>
      <c r="AC70" s="55"/>
      <c r="AD70" s="55"/>
    </row>
    <row r="71">
      <c r="A71" s="148">
        <f>IFERROR(__xludf.DUMMYFUNCTION("""COMPUTED_VALUE"""),43531.608363842584)</f>
        <v>43531.60836</v>
      </c>
      <c r="B71" s="149" t="str">
        <f>IFERROR(__xludf.DUMMYFUNCTION("""COMPUTED_VALUE"""),"Urjit Patel")</f>
        <v>Urjit Patel</v>
      </c>
      <c r="C71" s="149" t="str">
        <f>IFERROR(__xludf.DUMMYFUNCTION("""COMPUTED_VALUE"""),"urjit.x.patel@questdiagnostics.com")</f>
        <v>urjit.x.patel@questdiagnostics.com</v>
      </c>
      <c r="D71" s="55" t="str">
        <f>IFERROR(__xludf.DUMMYFUNCTION("""COMPUTED_VALUE"""),"Contacted")</f>
        <v>Contacted</v>
      </c>
      <c r="E71" s="93">
        <f>IFERROR(__xludf.DUMMYFUNCTION("""COMPUTED_VALUE"""),43585.0)</f>
        <v>43585</v>
      </c>
      <c r="F71" s="94" t="str">
        <f>IFERROR(__xludf.DUMMYFUNCTION("""COMPUTED_VALUE"""),"Yes")</f>
        <v>Yes</v>
      </c>
      <c r="G71" s="55" t="str">
        <f>IFERROR(__xludf.DUMMYFUNCTION("""COMPUTED_VALUE"""),"Gene Disease Validity")</f>
        <v>Gene Disease Validity</v>
      </c>
      <c r="H71" s="55" t="str">
        <f>IFERROR(__xludf.DUMMYFUNCTION("""COMPUTED_VALUE"""),"")</f>
        <v/>
      </c>
      <c r="I71" s="150">
        <f t="shared" si="1"/>
        <v>43676</v>
      </c>
      <c r="J71" s="94">
        <f>IFERROR(__xludf.DUMMYFUNCTION("""COMPUTED_VALUE"""),43712.0)</f>
        <v>43712</v>
      </c>
      <c r="K71" s="147">
        <f t="shared" si="2"/>
        <v>43768</v>
      </c>
      <c r="L71" s="94" t="str">
        <f>IFERROR(__xludf.DUMMYFUNCTION("""COMPUTED_VALUE"""),"")</f>
        <v/>
      </c>
      <c r="M71" s="55"/>
      <c r="N71" s="55"/>
      <c r="O71" s="55"/>
      <c r="P71" s="55"/>
      <c r="Q71" s="55"/>
      <c r="R71" s="55"/>
      <c r="S71" s="55"/>
      <c r="T71" s="55"/>
      <c r="U71" s="55"/>
      <c r="V71" s="55"/>
      <c r="W71" s="55"/>
      <c r="X71" s="55"/>
      <c r="Y71" s="55"/>
      <c r="Z71" s="55"/>
      <c r="AA71" s="55"/>
      <c r="AB71" s="55"/>
      <c r="AC71" s="55"/>
      <c r="AD71" s="55"/>
    </row>
    <row r="72">
      <c r="A72" s="148">
        <f>IFERROR(__xludf.DUMMYFUNCTION("""COMPUTED_VALUE"""),43531.6175765162)</f>
        <v>43531.61758</v>
      </c>
      <c r="B72" s="149" t="str">
        <f>IFERROR(__xludf.DUMMYFUNCTION("""COMPUTED_VALUE"""),"Lesley Northrop")</f>
        <v>Lesley Northrop</v>
      </c>
      <c r="C72" s="149" t="str">
        <f>IFERROR(__xludf.DUMMYFUNCTION("""COMPUTED_VALUE"""),"lesleyenorthrop@gmail.com")</f>
        <v>lesleyenorthrop@gmail.com</v>
      </c>
      <c r="D72" s="55" t="str">
        <f>IFERROR(__xludf.DUMMYFUNCTION("""COMPUTED_VALUE"""),"Unresponsive")</f>
        <v>Unresponsive</v>
      </c>
      <c r="E72" s="105">
        <f>IFERROR(__xludf.DUMMYFUNCTION("""COMPUTED_VALUE"""),43567.0)</f>
        <v>43567</v>
      </c>
      <c r="F72" s="94" t="str">
        <f>IFERROR(__xludf.DUMMYFUNCTION("""COMPUTED_VALUE"""),"Yes")</f>
        <v>Yes</v>
      </c>
      <c r="G72" s="55" t="str">
        <f>IFERROR(__xludf.DUMMYFUNCTION("""COMPUTED_VALUE"""),"Actionability")</f>
        <v>Actionability</v>
      </c>
      <c r="H72" s="55" t="str">
        <f>IFERROR(__xludf.DUMMYFUNCTION("""COMPUTED_VALUE"""),"Actionability")</f>
        <v>Actionability</v>
      </c>
      <c r="I72" s="150">
        <f t="shared" si="1"/>
        <v>43658</v>
      </c>
      <c r="J72" s="94">
        <f>IFERROR(__xludf.DUMMYFUNCTION("""COMPUTED_VALUE"""),43712.0)</f>
        <v>43712</v>
      </c>
      <c r="K72" s="147">
        <f t="shared" si="2"/>
        <v>43750</v>
      </c>
      <c r="L72" s="94" t="str">
        <f>IFERROR(__xludf.DUMMYFUNCTION("""COMPUTED_VALUE"""),"")</f>
        <v/>
      </c>
      <c r="M72" s="55"/>
      <c r="N72" s="55"/>
      <c r="O72" s="55"/>
      <c r="P72" s="55"/>
      <c r="Q72" s="55"/>
      <c r="R72" s="55"/>
      <c r="S72" s="55"/>
      <c r="T72" s="55"/>
      <c r="U72" s="55"/>
      <c r="V72" s="55"/>
      <c r="W72" s="55"/>
      <c r="X72" s="55"/>
      <c r="Y72" s="55"/>
      <c r="Z72" s="55"/>
      <c r="AA72" s="55"/>
      <c r="AB72" s="55"/>
      <c r="AC72" s="55"/>
      <c r="AD72" s="55"/>
    </row>
    <row r="73">
      <c r="A73" s="148">
        <f>IFERROR(__xludf.DUMMYFUNCTION("""COMPUTED_VALUE"""),43542.63785333333)</f>
        <v>43542.63785</v>
      </c>
      <c r="B73" s="149" t="str">
        <f>IFERROR(__xludf.DUMMYFUNCTION("""COMPUTED_VALUE"""),"Angela Pickart")</f>
        <v>Angela Pickart</v>
      </c>
      <c r="C73" s="149" t="str">
        <f>IFERROR(__xludf.DUMMYFUNCTION("""COMPUTED_VALUE"""),"pickart.angela@mayo.edu")</f>
        <v>pickart.angela@mayo.edu</v>
      </c>
      <c r="D73" s="55" t="str">
        <f>IFERROR(__xludf.DUMMYFUNCTION("""COMPUTED_VALUE"""),"Contacted")</f>
        <v>Contacted</v>
      </c>
      <c r="E73" s="104">
        <f>IFERROR(__xludf.DUMMYFUNCTION("""COMPUTED_VALUE"""),43570.0)</f>
        <v>43570</v>
      </c>
      <c r="F73" s="94" t="str">
        <f>IFERROR(__xludf.DUMMYFUNCTION("""COMPUTED_VALUE"""),"Yes")</f>
        <v>Yes</v>
      </c>
      <c r="G73" s="55" t="str">
        <f>IFERROR(__xludf.DUMMYFUNCTION("""COMPUTED_VALUE"""),"Gene Disease Validity")</f>
        <v>Gene Disease Validity</v>
      </c>
      <c r="H73" s="55" t="str">
        <f>IFERROR(__xludf.DUMMYFUNCTION("""COMPUTED_VALUE"""),"Epilepsy")</f>
        <v>Epilepsy</v>
      </c>
      <c r="I73" s="150">
        <f t="shared" si="1"/>
        <v>43661</v>
      </c>
      <c r="J73" s="94">
        <f>IFERROR(__xludf.DUMMYFUNCTION("""COMPUTED_VALUE"""),43712.0)</f>
        <v>43712</v>
      </c>
      <c r="K73" s="147">
        <f t="shared" si="2"/>
        <v>43753</v>
      </c>
      <c r="L73" s="94" t="str">
        <f>IFERROR(__xludf.DUMMYFUNCTION("""COMPUTED_VALUE"""),"")</f>
        <v/>
      </c>
      <c r="M73" s="55"/>
      <c r="N73" s="55"/>
      <c r="O73" s="55"/>
      <c r="P73" s="55"/>
      <c r="Q73" s="55"/>
      <c r="R73" s="55"/>
      <c r="S73" s="55"/>
      <c r="T73" s="55"/>
      <c r="U73" s="55"/>
      <c r="V73" s="55"/>
      <c r="W73" s="55"/>
      <c r="X73" s="55"/>
      <c r="Y73" s="55"/>
      <c r="Z73" s="55"/>
      <c r="AA73" s="55"/>
      <c r="AB73" s="55"/>
      <c r="AC73" s="55"/>
      <c r="AD73" s="55"/>
    </row>
    <row r="74">
      <c r="A74" s="148">
        <f>IFERROR(__xludf.DUMMYFUNCTION("""COMPUTED_VALUE"""),43543.44051402778)</f>
        <v>43543.44051</v>
      </c>
      <c r="B74" s="149" t="str">
        <f>IFERROR(__xludf.DUMMYFUNCTION("""COMPUTED_VALUE"""),"Jing Xie")</f>
        <v>Jing Xie</v>
      </c>
      <c r="C74" s="149" t="str">
        <f>IFERROR(__xludf.DUMMYFUNCTION("""COMPUTED_VALUE"""),"jingxiegene@gmail.com")</f>
        <v>jingxiegene@gmail.com</v>
      </c>
      <c r="D74" s="55" t="str">
        <f>IFERROR(__xludf.DUMMYFUNCTION("""COMPUTED_VALUE"""),"Assigned")</f>
        <v>Assigned</v>
      </c>
      <c r="E74" s="93">
        <f>IFERROR(__xludf.DUMMYFUNCTION("""COMPUTED_VALUE"""),43605.0)</f>
        <v>43605</v>
      </c>
      <c r="F74" s="94" t="str">
        <f>IFERROR(__xludf.DUMMYFUNCTION("""COMPUTED_VALUE"""),"Yes")</f>
        <v>Yes</v>
      </c>
      <c r="G74" s="55" t="str">
        <f>IFERROR(__xludf.DUMMYFUNCTION("""COMPUTED_VALUE"""),"Variant Pathogenicity")</f>
        <v>Variant Pathogenicity</v>
      </c>
      <c r="H74" s="55" t="str">
        <f>IFERROR(__xludf.DUMMYFUNCTION("""COMPUTED_VALUE"""),"Storage Disease")</f>
        <v>Storage Disease</v>
      </c>
      <c r="I74" s="150">
        <f t="shared" si="1"/>
        <v>43697</v>
      </c>
      <c r="J74" s="94">
        <f>IFERROR(__xludf.DUMMYFUNCTION("""COMPUTED_VALUE"""),43712.0)</f>
        <v>43712</v>
      </c>
      <c r="K74" s="147">
        <f t="shared" si="2"/>
        <v>43789</v>
      </c>
      <c r="L74" s="94" t="str">
        <f>IFERROR(__xludf.DUMMYFUNCTION("""COMPUTED_VALUE"""),"")</f>
        <v/>
      </c>
      <c r="M74" s="55"/>
      <c r="N74" s="55"/>
      <c r="O74" s="55"/>
      <c r="P74" s="55"/>
      <c r="Q74" s="55"/>
      <c r="R74" s="55"/>
      <c r="S74" s="55"/>
      <c r="T74" s="55"/>
      <c r="U74" s="55"/>
      <c r="V74" s="55"/>
      <c r="W74" s="55"/>
      <c r="X74" s="55"/>
      <c r="Y74" s="55"/>
      <c r="Z74" s="55"/>
      <c r="AA74" s="55"/>
      <c r="AB74" s="55"/>
      <c r="AC74" s="55"/>
      <c r="AD74" s="55"/>
    </row>
    <row r="75">
      <c r="A75" s="148">
        <f>IFERROR(__xludf.DUMMYFUNCTION("""COMPUTED_VALUE"""),43549.53046127314)</f>
        <v>43549.53046</v>
      </c>
      <c r="B75" s="149" t="str">
        <f>IFERROR(__xludf.DUMMYFUNCTION("""COMPUTED_VALUE"""),"Kathryn Kronquist")</f>
        <v>Kathryn Kronquist</v>
      </c>
      <c r="C75" s="149" t="str">
        <f>IFERROR(__xludf.DUMMYFUNCTION("""COMPUTED_VALUE"""),"Kathryn.Kronquist@childrenscolorado.org")</f>
        <v>Kathryn.Kronquist@childrenscolorado.org</v>
      </c>
      <c r="D75" s="55" t="str">
        <f>IFERROR(__xludf.DUMMYFUNCTION("""COMPUTED_VALUE"""),"Contacted")</f>
        <v>Contacted</v>
      </c>
      <c r="E75" s="93">
        <f>IFERROR(__xludf.DUMMYFUNCTION("""COMPUTED_VALUE"""),43605.0)</f>
        <v>43605</v>
      </c>
      <c r="F75" s="94" t="str">
        <f>IFERROR(__xludf.DUMMYFUNCTION("""COMPUTED_VALUE"""),"Yes")</f>
        <v>Yes</v>
      </c>
      <c r="G75" s="55" t="str">
        <f>IFERROR(__xludf.DUMMYFUNCTION("""COMPUTED_VALUE"""),"Variant Pathogenicity")</f>
        <v>Variant Pathogenicity</v>
      </c>
      <c r="H75" s="55" t="str">
        <f>IFERROR(__xludf.DUMMYFUNCTION("""COMPUTED_VALUE"""),"RASopathy")</f>
        <v>RASopathy</v>
      </c>
      <c r="I75" s="150">
        <f t="shared" si="1"/>
        <v>43697</v>
      </c>
      <c r="J75" s="94">
        <f>IFERROR(__xludf.DUMMYFUNCTION("""COMPUTED_VALUE"""),43712.0)</f>
        <v>43712</v>
      </c>
      <c r="K75" s="147">
        <f t="shared" si="2"/>
        <v>43789</v>
      </c>
      <c r="L75" s="94" t="str">
        <f>IFERROR(__xludf.DUMMYFUNCTION("""COMPUTED_VALUE"""),"")</f>
        <v/>
      </c>
      <c r="M75" s="55"/>
      <c r="N75" s="55"/>
      <c r="O75" s="55"/>
      <c r="P75" s="55"/>
      <c r="Q75" s="55"/>
      <c r="R75" s="55"/>
      <c r="S75" s="55"/>
      <c r="T75" s="55"/>
      <c r="U75" s="55"/>
      <c r="V75" s="55"/>
      <c r="W75" s="55"/>
      <c r="X75" s="55"/>
      <c r="Y75" s="55"/>
      <c r="Z75" s="55"/>
      <c r="AA75" s="55"/>
      <c r="AB75" s="55"/>
      <c r="AC75" s="55"/>
      <c r="AD75" s="55"/>
    </row>
    <row r="76">
      <c r="A76" s="148">
        <f>IFERROR(__xludf.DUMMYFUNCTION("""COMPUTED_VALUE"""),43550.17733546296)</f>
        <v>43550.17734</v>
      </c>
      <c r="B76" s="149" t="str">
        <f>IFERROR(__xludf.DUMMYFUNCTION("""COMPUTED_VALUE"""),"Venkataswamy Eswarachari")</f>
        <v>Venkataswamy Eswarachari</v>
      </c>
      <c r="C76" s="149" t="str">
        <f>IFERROR(__xludf.DUMMYFUNCTION("""COMPUTED_VALUE"""),"venkataswamy@medgenome.com")</f>
        <v>venkataswamy@medgenome.com</v>
      </c>
      <c r="D76" s="55" t="str">
        <f>IFERROR(__xludf.DUMMYFUNCTION("""COMPUTED_VALUE"""),"Contacted")</f>
        <v>Contacted</v>
      </c>
      <c r="E76" s="104">
        <f>IFERROR(__xludf.DUMMYFUNCTION("""COMPUTED_VALUE"""),43581.0)</f>
        <v>43581</v>
      </c>
      <c r="F76" s="55" t="str">
        <f>IFERROR(__xludf.DUMMYFUNCTION("""COMPUTED_VALUE"""),"No")</f>
        <v>No</v>
      </c>
      <c r="G76" s="55" t="str">
        <f>IFERROR(__xludf.DUMMYFUNCTION("""COMPUTED_VALUE"""),"Somatic Cancer")</f>
        <v>Somatic Cancer</v>
      </c>
      <c r="H76" s="55" t="str">
        <f>IFERROR(__xludf.DUMMYFUNCTION("""COMPUTED_VALUE"""),"")</f>
        <v/>
      </c>
      <c r="I76" s="150">
        <f t="shared" si="1"/>
        <v>43672</v>
      </c>
      <c r="J76" s="94">
        <f>IFERROR(__xludf.DUMMYFUNCTION("""COMPUTED_VALUE"""),43712.0)</f>
        <v>43712</v>
      </c>
      <c r="K76" s="147">
        <f t="shared" si="2"/>
        <v>43764</v>
      </c>
      <c r="L76" s="94" t="str">
        <f>IFERROR(__xludf.DUMMYFUNCTION("""COMPUTED_VALUE"""),"")</f>
        <v/>
      </c>
      <c r="M76" s="55"/>
      <c r="N76" s="55"/>
      <c r="O76" s="55"/>
      <c r="P76" s="55"/>
      <c r="Q76" s="55"/>
      <c r="R76" s="55"/>
      <c r="S76" s="55"/>
      <c r="T76" s="55"/>
      <c r="U76" s="55"/>
      <c r="V76" s="55"/>
      <c r="W76" s="55"/>
      <c r="X76" s="55"/>
      <c r="Y76" s="55"/>
      <c r="Z76" s="55"/>
      <c r="AA76" s="55"/>
      <c r="AB76" s="55"/>
      <c r="AC76" s="55"/>
      <c r="AD76" s="55"/>
    </row>
    <row r="77">
      <c r="A77" s="148">
        <f>IFERROR(__xludf.DUMMYFUNCTION("""COMPUTED_VALUE"""),43558.13699107639)</f>
        <v>43558.13699</v>
      </c>
      <c r="B77" s="149" t="str">
        <f>IFERROR(__xludf.DUMMYFUNCTION("""COMPUTED_VALUE"""),"Barbara Vona")</f>
        <v>Barbara Vona</v>
      </c>
      <c r="C77" s="149" t="str">
        <f>IFERROR(__xludf.DUMMYFUNCTION("""COMPUTED_VALUE"""),"barbara.vona@uni-tuebingen.de")</f>
        <v>barbara.vona@uni-tuebingen.de</v>
      </c>
      <c r="D77" s="55" t="str">
        <f>IFERROR(__xludf.DUMMYFUNCTION("""COMPUTED_VALUE"""),"Assigned")</f>
        <v>Assigned</v>
      </c>
      <c r="E77" s="94">
        <f>IFERROR(__xludf.DUMMYFUNCTION("""COMPUTED_VALUE"""),43626.0)</f>
        <v>43626</v>
      </c>
      <c r="F77" s="55" t="str">
        <f>IFERROR(__xludf.DUMMYFUNCTION("""COMPUTED_VALUE"""),"Yes")</f>
        <v>Yes</v>
      </c>
      <c r="G77" s="55" t="str">
        <f>IFERROR(__xludf.DUMMYFUNCTION("""COMPUTED_VALUE"""),"Variant Pathogenicity")</f>
        <v>Variant Pathogenicity</v>
      </c>
      <c r="H77" s="55" t="str">
        <f>IFERROR(__xludf.DUMMYFUNCTION("""COMPUTED_VALUE"""),"Hearing Loss")</f>
        <v>Hearing Loss</v>
      </c>
      <c r="I77" s="150">
        <f t="shared" si="1"/>
        <v>43718</v>
      </c>
      <c r="J77" s="94">
        <f>IFERROR(__xludf.DUMMYFUNCTION("""COMPUTED_VALUE"""),43712.0)</f>
        <v>43712</v>
      </c>
      <c r="K77" s="147">
        <f t="shared" si="2"/>
        <v>43809</v>
      </c>
      <c r="L77" s="94" t="str">
        <f>IFERROR(__xludf.DUMMYFUNCTION("""COMPUTED_VALUE"""),"")</f>
        <v/>
      </c>
      <c r="M77" s="55"/>
      <c r="N77" s="55"/>
      <c r="O77" s="55"/>
      <c r="P77" s="55"/>
      <c r="Q77" s="55"/>
      <c r="R77" s="55"/>
      <c r="S77" s="55"/>
      <c r="T77" s="55"/>
      <c r="U77" s="55"/>
      <c r="V77" s="55"/>
      <c r="W77" s="55"/>
      <c r="X77" s="55"/>
      <c r="Y77" s="55"/>
      <c r="Z77" s="55"/>
      <c r="AA77" s="55"/>
      <c r="AB77" s="55"/>
      <c r="AC77" s="55"/>
      <c r="AD77" s="55"/>
    </row>
    <row r="78">
      <c r="A78" s="148">
        <f>IFERROR(__xludf.DUMMYFUNCTION("""COMPUTED_VALUE"""),43558.605901724535)</f>
        <v>43558.6059</v>
      </c>
      <c r="B78" s="149" t="str">
        <f>IFERROR(__xludf.DUMMYFUNCTION("""COMPUTED_VALUE"""),"Viridiana Murillo")</f>
        <v>Viridiana Murillo</v>
      </c>
      <c r="C78" s="149" t="str">
        <f>IFERROR(__xludf.DUMMYFUNCTION("""COMPUTED_VALUE"""),"vmurillo18@students.kgi.edu")</f>
        <v>vmurillo18@students.kgi.edu</v>
      </c>
      <c r="D78" s="55" t="str">
        <f>IFERROR(__xludf.DUMMYFUNCTION("""COMPUTED_VALUE"""),"Assigned")</f>
        <v>Assigned</v>
      </c>
      <c r="E78" s="93">
        <f>IFERROR(__xludf.DUMMYFUNCTION("""COMPUTED_VALUE"""),43605.0)</f>
        <v>43605</v>
      </c>
      <c r="F78" s="55" t="str">
        <f>IFERROR(__xludf.DUMMYFUNCTION("""COMPUTED_VALUE"""),"Yes")</f>
        <v>Yes</v>
      </c>
      <c r="G78" s="55" t="str">
        <f>IFERROR(__xludf.DUMMYFUNCTION("""COMPUTED_VALUE"""),"Variant Pathogenicity")</f>
        <v>Variant Pathogenicity</v>
      </c>
      <c r="H78" s="55" t="str">
        <f>IFERROR(__xludf.DUMMYFUNCTION("""COMPUTED_VALUE"""),"PAH")</f>
        <v>PAH</v>
      </c>
      <c r="I78" s="150">
        <f t="shared" si="1"/>
        <v>43697</v>
      </c>
      <c r="J78" s="94">
        <f>IFERROR(__xludf.DUMMYFUNCTION("""COMPUTED_VALUE"""),43712.0)</f>
        <v>43712</v>
      </c>
      <c r="K78" s="147">
        <f t="shared" si="2"/>
        <v>43789</v>
      </c>
      <c r="L78" s="94" t="str">
        <f>IFERROR(__xludf.DUMMYFUNCTION("""COMPUTED_VALUE"""),"")</f>
        <v/>
      </c>
      <c r="M78" s="55"/>
      <c r="N78" s="55"/>
      <c r="O78" s="55"/>
      <c r="P78" s="55"/>
      <c r="Q78" s="55"/>
      <c r="R78" s="55"/>
      <c r="S78" s="55"/>
      <c r="T78" s="55"/>
      <c r="U78" s="55"/>
      <c r="V78" s="55"/>
      <c r="W78" s="55"/>
      <c r="X78" s="55"/>
      <c r="Y78" s="55"/>
      <c r="Z78" s="55"/>
      <c r="AA78" s="55"/>
      <c r="AB78" s="55"/>
      <c r="AC78" s="55"/>
      <c r="AD78" s="55"/>
    </row>
    <row r="79">
      <c r="A79" s="148">
        <f>IFERROR(__xludf.DUMMYFUNCTION("""COMPUTED_VALUE"""),43558.62698700232)</f>
        <v>43558.62699</v>
      </c>
      <c r="B79" s="149" t="str">
        <f>IFERROR(__xludf.DUMMYFUNCTION("""COMPUTED_VALUE"""),"Sharon Suchy")</f>
        <v>Sharon Suchy</v>
      </c>
      <c r="C79" s="149" t="str">
        <f>IFERROR(__xludf.DUMMYFUNCTION("""COMPUTED_VALUE"""),"ssuchy@genedx.com")</f>
        <v>ssuchy@genedx.com</v>
      </c>
      <c r="D79" s="55" t="str">
        <f>IFERROR(__xludf.DUMMYFUNCTION("""COMPUTED_VALUE"""),"Unresponsive")</f>
        <v>Unresponsive</v>
      </c>
      <c r="E79" s="93">
        <f>IFERROR(__xludf.DUMMYFUNCTION("""COMPUTED_VALUE"""),43605.0)</f>
        <v>43605</v>
      </c>
      <c r="F79" s="55" t="str">
        <f>IFERROR(__xludf.DUMMYFUNCTION("""COMPUTED_VALUE"""),"No")</f>
        <v>No</v>
      </c>
      <c r="G79" s="55" t="str">
        <f>IFERROR(__xludf.DUMMYFUNCTION("""COMPUTED_VALUE"""),"Variant Pathogenicity")</f>
        <v>Variant Pathogenicity</v>
      </c>
      <c r="H79" s="55" t="str">
        <f>IFERROR(__xludf.DUMMYFUNCTION("""COMPUTED_VALUE"""),"")</f>
        <v/>
      </c>
      <c r="I79" s="150">
        <f t="shared" si="1"/>
        <v>43697</v>
      </c>
      <c r="J79" s="55" t="str">
        <f>IFERROR(__xludf.DUMMYFUNCTION("""COMPUTED_VALUE"""),"")</f>
        <v/>
      </c>
      <c r="K79" s="147">
        <f t="shared" si="2"/>
        <v>43789</v>
      </c>
      <c r="L79" s="55" t="str">
        <f>IFERROR(__xludf.DUMMYFUNCTION("""COMPUTED_VALUE"""),"")</f>
        <v/>
      </c>
      <c r="M79" s="55"/>
      <c r="N79" s="55"/>
      <c r="O79" s="55"/>
      <c r="P79" s="55"/>
      <c r="Q79" s="55"/>
      <c r="R79" s="55"/>
      <c r="S79" s="55"/>
      <c r="T79" s="55"/>
      <c r="U79" s="55"/>
      <c r="V79" s="55"/>
      <c r="W79" s="55"/>
      <c r="X79" s="55"/>
      <c r="Y79" s="55"/>
      <c r="Z79" s="55"/>
      <c r="AA79" s="55"/>
      <c r="AB79" s="55"/>
      <c r="AC79" s="55"/>
      <c r="AD79" s="55"/>
    </row>
    <row r="80">
      <c r="A80" s="148">
        <f>IFERROR(__xludf.DUMMYFUNCTION("""COMPUTED_VALUE"""),43559.45062822916)</f>
        <v>43559.45063</v>
      </c>
      <c r="B80" s="149" t="str">
        <f>IFERROR(__xludf.DUMMYFUNCTION("""COMPUTED_VALUE"""),"Theodore E. Wilson")</f>
        <v>Theodore E. Wilson</v>
      </c>
      <c r="C80" s="149" t="str">
        <f>IFERROR(__xludf.DUMMYFUNCTION("""COMPUTED_VALUE"""),"theowils@iu.edu")</f>
        <v>theowils@iu.edu</v>
      </c>
      <c r="D80" s="55" t="str">
        <f>IFERROR(__xludf.DUMMYFUNCTION("""COMPUTED_VALUE"""),"Assigned")</f>
        <v>Assigned</v>
      </c>
      <c r="E80" s="93">
        <f>IFERROR(__xludf.DUMMYFUNCTION("""COMPUTED_VALUE"""),43608.0)</f>
        <v>43608</v>
      </c>
      <c r="F80" s="55" t="str">
        <f>IFERROR(__xludf.DUMMYFUNCTION("""COMPUTED_VALUE"""),"Yes")</f>
        <v>Yes</v>
      </c>
      <c r="G80" s="55" t="str">
        <f>IFERROR(__xludf.DUMMYFUNCTION("""COMPUTED_VALUE"""),"Variant Pathogenicity")</f>
        <v>Variant Pathogenicity</v>
      </c>
      <c r="H80" s="55" t="str">
        <f>IFERROR(__xludf.DUMMYFUNCTION("""COMPUTED_VALUE"""),"Cardiomyopathy")</f>
        <v>Cardiomyopathy</v>
      </c>
      <c r="I80" s="150">
        <f t="shared" si="1"/>
        <v>43700</v>
      </c>
      <c r="J80" s="94">
        <f>IFERROR(__xludf.DUMMYFUNCTION("""COMPUTED_VALUE"""),43712.0)</f>
        <v>43712</v>
      </c>
      <c r="K80" s="147">
        <f t="shared" si="2"/>
        <v>43792</v>
      </c>
      <c r="L80" s="94" t="str">
        <f>IFERROR(__xludf.DUMMYFUNCTION("""COMPUTED_VALUE"""),"")</f>
        <v/>
      </c>
      <c r="M80" s="55"/>
      <c r="N80" s="55"/>
      <c r="O80" s="55"/>
      <c r="P80" s="55"/>
      <c r="Q80" s="55"/>
      <c r="R80" s="55"/>
      <c r="S80" s="55"/>
      <c r="T80" s="55"/>
      <c r="U80" s="55"/>
      <c r="V80" s="55"/>
      <c r="W80" s="55"/>
      <c r="X80" s="55"/>
      <c r="Y80" s="55"/>
      <c r="Z80" s="55"/>
      <c r="AA80" s="55"/>
      <c r="AB80" s="55"/>
      <c r="AC80" s="55"/>
      <c r="AD80" s="55"/>
    </row>
    <row r="81">
      <c r="A81" s="148">
        <f>IFERROR(__xludf.DUMMYFUNCTION("""COMPUTED_VALUE"""),43559.49000396991)</f>
        <v>43559.49</v>
      </c>
      <c r="B81" s="149" t="str">
        <f>IFERROR(__xludf.DUMMYFUNCTION("""COMPUTED_VALUE"""),"Christina Y Hung")</f>
        <v>Christina Y Hung</v>
      </c>
      <c r="C81" s="149" t="str">
        <f>IFERROR(__xludf.DUMMYFUNCTION("""COMPUTED_VALUE"""),"christina.hung@childrens.harvard.edu")</f>
        <v>christina.hung@childrens.harvard.edu</v>
      </c>
      <c r="D81" s="55" t="str">
        <f>IFERROR(__xludf.DUMMYFUNCTION("""COMPUTED_VALUE"""),"Assigned")</f>
        <v>Assigned</v>
      </c>
      <c r="E81" s="93">
        <f>IFERROR(__xludf.DUMMYFUNCTION("""COMPUTED_VALUE"""),43605.0)</f>
        <v>43605</v>
      </c>
      <c r="F81" s="55" t="str">
        <f>IFERROR(__xludf.DUMMYFUNCTION("""COMPUTED_VALUE"""),"Yes")</f>
        <v>Yes</v>
      </c>
      <c r="G81" s="55" t="str">
        <f>IFERROR(__xludf.DUMMYFUNCTION("""COMPUTED_VALUE"""),"Variant Pathogenicity")</f>
        <v>Variant Pathogenicity</v>
      </c>
      <c r="H81" s="55" t="str">
        <f>IFERROR(__xludf.DUMMYFUNCTION("""COMPUTED_VALUE"""),"Storage Disease")</f>
        <v>Storage Disease</v>
      </c>
      <c r="I81" s="150">
        <f t="shared" si="1"/>
        <v>43697</v>
      </c>
      <c r="J81" s="94">
        <f>IFERROR(__xludf.DUMMYFUNCTION("""COMPUTED_VALUE"""),43712.0)</f>
        <v>43712</v>
      </c>
      <c r="K81" s="147">
        <f t="shared" si="2"/>
        <v>43789</v>
      </c>
      <c r="L81" s="94" t="str">
        <f>IFERROR(__xludf.DUMMYFUNCTION("""COMPUTED_VALUE"""),"")</f>
        <v/>
      </c>
      <c r="M81" s="55"/>
      <c r="N81" s="55"/>
      <c r="O81" s="55"/>
      <c r="P81" s="55"/>
      <c r="Q81" s="55"/>
      <c r="R81" s="55"/>
      <c r="S81" s="55"/>
      <c r="T81" s="55"/>
      <c r="U81" s="55"/>
      <c r="V81" s="55"/>
      <c r="W81" s="55"/>
      <c r="X81" s="55"/>
      <c r="Y81" s="55"/>
      <c r="Z81" s="55"/>
      <c r="AA81" s="55"/>
      <c r="AB81" s="55"/>
      <c r="AC81" s="55"/>
      <c r="AD81" s="55"/>
    </row>
    <row r="82">
      <c r="A82" s="148">
        <f>IFERROR(__xludf.DUMMYFUNCTION("""COMPUTED_VALUE"""),43560.45181064815)</f>
        <v>43560.45181</v>
      </c>
      <c r="B82" s="149" t="str">
        <f>IFERROR(__xludf.DUMMYFUNCTION("""COMPUTED_VALUE"""),"Junyu Zhang")</f>
        <v>Junyu Zhang</v>
      </c>
      <c r="C82" s="149" t="str">
        <f>IFERROR(__xludf.DUMMYFUNCTION("""COMPUTED_VALUE"""),"junyuzhang@hotmail.com")</f>
        <v>junyuzhang@hotmail.com</v>
      </c>
      <c r="D82" s="55" t="str">
        <f>IFERROR(__xludf.DUMMYFUNCTION("""COMPUTED_VALUE"""),"Assigned")</f>
        <v>Assigned</v>
      </c>
      <c r="E82" s="93">
        <f>IFERROR(__xludf.DUMMYFUNCTION("""COMPUTED_VALUE"""),43605.0)</f>
        <v>43605</v>
      </c>
      <c r="F82" s="55" t="str">
        <f>IFERROR(__xludf.DUMMYFUNCTION("""COMPUTED_VALUE"""),"Yes")</f>
        <v>Yes</v>
      </c>
      <c r="G82" s="55" t="str">
        <f>IFERROR(__xludf.DUMMYFUNCTION("""COMPUTED_VALUE"""),"Variant Pathogenicity")</f>
        <v>Variant Pathogenicity</v>
      </c>
      <c r="H82" s="55" t="str">
        <f>IFERROR(__xludf.DUMMYFUNCTION("""COMPUTED_VALUE"""),"Brain Malformations")</f>
        <v>Brain Malformations</v>
      </c>
      <c r="I82" s="150">
        <f t="shared" si="1"/>
        <v>43697</v>
      </c>
      <c r="J82" s="94">
        <f>IFERROR(__xludf.DUMMYFUNCTION("""COMPUTED_VALUE"""),43712.0)</f>
        <v>43712</v>
      </c>
      <c r="K82" s="147">
        <f t="shared" si="2"/>
        <v>43789</v>
      </c>
      <c r="L82" s="94" t="str">
        <f>IFERROR(__xludf.DUMMYFUNCTION("""COMPUTED_VALUE"""),"")</f>
        <v/>
      </c>
      <c r="M82" s="55"/>
      <c r="N82" s="55"/>
      <c r="O82" s="55"/>
      <c r="P82" s="55"/>
      <c r="Q82" s="55"/>
      <c r="R82" s="55"/>
      <c r="S82" s="55"/>
      <c r="T82" s="55"/>
      <c r="U82" s="55"/>
      <c r="V82" s="55"/>
      <c r="W82" s="55"/>
      <c r="X82" s="55"/>
      <c r="Y82" s="55"/>
      <c r="Z82" s="55"/>
      <c r="AA82" s="55"/>
      <c r="AB82" s="55"/>
      <c r="AC82" s="55"/>
      <c r="AD82" s="55"/>
    </row>
    <row r="83">
      <c r="A83" s="148">
        <f>IFERROR(__xludf.DUMMYFUNCTION("""COMPUTED_VALUE"""),43560.45312697917)</f>
        <v>43560.45313</v>
      </c>
      <c r="B83" s="149" t="str">
        <f>IFERROR(__xludf.DUMMYFUNCTION("""COMPUTED_VALUE"""),"Jing Zhang")</f>
        <v>Jing Zhang</v>
      </c>
      <c r="C83" s="149" t="str">
        <f>IFERROR(__xludf.DUMMYFUNCTION("""COMPUTED_VALUE"""),"jzhang@wuxinextcode.com")</f>
        <v>jzhang@wuxinextcode.com</v>
      </c>
      <c r="D83" s="55" t="str">
        <f>IFERROR(__xludf.DUMMYFUNCTION("""COMPUTED_VALUE"""),"Contacted")</f>
        <v>Contacted</v>
      </c>
      <c r="E83" s="93">
        <f>IFERROR(__xludf.DUMMYFUNCTION("""COMPUTED_VALUE"""),43585.0)</f>
        <v>43585</v>
      </c>
      <c r="F83" s="55" t="str">
        <f>IFERROR(__xludf.DUMMYFUNCTION("""COMPUTED_VALUE"""),"Yes")</f>
        <v>Yes</v>
      </c>
      <c r="G83" s="55" t="str">
        <f>IFERROR(__xludf.DUMMYFUNCTION("""COMPUTED_VALUE"""),"Gene Disease Validity")</f>
        <v>Gene Disease Validity</v>
      </c>
      <c r="H83" s="55" t="str">
        <f>IFERROR(__xludf.DUMMYFUNCTION("""COMPUTED_VALUE"""),"Hemo/Thrombo")</f>
        <v>Hemo/Thrombo</v>
      </c>
      <c r="I83" s="150">
        <f t="shared" si="1"/>
        <v>43676</v>
      </c>
      <c r="J83" s="94">
        <f>IFERROR(__xludf.DUMMYFUNCTION("""COMPUTED_VALUE"""),43712.0)</f>
        <v>43712</v>
      </c>
      <c r="K83" s="147">
        <f t="shared" si="2"/>
        <v>43768</v>
      </c>
      <c r="L83" s="94" t="str">
        <f>IFERROR(__xludf.DUMMYFUNCTION("""COMPUTED_VALUE"""),"")</f>
        <v/>
      </c>
      <c r="M83" s="55"/>
      <c r="N83" s="55"/>
      <c r="O83" s="55"/>
      <c r="P83" s="55"/>
      <c r="Q83" s="55"/>
      <c r="R83" s="55"/>
      <c r="S83" s="55"/>
      <c r="T83" s="55"/>
      <c r="U83" s="55"/>
      <c r="V83" s="55"/>
      <c r="W83" s="55"/>
      <c r="X83" s="55"/>
      <c r="Y83" s="55"/>
      <c r="Z83" s="55"/>
      <c r="AA83" s="55"/>
      <c r="AB83" s="55"/>
      <c r="AC83" s="55"/>
      <c r="AD83" s="55"/>
    </row>
    <row r="84">
      <c r="A84" s="148">
        <f>IFERROR(__xludf.DUMMYFUNCTION("""COMPUTED_VALUE"""),43560.5073359838)</f>
        <v>43560.50734</v>
      </c>
      <c r="B84" s="149" t="str">
        <f>IFERROR(__xludf.DUMMYFUNCTION("""COMPUTED_VALUE"""),"Emily Higgs")</f>
        <v>Emily Higgs</v>
      </c>
      <c r="C84" s="149" t="str">
        <f>IFERROR(__xludf.DUMMYFUNCTION("""COMPUTED_VALUE"""),"ehiggs@stanford.edu")</f>
        <v>ehiggs@stanford.edu</v>
      </c>
      <c r="D84" s="55" t="str">
        <f>IFERROR(__xludf.DUMMYFUNCTION("""COMPUTED_VALUE"""),"Assigned")</f>
        <v>Assigned</v>
      </c>
      <c r="E84" s="93">
        <f>IFERROR(__xludf.DUMMYFUNCTION("""COMPUTED_VALUE"""),43605.0)</f>
        <v>43605</v>
      </c>
      <c r="F84" s="55" t="str">
        <f>IFERROR(__xludf.DUMMYFUNCTION("""COMPUTED_VALUE"""),"Yes")</f>
        <v>Yes</v>
      </c>
      <c r="G84" s="55" t="str">
        <f>IFERROR(__xludf.DUMMYFUNCTION("""COMPUTED_VALUE"""),"Variant Pathogenicity")</f>
        <v>Variant Pathogenicity</v>
      </c>
      <c r="H84" s="55" t="str">
        <f>IFERROR(__xludf.DUMMYFUNCTION("""COMPUTED_VALUE"""),"TP53")</f>
        <v>TP53</v>
      </c>
      <c r="I84" s="150">
        <f t="shared" si="1"/>
        <v>43697</v>
      </c>
      <c r="J84" s="94">
        <f>IFERROR(__xludf.DUMMYFUNCTION("""COMPUTED_VALUE"""),43712.0)</f>
        <v>43712</v>
      </c>
      <c r="K84" s="147">
        <f t="shared" si="2"/>
        <v>43789</v>
      </c>
      <c r="L84" s="94" t="str">
        <f>IFERROR(__xludf.DUMMYFUNCTION("""COMPUTED_VALUE"""),"")</f>
        <v/>
      </c>
      <c r="M84" s="55"/>
      <c r="N84" s="55"/>
      <c r="O84" s="55"/>
      <c r="P84" s="55"/>
      <c r="Q84" s="55"/>
      <c r="R84" s="55"/>
      <c r="S84" s="55"/>
      <c r="T84" s="55"/>
      <c r="U84" s="55"/>
      <c r="V84" s="55"/>
      <c r="W84" s="55"/>
      <c r="X84" s="55"/>
      <c r="Y84" s="55"/>
      <c r="Z84" s="55"/>
      <c r="AA84" s="55"/>
      <c r="AB84" s="55"/>
      <c r="AC84" s="55"/>
      <c r="AD84" s="55"/>
    </row>
    <row r="85">
      <c r="A85" s="148">
        <f>IFERROR(__xludf.DUMMYFUNCTION("""COMPUTED_VALUE"""),43560.80082045139)</f>
        <v>43560.80082</v>
      </c>
      <c r="B85" s="149" t="str">
        <f>IFERROR(__xludf.DUMMYFUNCTION("""COMPUTED_VALUE"""),"Samantha Chill")</f>
        <v>Samantha Chill</v>
      </c>
      <c r="C85" s="149" t="str">
        <f>IFERROR(__xludf.DUMMYFUNCTION("""COMPUTED_VALUE"""),"slsevilla@gmail.com")</f>
        <v>slsevilla@gmail.com</v>
      </c>
      <c r="D85" s="55" t="str">
        <f>IFERROR(__xludf.DUMMYFUNCTION("""COMPUTED_VALUE"""),"Declined")</f>
        <v>Declined</v>
      </c>
      <c r="E85" s="104">
        <f>IFERROR(__xludf.DUMMYFUNCTION("""COMPUTED_VALUE"""),43570.0)</f>
        <v>43570</v>
      </c>
      <c r="F85" s="55" t="str">
        <f>IFERROR(__xludf.DUMMYFUNCTION("""COMPUTED_VALUE"""),"Yes")</f>
        <v>Yes</v>
      </c>
      <c r="G85" s="55" t="str">
        <f>IFERROR(__xludf.DUMMYFUNCTION("""COMPUTED_VALUE"""),"Gene Disease Validity")</f>
        <v>Gene Disease Validity</v>
      </c>
      <c r="H85" s="55" t="str">
        <f>IFERROR(__xludf.DUMMYFUNCTION("""COMPUTED_VALUE"""),"Hemo/Thrombo")</f>
        <v>Hemo/Thrombo</v>
      </c>
      <c r="I85" s="150">
        <f t="shared" si="1"/>
        <v>43661</v>
      </c>
      <c r="J85" s="94">
        <f>IFERROR(__xludf.DUMMYFUNCTION("""COMPUTED_VALUE"""),43712.0)</f>
        <v>43712</v>
      </c>
      <c r="K85" s="147">
        <f t="shared" si="2"/>
        <v>43753</v>
      </c>
      <c r="L85" s="94" t="str">
        <f>IFERROR(__xludf.DUMMYFUNCTION("""COMPUTED_VALUE"""),"")</f>
        <v/>
      </c>
      <c r="M85" s="55"/>
      <c r="N85" s="55"/>
      <c r="O85" s="55"/>
      <c r="P85" s="55"/>
      <c r="Q85" s="55"/>
      <c r="R85" s="55"/>
      <c r="S85" s="55"/>
      <c r="T85" s="55"/>
      <c r="U85" s="55"/>
      <c r="V85" s="55"/>
      <c r="W85" s="55"/>
      <c r="X85" s="55"/>
      <c r="Y85" s="55"/>
      <c r="Z85" s="55"/>
      <c r="AA85" s="55"/>
      <c r="AB85" s="55"/>
      <c r="AC85" s="55"/>
      <c r="AD85" s="55"/>
    </row>
    <row r="86">
      <c r="A86" s="148">
        <f>IFERROR(__xludf.DUMMYFUNCTION("""COMPUTED_VALUE"""),43560.988255763885)</f>
        <v>43560.98826</v>
      </c>
      <c r="B86" s="149" t="str">
        <f>IFERROR(__xludf.DUMMYFUNCTION("""COMPUTED_VALUE"""),"HECTOR RODRIGO MENDEZ")</f>
        <v>HECTOR RODRIGO MENDEZ</v>
      </c>
      <c r="C86" s="149" t="str">
        <f>IFERROR(__xludf.DUMMYFUNCTION("""COMPUTED_VALUE"""),"rodrigomendezh@gmail.com")</f>
        <v>rodrigomendezh@gmail.com</v>
      </c>
      <c r="D86" s="55" t="str">
        <f>IFERROR(__xludf.DUMMYFUNCTION("""COMPUTED_VALUE"""),"Contacted")</f>
        <v>Contacted</v>
      </c>
      <c r="E86" s="93">
        <f>IFERROR(__xludf.DUMMYFUNCTION("""COMPUTED_VALUE"""),43585.0)</f>
        <v>43585</v>
      </c>
      <c r="F86" s="55" t="str">
        <f>IFERROR(__xludf.DUMMYFUNCTION("""COMPUTED_VALUE"""),"Yes")</f>
        <v>Yes</v>
      </c>
      <c r="G86" s="55" t="str">
        <f>IFERROR(__xludf.DUMMYFUNCTION("""COMPUTED_VALUE"""),"Gene Disease Validity")</f>
        <v>Gene Disease Validity</v>
      </c>
      <c r="H86" s="55" t="str">
        <f>IFERROR(__xludf.DUMMYFUNCTION("""COMPUTED_VALUE"""),"ID/Autism")</f>
        <v>ID/Autism</v>
      </c>
      <c r="I86" s="150">
        <f t="shared" si="1"/>
        <v>43676</v>
      </c>
      <c r="J86" s="94">
        <f>IFERROR(__xludf.DUMMYFUNCTION("""COMPUTED_VALUE"""),43712.0)</f>
        <v>43712</v>
      </c>
      <c r="K86" s="147">
        <f t="shared" si="2"/>
        <v>43768</v>
      </c>
      <c r="L86" s="94" t="str">
        <f>IFERROR(__xludf.DUMMYFUNCTION("""COMPUTED_VALUE"""),"")</f>
        <v/>
      </c>
      <c r="M86" s="55"/>
      <c r="N86" s="55"/>
      <c r="O86" s="55"/>
      <c r="P86" s="55"/>
      <c r="Q86" s="55"/>
      <c r="R86" s="55"/>
      <c r="S86" s="55"/>
      <c r="T86" s="55"/>
      <c r="U86" s="55"/>
      <c r="V86" s="55"/>
      <c r="W86" s="55"/>
      <c r="X86" s="55"/>
      <c r="Y86" s="55"/>
      <c r="Z86" s="55"/>
      <c r="AA86" s="55"/>
      <c r="AB86" s="55"/>
      <c r="AC86" s="55"/>
      <c r="AD86" s="55"/>
    </row>
    <row r="87">
      <c r="A87" s="148">
        <f>IFERROR(__xludf.DUMMYFUNCTION("""COMPUTED_VALUE"""),43563.39827228009)</f>
        <v>43563.39827</v>
      </c>
      <c r="B87" s="149" t="str">
        <f>IFERROR(__xludf.DUMMYFUNCTION("""COMPUTED_VALUE"""),"Karen Hanson")</f>
        <v>Karen Hanson</v>
      </c>
      <c r="C87" s="149" t="str">
        <f>IFERROR(__xludf.DUMMYFUNCTION("""COMPUTED_VALUE"""),"krhms3@gmail.com")</f>
        <v>krhms3@gmail.com</v>
      </c>
      <c r="D87" s="55" t="str">
        <f>IFERROR(__xludf.DUMMYFUNCTION("""COMPUTED_VALUE"""),"Contacted")</f>
        <v>Contacted</v>
      </c>
      <c r="E87" s="93">
        <f>IFERROR(__xludf.DUMMYFUNCTION("""COMPUTED_VALUE"""),43594.0)</f>
        <v>43594</v>
      </c>
      <c r="F87" s="55" t="str">
        <f>IFERROR(__xludf.DUMMYFUNCTION("""COMPUTED_VALUE"""),"Yes")</f>
        <v>Yes</v>
      </c>
      <c r="G87" s="55" t="str">
        <f>IFERROR(__xludf.DUMMYFUNCTION("""COMPUTED_VALUE"""),"Actionability")</f>
        <v>Actionability</v>
      </c>
      <c r="H87" s="55" t="str">
        <f>IFERROR(__xludf.DUMMYFUNCTION("""COMPUTED_VALUE"""),"Actionability")</f>
        <v>Actionability</v>
      </c>
      <c r="I87" s="150">
        <f t="shared" si="1"/>
        <v>43686</v>
      </c>
      <c r="J87" s="94">
        <f>IFERROR(__xludf.DUMMYFUNCTION("""COMPUTED_VALUE"""),43712.0)</f>
        <v>43712</v>
      </c>
      <c r="K87" s="147">
        <f t="shared" si="2"/>
        <v>43778</v>
      </c>
      <c r="L87" s="94" t="str">
        <f>IFERROR(__xludf.DUMMYFUNCTION("""COMPUTED_VALUE"""),"")</f>
        <v/>
      </c>
      <c r="M87" s="55"/>
      <c r="N87" s="55"/>
      <c r="O87" s="55"/>
      <c r="P87" s="55"/>
      <c r="Q87" s="55"/>
      <c r="R87" s="55"/>
      <c r="S87" s="55"/>
      <c r="T87" s="55"/>
      <c r="U87" s="55"/>
      <c r="V87" s="55"/>
      <c r="W87" s="55"/>
      <c r="X87" s="55"/>
      <c r="Y87" s="55"/>
      <c r="Z87" s="55"/>
      <c r="AA87" s="55"/>
      <c r="AB87" s="55"/>
      <c r="AC87" s="55"/>
      <c r="AD87" s="55"/>
    </row>
    <row r="88">
      <c r="A88" s="148">
        <f>IFERROR(__xludf.DUMMYFUNCTION("""COMPUTED_VALUE"""),43563.61847023148)</f>
        <v>43563.61847</v>
      </c>
      <c r="B88" s="149" t="str">
        <f>IFERROR(__xludf.DUMMYFUNCTION("""COMPUTED_VALUE"""),"Christine Preston")</f>
        <v>Christine Preston</v>
      </c>
      <c r="C88" s="149" t="str">
        <f>IFERROR(__xludf.DUMMYFUNCTION("""COMPUTED_VALUE"""),"christip@stanford.edu")</f>
        <v>christip@stanford.edu</v>
      </c>
      <c r="D88" s="55" t="str">
        <f>IFERROR(__xludf.DUMMYFUNCTION("""COMPUTED_VALUE"""),"Contacted")</f>
        <v>Contacted</v>
      </c>
      <c r="E88" s="93">
        <f>IFERROR(__xludf.DUMMYFUNCTION("""COMPUTED_VALUE"""),43580.0)</f>
        <v>43580</v>
      </c>
      <c r="F88" s="55" t="str">
        <f>IFERROR(__xludf.DUMMYFUNCTION("""COMPUTED_VALUE"""),"Yes")</f>
        <v>Yes</v>
      </c>
      <c r="G88" s="55" t="str">
        <f>IFERROR(__xludf.DUMMYFUNCTION("""COMPUTED_VALUE"""),"Dosage Sensitivity")</f>
        <v>Dosage Sensitivity</v>
      </c>
      <c r="H88" s="55" t="str">
        <f>IFERROR(__xludf.DUMMYFUNCTION("""COMPUTED_VALUE"""),"")</f>
        <v/>
      </c>
      <c r="I88" s="150">
        <f t="shared" si="1"/>
        <v>43671</v>
      </c>
      <c r="J88" s="94">
        <f>IFERROR(__xludf.DUMMYFUNCTION("""COMPUTED_VALUE"""),43712.0)</f>
        <v>43712</v>
      </c>
      <c r="K88" s="147">
        <f t="shared" si="2"/>
        <v>43763</v>
      </c>
      <c r="L88" s="94" t="str">
        <f>IFERROR(__xludf.DUMMYFUNCTION("""COMPUTED_VALUE"""),"")</f>
        <v/>
      </c>
      <c r="M88" s="55"/>
      <c r="N88" s="55"/>
      <c r="O88" s="55"/>
      <c r="P88" s="55"/>
      <c r="Q88" s="55"/>
      <c r="R88" s="55"/>
      <c r="S88" s="55"/>
      <c r="T88" s="55"/>
      <c r="U88" s="55"/>
      <c r="V88" s="55"/>
      <c r="W88" s="55"/>
      <c r="X88" s="55"/>
      <c r="Y88" s="55"/>
      <c r="Z88" s="55"/>
      <c r="AA88" s="55"/>
      <c r="AB88" s="55"/>
      <c r="AC88" s="55"/>
      <c r="AD88" s="55"/>
    </row>
    <row r="89">
      <c r="A89" s="148">
        <f>IFERROR(__xludf.DUMMYFUNCTION("""COMPUTED_VALUE"""),43564.493346400464)</f>
        <v>43564.49335</v>
      </c>
      <c r="B89" s="149" t="str">
        <f>IFERROR(__xludf.DUMMYFUNCTION("""COMPUTED_VALUE"""),"Alexander Ing")</f>
        <v>Alexander Ing</v>
      </c>
      <c r="C89" s="149" t="str">
        <f>IFERROR(__xludf.DUMMYFUNCTION("""COMPUTED_VALUE"""),"aing@luriechildrens.org")</f>
        <v>aing@luriechildrens.org</v>
      </c>
      <c r="D89" s="55" t="str">
        <f>IFERROR(__xludf.DUMMYFUNCTION("""COMPUTED_VALUE"""),"Contacted")</f>
        <v>Contacted</v>
      </c>
      <c r="E89" s="93">
        <f>IFERROR(__xludf.DUMMYFUNCTION("""COMPUTED_VALUE"""),43585.0)</f>
        <v>43585</v>
      </c>
      <c r="F89" s="55" t="str">
        <f>IFERROR(__xludf.DUMMYFUNCTION("""COMPUTED_VALUE"""),"Yes")</f>
        <v>Yes</v>
      </c>
      <c r="G89" s="55" t="str">
        <f>IFERROR(__xludf.DUMMYFUNCTION("""COMPUTED_VALUE"""),"Gene Disease Validity")</f>
        <v>Gene Disease Validity</v>
      </c>
      <c r="H89" s="55" t="str">
        <f>IFERROR(__xludf.DUMMYFUNCTION("""COMPUTED_VALUE"""),"Epilepsy")</f>
        <v>Epilepsy</v>
      </c>
      <c r="I89" s="150">
        <f t="shared" si="1"/>
        <v>43676</v>
      </c>
      <c r="J89" s="94">
        <f>IFERROR(__xludf.DUMMYFUNCTION("""COMPUTED_VALUE"""),43712.0)</f>
        <v>43712</v>
      </c>
      <c r="K89" s="147">
        <f t="shared" si="2"/>
        <v>43768</v>
      </c>
      <c r="L89" s="94" t="str">
        <f>IFERROR(__xludf.DUMMYFUNCTION("""COMPUTED_VALUE"""),"")</f>
        <v/>
      </c>
      <c r="M89" s="55"/>
      <c r="N89" s="55"/>
      <c r="O89" s="55"/>
      <c r="P89" s="55"/>
      <c r="Q89" s="55"/>
      <c r="R89" s="55"/>
      <c r="S89" s="55"/>
      <c r="T89" s="55"/>
      <c r="U89" s="55"/>
      <c r="V89" s="55"/>
      <c r="W89" s="55"/>
      <c r="X89" s="55"/>
      <c r="Y89" s="55"/>
      <c r="Z89" s="55"/>
      <c r="AA89" s="55"/>
      <c r="AB89" s="55"/>
      <c r="AC89" s="55"/>
      <c r="AD89" s="55"/>
    </row>
    <row r="90">
      <c r="A90" s="148">
        <f>IFERROR(__xludf.DUMMYFUNCTION("""COMPUTED_VALUE"""),43564.694213055554)</f>
        <v>43564.69421</v>
      </c>
      <c r="B90" s="149" t="str">
        <f>IFERROR(__xludf.DUMMYFUNCTION("""COMPUTED_VALUE"""),"Jun Liao")</f>
        <v>Jun Liao</v>
      </c>
      <c r="C90" s="149" t="str">
        <f>IFERROR(__xludf.DUMMYFUNCTION("""COMPUTED_VALUE"""),"jl5098@cumc.columbia.edu")</f>
        <v>jl5098@cumc.columbia.edu</v>
      </c>
      <c r="D90" s="55" t="str">
        <f>IFERROR(__xludf.DUMMYFUNCTION("""COMPUTED_VALUE"""),"Contacted")</f>
        <v>Contacted</v>
      </c>
      <c r="E90" s="93">
        <f>IFERROR(__xludf.DUMMYFUNCTION("""COMPUTED_VALUE"""),43692.0)</f>
        <v>43692</v>
      </c>
      <c r="F90" s="55" t="str">
        <f>IFERROR(__xludf.DUMMYFUNCTION("""COMPUTED_VALUE"""),"No")</f>
        <v>No</v>
      </c>
      <c r="G90" s="55" t="str">
        <f>IFERROR(__xludf.DUMMYFUNCTION("""COMPUTED_VALUE"""),"Gene Disease Validity")</f>
        <v>Gene Disease Validity</v>
      </c>
      <c r="H90" s="55" t="str">
        <f>IFERROR(__xludf.DUMMYFUNCTION("""COMPUTED_VALUE"""),"")</f>
        <v/>
      </c>
      <c r="I90" s="150">
        <f t="shared" si="1"/>
        <v>43784</v>
      </c>
      <c r="J90" s="55" t="str">
        <f>IFERROR(__xludf.DUMMYFUNCTION("""COMPUTED_VALUE"""),"")</f>
        <v/>
      </c>
      <c r="K90" s="147">
        <f t="shared" si="2"/>
        <v>43876</v>
      </c>
      <c r="L90" s="55" t="str">
        <f>IFERROR(__xludf.DUMMYFUNCTION("""COMPUTED_VALUE"""),"")</f>
        <v/>
      </c>
      <c r="M90" s="55"/>
      <c r="N90" s="55"/>
      <c r="O90" s="55"/>
      <c r="P90" s="55"/>
      <c r="Q90" s="55"/>
      <c r="R90" s="55"/>
      <c r="S90" s="55"/>
      <c r="T90" s="55"/>
      <c r="U90" s="55"/>
      <c r="V90" s="55"/>
      <c r="W90" s="55"/>
      <c r="X90" s="55"/>
      <c r="Y90" s="55"/>
      <c r="Z90" s="55"/>
      <c r="AA90" s="55"/>
      <c r="AB90" s="55"/>
      <c r="AC90" s="55"/>
      <c r="AD90" s="55"/>
    </row>
    <row r="91">
      <c r="A91" s="148">
        <f>IFERROR(__xludf.DUMMYFUNCTION("""COMPUTED_VALUE"""),43564.71066725694)</f>
        <v>43564.71067</v>
      </c>
      <c r="B91" s="149" t="str">
        <f>IFERROR(__xludf.DUMMYFUNCTION("""COMPUTED_VALUE"""),"Maki Kaneko")</f>
        <v>Maki Kaneko</v>
      </c>
      <c r="C91" s="149" t="str">
        <f>IFERROR(__xludf.DUMMYFUNCTION("""COMPUTED_VALUE"""),"mkaneko@chla.usc.edu")</f>
        <v>mkaneko@chla.usc.edu</v>
      </c>
      <c r="D91" s="55" t="str">
        <f>IFERROR(__xludf.DUMMYFUNCTION("""COMPUTED_VALUE"""),"Contacted")</f>
        <v>Contacted</v>
      </c>
      <c r="E91" s="93">
        <f>IFERROR(__xludf.DUMMYFUNCTION("""COMPUTED_VALUE"""),43585.0)</f>
        <v>43585</v>
      </c>
      <c r="F91" s="55" t="str">
        <f>IFERROR(__xludf.DUMMYFUNCTION("""COMPUTED_VALUE"""),"Yes")</f>
        <v>Yes</v>
      </c>
      <c r="G91" s="55" t="str">
        <f>IFERROR(__xludf.DUMMYFUNCTION("""COMPUTED_VALUE"""),"Gene Disease Validity")</f>
        <v>Gene Disease Validity</v>
      </c>
      <c r="H91" s="55" t="str">
        <f>IFERROR(__xludf.DUMMYFUNCTION("""COMPUTED_VALUE"""),"Epilepsy")</f>
        <v>Epilepsy</v>
      </c>
      <c r="I91" s="150">
        <f t="shared" si="1"/>
        <v>43676</v>
      </c>
      <c r="J91" s="94">
        <f>IFERROR(__xludf.DUMMYFUNCTION("""COMPUTED_VALUE"""),43712.0)</f>
        <v>43712</v>
      </c>
      <c r="K91" s="147">
        <f t="shared" si="2"/>
        <v>43768</v>
      </c>
      <c r="L91" s="94" t="str">
        <f>IFERROR(__xludf.DUMMYFUNCTION("""COMPUTED_VALUE"""),"")</f>
        <v/>
      </c>
      <c r="M91" s="55"/>
      <c r="N91" s="55"/>
      <c r="O91" s="55"/>
      <c r="P91" s="55"/>
      <c r="Q91" s="55"/>
      <c r="R91" s="55"/>
      <c r="S91" s="55"/>
      <c r="T91" s="55"/>
      <c r="U91" s="55"/>
      <c r="V91" s="55"/>
      <c r="W91" s="55"/>
      <c r="X91" s="55"/>
      <c r="Y91" s="55"/>
      <c r="Z91" s="55"/>
      <c r="AA91" s="55"/>
      <c r="AB91" s="55"/>
      <c r="AC91" s="55"/>
      <c r="AD91" s="55"/>
    </row>
    <row r="92">
      <c r="A92" s="148">
        <f>IFERROR(__xludf.DUMMYFUNCTION("""COMPUTED_VALUE"""),43566.03965038195)</f>
        <v>43566.03965</v>
      </c>
      <c r="B92" s="149" t="str">
        <f>IFERROR(__xludf.DUMMYFUNCTION("""COMPUTED_VALUE"""),"Suvina To")</f>
        <v>Suvina To</v>
      </c>
      <c r="C92" s="149" t="str">
        <f>IFERROR(__xludf.DUMMYFUNCTION("""COMPUTED_VALUE"""),"suvina@gmail.com")</f>
        <v>suvina@gmail.com</v>
      </c>
      <c r="D92" s="55" t="str">
        <f>IFERROR(__xludf.DUMMYFUNCTION("""COMPUTED_VALUE"""),"Assigned")</f>
        <v>Assigned</v>
      </c>
      <c r="E92" s="94">
        <f>IFERROR(__xludf.DUMMYFUNCTION("""COMPUTED_VALUE"""),43627.0)</f>
        <v>43627</v>
      </c>
      <c r="F92" s="55" t="str">
        <f>IFERROR(__xludf.DUMMYFUNCTION("""COMPUTED_VALUE"""),"Yes")</f>
        <v>Yes</v>
      </c>
      <c r="G92" s="55" t="str">
        <f>IFERROR(__xludf.DUMMYFUNCTION("""COMPUTED_VALUE"""),"Variant Pathogenicity")</f>
        <v>Variant Pathogenicity</v>
      </c>
      <c r="H92" s="55" t="str">
        <f>IFERROR(__xludf.DUMMYFUNCTION("""COMPUTED_VALUE"""),"Monogenic Diabetes")</f>
        <v>Monogenic Diabetes</v>
      </c>
      <c r="I92" s="150">
        <f t="shared" si="1"/>
        <v>43719</v>
      </c>
      <c r="J92" s="94">
        <f>IFERROR(__xludf.DUMMYFUNCTION("""COMPUTED_VALUE"""),43712.0)</f>
        <v>43712</v>
      </c>
      <c r="K92" s="147">
        <f t="shared" si="2"/>
        <v>43810</v>
      </c>
      <c r="L92" s="94" t="str">
        <f>IFERROR(__xludf.DUMMYFUNCTION("""COMPUTED_VALUE"""),"")</f>
        <v/>
      </c>
      <c r="M92" s="55"/>
      <c r="N92" s="55"/>
      <c r="O92" s="55"/>
      <c r="P92" s="55"/>
      <c r="Q92" s="55"/>
      <c r="R92" s="55"/>
      <c r="S92" s="55"/>
      <c r="T92" s="55"/>
      <c r="U92" s="55"/>
      <c r="V92" s="55"/>
      <c r="W92" s="55"/>
      <c r="X92" s="55"/>
      <c r="Y92" s="55"/>
      <c r="Z92" s="55"/>
      <c r="AA92" s="55"/>
      <c r="AB92" s="55"/>
      <c r="AC92" s="55"/>
      <c r="AD92" s="55"/>
    </row>
    <row r="93">
      <c r="A93" s="148">
        <f>IFERROR(__xludf.DUMMYFUNCTION("""COMPUTED_VALUE"""),43566.525071446755)</f>
        <v>43566.52507</v>
      </c>
      <c r="B93" s="149" t="str">
        <f>IFERROR(__xludf.DUMMYFUNCTION("""COMPUTED_VALUE"""),"Lemuel Racacho")</f>
        <v>Lemuel Racacho</v>
      </c>
      <c r="C93" s="149" t="str">
        <f>IFERROR(__xludf.DUMMYFUNCTION("""COMPUTED_VALUE"""),"lracacho@cheo.on.ca")</f>
        <v>lracacho@cheo.on.ca</v>
      </c>
      <c r="D93" s="55" t="str">
        <f>IFERROR(__xludf.DUMMYFUNCTION("""COMPUTED_VALUE"""),"Assigned")</f>
        <v>Assigned</v>
      </c>
      <c r="E93" s="93">
        <f>IFERROR(__xludf.DUMMYFUNCTION("""COMPUTED_VALUE"""),43608.0)</f>
        <v>43608</v>
      </c>
      <c r="F93" s="55" t="str">
        <f>IFERROR(__xludf.DUMMYFUNCTION("""COMPUTED_VALUE"""),"Yes")</f>
        <v>Yes</v>
      </c>
      <c r="G93" s="55" t="str">
        <f>IFERROR(__xludf.DUMMYFUNCTION("""COMPUTED_VALUE"""),"Variant Pathogenicity")</f>
        <v>Variant Pathogenicity</v>
      </c>
      <c r="H93" s="55" t="str">
        <f>IFERROR(__xludf.DUMMYFUNCTION("""COMPUTED_VALUE"""),"ACADVL")</f>
        <v>ACADVL</v>
      </c>
      <c r="I93" s="150">
        <f t="shared" si="1"/>
        <v>43700</v>
      </c>
      <c r="J93" s="94">
        <f>IFERROR(__xludf.DUMMYFUNCTION("""COMPUTED_VALUE"""),43712.0)</f>
        <v>43712</v>
      </c>
      <c r="K93" s="147">
        <f t="shared" si="2"/>
        <v>43792</v>
      </c>
      <c r="L93" s="94" t="str">
        <f>IFERROR(__xludf.DUMMYFUNCTION("""COMPUTED_VALUE"""),"")</f>
        <v/>
      </c>
      <c r="M93" s="55"/>
      <c r="N93" s="55"/>
      <c r="O93" s="55"/>
      <c r="P93" s="55"/>
      <c r="Q93" s="55"/>
      <c r="R93" s="55"/>
      <c r="S93" s="55"/>
      <c r="T93" s="55"/>
      <c r="U93" s="55"/>
      <c r="V93" s="55"/>
      <c r="W93" s="55"/>
      <c r="X93" s="55"/>
      <c r="Y93" s="55"/>
      <c r="Z93" s="55"/>
      <c r="AA93" s="55"/>
      <c r="AB93" s="55"/>
      <c r="AC93" s="55"/>
      <c r="AD93" s="55"/>
    </row>
    <row r="94">
      <c r="A94" s="148">
        <f>IFERROR(__xludf.DUMMYFUNCTION("""COMPUTED_VALUE"""),43567.92645009259)</f>
        <v>43567.92645</v>
      </c>
      <c r="B94" s="149" t="str">
        <f>IFERROR(__xludf.DUMMYFUNCTION("""COMPUTED_VALUE"""),"Samya Chakravorty")</f>
        <v>Samya Chakravorty</v>
      </c>
      <c r="C94" s="149" t="str">
        <f>IFERROR(__xludf.DUMMYFUNCTION("""COMPUTED_VALUE"""),"samya.chakravorty@emory.edu")</f>
        <v>samya.chakravorty@emory.edu</v>
      </c>
      <c r="D94" s="55" t="str">
        <f>IFERROR(__xludf.DUMMYFUNCTION("""COMPUTED_VALUE"""),"Assigned")</f>
        <v>Assigned</v>
      </c>
      <c r="E94" s="93">
        <f>IFERROR(__xludf.DUMMYFUNCTION("""COMPUTED_VALUE"""),43608.0)</f>
        <v>43608</v>
      </c>
      <c r="F94" s="55" t="str">
        <f>IFERROR(__xludf.DUMMYFUNCTION("""COMPUTED_VALUE"""),"Yes")</f>
        <v>Yes</v>
      </c>
      <c r="G94" s="55" t="str">
        <f>IFERROR(__xludf.DUMMYFUNCTION("""COMPUTED_VALUE"""),"Variant Pathogenicity")</f>
        <v>Variant Pathogenicity</v>
      </c>
      <c r="H94" s="55" t="str">
        <f>IFERROR(__xludf.DUMMYFUNCTION("""COMPUTED_VALUE"""),"Platelet Disorders")</f>
        <v>Platelet Disorders</v>
      </c>
      <c r="I94" s="150">
        <f t="shared" si="1"/>
        <v>43700</v>
      </c>
      <c r="J94" s="94">
        <f>IFERROR(__xludf.DUMMYFUNCTION("""COMPUTED_VALUE"""),43712.0)</f>
        <v>43712</v>
      </c>
      <c r="K94" s="147">
        <f t="shared" si="2"/>
        <v>43792</v>
      </c>
      <c r="L94" s="94" t="str">
        <f>IFERROR(__xludf.DUMMYFUNCTION("""COMPUTED_VALUE"""),"")</f>
        <v/>
      </c>
      <c r="M94" s="55"/>
      <c r="N94" s="55"/>
      <c r="O94" s="55"/>
      <c r="P94" s="55"/>
      <c r="Q94" s="55"/>
      <c r="R94" s="55"/>
      <c r="S94" s="55"/>
      <c r="T94" s="55"/>
      <c r="U94" s="55"/>
      <c r="V94" s="55"/>
      <c r="W94" s="55"/>
      <c r="X94" s="55"/>
      <c r="Y94" s="55"/>
      <c r="Z94" s="55"/>
      <c r="AA94" s="55"/>
      <c r="AB94" s="55"/>
      <c r="AC94" s="55"/>
      <c r="AD94" s="55"/>
    </row>
    <row r="95">
      <c r="A95" s="148">
        <f>IFERROR(__xludf.DUMMYFUNCTION("""COMPUTED_VALUE"""),43571.977917592594)</f>
        <v>43571.97792</v>
      </c>
      <c r="B95" s="149" t="str">
        <f>IFERROR(__xludf.DUMMYFUNCTION("""COMPUTED_VALUE"""),"Alison Bright")</f>
        <v>Alison Bright</v>
      </c>
      <c r="C95" s="149" t="str">
        <f>IFERROR(__xludf.DUMMYFUNCTION("""COMPUTED_VALUE"""),"alison.r.bright@questdiagnostics.com")</f>
        <v>alison.r.bright@questdiagnostics.com</v>
      </c>
      <c r="D95" s="55" t="str">
        <f>IFERROR(__xludf.DUMMYFUNCTION("""COMPUTED_VALUE"""),"Contacted")</f>
        <v>Contacted</v>
      </c>
      <c r="E95" s="93">
        <f>IFERROR(__xludf.DUMMYFUNCTION("""COMPUTED_VALUE"""),43692.0)</f>
        <v>43692</v>
      </c>
      <c r="F95" s="55" t="str">
        <f>IFERROR(__xludf.DUMMYFUNCTION("""COMPUTED_VALUE"""),"No")</f>
        <v>No</v>
      </c>
      <c r="G95" s="55" t="str">
        <f>IFERROR(__xludf.DUMMYFUNCTION("""COMPUTED_VALUE"""),"Gene Disease Validity")</f>
        <v>Gene Disease Validity</v>
      </c>
      <c r="H95" s="55" t="str">
        <f>IFERROR(__xludf.DUMMYFUNCTION("""COMPUTED_VALUE"""),"")</f>
        <v/>
      </c>
      <c r="I95" s="150">
        <f t="shared" si="1"/>
        <v>43784</v>
      </c>
      <c r="J95" s="55" t="str">
        <f>IFERROR(__xludf.DUMMYFUNCTION("""COMPUTED_VALUE"""),"")</f>
        <v/>
      </c>
      <c r="K95" s="147">
        <f t="shared" si="2"/>
        <v>43876</v>
      </c>
      <c r="L95" s="55" t="str">
        <f>IFERROR(__xludf.DUMMYFUNCTION("""COMPUTED_VALUE"""),"")</f>
        <v/>
      </c>
      <c r="M95" s="55"/>
      <c r="N95" s="55"/>
      <c r="O95" s="55"/>
      <c r="P95" s="55"/>
      <c r="Q95" s="55"/>
      <c r="R95" s="55"/>
      <c r="S95" s="55"/>
      <c r="T95" s="55"/>
      <c r="U95" s="55"/>
      <c r="V95" s="55"/>
      <c r="W95" s="55"/>
      <c r="X95" s="55"/>
      <c r="Y95" s="55"/>
      <c r="Z95" s="55"/>
      <c r="AA95" s="55"/>
      <c r="AB95" s="55"/>
      <c r="AC95" s="55"/>
      <c r="AD95" s="55"/>
    </row>
    <row r="96">
      <c r="A96" s="148">
        <f>IFERROR(__xludf.DUMMYFUNCTION("""COMPUTED_VALUE"""),43578.689141759256)</f>
        <v>43578.68914</v>
      </c>
      <c r="B96" s="149" t="str">
        <f>IFERROR(__xludf.DUMMYFUNCTION("""COMPUTED_VALUE"""),"Ying Zou")</f>
        <v>Ying Zou</v>
      </c>
      <c r="C96" s="149" t="str">
        <f>IFERROR(__xludf.DUMMYFUNCTION("""COMPUTED_VALUE""")," yzou19@jhmi.edu")</f>
        <v> yzou19@jhmi.edu</v>
      </c>
      <c r="D96" s="55" t="str">
        <f>IFERROR(__xludf.DUMMYFUNCTION("""COMPUTED_VALUE"""),"Contacted")</f>
        <v>Contacted</v>
      </c>
      <c r="E96" s="104">
        <f>IFERROR(__xludf.DUMMYFUNCTION("""COMPUTED_VALUE"""),43581.0)</f>
        <v>43581</v>
      </c>
      <c r="F96" s="55" t="str">
        <f>IFERROR(__xludf.DUMMYFUNCTION("""COMPUTED_VALUE"""),"No")</f>
        <v>No</v>
      </c>
      <c r="G96" s="55" t="str">
        <f>IFERROR(__xludf.DUMMYFUNCTION("""COMPUTED_VALUE"""),"Somatic Cancer")</f>
        <v>Somatic Cancer</v>
      </c>
      <c r="H96" s="55" t="str">
        <f>IFERROR(__xludf.DUMMYFUNCTION("""COMPUTED_VALUE"""),"")</f>
        <v/>
      </c>
      <c r="I96" s="150">
        <f t="shared" si="1"/>
        <v>43672</v>
      </c>
      <c r="J96" s="94">
        <f>IFERROR(__xludf.DUMMYFUNCTION("""COMPUTED_VALUE"""),43712.0)</f>
        <v>43712</v>
      </c>
      <c r="K96" s="147">
        <f t="shared" si="2"/>
        <v>43764</v>
      </c>
      <c r="L96" s="94" t="str">
        <f>IFERROR(__xludf.DUMMYFUNCTION("""COMPUTED_VALUE"""),"")</f>
        <v/>
      </c>
      <c r="M96" s="55"/>
      <c r="N96" s="55"/>
      <c r="O96" s="55"/>
      <c r="P96" s="55"/>
      <c r="Q96" s="55"/>
      <c r="R96" s="55"/>
      <c r="S96" s="55"/>
      <c r="T96" s="55"/>
      <c r="U96" s="55"/>
      <c r="V96" s="55"/>
      <c r="W96" s="55"/>
      <c r="X96" s="55"/>
      <c r="Y96" s="55"/>
      <c r="Z96" s="55"/>
      <c r="AA96" s="55"/>
      <c r="AB96" s="55"/>
      <c r="AC96" s="55"/>
      <c r="AD96" s="55"/>
    </row>
    <row r="97">
      <c r="A97" s="148">
        <f>IFERROR(__xludf.DUMMYFUNCTION("""COMPUTED_VALUE"""),43581.01534331018)</f>
        <v>43581.01534</v>
      </c>
      <c r="B97" s="149" t="str">
        <f>IFERROR(__xludf.DUMMYFUNCTION("""COMPUTED_VALUE"""),"JIXIA LIU")</f>
        <v>JIXIA LIU</v>
      </c>
      <c r="C97" s="149" t="str">
        <f>IFERROR(__xludf.DUMMYFUNCTION("""COMPUTED_VALUE"""),"jixialiu@gmail.com")</f>
        <v>jixialiu@gmail.com</v>
      </c>
      <c r="D97" s="55" t="str">
        <f>IFERROR(__xludf.DUMMYFUNCTION("""COMPUTED_VALUE"""),"Unresponsive")</f>
        <v>Unresponsive</v>
      </c>
      <c r="E97" s="93">
        <f>IFERROR(__xludf.DUMMYFUNCTION("""COMPUTED_VALUE"""),43570.0)</f>
        <v>43570</v>
      </c>
      <c r="F97" s="55" t="str">
        <f>IFERROR(__xludf.DUMMYFUNCTION("""COMPUTED_VALUE"""),"Yes")</f>
        <v>Yes</v>
      </c>
      <c r="G97" s="55" t="str">
        <f>IFERROR(__xludf.DUMMYFUNCTION("""COMPUTED_VALUE"""),"NA")</f>
        <v>NA</v>
      </c>
      <c r="H97" s="55" t="str">
        <f>IFERROR(__xludf.DUMMYFUNCTION("""COMPUTED_VALUE"""),"")</f>
        <v/>
      </c>
      <c r="I97" s="150">
        <f t="shared" si="1"/>
        <v>43661</v>
      </c>
      <c r="J97" s="55" t="str">
        <f>IFERROR(__xludf.DUMMYFUNCTION("""COMPUTED_VALUE"""),"")</f>
        <v/>
      </c>
      <c r="K97" s="147">
        <f t="shared" si="2"/>
        <v>43753</v>
      </c>
      <c r="L97" s="55" t="str">
        <f>IFERROR(__xludf.DUMMYFUNCTION("""COMPUTED_VALUE"""),"")</f>
        <v/>
      </c>
      <c r="M97" s="55"/>
      <c r="N97" s="55"/>
      <c r="O97" s="55"/>
      <c r="P97" s="55"/>
      <c r="Q97" s="55"/>
      <c r="R97" s="55"/>
      <c r="S97" s="55"/>
      <c r="T97" s="55"/>
      <c r="U97" s="55"/>
      <c r="V97" s="55"/>
      <c r="W97" s="55"/>
      <c r="X97" s="55"/>
      <c r="Y97" s="55"/>
      <c r="Z97" s="55"/>
      <c r="AA97" s="55"/>
      <c r="AB97" s="55"/>
      <c r="AC97" s="55"/>
      <c r="AD97" s="55"/>
    </row>
    <row r="98">
      <c r="A98" s="148">
        <f>IFERROR(__xludf.DUMMYFUNCTION("""COMPUTED_VALUE"""),43581.592380995375)</f>
        <v>43581.59238</v>
      </c>
      <c r="B98" s="149" t="str">
        <f>IFERROR(__xludf.DUMMYFUNCTION("""COMPUTED_VALUE"""),"Catherine Driscoll")</f>
        <v>Catherine Driscoll</v>
      </c>
      <c r="C98" s="149" t="str">
        <f>IFERROR(__xludf.DUMMYFUNCTION("""COMPUTED_VALUE"""),"kate.driscoll@nih.gov")</f>
        <v>kate.driscoll@nih.gov</v>
      </c>
      <c r="D98" s="55" t="str">
        <f>IFERROR(__xludf.DUMMYFUNCTION("""COMPUTED_VALUE"""),"Assigned")</f>
        <v>Assigned</v>
      </c>
      <c r="E98" s="94">
        <f>IFERROR(__xludf.DUMMYFUNCTION("""COMPUTED_VALUE"""),43605.0)</f>
        <v>43605</v>
      </c>
      <c r="F98" s="55" t="str">
        <f>IFERROR(__xludf.DUMMYFUNCTION("""COMPUTED_VALUE"""),"Yes")</f>
        <v>Yes</v>
      </c>
      <c r="G98" s="55" t="str">
        <f>IFERROR(__xludf.DUMMYFUNCTION("""COMPUTED_VALUE"""),"Variant Pathogenicity")</f>
        <v>Variant Pathogenicity</v>
      </c>
      <c r="H98" s="55" t="str">
        <f>IFERROR(__xludf.DUMMYFUNCTION("""COMPUTED_VALUE"""),"RYR1")</f>
        <v>RYR1</v>
      </c>
      <c r="I98" s="150">
        <f t="shared" si="1"/>
        <v>43697</v>
      </c>
      <c r="J98" s="94">
        <f>IFERROR(__xludf.DUMMYFUNCTION("""COMPUTED_VALUE"""),43712.0)</f>
        <v>43712</v>
      </c>
      <c r="K98" s="147">
        <f t="shared" si="2"/>
        <v>43789</v>
      </c>
      <c r="L98" s="94" t="str">
        <f>IFERROR(__xludf.DUMMYFUNCTION("""COMPUTED_VALUE"""),"")</f>
        <v/>
      </c>
      <c r="M98" s="55"/>
      <c r="N98" s="55"/>
      <c r="O98" s="55"/>
      <c r="P98" s="55"/>
      <c r="Q98" s="55"/>
      <c r="R98" s="55"/>
      <c r="S98" s="55"/>
      <c r="T98" s="55"/>
      <c r="U98" s="55"/>
      <c r="V98" s="55"/>
      <c r="W98" s="55"/>
      <c r="X98" s="55"/>
      <c r="Y98" s="55"/>
      <c r="Z98" s="55"/>
      <c r="AA98" s="55"/>
      <c r="AB98" s="55"/>
      <c r="AC98" s="55"/>
      <c r="AD98" s="55"/>
    </row>
    <row r="99">
      <c r="A99" s="148">
        <f>IFERROR(__xludf.DUMMYFUNCTION("""COMPUTED_VALUE"""),43585.63376069444)</f>
        <v>43585.63376</v>
      </c>
      <c r="B99" s="149" t="str">
        <f>IFERROR(__xludf.DUMMYFUNCTION("""COMPUTED_VALUE"""),"Gifty Bhat")</f>
        <v>Gifty Bhat</v>
      </c>
      <c r="C99" s="149" t="str">
        <f>IFERROR(__xludf.DUMMYFUNCTION("""COMPUTED_VALUE"""),"drgiftybhat@gmail.com")</f>
        <v>drgiftybhat@gmail.com</v>
      </c>
      <c r="D99" s="55" t="str">
        <f>IFERROR(__xludf.DUMMYFUNCTION("""COMPUTED_VALUE"""),"Contacted")</f>
        <v>Contacted</v>
      </c>
      <c r="E99" s="94">
        <f>IFERROR(__xludf.DUMMYFUNCTION("""COMPUTED_VALUE"""),43768.0)</f>
        <v>43768</v>
      </c>
      <c r="F99" s="55" t="str">
        <f>IFERROR(__xludf.DUMMYFUNCTION("""COMPUTED_VALUE"""),"Yes")</f>
        <v>Yes</v>
      </c>
      <c r="G99" s="55" t="str">
        <f>IFERROR(__xludf.DUMMYFUNCTION("""COMPUTED_VALUE"""),"Actionability")</f>
        <v>Actionability</v>
      </c>
      <c r="H99" s="55" t="str">
        <f>IFERROR(__xludf.DUMMYFUNCTION("""COMPUTED_VALUE"""),"Actionability")</f>
        <v>Actionability</v>
      </c>
      <c r="I99" s="150">
        <f t="shared" si="1"/>
        <v>43860</v>
      </c>
      <c r="J99" s="55" t="str">
        <f>IFERROR(__xludf.DUMMYFUNCTION("""COMPUTED_VALUE"""),"")</f>
        <v/>
      </c>
      <c r="K99" s="147">
        <f t="shared" si="2"/>
        <v>43951</v>
      </c>
      <c r="L99" s="55" t="str">
        <f>IFERROR(__xludf.DUMMYFUNCTION("""COMPUTED_VALUE"""),"")</f>
        <v/>
      </c>
      <c r="M99" s="55"/>
      <c r="N99" s="55"/>
      <c r="O99" s="55"/>
      <c r="P99" s="55"/>
      <c r="Q99" s="55"/>
      <c r="R99" s="55"/>
      <c r="S99" s="55"/>
      <c r="T99" s="55"/>
      <c r="U99" s="55"/>
      <c r="V99" s="55"/>
      <c r="W99" s="55"/>
      <c r="X99" s="55"/>
      <c r="Y99" s="55"/>
      <c r="Z99" s="55"/>
      <c r="AA99" s="55"/>
      <c r="AB99" s="55"/>
      <c r="AC99" s="55"/>
      <c r="AD99" s="55"/>
    </row>
    <row r="100">
      <c r="A100" s="148">
        <f>IFERROR(__xludf.DUMMYFUNCTION("""COMPUTED_VALUE"""),43586.59645730324)</f>
        <v>43586.59646</v>
      </c>
      <c r="B100" s="149" t="str">
        <f>IFERROR(__xludf.DUMMYFUNCTION("""COMPUTED_VALUE"""),"Ashley Marsh")</f>
        <v>Ashley Marsh</v>
      </c>
      <c r="C100" s="149" t="str">
        <f>IFERROR(__xludf.DUMMYFUNCTION("""COMPUTED_VALUE"""),"amarsh@ucsd.edu")</f>
        <v>amarsh@ucsd.edu</v>
      </c>
      <c r="D100" s="55" t="str">
        <f>IFERROR(__xludf.DUMMYFUNCTION("""COMPUTED_VALUE"""),"Assigned")</f>
        <v>Assigned</v>
      </c>
      <c r="E100" s="94">
        <f>IFERROR(__xludf.DUMMYFUNCTION("""COMPUTED_VALUE"""),43608.0)</f>
        <v>43608</v>
      </c>
      <c r="F100" s="55" t="str">
        <f>IFERROR(__xludf.DUMMYFUNCTION("""COMPUTED_VALUE"""),"Yes")</f>
        <v>Yes</v>
      </c>
      <c r="G100" s="55" t="str">
        <f>IFERROR(__xludf.DUMMYFUNCTION("""COMPUTED_VALUE"""),"Variant Pathogenicity")</f>
        <v>Variant Pathogenicity</v>
      </c>
      <c r="H100" s="55" t="str">
        <f>IFERROR(__xludf.DUMMYFUNCTION("""COMPUTED_VALUE"""),"Brain Malformations")</f>
        <v>Brain Malformations</v>
      </c>
      <c r="I100" s="150">
        <f t="shared" si="1"/>
        <v>43700</v>
      </c>
      <c r="J100" s="94">
        <f>IFERROR(__xludf.DUMMYFUNCTION("""COMPUTED_VALUE"""),43712.0)</f>
        <v>43712</v>
      </c>
      <c r="K100" s="147">
        <f t="shared" si="2"/>
        <v>43792</v>
      </c>
      <c r="L100" s="94" t="str">
        <f>IFERROR(__xludf.DUMMYFUNCTION("""COMPUTED_VALUE"""),"")</f>
        <v/>
      </c>
      <c r="M100" s="55"/>
      <c r="N100" s="55"/>
      <c r="O100" s="55"/>
      <c r="P100" s="55"/>
      <c r="Q100" s="55"/>
      <c r="R100" s="55"/>
      <c r="S100" s="55"/>
      <c r="T100" s="55"/>
      <c r="U100" s="55"/>
      <c r="V100" s="55"/>
      <c r="W100" s="55"/>
      <c r="X100" s="55"/>
      <c r="Y100" s="55"/>
      <c r="Z100" s="55"/>
      <c r="AA100" s="55"/>
      <c r="AB100" s="55"/>
      <c r="AC100" s="55"/>
      <c r="AD100" s="55"/>
    </row>
    <row r="101">
      <c r="A101" s="148">
        <f>IFERROR(__xludf.DUMMYFUNCTION("""COMPUTED_VALUE"""),43587.167243738426)</f>
        <v>43587.16724</v>
      </c>
      <c r="B101" s="149" t="str">
        <f>IFERROR(__xludf.DUMMYFUNCTION("""COMPUTED_VALUE"""),"Kevin Colclough")</f>
        <v>Kevin Colclough</v>
      </c>
      <c r="C101" s="149" t="str">
        <f>IFERROR(__xludf.DUMMYFUNCTION("""COMPUTED_VALUE"""),"kevin.colclough@nhs.net")</f>
        <v>kevin.colclough@nhs.net</v>
      </c>
      <c r="D101" s="55" t="str">
        <f>IFERROR(__xludf.DUMMYFUNCTION("""COMPUTED_VALUE"""),"Contacted")</f>
        <v>Contacted</v>
      </c>
      <c r="E101" s="93">
        <f>IFERROR(__xludf.DUMMYFUNCTION("""COMPUTED_VALUE"""),43585.0)</f>
        <v>43585</v>
      </c>
      <c r="F101" s="55" t="str">
        <f>IFERROR(__xludf.DUMMYFUNCTION("""COMPUTED_VALUE"""),"Yes")</f>
        <v>Yes</v>
      </c>
      <c r="G101" s="55" t="str">
        <f>IFERROR(__xludf.DUMMYFUNCTION("""COMPUTED_VALUE"""),"Gene Disease Validity")</f>
        <v>Gene Disease Validity</v>
      </c>
      <c r="H101" s="55" t="str">
        <f>IFERROR(__xludf.DUMMYFUNCTION("""COMPUTED_VALUE"""),"Monogenic Diabetes")</f>
        <v>Monogenic Diabetes</v>
      </c>
      <c r="I101" s="150">
        <f t="shared" si="1"/>
        <v>43676</v>
      </c>
      <c r="J101" s="55" t="str">
        <f>IFERROR(__xludf.DUMMYFUNCTION("""COMPUTED_VALUE"""),"")</f>
        <v/>
      </c>
      <c r="K101" s="147">
        <f t="shared" si="2"/>
        <v>43768</v>
      </c>
      <c r="L101" s="55" t="str">
        <f>IFERROR(__xludf.DUMMYFUNCTION("""COMPUTED_VALUE"""),"")</f>
        <v/>
      </c>
      <c r="M101" s="55"/>
      <c r="N101" s="55"/>
      <c r="O101" s="55"/>
      <c r="P101" s="55"/>
      <c r="Q101" s="55"/>
      <c r="R101" s="55"/>
      <c r="S101" s="55"/>
      <c r="T101" s="55"/>
      <c r="U101" s="55"/>
      <c r="V101" s="55"/>
      <c r="W101" s="55"/>
      <c r="X101" s="55"/>
      <c r="Y101" s="55"/>
      <c r="Z101" s="55"/>
      <c r="AA101" s="55"/>
      <c r="AB101" s="55"/>
      <c r="AC101" s="55"/>
      <c r="AD101" s="55"/>
    </row>
    <row r="102">
      <c r="A102" s="148">
        <f>IFERROR(__xludf.DUMMYFUNCTION("""COMPUTED_VALUE"""),43592.73996135417)</f>
        <v>43592.73996</v>
      </c>
      <c r="B102" s="149" t="str">
        <f>IFERROR(__xludf.DUMMYFUNCTION("""COMPUTED_VALUE"""),"FEN GUO")</f>
        <v>FEN GUO</v>
      </c>
      <c r="C102" s="149" t="str">
        <f>IFERROR(__xludf.DUMMYFUNCTION("""COMPUTED_VALUE"""),"fguo34@wisc.edu")</f>
        <v>fguo34@wisc.edu</v>
      </c>
      <c r="D102" s="55" t="str">
        <f>IFERROR(__xludf.DUMMYFUNCTION("""COMPUTED_VALUE"""),"Contacted")</f>
        <v>Contacted</v>
      </c>
      <c r="E102" s="93">
        <f>IFERROR(__xludf.DUMMYFUNCTION("""COMPUTED_VALUE"""),43692.0)</f>
        <v>43692</v>
      </c>
      <c r="F102" s="55" t="str">
        <f>IFERROR(__xludf.DUMMYFUNCTION("""COMPUTED_VALUE"""),"Yes")</f>
        <v>Yes</v>
      </c>
      <c r="G102" s="55" t="str">
        <f>IFERROR(__xludf.DUMMYFUNCTION("""COMPUTED_VALUE"""),"Gene Disease Validity")</f>
        <v>Gene Disease Validity</v>
      </c>
      <c r="H102" s="55" t="str">
        <f>IFERROR(__xludf.DUMMYFUNCTION("""COMPUTED_VALUE"""),"")</f>
        <v/>
      </c>
      <c r="I102" s="150">
        <f t="shared" si="1"/>
        <v>43784</v>
      </c>
      <c r="J102" s="55" t="str">
        <f>IFERROR(__xludf.DUMMYFUNCTION("""COMPUTED_VALUE"""),"")</f>
        <v/>
      </c>
      <c r="K102" s="147">
        <f t="shared" si="2"/>
        <v>43876</v>
      </c>
      <c r="L102" s="55" t="str">
        <f>IFERROR(__xludf.DUMMYFUNCTION("""COMPUTED_VALUE"""),"")</f>
        <v/>
      </c>
      <c r="M102" s="55"/>
      <c r="N102" s="55"/>
      <c r="O102" s="55"/>
      <c r="P102" s="55"/>
      <c r="Q102" s="55"/>
      <c r="R102" s="55"/>
      <c r="S102" s="55"/>
      <c r="T102" s="55"/>
      <c r="U102" s="55"/>
      <c r="V102" s="55"/>
      <c r="W102" s="55"/>
      <c r="X102" s="55"/>
      <c r="Y102" s="55"/>
      <c r="Z102" s="55"/>
      <c r="AA102" s="55"/>
      <c r="AB102" s="55"/>
      <c r="AC102" s="55"/>
      <c r="AD102" s="55"/>
    </row>
    <row r="103">
      <c r="A103" s="148">
        <f>IFERROR(__xludf.DUMMYFUNCTION("""COMPUTED_VALUE"""),43593.56649472222)</f>
        <v>43593.56649</v>
      </c>
      <c r="B103" s="149" t="str">
        <f>IFERROR(__xludf.DUMMYFUNCTION("""COMPUTED_VALUE"""),"Lisa Dyer")</f>
        <v>Lisa Dyer</v>
      </c>
      <c r="C103" s="149" t="str">
        <f>IFERROR(__xludf.DUMMYFUNCTION("""COMPUTED_VALUE"""),"Lisa.Dyer@cchmc.org")</f>
        <v>Lisa.Dyer@cchmc.org</v>
      </c>
      <c r="D103" s="55" t="str">
        <f>IFERROR(__xludf.DUMMYFUNCTION("""COMPUTED_VALUE"""),"Unresponsive")</f>
        <v>Unresponsive</v>
      </c>
      <c r="E103" s="94">
        <f>IFERROR(__xludf.DUMMYFUNCTION("""COMPUTED_VALUE"""),43476.0)</f>
        <v>43476</v>
      </c>
      <c r="F103" s="55" t="str">
        <f>IFERROR(__xludf.DUMMYFUNCTION("""COMPUTED_VALUE"""),"No")</f>
        <v>No</v>
      </c>
      <c r="G103" s="55" t="str">
        <f>IFERROR(__xludf.DUMMYFUNCTION("""COMPUTED_VALUE"""),"Somatic Cancer")</f>
        <v>Somatic Cancer</v>
      </c>
      <c r="H103" s="55" t="str">
        <f>IFERROR(__xludf.DUMMYFUNCTION("""COMPUTED_VALUE"""),"")</f>
        <v/>
      </c>
      <c r="I103" s="150">
        <f t="shared" si="1"/>
        <v>43566</v>
      </c>
      <c r="J103" s="94">
        <f>IFERROR(__xludf.DUMMYFUNCTION("""COMPUTED_VALUE"""),43593.0)</f>
        <v>43593</v>
      </c>
      <c r="K103" s="147">
        <f t="shared" si="2"/>
        <v>43657</v>
      </c>
      <c r="L103" s="94">
        <f>IFERROR(__xludf.DUMMYFUNCTION("""COMPUTED_VALUE"""),43713.0)</f>
        <v>43713</v>
      </c>
      <c r="M103" s="55"/>
      <c r="N103" s="55"/>
      <c r="O103" s="55"/>
      <c r="P103" s="55"/>
      <c r="Q103" s="55"/>
      <c r="R103" s="55"/>
      <c r="S103" s="55"/>
      <c r="T103" s="55"/>
      <c r="U103" s="55"/>
      <c r="V103" s="55"/>
      <c r="W103" s="55"/>
      <c r="X103" s="55"/>
      <c r="Y103" s="55"/>
      <c r="Z103" s="55"/>
      <c r="AA103" s="55"/>
      <c r="AB103" s="55"/>
      <c r="AC103" s="55"/>
      <c r="AD103" s="55"/>
    </row>
    <row r="104">
      <c r="A104" s="148">
        <f>IFERROR(__xludf.DUMMYFUNCTION("""COMPUTED_VALUE"""),43601.53615817129)</f>
        <v>43601.53616</v>
      </c>
      <c r="B104" s="149" t="str">
        <f>IFERROR(__xludf.DUMMYFUNCTION("""COMPUTED_VALUE"""),"Olivia Rennie")</f>
        <v>Olivia Rennie</v>
      </c>
      <c r="C104" s="149" t="str">
        <f>IFERROR(__xludf.DUMMYFUNCTION("""COMPUTED_VALUE"""),"olivia.rennie@sickkids.ca")</f>
        <v>olivia.rennie@sickkids.ca</v>
      </c>
      <c r="D104" s="55" t="str">
        <f>IFERROR(__xludf.DUMMYFUNCTION("""COMPUTED_VALUE"""),"Assigned")</f>
        <v>Assigned</v>
      </c>
      <c r="E104" s="94">
        <f>IFERROR(__xludf.DUMMYFUNCTION("""COMPUTED_VALUE"""),43605.0)</f>
        <v>43605</v>
      </c>
      <c r="F104" s="55" t="str">
        <f>IFERROR(__xludf.DUMMYFUNCTION("""COMPUTED_VALUE"""),"Yes")</f>
        <v>Yes</v>
      </c>
      <c r="G104" s="55" t="str">
        <f>IFERROR(__xludf.DUMMYFUNCTION("""COMPUTED_VALUE"""),"Variant Pathogenicity")</f>
        <v>Variant Pathogenicity</v>
      </c>
      <c r="H104" s="55" t="str">
        <f>IFERROR(__xludf.DUMMYFUNCTION("""COMPUTED_VALUE"""),"TP53")</f>
        <v>TP53</v>
      </c>
      <c r="I104" s="150">
        <f t="shared" si="1"/>
        <v>43697</v>
      </c>
      <c r="J104" s="94">
        <f>IFERROR(__xludf.DUMMYFUNCTION("""COMPUTED_VALUE"""),43712.0)</f>
        <v>43712</v>
      </c>
      <c r="K104" s="147">
        <f t="shared" si="2"/>
        <v>43789</v>
      </c>
      <c r="L104" s="94" t="str">
        <f>IFERROR(__xludf.DUMMYFUNCTION("""COMPUTED_VALUE"""),"")</f>
        <v/>
      </c>
      <c r="M104" s="55"/>
      <c r="N104" s="55"/>
      <c r="O104" s="55"/>
      <c r="P104" s="55"/>
      <c r="Q104" s="55"/>
      <c r="R104" s="55"/>
      <c r="S104" s="55"/>
      <c r="T104" s="55"/>
      <c r="U104" s="55"/>
      <c r="V104" s="55"/>
      <c r="W104" s="55"/>
      <c r="X104" s="55"/>
      <c r="Y104" s="55"/>
      <c r="Z104" s="55"/>
      <c r="AA104" s="55"/>
      <c r="AB104" s="55"/>
      <c r="AC104" s="55"/>
      <c r="AD104" s="55"/>
    </row>
    <row r="105">
      <c r="A105" s="148">
        <f>IFERROR(__xludf.DUMMYFUNCTION("""COMPUTED_VALUE"""),43602.702408564815)</f>
        <v>43602.70241</v>
      </c>
      <c r="B105" s="149" t="str">
        <f>IFERROR(__xludf.DUMMYFUNCTION("""COMPUTED_VALUE"""),"Aleš Maver")</f>
        <v>Aleš Maver</v>
      </c>
      <c r="C105" s="149" t="str">
        <f>IFERROR(__xludf.DUMMYFUNCTION("""COMPUTED_VALUE"""),"ales.maver@kclj.si")</f>
        <v>ales.maver@kclj.si</v>
      </c>
      <c r="D105" s="55" t="str">
        <f>IFERROR(__xludf.DUMMYFUNCTION("""COMPUTED_VALUE"""),"Contacted")</f>
        <v>Contacted</v>
      </c>
      <c r="E105" s="94">
        <f>IFERROR(__xludf.DUMMYFUNCTION("""COMPUTED_VALUE"""),43627.0)</f>
        <v>43627</v>
      </c>
      <c r="F105" s="55" t="str">
        <f>IFERROR(__xludf.DUMMYFUNCTION("""COMPUTED_VALUE"""),"Yes")</f>
        <v>Yes</v>
      </c>
      <c r="G105" s="55" t="str">
        <f>IFERROR(__xludf.DUMMYFUNCTION("""COMPUTED_VALUE"""),"NA")</f>
        <v>NA</v>
      </c>
      <c r="H105" s="55" t="str">
        <f>IFERROR(__xludf.DUMMYFUNCTION("""COMPUTED_VALUE"""),"")</f>
        <v/>
      </c>
      <c r="I105" s="150">
        <f t="shared" si="1"/>
        <v>43719</v>
      </c>
      <c r="J105" s="55" t="str">
        <f>IFERROR(__xludf.DUMMYFUNCTION("""COMPUTED_VALUE"""),"")</f>
        <v/>
      </c>
      <c r="K105" s="147">
        <f t="shared" si="2"/>
        <v>43810</v>
      </c>
      <c r="L105" s="55" t="str">
        <f>IFERROR(__xludf.DUMMYFUNCTION("""COMPUTED_VALUE"""),"")</f>
        <v/>
      </c>
      <c r="M105" s="55"/>
      <c r="N105" s="55"/>
      <c r="O105" s="55"/>
      <c r="P105" s="55"/>
      <c r="Q105" s="55"/>
      <c r="R105" s="55"/>
      <c r="S105" s="55"/>
      <c r="T105" s="55"/>
      <c r="U105" s="55"/>
      <c r="V105" s="55"/>
      <c r="W105" s="55"/>
      <c r="X105" s="55"/>
      <c r="Y105" s="55"/>
      <c r="Z105" s="55"/>
      <c r="AA105" s="55"/>
      <c r="AB105" s="55"/>
      <c r="AC105" s="55"/>
      <c r="AD105" s="55"/>
    </row>
    <row r="106">
      <c r="A106" s="148">
        <f>IFERROR(__xludf.DUMMYFUNCTION("""COMPUTED_VALUE"""),43607.54873863426)</f>
        <v>43607.54874</v>
      </c>
      <c r="B106" s="149" t="str">
        <f>IFERROR(__xludf.DUMMYFUNCTION("""COMPUTED_VALUE"""),"Robert Butler")</f>
        <v>Robert Butler</v>
      </c>
      <c r="C106" s="149" t="str">
        <f>IFERROR(__xludf.DUMMYFUNCTION("""COMPUTED_VALUE"""),"rbutler@northshore.org")</f>
        <v>rbutler@northshore.org</v>
      </c>
      <c r="D106" s="55" t="str">
        <f>IFERROR(__xludf.DUMMYFUNCTION("""COMPUTED_VALUE"""),"Contacted")</f>
        <v>Contacted</v>
      </c>
      <c r="E106" s="94">
        <f>IFERROR(__xludf.DUMMYFUNCTION("""COMPUTED_VALUE"""),43627.0)</f>
        <v>43627</v>
      </c>
      <c r="F106" s="55" t="str">
        <f>IFERROR(__xludf.DUMMYFUNCTION("""COMPUTED_VALUE"""),"Yes")</f>
        <v>Yes</v>
      </c>
      <c r="G106" s="55" t="str">
        <f>IFERROR(__xludf.DUMMYFUNCTION("""COMPUTED_VALUE"""),"NA")</f>
        <v>NA</v>
      </c>
      <c r="H106" s="55" t="str">
        <f>IFERROR(__xludf.DUMMYFUNCTION("""COMPUTED_VALUE"""),"")</f>
        <v/>
      </c>
      <c r="I106" s="150">
        <f t="shared" si="1"/>
        <v>43719</v>
      </c>
      <c r="J106" s="55" t="str">
        <f>IFERROR(__xludf.DUMMYFUNCTION("""COMPUTED_VALUE"""),"")</f>
        <v/>
      </c>
      <c r="K106" s="147">
        <f t="shared" si="2"/>
        <v>43810</v>
      </c>
      <c r="L106" s="55" t="str">
        <f>IFERROR(__xludf.DUMMYFUNCTION("""COMPUTED_VALUE"""),"")</f>
        <v/>
      </c>
      <c r="M106" s="55"/>
      <c r="N106" s="55"/>
      <c r="O106" s="55"/>
      <c r="P106" s="55"/>
      <c r="Q106" s="55"/>
      <c r="R106" s="55"/>
      <c r="S106" s="55"/>
      <c r="T106" s="55"/>
      <c r="U106" s="55"/>
      <c r="V106" s="55"/>
      <c r="W106" s="55"/>
      <c r="X106" s="55"/>
      <c r="Y106" s="55"/>
      <c r="Z106" s="55"/>
      <c r="AA106" s="55"/>
      <c r="AB106" s="55"/>
      <c r="AC106" s="55"/>
      <c r="AD106" s="55"/>
    </row>
    <row r="107">
      <c r="A107" s="148">
        <f>IFERROR(__xludf.DUMMYFUNCTION("""COMPUTED_VALUE"""),43609.955753240734)</f>
        <v>43609.95575</v>
      </c>
      <c r="B107" s="149" t="str">
        <f>IFERROR(__xludf.DUMMYFUNCTION("""COMPUTED_VALUE"""),"Ljubica Caldovic")</f>
        <v>Ljubica Caldovic</v>
      </c>
      <c r="C107" s="149" t="str">
        <f>IFERROR(__xludf.DUMMYFUNCTION("""COMPUTED_VALUE"""),"lcaldovic@childrensnational.org")</f>
        <v>lcaldovic@childrensnational.org</v>
      </c>
      <c r="D107" s="55" t="str">
        <f>IFERROR(__xludf.DUMMYFUNCTION("""COMPUTED_VALUE"""),"Contacted")</f>
        <v>Contacted</v>
      </c>
      <c r="E107" s="94">
        <f>IFERROR(__xludf.DUMMYFUNCTION("""COMPUTED_VALUE"""),43626.0)</f>
        <v>43626</v>
      </c>
      <c r="F107" s="55" t="str">
        <f>IFERROR(__xludf.DUMMYFUNCTION("""COMPUTED_VALUE"""),"Yes")</f>
        <v>Yes</v>
      </c>
      <c r="G107" s="55" t="str">
        <f>IFERROR(__xludf.DUMMYFUNCTION("""COMPUTED_VALUE"""),"Variant Pathogenicity")</f>
        <v>Variant Pathogenicity</v>
      </c>
      <c r="H107" s="55" t="str">
        <f>IFERROR(__xludf.DUMMYFUNCTION("""COMPUTED_VALUE"""),"")</f>
        <v/>
      </c>
      <c r="I107" s="150">
        <f t="shared" si="1"/>
        <v>43718</v>
      </c>
      <c r="J107" s="55" t="str">
        <f>IFERROR(__xludf.DUMMYFUNCTION("""COMPUTED_VALUE"""),"")</f>
        <v/>
      </c>
      <c r="K107" s="147">
        <f t="shared" si="2"/>
        <v>43809</v>
      </c>
      <c r="L107" s="55" t="str">
        <f>IFERROR(__xludf.DUMMYFUNCTION("""COMPUTED_VALUE"""),"")</f>
        <v/>
      </c>
      <c r="M107" s="55"/>
      <c r="N107" s="55"/>
      <c r="O107" s="55"/>
      <c r="P107" s="55"/>
      <c r="Q107" s="55"/>
      <c r="R107" s="55"/>
      <c r="S107" s="55"/>
      <c r="T107" s="55"/>
      <c r="U107" s="55"/>
      <c r="V107" s="55"/>
      <c r="W107" s="55"/>
      <c r="X107" s="55"/>
      <c r="Y107" s="55"/>
      <c r="Z107" s="55"/>
      <c r="AA107" s="55"/>
      <c r="AB107" s="55"/>
      <c r="AC107" s="55"/>
      <c r="AD107" s="55"/>
    </row>
    <row r="108">
      <c r="A108" s="148">
        <f>IFERROR(__xludf.DUMMYFUNCTION("""COMPUTED_VALUE"""),43610.740048368054)</f>
        <v>43610.74005</v>
      </c>
      <c r="B108" s="149" t="str">
        <f>IFERROR(__xludf.DUMMYFUNCTION("""COMPUTED_VALUE"""),"Joy Goffena")</f>
        <v>Joy Goffena</v>
      </c>
      <c r="C108" s="149" t="str">
        <f>IFERROR(__xludf.DUMMYFUNCTION("""COMPUTED_VALUE"""),"joy.goffena@gmail.com")</f>
        <v>joy.goffena@gmail.com</v>
      </c>
      <c r="D108" s="55" t="str">
        <f>IFERROR(__xludf.DUMMYFUNCTION("""COMPUTED_VALUE"""),"Assigned")</f>
        <v>Assigned</v>
      </c>
      <c r="E108" s="94">
        <f>IFERROR(__xludf.DUMMYFUNCTION("""COMPUTED_VALUE"""),43627.0)</f>
        <v>43627</v>
      </c>
      <c r="F108" s="55" t="str">
        <f>IFERROR(__xludf.DUMMYFUNCTION("""COMPUTED_VALUE"""),"Yes")</f>
        <v>Yes</v>
      </c>
      <c r="G108" s="55" t="str">
        <f>IFERROR(__xludf.DUMMYFUNCTION("""COMPUTED_VALUE"""),"Variant Pathogenicity")</f>
        <v>Variant Pathogenicity</v>
      </c>
      <c r="H108" s="55" t="str">
        <f>IFERROR(__xludf.DUMMYFUNCTION("""COMPUTED_VALUE"""),"Mito")</f>
        <v>Mito</v>
      </c>
      <c r="I108" s="150">
        <f t="shared" si="1"/>
        <v>43719</v>
      </c>
      <c r="J108" s="94">
        <f>IFERROR(__xludf.DUMMYFUNCTION("""COMPUTED_VALUE"""),43712.0)</f>
        <v>43712</v>
      </c>
      <c r="K108" s="147">
        <f t="shared" si="2"/>
        <v>43810</v>
      </c>
      <c r="L108" s="94" t="str">
        <f>IFERROR(__xludf.DUMMYFUNCTION("""COMPUTED_VALUE"""),"")</f>
        <v/>
      </c>
      <c r="M108" s="55"/>
      <c r="N108" s="55"/>
      <c r="O108" s="55"/>
      <c r="P108" s="55"/>
      <c r="Q108" s="55"/>
      <c r="R108" s="55"/>
      <c r="S108" s="55"/>
      <c r="T108" s="55"/>
      <c r="U108" s="55"/>
      <c r="V108" s="55"/>
      <c r="W108" s="55"/>
      <c r="X108" s="55"/>
      <c r="Y108" s="55"/>
      <c r="Z108" s="55"/>
      <c r="AA108" s="55"/>
      <c r="AB108" s="55"/>
      <c r="AC108" s="55"/>
      <c r="AD108" s="55"/>
    </row>
    <row r="109">
      <c r="A109" s="148">
        <f>IFERROR(__xludf.DUMMYFUNCTION("""COMPUTED_VALUE"""),43612.744829560186)</f>
        <v>43612.74483</v>
      </c>
      <c r="B109" s="149" t="str">
        <f>IFERROR(__xludf.DUMMYFUNCTION("""COMPUTED_VALUE"""),"Amruta Phatak")</f>
        <v>Amruta Phatak</v>
      </c>
      <c r="C109" s="149" t="str">
        <f>IFERROR(__xludf.DUMMYFUNCTION("""COMPUTED_VALUE"""),"arphatak@iu.edu")</f>
        <v>arphatak@iu.edu</v>
      </c>
      <c r="D109" s="55" t="str">
        <f>IFERROR(__xludf.DUMMYFUNCTION("""COMPUTED_VALUE"""),"Contacted")</f>
        <v>Contacted</v>
      </c>
      <c r="E109" s="93">
        <f>IFERROR(__xludf.DUMMYFUNCTION("""COMPUTED_VALUE"""),43692.0)</f>
        <v>43692</v>
      </c>
      <c r="F109" s="55" t="str">
        <f>IFERROR(__xludf.DUMMYFUNCTION("""COMPUTED_VALUE"""),"Yes")</f>
        <v>Yes</v>
      </c>
      <c r="G109" s="55" t="str">
        <f>IFERROR(__xludf.DUMMYFUNCTION("""COMPUTED_VALUE"""),"Gene Disease Validity")</f>
        <v>Gene Disease Validity</v>
      </c>
      <c r="H109" s="55" t="str">
        <f>IFERROR(__xludf.DUMMYFUNCTION("""COMPUTED_VALUE"""),"")</f>
        <v/>
      </c>
      <c r="I109" s="150">
        <f t="shared" si="1"/>
        <v>43784</v>
      </c>
      <c r="J109" s="55" t="str">
        <f>IFERROR(__xludf.DUMMYFUNCTION("""COMPUTED_VALUE"""),"")</f>
        <v/>
      </c>
      <c r="K109" s="147">
        <f t="shared" si="2"/>
        <v>43876</v>
      </c>
      <c r="L109" s="55" t="str">
        <f>IFERROR(__xludf.DUMMYFUNCTION("""COMPUTED_VALUE"""),"")</f>
        <v/>
      </c>
      <c r="M109" s="55"/>
      <c r="N109" s="55"/>
      <c r="O109" s="55"/>
      <c r="P109" s="55"/>
      <c r="Q109" s="55"/>
      <c r="R109" s="55"/>
      <c r="S109" s="55"/>
      <c r="T109" s="55"/>
      <c r="U109" s="55"/>
      <c r="V109" s="55"/>
      <c r="W109" s="55"/>
      <c r="X109" s="55"/>
      <c r="Y109" s="55"/>
      <c r="Z109" s="55"/>
      <c r="AA109" s="55"/>
      <c r="AB109" s="55"/>
      <c r="AC109" s="55"/>
      <c r="AD109" s="55"/>
    </row>
    <row r="110">
      <c r="A110" s="148">
        <f>IFERROR(__xludf.DUMMYFUNCTION("""COMPUTED_VALUE"""),43615.399297673604)</f>
        <v>43615.3993</v>
      </c>
      <c r="B110" s="149" t="str">
        <f>IFERROR(__xludf.DUMMYFUNCTION("""COMPUTED_VALUE"""),"Abdelazeem Elhabyan ")</f>
        <v>Abdelazeem Elhabyan </v>
      </c>
      <c r="C110" s="149" t="str">
        <f>IFERROR(__xludf.DUMMYFUNCTION("""COMPUTED_VALUE"""),"Abdelazeem_abdelhameed2015505@yahoo.com")</f>
        <v>Abdelazeem_abdelhameed2015505@yahoo.com</v>
      </c>
      <c r="D110" s="55" t="str">
        <f>IFERROR(__xludf.DUMMYFUNCTION("""COMPUTED_VALUE"""),"Contacted")</f>
        <v>Contacted</v>
      </c>
      <c r="E110" s="94">
        <f>IFERROR(__xludf.DUMMYFUNCTION("""COMPUTED_VALUE"""),43627.0)</f>
        <v>43627</v>
      </c>
      <c r="F110" s="55" t="str">
        <f>IFERROR(__xludf.DUMMYFUNCTION("""COMPUTED_VALUE"""),"No")</f>
        <v>No</v>
      </c>
      <c r="G110" s="55" t="str">
        <f>IFERROR(__xludf.DUMMYFUNCTION("""COMPUTED_VALUE"""),"Variant Pathogenicity")</f>
        <v>Variant Pathogenicity</v>
      </c>
      <c r="H110" s="55" t="str">
        <f>IFERROR(__xludf.DUMMYFUNCTION("""COMPUTED_VALUE"""),"")</f>
        <v/>
      </c>
      <c r="I110" s="150">
        <f t="shared" si="1"/>
        <v>43719</v>
      </c>
      <c r="J110" s="55" t="str">
        <f>IFERROR(__xludf.DUMMYFUNCTION("""COMPUTED_VALUE"""),"")</f>
        <v/>
      </c>
      <c r="K110" s="147">
        <f t="shared" si="2"/>
        <v>43810</v>
      </c>
      <c r="L110" s="55" t="str">
        <f>IFERROR(__xludf.DUMMYFUNCTION("""COMPUTED_VALUE"""),"")</f>
        <v/>
      </c>
      <c r="M110" s="55"/>
      <c r="N110" s="55"/>
      <c r="O110" s="55"/>
      <c r="P110" s="55"/>
      <c r="Q110" s="55"/>
      <c r="R110" s="55"/>
      <c r="S110" s="55"/>
      <c r="T110" s="55"/>
      <c r="U110" s="55"/>
      <c r="V110" s="55"/>
      <c r="W110" s="55"/>
      <c r="X110" s="55"/>
      <c r="Y110" s="55"/>
      <c r="Z110" s="55"/>
      <c r="AA110" s="55"/>
      <c r="AB110" s="55"/>
      <c r="AC110" s="55"/>
      <c r="AD110" s="55"/>
    </row>
    <row r="111">
      <c r="A111" s="148">
        <f>IFERROR(__xludf.DUMMYFUNCTION("""COMPUTED_VALUE"""),43621.34168687501)</f>
        <v>43621.34169</v>
      </c>
      <c r="B111" s="149" t="str">
        <f>IFERROR(__xludf.DUMMYFUNCTION("""COMPUTED_VALUE"""),"Carolina Bustamante")</f>
        <v>Carolina Bustamante</v>
      </c>
      <c r="C111" s="149" t="str">
        <f>IFERROR(__xludf.DUMMYFUNCTION("""COMPUTED_VALUE"""),"carolina.bustamante@gmail.com")</f>
        <v>carolina.bustamante@gmail.com</v>
      </c>
      <c r="D111" s="55" t="str">
        <f>IFERROR(__xludf.DUMMYFUNCTION("""COMPUTED_VALUE"""),"Contacted")</f>
        <v>Contacted</v>
      </c>
      <c r="E111" s="94">
        <f>IFERROR(__xludf.DUMMYFUNCTION("""COMPUTED_VALUE"""),43627.0)</f>
        <v>43627</v>
      </c>
      <c r="F111" s="55" t="str">
        <f>IFERROR(__xludf.DUMMYFUNCTION("""COMPUTED_VALUE"""),"Yes")</f>
        <v>Yes</v>
      </c>
      <c r="G111" s="55" t="str">
        <f>IFERROR(__xludf.DUMMYFUNCTION("""COMPUTED_VALUE"""),"Variant Pathogenicity")</f>
        <v>Variant Pathogenicity</v>
      </c>
      <c r="H111" s="55" t="str">
        <f>IFERROR(__xludf.DUMMYFUNCTION("""COMPUTED_VALUE"""),"")</f>
        <v/>
      </c>
      <c r="I111" s="150">
        <f t="shared" si="1"/>
        <v>43719</v>
      </c>
      <c r="J111" s="55" t="str">
        <f>IFERROR(__xludf.DUMMYFUNCTION("""COMPUTED_VALUE"""),"")</f>
        <v/>
      </c>
      <c r="K111" s="147">
        <f t="shared" si="2"/>
        <v>43810</v>
      </c>
      <c r="L111" s="55" t="str">
        <f>IFERROR(__xludf.DUMMYFUNCTION("""COMPUTED_VALUE"""),"")</f>
        <v/>
      </c>
      <c r="M111" s="55"/>
      <c r="N111" s="55"/>
      <c r="O111" s="55"/>
      <c r="P111" s="55"/>
      <c r="Q111" s="55"/>
      <c r="R111" s="55"/>
      <c r="S111" s="55"/>
      <c r="T111" s="55"/>
      <c r="U111" s="55"/>
      <c r="V111" s="55"/>
      <c r="W111" s="55"/>
      <c r="X111" s="55"/>
      <c r="Y111" s="55"/>
      <c r="Z111" s="55"/>
      <c r="AA111" s="55"/>
      <c r="AB111" s="55"/>
      <c r="AC111" s="55"/>
      <c r="AD111" s="55"/>
    </row>
    <row r="112">
      <c r="A112" s="148">
        <f>IFERROR(__xludf.DUMMYFUNCTION("""COMPUTED_VALUE"""),43622.554816875)</f>
        <v>43622.55482</v>
      </c>
      <c r="B112" s="149" t="str">
        <f>IFERROR(__xludf.DUMMYFUNCTION("""COMPUTED_VALUE"""),"Jean Davidson")</f>
        <v>Jean Davidson</v>
      </c>
      <c r="C112" s="149" t="str">
        <f>IFERROR(__xludf.DUMMYFUNCTION("""COMPUTED_VALUE"""),"jdavid06@calpoly.edu")</f>
        <v>jdavid06@calpoly.edu</v>
      </c>
      <c r="D112" s="55" t="str">
        <f>IFERROR(__xludf.DUMMYFUNCTION("""COMPUTED_VALUE"""),"Contacted")</f>
        <v>Contacted</v>
      </c>
      <c r="E112" s="93">
        <f>IFERROR(__xludf.DUMMYFUNCTION("""COMPUTED_VALUE"""),43692.0)</f>
        <v>43692</v>
      </c>
      <c r="F112" s="55" t="str">
        <f>IFERROR(__xludf.DUMMYFUNCTION("""COMPUTED_VALUE"""),"Yes")</f>
        <v>Yes</v>
      </c>
      <c r="G112" s="55" t="str">
        <f>IFERROR(__xludf.DUMMYFUNCTION("""COMPUTED_VALUE"""),"Gene Disease Validity")</f>
        <v>Gene Disease Validity</v>
      </c>
      <c r="H112" s="55" t="str">
        <f>IFERROR(__xludf.DUMMYFUNCTION("""COMPUTED_VALUE"""),"")</f>
        <v/>
      </c>
      <c r="I112" s="150">
        <f t="shared" si="1"/>
        <v>43784</v>
      </c>
      <c r="J112" s="55" t="str">
        <f>IFERROR(__xludf.DUMMYFUNCTION("""COMPUTED_VALUE"""),"")</f>
        <v/>
      </c>
      <c r="K112" s="147">
        <f t="shared" si="2"/>
        <v>43876</v>
      </c>
      <c r="L112" s="55" t="str">
        <f>IFERROR(__xludf.DUMMYFUNCTION("""COMPUTED_VALUE"""),"")</f>
        <v/>
      </c>
      <c r="M112" s="55"/>
      <c r="N112" s="55"/>
      <c r="O112" s="55"/>
      <c r="P112" s="55"/>
      <c r="Q112" s="55"/>
      <c r="R112" s="55"/>
      <c r="S112" s="55"/>
      <c r="T112" s="55"/>
      <c r="U112" s="55"/>
      <c r="V112" s="55"/>
      <c r="W112" s="55"/>
      <c r="X112" s="55"/>
      <c r="Y112" s="55"/>
      <c r="Z112" s="55"/>
      <c r="AA112" s="55"/>
      <c r="AB112" s="55"/>
      <c r="AC112" s="55"/>
      <c r="AD112" s="55"/>
    </row>
    <row r="113">
      <c r="A113" s="148">
        <f>IFERROR(__xludf.DUMMYFUNCTION("""COMPUTED_VALUE"""),43625.72974097222)</f>
        <v>43625.72974</v>
      </c>
      <c r="B113" s="149" t="str">
        <f>IFERROR(__xludf.DUMMYFUNCTION("""COMPUTED_VALUE"""),"Greg Lennon")</f>
        <v>Greg Lennon</v>
      </c>
      <c r="C113" s="149" t="str">
        <f>IFERROR(__xludf.DUMMYFUNCTION("""COMPUTED_VALUE"""),"greg.lennon@gmail.com")</f>
        <v>greg.lennon@gmail.com</v>
      </c>
      <c r="D113" s="55" t="str">
        <f>IFERROR(__xludf.DUMMYFUNCTION("""COMPUTED_VALUE"""),"Contacted")</f>
        <v>Contacted</v>
      </c>
      <c r="E113" s="93">
        <f>IFERROR(__xludf.DUMMYFUNCTION("""COMPUTED_VALUE"""),43768.0)</f>
        <v>43768</v>
      </c>
      <c r="F113" s="55" t="str">
        <f>IFERROR(__xludf.DUMMYFUNCTION("""COMPUTED_VALUE"""),"Yes")</f>
        <v>Yes</v>
      </c>
      <c r="G113" s="55" t="str">
        <f>IFERROR(__xludf.DUMMYFUNCTION("""COMPUTED_VALUE"""),"Actionability")</f>
        <v>Actionability</v>
      </c>
      <c r="H113" s="55" t="str">
        <f>IFERROR(__xludf.DUMMYFUNCTION("""COMPUTED_VALUE"""),"Actionability")</f>
        <v>Actionability</v>
      </c>
      <c r="I113" s="150">
        <f t="shared" si="1"/>
        <v>43860</v>
      </c>
      <c r="J113" s="55" t="str">
        <f>IFERROR(__xludf.DUMMYFUNCTION("""COMPUTED_VALUE"""),"")</f>
        <v/>
      </c>
      <c r="K113" s="147">
        <f t="shared" si="2"/>
        <v>43951</v>
      </c>
      <c r="L113" s="55" t="str">
        <f>IFERROR(__xludf.DUMMYFUNCTION("""COMPUTED_VALUE"""),"")</f>
        <v/>
      </c>
      <c r="M113" s="55"/>
      <c r="N113" s="55"/>
      <c r="O113" s="55"/>
      <c r="P113" s="55"/>
      <c r="Q113" s="55"/>
      <c r="R113" s="55"/>
      <c r="S113" s="55"/>
      <c r="T113" s="55"/>
      <c r="U113" s="55"/>
      <c r="V113" s="55"/>
      <c r="W113" s="55"/>
      <c r="X113" s="55"/>
      <c r="Y113" s="55"/>
      <c r="Z113" s="55"/>
      <c r="AA113" s="55"/>
      <c r="AB113" s="55"/>
      <c r="AC113" s="55"/>
      <c r="AD113" s="55"/>
    </row>
    <row r="114">
      <c r="A114" s="148">
        <f>IFERROR(__xludf.DUMMYFUNCTION("""COMPUTED_VALUE"""),43626.46727800926)</f>
        <v>43626.46728</v>
      </c>
      <c r="B114" s="149" t="str">
        <f>IFERROR(__xludf.DUMMYFUNCTION("""COMPUTED_VALUE"""),"Pamela")</f>
        <v>Pamela</v>
      </c>
      <c r="C114" s="149" t="str">
        <f>IFERROR(__xludf.DUMMYFUNCTION("""COMPUTED_VALUE"""),"pchristopherson@versiti.org")</f>
        <v>pchristopherson@versiti.org</v>
      </c>
      <c r="D114" s="55" t="str">
        <f>IFERROR(__xludf.DUMMYFUNCTION("""COMPUTED_VALUE"""),"Contacted")</f>
        <v>Contacted</v>
      </c>
      <c r="E114" s="94">
        <f>IFERROR(__xludf.DUMMYFUNCTION("""COMPUTED_VALUE"""),43626.0)</f>
        <v>43626</v>
      </c>
      <c r="F114" s="55" t="str">
        <f>IFERROR(__xludf.DUMMYFUNCTION("""COMPUTED_VALUE"""),"Yes")</f>
        <v>Yes</v>
      </c>
      <c r="G114" s="55" t="str">
        <f>IFERROR(__xludf.DUMMYFUNCTION("""COMPUTED_VALUE"""),"NA")</f>
        <v>NA</v>
      </c>
      <c r="H114" s="55" t="str">
        <f>IFERROR(__xludf.DUMMYFUNCTION("""COMPUTED_VALUE"""),"")</f>
        <v/>
      </c>
      <c r="I114" s="150">
        <f t="shared" si="1"/>
        <v>43718</v>
      </c>
      <c r="J114" s="55" t="str">
        <f>IFERROR(__xludf.DUMMYFUNCTION("""COMPUTED_VALUE"""),"")</f>
        <v/>
      </c>
      <c r="K114" s="147">
        <f t="shared" si="2"/>
        <v>43809</v>
      </c>
      <c r="L114" s="55" t="str">
        <f>IFERROR(__xludf.DUMMYFUNCTION("""COMPUTED_VALUE"""),"")</f>
        <v/>
      </c>
      <c r="M114" s="55"/>
      <c r="N114" s="55"/>
      <c r="O114" s="55"/>
      <c r="P114" s="55"/>
      <c r="Q114" s="55"/>
      <c r="R114" s="55"/>
      <c r="S114" s="55"/>
      <c r="T114" s="55"/>
      <c r="U114" s="55"/>
      <c r="V114" s="55"/>
      <c r="W114" s="55"/>
      <c r="X114" s="55"/>
      <c r="Y114" s="55"/>
      <c r="Z114" s="55"/>
      <c r="AA114" s="55"/>
      <c r="AB114" s="55"/>
      <c r="AC114" s="55"/>
      <c r="AD114" s="55"/>
    </row>
    <row r="115">
      <c r="A115" s="148">
        <f>IFERROR(__xludf.DUMMYFUNCTION("""COMPUTED_VALUE"""),43627.30079422453)</f>
        <v>43627.30079</v>
      </c>
      <c r="B115" s="149" t="str">
        <f>IFERROR(__xludf.DUMMYFUNCTION("""COMPUTED_VALUE"""),"Generoso")</f>
        <v>Generoso</v>
      </c>
      <c r="C115" s="149" t="str">
        <f>IFERROR(__xludf.DUMMYFUNCTION("""COMPUTED_VALUE"""),"generoso@dantelabs.com")</f>
        <v>generoso@dantelabs.com</v>
      </c>
      <c r="D115" s="55" t="str">
        <f>IFERROR(__xludf.DUMMYFUNCTION("""COMPUTED_VALUE"""),"Contacted")</f>
        <v>Contacted</v>
      </c>
      <c r="E115" s="55" t="str">
        <f>IFERROR(__xludf.DUMMYFUNCTION("""COMPUTED_VALUE"""),"")</f>
        <v/>
      </c>
      <c r="F115" s="55" t="str">
        <f>IFERROR(__xludf.DUMMYFUNCTION("""COMPUTED_VALUE"""),"No")</f>
        <v>No</v>
      </c>
      <c r="G115" s="55" t="str">
        <f>IFERROR(__xludf.DUMMYFUNCTION("""COMPUTED_VALUE"""),"Actionability")</f>
        <v>Actionability</v>
      </c>
      <c r="H115" s="55" t="str">
        <f>IFERROR(__xludf.DUMMYFUNCTION("""COMPUTED_VALUE"""),"")</f>
        <v/>
      </c>
      <c r="I115" s="150">
        <f t="shared" si="1"/>
        <v>90</v>
      </c>
      <c r="J115" s="55" t="str">
        <f>IFERROR(__xludf.DUMMYFUNCTION("""COMPUTED_VALUE"""),"")</f>
        <v/>
      </c>
      <c r="K115" s="147">
        <f t="shared" si="2"/>
        <v>182</v>
      </c>
      <c r="L115" s="55" t="str">
        <f>IFERROR(__xludf.DUMMYFUNCTION("""COMPUTED_VALUE"""),"")</f>
        <v/>
      </c>
      <c r="M115" s="55"/>
      <c r="N115" s="55"/>
      <c r="O115" s="55"/>
      <c r="P115" s="55"/>
      <c r="Q115" s="55"/>
      <c r="R115" s="55"/>
      <c r="S115" s="55"/>
      <c r="T115" s="55"/>
      <c r="U115" s="55"/>
      <c r="V115" s="55"/>
      <c r="W115" s="55"/>
      <c r="X115" s="55"/>
      <c r="Y115" s="55"/>
      <c r="Z115" s="55"/>
      <c r="AA115" s="55"/>
      <c r="AB115" s="55"/>
      <c r="AC115" s="55"/>
      <c r="AD115" s="55"/>
    </row>
    <row r="116">
      <c r="A116" s="148">
        <f>IFERROR(__xludf.DUMMYFUNCTION("""COMPUTED_VALUE"""),43633.67853769676)</f>
        <v>43633.67854</v>
      </c>
      <c r="B116" s="149" t="str">
        <f>IFERROR(__xludf.DUMMYFUNCTION("""COMPUTED_VALUE"""),"Abul Kalam Azad")</f>
        <v>Abul Kalam Azad</v>
      </c>
      <c r="C116" s="149" t="str">
        <f>IFERROR(__xludf.DUMMYFUNCTION("""COMPUTED_VALUE"""),"azadak@gmail.com")</f>
        <v>azadak@gmail.com</v>
      </c>
      <c r="D116" s="55" t="str">
        <f>IFERROR(__xludf.DUMMYFUNCTION("""COMPUTED_VALUE"""),"Contacted")</f>
        <v>Contacted</v>
      </c>
      <c r="E116" s="93">
        <f>IFERROR(__xludf.DUMMYFUNCTION("""COMPUTED_VALUE"""),43769.0)</f>
        <v>43769</v>
      </c>
      <c r="F116" s="55" t="str">
        <f>IFERROR(__xludf.DUMMYFUNCTION("""COMPUTED_VALUE"""),"Yes")</f>
        <v>Yes</v>
      </c>
      <c r="G116" s="55" t="str">
        <f>IFERROR(__xludf.DUMMYFUNCTION("""COMPUTED_VALUE"""),"Actionability")</f>
        <v>Actionability</v>
      </c>
      <c r="H116" s="55" t="str">
        <f>IFERROR(__xludf.DUMMYFUNCTION("""COMPUTED_VALUE"""),"Actionability")</f>
        <v>Actionability</v>
      </c>
      <c r="I116" s="150">
        <f t="shared" si="1"/>
        <v>43861</v>
      </c>
      <c r="J116" s="55" t="str">
        <f>IFERROR(__xludf.DUMMYFUNCTION("""COMPUTED_VALUE"""),"")</f>
        <v/>
      </c>
      <c r="K116" s="147">
        <f t="shared" si="2"/>
        <v>43951</v>
      </c>
      <c r="L116" s="55" t="str">
        <f>IFERROR(__xludf.DUMMYFUNCTION("""COMPUTED_VALUE"""),"")</f>
        <v/>
      </c>
      <c r="M116" s="55"/>
      <c r="N116" s="55"/>
      <c r="O116" s="55"/>
      <c r="P116" s="55"/>
      <c r="Q116" s="55"/>
      <c r="R116" s="55"/>
      <c r="S116" s="55"/>
      <c r="T116" s="55"/>
      <c r="U116" s="55"/>
      <c r="V116" s="55"/>
      <c r="W116" s="55"/>
      <c r="X116" s="55"/>
      <c r="Y116" s="55"/>
      <c r="Z116" s="55"/>
      <c r="AA116" s="55"/>
      <c r="AB116" s="55"/>
      <c r="AC116" s="55"/>
      <c r="AD116" s="55"/>
    </row>
    <row r="117">
      <c r="A117" s="148">
        <f>IFERROR(__xludf.DUMMYFUNCTION("""COMPUTED_VALUE"""),43643.49489582176)</f>
        <v>43643.4949</v>
      </c>
      <c r="B117" s="149" t="str">
        <f>IFERROR(__xludf.DUMMYFUNCTION("""COMPUTED_VALUE"""),"Marc Lataillade")</f>
        <v>Marc Lataillade</v>
      </c>
      <c r="C117" s="149" t="str">
        <f>IFERROR(__xludf.DUMMYFUNCTION("""COMPUTED_VALUE"""),"marclataillade258@gmail.com")</f>
        <v>marclataillade258@gmail.com</v>
      </c>
      <c r="D117" s="55" t="str">
        <f>IFERROR(__xludf.DUMMYFUNCTION("""COMPUTED_VALUE"""),"Contacted")</f>
        <v>Contacted</v>
      </c>
      <c r="E117" s="93">
        <f>IFERROR(__xludf.DUMMYFUNCTION("""COMPUTED_VALUE"""),43692.0)</f>
        <v>43692</v>
      </c>
      <c r="F117" s="55" t="str">
        <f>IFERROR(__xludf.DUMMYFUNCTION("""COMPUTED_VALUE"""),"Yes")</f>
        <v>Yes</v>
      </c>
      <c r="G117" s="55" t="str">
        <f>IFERROR(__xludf.DUMMYFUNCTION("""COMPUTED_VALUE"""),"Gene Disease Validity")</f>
        <v>Gene Disease Validity</v>
      </c>
      <c r="H117" s="55" t="str">
        <f>IFERROR(__xludf.DUMMYFUNCTION("""COMPUTED_VALUE"""),"")</f>
        <v/>
      </c>
      <c r="I117" s="150">
        <f t="shared" si="1"/>
        <v>43784</v>
      </c>
      <c r="J117" s="55" t="str">
        <f>IFERROR(__xludf.DUMMYFUNCTION("""COMPUTED_VALUE"""),"")</f>
        <v/>
      </c>
      <c r="K117" s="147">
        <f t="shared" si="2"/>
        <v>43876</v>
      </c>
      <c r="L117" s="55" t="str">
        <f>IFERROR(__xludf.DUMMYFUNCTION("""COMPUTED_VALUE"""),"")</f>
        <v/>
      </c>
      <c r="M117" s="55"/>
      <c r="N117" s="55"/>
      <c r="O117" s="55"/>
      <c r="P117" s="55"/>
      <c r="Q117" s="55"/>
      <c r="R117" s="55"/>
      <c r="S117" s="55"/>
      <c r="T117" s="55"/>
      <c r="U117" s="55"/>
      <c r="V117" s="55"/>
      <c r="W117" s="55"/>
      <c r="X117" s="55"/>
      <c r="Y117" s="55"/>
      <c r="Z117" s="55"/>
      <c r="AA117" s="55"/>
      <c r="AB117" s="55"/>
      <c r="AC117" s="55"/>
      <c r="AD117" s="55"/>
    </row>
    <row r="118">
      <c r="A118" s="148">
        <f>IFERROR(__xludf.DUMMYFUNCTION("""COMPUTED_VALUE"""),43648.64460309028)</f>
        <v>43648.6446</v>
      </c>
      <c r="B118" s="149" t="str">
        <f>IFERROR(__xludf.DUMMYFUNCTION("""COMPUTED_VALUE"""),"Lori Millner")</f>
        <v>Lori Millner</v>
      </c>
      <c r="C118" s="149" t="str">
        <f>IFERROR(__xludf.DUMMYFUNCTION("""COMPUTED_VALUE"""),"lorimillner77@gmail.com")</f>
        <v>lorimillner77@gmail.com</v>
      </c>
      <c r="D118" s="55" t="str">
        <f>IFERROR(__xludf.DUMMYFUNCTION("""COMPUTED_VALUE"""),"Assigned")</f>
        <v>Assigned</v>
      </c>
      <c r="E118" s="93">
        <f>IFERROR(__xludf.DUMMYFUNCTION("""COMPUTED_VALUE"""),43719.0)</f>
        <v>43719</v>
      </c>
      <c r="F118" s="55" t="str">
        <f>IFERROR(__xludf.DUMMYFUNCTION("""COMPUTED_VALUE"""),"No")</f>
        <v>No</v>
      </c>
      <c r="G118" s="55" t="str">
        <f>IFERROR(__xludf.DUMMYFUNCTION("""COMPUTED_VALUE"""),"Somatic Cancer")</f>
        <v>Somatic Cancer</v>
      </c>
      <c r="H118" s="55" t="str">
        <f>IFERROR(__xludf.DUMMYFUNCTION("""COMPUTED_VALUE"""),"hematological cancer taskforce")</f>
        <v>hematological cancer taskforce</v>
      </c>
      <c r="I118" s="150">
        <f t="shared" si="1"/>
        <v>43810</v>
      </c>
      <c r="J118" s="55" t="str">
        <f>IFERROR(__xludf.DUMMYFUNCTION("""COMPUTED_VALUE"""),"")</f>
        <v/>
      </c>
      <c r="K118" s="147">
        <f t="shared" si="2"/>
        <v>43901</v>
      </c>
      <c r="L118" s="55" t="str">
        <f>IFERROR(__xludf.DUMMYFUNCTION("""COMPUTED_VALUE"""),"")</f>
        <v/>
      </c>
      <c r="M118" s="55"/>
      <c r="N118" s="55"/>
      <c r="O118" s="55"/>
      <c r="P118" s="55"/>
      <c r="Q118" s="55"/>
      <c r="R118" s="55"/>
      <c r="S118" s="55"/>
      <c r="T118" s="55"/>
      <c r="U118" s="55"/>
      <c r="V118" s="55"/>
      <c r="W118" s="55"/>
      <c r="X118" s="55"/>
      <c r="Y118" s="55"/>
      <c r="Z118" s="55"/>
      <c r="AA118" s="55"/>
      <c r="AB118" s="55"/>
      <c r="AC118" s="55"/>
      <c r="AD118" s="55"/>
    </row>
    <row r="119">
      <c r="A119" s="148">
        <f>IFERROR(__xludf.DUMMYFUNCTION("""COMPUTED_VALUE"""),43661.550887303245)</f>
        <v>43661.55089</v>
      </c>
      <c r="B119" s="149" t="str">
        <f>IFERROR(__xludf.DUMMYFUNCTION("""COMPUTED_VALUE"""),"Mayher Patel")</f>
        <v>Mayher Patel</v>
      </c>
      <c r="C119" s="149" t="str">
        <f>IFERROR(__xludf.DUMMYFUNCTION("""COMPUTED_VALUE"""),"mayher@broadinstitute.org")</f>
        <v>mayher@broadinstitute.org</v>
      </c>
      <c r="D119" s="55" t="str">
        <f>IFERROR(__xludf.DUMMYFUNCTION("""COMPUTED_VALUE"""),"Contacted")</f>
        <v>Contacted</v>
      </c>
      <c r="E119" s="93">
        <f>IFERROR(__xludf.DUMMYFUNCTION("""COMPUTED_VALUE"""),43692.0)</f>
        <v>43692</v>
      </c>
      <c r="F119" s="55" t="str">
        <f>IFERROR(__xludf.DUMMYFUNCTION("""COMPUTED_VALUE"""),"Yes")</f>
        <v>Yes</v>
      </c>
      <c r="G119" s="55" t="str">
        <f>IFERROR(__xludf.DUMMYFUNCTION("""COMPUTED_VALUE"""),"Gene Disease Validity")</f>
        <v>Gene Disease Validity</v>
      </c>
      <c r="H119" s="55" t="str">
        <f>IFERROR(__xludf.DUMMYFUNCTION("""COMPUTED_VALUE"""),"")</f>
        <v/>
      </c>
      <c r="I119" s="150">
        <f t="shared" si="1"/>
        <v>43784</v>
      </c>
      <c r="J119" s="55" t="str">
        <f>IFERROR(__xludf.DUMMYFUNCTION("""COMPUTED_VALUE"""),"")</f>
        <v/>
      </c>
      <c r="K119" s="147">
        <f t="shared" si="2"/>
        <v>43876</v>
      </c>
      <c r="L119" s="55" t="str">
        <f>IFERROR(__xludf.DUMMYFUNCTION("""COMPUTED_VALUE"""),"")</f>
        <v/>
      </c>
      <c r="M119" s="55"/>
      <c r="N119" s="55"/>
      <c r="O119" s="55"/>
      <c r="P119" s="55"/>
      <c r="Q119" s="55"/>
      <c r="R119" s="55"/>
      <c r="S119" s="55"/>
      <c r="T119" s="55"/>
      <c r="U119" s="55"/>
      <c r="V119" s="55"/>
      <c r="W119" s="55"/>
      <c r="X119" s="55"/>
      <c r="Y119" s="55"/>
      <c r="Z119" s="55"/>
      <c r="AA119" s="55"/>
      <c r="AB119" s="55"/>
      <c r="AC119" s="55"/>
      <c r="AD119" s="55"/>
    </row>
    <row r="120">
      <c r="A120" s="148">
        <f>IFERROR(__xludf.DUMMYFUNCTION("""COMPUTED_VALUE"""),43663.56819197916)</f>
        <v>43663.56819</v>
      </c>
      <c r="B120" s="149" t="str">
        <f>IFERROR(__xludf.DUMMYFUNCTION("""COMPUTED_VALUE"""),"Hwaida Hannoush")</f>
        <v>Hwaida Hannoush</v>
      </c>
      <c r="C120" s="149" t="str">
        <f>IFERROR(__xludf.DUMMYFUNCTION("""COMPUTED_VALUE"""),"hhannoush@acmg.net")</f>
        <v>hhannoush@acmg.net</v>
      </c>
      <c r="D120" s="55" t="str">
        <f>IFERROR(__xludf.DUMMYFUNCTION("""COMPUTED_VALUE"""),"Contacted")</f>
        <v>Contacted</v>
      </c>
      <c r="E120" s="93">
        <f>IFERROR(__xludf.DUMMYFUNCTION("""COMPUTED_VALUE"""),43692.0)</f>
        <v>43692</v>
      </c>
      <c r="F120" s="55" t="str">
        <f>IFERROR(__xludf.DUMMYFUNCTION("""COMPUTED_VALUE"""),"Yes")</f>
        <v>Yes</v>
      </c>
      <c r="G120" s="55" t="str">
        <f>IFERROR(__xludf.DUMMYFUNCTION("""COMPUTED_VALUE"""),"Gene Disease Validity")</f>
        <v>Gene Disease Validity</v>
      </c>
      <c r="H120" s="55" t="str">
        <f>IFERROR(__xludf.DUMMYFUNCTION("""COMPUTED_VALUE"""),"")</f>
        <v/>
      </c>
      <c r="I120" s="150">
        <f t="shared" si="1"/>
        <v>43784</v>
      </c>
      <c r="J120" s="55" t="str">
        <f>IFERROR(__xludf.DUMMYFUNCTION("""COMPUTED_VALUE"""),"")</f>
        <v/>
      </c>
      <c r="K120" s="147">
        <f t="shared" si="2"/>
        <v>43876</v>
      </c>
      <c r="L120" s="55" t="str">
        <f>IFERROR(__xludf.DUMMYFUNCTION("""COMPUTED_VALUE"""),"")</f>
        <v/>
      </c>
      <c r="M120" s="55"/>
      <c r="N120" s="55"/>
      <c r="O120" s="55"/>
      <c r="P120" s="55"/>
      <c r="Q120" s="55"/>
      <c r="R120" s="55"/>
      <c r="S120" s="55"/>
      <c r="T120" s="55"/>
      <c r="U120" s="55"/>
      <c r="V120" s="55"/>
      <c r="W120" s="55"/>
      <c r="X120" s="55"/>
      <c r="Y120" s="55"/>
      <c r="Z120" s="55"/>
      <c r="AA120" s="55"/>
      <c r="AB120" s="55"/>
      <c r="AC120" s="55"/>
      <c r="AD120" s="55"/>
    </row>
    <row r="121">
      <c r="A121" s="148">
        <f>IFERROR(__xludf.DUMMYFUNCTION("""COMPUTED_VALUE"""),43674.42165924769)</f>
        <v>43674.42166</v>
      </c>
      <c r="B121" s="149" t="str">
        <f>IFERROR(__xludf.DUMMYFUNCTION("""COMPUTED_VALUE"""),"Xiaolin Hu")</f>
        <v>Xiaolin Hu</v>
      </c>
      <c r="C121" s="149" t="str">
        <f>IFERROR(__xludf.DUMMYFUNCTION("""COMPUTED_VALUE"""),"xiaolin.hu@cchmc.org")</f>
        <v>xiaolin.hu@cchmc.org</v>
      </c>
      <c r="D121" s="55" t="str">
        <f>IFERROR(__xludf.DUMMYFUNCTION("""COMPUTED_VALUE"""),"Contacted")</f>
        <v>Contacted</v>
      </c>
      <c r="E121" s="93">
        <f>IFERROR(__xludf.DUMMYFUNCTION("""COMPUTED_VALUE"""),43769.0)</f>
        <v>43769</v>
      </c>
      <c r="F121" s="55" t="str">
        <f>IFERROR(__xludf.DUMMYFUNCTION("""COMPUTED_VALUE"""),"Yes")</f>
        <v>Yes</v>
      </c>
      <c r="G121" s="55" t="str">
        <f>IFERROR(__xludf.DUMMYFUNCTION("""COMPUTED_VALUE"""),"Actionability")</f>
        <v>Actionability</v>
      </c>
      <c r="H121" s="55" t="str">
        <f>IFERROR(__xludf.DUMMYFUNCTION("""COMPUTED_VALUE"""),"Actionability")</f>
        <v>Actionability</v>
      </c>
      <c r="I121" s="150">
        <f t="shared" si="1"/>
        <v>43861</v>
      </c>
      <c r="J121" s="55" t="str">
        <f>IFERROR(__xludf.DUMMYFUNCTION("""COMPUTED_VALUE"""),"")</f>
        <v/>
      </c>
      <c r="K121" s="147">
        <f t="shared" si="2"/>
        <v>43951</v>
      </c>
      <c r="L121" s="55" t="str">
        <f>IFERROR(__xludf.DUMMYFUNCTION("""COMPUTED_VALUE"""),"")</f>
        <v/>
      </c>
      <c r="M121" s="55"/>
      <c r="N121" s="55"/>
      <c r="O121" s="55"/>
      <c r="P121" s="55"/>
      <c r="Q121" s="55"/>
      <c r="R121" s="55"/>
      <c r="S121" s="55"/>
      <c r="T121" s="55"/>
      <c r="U121" s="55"/>
      <c r="V121" s="55"/>
      <c r="W121" s="55"/>
      <c r="X121" s="55"/>
      <c r="Y121" s="55"/>
      <c r="Z121" s="55"/>
      <c r="AA121" s="55"/>
      <c r="AB121" s="55"/>
      <c r="AC121" s="55"/>
      <c r="AD121" s="55"/>
    </row>
    <row r="122">
      <c r="A122" s="148">
        <f>IFERROR(__xludf.DUMMYFUNCTION("""COMPUTED_VALUE"""),43675.64387090278)</f>
        <v>43675.64387</v>
      </c>
      <c r="B122" s="149" t="str">
        <f>IFERROR(__xludf.DUMMYFUNCTION("""COMPUTED_VALUE"""),"Panieh Terraf")</f>
        <v>Panieh Terraf</v>
      </c>
      <c r="C122" s="149" t="str">
        <f>IFERROR(__xludf.DUMMYFUNCTION("""COMPUTED_VALUE"""),"pterraf@bwh.harvard.edu")</f>
        <v>pterraf@bwh.harvard.edu</v>
      </c>
      <c r="D122" s="55" t="str">
        <f>IFERROR(__xludf.DUMMYFUNCTION("""COMPUTED_VALUE"""),"Assigned")</f>
        <v>Assigned</v>
      </c>
      <c r="E122" s="93">
        <f>IFERROR(__xludf.DUMMYFUNCTION("""COMPUTED_VALUE"""),43719.0)</f>
        <v>43719</v>
      </c>
      <c r="F122" s="55" t="str">
        <f>IFERROR(__xludf.DUMMYFUNCTION("""COMPUTED_VALUE"""),"No")</f>
        <v>No</v>
      </c>
      <c r="G122" s="55" t="str">
        <f>IFERROR(__xludf.DUMMYFUNCTION("""COMPUTED_VALUE"""),"Somatic Cancer")</f>
        <v>Somatic Cancer</v>
      </c>
      <c r="H122" s="55" t="str">
        <f>IFERROR(__xludf.DUMMYFUNCTION("""COMPUTED_VALUE"""),"Pediatric cancer and Hematological cancer taskforce")</f>
        <v>Pediatric cancer and Hematological cancer taskforce</v>
      </c>
      <c r="I122" s="150">
        <f t="shared" si="1"/>
        <v>43810</v>
      </c>
      <c r="J122" s="55" t="str">
        <f>IFERROR(__xludf.DUMMYFUNCTION("""COMPUTED_VALUE"""),"")</f>
        <v/>
      </c>
      <c r="K122" s="147">
        <f t="shared" si="2"/>
        <v>43901</v>
      </c>
      <c r="L122" s="55" t="str">
        <f>IFERROR(__xludf.DUMMYFUNCTION("""COMPUTED_VALUE"""),"")</f>
        <v/>
      </c>
      <c r="M122" s="55"/>
      <c r="N122" s="55"/>
      <c r="O122" s="55"/>
      <c r="P122" s="55"/>
      <c r="Q122" s="55"/>
      <c r="R122" s="55"/>
      <c r="S122" s="55"/>
      <c r="T122" s="55"/>
      <c r="U122" s="55"/>
      <c r="V122" s="55"/>
      <c r="W122" s="55"/>
      <c r="X122" s="55"/>
      <c r="Y122" s="55"/>
      <c r="Z122" s="55"/>
      <c r="AA122" s="55"/>
      <c r="AB122" s="55"/>
      <c r="AC122" s="55"/>
      <c r="AD122" s="55"/>
    </row>
    <row r="123">
      <c r="A123" s="148">
        <f>IFERROR(__xludf.DUMMYFUNCTION("""COMPUTED_VALUE"""),43678.412040613424)</f>
        <v>43678.41204</v>
      </c>
      <c r="B123" s="149" t="str">
        <f>IFERROR(__xludf.DUMMYFUNCTION("""COMPUTED_VALUE"""),"Eric Kil")</f>
        <v>Eric Kil</v>
      </c>
      <c r="C123" s="149" t="str">
        <f>IFERROR(__xludf.DUMMYFUNCTION("""COMPUTED_VALUE"""),"ekil18@students.kgi.edu")</f>
        <v>ekil18@students.kgi.edu</v>
      </c>
      <c r="D123" s="55" t="str">
        <f>IFERROR(__xludf.DUMMYFUNCTION("""COMPUTED_VALUE"""),"Contacted")</f>
        <v>Contacted</v>
      </c>
      <c r="E123" s="93">
        <f>IFERROR(__xludf.DUMMYFUNCTION("""COMPUTED_VALUE"""),43719.0)</f>
        <v>43719</v>
      </c>
      <c r="F123" s="55" t="str">
        <f>IFERROR(__xludf.DUMMYFUNCTION("""COMPUTED_VALUE"""),"No")</f>
        <v>No</v>
      </c>
      <c r="G123" s="55" t="str">
        <f>IFERROR(__xludf.DUMMYFUNCTION("""COMPUTED_VALUE"""),"Somatic Cancer")</f>
        <v>Somatic Cancer</v>
      </c>
      <c r="H123" s="55" t="str">
        <f>IFERROR(__xludf.DUMMYFUNCTION("""COMPUTED_VALUE"""),"")</f>
        <v/>
      </c>
      <c r="I123" s="150">
        <f t="shared" si="1"/>
        <v>43810</v>
      </c>
      <c r="J123" s="55" t="str">
        <f>IFERROR(__xludf.DUMMYFUNCTION("""COMPUTED_VALUE"""),"")</f>
        <v/>
      </c>
      <c r="K123" s="147">
        <f t="shared" si="2"/>
        <v>43901</v>
      </c>
      <c r="L123" s="55" t="str">
        <f>IFERROR(__xludf.DUMMYFUNCTION("""COMPUTED_VALUE"""),"")</f>
        <v/>
      </c>
      <c r="M123" s="55"/>
      <c r="N123" s="55"/>
      <c r="O123" s="55"/>
      <c r="P123" s="55"/>
      <c r="Q123" s="55"/>
      <c r="R123" s="55"/>
      <c r="S123" s="55"/>
      <c r="T123" s="55"/>
      <c r="U123" s="55"/>
      <c r="V123" s="55"/>
      <c r="W123" s="55"/>
      <c r="X123" s="55"/>
      <c r="Y123" s="55"/>
      <c r="Z123" s="55"/>
      <c r="AA123" s="55"/>
      <c r="AB123" s="55"/>
      <c r="AC123" s="55"/>
      <c r="AD123" s="55"/>
    </row>
    <row r="124">
      <c r="A124" s="148">
        <f>IFERROR(__xludf.DUMMYFUNCTION("""COMPUTED_VALUE"""),43679.08931378472)</f>
        <v>43679.08931</v>
      </c>
      <c r="B124" s="149" t="str">
        <f>IFERROR(__xludf.DUMMYFUNCTION("""COMPUTED_VALUE"""),"Joseph Steward")</f>
        <v>Joseph Steward</v>
      </c>
      <c r="C124" s="149" t="str">
        <f>IFERROR(__xludf.DUMMYFUNCTION("""COMPUTED_VALUE"""),"jsteward2930@gmail.com")</f>
        <v>jsteward2930@gmail.com</v>
      </c>
      <c r="D124" s="55" t="str">
        <f>IFERROR(__xludf.DUMMYFUNCTION("""COMPUTED_VALUE"""),"Assigned")</f>
        <v>Assigned</v>
      </c>
      <c r="E124" s="93">
        <f>IFERROR(__xludf.DUMMYFUNCTION("""COMPUTED_VALUE"""),43719.0)</f>
        <v>43719</v>
      </c>
      <c r="F124" s="55" t="str">
        <f>IFERROR(__xludf.DUMMYFUNCTION("""COMPUTED_VALUE"""),"No")</f>
        <v>No</v>
      </c>
      <c r="G124" s="55" t="str">
        <f>IFERROR(__xludf.DUMMYFUNCTION("""COMPUTED_VALUE"""),"Somatic Cancer")</f>
        <v>Somatic Cancer</v>
      </c>
      <c r="H124" s="55" t="str">
        <f>IFERROR(__xludf.DUMMYFUNCTION("""COMPUTED_VALUE"""),"Genitourinary cancer taskforce")</f>
        <v>Genitourinary cancer taskforce</v>
      </c>
      <c r="I124" s="55"/>
      <c r="J124" s="55" t="str">
        <f>IFERROR(__xludf.DUMMYFUNCTION("""COMPUTED_VALUE"""),"")</f>
        <v/>
      </c>
      <c r="K124" s="55"/>
      <c r="L124" s="55" t="str">
        <f>IFERROR(__xludf.DUMMYFUNCTION("""COMPUTED_VALUE"""),"")</f>
        <v/>
      </c>
      <c r="M124" s="55"/>
      <c r="N124" s="55"/>
      <c r="O124" s="55"/>
      <c r="P124" s="55"/>
      <c r="Q124" s="55"/>
      <c r="R124" s="55"/>
      <c r="S124" s="55"/>
      <c r="T124" s="55"/>
      <c r="U124" s="55"/>
      <c r="V124" s="55"/>
      <c r="W124" s="55"/>
      <c r="X124" s="55"/>
      <c r="Y124" s="55"/>
      <c r="Z124" s="55"/>
      <c r="AA124" s="55"/>
      <c r="AB124" s="55"/>
      <c r="AC124" s="55"/>
      <c r="AD124" s="55"/>
    </row>
    <row r="125">
      <c r="A125" s="148">
        <f>IFERROR(__xludf.DUMMYFUNCTION("""COMPUTED_VALUE"""),43689.40685208333)</f>
        <v>43689.40685</v>
      </c>
      <c r="B125" s="149" t="str">
        <f>IFERROR(__xludf.DUMMYFUNCTION("""COMPUTED_VALUE"""),"SAILATHA RAVI")</f>
        <v>SAILATHA RAVI</v>
      </c>
      <c r="C125" s="149" t="str">
        <f>IFERROR(__xludf.DUMMYFUNCTION("""COMPUTED_VALUE"""),"sailatha.ravi@gmail.com")</f>
        <v>sailatha.ravi@gmail.com</v>
      </c>
      <c r="D125" s="55" t="str">
        <f>IFERROR(__xludf.DUMMYFUNCTION("""COMPUTED_VALUE"""),"Contacted")</f>
        <v>Contacted</v>
      </c>
      <c r="E125" s="93">
        <f>IFERROR(__xludf.DUMMYFUNCTION("""COMPUTED_VALUE"""),43692.0)</f>
        <v>43692</v>
      </c>
      <c r="F125" s="55" t="str">
        <f>IFERROR(__xludf.DUMMYFUNCTION("""COMPUTED_VALUE"""),"No")</f>
        <v>No</v>
      </c>
      <c r="G125" s="55" t="str">
        <f>IFERROR(__xludf.DUMMYFUNCTION("""COMPUTED_VALUE"""),"Gene Disease Validity")</f>
        <v>Gene Disease Validity</v>
      </c>
      <c r="H125" s="55" t="str">
        <f>IFERROR(__xludf.DUMMYFUNCTION("""COMPUTED_VALUE"""),"")</f>
        <v/>
      </c>
      <c r="I125" s="55"/>
      <c r="J125" s="55" t="str">
        <f>IFERROR(__xludf.DUMMYFUNCTION("""COMPUTED_VALUE"""),"")</f>
        <v/>
      </c>
      <c r="K125" s="55"/>
      <c r="L125" s="55" t="str">
        <f>IFERROR(__xludf.DUMMYFUNCTION("""COMPUTED_VALUE"""),"")</f>
        <v/>
      </c>
      <c r="M125" s="55"/>
      <c r="N125" s="55"/>
      <c r="O125" s="55"/>
      <c r="P125" s="55"/>
      <c r="Q125" s="55"/>
      <c r="R125" s="55"/>
      <c r="S125" s="55"/>
      <c r="T125" s="55"/>
      <c r="U125" s="55"/>
      <c r="V125" s="55"/>
      <c r="W125" s="55"/>
      <c r="X125" s="55"/>
      <c r="Y125" s="55"/>
      <c r="Z125" s="55"/>
      <c r="AA125" s="55"/>
      <c r="AB125" s="55"/>
      <c r="AC125" s="55"/>
      <c r="AD125" s="55"/>
    </row>
    <row r="126">
      <c r="A126" s="148">
        <f>IFERROR(__xludf.DUMMYFUNCTION("""COMPUTED_VALUE"""),43693.34301476852)</f>
        <v>43693.34301</v>
      </c>
      <c r="B126" s="149" t="str">
        <f>IFERROR(__xludf.DUMMYFUNCTION("""COMPUTED_VALUE"""),"FENGLI ZHANG")</f>
        <v>FENGLI ZHANG</v>
      </c>
      <c r="C126" s="149" t="str">
        <f>IFERROR(__xludf.DUMMYFUNCTION("""COMPUTED_VALUE"""),"fengli.zhang@slh.wisc.edu")</f>
        <v>fengli.zhang@slh.wisc.edu</v>
      </c>
      <c r="D126" s="55" t="str">
        <f>IFERROR(__xludf.DUMMYFUNCTION("""COMPUTED_VALUE"""),"Assigned")</f>
        <v>Assigned</v>
      </c>
      <c r="E126" s="94">
        <f>IFERROR(__xludf.DUMMYFUNCTION("""COMPUTED_VALUE"""),43719.0)</f>
        <v>43719</v>
      </c>
      <c r="F126" s="55" t="str">
        <f>IFERROR(__xludf.DUMMYFUNCTION("""COMPUTED_VALUE"""),"No")</f>
        <v>No</v>
      </c>
      <c r="G126" s="55" t="str">
        <f>IFERROR(__xludf.DUMMYFUNCTION("""COMPUTED_VALUE"""),"Somatic Cancer")</f>
        <v>Somatic Cancer</v>
      </c>
      <c r="H126" s="55" t="str">
        <f>IFERROR(__xludf.DUMMYFUNCTION("""COMPUTED_VALUE"""),"Hematological Cancer taskforce")</f>
        <v>Hematological Cancer taskforce</v>
      </c>
      <c r="I126" s="55"/>
      <c r="J126" s="55" t="str">
        <f>IFERROR(__xludf.DUMMYFUNCTION("""COMPUTED_VALUE"""),"")</f>
        <v/>
      </c>
      <c r="K126" s="55"/>
      <c r="L126" s="55" t="str">
        <f>IFERROR(__xludf.DUMMYFUNCTION("""COMPUTED_VALUE"""),"")</f>
        <v/>
      </c>
      <c r="M126" s="55"/>
      <c r="N126" s="55"/>
      <c r="O126" s="55"/>
      <c r="P126" s="55"/>
      <c r="Q126" s="55"/>
      <c r="R126" s="55"/>
      <c r="S126" s="55"/>
      <c r="T126" s="55"/>
      <c r="U126" s="55"/>
      <c r="V126" s="55"/>
      <c r="W126" s="55"/>
      <c r="X126" s="55"/>
      <c r="Y126" s="55"/>
      <c r="Z126" s="55"/>
      <c r="AA126" s="55"/>
      <c r="AB126" s="55"/>
      <c r="AC126" s="55"/>
      <c r="AD126" s="55"/>
    </row>
    <row r="127">
      <c r="A127" s="148">
        <f>IFERROR(__xludf.DUMMYFUNCTION("""COMPUTED_VALUE"""),43696.33861744213)</f>
        <v>43696.33862</v>
      </c>
      <c r="B127" s="149" t="str">
        <f>IFERROR(__xludf.DUMMYFUNCTION("""COMPUTED_VALUE"""),"Andrew Stergachis")</f>
        <v>Andrew Stergachis</v>
      </c>
      <c r="C127" s="149" t="str">
        <f>IFERROR(__xludf.DUMMYFUNCTION("""COMPUTED_VALUE"""),"astergachis@bwh.harvard.edu")</f>
        <v>astergachis@bwh.harvard.edu</v>
      </c>
      <c r="D127" s="55" t="str">
        <f>IFERROR(__xludf.DUMMYFUNCTION("""COMPUTED_VALUE"""),"Assigned")</f>
        <v>Assigned</v>
      </c>
      <c r="E127" s="93">
        <f>IFERROR(__xludf.DUMMYFUNCTION("""COMPUTED_VALUE"""),43678.0)</f>
        <v>43678</v>
      </c>
      <c r="F127" s="55" t="str">
        <f>IFERROR(__xludf.DUMMYFUNCTION("""COMPUTED_VALUE"""),"Yes")</f>
        <v>Yes</v>
      </c>
      <c r="G127" s="55" t="str">
        <f>IFERROR(__xludf.DUMMYFUNCTION("""COMPUTED_VALUE"""),"Actionability")</f>
        <v>Actionability</v>
      </c>
      <c r="H127" s="55" t="str">
        <f>IFERROR(__xludf.DUMMYFUNCTION("""COMPUTED_VALUE"""),"")</f>
        <v/>
      </c>
      <c r="I127" s="55"/>
      <c r="J127" s="55" t="str">
        <f>IFERROR(__xludf.DUMMYFUNCTION("""COMPUTED_VALUE"""),"")</f>
        <v/>
      </c>
      <c r="K127" s="55"/>
      <c r="L127" s="55" t="str">
        <f>IFERROR(__xludf.DUMMYFUNCTION("""COMPUTED_VALUE"""),"")</f>
        <v/>
      </c>
      <c r="M127" s="55"/>
      <c r="N127" s="55"/>
      <c r="O127" s="55"/>
      <c r="P127" s="55"/>
      <c r="Q127" s="55"/>
      <c r="R127" s="55"/>
      <c r="S127" s="55"/>
      <c r="T127" s="55"/>
      <c r="U127" s="55"/>
      <c r="V127" s="55"/>
      <c r="W127" s="55"/>
      <c r="X127" s="55"/>
      <c r="Y127" s="55"/>
      <c r="Z127" s="55"/>
      <c r="AA127" s="55"/>
      <c r="AB127" s="55"/>
      <c r="AC127" s="55"/>
      <c r="AD127" s="55"/>
    </row>
    <row r="128">
      <c r="A128" s="148">
        <f>IFERROR(__xludf.DUMMYFUNCTION("""COMPUTED_VALUE"""),43711.38992238426)</f>
        <v>43711.38992</v>
      </c>
      <c r="B128" s="149" t="str">
        <f>IFERROR(__xludf.DUMMYFUNCTION("""COMPUTED_VALUE"""),"Tomohiko Ai")</f>
        <v>Tomohiko Ai</v>
      </c>
      <c r="C128" s="149" t="str">
        <f>IFERROR(__xludf.DUMMYFUNCTION("""COMPUTED_VALUE"""),"Tomohiko.Ai@osumc.edu")</f>
        <v>Tomohiko.Ai@osumc.edu</v>
      </c>
      <c r="D128" s="55" t="str">
        <f>IFERROR(__xludf.DUMMYFUNCTION("""COMPUTED_VALUE"""),"Contacted")</f>
        <v>Contacted</v>
      </c>
      <c r="E128" s="94">
        <f>IFERROR(__xludf.DUMMYFUNCTION("""COMPUTED_VALUE"""),43626.0)</f>
        <v>43626</v>
      </c>
      <c r="F128" s="55" t="str">
        <f>IFERROR(__xludf.DUMMYFUNCTION("""COMPUTED_VALUE"""),"Yes")</f>
        <v>Yes</v>
      </c>
      <c r="G128" s="55" t="str">
        <f>IFERROR(__xludf.DUMMYFUNCTION("""COMPUTED_VALUE"""),"Variant Pathogenicity")</f>
        <v>Variant Pathogenicity</v>
      </c>
      <c r="H128" s="55" t="str">
        <f>IFERROR(__xludf.DUMMYFUNCTION("""COMPUTED_VALUE"""),"")</f>
        <v/>
      </c>
      <c r="I128" s="55"/>
      <c r="J128" s="55" t="str">
        <f>IFERROR(__xludf.DUMMYFUNCTION("""COMPUTED_VALUE"""),"")</f>
        <v/>
      </c>
      <c r="K128" s="55"/>
      <c r="L128" s="55" t="str">
        <f>IFERROR(__xludf.DUMMYFUNCTION("""COMPUTED_VALUE"""),"")</f>
        <v/>
      </c>
      <c r="M128" s="55"/>
      <c r="N128" s="55"/>
      <c r="O128" s="55"/>
      <c r="P128" s="55"/>
      <c r="Q128" s="55"/>
      <c r="R128" s="55"/>
      <c r="S128" s="55"/>
      <c r="T128" s="55"/>
      <c r="U128" s="55"/>
      <c r="V128" s="55"/>
      <c r="W128" s="55"/>
      <c r="X128" s="55"/>
      <c r="Y128" s="55"/>
      <c r="Z128" s="55"/>
      <c r="AA128" s="55"/>
      <c r="AB128" s="55"/>
      <c r="AC128" s="55"/>
      <c r="AD128" s="55"/>
    </row>
    <row r="129">
      <c r="A129" s="148">
        <f>IFERROR(__xludf.DUMMYFUNCTION("""COMPUTED_VALUE"""),43711.408003530094)</f>
        <v>43711.408</v>
      </c>
      <c r="B129" s="149" t="str">
        <f>IFERROR(__xludf.DUMMYFUNCTION("""COMPUTED_VALUE"""),"Coumarane Mani")</f>
        <v>Coumarane Mani</v>
      </c>
      <c r="C129" s="149" t="str">
        <f>IFERROR(__xludf.DUMMYFUNCTION("""COMPUTED_VALUE"""),"coumarane.mani@aruplab.com")</f>
        <v>coumarane.mani@aruplab.com</v>
      </c>
      <c r="D129" s="55" t="str">
        <f>IFERROR(__xludf.DUMMYFUNCTION("""COMPUTED_VALUE"""),"Contacted")</f>
        <v>Contacted</v>
      </c>
      <c r="E129" s="94">
        <f>IFERROR(__xludf.DUMMYFUNCTION("""COMPUTED_VALUE"""),43585.0)</f>
        <v>43585</v>
      </c>
      <c r="F129" s="55" t="str">
        <f>IFERROR(__xludf.DUMMYFUNCTION("""COMPUTED_VALUE"""),"No")</f>
        <v>No</v>
      </c>
      <c r="G129" s="55" t="str">
        <f>IFERROR(__xludf.DUMMYFUNCTION("""COMPUTED_VALUE"""),"Gene Disease Validity")</f>
        <v>Gene Disease Validity</v>
      </c>
      <c r="H129" s="55" t="str">
        <f>IFERROR(__xludf.DUMMYFUNCTION("""COMPUTED_VALUE"""),"")</f>
        <v/>
      </c>
      <c r="I129" s="55"/>
      <c r="J129" s="94">
        <f>IFERROR(__xludf.DUMMYFUNCTION("""COMPUTED_VALUE"""),43712.0)</f>
        <v>43712</v>
      </c>
      <c r="K129" s="55"/>
      <c r="L129" s="94" t="str">
        <f>IFERROR(__xludf.DUMMYFUNCTION("""COMPUTED_VALUE"""),"")</f>
        <v/>
      </c>
      <c r="M129" s="55"/>
      <c r="N129" s="55"/>
      <c r="O129" s="55"/>
      <c r="P129" s="55"/>
      <c r="Q129" s="55"/>
      <c r="R129" s="55"/>
      <c r="S129" s="55"/>
      <c r="T129" s="55"/>
      <c r="U129" s="55"/>
      <c r="V129" s="55"/>
      <c r="W129" s="55"/>
      <c r="X129" s="55"/>
      <c r="Y129" s="55"/>
      <c r="Z129" s="55"/>
      <c r="AA129" s="55"/>
      <c r="AB129" s="55"/>
      <c r="AC129" s="55"/>
      <c r="AD129" s="55"/>
    </row>
    <row r="130">
      <c r="A130" s="148">
        <f>IFERROR(__xludf.DUMMYFUNCTION("""COMPUTED_VALUE"""),43711.40908538195)</f>
        <v>43711.40909</v>
      </c>
      <c r="B130" s="149" t="str">
        <f>IFERROR(__xludf.DUMMYFUNCTION("""COMPUTED_VALUE"""),"Coumarane Mani")</f>
        <v>Coumarane Mani</v>
      </c>
      <c r="C130" s="149" t="str">
        <f>IFERROR(__xludf.DUMMYFUNCTION("""COMPUTED_VALUE"""),"coumarane.mani@aruplab.com")</f>
        <v>coumarane.mani@aruplab.com</v>
      </c>
      <c r="D130" s="55" t="str">
        <f>IFERROR(__xludf.DUMMYFUNCTION("""COMPUTED_VALUE"""),"Contacted")</f>
        <v>Contacted</v>
      </c>
      <c r="E130" s="94">
        <f>IFERROR(__xludf.DUMMYFUNCTION("""COMPUTED_VALUE"""),43605.0)</f>
        <v>43605</v>
      </c>
      <c r="F130" s="55" t="str">
        <f>IFERROR(__xludf.DUMMYFUNCTION("""COMPUTED_VALUE"""),"Yes")</f>
        <v>Yes</v>
      </c>
      <c r="G130" s="55" t="str">
        <f>IFERROR(__xludf.DUMMYFUNCTION("""COMPUTED_VALUE"""),"Variant Pathogenicity")</f>
        <v>Variant Pathogenicity</v>
      </c>
      <c r="H130" s="55" t="str">
        <f>IFERROR(__xludf.DUMMYFUNCTION("""COMPUTED_VALUE"""),"")</f>
        <v/>
      </c>
      <c r="I130" s="55"/>
      <c r="J130" s="55" t="str">
        <f>IFERROR(__xludf.DUMMYFUNCTION("""COMPUTED_VALUE"""),"")</f>
        <v/>
      </c>
      <c r="K130" s="55"/>
      <c r="L130" s="55" t="str">
        <f>IFERROR(__xludf.DUMMYFUNCTION("""COMPUTED_VALUE"""),"")</f>
        <v/>
      </c>
      <c r="M130" s="55"/>
      <c r="N130" s="55"/>
      <c r="O130" s="55"/>
      <c r="P130" s="55"/>
      <c r="Q130" s="55"/>
      <c r="R130" s="55"/>
      <c r="S130" s="55"/>
      <c r="T130" s="55"/>
      <c r="U130" s="55"/>
      <c r="V130" s="55"/>
      <c r="W130" s="55"/>
      <c r="X130" s="55"/>
      <c r="Y130" s="55"/>
      <c r="Z130" s="55"/>
      <c r="AA130" s="55"/>
      <c r="AB130" s="55"/>
      <c r="AC130" s="55"/>
      <c r="AD130" s="55"/>
    </row>
    <row r="131">
      <c r="A131" s="148">
        <f>IFERROR(__xludf.DUMMYFUNCTION("""COMPUTED_VALUE"""),43711.41408498842)</f>
        <v>43711.41408</v>
      </c>
      <c r="B131" s="149" t="str">
        <f>IFERROR(__xludf.DUMMYFUNCTION("""COMPUTED_VALUE"""),"Diogo Ventura Lovato")</f>
        <v>Diogo Ventura Lovato</v>
      </c>
      <c r="C131" s="149" t="str">
        <f>IFERROR(__xludf.DUMMYFUNCTION("""COMPUTED_VALUE"""),"diogo.v.lovato@gmail.com")</f>
        <v>diogo.v.lovato@gmail.com</v>
      </c>
      <c r="D131" s="55" t="str">
        <f>IFERROR(__xludf.DUMMYFUNCTION("""COMPUTED_VALUE"""),"Contacted")</f>
        <v>Contacted</v>
      </c>
      <c r="E131" s="94">
        <f>IFERROR(__xludf.DUMMYFUNCTION("""COMPUTED_VALUE"""),47258.0)</f>
        <v>47258</v>
      </c>
      <c r="F131" s="55" t="str">
        <f>IFERROR(__xludf.DUMMYFUNCTION("""COMPUTED_VALUE"""),"Yes")</f>
        <v>Yes</v>
      </c>
      <c r="G131" s="55" t="str">
        <f>IFERROR(__xludf.DUMMYFUNCTION("""COMPUTED_VALUE"""),"Variant Pathogenicity")</f>
        <v>Variant Pathogenicity</v>
      </c>
      <c r="H131" s="55" t="str">
        <f>IFERROR(__xludf.DUMMYFUNCTION("""COMPUTED_VALUE"""),"")</f>
        <v/>
      </c>
      <c r="I131" s="55"/>
      <c r="J131" s="55" t="str">
        <f>IFERROR(__xludf.DUMMYFUNCTION("""COMPUTED_VALUE"""),"")</f>
        <v/>
      </c>
      <c r="K131" s="55"/>
      <c r="L131" s="55" t="str">
        <f>IFERROR(__xludf.DUMMYFUNCTION("""COMPUTED_VALUE"""),"")</f>
        <v/>
      </c>
      <c r="M131" s="55"/>
      <c r="N131" s="55"/>
      <c r="O131" s="55"/>
      <c r="P131" s="55"/>
      <c r="Q131" s="55"/>
      <c r="R131" s="55"/>
      <c r="S131" s="55"/>
      <c r="T131" s="55"/>
      <c r="U131" s="55"/>
      <c r="V131" s="55"/>
      <c r="W131" s="55"/>
      <c r="X131" s="55"/>
      <c r="Y131" s="55"/>
      <c r="Z131" s="55"/>
      <c r="AA131" s="55"/>
      <c r="AB131" s="55"/>
      <c r="AC131" s="55"/>
      <c r="AD131" s="55"/>
    </row>
    <row r="132">
      <c r="A132" s="148">
        <f>IFERROR(__xludf.DUMMYFUNCTION("""COMPUTED_VALUE"""),43711.41696469907)</f>
        <v>43711.41696</v>
      </c>
      <c r="B132" s="149" t="str">
        <f>IFERROR(__xludf.DUMMYFUNCTION("""COMPUTED_VALUE"""),"Elaine Spector")</f>
        <v>Elaine Spector</v>
      </c>
      <c r="C132" s="149" t="str">
        <f>IFERROR(__xludf.DUMMYFUNCTION("""COMPUTED_VALUE"""),"elaine.spector@childrenscolorado.org")</f>
        <v>elaine.spector@childrenscolorado.org</v>
      </c>
      <c r="D132" s="55" t="str">
        <f>IFERROR(__xludf.DUMMYFUNCTION("""COMPUTED_VALUE"""),"Contacted")</f>
        <v>Contacted</v>
      </c>
      <c r="E132" s="94">
        <f>IFERROR(__xludf.DUMMYFUNCTION("""COMPUTED_VALUE"""),43626.0)</f>
        <v>43626</v>
      </c>
      <c r="F132" s="55" t="str">
        <f>IFERROR(__xludf.DUMMYFUNCTION("""COMPUTED_VALUE"""),"No")</f>
        <v>No</v>
      </c>
      <c r="G132" s="55" t="str">
        <f>IFERROR(__xludf.DUMMYFUNCTION("""COMPUTED_VALUE"""),"Variant Pathogenicity")</f>
        <v>Variant Pathogenicity</v>
      </c>
      <c r="H132" s="55" t="str">
        <f>IFERROR(__xludf.DUMMYFUNCTION("""COMPUTED_VALUE"""),"")</f>
        <v/>
      </c>
      <c r="I132" s="55"/>
      <c r="J132" s="55" t="str">
        <f>IFERROR(__xludf.DUMMYFUNCTION("""COMPUTED_VALUE"""),"")</f>
        <v/>
      </c>
      <c r="K132" s="55"/>
      <c r="L132" s="55" t="str">
        <f>IFERROR(__xludf.DUMMYFUNCTION("""COMPUTED_VALUE"""),"")</f>
        <v/>
      </c>
      <c r="M132" s="55"/>
      <c r="N132" s="55"/>
      <c r="O132" s="55"/>
      <c r="P132" s="55"/>
      <c r="Q132" s="55"/>
      <c r="R132" s="55"/>
      <c r="S132" s="55"/>
      <c r="T132" s="55"/>
      <c r="U132" s="55"/>
      <c r="V132" s="55"/>
      <c r="W132" s="55"/>
      <c r="X132" s="55"/>
      <c r="Y132" s="55"/>
      <c r="Z132" s="55"/>
      <c r="AA132" s="55"/>
      <c r="AB132" s="55"/>
      <c r="AC132" s="55"/>
      <c r="AD132" s="55"/>
    </row>
    <row r="133">
      <c r="A133" s="148">
        <f>IFERROR(__xludf.DUMMYFUNCTION("""COMPUTED_VALUE"""),43711.422284594904)</f>
        <v>43711.42228</v>
      </c>
      <c r="B133" s="149" t="str">
        <f>IFERROR(__xludf.DUMMYFUNCTION("""COMPUTED_VALUE"""),"Laura Fuqua")</f>
        <v>Laura Fuqua</v>
      </c>
      <c r="C133" s="149" t="str">
        <f>IFERROR(__xludf.DUMMYFUNCTION("""COMPUTED_VALUE"""),"laura.fuqua@gmail.com")</f>
        <v>laura.fuqua@gmail.com</v>
      </c>
      <c r="D133" s="55" t="str">
        <f>IFERROR(__xludf.DUMMYFUNCTION("""COMPUTED_VALUE"""),"Contacted")</f>
        <v>Contacted</v>
      </c>
      <c r="E133" s="94">
        <f>IFERROR(__xludf.DUMMYFUNCTION("""COMPUTED_VALUE"""),43608.0)</f>
        <v>43608</v>
      </c>
      <c r="F133" s="55" t="str">
        <f>IFERROR(__xludf.DUMMYFUNCTION("""COMPUTED_VALUE"""),"Yes")</f>
        <v>Yes</v>
      </c>
      <c r="G133" s="55" t="str">
        <f>IFERROR(__xludf.DUMMYFUNCTION("""COMPUTED_VALUE"""),"Variant Pathogenicity")</f>
        <v>Variant Pathogenicity</v>
      </c>
      <c r="H133" s="55" t="str">
        <f>IFERROR(__xludf.DUMMYFUNCTION("""COMPUTED_VALUE"""),"TP53")</f>
        <v>TP53</v>
      </c>
      <c r="I133" s="55"/>
      <c r="J133" s="94">
        <f>IFERROR(__xludf.DUMMYFUNCTION("""COMPUTED_VALUE"""),43712.0)</f>
        <v>43712</v>
      </c>
      <c r="K133" s="55"/>
      <c r="L133" s="94" t="str">
        <f>IFERROR(__xludf.DUMMYFUNCTION("""COMPUTED_VALUE"""),"")</f>
        <v/>
      </c>
      <c r="M133" s="55"/>
      <c r="N133" s="55"/>
      <c r="O133" s="55"/>
      <c r="P133" s="55"/>
      <c r="Q133" s="55"/>
      <c r="R133" s="55"/>
      <c r="S133" s="55"/>
      <c r="T133" s="55"/>
      <c r="U133" s="55"/>
      <c r="V133" s="55"/>
      <c r="W133" s="55"/>
      <c r="X133" s="55"/>
      <c r="Y133" s="55"/>
      <c r="Z133" s="55"/>
      <c r="AA133" s="55"/>
      <c r="AB133" s="55"/>
      <c r="AC133" s="55"/>
      <c r="AD133" s="55"/>
    </row>
    <row r="134">
      <c r="A134" s="148">
        <f>IFERROR(__xludf.DUMMYFUNCTION("""COMPUTED_VALUE"""),43717.72172622685)</f>
        <v>43717.72173</v>
      </c>
      <c r="B134" s="149" t="str">
        <f>IFERROR(__xludf.DUMMYFUNCTION("""COMPUTED_VALUE"""),"Xiaoting Ma")</f>
        <v>Xiaoting Ma</v>
      </c>
      <c r="C134" s="149" t="str">
        <f>IFERROR(__xludf.DUMMYFUNCTION("""COMPUTED_VALUE"""),"Xiaoting.Ma@childrens.harvard.edu")</f>
        <v>Xiaoting.Ma@childrens.harvard.edu</v>
      </c>
      <c r="D134" s="55" t="str">
        <f>IFERROR(__xludf.DUMMYFUNCTION("""COMPUTED_VALUE"""),"Contacted")</f>
        <v>Contacted</v>
      </c>
      <c r="E134" s="105">
        <f>IFERROR(__xludf.DUMMYFUNCTION("""COMPUTED_VALUE"""),43846.0)</f>
        <v>43846</v>
      </c>
      <c r="F134" s="55" t="str">
        <f>IFERROR(__xludf.DUMMYFUNCTION("""COMPUTED_VALUE"""),"No")</f>
        <v>No</v>
      </c>
      <c r="G134" s="55" t="str">
        <f>IFERROR(__xludf.DUMMYFUNCTION("""COMPUTED_VALUE"""),"Gene Disease Validity")</f>
        <v>Gene Disease Validity</v>
      </c>
      <c r="H134" s="55" t="str">
        <f>IFERROR(__xludf.DUMMYFUNCTION("""COMPUTED_VALUE"""),"")</f>
        <v/>
      </c>
      <c r="I134" s="55"/>
      <c r="J134" s="55" t="str">
        <f>IFERROR(__xludf.DUMMYFUNCTION("""COMPUTED_VALUE"""),"")</f>
        <v/>
      </c>
      <c r="K134" s="55"/>
      <c r="L134" s="55" t="str">
        <f>IFERROR(__xludf.DUMMYFUNCTION("""COMPUTED_VALUE"""),"")</f>
        <v/>
      </c>
      <c r="M134" s="55"/>
      <c r="N134" s="55"/>
      <c r="O134" s="55"/>
      <c r="P134" s="55"/>
      <c r="Q134" s="55"/>
      <c r="R134" s="55"/>
      <c r="S134" s="55"/>
      <c r="T134" s="55"/>
      <c r="U134" s="55"/>
      <c r="V134" s="55"/>
      <c r="W134" s="55"/>
      <c r="X134" s="55"/>
      <c r="Y134" s="55"/>
      <c r="Z134" s="55"/>
      <c r="AA134" s="55"/>
      <c r="AB134" s="55"/>
      <c r="AC134" s="55"/>
      <c r="AD134" s="55"/>
    </row>
    <row r="135">
      <c r="A135" s="148">
        <f>IFERROR(__xludf.DUMMYFUNCTION("""COMPUTED_VALUE"""),43731.70247251157)</f>
        <v>43731.70247</v>
      </c>
      <c r="B135" s="149" t="str">
        <f>IFERROR(__xludf.DUMMYFUNCTION("""COMPUTED_VALUE"""),"Julie Kim ")</f>
        <v>Julie Kim </v>
      </c>
      <c r="C135" s="149" t="str">
        <f>IFERROR(__xludf.DUMMYFUNCTION("""COMPUTED_VALUE"""),"serin.kim@nih.gov")</f>
        <v>serin.kim@nih.gov</v>
      </c>
      <c r="D135" s="55" t="str">
        <f>IFERROR(__xludf.DUMMYFUNCTION("""COMPUTED_VALUE"""),"Contacted")</f>
        <v>Contacted</v>
      </c>
      <c r="E135" s="105">
        <f>IFERROR(__xludf.DUMMYFUNCTION("""COMPUTED_VALUE"""),43846.0)</f>
        <v>43846</v>
      </c>
      <c r="F135" s="55" t="str">
        <f>IFERROR(__xludf.DUMMYFUNCTION("""COMPUTED_VALUE"""),"Yes")</f>
        <v>Yes</v>
      </c>
      <c r="G135" s="55" t="str">
        <f>IFERROR(__xludf.DUMMYFUNCTION("""COMPUTED_VALUE"""),"Gene Disease Validity")</f>
        <v>Gene Disease Validity</v>
      </c>
      <c r="H135" s="55" t="str">
        <f>IFERROR(__xludf.DUMMYFUNCTION("""COMPUTED_VALUE"""),"")</f>
        <v/>
      </c>
      <c r="I135" s="55"/>
      <c r="J135" s="55" t="str">
        <f>IFERROR(__xludf.DUMMYFUNCTION("""COMPUTED_VALUE"""),"")</f>
        <v/>
      </c>
      <c r="K135" s="55"/>
      <c r="L135" s="55" t="str">
        <f>IFERROR(__xludf.DUMMYFUNCTION("""COMPUTED_VALUE"""),"")</f>
        <v/>
      </c>
      <c r="M135" s="55"/>
      <c r="N135" s="55"/>
      <c r="O135" s="55"/>
      <c r="P135" s="55"/>
      <c r="Q135" s="55"/>
      <c r="R135" s="55"/>
      <c r="S135" s="55"/>
      <c r="T135" s="55"/>
      <c r="U135" s="55"/>
      <c r="V135" s="55"/>
      <c r="W135" s="55"/>
      <c r="X135" s="55"/>
      <c r="Y135" s="55"/>
      <c r="Z135" s="55"/>
      <c r="AA135" s="55"/>
      <c r="AB135" s="55"/>
      <c r="AC135" s="55"/>
      <c r="AD135" s="55"/>
    </row>
    <row r="136">
      <c r="A136" s="148">
        <f>IFERROR(__xludf.DUMMYFUNCTION("""COMPUTED_VALUE"""),43747.54224105324)</f>
        <v>43747.54224</v>
      </c>
      <c r="B136" s="149" t="str">
        <f>IFERROR(__xludf.DUMMYFUNCTION("""COMPUTED_VALUE"""),"Ikeoluwa Osei-Owusu")</f>
        <v>Ikeoluwa Osei-Owusu</v>
      </c>
      <c r="C136" s="149" t="str">
        <f>IFERROR(__xludf.DUMMYFUNCTION("""COMPUTED_VALUE"""),"ikeoluwa@jhmi.edu")</f>
        <v>ikeoluwa@jhmi.edu</v>
      </c>
      <c r="D136" s="55" t="str">
        <f>IFERROR(__xludf.DUMMYFUNCTION("""COMPUTED_VALUE"""),"Contacted")</f>
        <v>Contacted</v>
      </c>
      <c r="E136" s="105">
        <f>IFERROR(__xludf.DUMMYFUNCTION("""COMPUTED_VALUE"""),43846.0)</f>
        <v>43846</v>
      </c>
      <c r="F136" s="55" t="str">
        <f>IFERROR(__xludf.DUMMYFUNCTION("""COMPUTED_VALUE"""),"No")</f>
        <v>No</v>
      </c>
      <c r="G136" s="55" t="str">
        <f>IFERROR(__xludf.DUMMYFUNCTION("""COMPUTED_VALUE"""),"Gene Disease Validity")</f>
        <v>Gene Disease Validity</v>
      </c>
      <c r="H136" s="55" t="str">
        <f>IFERROR(__xludf.DUMMYFUNCTION("""COMPUTED_VALUE"""),"")</f>
        <v/>
      </c>
      <c r="I136" s="55"/>
      <c r="J136" s="55" t="str">
        <f>IFERROR(__xludf.DUMMYFUNCTION("""COMPUTED_VALUE"""),"")</f>
        <v/>
      </c>
      <c r="K136" s="55"/>
      <c r="L136" s="55" t="str">
        <f>IFERROR(__xludf.DUMMYFUNCTION("""COMPUTED_VALUE"""),"")</f>
        <v/>
      </c>
      <c r="M136" s="55"/>
      <c r="N136" s="55"/>
      <c r="O136" s="55"/>
      <c r="P136" s="55"/>
      <c r="Q136" s="55"/>
      <c r="R136" s="55"/>
      <c r="S136" s="55"/>
      <c r="T136" s="55"/>
      <c r="U136" s="55"/>
      <c r="V136" s="55"/>
      <c r="W136" s="55"/>
      <c r="X136" s="55"/>
      <c r="Y136" s="55"/>
      <c r="Z136" s="55"/>
      <c r="AA136" s="55"/>
      <c r="AB136" s="55"/>
      <c r="AC136" s="55"/>
      <c r="AD136" s="55"/>
    </row>
    <row r="137">
      <c r="A137" s="148">
        <f>IFERROR(__xludf.DUMMYFUNCTION("""COMPUTED_VALUE"""),43758.702828981484)</f>
        <v>43758.70283</v>
      </c>
      <c r="B137" s="149" t="str">
        <f>IFERROR(__xludf.DUMMYFUNCTION("""COMPUTED_VALUE"""),"Beth Stronach")</f>
        <v>Beth Stronach</v>
      </c>
      <c r="C137" s="149" t="str">
        <f>IFERROR(__xludf.DUMMYFUNCTION("""COMPUTED_VALUE"""),"stronach@pitt.edu")</f>
        <v>stronach@pitt.edu</v>
      </c>
      <c r="D137" s="55" t="str">
        <f>IFERROR(__xludf.DUMMYFUNCTION("""COMPUTED_VALUE"""),"Contacted")</f>
        <v>Contacted</v>
      </c>
      <c r="E137" s="105">
        <f>IFERROR(__xludf.DUMMYFUNCTION("""COMPUTED_VALUE"""),43846.0)</f>
        <v>43846</v>
      </c>
      <c r="F137" s="55" t="str">
        <f>IFERROR(__xludf.DUMMYFUNCTION("""COMPUTED_VALUE"""),"No")</f>
        <v>No</v>
      </c>
      <c r="G137" s="55" t="str">
        <f>IFERROR(__xludf.DUMMYFUNCTION("""COMPUTED_VALUE"""),"Gene Disease Validity")</f>
        <v>Gene Disease Validity</v>
      </c>
      <c r="H137" s="55" t="str">
        <f>IFERROR(__xludf.DUMMYFUNCTION("""COMPUTED_VALUE"""),"")</f>
        <v/>
      </c>
      <c r="I137" s="55"/>
      <c r="J137" s="55" t="str">
        <f>IFERROR(__xludf.DUMMYFUNCTION("""COMPUTED_VALUE"""),"")</f>
        <v/>
      </c>
      <c r="K137" s="55"/>
      <c r="L137" s="55" t="str">
        <f>IFERROR(__xludf.DUMMYFUNCTION("""COMPUTED_VALUE"""),"")</f>
        <v/>
      </c>
      <c r="M137" s="55"/>
      <c r="N137" s="55"/>
      <c r="O137" s="55"/>
      <c r="P137" s="55"/>
      <c r="Q137" s="55"/>
      <c r="R137" s="55"/>
      <c r="S137" s="55"/>
      <c r="T137" s="55"/>
      <c r="U137" s="55"/>
      <c r="V137" s="55"/>
      <c r="W137" s="55"/>
      <c r="X137" s="55"/>
      <c r="Y137" s="55"/>
      <c r="Z137" s="55"/>
      <c r="AA137" s="55"/>
      <c r="AB137" s="55"/>
      <c r="AC137" s="55"/>
      <c r="AD137" s="55"/>
    </row>
    <row r="138">
      <c r="A138" s="148">
        <f>IFERROR(__xludf.DUMMYFUNCTION("""COMPUTED_VALUE"""),43778.843209189814)</f>
        <v>43778.84321</v>
      </c>
      <c r="B138" s="149" t="str">
        <f>IFERROR(__xludf.DUMMYFUNCTION("""COMPUTED_VALUE"""),"Larissa Waldman")</f>
        <v>Larissa Waldman</v>
      </c>
      <c r="C138" s="149" t="str">
        <f>IFERROR(__xludf.DUMMYFUNCTION("""COMPUTED_VALUE"""),"larissa.waldman@gmail.com")</f>
        <v>larissa.waldman@gmail.com</v>
      </c>
      <c r="D138" s="55" t="str">
        <f>IFERROR(__xludf.DUMMYFUNCTION("""COMPUTED_VALUE"""),"Assigned")</f>
        <v>Assigned</v>
      </c>
      <c r="E138" s="93">
        <f>IFERROR(__xludf.DUMMYFUNCTION("""COMPUTED_VALUE"""),43859.0)</f>
        <v>43859</v>
      </c>
      <c r="F138" s="55" t="str">
        <f>IFERROR(__xludf.DUMMYFUNCTION("""COMPUTED_VALUE"""),"No")</f>
        <v>No</v>
      </c>
      <c r="G138" s="55" t="str">
        <f>IFERROR(__xludf.DUMMYFUNCTION("""COMPUTED_VALUE"""),"Actionability")</f>
        <v>Actionability</v>
      </c>
      <c r="H138" s="55" t="str">
        <f>IFERROR(__xludf.DUMMYFUNCTION("""COMPUTED_VALUE"""),"")</f>
        <v/>
      </c>
      <c r="I138" s="55"/>
      <c r="J138" s="55" t="str">
        <f>IFERROR(__xludf.DUMMYFUNCTION("""COMPUTED_VALUE"""),"")</f>
        <v/>
      </c>
      <c r="K138" s="55"/>
      <c r="L138" s="55" t="str">
        <f>IFERROR(__xludf.DUMMYFUNCTION("""COMPUTED_VALUE"""),"")</f>
        <v/>
      </c>
      <c r="M138" s="55"/>
      <c r="N138" s="55"/>
      <c r="O138" s="55"/>
      <c r="P138" s="55"/>
      <c r="Q138" s="55"/>
      <c r="R138" s="55"/>
      <c r="S138" s="55"/>
      <c r="T138" s="55"/>
      <c r="U138" s="55"/>
      <c r="V138" s="55"/>
      <c r="W138" s="55"/>
      <c r="X138" s="55"/>
      <c r="Y138" s="55"/>
      <c r="Z138" s="55"/>
      <c r="AA138" s="55"/>
      <c r="AB138" s="55"/>
      <c r="AC138" s="55"/>
      <c r="AD138" s="55"/>
    </row>
    <row r="139">
      <c r="A139" s="148">
        <f>IFERROR(__xludf.DUMMYFUNCTION("""COMPUTED_VALUE"""),43780.37467388889)</f>
        <v>43780.37467</v>
      </c>
      <c r="B139" s="149" t="str">
        <f>IFERROR(__xludf.DUMMYFUNCTION("""COMPUTED_VALUE"""),"Mark Shlapobersky")</f>
        <v>Mark Shlapobersky</v>
      </c>
      <c r="C139" s="149" t="str">
        <f>IFERROR(__xludf.DUMMYFUNCTION("""COMPUTED_VALUE"""),"marks@bmc.gov.il")</f>
        <v>marks@bmc.gov.il</v>
      </c>
      <c r="D139" s="55" t="str">
        <f>IFERROR(__xludf.DUMMYFUNCTION("""COMPUTED_VALUE"""),"Assigned")</f>
        <v>Assigned</v>
      </c>
      <c r="E139" s="93">
        <f>IFERROR(__xludf.DUMMYFUNCTION("""COMPUTED_VALUE"""),43859.0)</f>
        <v>43859</v>
      </c>
      <c r="F139" s="55" t="str">
        <f>IFERROR(__xludf.DUMMYFUNCTION("""COMPUTED_VALUE"""),"No")</f>
        <v>No</v>
      </c>
      <c r="G139" s="55" t="str">
        <f>IFERROR(__xludf.DUMMYFUNCTION("""COMPUTED_VALUE"""),"Actionability")</f>
        <v>Actionability</v>
      </c>
      <c r="H139" s="55" t="str">
        <f>IFERROR(__xludf.DUMMYFUNCTION("""COMPUTED_VALUE"""),"")</f>
        <v/>
      </c>
      <c r="I139" s="55"/>
      <c r="J139" s="55" t="str">
        <f>IFERROR(__xludf.DUMMYFUNCTION("""COMPUTED_VALUE"""),"")</f>
        <v/>
      </c>
      <c r="K139" s="55"/>
      <c r="L139" s="55" t="str">
        <f>IFERROR(__xludf.DUMMYFUNCTION("""COMPUTED_VALUE"""),"")</f>
        <v/>
      </c>
      <c r="M139" s="55"/>
      <c r="N139" s="55"/>
      <c r="O139" s="55"/>
      <c r="P139" s="55"/>
      <c r="Q139" s="55"/>
      <c r="R139" s="55"/>
      <c r="S139" s="55"/>
      <c r="T139" s="55"/>
      <c r="U139" s="55"/>
      <c r="V139" s="55"/>
      <c r="W139" s="55"/>
      <c r="X139" s="55"/>
      <c r="Y139" s="55"/>
      <c r="Z139" s="55"/>
      <c r="AA139" s="55"/>
      <c r="AB139" s="55"/>
      <c r="AC139" s="55"/>
      <c r="AD139" s="55"/>
    </row>
    <row r="140">
      <c r="A140" s="148">
        <f>IFERROR(__xludf.DUMMYFUNCTION("""COMPUTED_VALUE"""),43782.569134212965)</f>
        <v>43782.56913</v>
      </c>
      <c r="B140" s="149" t="str">
        <f>IFERROR(__xludf.DUMMYFUNCTION("""COMPUTED_VALUE"""),"Marie-Luise Brennan")</f>
        <v>Marie-Luise Brennan</v>
      </c>
      <c r="C140" s="149" t="str">
        <f>IFERROR(__xludf.DUMMYFUNCTION("""COMPUTED_VALUE"""),"mbrennan@acmg.net")</f>
        <v>mbrennan@acmg.net</v>
      </c>
      <c r="D140" s="55" t="str">
        <f>IFERROR(__xludf.DUMMYFUNCTION("""COMPUTED_VALUE"""),"Contacted")</f>
        <v>Contacted</v>
      </c>
      <c r="E140" s="105">
        <f>IFERROR(__xludf.DUMMYFUNCTION("""COMPUTED_VALUE"""),43846.0)</f>
        <v>43846</v>
      </c>
      <c r="F140" s="55" t="str">
        <f>IFERROR(__xludf.DUMMYFUNCTION("""COMPUTED_VALUE"""),"Yes")</f>
        <v>Yes</v>
      </c>
      <c r="G140" s="55" t="str">
        <f>IFERROR(__xludf.DUMMYFUNCTION("""COMPUTED_VALUE"""),"Gene Disease Validity")</f>
        <v>Gene Disease Validity</v>
      </c>
      <c r="H140" s="55" t="str">
        <f>IFERROR(__xludf.DUMMYFUNCTION("""COMPUTED_VALUE"""),"")</f>
        <v/>
      </c>
      <c r="I140" s="55"/>
      <c r="J140" s="55" t="str">
        <f>IFERROR(__xludf.DUMMYFUNCTION("""COMPUTED_VALUE"""),"")</f>
        <v/>
      </c>
      <c r="K140" s="55"/>
      <c r="L140" s="55" t="str">
        <f>IFERROR(__xludf.DUMMYFUNCTION("""COMPUTED_VALUE"""),"")</f>
        <v/>
      </c>
      <c r="M140" s="55"/>
      <c r="N140" s="55"/>
      <c r="O140" s="55"/>
      <c r="P140" s="55"/>
      <c r="Q140" s="55"/>
      <c r="R140" s="55"/>
      <c r="S140" s="55"/>
      <c r="T140" s="55"/>
      <c r="U140" s="55"/>
      <c r="V140" s="55"/>
      <c r="W140" s="55"/>
      <c r="X140" s="55"/>
      <c r="Y140" s="55"/>
      <c r="Z140" s="55"/>
      <c r="AA140" s="55"/>
      <c r="AB140" s="55"/>
      <c r="AC140" s="55"/>
      <c r="AD140" s="55"/>
    </row>
    <row r="141">
      <c r="A141" s="148">
        <f>IFERROR(__xludf.DUMMYFUNCTION("""COMPUTED_VALUE"""),43794.31350851851)</f>
        <v>43794.31351</v>
      </c>
      <c r="B141" s="149" t="str">
        <f>IFERROR(__xludf.DUMMYFUNCTION("""COMPUTED_VALUE"""),"Adriana Bastos Carvalho")</f>
        <v>Adriana Bastos Carvalho</v>
      </c>
      <c r="C141" s="149" t="str">
        <f>IFERROR(__xludf.DUMMYFUNCTION("""COMPUTED_VALUE"""),"carvalhoab@biof.ufrj.br")</f>
        <v>carvalhoab@biof.ufrj.br</v>
      </c>
      <c r="D141" s="55" t="str">
        <f>IFERROR(__xludf.DUMMYFUNCTION("""COMPUTED_VALUE"""),"Contacted")</f>
        <v>Contacted</v>
      </c>
      <c r="E141" s="105">
        <f>IFERROR(__xludf.DUMMYFUNCTION("""COMPUTED_VALUE"""),43846.0)</f>
        <v>43846</v>
      </c>
      <c r="F141" s="55" t="str">
        <f>IFERROR(__xludf.DUMMYFUNCTION("""COMPUTED_VALUE"""),"No")</f>
        <v>No</v>
      </c>
      <c r="G141" s="55" t="str">
        <f>IFERROR(__xludf.DUMMYFUNCTION("""COMPUTED_VALUE"""),"Gene Disease Validity")</f>
        <v>Gene Disease Validity</v>
      </c>
      <c r="H141" s="55" t="str">
        <f>IFERROR(__xludf.DUMMYFUNCTION("""COMPUTED_VALUE"""),"")</f>
        <v/>
      </c>
      <c r="I141" s="55"/>
      <c r="J141" s="55" t="str">
        <f>IFERROR(__xludf.DUMMYFUNCTION("""COMPUTED_VALUE"""),"")</f>
        <v/>
      </c>
      <c r="K141" s="55"/>
      <c r="L141" s="55" t="str">
        <f>IFERROR(__xludf.DUMMYFUNCTION("""COMPUTED_VALUE"""),"")</f>
        <v/>
      </c>
      <c r="M141" s="55"/>
      <c r="N141" s="55"/>
      <c r="O141" s="55"/>
      <c r="P141" s="55"/>
      <c r="Q141" s="55"/>
      <c r="R141" s="55"/>
      <c r="S141" s="55"/>
      <c r="T141" s="55"/>
      <c r="U141" s="55"/>
      <c r="V141" s="55"/>
      <c r="W141" s="55"/>
      <c r="X141" s="55"/>
      <c r="Y141" s="55"/>
      <c r="Z141" s="55"/>
      <c r="AA141" s="55"/>
      <c r="AB141" s="55"/>
      <c r="AC141" s="55"/>
      <c r="AD141" s="55"/>
    </row>
    <row r="142">
      <c r="A142" s="148">
        <f>IFERROR(__xludf.DUMMYFUNCTION("""COMPUTED_VALUE"""),43810.62789938657)</f>
        <v>43810.6279</v>
      </c>
      <c r="B142" s="149" t="str">
        <f>IFERROR(__xludf.DUMMYFUNCTION("""COMPUTED_VALUE"""),"Tess Levy")</f>
        <v>Tess Levy</v>
      </c>
      <c r="C142" s="149" t="str">
        <f>IFERROR(__xludf.DUMMYFUNCTION("""COMPUTED_VALUE"""),"tess.levy@mssm.edu")</f>
        <v>tess.levy@mssm.edu</v>
      </c>
      <c r="D142" s="55" t="str">
        <f>IFERROR(__xludf.DUMMYFUNCTION("""COMPUTED_VALUE"""),"Contacted")</f>
        <v>Contacted</v>
      </c>
      <c r="E142" s="105">
        <f>IFERROR(__xludf.DUMMYFUNCTION("""COMPUTED_VALUE"""),43846.0)</f>
        <v>43846</v>
      </c>
      <c r="F142" s="55" t="str">
        <f>IFERROR(__xludf.DUMMYFUNCTION("""COMPUTED_VALUE"""),"No")</f>
        <v>No</v>
      </c>
      <c r="G142" s="55" t="str">
        <f>IFERROR(__xludf.DUMMYFUNCTION("""COMPUTED_VALUE"""),"Gene Disease Validity")</f>
        <v>Gene Disease Validity</v>
      </c>
      <c r="H142" s="55" t="str">
        <f>IFERROR(__xludf.DUMMYFUNCTION("""COMPUTED_VALUE"""),"")</f>
        <v/>
      </c>
      <c r="I142" s="55"/>
      <c r="J142" s="55" t="str">
        <f>IFERROR(__xludf.DUMMYFUNCTION("""COMPUTED_VALUE"""),"")</f>
        <v/>
      </c>
      <c r="K142" s="55"/>
      <c r="L142" s="55" t="str">
        <f>IFERROR(__xludf.DUMMYFUNCTION("""COMPUTED_VALUE"""),"")</f>
        <v/>
      </c>
      <c r="M142" s="55"/>
      <c r="N142" s="55"/>
      <c r="O142" s="55"/>
      <c r="P142" s="55"/>
      <c r="Q142" s="55"/>
      <c r="R142" s="55"/>
      <c r="S142" s="55"/>
      <c r="T142" s="55"/>
      <c r="U142" s="55"/>
      <c r="V142" s="55"/>
      <c r="W142" s="55"/>
      <c r="X142" s="55"/>
      <c r="Y142" s="55"/>
      <c r="Z142" s="55"/>
      <c r="AA142" s="55"/>
      <c r="AB142" s="55"/>
      <c r="AC142" s="55"/>
      <c r="AD142" s="55"/>
    </row>
    <row r="143">
      <c r="A143" s="148">
        <f>IFERROR(__xludf.DUMMYFUNCTION("""COMPUTED_VALUE"""),43811.14995009259)</f>
        <v>43811.14995</v>
      </c>
      <c r="B143" s="149" t="str">
        <f>IFERROR(__xludf.DUMMYFUNCTION("""COMPUTED_VALUE"""),"Xiaoyan Guo ")</f>
        <v>Xiaoyan Guo </v>
      </c>
      <c r="C143" s="149" t="str">
        <f>IFERROR(__xludf.DUMMYFUNCTION("""COMPUTED_VALUE"""),"540842557@qq.com")</f>
        <v>540842557@qq.com</v>
      </c>
      <c r="D143" s="55" t="str">
        <f>IFERROR(__xludf.DUMMYFUNCTION("""COMPUTED_VALUE"""),"Contacted")</f>
        <v>Contacted</v>
      </c>
      <c r="E143" s="105">
        <f>IFERROR(__xludf.DUMMYFUNCTION("""COMPUTED_VALUE"""),43846.0)</f>
        <v>43846</v>
      </c>
      <c r="F143" s="55" t="str">
        <f>IFERROR(__xludf.DUMMYFUNCTION("""COMPUTED_VALUE"""),"Yes")</f>
        <v>Yes</v>
      </c>
      <c r="G143" s="55" t="str">
        <f>IFERROR(__xludf.DUMMYFUNCTION("""COMPUTED_VALUE"""),"Gene Disease Validity")</f>
        <v>Gene Disease Validity</v>
      </c>
      <c r="H143" s="55" t="str">
        <f>IFERROR(__xludf.DUMMYFUNCTION("""COMPUTED_VALUE"""),"")</f>
        <v/>
      </c>
      <c r="I143" s="55"/>
      <c r="J143" s="55" t="str">
        <f>IFERROR(__xludf.DUMMYFUNCTION("""COMPUTED_VALUE"""),"")</f>
        <v/>
      </c>
      <c r="K143" s="55"/>
      <c r="L143" s="55" t="str">
        <f>IFERROR(__xludf.DUMMYFUNCTION("""COMPUTED_VALUE"""),"")</f>
        <v/>
      </c>
      <c r="M143" s="55"/>
      <c r="N143" s="55"/>
      <c r="O143" s="55"/>
      <c r="P143" s="55"/>
      <c r="Q143" s="55"/>
      <c r="R143" s="55"/>
      <c r="S143" s="55"/>
      <c r="T143" s="55"/>
      <c r="U143" s="55"/>
      <c r="V143" s="55"/>
      <c r="W143" s="55"/>
      <c r="X143" s="55"/>
      <c r="Y143" s="55"/>
      <c r="Z143" s="55"/>
      <c r="AA143" s="55"/>
      <c r="AB143" s="55"/>
      <c r="AC143" s="55"/>
      <c r="AD143" s="55"/>
    </row>
    <row r="144">
      <c r="A144" s="148">
        <f>IFERROR(__xludf.DUMMYFUNCTION("""COMPUTED_VALUE"""),43818.519401909725)</f>
        <v>43818.5194</v>
      </c>
      <c r="B144" s="149" t="str">
        <f>IFERROR(__xludf.DUMMYFUNCTION("""COMPUTED_VALUE"""),"Thanuja Selvanayagam")</f>
        <v>Thanuja Selvanayagam</v>
      </c>
      <c r="C144" s="149" t="str">
        <f>IFERROR(__xludf.DUMMYFUNCTION("""COMPUTED_VALUE"""),"tselvanayagam@cheo.on.ca")</f>
        <v>tselvanayagam@cheo.on.ca</v>
      </c>
      <c r="D144" s="55" t="str">
        <f>IFERROR(__xludf.DUMMYFUNCTION("""COMPUTED_VALUE"""),"Contacted")</f>
        <v>Contacted</v>
      </c>
      <c r="E144" s="105">
        <f>IFERROR(__xludf.DUMMYFUNCTION("""COMPUTED_VALUE"""),43846.0)</f>
        <v>43846</v>
      </c>
      <c r="F144" s="55" t="str">
        <f>IFERROR(__xludf.DUMMYFUNCTION("""COMPUTED_VALUE"""),"Yes")</f>
        <v>Yes</v>
      </c>
      <c r="G144" s="55" t="str">
        <f>IFERROR(__xludf.DUMMYFUNCTION("""COMPUTED_VALUE"""),"Gene Disease Validity")</f>
        <v>Gene Disease Validity</v>
      </c>
      <c r="H144" s="55" t="str">
        <f>IFERROR(__xludf.DUMMYFUNCTION("""COMPUTED_VALUE"""),"")</f>
        <v/>
      </c>
      <c r="I144" s="55"/>
      <c r="J144" s="55" t="str">
        <f>IFERROR(__xludf.DUMMYFUNCTION("""COMPUTED_VALUE"""),"")</f>
        <v/>
      </c>
      <c r="K144" s="55"/>
      <c r="L144" s="55" t="str">
        <f>IFERROR(__xludf.DUMMYFUNCTION("""COMPUTED_VALUE"""),"")</f>
        <v/>
      </c>
      <c r="M144" s="55"/>
      <c r="N144" s="55"/>
      <c r="O144" s="55"/>
      <c r="P144" s="55"/>
      <c r="Q144" s="55"/>
      <c r="R144" s="55"/>
      <c r="S144" s="55"/>
      <c r="T144" s="55"/>
      <c r="U144" s="55"/>
      <c r="V144" s="55"/>
      <c r="W144" s="55"/>
      <c r="X144" s="55"/>
      <c r="Y144" s="55"/>
      <c r="Z144" s="55"/>
      <c r="AA144" s="55"/>
      <c r="AB144" s="55"/>
      <c r="AC144" s="55"/>
      <c r="AD144" s="55"/>
    </row>
    <row r="145">
      <c r="A145" s="165">
        <f>IFERROR(__xludf.DUMMYFUNCTION("""COMPUTED_VALUE"""),43846.63989085648)</f>
        <v>43846.63989</v>
      </c>
      <c r="B145" s="166" t="str">
        <f>IFERROR(__xludf.DUMMYFUNCTION("""COMPUTED_VALUE"""),"Julie Hathaway")</f>
        <v>Julie Hathaway</v>
      </c>
      <c r="C145" s="166" t="str">
        <f>IFERROR(__xludf.DUMMYFUNCTION("""COMPUTED_VALUE"""),"julie.hathaway@blueprintgenetics.com")</f>
        <v>julie.hathaway@blueprintgenetics.com</v>
      </c>
      <c r="D145" s="48" t="str">
        <f>IFERROR(__xludf.DUMMYFUNCTION("""COMPUTED_VALUE"""),"Contacted")</f>
        <v>Contacted</v>
      </c>
      <c r="E145" s="73">
        <f>IFERROR(__xludf.DUMMYFUNCTION("""COMPUTED_VALUE"""),43846.0)</f>
        <v>43846</v>
      </c>
      <c r="F145" s="55" t="str">
        <f>IFERROR(__xludf.DUMMYFUNCTION("""COMPUTED_VALUE"""),"Yes")</f>
        <v>Yes</v>
      </c>
      <c r="G145" s="55" t="str">
        <f>IFERROR(__xludf.DUMMYFUNCTION("""COMPUTED_VALUE"""),"Gene Disease Validity")</f>
        <v>Gene Disease Validity</v>
      </c>
      <c r="H145" s="55" t="str">
        <f>IFERROR(__xludf.DUMMYFUNCTION("""COMPUTED_VALUE"""),"")</f>
        <v/>
      </c>
      <c r="I145" s="55"/>
      <c r="J145" s="55" t="str">
        <f>IFERROR(__xludf.DUMMYFUNCTION("""COMPUTED_VALUE"""),"")</f>
        <v/>
      </c>
      <c r="K145" s="55"/>
      <c r="L145" s="55" t="str">
        <f>IFERROR(__xludf.DUMMYFUNCTION("""COMPUTED_VALUE"""),"")</f>
        <v/>
      </c>
      <c r="M145" s="55"/>
      <c r="N145" s="55"/>
      <c r="O145" s="55"/>
      <c r="P145" s="55"/>
      <c r="Q145" s="55"/>
      <c r="R145" s="55"/>
      <c r="S145" s="55"/>
      <c r="T145" s="55"/>
      <c r="U145" s="55"/>
      <c r="V145" s="55"/>
      <c r="W145" s="55"/>
      <c r="X145" s="55"/>
      <c r="Y145" s="55"/>
      <c r="Z145" s="55"/>
      <c r="AA145" s="55"/>
      <c r="AB145" s="55"/>
      <c r="AC145" s="55"/>
      <c r="AD145" s="55"/>
    </row>
    <row r="146">
      <c r="A146" s="148">
        <f>IFERROR(__xludf.DUMMYFUNCTION("""COMPUTED_VALUE"""),43846.65032980324)</f>
        <v>43846.65033</v>
      </c>
      <c r="B146" s="149" t="str">
        <f>IFERROR(__xludf.DUMMYFUNCTION("""COMPUTED_VALUE"""),"Devon Thrush")</f>
        <v>Devon Thrush</v>
      </c>
      <c r="C146" s="149" t="str">
        <f>IFERROR(__xludf.DUMMYFUNCTION("""COMPUTED_VALUE"""),"dthrush@ambrygen.com")</f>
        <v>dthrush@ambrygen.com</v>
      </c>
      <c r="D146" s="55" t="str">
        <f>IFERROR(__xludf.DUMMYFUNCTION("""COMPUTED_VALUE"""),"Contacted")</f>
        <v>Contacted</v>
      </c>
      <c r="E146" s="105">
        <f>IFERROR(__xludf.DUMMYFUNCTION("""COMPUTED_VALUE"""),43846.0)</f>
        <v>43846</v>
      </c>
      <c r="F146" s="55" t="str">
        <f>IFERROR(__xludf.DUMMYFUNCTION("""COMPUTED_VALUE"""),"No")</f>
        <v>No</v>
      </c>
      <c r="G146" s="55" t="str">
        <f>IFERROR(__xludf.DUMMYFUNCTION("""COMPUTED_VALUE"""),"Gene Disease Validity")</f>
        <v>Gene Disease Validity</v>
      </c>
      <c r="H146" s="55" t="str">
        <f>IFERROR(__xludf.DUMMYFUNCTION("""COMPUTED_VALUE"""),"")</f>
        <v/>
      </c>
      <c r="I146" s="55"/>
      <c r="J146" s="55" t="str">
        <f>IFERROR(__xludf.DUMMYFUNCTION("""COMPUTED_VALUE"""),"")</f>
        <v/>
      </c>
      <c r="K146" s="55"/>
      <c r="L146" s="55" t="str">
        <f>IFERROR(__xludf.DUMMYFUNCTION("""COMPUTED_VALUE"""),"")</f>
        <v/>
      </c>
      <c r="M146" s="55"/>
      <c r="N146" s="55"/>
      <c r="O146" s="55"/>
      <c r="P146" s="55"/>
      <c r="Q146" s="55"/>
      <c r="R146" s="55"/>
      <c r="S146" s="55"/>
      <c r="T146" s="55"/>
      <c r="U146" s="55"/>
      <c r="V146" s="55"/>
      <c r="W146" s="55"/>
      <c r="X146" s="55"/>
      <c r="Y146" s="55"/>
      <c r="Z146" s="55"/>
      <c r="AA146" s="55"/>
      <c r="AB146" s="55"/>
      <c r="AC146" s="55"/>
      <c r="AD146" s="55"/>
    </row>
    <row r="147">
      <c r="A147" s="148">
        <f>IFERROR(__xludf.DUMMYFUNCTION("""COMPUTED_VALUE"""),43847.4378778125)</f>
        <v>43847.43788</v>
      </c>
      <c r="B147" s="149" t="str">
        <f>IFERROR(__xludf.DUMMYFUNCTION("""COMPUTED_VALUE"""),"Adriana Bastos Carvalho")</f>
        <v>Adriana Bastos Carvalho</v>
      </c>
      <c r="C147" s="149" t="str">
        <f>IFERROR(__xludf.DUMMYFUNCTION("""COMPUTED_VALUE"""),"carvalhoab@biof.ufrj.br")</f>
        <v>carvalhoab@biof.ufrj.br</v>
      </c>
      <c r="D147" s="55" t="str">
        <f>IFERROR(__xludf.DUMMYFUNCTION("""COMPUTED_VALUE"""),"Contacted")</f>
        <v>Contacted</v>
      </c>
      <c r="E147" s="105">
        <f>IFERROR(__xludf.DUMMYFUNCTION("""COMPUTED_VALUE"""),43846.0)</f>
        <v>43846</v>
      </c>
      <c r="F147" s="55" t="str">
        <f>IFERROR(__xludf.DUMMYFUNCTION("""COMPUTED_VALUE"""),"Yes")</f>
        <v>Yes</v>
      </c>
      <c r="G147" s="55" t="str">
        <f>IFERROR(__xludf.DUMMYFUNCTION("""COMPUTED_VALUE"""),"Variant Pathogenicity")</f>
        <v>Variant Pathogenicity</v>
      </c>
      <c r="H147" s="55" t="str">
        <f>IFERROR(__xludf.DUMMYFUNCTION("""COMPUTED_VALUE"""),"")</f>
        <v/>
      </c>
      <c r="I147" s="55"/>
      <c r="J147" s="55" t="str">
        <f>IFERROR(__xludf.DUMMYFUNCTION("""COMPUTED_VALUE"""),"")</f>
        <v/>
      </c>
      <c r="K147" s="55"/>
      <c r="L147" s="55" t="str">
        <f>IFERROR(__xludf.DUMMYFUNCTION("""COMPUTED_VALUE"""),"")</f>
        <v/>
      </c>
      <c r="M147" s="55"/>
      <c r="N147" s="55"/>
      <c r="O147" s="55"/>
      <c r="P147" s="55"/>
      <c r="Q147" s="55"/>
      <c r="R147" s="55"/>
      <c r="S147" s="55"/>
      <c r="T147" s="55"/>
      <c r="U147" s="55"/>
      <c r="V147" s="55"/>
      <c r="W147" s="55"/>
      <c r="X147" s="55"/>
      <c r="Y147" s="55"/>
      <c r="Z147" s="55"/>
      <c r="AA147" s="55"/>
      <c r="AB147" s="55"/>
      <c r="AC147" s="55"/>
      <c r="AD147" s="55"/>
    </row>
    <row r="148">
      <c r="A148" s="148">
        <f>IFERROR(__xludf.DUMMYFUNCTION("""COMPUTED_VALUE"""),43847.669551747684)</f>
        <v>43847.66955</v>
      </c>
      <c r="B148" s="149" t="str">
        <f>IFERROR(__xludf.DUMMYFUNCTION("""COMPUTED_VALUE"""),"Shiloh Martin")</f>
        <v>Shiloh Martin</v>
      </c>
      <c r="C148" s="149" t="str">
        <f>IFERROR(__xludf.DUMMYFUNCTION("""COMPUTED_VALUE"""),"shiloh.martin@invitae.com")</f>
        <v>shiloh.martin@invitae.com</v>
      </c>
      <c r="D148" s="55" t="str">
        <f>IFERROR(__xludf.DUMMYFUNCTION("""COMPUTED_VALUE"""),"Contacted")</f>
        <v>Contacted</v>
      </c>
      <c r="E148" s="105">
        <f>IFERROR(__xludf.DUMMYFUNCTION("""COMPUTED_VALUE"""),43846.0)</f>
        <v>43846</v>
      </c>
      <c r="F148" s="55" t="str">
        <f>IFERROR(__xludf.DUMMYFUNCTION("""COMPUTED_VALUE"""),"Yes")</f>
        <v>Yes</v>
      </c>
      <c r="G148" s="55" t="str">
        <f>IFERROR(__xludf.DUMMYFUNCTION("""COMPUTED_VALUE"""),"Gene Disease Validity")</f>
        <v>Gene Disease Validity</v>
      </c>
      <c r="H148" s="55" t="str">
        <f>IFERROR(__xludf.DUMMYFUNCTION("""COMPUTED_VALUE"""),"")</f>
        <v/>
      </c>
      <c r="I148" s="55"/>
      <c r="J148" s="55" t="str">
        <f>IFERROR(__xludf.DUMMYFUNCTION("""COMPUTED_VALUE"""),"")</f>
        <v/>
      </c>
      <c r="K148" s="55"/>
      <c r="L148" s="55" t="str">
        <f>IFERROR(__xludf.DUMMYFUNCTION("""COMPUTED_VALUE"""),"")</f>
        <v/>
      </c>
      <c r="M148" s="55"/>
      <c r="N148" s="55"/>
      <c r="O148" s="55"/>
      <c r="P148" s="55"/>
      <c r="Q148" s="55"/>
      <c r="R148" s="55"/>
      <c r="S148" s="55"/>
      <c r="T148" s="55"/>
      <c r="U148" s="55"/>
      <c r="V148" s="55"/>
      <c r="W148" s="55"/>
      <c r="X148" s="55"/>
      <c r="Y148" s="55"/>
      <c r="Z148" s="55"/>
      <c r="AA148" s="55"/>
      <c r="AB148" s="55"/>
      <c r="AC148" s="55"/>
      <c r="AD148" s="55"/>
    </row>
    <row r="149">
      <c r="A149" s="149"/>
      <c r="B149" s="149"/>
      <c r="C149" s="149"/>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row>
    <row r="150">
      <c r="A150" s="149"/>
      <c r="B150" s="149"/>
      <c r="C150" s="149"/>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row>
    <row r="151">
      <c r="A151" s="149"/>
      <c r="B151" s="149"/>
      <c r="C151" s="149"/>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row>
    <row r="152">
      <c r="A152" s="149"/>
      <c r="B152" s="149"/>
      <c r="C152" s="149"/>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row>
    <row r="153">
      <c r="A153" s="149"/>
      <c r="B153" s="149"/>
      <c r="C153" s="149"/>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row>
    <row r="154">
      <c r="A154" s="149"/>
      <c r="B154" s="149"/>
      <c r="C154" s="149"/>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row>
    <row r="155">
      <c r="A155" s="149"/>
      <c r="B155" s="149"/>
      <c r="C155" s="149"/>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row>
    <row r="156">
      <c r="A156" s="149"/>
      <c r="B156" s="149"/>
      <c r="C156" s="149"/>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row>
    <row r="157">
      <c r="A157" s="149"/>
      <c r="B157" s="149"/>
      <c r="C157" s="149"/>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row>
    <row r="158">
      <c r="A158" s="149"/>
      <c r="B158" s="149"/>
      <c r="C158" s="149"/>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row>
    <row r="159">
      <c r="A159" s="149"/>
      <c r="B159" s="149"/>
      <c r="C159" s="149"/>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row>
    <row r="160">
      <c r="A160" s="149"/>
      <c r="B160" s="149"/>
      <c r="C160" s="149"/>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row>
    <row r="161">
      <c r="A161" s="149"/>
      <c r="B161" s="149"/>
      <c r="C161" s="149"/>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row>
    <row r="162">
      <c r="A162" s="149"/>
      <c r="B162" s="149"/>
      <c r="C162" s="149"/>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row>
    <row r="163">
      <c r="A163" s="149"/>
      <c r="B163" s="149"/>
      <c r="C163" s="149"/>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row>
    <row r="164">
      <c r="A164" s="149"/>
      <c r="B164" s="149"/>
      <c r="C164" s="149"/>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row>
    <row r="165">
      <c r="A165" s="149"/>
      <c r="B165" s="149"/>
      <c r="C165" s="149"/>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row>
    <row r="166">
      <c r="A166" s="149"/>
      <c r="B166" s="149"/>
      <c r="C166" s="149"/>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row>
    <row r="167">
      <c r="A167" s="149"/>
      <c r="B167" s="149"/>
      <c r="C167" s="149"/>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row>
    <row r="168">
      <c r="A168" s="149"/>
      <c r="B168" s="149"/>
      <c r="C168" s="149"/>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row>
    <row r="169">
      <c r="A169" s="149"/>
      <c r="B169" s="149"/>
      <c r="C169" s="149"/>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row>
    <row r="170">
      <c r="A170" s="149"/>
      <c r="B170" s="149"/>
      <c r="C170" s="149"/>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row>
    <row r="171">
      <c r="A171" s="149"/>
      <c r="B171" s="149"/>
      <c r="C171" s="149"/>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row>
    <row r="172">
      <c r="A172" s="149"/>
      <c r="B172" s="149"/>
      <c r="C172" s="149"/>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row>
    <row r="173">
      <c r="A173" s="149"/>
      <c r="B173" s="149"/>
      <c r="C173" s="149"/>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row>
    <row r="174">
      <c r="A174" s="149"/>
      <c r="B174" s="149"/>
      <c r="C174" s="149"/>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row>
    <row r="175">
      <c r="A175" s="149"/>
      <c r="B175" s="149"/>
      <c r="C175" s="149"/>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row>
    <row r="176">
      <c r="A176" s="149"/>
      <c r="B176" s="149"/>
      <c r="C176" s="149"/>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row>
    <row r="177">
      <c r="A177" s="149"/>
      <c r="B177" s="149"/>
      <c r="C177" s="149"/>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row>
    <row r="178">
      <c r="A178" s="149"/>
      <c r="B178" s="149"/>
      <c r="C178" s="149"/>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row>
    <row r="179">
      <c r="A179" s="149"/>
      <c r="B179" s="149"/>
      <c r="C179" s="149"/>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row>
    <row r="180">
      <c r="A180" s="149"/>
      <c r="B180" s="149"/>
      <c r="C180" s="149"/>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row>
    <row r="181">
      <c r="A181" s="149"/>
      <c r="B181" s="149"/>
      <c r="C181" s="149"/>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row>
    <row r="182">
      <c r="A182" s="149"/>
      <c r="B182" s="149"/>
      <c r="C182" s="149"/>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row>
    <row r="183">
      <c r="A183" s="149"/>
      <c r="B183" s="149"/>
      <c r="C183" s="149"/>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row>
    <row r="184">
      <c r="A184" s="149"/>
      <c r="B184" s="149"/>
      <c r="C184" s="149"/>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row>
    <row r="185">
      <c r="A185" s="149"/>
      <c r="B185" s="149"/>
      <c r="C185" s="149"/>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row>
    <row r="186">
      <c r="A186" s="149"/>
      <c r="B186" s="149"/>
      <c r="C186" s="149"/>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row>
    <row r="187">
      <c r="A187" s="149"/>
      <c r="B187" s="149"/>
      <c r="C187" s="149"/>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row>
    <row r="188">
      <c r="A188" s="149"/>
      <c r="B188" s="149"/>
      <c r="C188" s="149"/>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row>
    <row r="189">
      <c r="A189" s="149"/>
      <c r="B189" s="149"/>
      <c r="C189" s="149"/>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row>
    <row r="190">
      <c r="A190" s="149"/>
      <c r="B190" s="149"/>
      <c r="C190" s="149"/>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row>
    <row r="191">
      <c r="A191" s="149"/>
      <c r="B191" s="149"/>
      <c r="C191" s="149"/>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row>
    <row r="192">
      <c r="A192" s="149"/>
      <c r="B192" s="149"/>
      <c r="C192" s="149"/>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row>
    <row r="193">
      <c r="A193" s="166"/>
      <c r="B193" s="166"/>
      <c r="C193" s="166"/>
      <c r="D193" s="48"/>
      <c r="E193" s="48"/>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row>
    <row r="194">
      <c r="A194" s="149"/>
      <c r="B194" s="149"/>
      <c r="C194" s="149"/>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row>
    <row r="195">
      <c r="A195" s="149"/>
      <c r="B195" s="149"/>
      <c r="C195" s="149"/>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row>
    <row r="196">
      <c r="A196" s="149"/>
      <c r="B196" s="149"/>
      <c r="C196" s="149"/>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row>
    <row r="197">
      <c r="A197" s="149"/>
      <c r="B197" s="149"/>
      <c r="C197" s="149"/>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row>
    <row r="198">
      <c r="A198" s="149"/>
      <c r="B198" s="149"/>
      <c r="C198" s="149"/>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row>
    <row r="199">
      <c r="A199" s="149"/>
      <c r="B199" s="149"/>
      <c r="C199" s="149"/>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row>
    <row r="200">
      <c r="A200" s="149"/>
      <c r="B200" s="149"/>
      <c r="C200" s="149"/>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row>
    <row r="201">
      <c r="A201" s="149"/>
      <c r="B201" s="149"/>
      <c r="C201" s="149"/>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row>
    <row r="202">
      <c r="A202" s="149"/>
      <c r="B202" s="149"/>
      <c r="C202" s="149"/>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row>
    <row r="203">
      <c r="A203" s="149"/>
      <c r="B203" s="149"/>
      <c r="C203" s="149"/>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row>
    <row r="204">
      <c r="A204" s="149"/>
      <c r="B204" s="149"/>
      <c r="C204" s="149"/>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row>
    <row r="205">
      <c r="A205" s="149"/>
      <c r="B205" s="149"/>
      <c r="C205" s="149"/>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row>
    <row r="206">
      <c r="A206" s="149"/>
      <c r="B206" s="149"/>
      <c r="C206" s="149"/>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row>
    <row r="207">
      <c r="A207" s="149"/>
      <c r="B207" s="149"/>
      <c r="C207" s="149"/>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row>
    <row r="208">
      <c r="A208" s="149"/>
      <c r="B208" s="149"/>
      <c r="C208" s="149"/>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row>
    <row r="209">
      <c r="A209" s="149"/>
      <c r="B209" s="149"/>
      <c r="C209" s="149"/>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row>
    <row r="210">
      <c r="A210" s="149"/>
      <c r="B210" s="149"/>
      <c r="C210" s="149"/>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row>
    <row r="211">
      <c r="A211" s="149"/>
      <c r="B211" s="149"/>
      <c r="C211" s="149"/>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row>
    <row r="212">
      <c r="A212" s="149"/>
      <c r="B212" s="149"/>
      <c r="C212" s="149"/>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row>
    <row r="213">
      <c r="A213" s="149"/>
      <c r="B213" s="149"/>
      <c r="C213" s="149"/>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row>
    <row r="214">
      <c r="A214" s="149"/>
      <c r="B214" s="149"/>
      <c r="C214" s="149"/>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row>
    <row r="215">
      <c r="A215" s="149"/>
      <c r="B215" s="149"/>
      <c r="C215" s="149"/>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row>
    <row r="216">
      <c r="A216" s="149"/>
      <c r="B216" s="149"/>
      <c r="C216" s="149"/>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row>
    <row r="217">
      <c r="A217" s="149"/>
      <c r="B217" s="149"/>
      <c r="C217" s="149"/>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row>
    <row r="218">
      <c r="A218" s="149"/>
      <c r="B218" s="149"/>
      <c r="C218" s="149"/>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row>
    <row r="219">
      <c r="A219" s="149"/>
      <c r="B219" s="149"/>
      <c r="C219" s="149"/>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row>
    <row r="220">
      <c r="A220" s="149"/>
      <c r="B220" s="149"/>
      <c r="C220" s="149"/>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row>
    <row r="221">
      <c r="A221" s="149"/>
      <c r="B221" s="149"/>
      <c r="C221" s="149"/>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row>
    <row r="222">
      <c r="A222" s="149"/>
      <c r="B222" s="149"/>
      <c r="C222" s="149"/>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row>
    <row r="223">
      <c r="A223" s="149"/>
      <c r="B223" s="149"/>
      <c r="C223" s="149"/>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row>
    <row r="224">
      <c r="A224" s="149"/>
      <c r="B224" s="149"/>
      <c r="C224" s="149"/>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row>
    <row r="225">
      <c r="A225" s="149"/>
      <c r="B225" s="149"/>
      <c r="C225" s="149"/>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row>
    <row r="226">
      <c r="A226" s="149"/>
      <c r="B226" s="149"/>
      <c r="C226" s="149"/>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row>
    <row r="227">
      <c r="A227" s="149"/>
      <c r="B227" s="149"/>
      <c r="C227" s="149"/>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row>
    <row r="228">
      <c r="A228" s="149"/>
      <c r="B228" s="149"/>
      <c r="C228" s="149"/>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row>
    <row r="229">
      <c r="A229" s="149"/>
      <c r="B229" s="149"/>
      <c r="C229" s="149"/>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row>
    <row r="230">
      <c r="A230" s="149"/>
      <c r="B230" s="149"/>
      <c r="C230" s="149"/>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row>
    <row r="231">
      <c r="A231" s="149"/>
      <c r="B231" s="149"/>
      <c r="C231" s="149"/>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row>
    <row r="232">
      <c r="A232" s="149"/>
      <c r="B232" s="149"/>
      <c r="C232" s="149"/>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row>
    <row r="233">
      <c r="A233" s="149"/>
      <c r="B233" s="149"/>
      <c r="C233" s="149"/>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row>
    <row r="234">
      <c r="A234" s="149"/>
      <c r="B234" s="149"/>
      <c r="C234" s="149"/>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row>
    <row r="235">
      <c r="A235" s="149"/>
      <c r="B235" s="149"/>
      <c r="C235" s="149"/>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row>
    <row r="236">
      <c r="A236" s="149"/>
      <c r="B236" s="149"/>
      <c r="C236" s="149"/>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row>
    <row r="237">
      <c r="A237" s="149"/>
      <c r="B237" s="149"/>
      <c r="C237" s="149"/>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row>
    <row r="238">
      <c r="A238" s="149"/>
      <c r="B238" s="149"/>
      <c r="C238" s="149"/>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row>
    <row r="239">
      <c r="A239" s="149"/>
      <c r="B239" s="149"/>
      <c r="C239" s="149"/>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row>
    <row r="240">
      <c r="A240" s="149"/>
      <c r="B240" s="149"/>
      <c r="C240" s="149"/>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row>
    <row r="241">
      <c r="A241" s="149"/>
      <c r="B241" s="149"/>
      <c r="C241" s="149"/>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row>
    <row r="242">
      <c r="A242" s="149"/>
      <c r="B242" s="149"/>
      <c r="C242" s="149"/>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row>
    <row r="243">
      <c r="A243" s="149"/>
      <c r="B243" s="149"/>
      <c r="C243" s="149"/>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row>
    <row r="244">
      <c r="A244" s="149"/>
      <c r="B244" s="149"/>
      <c r="C244" s="149"/>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row>
    <row r="245">
      <c r="A245" s="149"/>
      <c r="B245" s="149"/>
      <c r="C245" s="149"/>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row>
    <row r="246">
      <c r="A246" s="149"/>
      <c r="B246" s="149"/>
      <c r="C246" s="149"/>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row>
    <row r="247">
      <c r="A247" s="149"/>
      <c r="B247" s="149"/>
      <c r="C247" s="149"/>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row>
    <row r="248">
      <c r="A248" s="149"/>
      <c r="B248" s="149"/>
      <c r="C248" s="149"/>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row>
    <row r="249">
      <c r="A249" s="149"/>
      <c r="B249" s="149"/>
      <c r="C249" s="149"/>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row>
    <row r="250">
      <c r="A250" s="149"/>
      <c r="B250" s="149"/>
      <c r="C250" s="149"/>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row>
    <row r="251">
      <c r="A251" s="149"/>
      <c r="B251" s="149"/>
      <c r="C251" s="149"/>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row>
    <row r="252">
      <c r="A252" s="149"/>
      <c r="B252" s="149"/>
      <c r="C252" s="149"/>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row>
    <row r="253">
      <c r="A253" s="149"/>
      <c r="B253" s="149"/>
      <c r="C253" s="149"/>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row>
    <row r="254">
      <c r="A254" s="149"/>
      <c r="B254" s="149"/>
      <c r="C254" s="149"/>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row>
    <row r="255">
      <c r="A255" s="149"/>
      <c r="B255" s="149"/>
      <c r="C255" s="149"/>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row>
    <row r="256">
      <c r="A256" s="149"/>
      <c r="B256" s="149"/>
      <c r="C256" s="149"/>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row>
    <row r="257">
      <c r="A257" s="149"/>
      <c r="B257" s="149"/>
      <c r="C257" s="149"/>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row>
    <row r="258">
      <c r="A258" s="149"/>
      <c r="B258" s="149"/>
      <c r="C258" s="149"/>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row>
    <row r="259">
      <c r="A259" s="149"/>
      <c r="B259" s="149"/>
      <c r="C259" s="149"/>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row>
    <row r="260">
      <c r="A260" s="149"/>
      <c r="B260" s="149"/>
      <c r="C260" s="149"/>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row>
    <row r="261">
      <c r="A261" s="149"/>
      <c r="B261" s="149"/>
      <c r="C261" s="149"/>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row>
    <row r="262">
      <c r="A262" s="149"/>
      <c r="B262" s="149"/>
      <c r="C262" s="149"/>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row>
    <row r="263">
      <c r="A263" s="149"/>
      <c r="B263" s="149"/>
      <c r="C263" s="149"/>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row>
    <row r="264">
      <c r="A264" s="149"/>
      <c r="B264" s="149"/>
      <c r="C264" s="149"/>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row>
    <row r="265">
      <c r="A265" s="149"/>
      <c r="B265" s="149"/>
      <c r="C265" s="149"/>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row>
    <row r="266">
      <c r="A266" s="149"/>
      <c r="B266" s="149"/>
      <c r="C266" s="149"/>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row>
    <row r="267">
      <c r="A267" s="149"/>
      <c r="B267" s="149"/>
      <c r="C267" s="149"/>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row>
    <row r="268">
      <c r="A268" s="149"/>
      <c r="B268" s="149"/>
      <c r="C268" s="149"/>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row>
    <row r="269">
      <c r="A269" s="149"/>
      <c r="B269" s="149"/>
      <c r="C269" s="149"/>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row>
    <row r="270">
      <c r="A270" s="149"/>
      <c r="B270" s="149"/>
      <c r="C270" s="149"/>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row>
    <row r="271">
      <c r="A271" s="149"/>
      <c r="B271" s="149"/>
      <c r="C271" s="149"/>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row>
    <row r="272">
      <c r="A272" s="149"/>
      <c r="B272" s="149"/>
      <c r="C272" s="149"/>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row>
    <row r="273">
      <c r="A273" s="149"/>
      <c r="B273" s="149"/>
      <c r="C273" s="149"/>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row>
    <row r="274">
      <c r="A274" s="149"/>
      <c r="B274" s="149"/>
      <c r="C274" s="149"/>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row>
    <row r="275">
      <c r="A275" s="149"/>
      <c r="B275" s="149"/>
      <c r="C275" s="149"/>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row>
    <row r="276">
      <c r="A276" s="149"/>
      <c r="B276" s="149"/>
      <c r="C276" s="149"/>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row>
    <row r="277">
      <c r="A277" s="149"/>
      <c r="B277" s="149"/>
      <c r="C277" s="149"/>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row>
    <row r="278">
      <c r="A278" s="149"/>
      <c r="B278" s="149"/>
      <c r="C278" s="149"/>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row>
    <row r="279">
      <c r="A279" s="149"/>
      <c r="B279" s="149"/>
      <c r="C279" s="149"/>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row>
    <row r="280">
      <c r="A280" s="149"/>
      <c r="B280" s="149"/>
      <c r="C280" s="149"/>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row>
    <row r="281">
      <c r="A281" s="149"/>
      <c r="B281" s="149"/>
      <c r="C281" s="149"/>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row>
    <row r="282">
      <c r="A282" s="149"/>
      <c r="B282" s="149"/>
      <c r="C282" s="149"/>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row>
    <row r="283">
      <c r="A283" s="149"/>
      <c r="B283" s="149"/>
      <c r="C283" s="149"/>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row>
    <row r="284">
      <c r="A284" s="149"/>
      <c r="B284" s="149"/>
      <c r="C284" s="149"/>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row>
    <row r="285">
      <c r="A285" s="149"/>
      <c r="B285" s="149"/>
      <c r="C285" s="149"/>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row>
    <row r="286">
      <c r="A286" s="149"/>
      <c r="B286" s="149"/>
      <c r="C286" s="149"/>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row>
    <row r="287">
      <c r="A287" s="149"/>
      <c r="B287" s="149"/>
      <c r="C287" s="149"/>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row>
    <row r="288">
      <c r="A288" s="149"/>
      <c r="B288" s="149"/>
      <c r="C288" s="149"/>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row>
    <row r="289">
      <c r="A289" s="149"/>
      <c r="B289" s="149"/>
      <c r="C289" s="149"/>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row>
    <row r="290">
      <c r="A290" s="149"/>
      <c r="B290" s="149"/>
      <c r="C290" s="149"/>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row>
    <row r="291">
      <c r="A291" s="149"/>
      <c r="B291" s="149"/>
      <c r="C291" s="149"/>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row>
    <row r="292">
      <c r="A292" s="149"/>
      <c r="B292" s="149"/>
      <c r="C292" s="149"/>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row>
    <row r="293">
      <c r="A293" s="149"/>
      <c r="B293" s="149"/>
      <c r="C293" s="149"/>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row>
    <row r="294">
      <c r="A294" s="149"/>
      <c r="B294" s="149"/>
      <c r="C294" s="149"/>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row>
    <row r="295">
      <c r="A295" s="149"/>
      <c r="B295" s="149"/>
      <c r="C295" s="149"/>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row>
    <row r="296">
      <c r="A296" s="149"/>
      <c r="B296" s="149"/>
      <c r="C296" s="149"/>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row>
    <row r="297">
      <c r="A297" s="149"/>
      <c r="B297" s="149"/>
      <c r="C297" s="149"/>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row>
    <row r="298">
      <c r="A298" s="149"/>
      <c r="B298" s="149"/>
      <c r="C298" s="149"/>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row>
    <row r="299">
      <c r="A299" s="149"/>
      <c r="B299" s="149"/>
      <c r="C299" s="149"/>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row>
    <row r="300">
      <c r="A300" s="149"/>
      <c r="B300" s="149"/>
      <c r="C300" s="149"/>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row>
    <row r="301">
      <c r="A301" s="149"/>
      <c r="B301" s="149"/>
      <c r="C301" s="149"/>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row>
    <row r="302">
      <c r="A302" s="149"/>
      <c r="B302" s="149"/>
      <c r="C302" s="149"/>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row>
    <row r="303">
      <c r="A303" s="149"/>
      <c r="B303" s="149"/>
      <c r="C303" s="149"/>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row>
    <row r="304">
      <c r="A304" s="149"/>
      <c r="B304" s="149"/>
      <c r="C304" s="149"/>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row>
    <row r="305">
      <c r="A305" s="149"/>
      <c r="B305" s="149"/>
      <c r="C305" s="149"/>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row>
    <row r="306">
      <c r="A306" s="149"/>
      <c r="B306" s="149"/>
      <c r="C306" s="149"/>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row>
    <row r="307">
      <c r="A307" s="149"/>
      <c r="B307" s="149"/>
      <c r="C307" s="149"/>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row>
    <row r="308">
      <c r="A308" s="149"/>
      <c r="B308" s="149"/>
      <c r="C308" s="149"/>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row>
    <row r="309">
      <c r="A309" s="149"/>
      <c r="B309" s="149"/>
      <c r="C309" s="149"/>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row>
    <row r="310">
      <c r="A310" s="149"/>
      <c r="B310" s="149"/>
      <c r="C310" s="149"/>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row>
    <row r="311">
      <c r="A311" s="149"/>
      <c r="B311" s="149"/>
      <c r="C311" s="149"/>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row>
    <row r="312">
      <c r="A312" s="149"/>
      <c r="B312" s="149"/>
      <c r="C312" s="149"/>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row>
    <row r="313">
      <c r="A313" s="149"/>
      <c r="B313" s="149"/>
      <c r="C313" s="149"/>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row>
    <row r="314">
      <c r="A314" s="149"/>
      <c r="B314" s="149"/>
      <c r="C314" s="149"/>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row>
    <row r="315">
      <c r="A315" s="149"/>
      <c r="B315" s="149"/>
      <c r="C315" s="149"/>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row>
    <row r="316">
      <c r="A316" s="149"/>
      <c r="B316" s="149"/>
      <c r="C316" s="149"/>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row>
    <row r="317">
      <c r="A317" s="149"/>
      <c r="B317" s="149"/>
      <c r="C317" s="149"/>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row>
    <row r="318">
      <c r="A318" s="149"/>
      <c r="B318" s="149"/>
      <c r="C318" s="149"/>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row>
    <row r="319">
      <c r="A319" s="149"/>
      <c r="B319" s="149"/>
      <c r="C319" s="149"/>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row>
    <row r="320">
      <c r="A320" s="149"/>
      <c r="B320" s="149"/>
      <c r="C320" s="149"/>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row>
    <row r="321">
      <c r="A321" s="149"/>
      <c r="B321" s="149"/>
      <c r="C321" s="149"/>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row>
    <row r="322">
      <c r="A322" s="149"/>
      <c r="B322" s="149"/>
      <c r="C322" s="149"/>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row>
    <row r="323">
      <c r="A323" s="149"/>
      <c r="B323" s="149"/>
      <c r="C323" s="149"/>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row>
    <row r="324">
      <c r="A324" s="149"/>
      <c r="B324" s="149"/>
      <c r="C324" s="149"/>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row>
    <row r="325">
      <c r="A325" s="149"/>
      <c r="B325" s="149"/>
      <c r="C325" s="149"/>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row>
    <row r="326">
      <c r="A326" s="149"/>
      <c r="B326" s="149"/>
      <c r="C326" s="149"/>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row>
    <row r="327">
      <c r="A327" s="149"/>
      <c r="B327" s="149"/>
      <c r="C327" s="149"/>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row>
    <row r="328">
      <c r="A328" s="149"/>
      <c r="B328" s="149"/>
      <c r="C328" s="149"/>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row>
    <row r="329">
      <c r="A329" s="149"/>
      <c r="B329" s="149"/>
      <c r="C329" s="149"/>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row>
    <row r="330">
      <c r="A330" s="149"/>
      <c r="B330" s="149"/>
      <c r="C330" s="149"/>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row>
    <row r="331">
      <c r="A331" s="149"/>
      <c r="B331" s="149"/>
      <c r="C331" s="149"/>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row>
    <row r="332">
      <c r="A332" s="149"/>
      <c r="B332" s="149"/>
      <c r="C332" s="149"/>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row>
    <row r="333">
      <c r="A333" s="149"/>
      <c r="B333" s="149"/>
      <c r="C333" s="149"/>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row>
    <row r="334">
      <c r="A334" s="149"/>
      <c r="B334" s="149"/>
      <c r="C334" s="149"/>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row>
    <row r="335">
      <c r="A335" s="149"/>
      <c r="B335" s="149"/>
      <c r="C335" s="149"/>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row>
    <row r="336">
      <c r="A336" s="149"/>
      <c r="B336" s="149"/>
      <c r="C336" s="149"/>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row>
    <row r="337">
      <c r="A337" s="149"/>
      <c r="B337" s="149"/>
      <c r="C337" s="149"/>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row>
    <row r="338">
      <c r="A338" s="149"/>
      <c r="B338" s="149"/>
      <c r="C338" s="149"/>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row>
    <row r="339">
      <c r="A339" s="149"/>
      <c r="B339" s="149"/>
      <c r="C339" s="149"/>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row>
    <row r="340">
      <c r="A340" s="149"/>
      <c r="B340" s="149"/>
      <c r="C340" s="149"/>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row>
    <row r="341">
      <c r="A341" s="149"/>
      <c r="B341" s="149"/>
      <c r="C341" s="149"/>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row>
    <row r="342">
      <c r="A342" s="149"/>
      <c r="B342" s="149"/>
      <c r="C342" s="149"/>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c r="AD342" s="55"/>
    </row>
    <row r="343">
      <c r="A343" s="149"/>
      <c r="B343" s="149"/>
      <c r="C343" s="149"/>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c r="AD343" s="55"/>
    </row>
    <row r="344">
      <c r="A344" s="149"/>
      <c r="B344" s="149"/>
      <c r="C344" s="149"/>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c r="AD344" s="55"/>
    </row>
    <row r="345">
      <c r="A345" s="149"/>
      <c r="B345" s="149"/>
      <c r="C345" s="149"/>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c r="AD345" s="55"/>
    </row>
    <row r="346">
      <c r="A346" s="149"/>
      <c r="B346" s="149"/>
      <c r="C346" s="149"/>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row>
    <row r="347">
      <c r="A347" s="149"/>
      <c r="B347" s="149"/>
      <c r="C347" s="149"/>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row>
    <row r="348">
      <c r="A348" s="149"/>
      <c r="B348" s="149"/>
      <c r="C348" s="149"/>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row>
    <row r="349">
      <c r="A349" s="149"/>
      <c r="B349" s="149"/>
      <c r="C349" s="149"/>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row>
    <row r="350">
      <c r="A350" s="149"/>
      <c r="B350" s="149"/>
      <c r="C350" s="149"/>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row>
    <row r="351">
      <c r="A351" s="149"/>
      <c r="B351" s="149"/>
      <c r="C351" s="149"/>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row>
    <row r="352">
      <c r="A352" s="149"/>
      <c r="B352" s="149"/>
      <c r="C352" s="149"/>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row>
    <row r="353">
      <c r="A353" s="149"/>
      <c r="B353" s="149"/>
      <c r="C353" s="149"/>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row>
    <row r="354">
      <c r="A354" s="149"/>
      <c r="B354" s="149"/>
      <c r="C354" s="149"/>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row>
    <row r="355">
      <c r="A355" s="149"/>
      <c r="B355" s="149"/>
      <c r="C355" s="149"/>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c r="AD355" s="55"/>
    </row>
    <row r="356">
      <c r="A356" s="149"/>
      <c r="B356" s="149"/>
      <c r="C356" s="149"/>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row>
    <row r="357">
      <c r="A357" s="149"/>
      <c r="B357" s="149"/>
      <c r="C357" s="149"/>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c r="AD357" s="55"/>
    </row>
    <row r="358">
      <c r="A358" s="149"/>
      <c r="B358" s="149"/>
      <c r="C358" s="149"/>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c r="AD358" s="55"/>
    </row>
    <row r="359">
      <c r="A359" s="149"/>
      <c r="B359" s="149"/>
      <c r="C359" s="149"/>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c r="AD359" s="55"/>
    </row>
    <row r="360">
      <c r="A360" s="149"/>
      <c r="B360" s="149"/>
      <c r="C360" s="149"/>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c r="AD360" s="55"/>
    </row>
    <row r="361">
      <c r="A361" s="149"/>
      <c r="B361" s="149"/>
      <c r="C361" s="149"/>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c r="AD361" s="55"/>
    </row>
    <row r="362">
      <c r="A362" s="149"/>
      <c r="B362" s="149"/>
      <c r="C362" s="149"/>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row>
    <row r="363">
      <c r="A363" s="149"/>
      <c r="B363" s="149"/>
      <c r="C363" s="149"/>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AD363" s="55"/>
    </row>
    <row r="364">
      <c r="A364" s="149"/>
      <c r="B364" s="149"/>
      <c r="C364" s="149"/>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c r="AD364" s="55"/>
    </row>
    <row r="365">
      <c r="A365" s="149"/>
      <c r="B365" s="149"/>
      <c r="C365" s="149"/>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c r="AD365" s="55"/>
    </row>
    <row r="366">
      <c r="A366" s="149"/>
      <c r="B366" s="149"/>
      <c r="C366" s="149"/>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c r="AD366" s="55"/>
    </row>
    <row r="367">
      <c r="A367" s="149"/>
      <c r="B367" s="149"/>
      <c r="C367" s="149"/>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row>
    <row r="368">
      <c r="A368" s="149"/>
      <c r="B368" s="149"/>
      <c r="C368" s="149"/>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row>
    <row r="369">
      <c r="A369" s="149"/>
      <c r="B369" s="149"/>
      <c r="C369" s="149"/>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c r="AD369" s="55"/>
    </row>
    <row r="370">
      <c r="A370" s="149"/>
      <c r="B370" s="149"/>
      <c r="C370" s="149"/>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55"/>
    </row>
    <row r="371">
      <c r="A371" s="149"/>
      <c r="B371" s="149"/>
      <c r="C371" s="149"/>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row>
    <row r="372">
      <c r="A372" s="149"/>
      <c r="B372" s="149"/>
      <c r="C372" s="149"/>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55"/>
    </row>
    <row r="373">
      <c r="A373" s="149"/>
      <c r="B373" s="149"/>
      <c r="C373" s="149"/>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55"/>
    </row>
    <row r="374">
      <c r="A374" s="149"/>
      <c r="B374" s="149"/>
      <c r="C374" s="149"/>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55"/>
    </row>
    <row r="375">
      <c r="A375" s="149"/>
      <c r="B375" s="149"/>
      <c r="C375" s="149"/>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55"/>
    </row>
    <row r="376">
      <c r="A376" s="149"/>
      <c r="B376" s="149"/>
      <c r="C376" s="149"/>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row>
    <row r="377">
      <c r="A377" s="149"/>
      <c r="B377" s="149"/>
      <c r="C377" s="149"/>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row>
    <row r="378">
      <c r="A378" s="149"/>
      <c r="B378" s="149"/>
      <c r="C378" s="149"/>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c r="AD378" s="55"/>
    </row>
    <row r="379">
      <c r="A379" s="149"/>
      <c r="B379" s="149"/>
      <c r="C379" s="149"/>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row>
    <row r="380">
      <c r="A380" s="149"/>
      <c r="B380" s="149"/>
      <c r="C380" s="149"/>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row>
    <row r="381">
      <c r="A381" s="149"/>
      <c r="B381" s="149"/>
      <c r="C381" s="149"/>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row>
    <row r="382">
      <c r="A382" s="149"/>
      <c r="B382" s="149"/>
      <c r="C382" s="149"/>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row>
    <row r="383">
      <c r="A383" s="149"/>
      <c r="B383" s="149"/>
      <c r="C383" s="149"/>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row>
    <row r="384">
      <c r="A384" s="149"/>
      <c r="B384" s="149"/>
      <c r="C384" s="149"/>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row>
    <row r="385">
      <c r="A385" s="149"/>
      <c r="B385" s="149"/>
      <c r="C385" s="149"/>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row>
    <row r="386">
      <c r="A386" s="149"/>
      <c r="B386" s="149"/>
      <c r="C386" s="149"/>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row>
    <row r="387">
      <c r="A387" s="149"/>
      <c r="B387" s="149"/>
      <c r="C387" s="149"/>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row>
    <row r="388">
      <c r="A388" s="149"/>
      <c r="B388" s="149"/>
      <c r="C388" s="149"/>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row>
    <row r="389">
      <c r="A389" s="149"/>
      <c r="B389" s="149"/>
      <c r="C389" s="149"/>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row>
    <row r="390">
      <c r="A390" s="149"/>
      <c r="B390" s="149"/>
      <c r="C390" s="149"/>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row>
    <row r="391">
      <c r="A391" s="149"/>
      <c r="B391" s="149"/>
      <c r="C391" s="149"/>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row>
    <row r="392">
      <c r="A392" s="149"/>
      <c r="B392" s="149"/>
      <c r="C392" s="149"/>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row>
    <row r="393">
      <c r="A393" s="149"/>
      <c r="B393" s="149"/>
      <c r="C393" s="149"/>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row>
    <row r="394">
      <c r="A394" s="149"/>
      <c r="B394" s="149"/>
      <c r="C394" s="149"/>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row>
    <row r="395">
      <c r="A395" s="149"/>
      <c r="B395" s="149"/>
      <c r="C395" s="149"/>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row>
    <row r="396">
      <c r="A396" s="149"/>
      <c r="B396" s="149"/>
      <c r="C396" s="149"/>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row>
    <row r="397">
      <c r="A397" s="149"/>
      <c r="B397" s="149"/>
      <c r="C397" s="149"/>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row>
    <row r="398">
      <c r="A398" s="149"/>
      <c r="B398" s="149"/>
      <c r="C398" s="149"/>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row>
    <row r="399">
      <c r="A399" s="149"/>
      <c r="B399" s="149"/>
      <c r="C399" s="149"/>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row>
    <row r="400">
      <c r="A400" s="149"/>
      <c r="B400" s="149"/>
      <c r="C400" s="149"/>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row>
    <row r="401">
      <c r="A401" s="149"/>
      <c r="B401" s="149"/>
      <c r="C401" s="149"/>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row>
    <row r="402">
      <c r="A402" s="149"/>
      <c r="B402" s="149"/>
      <c r="C402" s="149"/>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row>
    <row r="403">
      <c r="A403" s="149"/>
      <c r="B403" s="149"/>
      <c r="C403" s="149"/>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row>
    <row r="404">
      <c r="A404" s="149"/>
      <c r="B404" s="149"/>
      <c r="C404" s="149"/>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row>
    <row r="405">
      <c r="A405" s="149"/>
      <c r="B405" s="149"/>
      <c r="C405" s="149"/>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row>
    <row r="406">
      <c r="A406" s="149"/>
      <c r="B406" s="149"/>
      <c r="C406" s="149"/>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row>
    <row r="407">
      <c r="A407" s="149"/>
      <c r="B407" s="149"/>
      <c r="C407" s="149"/>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row>
    <row r="408">
      <c r="A408" s="149"/>
      <c r="B408" s="149"/>
      <c r="C408" s="149"/>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row>
    <row r="409">
      <c r="A409" s="149"/>
      <c r="B409" s="149"/>
      <c r="C409" s="149"/>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row>
    <row r="410">
      <c r="A410" s="149"/>
      <c r="B410" s="149"/>
      <c r="C410" s="149"/>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row>
    <row r="411">
      <c r="A411" s="149"/>
      <c r="B411" s="149"/>
      <c r="C411" s="149"/>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row>
    <row r="412">
      <c r="A412" s="149"/>
      <c r="B412" s="149"/>
      <c r="C412" s="149"/>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row>
    <row r="413">
      <c r="A413" s="149"/>
      <c r="B413" s="149"/>
      <c r="C413" s="149"/>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row>
    <row r="414">
      <c r="A414" s="149"/>
      <c r="B414" s="149"/>
      <c r="C414" s="149"/>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row>
    <row r="415">
      <c r="A415" s="149"/>
      <c r="B415" s="149"/>
      <c r="C415" s="149"/>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row>
    <row r="416">
      <c r="A416" s="149"/>
      <c r="B416" s="149"/>
      <c r="C416" s="149"/>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row>
    <row r="417">
      <c r="A417" s="149"/>
      <c r="B417" s="149"/>
      <c r="C417" s="149"/>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row>
    <row r="418">
      <c r="A418" s="149"/>
      <c r="B418" s="149"/>
      <c r="C418" s="149"/>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row>
    <row r="419">
      <c r="A419" s="149"/>
      <c r="B419" s="149"/>
      <c r="C419" s="149"/>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row>
    <row r="420">
      <c r="A420" s="149"/>
      <c r="B420" s="149"/>
      <c r="C420" s="149"/>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row>
    <row r="421">
      <c r="A421" s="149"/>
      <c r="B421" s="149"/>
      <c r="C421" s="149"/>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row>
    <row r="422">
      <c r="A422" s="149"/>
      <c r="B422" s="149"/>
      <c r="C422" s="149"/>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row>
    <row r="423">
      <c r="A423" s="149"/>
      <c r="B423" s="149"/>
      <c r="C423" s="149"/>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row>
    <row r="424">
      <c r="A424" s="149"/>
      <c r="B424" s="149"/>
      <c r="C424" s="149"/>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row>
    <row r="425">
      <c r="A425" s="149"/>
      <c r="B425" s="149"/>
      <c r="C425" s="149"/>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row>
    <row r="426">
      <c r="A426" s="149"/>
      <c r="B426" s="149"/>
      <c r="C426" s="149"/>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row>
    <row r="427">
      <c r="A427" s="149"/>
      <c r="B427" s="149"/>
      <c r="C427" s="149"/>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row>
    <row r="428">
      <c r="A428" s="149"/>
      <c r="B428" s="149"/>
      <c r="C428" s="149"/>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row>
    <row r="429">
      <c r="A429" s="149"/>
      <c r="B429" s="149"/>
      <c r="C429" s="149"/>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row>
    <row r="430">
      <c r="A430" s="149"/>
      <c r="B430" s="149"/>
      <c r="C430" s="149"/>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row>
    <row r="431">
      <c r="A431" s="149"/>
      <c r="B431" s="149"/>
      <c r="C431" s="149"/>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row>
    <row r="432">
      <c r="A432" s="149"/>
      <c r="B432" s="149"/>
      <c r="C432" s="149"/>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row>
    <row r="433">
      <c r="A433" s="149"/>
      <c r="B433" s="149"/>
      <c r="C433" s="149"/>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row>
    <row r="434">
      <c r="A434" s="149"/>
      <c r="B434" s="149"/>
      <c r="C434" s="149"/>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row>
    <row r="435">
      <c r="A435" s="149"/>
      <c r="B435" s="149"/>
      <c r="C435" s="149"/>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row>
    <row r="436">
      <c r="A436" s="149"/>
      <c r="B436" s="149"/>
      <c r="C436" s="149"/>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row>
    <row r="437">
      <c r="A437" s="149"/>
      <c r="B437" s="149"/>
      <c r="C437" s="149"/>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row>
    <row r="438">
      <c r="A438" s="149"/>
      <c r="B438" s="149"/>
      <c r="C438" s="149"/>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row>
    <row r="439">
      <c r="A439" s="149"/>
      <c r="B439" s="149"/>
      <c r="C439" s="149"/>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row>
    <row r="440">
      <c r="A440" s="149"/>
      <c r="B440" s="149"/>
      <c r="C440" s="149"/>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row>
    <row r="441">
      <c r="A441" s="149"/>
      <c r="B441" s="149"/>
      <c r="C441" s="149"/>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row>
    <row r="442">
      <c r="A442" s="149"/>
      <c r="B442" s="149"/>
      <c r="C442" s="149"/>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row>
    <row r="443">
      <c r="A443" s="149"/>
      <c r="B443" s="149"/>
      <c r="C443" s="149"/>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row>
    <row r="444">
      <c r="A444" s="149"/>
      <c r="B444" s="149"/>
      <c r="C444" s="149"/>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row>
    <row r="445">
      <c r="A445" s="149"/>
      <c r="B445" s="149"/>
      <c r="C445" s="149"/>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row>
    <row r="446">
      <c r="A446" s="149"/>
      <c r="B446" s="149"/>
      <c r="C446" s="149"/>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row>
    <row r="447">
      <c r="A447" s="149"/>
      <c r="B447" s="149"/>
      <c r="C447" s="149"/>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row>
    <row r="448">
      <c r="A448" s="149"/>
      <c r="B448" s="149"/>
      <c r="C448" s="149"/>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row>
    <row r="449">
      <c r="A449" s="149"/>
      <c r="B449" s="149"/>
      <c r="C449" s="149"/>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row>
    <row r="450">
      <c r="A450" s="149"/>
      <c r="B450" s="149"/>
      <c r="C450" s="149"/>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row>
    <row r="451">
      <c r="A451" s="149"/>
      <c r="B451" s="149"/>
      <c r="C451" s="149"/>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row>
    <row r="452">
      <c r="A452" s="149"/>
      <c r="B452" s="149"/>
      <c r="C452" s="149"/>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row>
    <row r="453">
      <c r="A453" s="149"/>
      <c r="B453" s="149"/>
      <c r="C453" s="149"/>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row>
    <row r="454">
      <c r="A454" s="149"/>
      <c r="B454" s="149"/>
      <c r="C454" s="149"/>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row>
    <row r="455">
      <c r="A455" s="149"/>
      <c r="B455" s="149"/>
      <c r="C455" s="149"/>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row>
    <row r="456">
      <c r="A456" s="149"/>
      <c r="B456" s="149"/>
      <c r="C456" s="149"/>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row>
    <row r="457">
      <c r="A457" s="149"/>
      <c r="B457" s="149"/>
      <c r="C457" s="149"/>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row>
    <row r="458">
      <c r="A458" s="149"/>
      <c r="B458" s="149"/>
      <c r="C458" s="149"/>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row>
    <row r="459">
      <c r="A459" s="149"/>
      <c r="B459" s="149"/>
      <c r="C459" s="149"/>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row>
    <row r="460">
      <c r="A460" s="149"/>
      <c r="B460" s="149"/>
      <c r="C460" s="149"/>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row>
    <row r="461">
      <c r="A461" s="149"/>
      <c r="B461" s="149"/>
      <c r="C461" s="149"/>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row>
    <row r="462">
      <c r="A462" s="149"/>
      <c r="B462" s="149"/>
      <c r="C462" s="149"/>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row>
    <row r="463">
      <c r="A463" s="149"/>
      <c r="B463" s="149"/>
      <c r="C463" s="149"/>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row>
    <row r="464">
      <c r="A464" s="149"/>
      <c r="B464" s="149"/>
      <c r="C464" s="149"/>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row>
    <row r="465">
      <c r="A465" s="149"/>
      <c r="B465" s="149"/>
      <c r="C465" s="149"/>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row>
    <row r="466">
      <c r="A466" s="149"/>
      <c r="B466" s="149"/>
      <c r="C466" s="149"/>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row>
    <row r="467">
      <c r="A467" s="149"/>
      <c r="B467" s="149"/>
      <c r="C467" s="149"/>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row>
    <row r="468">
      <c r="A468" s="149"/>
      <c r="B468" s="149"/>
      <c r="C468" s="149"/>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row>
    <row r="469">
      <c r="A469" s="149"/>
      <c r="B469" s="149"/>
      <c r="C469" s="149"/>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row>
    <row r="470">
      <c r="A470" s="149"/>
      <c r="B470" s="149"/>
      <c r="C470" s="149"/>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row>
    <row r="471">
      <c r="A471" s="149"/>
      <c r="B471" s="149"/>
      <c r="C471" s="149"/>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row>
    <row r="472">
      <c r="A472" s="149"/>
      <c r="B472" s="149"/>
      <c r="C472" s="149"/>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row>
    <row r="473">
      <c r="A473" s="149"/>
      <c r="B473" s="149"/>
      <c r="C473" s="149"/>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row>
    <row r="474">
      <c r="A474" s="149"/>
      <c r="B474" s="149"/>
      <c r="C474" s="149"/>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row>
    <row r="475">
      <c r="A475" s="149"/>
      <c r="B475" s="149"/>
      <c r="C475" s="149"/>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row>
    <row r="476">
      <c r="A476" s="149"/>
      <c r="B476" s="149"/>
      <c r="C476" s="149"/>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row>
    <row r="477">
      <c r="A477" s="149"/>
      <c r="B477" s="149"/>
      <c r="C477" s="149"/>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row>
    <row r="478">
      <c r="A478" s="149"/>
      <c r="B478" s="149"/>
      <c r="C478" s="149"/>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row>
    <row r="479">
      <c r="A479" s="149"/>
      <c r="B479" s="149"/>
      <c r="C479" s="149"/>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row>
    <row r="480">
      <c r="A480" s="149"/>
      <c r="B480" s="149"/>
      <c r="C480" s="149"/>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row>
    <row r="481">
      <c r="A481" s="149"/>
      <c r="B481" s="149"/>
      <c r="C481" s="149"/>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row>
    <row r="482">
      <c r="A482" s="149"/>
      <c r="B482" s="149"/>
      <c r="C482" s="149"/>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row>
    <row r="483">
      <c r="A483" s="149"/>
      <c r="B483" s="149"/>
      <c r="C483" s="149"/>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row>
    <row r="484">
      <c r="A484" s="149"/>
      <c r="B484" s="149"/>
      <c r="C484" s="149"/>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row>
    <row r="485">
      <c r="A485" s="149"/>
      <c r="B485" s="149"/>
      <c r="C485" s="149"/>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row>
    <row r="486">
      <c r="A486" s="149"/>
      <c r="B486" s="149"/>
      <c r="C486" s="149"/>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row>
    <row r="487">
      <c r="A487" s="149"/>
      <c r="B487" s="149"/>
      <c r="C487" s="149"/>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row>
    <row r="488">
      <c r="A488" s="149"/>
      <c r="B488" s="149"/>
      <c r="C488" s="149"/>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row>
    <row r="489">
      <c r="A489" s="149"/>
      <c r="B489" s="149"/>
      <c r="C489" s="149"/>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row>
    <row r="490">
      <c r="A490" s="149"/>
      <c r="B490" s="149"/>
      <c r="C490" s="149"/>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row>
    <row r="491">
      <c r="A491" s="149"/>
      <c r="B491" s="149"/>
      <c r="C491" s="149"/>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row>
    <row r="492">
      <c r="A492" s="149"/>
      <c r="B492" s="149"/>
      <c r="C492" s="149"/>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row>
    <row r="493">
      <c r="A493" s="149"/>
      <c r="B493" s="149"/>
      <c r="C493" s="149"/>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row>
    <row r="494">
      <c r="A494" s="149"/>
      <c r="B494" s="149"/>
      <c r="C494" s="149"/>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row>
    <row r="495">
      <c r="A495" s="149"/>
      <c r="B495" s="149"/>
      <c r="C495" s="149"/>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row>
    <row r="496">
      <c r="A496" s="149"/>
      <c r="B496" s="149"/>
      <c r="C496" s="149"/>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row>
    <row r="497">
      <c r="A497" s="149"/>
      <c r="B497" s="149"/>
      <c r="C497" s="149"/>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row>
    <row r="498">
      <c r="A498" s="149"/>
      <c r="B498" s="149"/>
      <c r="C498" s="149"/>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row>
    <row r="499">
      <c r="A499" s="149"/>
      <c r="B499" s="149"/>
      <c r="C499" s="149"/>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row>
    <row r="500">
      <c r="A500" s="149"/>
      <c r="B500" s="149"/>
      <c r="C500" s="149"/>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row>
    <row r="501">
      <c r="A501" s="149"/>
      <c r="B501" s="149"/>
      <c r="C501" s="149"/>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row>
    <row r="502">
      <c r="A502" s="149"/>
      <c r="B502" s="149"/>
      <c r="C502" s="149"/>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row>
    <row r="503">
      <c r="A503" s="149"/>
      <c r="B503" s="149"/>
      <c r="C503" s="149"/>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row>
    <row r="504">
      <c r="A504" s="149"/>
      <c r="B504" s="149"/>
      <c r="C504" s="149"/>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row>
    <row r="505">
      <c r="A505" s="149"/>
      <c r="B505" s="149"/>
      <c r="C505" s="149"/>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row>
    <row r="506">
      <c r="A506" s="149"/>
      <c r="B506" s="149"/>
      <c r="C506" s="149"/>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row>
    <row r="507">
      <c r="A507" s="149"/>
      <c r="B507" s="149"/>
      <c r="C507" s="149"/>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row>
    <row r="508">
      <c r="A508" s="149"/>
      <c r="B508" s="149"/>
      <c r="C508" s="149"/>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row>
    <row r="509">
      <c r="A509" s="149"/>
      <c r="B509" s="149"/>
      <c r="C509" s="149"/>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row>
    <row r="510">
      <c r="A510" s="149"/>
      <c r="B510" s="149"/>
      <c r="C510" s="149"/>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row>
    <row r="511">
      <c r="A511" s="149"/>
      <c r="B511" s="149"/>
      <c r="C511" s="149"/>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row>
    <row r="512">
      <c r="A512" s="149"/>
      <c r="B512" s="149"/>
      <c r="C512" s="149"/>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row>
    <row r="513">
      <c r="A513" s="149"/>
      <c r="B513" s="149"/>
      <c r="C513" s="149"/>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row>
    <row r="514">
      <c r="A514" s="149"/>
      <c r="B514" s="149"/>
      <c r="C514" s="149"/>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row>
    <row r="515">
      <c r="A515" s="149"/>
      <c r="B515" s="149"/>
      <c r="C515" s="149"/>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row>
    <row r="516">
      <c r="A516" s="149"/>
      <c r="B516" s="149"/>
      <c r="C516" s="149"/>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row>
    <row r="517">
      <c r="A517" s="149"/>
      <c r="B517" s="149"/>
      <c r="C517" s="149"/>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row>
    <row r="518">
      <c r="A518" s="149"/>
      <c r="B518" s="149"/>
      <c r="C518" s="149"/>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row>
    <row r="519">
      <c r="A519" s="149"/>
      <c r="B519" s="149"/>
      <c r="C519" s="149"/>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row>
    <row r="520">
      <c r="A520" s="149"/>
      <c r="B520" s="149"/>
      <c r="C520" s="149"/>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row>
    <row r="521">
      <c r="A521" s="149"/>
      <c r="B521" s="149"/>
      <c r="C521" s="149"/>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row>
    <row r="522">
      <c r="A522" s="149"/>
      <c r="B522" s="149"/>
      <c r="C522" s="149"/>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row>
    <row r="523">
      <c r="A523" s="149"/>
      <c r="B523" s="149"/>
      <c r="C523" s="149"/>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row>
    <row r="524">
      <c r="A524" s="149"/>
      <c r="B524" s="149"/>
      <c r="C524" s="149"/>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row>
    <row r="525">
      <c r="A525" s="149"/>
      <c r="B525" s="149"/>
      <c r="C525" s="149"/>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row>
    <row r="526">
      <c r="A526" s="149"/>
      <c r="B526" s="149"/>
      <c r="C526" s="149"/>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row>
    <row r="527">
      <c r="A527" s="149"/>
      <c r="B527" s="149"/>
      <c r="C527" s="149"/>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row>
    <row r="528">
      <c r="A528" s="149"/>
      <c r="B528" s="149"/>
      <c r="C528" s="149"/>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row>
    <row r="529">
      <c r="A529" s="149"/>
      <c r="B529" s="149"/>
      <c r="C529" s="149"/>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row>
    <row r="530">
      <c r="A530" s="149"/>
      <c r="B530" s="149"/>
      <c r="C530" s="149"/>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row>
    <row r="531">
      <c r="A531" s="149"/>
      <c r="B531" s="149"/>
      <c r="C531" s="149"/>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row>
    <row r="532">
      <c r="A532" s="149"/>
      <c r="B532" s="149"/>
      <c r="C532" s="149"/>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row>
    <row r="533">
      <c r="A533" s="149"/>
      <c r="B533" s="149"/>
      <c r="C533" s="149"/>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row>
    <row r="534">
      <c r="A534" s="149"/>
      <c r="B534" s="149"/>
      <c r="C534" s="149"/>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row>
    <row r="535">
      <c r="A535" s="149"/>
      <c r="B535" s="149"/>
      <c r="C535" s="149"/>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row>
    <row r="536">
      <c r="A536" s="149"/>
      <c r="B536" s="149"/>
      <c r="C536" s="149"/>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row>
    <row r="537">
      <c r="A537" s="149"/>
      <c r="B537" s="149"/>
      <c r="C537" s="149"/>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row>
    <row r="538">
      <c r="A538" s="149"/>
      <c r="B538" s="149"/>
      <c r="C538" s="149"/>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row>
    <row r="539">
      <c r="A539" s="149"/>
      <c r="B539" s="149"/>
      <c r="C539" s="149"/>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row>
    <row r="540">
      <c r="A540" s="149"/>
      <c r="B540" s="149"/>
      <c r="C540" s="149"/>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row>
    <row r="541">
      <c r="A541" s="149"/>
      <c r="B541" s="149"/>
      <c r="C541" s="149"/>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row>
    <row r="542">
      <c r="A542" s="149"/>
      <c r="B542" s="149"/>
      <c r="C542" s="149"/>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row>
    <row r="543">
      <c r="A543" s="149"/>
      <c r="B543" s="149"/>
      <c r="C543" s="149"/>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row>
    <row r="544">
      <c r="A544" s="149"/>
      <c r="B544" s="149"/>
      <c r="C544" s="149"/>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row>
    <row r="545">
      <c r="A545" s="149"/>
      <c r="B545" s="149"/>
      <c r="C545" s="149"/>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row>
    <row r="546">
      <c r="A546" s="149"/>
      <c r="B546" s="149"/>
      <c r="C546" s="149"/>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row>
    <row r="547">
      <c r="A547" s="149"/>
      <c r="B547" s="149"/>
      <c r="C547" s="149"/>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row>
    <row r="548">
      <c r="A548" s="149"/>
      <c r="B548" s="149"/>
      <c r="C548" s="149"/>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row>
    <row r="549">
      <c r="A549" s="149"/>
      <c r="B549" s="149"/>
      <c r="C549" s="149"/>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row>
    <row r="550">
      <c r="A550" s="149"/>
      <c r="B550" s="149"/>
      <c r="C550" s="149"/>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row>
    <row r="551">
      <c r="A551" s="149"/>
      <c r="B551" s="149"/>
      <c r="C551" s="149"/>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row>
    <row r="552">
      <c r="A552" s="149"/>
      <c r="B552" s="149"/>
      <c r="C552" s="149"/>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row>
    <row r="553">
      <c r="A553" s="149"/>
      <c r="B553" s="149"/>
      <c r="C553" s="149"/>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row>
    <row r="554">
      <c r="A554" s="149"/>
      <c r="B554" s="149"/>
      <c r="C554" s="149"/>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row>
    <row r="555">
      <c r="A555" s="149"/>
      <c r="B555" s="149"/>
      <c r="C555" s="149"/>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row>
    <row r="556">
      <c r="A556" s="149"/>
      <c r="B556" s="149"/>
      <c r="C556" s="149"/>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row>
    <row r="557">
      <c r="A557" s="149"/>
      <c r="B557" s="149"/>
      <c r="C557" s="149"/>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row>
    <row r="558">
      <c r="A558" s="149"/>
      <c r="B558" s="149"/>
      <c r="C558" s="149"/>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row>
    <row r="559">
      <c r="A559" s="149"/>
      <c r="B559" s="149"/>
      <c r="C559" s="149"/>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row>
    <row r="560">
      <c r="A560" s="149"/>
      <c r="B560" s="149"/>
      <c r="C560" s="149"/>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row>
    <row r="561">
      <c r="A561" s="149"/>
      <c r="B561" s="149"/>
      <c r="C561" s="149"/>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row>
    <row r="562">
      <c r="A562" s="149"/>
      <c r="B562" s="149"/>
      <c r="C562" s="149"/>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row>
    <row r="563">
      <c r="A563" s="149"/>
      <c r="B563" s="149"/>
      <c r="C563" s="149"/>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row>
    <row r="564">
      <c r="A564" s="149"/>
      <c r="B564" s="149"/>
      <c r="C564" s="149"/>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row>
    <row r="565">
      <c r="A565" s="149"/>
      <c r="B565" s="149"/>
      <c r="C565" s="149"/>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row>
    <row r="566">
      <c r="A566" s="149"/>
      <c r="B566" s="149"/>
      <c r="C566" s="149"/>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row>
    <row r="567">
      <c r="A567" s="149"/>
      <c r="B567" s="149"/>
      <c r="C567" s="149"/>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row>
    <row r="568">
      <c r="A568" s="149"/>
      <c r="B568" s="149"/>
      <c r="C568" s="149"/>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row>
    <row r="569">
      <c r="A569" s="149"/>
      <c r="B569" s="149"/>
      <c r="C569" s="149"/>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row>
    <row r="570">
      <c r="A570" s="149"/>
      <c r="B570" s="149"/>
      <c r="C570" s="149"/>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row>
    <row r="571">
      <c r="A571" s="149"/>
      <c r="B571" s="149"/>
      <c r="C571" s="149"/>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row>
    <row r="572">
      <c r="A572" s="149"/>
      <c r="B572" s="149"/>
      <c r="C572" s="149"/>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row>
    <row r="573">
      <c r="A573" s="149"/>
      <c r="B573" s="149"/>
      <c r="C573" s="149"/>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row>
    <row r="574">
      <c r="A574" s="149"/>
      <c r="B574" s="149"/>
      <c r="C574" s="149"/>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row>
    <row r="575">
      <c r="A575" s="149"/>
      <c r="B575" s="149"/>
      <c r="C575" s="149"/>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row>
    <row r="576">
      <c r="A576" s="149"/>
      <c r="B576" s="149"/>
      <c r="C576" s="149"/>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row>
    <row r="577">
      <c r="A577" s="149"/>
      <c r="B577" s="149"/>
      <c r="C577" s="149"/>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c r="AD577" s="55"/>
    </row>
    <row r="578">
      <c r="A578" s="149"/>
      <c r="B578" s="149"/>
      <c r="C578" s="149"/>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c r="AD578" s="55"/>
    </row>
    <row r="579">
      <c r="A579" s="149"/>
      <c r="B579" s="149"/>
      <c r="C579" s="149"/>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c r="AD579" s="55"/>
    </row>
    <row r="580">
      <c r="A580" s="149"/>
      <c r="B580" s="149"/>
      <c r="C580" s="149"/>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c r="AD580" s="55"/>
    </row>
    <row r="581">
      <c r="A581" s="149"/>
      <c r="B581" s="149"/>
      <c r="C581" s="149"/>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c r="AD581" s="55"/>
    </row>
    <row r="582">
      <c r="A582" s="149"/>
      <c r="B582" s="149"/>
      <c r="C582" s="149"/>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c r="AD582" s="55"/>
    </row>
    <row r="583">
      <c r="A583" s="149"/>
      <c r="B583" s="149"/>
      <c r="C583" s="149"/>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c r="AD583" s="55"/>
    </row>
    <row r="584">
      <c r="A584" s="149"/>
      <c r="B584" s="149"/>
      <c r="C584" s="149"/>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row>
    <row r="585">
      <c r="A585" s="149"/>
      <c r="B585" s="149"/>
      <c r="C585" s="149"/>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row>
    <row r="586">
      <c r="A586" s="149"/>
      <c r="B586" s="149"/>
      <c r="C586" s="149"/>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c r="AD586" s="55"/>
    </row>
    <row r="587">
      <c r="A587" s="149"/>
      <c r="B587" s="149"/>
      <c r="C587" s="149"/>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c r="AD587" s="55"/>
    </row>
    <row r="588">
      <c r="A588" s="149"/>
      <c r="B588" s="149"/>
      <c r="C588" s="149"/>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row>
    <row r="589">
      <c r="A589" s="149"/>
      <c r="B589" s="149"/>
      <c r="C589" s="149"/>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c r="AD589" s="55"/>
    </row>
    <row r="590">
      <c r="A590" s="149"/>
      <c r="B590" s="149"/>
      <c r="C590" s="149"/>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c r="AD590" s="55"/>
    </row>
    <row r="591">
      <c r="A591" s="149"/>
      <c r="B591" s="149"/>
      <c r="C591" s="149"/>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c r="AD591" s="55"/>
    </row>
    <row r="592">
      <c r="A592" s="149"/>
      <c r="B592" s="149"/>
      <c r="C592" s="149"/>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c r="AD592" s="55"/>
    </row>
    <row r="593">
      <c r="A593" s="149"/>
      <c r="B593" s="149"/>
      <c r="C593" s="149"/>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row>
    <row r="594">
      <c r="A594" s="149"/>
      <c r="B594" s="149"/>
      <c r="C594" s="149"/>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c r="AD594" s="55"/>
    </row>
    <row r="595">
      <c r="A595" s="149"/>
      <c r="B595" s="149"/>
      <c r="C595" s="149"/>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c r="AD595" s="55"/>
    </row>
    <row r="596">
      <c r="A596" s="149"/>
      <c r="B596" s="149"/>
      <c r="C596" s="149"/>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c r="AD596" s="55"/>
    </row>
    <row r="597">
      <c r="A597" s="149"/>
      <c r="B597" s="149"/>
      <c r="C597" s="149"/>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row>
    <row r="598">
      <c r="A598" s="149"/>
      <c r="B598" s="149"/>
      <c r="C598" s="149"/>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c r="AD598" s="55"/>
    </row>
    <row r="599">
      <c r="A599" s="149"/>
      <c r="B599" s="149"/>
      <c r="C599" s="149"/>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c r="AD599" s="55"/>
    </row>
    <row r="600">
      <c r="A600" s="149"/>
      <c r="B600" s="149"/>
      <c r="C600" s="149"/>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c r="AD600" s="55"/>
    </row>
    <row r="601">
      <c r="A601" s="149"/>
      <c r="B601" s="149"/>
      <c r="C601" s="149"/>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c r="AD601" s="55"/>
    </row>
    <row r="602">
      <c r="A602" s="149"/>
      <c r="B602" s="149"/>
      <c r="C602" s="149"/>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c r="AD602" s="55"/>
    </row>
    <row r="603">
      <c r="A603" s="149"/>
      <c r="B603" s="149"/>
      <c r="C603" s="149"/>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c r="AD603" s="55"/>
    </row>
    <row r="604">
      <c r="A604" s="149"/>
      <c r="B604" s="149"/>
      <c r="C604" s="149"/>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c r="AD604" s="55"/>
    </row>
    <row r="605">
      <c r="A605" s="149"/>
      <c r="B605" s="149"/>
      <c r="C605" s="149"/>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c r="AD605" s="55"/>
    </row>
    <row r="606">
      <c r="A606" s="149"/>
      <c r="B606" s="149"/>
      <c r="C606" s="149"/>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c r="AD606" s="55"/>
    </row>
    <row r="607">
      <c r="A607" s="149"/>
      <c r="B607" s="149"/>
      <c r="C607" s="149"/>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c r="AD607" s="55"/>
    </row>
    <row r="608">
      <c r="A608" s="149"/>
      <c r="B608" s="149"/>
      <c r="C608" s="149"/>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c r="AD608" s="55"/>
    </row>
    <row r="609">
      <c r="A609" s="149"/>
      <c r="B609" s="149"/>
      <c r="C609" s="149"/>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c r="AD609" s="55"/>
    </row>
    <row r="610">
      <c r="A610" s="149"/>
      <c r="B610" s="149"/>
      <c r="C610" s="149"/>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c r="AD610" s="55"/>
    </row>
    <row r="611">
      <c r="A611" s="149"/>
      <c r="B611" s="149"/>
      <c r="C611" s="149"/>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c r="AD611" s="55"/>
    </row>
    <row r="612">
      <c r="A612" s="149"/>
      <c r="B612" s="149"/>
      <c r="C612" s="149"/>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c r="AD612" s="55"/>
    </row>
    <row r="613">
      <c r="A613" s="149"/>
      <c r="B613" s="149"/>
      <c r="C613" s="149"/>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c r="AD613" s="55"/>
    </row>
    <row r="614">
      <c r="A614" s="149"/>
      <c r="B614" s="149"/>
      <c r="C614" s="149"/>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c r="AD614" s="55"/>
    </row>
    <row r="615">
      <c r="A615" s="149"/>
      <c r="B615" s="149"/>
      <c r="C615" s="149"/>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c r="AD615" s="55"/>
    </row>
    <row r="616">
      <c r="A616" s="149"/>
      <c r="B616" s="149"/>
      <c r="C616" s="149"/>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c r="AD616" s="55"/>
    </row>
    <row r="617">
      <c r="A617" s="149"/>
      <c r="B617" s="149"/>
      <c r="C617" s="149"/>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c r="AD617" s="55"/>
    </row>
    <row r="618">
      <c r="A618" s="149"/>
      <c r="B618" s="149"/>
      <c r="C618" s="149"/>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c r="AD618" s="55"/>
    </row>
    <row r="619">
      <c r="A619" s="149"/>
      <c r="B619" s="149"/>
      <c r="C619" s="149"/>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row>
    <row r="620">
      <c r="A620" s="149"/>
      <c r="B620" s="149"/>
      <c r="C620" s="149"/>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row>
    <row r="621">
      <c r="A621" s="149"/>
      <c r="B621" s="149"/>
      <c r="C621" s="149"/>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c r="AD621" s="55"/>
    </row>
    <row r="622">
      <c r="A622" s="149"/>
      <c r="B622" s="149"/>
      <c r="C622" s="149"/>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c r="AD622" s="55"/>
    </row>
    <row r="623">
      <c r="A623" s="149"/>
      <c r="B623" s="149"/>
      <c r="C623" s="149"/>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c r="AD623" s="55"/>
    </row>
    <row r="624">
      <c r="A624" s="149"/>
      <c r="B624" s="149"/>
      <c r="C624" s="149"/>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c r="AD624" s="55"/>
    </row>
    <row r="625">
      <c r="A625" s="149"/>
      <c r="B625" s="149"/>
      <c r="C625" s="149"/>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row>
    <row r="626">
      <c r="A626" s="149"/>
      <c r="B626" s="149"/>
      <c r="C626" s="149"/>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c r="AD626" s="55"/>
    </row>
    <row r="627">
      <c r="A627" s="149"/>
      <c r="B627" s="149"/>
      <c r="C627" s="149"/>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row>
    <row r="628">
      <c r="A628" s="149"/>
      <c r="B628" s="149"/>
      <c r="C628" s="149"/>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c r="AD628" s="55"/>
    </row>
    <row r="629">
      <c r="A629" s="149"/>
      <c r="B629" s="149"/>
      <c r="C629" s="149"/>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c r="AD629" s="55"/>
    </row>
    <row r="630">
      <c r="A630" s="149"/>
      <c r="B630" s="149"/>
      <c r="C630" s="149"/>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row>
    <row r="631">
      <c r="A631" s="149"/>
      <c r="B631" s="149"/>
      <c r="C631" s="149"/>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c r="AD631" s="55"/>
    </row>
    <row r="632">
      <c r="A632" s="149"/>
      <c r="B632" s="149"/>
      <c r="C632" s="149"/>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row>
    <row r="633">
      <c r="A633" s="149"/>
      <c r="B633" s="149"/>
      <c r="C633" s="149"/>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row>
    <row r="634">
      <c r="A634" s="149"/>
      <c r="B634" s="149"/>
      <c r="C634" s="149"/>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c r="AD634" s="55"/>
    </row>
    <row r="635">
      <c r="A635" s="149"/>
      <c r="B635" s="149"/>
      <c r="C635" s="149"/>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row>
    <row r="636">
      <c r="A636" s="149"/>
      <c r="B636" s="149"/>
      <c r="C636" s="149"/>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row>
    <row r="637">
      <c r="A637" s="149"/>
      <c r="B637" s="149"/>
      <c r="C637" s="149"/>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row>
    <row r="638">
      <c r="A638" s="149"/>
      <c r="B638" s="149"/>
      <c r="C638" s="149"/>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c r="AD638" s="55"/>
    </row>
    <row r="639">
      <c r="A639" s="149"/>
      <c r="B639" s="149"/>
      <c r="C639" s="149"/>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c r="AD639" s="55"/>
    </row>
    <row r="640">
      <c r="A640" s="149"/>
      <c r="B640" s="149"/>
      <c r="C640" s="149"/>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c r="AD640" s="55"/>
    </row>
    <row r="641">
      <c r="A641" s="149"/>
      <c r="B641" s="149"/>
      <c r="C641" s="149"/>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c r="AD641" s="55"/>
    </row>
    <row r="642">
      <c r="A642" s="149"/>
      <c r="B642" s="149"/>
      <c r="C642" s="149"/>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c r="AD642" s="55"/>
    </row>
    <row r="643">
      <c r="A643" s="149"/>
      <c r="B643" s="149"/>
      <c r="C643" s="149"/>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row>
    <row r="644">
      <c r="A644" s="149"/>
      <c r="B644" s="149"/>
      <c r="C644" s="149"/>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c r="AD644" s="55"/>
    </row>
    <row r="645">
      <c r="A645" s="149"/>
      <c r="B645" s="149"/>
      <c r="C645" s="149"/>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c r="AD645" s="55"/>
    </row>
    <row r="646">
      <c r="A646" s="149"/>
      <c r="B646" s="149"/>
      <c r="C646" s="149"/>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c r="AD646" s="55"/>
    </row>
    <row r="647">
      <c r="A647" s="149"/>
      <c r="B647" s="149"/>
      <c r="C647" s="149"/>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c r="AD647" s="55"/>
    </row>
    <row r="648">
      <c r="A648" s="149"/>
      <c r="B648" s="149"/>
      <c r="C648" s="149"/>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c r="AD648" s="55"/>
    </row>
    <row r="649">
      <c r="A649" s="149"/>
      <c r="B649" s="149"/>
      <c r="C649" s="149"/>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c r="AD649" s="55"/>
    </row>
    <row r="650">
      <c r="A650" s="149"/>
      <c r="B650" s="149"/>
      <c r="C650" s="149"/>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c r="AD650" s="55"/>
    </row>
    <row r="651">
      <c r="A651" s="149"/>
      <c r="B651" s="149"/>
      <c r="C651" s="149"/>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c r="AD651" s="55"/>
    </row>
    <row r="652">
      <c r="A652" s="149"/>
      <c r="B652" s="149"/>
      <c r="C652" s="149"/>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c r="AD652" s="55"/>
    </row>
    <row r="653">
      <c r="A653" s="149"/>
      <c r="B653" s="149"/>
      <c r="C653" s="149"/>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c r="AD653" s="55"/>
    </row>
    <row r="654">
      <c r="A654" s="149"/>
      <c r="B654" s="149"/>
      <c r="C654" s="149"/>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c r="AD654" s="55"/>
    </row>
    <row r="655">
      <c r="A655" s="149"/>
      <c r="B655" s="149"/>
      <c r="C655" s="149"/>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c r="AD655" s="55"/>
    </row>
    <row r="656">
      <c r="A656" s="149"/>
      <c r="B656" s="149"/>
      <c r="C656" s="149"/>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c r="AD656" s="55"/>
    </row>
    <row r="657">
      <c r="A657" s="149"/>
      <c r="B657" s="149"/>
      <c r="C657" s="149"/>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row>
    <row r="658">
      <c r="A658" s="149"/>
      <c r="B658" s="149"/>
      <c r="C658" s="149"/>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row>
    <row r="659">
      <c r="A659" s="149"/>
      <c r="B659" s="149"/>
      <c r="C659" s="149"/>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c r="AD659" s="55"/>
    </row>
    <row r="660">
      <c r="A660" s="149"/>
      <c r="B660" s="149"/>
      <c r="C660" s="149"/>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row>
    <row r="661">
      <c r="A661" s="149"/>
      <c r="B661" s="149"/>
      <c r="C661" s="149"/>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c r="AD661" s="55"/>
    </row>
    <row r="662">
      <c r="A662" s="149"/>
      <c r="B662" s="149"/>
      <c r="C662" s="149"/>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row>
    <row r="663">
      <c r="A663" s="149"/>
      <c r="B663" s="149"/>
      <c r="C663" s="149"/>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c r="AD663" s="55"/>
    </row>
    <row r="664">
      <c r="A664" s="149"/>
      <c r="B664" s="149"/>
      <c r="C664" s="149"/>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c r="AD664" s="55"/>
    </row>
    <row r="665">
      <c r="A665" s="149"/>
      <c r="B665" s="149"/>
      <c r="C665" s="149"/>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c r="AD665" s="55"/>
    </row>
    <row r="666">
      <c r="A666" s="149"/>
      <c r="B666" s="149"/>
      <c r="C666" s="149"/>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c r="AD666" s="55"/>
    </row>
    <row r="667">
      <c r="A667" s="149"/>
      <c r="B667" s="149"/>
      <c r="C667" s="149"/>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c r="AD667" s="55"/>
    </row>
    <row r="668">
      <c r="A668" s="149"/>
      <c r="B668" s="149"/>
      <c r="C668" s="149"/>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row>
    <row r="669">
      <c r="A669" s="149"/>
      <c r="B669" s="149"/>
      <c r="C669" s="149"/>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row>
    <row r="670">
      <c r="A670" s="149"/>
      <c r="B670" s="149"/>
      <c r="C670" s="149"/>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row>
    <row r="671">
      <c r="A671" s="149"/>
      <c r="B671" s="149"/>
      <c r="C671" s="149"/>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row>
    <row r="672">
      <c r="A672" s="149"/>
      <c r="B672" s="149"/>
      <c r="C672" s="149"/>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row>
    <row r="673">
      <c r="A673" s="149"/>
      <c r="B673" s="149"/>
      <c r="C673" s="149"/>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c r="AD673" s="55"/>
    </row>
    <row r="674">
      <c r="A674" s="149"/>
      <c r="B674" s="149"/>
      <c r="C674" s="149"/>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c r="AD674" s="55"/>
    </row>
    <row r="675">
      <c r="A675" s="149"/>
      <c r="B675" s="149"/>
      <c r="C675" s="149"/>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c r="AD675" s="55"/>
    </row>
    <row r="676">
      <c r="A676" s="149"/>
      <c r="B676" s="149"/>
      <c r="C676" s="149"/>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c r="AD676" s="55"/>
    </row>
    <row r="677">
      <c r="A677" s="149"/>
      <c r="B677" s="149"/>
      <c r="C677" s="149"/>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c r="AD677" s="55"/>
    </row>
    <row r="678">
      <c r="A678" s="149"/>
      <c r="B678" s="149"/>
      <c r="C678" s="149"/>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c r="AD678" s="55"/>
    </row>
    <row r="679">
      <c r="A679" s="149"/>
      <c r="B679" s="149"/>
      <c r="C679" s="149"/>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c r="AD679" s="55"/>
    </row>
    <row r="680">
      <c r="A680" s="149"/>
      <c r="B680" s="149"/>
      <c r="C680" s="149"/>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c r="AD680" s="55"/>
    </row>
    <row r="681">
      <c r="A681" s="149"/>
      <c r="B681" s="149"/>
      <c r="C681" s="149"/>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c r="AD681" s="55"/>
    </row>
    <row r="682">
      <c r="A682" s="149"/>
      <c r="B682" s="149"/>
      <c r="C682" s="149"/>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c r="AD682" s="55"/>
    </row>
    <row r="683">
      <c r="A683" s="149"/>
      <c r="B683" s="149"/>
      <c r="C683" s="149"/>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c r="AD683" s="55"/>
    </row>
    <row r="684">
      <c r="A684" s="149"/>
      <c r="B684" s="149"/>
      <c r="C684" s="149"/>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c r="AD684" s="55"/>
    </row>
    <row r="685">
      <c r="A685" s="149"/>
      <c r="B685" s="149"/>
      <c r="C685" s="149"/>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c r="AD685" s="55"/>
    </row>
    <row r="686">
      <c r="A686" s="149"/>
      <c r="B686" s="149"/>
      <c r="C686" s="149"/>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c r="AD686" s="55"/>
    </row>
    <row r="687">
      <c r="A687" s="149"/>
      <c r="B687" s="149"/>
      <c r="C687" s="149"/>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c r="AD687" s="55"/>
    </row>
    <row r="688">
      <c r="A688" s="149"/>
      <c r="B688" s="149"/>
      <c r="C688" s="149"/>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c r="AD688" s="55"/>
    </row>
    <row r="689">
      <c r="A689" s="149"/>
      <c r="B689" s="149"/>
      <c r="C689" s="149"/>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c r="AD689" s="55"/>
    </row>
    <row r="690">
      <c r="A690" s="149"/>
      <c r="B690" s="149"/>
      <c r="C690" s="149"/>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c r="AD690" s="55"/>
    </row>
    <row r="691">
      <c r="A691" s="149"/>
      <c r="B691" s="149"/>
      <c r="C691" s="149"/>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c r="AD691" s="55"/>
    </row>
    <row r="692">
      <c r="A692" s="149"/>
      <c r="B692" s="149"/>
      <c r="C692" s="149"/>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c r="AD692" s="55"/>
    </row>
    <row r="693">
      <c r="A693" s="149"/>
      <c r="B693" s="149"/>
      <c r="C693" s="149"/>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row>
    <row r="694">
      <c r="A694" s="149"/>
      <c r="B694" s="149"/>
      <c r="C694" s="149"/>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c r="AD694" s="55"/>
    </row>
    <row r="695">
      <c r="A695" s="149"/>
      <c r="B695" s="149"/>
      <c r="C695" s="149"/>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c r="AD695" s="55"/>
    </row>
    <row r="696">
      <c r="A696" s="149"/>
      <c r="B696" s="149"/>
      <c r="C696" s="149"/>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c r="AD696" s="55"/>
    </row>
    <row r="697">
      <c r="A697" s="149"/>
      <c r="B697" s="149"/>
      <c r="C697" s="149"/>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c r="AD697" s="55"/>
    </row>
    <row r="698">
      <c r="A698" s="149"/>
      <c r="B698" s="149"/>
      <c r="C698" s="149"/>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c r="AD698" s="55"/>
    </row>
    <row r="699">
      <c r="A699" s="149"/>
      <c r="B699" s="149"/>
      <c r="C699" s="149"/>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row>
    <row r="700">
      <c r="A700" s="149"/>
      <c r="B700" s="149"/>
      <c r="C700" s="149"/>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row>
    <row r="701">
      <c r="A701" s="149"/>
      <c r="B701" s="149"/>
      <c r="C701" s="149"/>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c r="AD701" s="55"/>
    </row>
    <row r="702">
      <c r="A702" s="149"/>
      <c r="B702" s="149"/>
      <c r="C702" s="149"/>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c r="AD702" s="55"/>
    </row>
    <row r="703">
      <c r="A703" s="149"/>
      <c r="B703" s="149"/>
      <c r="C703" s="149"/>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c r="AD703" s="55"/>
    </row>
    <row r="704">
      <c r="A704" s="149"/>
      <c r="B704" s="149"/>
      <c r="C704" s="149"/>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c r="AD704" s="55"/>
    </row>
    <row r="705">
      <c r="A705" s="149"/>
      <c r="B705" s="149"/>
      <c r="C705" s="149"/>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c r="AD705" s="55"/>
    </row>
    <row r="706">
      <c r="A706" s="149"/>
      <c r="B706" s="149"/>
      <c r="C706" s="149"/>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c r="AD706" s="55"/>
    </row>
    <row r="707">
      <c r="A707" s="149"/>
      <c r="B707" s="149"/>
      <c r="C707" s="149"/>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c r="AD707" s="55"/>
    </row>
    <row r="708">
      <c r="A708" s="149"/>
      <c r="B708" s="149"/>
      <c r="C708" s="149"/>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c r="AD708" s="55"/>
    </row>
    <row r="709">
      <c r="A709" s="149"/>
      <c r="B709" s="149"/>
      <c r="C709" s="149"/>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row>
    <row r="710">
      <c r="A710" s="149"/>
      <c r="B710" s="149"/>
      <c r="C710" s="149"/>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c r="AD710" s="55"/>
    </row>
    <row r="711">
      <c r="A711" s="149"/>
      <c r="B711" s="149"/>
      <c r="C711" s="149"/>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row>
    <row r="712">
      <c r="A712" s="149"/>
      <c r="B712" s="149"/>
      <c r="C712" s="149"/>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c r="AD712" s="55"/>
    </row>
    <row r="713">
      <c r="A713" s="149"/>
      <c r="B713" s="149"/>
      <c r="C713" s="149"/>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c r="AD713" s="55"/>
    </row>
    <row r="714">
      <c r="A714" s="149"/>
      <c r="B714" s="149"/>
      <c r="C714" s="149"/>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c r="AD714" s="55"/>
    </row>
    <row r="715">
      <c r="A715" s="149"/>
      <c r="B715" s="149"/>
      <c r="C715" s="149"/>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c r="AD715" s="55"/>
    </row>
    <row r="716">
      <c r="A716" s="149"/>
      <c r="B716" s="149"/>
      <c r="C716" s="149"/>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row>
    <row r="717">
      <c r="A717" s="149"/>
      <c r="B717" s="149"/>
      <c r="C717" s="149"/>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row>
    <row r="718">
      <c r="A718" s="149"/>
      <c r="B718" s="149"/>
      <c r="C718" s="149"/>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row>
    <row r="719">
      <c r="A719" s="149"/>
      <c r="B719" s="149"/>
      <c r="C719" s="149"/>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row>
    <row r="720">
      <c r="A720" s="149"/>
      <c r="B720" s="149"/>
      <c r="C720" s="149"/>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row>
    <row r="721">
      <c r="A721" s="149"/>
      <c r="B721" s="149"/>
      <c r="C721" s="149"/>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c r="AD721" s="55"/>
    </row>
    <row r="722">
      <c r="A722" s="149"/>
      <c r="B722" s="149"/>
      <c r="C722" s="149"/>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c r="AD722" s="55"/>
    </row>
    <row r="723">
      <c r="A723" s="149"/>
      <c r="B723" s="149"/>
      <c r="C723" s="149"/>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row>
    <row r="724">
      <c r="A724" s="149"/>
      <c r="B724" s="149"/>
      <c r="C724" s="149"/>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c r="AD724" s="55"/>
    </row>
    <row r="725">
      <c r="A725" s="149"/>
      <c r="B725" s="149"/>
      <c r="C725" s="149"/>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c r="AD725" s="55"/>
    </row>
    <row r="726">
      <c r="A726" s="149"/>
      <c r="B726" s="149"/>
      <c r="C726" s="149"/>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c r="AD726" s="55"/>
    </row>
    <row r="727">
      <c r="A727" s="149"/>
      <c r="B727" s="149"/>
      <c r="C727" s="149"/>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c r="AD727" s="55"/>
    </row>
    <row r="728">
      <c r="A728" s="149"/>
      <c r="B728" s="149"/>
      <c r="C728" s="149"/>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row>
    <row r="729">
      <c r="A729" s="149"/>
      <c r="B729" s="149"/>
      <c r="C729" s="149"/>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c r="AD729" s="55"/>
    </row>
    <row r="730">
      <c r="A730" s="149"/>
      <c r="B730" s="149"/>
      <c r="C730" s="149"/>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c r="AD730" s="55"/>
    </row>
    <row r="731">
      <c r="A731" s="149"/>
      <c r="B731" s="149"/>
      <c r="C731" s="149"/>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c r="AD731" s="55"/>
    </row>
    <row r="732">
      <c r="A732" s="149"/>
      <c r="B732" s="149"/>
      <c r="C732" s="149"/>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c r="AD732" s="55"/>
    </row>
    <row r="733">
      <c r="A733" s="149"/>
      <c r="B733" s="149"/>
      <c r="C733" s="149"/>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c r="AD733" s="55"/>
    </row>
    <row r="734">
      <c r="A734" s="149"/>
      <c r="B734" s="149"/>
      <c r="C734" s="149"/>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row>
    <row r="735">
      <c r="A735" s="149"/>
      <c r="B735" s="149"/>
      <c r="C735" s="149"/>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c r="AD735" s="55"/>
    </row>
    <row r="736">
      <c r="A736" s="149"/>
      <c r="B736" s="149"/>
      <c r="C736" s="149"/>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row>
    <row r="737">
      <c r="A737" s="149"/>
      <c r="B737" s="149"/>
      <c r="C737" s="149"/>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row>
    <row r="738">
      <c r="A738" s="149"/>
      <c r="B738" s="149"/>
      <c r="C738" s="149"/>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row>
    <row r="739">
      <c r="A739" s="149"/>
      <c r="B739" s="149"/>
      <c r="C739" s="149"/>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row>
    <row r="740">
      <c r="A740" s="149"/>
      <c r="B740" s="149"/>
      <c r="C740" s="149"/>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row>
    <row r="741">
      <c r="A741" s="149"/>
      <c r="B741" s="149"/>
      <c r="C741" s="149"/>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row>
    <row r="742">
      <c r="A742" s="149"/>
      <c r="B742" s="149"/>
      <c r="C742" s="149"/>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row>
    <row r="743">
      <c r="A743" s="149"/>
      <c r="B743" s="149"/>
      <c r="C743" s="149"/>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row>
    <row r="744">
      <c r="A744" s="149"/>
      <c r="B744" s="149"/>
      <c r="C744" s="149"/>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row>
    <row r="745">
      <c r="A745" s="149"/>
      <c r="B745" s="149"/>
      <c r="C745" s="149"/>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row>
    <row r="746">
      <c r="A746" s="149"/>
      <c r="B746" s="149"/>
      <c r="C746" s="149"/>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row>
    <row r="747">
      <c r="A747" s="149"/>
      <c r="B747" s="149"/>
      <c r="C747" s="149"/>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row>
    <row r="748">
      <c r="A748" s="149"/>
      <c r="B748" s="149"/>
      <c r="C748" s="149"/>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row>
    <row r="749">
      <c r="A749" s="149"/>
      <c r="B749" s="149"/>
      <c r="C749" s="149"/>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row>
    <row r="750">
      <c r="A750" s="149"/>
      <c r="B750" s="149"/>
      <c r="C750" s="149"/>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row>
    <row r="751">
      <c r="A751" s="149"/>
      <c r="B751" s="149"/>
      <c r="C751" s="149"/>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row>
    <row r="752">
      <c r="A752" s="149"/>
      <c r="B752" s="149"/>
      <c r="C752" s="149"/>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row>
    <row r="753">
      <c r="A753" s="149"/>
      <c r="B753" s="149"/>
      <c r="C753" s="149"/>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row>
    <row r="754">
      <c r="A754" s="149"/>
      <c r="B754" s="149"/>
      <c r="C754" s="149"/>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row>
    <row r="755">
      <c r="A755" s="149"/>
      <c r="B755" s="149"/>
      <c r="C755" s="149"/>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row>
    <row r="756">
      <c r="A756" s="149"/>
      <c r="B756" s="149"/>
      <c r="C756" s="149"/>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row>
    <row r="757">
      <c r="A757" s="149"/>
      <c r="B757" s="149"/>
      <c r="C757" s="149"/>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row>
    <row r="758">
      <c r="A758" s="149"/>
      <c r="B758" s="149"/>
      <c r="C758" s="149"/>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row>
    <row r="759">
      <c r="A759" s="149"/>
      <c r="B759" s="149"/>
      <c r="C759" s="149"/>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row>
    <row r="760">
      <c r="A760" s="149"/>
      <c r="B760" s="149"/>
      <c r="C760" s="149"/>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row>
    <row r="761">
      <c r="A761" s="149"/>
      <c r="B761" s="149"/>
      <c r="C761" s="149"/>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row>
    <row r="762">
      <c r="A762" s="149"/>
      <c r="B762" s="149"/>
      <c r="C762" s="149"/>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row>
    <row r="763">
      <c r="A763" s="149"/>
      <c r="B763" s="149"/>
      <c r="C763" s="149"/>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row>
    <row r="764">
      <c r="A764" s="149"/>
      <c r="B764" s="149"/>
      <c r="C764" s="149"/>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row>
    <row r="765">
      <c r="A765" s="149"/>
      <c r="B765" s="149"/>
      <c r="C765" s="149"/>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row>
    <row r="766">
      <c r="A766" s="149"/>
      <c r="B766" s="149"/>
      <c r="C766" s="149"/>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row>
    <row r="767">
      <c r="A767" s="149"/>
      <c r="B767" s="149"/>
      <c r="C767" s="149"/>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row>
    <row r="768">
      <c r="A768" s="149"/>
      <c r="B768" s="149"/>
      <c r="C768" s="149"/>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row>
    <row r="769">
      <c r="A769" s="149"/>
      <c r="B769" s="149"/>
      <c r="C769" s="149"/>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row>
    <row r="770">
      <c r="A770" s="149"/>
      <c r="B770" s="149"/>
      <c r="C770" s="149"/>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row>
    <row r="771">
      <c r="A771" s="149"/>
      <c r="B771" s="149"/>
      <c r="C771" s="149"/>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row>
    <row r="772">
      <c r="A772" s="149"/>
      <c r="B772" s="149"/>
      <c r="C772" s="149"/>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row>
    <row r="773">
      <c r="A773" s="149"/>
      <c r="B773" s="149"/>
      <c r="C773" s="149"/>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row>
    <row r="774">
      <c r="A774" s="149"/>
      <c r="B774" s="149"/>
      <c r="C774" s="149"/>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row>
    <row r="775">
      <c r="A775" s="149"/>
      <c r="B775" s="149"/>
      <c r="C775" s="149"/>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row>
    <row r="776">
      <c r="A776" s="149"/>
      <c r="B776" s="149"/>
      <c r="C776" s="149"/>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row>
    <row r="777">
      <c r="A777" s="149"/>
      <c r="B777" s="149"/>
      <c r="C777" s="149"/>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row>
    <row r="778">
      <c r="A778" s="149"/>
      <c r="B778" s="149"/>
      <c r="C778" s="149"/>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row>
    <row r="779">
      <c r="A779" s="149"/>
      <c r="B779" s="149"/>
      <c r="C779" s="149"/>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row>
    <row r="780">
      <c r="A780" s="149"/>
      <c r="B780" s="149"/>
      <c r="C780" s="149"/>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row>
    <row r="781">
      <c r="A781" s="149"/>
      <c r="B781" s="149"/>
      <c r="C781" s="149"/>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row>
    <row r="782">
      <c r="A782" s="149"/>
      <c r="B782" s="149"/>
      <c r="C782" s="149"/>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row>
    <row r="783">
      <c r="A783" s="149"/>
      <c r="B783" s="149"/>
      <c r="C783" s="149"/>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c r="AD783" s="55"/>
    </row>
    <row r="784">
      <c r="A784" s="149"/>
      <c r="B784" s="149"/>
      <c r="C784" s="149"/>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c r="AD784" s="55"/>
    </row>
    <row r="785">
      <c r="A785" s="149"/>
      <c r="B785" s="149"/>
      <c r="C785" s="149"/>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c r="AD785" s="55"/>
    </row>
    <row r="786">
      <c r="A786" s="149"/>
      <c r="B786" s="149"/>
      <c r="C786" s="149"/>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row>
    <row r="787">
      <c r="A787" s="149"/>
      <c r="B787" s="149"/>
      <c r="C787" s="149"/>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c r="AD787" s="55"/>
    </row>
    <row r="788">
      <c r="A788" s="149"/>
      <c r="B788" s="149"/>
      <c r="C788" s="149"/>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c r="AD788" s="55"/>
    </row>
    <row r="789">
      <c r="A789" s="149"/>
      <c r="B789" s="149"/>
      <c r="C789" s="149"/>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c r="AD789" s="55"/>
    </row>
    <row r="790">
      <c r="A790" s="149"/>
      <c r="B790" s="149"/>
      <c r="C790" s="149"/>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c r="AD790" s="55"/>
    </row>
    <row r="791">
      <c r="A791" s="149"/>
      <c r="B791" s="149"/>
      <c r="C791" s="149"/>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c r="AD791" s="55"/>
    </row>
    <row r="792">
      <c r="A792" s="149"/>
      <c r="B792" s="149"/>
      <c r="C792" s="149"/>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row>
    <row r="793">
      <c r="A793" s="149"/>
      <c r="B793" s="149"/>
      <c r="C793" s="149"/>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c r="AD793" s="55"/>
    </row>
    <row r="794">
      <c r="A794" s="149"/>
      <c r="B794" s="149"/>
      <c r="C794" s="149"/>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c r="AD794" s="55"/>
    </row>
    <row r="795">
      <c r="A795" s="149"/>
      <c r="B795" s="149"/>
      <c r="C795" s="149"/>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c r="AD795" s="55"/>
    </row>
    <row r="796">
      <c r="A796" s="149"/>
      <c r="B796" s="149"/>
      <c r="C796" s="149"/>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c r="AD796" s="55"/>
    </row>
    <row r="797">
      <c r="A797" s="149"/>
      <c r="B797" s="149"/>
      <c r="C797" s="149"/>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c r="AD797" s="55"/>
    </row>
    <row r="798">
      <c r="A798" s="149"/>
      <c r="B798" s="149"/>
      <c r="C798" s="149"/>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c r="AD798" s="55"/>
    </row>
    <row r="799">
      <c r="A799" s="149"/>
      <c r="B799" s="149"/>
      <c r="C799" s="149"/>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c r="AD799" s="55"/>
    </row>
    <row r="800">
      <c r="A800" s="149"/>
      <c r="B800" s="149"/>
      <c r="C800" s="149"/>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c r="AD800" s="55"/>
    </row>
    <row r="801">
      <c r="A801" s="149"/>
      <c r="B801" s="149"/>
      <c r="C801" s="149"/>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c r="AD801" s="55"/>
    </row>
    <row r="802">
      <c r="A802" s="149"/>
      <c r="B802" s="149"/>
      <c r="C802" s="149"/>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c r="AD802" s="55"/>
    </row>
    <row r="803">
      <c r="A803" s="149"/>
      <c r="B803" s="149"/>
      <c r="C803" s="149"/>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c r="AD803" s="55"/>
    </row>
    <row r="804">
      <c r="A804" s="149"/>
      <c r="B804" s="149"/>
      <c r="C804" s="149"/>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c r="AD804" s="55"/>
    </row>
    <row r="805">
      <c r="A805" s="149"/>
      <c r="B805" s="149"/>
      <c r="C805" s="149"/>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c r="AD805" s="55"/>
    </row>
    <row r="806">
      <c r="A806" s="149"/>
      <c r="B806" s="149"/>
      <c r="C806" s="149"/>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c r="AD806" s="55"/>
    </row>
    <row r="807">
      <c r="A807" s="149"/>
      <c r="B807" s="149"/>
      <c r="C807" s="149"/>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c r="AD807" s="55"/>
    </row>
    <row r="808">
      <c r="A808" s="149"/>
      <c r="B808" s="149"/>
      <c r="C808" s="149"/>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c r="AD808" s="55"/>
    </row>
    <row r="809">
      <c r="A809" s="149"/>
      <c r="B809" s="149"/>
      <c r="C809" s="149"/>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c r="AD809" s="55"/>
    </row>
    <row r="810">
      <c r="A810" s="149"/>
      <c r="B810" s="149"/>
      <c r="C810" s="149"/>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c r="AD810" s="55"/>
    </row>
    <row r="811">
      <c r="A811" s="149"/>
      <c r="B811" s="149"/>
      <c r="C811" s="149"/>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c r="AD811" s="55"/>
    </row>
    <row r="812">
      <c r="A812" s="149"/>
      <c r="B812" s="149"/>
      <c r="C812" s="149"/>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c r="AD812" s="55"/>
    </row>
    <row r="813">
      <c r="A813" s="149"/>
      <c r="B813" s="149"/>
      <c r="C813" s="149"/>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c r="AD813" s="55"/>
    </row>
    <row r="814">
      <c r="A814" s="149"/>
      <c r="B814" s="149"/>
      <c r="C814" s="149"/>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c r="AD814" s="55"/>
    </row>
    <row r="815">
      <c r="A815" s="149"/>
      <c r="B815" s="149"/>
      <c r="C815" s="149"/>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c r="AD815" s="55"/>
    </row>
    <row r="816">
      <c r="A816" s="149"/>
      <c r="B816" s="149"/>
      <c r="C816" s="149"/>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row>
    <row r="817">
      <c r="A817" s="149"/>
      <c r="B817" s="149"/>
      <c r="C817" s="149"/>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c r="AD817" s="55"/>
    </row>
    <row r="818">
      <c r="A818" s="149"/>
      <c r="B818" s="149"/>
      <c r="C818" s="149"/>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c r="AD818" s="55"/>
    </row>
    <row r="819">
      <c r="A819" s="149"/>
      <c r="B819" s="149"/>
      <c r="C819" s="149"/>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c r="AD819" s="55"/>
    </row>
    <row r="820">
      <c r="A820" s="149"/>
      <c r="B820" s="149"/>
      <c r="C820" s="149"/>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c r="AD820" s="55"/>
    </row>
    <row r="821">
      <c r="A821" s="149"/>
      <c r="B821" s="149"/>
      <c r="C821" s="149"/>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c r="AD821" s="55"/>
    </row>
    <row r="822">
      <c r="A822" s="149"/>
      <c r="B822" s="149"/>
      <c r="C822" s="149"/>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c r="AD822" s="55"/>
    </row>
    <row r="823">
      <c r="A823" s="149"/>
      <c r="B823" s="149"/>
      <c r="C823" s="149"/>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c r="AD823" s="55"/>
    </row>
    <row r="824">
      <c r="A824" s="149"/>
      <c r="B824" s="149"/>
      <c r="C824" s="149"/>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c r="AD824" s="55"/>
    </row>
    <row r="825">
      <c r="A825" s="149"/>
      <c r="B825" s="149"/>
      <c r="C825" s="149"/>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c r="AD825" s="55"/>
    </row>
    <row r="826">
      <c r="A826" s="149"/>
      <c r="B826" s="149"/>
      <c r="C826" s="149"/>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c r="AD826" s="55"/>
    </row>
    <row r="827">
      <c r="A827" s="149"/>
      <c r="B827" s="149"/>
      <c r="C827" s="149"/>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c r="AD827" s="55"/>
    </row>
    <row r="828">
      <c r="A828" s="149"/>
      <c r="B828" s="149"/>
      <c r="C828" s="149"/>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c r="AD828" s="55"/>
    </row>
    <row r="829">
      <c r="A829" s="149"/>
      <c r="B829" s="149"/>
      <c r="C829" s="149"/>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c r="AD829" s="55"/>
    </row>
    <row r="830">
      <c r="A830" s="149"/>
      <c r="B830" s="149"/>
      <c r="C830" s="149"/>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c r="AD830" s="55"/>
    </row>
    <row r="831">
      <c r="A831" s="149"/>
      <c r="B831" s="149"/>
      <c r="C831" s="149"/>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c r="AD831" s="55"/>
    </row>
    <row r="832">
      <c r="A832" s="149"/>
      <c r="B832" s="149"/>
      <c r="C832" s="149"/>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c r="AD832" s="55"/>
    </row>
    <row r="833">
      <c r="A833" s="149"/>
      <c r="B833" s="149"/>
      <c r="C833" s="149"/>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c r="AD833" s="55"/>
    </row>
    <row r="834">
      <c r="A834" s="149"/>
      <c r="B834" s="149"/>
      <c r="C834" s="149"/>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c r="AD834" s="55"/>
    </row>
    <row r="835">
      <c r="A835" s="149"/>
      <c r="B835" s="149"/>
      <c r="C835" s="149"/>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c r="AD835" s="55"/>
    </row>
    <row r="836">
      <c r="A836" s="149"/>
      <c r="B836" s="149"/>
      <c r="C836" s="149"/>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c r="AD836" s="55"/>
    </row>
    <row r="837">
      <c r="A837" s="149"/>
      <c r="B837" s="149"/>
      <c r="C837" s="149"/>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c r="AD837" s="55"/>
    </row>
    <row r="838">
      <c r="A838" s="149"/>
      <c r="B838" s="149"/>
      <c r="C838" s="149"/>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c r="AD838" s="55"/>
    </row>
    <row r="839">
      <c r="A839" s="149"/>
      <c r="B839" s="149"/>
      <c r="C839" s="149"/>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c r="AD839" s="55"/>
    </row>
    <row r="840">
      <c r="A840" s="149"/>
      <c r="B840" s="149"/>
      <c r="C840" s="149"/>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row>
    <row r="841">
      <c r="A841" s="149"/>
      <c r="B841" s="149"/>
      <c r="C841" s="149"/>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c r="AD841" s="55"/>
    </row>
    <row r="842">
      <c r="A842" s="149"/>
      <c r="B842" s="149"/>
      <c r="C842" s="149"/>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c r="AD842" s="55"/>
    </row>
    <row r="843">
      <c r="A843" s="149"/>
      <c r="B843" s="149"/>
      <c r="C843" s="149"/>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c r="AD843" s="55"/>
    </row>
    <row r="844">
      <c r="A844" s="149"/>
      <c r="B844" s="149"/>
      <c r="C844" s="149"/>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c r="AD844" s="55"/>
    </row>
    <row r="845">
      <c r="A845" s="149"/>
      <c r="B845" s="149"/>
      <c r="C845" s="149"/>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c r="AD845" s="55"/>
    </row>
    <row r="846">
      <c r="A846" s="149"/>
      <c r="B846" s="149"/>
      <c r="C846" s="149"/>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c r="AD846" s="55"/>
    </row>
    <row r="847">
      <c r="A847" s="149"/>
      <c r="B847" s="149"/>
      <c r="C847" s="149"/>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c r="AD847" s="55"/>
    </row>
    <row r="848">
      <c r="A848" s="149"/>
      <c r="B848" s="149"/>
      <c r="C848" s="149"/>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c r="AD848" s="55"/>
    </row>
    <row r="849">
      <c r="A849" s="149"/>
      <c r="B849" s="149"/>
      <c r="C849" s="149"/>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c r="AD849" s="55"/>
    </row>
    <row r="850">
      <c r="A850" s="149"/>
      <c r="B850" s="149"/>
      <c r="C850" s="149"/>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c r="AD850" s="55"/>
    </row>
    <row r="851">
      <c r="A851" s="149"/>
      <c r="B851" s="149"/>
      <c r="C851" s="149"/>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c r="AD851" s="55"/>
    </row>
    <row r="852">
      <c r="A852" s="149"/>
      <c r="B852" s="149"/>
      <c r="C852" s="149"/>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c r="AD852" s="55"/>
    </row>
    <row r="853">
      <c r="A853" s="149"/>
      <c r="B853" s="149"/>
      <c r="C853" s="149"/>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c r="AD853" s="55"/>
    </row>
    <row r="854">
      <c r="A854" s="149"/>
      <c r="B854" s="149"/>
      <c r="C854" s="149"/>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c r="AD854" s="55"/>
    </row>
    <row r="855">
      <c r="A855" s="149"/>
      <c r="B855" s="149"/>
      <c r="C855" s="149"/>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c r="AD855" s="55"/>
    </row>
    <row r="856">
      <c r="A856" s="149"/>
      <c r="B856" s="149"/>
      <c r="C856" s="149"/>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c r="AD856" s="55"/>
    </row>
    <row r="857">
      <c r="A857" s="149"/>
      <c r="B857" s="149"/>
      <c r="C857" s="149"/>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c r="AD857" s="55"/>
    </row>
    <row r="858">
      <c r="A858" s="149"/>
      <c r="B858" s="149"/>
      <c r="C858" s="149"/>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row>
    <row r="859">
      <c r="A859" s="149"/>
      <c r="B859" s="149"/>
      <c r="C859" s="149"/>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c r="AD859" s="55"/>
    </row>
    <row r="860">
      <c r="A860" s="149"/>
      <c r="B860" s="149"/>
      <c r="C860" s="149"/>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c r="AD860" s="55"/>
    </row>
    <row r="861">
      <c r="A861" s="149"/>
      <c r="B861" s="149"/>
      <c r="C861" s="149"/>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c r="AD861" s="55"/>
    </row>
    <row r="862">
      <c r="A862" s="149"/>
      <c r="B862" s="149"/>
      <c r="C862" s="149"/>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c r="AD862" s="55"/>
    </row>
    <row r="863">
      <c r="A863" s="149"/>
      <c r="B863" s="149"/>
      <c r="C863" s="149"/>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c r="AD863" s="55"/>
    </row>
    <row r="864">
      <c r="A864" s="149"/>
      <c r="B864" s="149"/>
      <c r="C864" s="149"/>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c r="AD864" s="55"/>
    </row>
    <row r="865">
      <c r="A865" s="149"/>
      <c r="B865" s="149"/>
      <c r="C865" s="149"/>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row>
    <row r="866">
      <c r="A866" s="149"/>
      <c r="B866" s="149"/>
      <c r="C866" s="149"/>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c r="AD866" s="55"/>
    </row>
    <row r="867">
      <c r="A867" s="149"/>
      <c r="B867" s="149"/>
      <c r="C867" s="149"/>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c r="AD867" s="55"/>
    </row>
    <row r="868">
      <c r="A868" s="149"/>
      <c r="B868" s="149"/>
      <c r="C868" s="149"/>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c r="AD868" s="55"/>
    </row>
    <row r="869">
      <c r="A869" s="149"/>
      <c r="B869" s="149"/>
      <c r="C869" s="149"/>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c r="AD869" s="55"/>
    </row>
    <row r="870">
      <c r="A870" s="149"/>
      <c r="B870" s="149"/>
      <c r="C870" s="149"/>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c r="AD870" s="55"/>
    </row>
    <row r="871">
      <c r="A871" s="149"/>
      <c r="B871" s="149"/>
      <c r="C871" s="149"/>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c r="AD871" s="55"/>
    </row>
    <row r="872">
      <c r="A872" s="149"/>
      <c r="B872" s="149"/>
      <c r="C872" s="149"/>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c r="AD872" s="55"/>
    </row>
    <row r="873">
      <c r="A873" s="149"/>
      <c r="B873" s="149"/>
      <c r="C873" s="149"/>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c r="AD873" s="55"/>
    </row>
    <row r="874">
      <c r="A874" s="149"/>
      <c r="B874" s="149"/>
      <c r="C874" s="149"/>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c r="AD874" s="55"/>
    </row>
    <row r="875">
      <c r="A875" s="149"/>
      <c r="B875" s="149"/>
      <c r="C875" s="149"/>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c r="AD875" s="55"/>
    </row>
    <row r="876">
      <c r="A876" s="149"/>
      <c r="B876" s="149"/>
      <c r="C876" s="149"/>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c r="AD876" s="55"/>
    </row>
    <row r="877">
      <c r="A877" s="149"/>
      <c r="B877" s="149"/>
      <c r="C877" s="149"/>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row>
    <row r="878">
      <c r="A878" s="149"/>
      <c r="B878" s="149"/>
      <c r="C878" s="149"/>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row>
    <row r="879">
      <c r="A879" s="149"/>
      <c r="B879" s="149"/>
      <c r="C879" s="149"/>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c r="AD879" s="55"/>
    </row>
    <row r="880">
      <c r="A880" s="149"/>
      <c r="B880" s="149"/>
      <c r="C880" s="149"/>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c r="AD880" s="55"/>
    </row>
    <row r="881">
      <c r="A881" s="149"/>
      <c r="B881" s="149"/>
      <c r="C881" s="149"/>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row>
    <row r="882">
      <c r="A882" s="149"/>
      <c r="B882" s="149"/>
      <c r="C882" s="149"/>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c r="AD882" s="55"/>
    </row>
    <row r="883">
      <c r="A883" s="149"/>
      <c r="B883" s="149"/>
      <c r="C883" s="149"/>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c r="AD883" s="55"/>
    </row>
    <row r="884">
      <c r="A884" s="149"/>
      <c r="B884" s="149"/>
      <c r="C884" s="149"/>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c r="AD884" s="55"/>
    </row>
    <row r="885">
      <c r="A885" s="149"/>
      <c r="B885" s="149"/>
      <c r="C885" s="149"/>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row>
    <row r="886">
      <c r="A886" s="149"/>
      <c r="B886" s="149"/>
      <c r="C886" s="149"/>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row>
    <row r="887">
      <c r="A887" s="149"/>
      <c r="B887" s="149"/>
      <c r="C887" s="149"/>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c r="AD887" s="55"/>
    </row>
    <row r="888">
      <c r="A888" s="149"/>
      <c r="B888" s="149"/>
      <c r="C888" s="149"/>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c r="AD888" s="55"/>
    </row>
    <row r="889">
      <c r="A889" s="149"/>
      <c r="B889" s="149"/>
      <c r="C889" s="149"/>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row>
    <row r="890">
      <c r="A890" s="149"/>
      <c r="B890" s="149"/>
      <c r="C890" s="149"/>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row>
    <row r="891">
      <c r="A891" s="149"/>
      <c r="B891" s="149"/>
      <c r="C891" s="149"/>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row>
    <row r="892">
      <c r="A892" s="149"/>
      <c r="B892" s="149"/>
      <c r="C892" s="149"/>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row>
    <row r="893">
      <c r="A893" s="149"/>
      <c r="B893" s="149"/>
      <c r="C893" s="149"/>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row>
    <row r="894">
      <c r="A894" s="149"/>
      <c r="B894" s="149"/>
      <c r="C894" s="149"/>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row>
    <row r="895">
      <c r="A895" s="149"/>
      <c r="B895" s="149"/>
      <c r="C895" s="149"/>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row>
    <row r="896">
      <c r="A896" s="149"/>
      <c r="B896" s="149"/>
      <c r="C896" s="149"/>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row>
    <row r="897">
      <c r="A897" s="149"/>
      <c r="B897" s="149"/>
      <c r="C897" s="149"/>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c r="AD897" s="55"/>
    </row>
    <row r="898">
      <c r="A898" s="149"/>
      <c r="B898" s="149"/>
      <c r="C898" s="149"/>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c r="AD898" s="55"/>
    </row>
    <row r="899">
      <c r="A899" s="149"/>
      <c r="B899" s="149"/>
      <c r="C899" s="149"/>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c r="AD899" s="55"/>
    </row>
    <row r="900">
      <c r="A900" s="149"/>
      <c r="B900" s="149"/>
      <c r="C900" s="149"/>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c r="AD900" s="55"/>
    </row>
    <row r="901">
      <c r="A901" s="149"/>
      <c r="B901" s="149"/>
      <c r="C901" s="149"/>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c r="AD901" s="55"/>
    </row>
    <row r="902">
      <c r="A902" s="149"/>
      <c r="B902" s="149"/>
      <c r="C902" s="149"/>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row>
    <row r="903">
      <c r="A903" s="149"/>
      <c r="B903" s="149"/>
      <c r="C903" s="149"/>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c r="AD903" s="55"/>
    </row>
    <row r="904">
      <c r="A904" s="149"/>
      <c r="B904" s="149"/>
      <c r="C904" s="149"/>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c r="AD904" s="55"/>
    </row>
    <row r="905">
      <c r="A905" s="149"/>
      <c r="B905" s="149"/>
      <c r="C905" s="149"/>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c r="AD905" s="55"/>
    </row>
    <row r="906">
      <c r="A906" s="149"/>
      <c r="B906" s="149"/>
      <c r="C906" s="149"/>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row>
    <row r="907">
      <c r="A907" s="149"/>
      <c r="B907" s="149"/>
      <c r="C907" s="149"/>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c r="AD907" s="55"/>
    </row>
    <row r="908">
      <c r="A908" s="149"/>
      <c r="B908" s="149"/>
      <c r="C908" s="149"/>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c r="AD908" s="55"/>
    </row>
    <row r="909">
      <c r="A909" s="149"/>
      <c r="B909" s="149"/>
      <c r="C909" s="149"/>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c r="AD909" s="55"/>
    </row>
    <row r="910">
      <c r="A910" s="149"/>
      <c r="B910" s="149"/>
      <c r="C910" s="149"/>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row>
    <row r="911">
      <c r="A911" s="149"/>
      <c r="B911" s="149"/>
      <c r="C911" s="149"/>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c r="AD911" s="55"/>
    </row>
    <row r="912">
      <c r="A912" s="149"/>
      <c r="B912" s="149"/>
      <c r="C912" s="149"/>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c r="AD912" s="55"/>
    </row>
    <row r="913">
      <c r="A913" s="149"/>
      <c r="B913" s="149"/>
      <c r="C913" s="149"/>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c r="AD913" s="55"/>
    </row>
    <row r="914">
      <c r="A914" s="149"/>
      <c r="B914" s="149"/>
      <c r="C914" s="149"/>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c r="AD914" s="55"/>
    </row>
    <row r="915">
      <c r="A915" s="149"/>
      <c r="B915" s="149"/>
      <c r="C915" s="149"/>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c r="AD915" s="55"/>
    </row>
    <row r="916">
      <c r="A916" s="149"/>
      <c r="B916" s="149"/>
      <c r="C916" s="149"/>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row>
    <row r="917">
      <c r="A917" s="149"/>
      <c r="B917" s="149"/>
      <c r="C917" s="149"/>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c r="AD917" s="55"/>
    </row>
    <row r="918">
      <c r="A918" s="149"/>
      <c r="B918" s="149"/>
      <c r="C918" s="149"/>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c r="AD918" s="55"/>
    </row>
    <row r="919">
      <c r="A919" s="149"/>
      <c r="B919" s="149"/>
      <c r="C919" s="149"/>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c r="AD919" s="55"/>
    </row>
    <row r="920">
      <c r="A920" s="149"/>
      <c r="B920" s="149"/>
      <c r="C920" s="149"/>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c r="AD920" s="55"/>
    </row>
    <row r="921">
      <c r="A921" s="149"/>
      <c r="B921" s="149"/>
      <c r="C921" s="149"/>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c r="AD921" s="55"/>
    </row>
    <row r="922">
      <c r="A922" s="149"/>
      <c r="B922" s="149"/>
      <c r="C922" s="149"/>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c r="AD922" s="55"/>
    </row>
    <row r="923">
      <c r="A923" s="149"/>
      <c r="B923" s="149"/>
      <c r="C923" s="149"/>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c r="AD923" s="55"/>
    </row>
    <row r="924">
      <c r="A924" s="149"/>
      <c r="B924" s="149"/>
      <c r="C924" s="149"/>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c r="AD924" s="55"/>
    </row>
    <row r="925">
      <c r="A925" s="149"/>
      <c r="B925" s="149"/>
      <c r="C925" s="149"/>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c r="AD925" s="55"/>
    </row>
    <row r="926">
      <c r="A926" s="149"/>
      <c r="B926" s="149"/>
      <c r="C926" s="149"/>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c r="AD926" s="55"/>
    </row>
    <row r="927">
      <c r="A927" s="149"/>
      <c r="B927" s="149"/>
      <c r="C927" s="149"/>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row>
    <row r="928">
      <c r="A928" s="149"/>
      <c r="B928" s="149"/>
      <c r="C928" s="149"/>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c r="AD928" s="55"/>
    </row>
    <row r="929">
      <c r="A929" s="149"/>
      <c r="B929" s="149"/>
      <c r="C929" s="149"/>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c r="AD929" s="55"/>
    </row>
    <row r="930">
      <c r="A930" s="149"/>
      <c r="B930" s="149"/>
      <c r="C930" s="149"/>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c r="AD930" s="55"/>
    </row>
    <row r="931">
      <c r="A931" s="149"/>
      <c r="B931" s="149"/>
      <c r="C931" s="149"/>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c r="AD931" s="55"/>
    </row>
    <row r="932">
      <c r="A932" s="149"/>
      <c r="B932" s="149"/>
      <c r="C932" s="149"/>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c r="AD932" s="55"/>
    </row>
    <row r="933">
      <c r="A933" s="149"/>
      <c r="B933" s="149"/>
      <c r="C933" s="149"/>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row>
    <row r="934">
      <c r="A934" s="149"/>
      <c r="B934" s="149"/>
      <c r="C934" s="149"/>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c r="AD934" s="55"/>
    </row>
    <row r="935">
      <c r="A935" s="149"/>
      <c r="B935" s="149"/>
      <c r="C935" s="149"/>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c r="AD935" s="55"/>
    </row>
    <row r="936">
      <c r="A936" s="149"/>
      <c r="B936" s="149"/>
      <c r="C936" s="149"/>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c r="AD936" s="55"/>
    </row>
    <row r="937">
      <c r="A937" s="149"/>
      <c r="B937" s="149"/>
      <c r="C937" s="149"/>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c r="AD937" s="55"/>
    </row>
    <row r="938">
      <c r="A938" s="149"/>
      <c r="B938" s="149"/>
      <c r="C938" s="149"/>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row>
    <row r="939">
      <c r="A939" s="149"/>
      <c r="B939" s="149"/>
      <c r="C939" s="149"/>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c r="AD939" s="55"/>
    </row>
    <row r="940">
      <c r="A940" s="149"/>
      <c r="B940" s="149"/>
      <c r="C940" s="149"/>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c r="AD940" s="55"/>
    </row>
    <row r="941">
      <c r="A941" s="149"/>
      <c r="B941" s="149"/>
      <c r="C941" s="149"/>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c r="AD941" s="55"/>
    </row>
    <row r="942">
      <c r="A942" s="149"/>
      <c r="B942" s="149"/>
      <c r="C942" s="149"/>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c r="AD942" s="55"/>
    </row>
    <row r="943">
      <c r="A943" s="149"/>
      <c r="B943" s="149"/>
      <c r="C943" s="149"/>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c r="AD943" s="55"/>
    </row>
    <row r="944">
      <c r="A944" s="149"/>
      <c r="B944" s="149"/>
      <c r="C944" s="149"/>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c r="AD944" s="55"/>
    </row>
    <row r="945">
      <c r="A945" s="149"/>
      <c r="B945" s="149"/>
      <c r="C945" s="149"/>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c r="AD945" s="55"/>
    </row>
    <row r="946">
      <c r="A946" s="149"/>
      <c r="B946" s="149"/>
      <c r="C946" s="149"/>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c r="AD946" s="55"/>
    </row>
    <row r="947">
      <c r="A947" s="149"/>
      <c r="B947" s="149"/>
      <c r="C947" s="149"/>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c r="AD947" s="55"/>
    </row>
    <row r="948">
      <c r="A948" s="149"/>
      <c r="B948" s="149"/>
      <c r="C948" s="149"/>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row>
    <row r="949">
      <c r="A949" s="149"/>
      <c r="B949" s="149"/>
      <c r="C949" s="149"/>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row>
    <row r="950">
      <c r="A950" s="149"/>
      <c r="B950" s="149"/>
      <c r="C950" s="149"/>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c r="AD950" s="55"/>
    </row>
    <row r="951">
      <c r="A951" s="149"/>
      <c r="B951" s="149"/>
      <c r="C951" s="149"/>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c r="AD951" s="55"/>
    </row>
    <row r="952">
      <c r="A952" s="149"/>
      <c r="B952" s="149"/>
      <c r="C952" s="149"/>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c r="AD952" s="55"/>
    </row>
    <row r="953">
      <c r="A953" s="149"/>
      <c r="B953" s="149"/>
      <c r="C953" s="149"/>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c r="AD953" s="55"/>
    </row>
    <row r="954">
      <c r="A954" s="149"/>
      <c r="B954" s="149"/>
      <c r="C954" s="149"/>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c r="AD954" s="55"/>
    </row>
    <row r="955">
      <c r="A955" s="149"/>
      <c r="B955" s="149"/>
      <c r="C955" s="149"/>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c r="AB955" s="55"/>
      <c r="AC955" s="55"/>
      <c r="AD955" s="55"/>
    </row>
    <row r="956">
      <c r="A956" s="149"/>
      <c r="B956" s="149"/>
      <c r="C956" s="149"/>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c r="AB956" s="55"/>
      <c r="AC956" s="55"/>
      <c r="AD956" s="55"/>
    </row>
    <row r="957">
      <c r="A957" s="149"/>
      <c r="B957" s="149"/>
      <c r="C957" s="149"/>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c r="AB957" s="55"/>
      <c r="AC957" s="55"/>
      <c r="AD957" s="55"/>
    </row>
    <row r="958">
      <c r="A958" s="149"/>
      <c r="B958" s="149"/>
      <c r="C958" s="149"/>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c r="AB958" s="55"/>
      <c r="AC958" s="55"/>
      <c r="AD958" s="55"/>
    </row>
    <row r="959">
      <c r="A959" s="149"/>
      <c r="B959" s="149"/>
      <c r="C959" s="149"/>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c r="AB959" s="55"/>
      <c r="AC959" s="55"/>
      <c r="AD959" s="55"/>
    </row>
    <row r="960">
      <c r="A960" s="149"/>
      <c r="B960" s="149"/>
      <c r="C960" s="149"/>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c r="AB960" s="55"/>
      <c r="AC960" s="55"/>
      <c r="AD960" s="55"/>
    </row>
    <row r="961">
      <c r="A961" s="149"/>
      <c r="B961" s="149"/>
      <c r="C961" s="149"/>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c r="AB961" s="55"/>
      <c r="AC961" s="55"/>
      <c r="AD961" s="55"/>
    </row>
    <row r="962">
      <c r="A962" s="149"/>
      <c r="B962" s="149"/>
      <c r="C962" s="149"/>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c r="AB962" s="55"/>
      <c r="AC962" s="55"/>
      <c r="AD962" s="55"/>
    </row>
    <row r="963">
      <c r="A963" s="149"/>
      <c r="B963" s="149"/>
      <c r="C963" s="149"/>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c r="AB963" s="55"/>
      <c r="AC963" s="55"/>
      <c r="AD963" s="55"/>
    </row>
    <row r="964">
      <c r="A964" s="149"/>
      <c r="B964" s="149"/>
      <c r="C964" s="149"/>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c r="AB964" s="55"/>
      <c r="AC964" s="55"/>
      <c r="AD964" s="55"/>
    </row>
    <row r="965">
      <c r="A965" s="149"/>
      <c r="B965" s="149"/>
      <c r="C965" s="149"/>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c r="AB965" s="55"/>
      <c r="AC965" s="55"/>
      <c r="AD965" s="55"/>
    </row>
    <row r="966">
      <c r="A966" s="149"/>
      <c r="B966" s="149"/>
      <c r="C966" s="149"/>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c r="AB966" s="55"/>
      <c r="AC966" s="55"/>
      <c r="AD966" s="55"/>
    </row>
    <row r="967">
      <c r="A967" s="149"/>
      <c r="B967" s="149"/>
      <c r="C967" s="149"/>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c r="AB967" s="55"/>
      <c r="AC967" s="55"/>
      <c r="AD967" s="55"/>
    </row>
    <row r="968">
      <c r="A968" s="149"/>
      <c r="B968" s="149"/>
      <c r="C968" s="149"/>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row>
    <row r="969">
      <c r="A969" s="149"/>
      <c r="B969" s="149"/>
      <c r="C969" s="149"/>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c r="AB969" s="55"/>
      <c r="AC969" s="55"/>
      <c r="AD969" s="55"/>
    </row>
    <row r="970">
      <c r="A970" s="149"/>
      <c r="B970" s="149"/>
      <c r="C970" s="149"/>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c r="AB970" s="55"/>
      <c r="AC970" s="55"/>
      <c r="AD970" s="55"/>
    </row>
    <row r="971">
      <c r="A971" s="149"/>
      <c r="B971" s="149"/>
      <c r="C971" s="149"/>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c r="AB971" s="55"/>
      <c r="AC971" s="55"/>
      <c r="AD971" s="55"/>
    </row>
    <row r="972">
      <c r="A972" s="149"/>
      <c r="B972" s="149"/>
      <c r="C972" s="149"/>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c r="AB972" s="55"/>
      <c r="AC972" s="55"/>
      <c r="AD972" s="55"/>
    </row>
    <row r="973">
      <c r="A973" s="149"/>
      <c r="B973" s="149"/>
      <c r="C973" s="149"/>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c r="AB973" s="55"/>
      <c r="AC973" s="55"/>
      <c r="AD973" s="55"/>
    </row>
    <row r="974">
      <c r="A974" s="149"/>
      <c r="B974" s="149"/>
      <c r="C974" s="149"/>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c r="AB974" s="55"/>
      <c r="AC974" s="55"/>
      <c r="AD974" s="55"/>
    </row>
    <row r="975">
      <c r="A975" s="149"/>
      <c r="B975" s="149"/>
      <c r="C975" s="149"/>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row>
    <row r="976">
      <c r="A976" s="149"/>
      <c r="B976" s="149"/>
      <c r="C976" s="149"/>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row>
    <row r="977">
      <c r="A977" s="149"/>
      <c r="B977" s="149"/>
      <c r="C977" s="149"/>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c r="AB977" s="55"/>
      <c r="AC977" s="55"/>
      <c r="AD977" s="55"/>
    </row>
    <row r="978">
      <c r="A978" s="149"/>
      <c r="B978" s="149"/>
      <c r="C978" s="149"/>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c r="AB978" s="55"/>
      <c r="AC978" s="55"/>
      <c r="AD978" s="55"/>
    </row>
    <row r="979">
      <c r="A979" s="149"/>
      <c r="B979" s="149"/>
      <c r="C979" s="149"/>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c r="AB979" s="55"/>
      <c r="AC979" s="55"/>
      <c r="AD979" s="55"/>
    </row>
    <row r="980">
      <c r="A980" s="149"/>
      <c r="B980" s="149"/>
      <c r="C980" s="149"/>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c r="AD980" s="55"/>
    </row>
    <row r="981">
      <c r="A981" s="149"/>
      <c r="B981" s="149"/>
      <c r="C981" s="149"/>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c r="AD981" s="55"/>
    </row>
    <row r="982">
      <c r="A982" s="149"/>
      <c r="B982" s="149"/>
      <c r="C982" s="149"/>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c r="AB982" s="55"/>
      <c r="AC982" s="55"/>
      <c r="AD982" s="55"/>
    </row>
    <row r="983">
      <c r="A983" s="149"/>
      <c r="B983" s="149"/>
      <c r="C983" s="149"/>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c r="AB983" s="55"/>
      <c r="AC983" s="55"/>
      <c r="AD983" s="55"/>
    </row>
    <row r="984">
      <c r="A984" s="149"/>
      <c r="B984" s="149"/>
      <c r="C984" s="149"/>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c r="AB984" s="55"/>
      <c r="AC984" s="55"/>
      <c r="AD984" s="55"/>
    </row>
    <row r="985">
      <c r="A985" s="149"/>
      <c r="B985" s="149"/>
      <c r="C985" s="149"/>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c r="AB985" s="55"/>
      <c r="AC985" s="55"/>
      <c r="AD985" s="55"/>
    </row>
    <row r="986">
      <c r="A986" s="149"/>
      <c r="B986" s="149"/>
      <c r="C986" s="149"/>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c r="AB986" s="55"/>
      <c r="AC986" s="55"/>
      <c r="AD986" s="55"/>
    </row>
    <row r="987">
      <c r="A987" s="149"/>
      <c r="B987" s="149"/>
      <c r="C987" s="149"/>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c r="AB987" s="55"/>
      <c r="AC987" s="55"/>
      <c r="AD987" s="55"/>
    </row>
    <row r="988">
      <c r="A988" s="149"/>
      <c r="B988" s="149"/>
      <c r="C988" s="149"/>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c r="AB988" s="55"/>
      <c r="AC988" s="55"/>
      <c r="AD988" s="55"/>
    </row>
    <row r="989">
      <c r="A989" s="149"/>
      <c r="B989" s="149"/>
      <c r="C989" s="149"/>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c r="AB989" s="55"/>
      <c r="AC989" s="55"/>
      <c r="AD989" s="55"/>
    </row>
    <row r="990">
      <c r="A990" s="149"/>
      <c r="B990" s="149"/>
      <c r="C990" s="149"/>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c r="AB990" s="55"/>
      <c r="AC990" s="55"/>
      <c r="AD990" s="55"/>
    </row>
    <row r="991">
      <c r="A991" s="149"/>
      <c r="B991" s="149"/>
      <c r="C991" s="149"/>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c r="AB991" s="55"/>
      <c r="AC991" s="55"/>
      <c r="AD991" s="55"/>
    </row>
    <row r="992">
      <c r="A992" s="149"/>
      <c r="B992" s="149"/>
      <c r="C992" s="149"/>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c r="AB992" s="55"/>
      <c r="AC992" s="55"/>
      <c r="AD992" s="55"/>
    </row>
    <row r="993">
      <c r="A993" s="149"/>
      <c r="B993" s="149"/>
      <c r="C993" s="149"/>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row>
    <row r="994">
      <c r="A994" s="149"/>
      <c r="B994" s="149"/>
      <c r="C994" s="149"/>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c r="AB994" s="55"/>
      <c r="AC994" s="55"/>
      <c r="AD994" s="55"/>
    </row>
    <row r="995">
      <c r="A995" s="149"/>
      <c r="B995" s="149"/>
      <c r="C995" s="149"/>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c r="AB995" s="55"/>
      <c r="AC995" s="55"/>
      <c r="AD995" s="55"/>
    </row>
    <row r="996">
      <c r="A996" s="149"/>
      <c r="B996" s="149"/>
      <c r="C996" s="149"/>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c r="AB996" s="55"/>
      <c r="AC996" s="55"/>
      <c r="AD996" s="55"/>
    </row>
    <row r="997">
      <c r="A997" s="149"/>
      <c r="B997" s="149"/>
      <c r="C997" s="149"/>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c r="AD997" s="55"/>
    </row>
    <row r="998">
      <c r="A998" s="149"/>
      <c r="B998" s="149"/>
      <c r="C998" s="149"/>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c r="AB998" s="55"/>
      <c r="AC998" s="55"/>
      <c r="AD998" s="55"/>
    </row>
    <row r="999">
      <c r="A999" s="149"/>
      <c r="B999" s="149"/>
      <c r="C999" s="149"/>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c r="AB999" s="55"/>
      <c r="AC999" s="55"/>
      <c r="AD999" s="55"/>
    </row>
    <row r="1000">
      <c r="A1000" s="149"/>
      <c r="B1000" s="149"/>
      <c r="C1000" s="149"/>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c r="AB1000" s="55"/>
      <c r="AC1000" s="55"/>
      <c r="AD1000" s="55"/>
    </row>
    <row r="1001">
      <c r="A1001" s="149"/>
      <c r="B1001" s="149"/>
      <c r="C1001" s="149"/>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5"/>
      <c r="AA1001" s="55"/>
      <c r="AB1001" s="55"/>
      <c r="AC1001" s="55"/>
      <c r="AD1001" s="55"/>
    </row>
    <row r="1002">
      <c r="A1002" s="149"/>
      <c r="B1002" s="149"/>
      <c r="C1002" s="149"/>
      <c r="D1002" s="55"/>
      <c r="E1002" s="55"/>
      <c r="F1002" s="55"/>
      <c r="G1002" s="55"/>
      <c r="H1002" s="55"/>
      <c r="I1002" s="55"/>
      <c r="J1002" s="55"/>
      <c r="K1002" s="55"/>
      <c r="L1002" s="55"/>
      <c r="M1002" s="55"/>
      <c r="N1002" s="55"/>
      <c r="O1002" s="55"/>
      <c r="P1002" s="55"/>
      <c r="Q1002" s="55"/>
      <c r="R1002" s="55"/>
      <c r="S1002" s="55"/>
      <c r="T1002" s="55"/>
      <c r="U1002" s="55"/>
      <c r="V1002" s="55"/>
      <c r="W1002" s="55"/>
      <c r="X1002" s="55"/>
      <c r="Y1002" s="55"/>
      <c r="Z1002" s="55"/>
      <c r="AA1002" s="55"/>
      <c r="AB1002" s="55"/>
      <c r="AC1002" s="55"/>
      <c r="AD1002" s="55"/>
    </row>
    <row r="1003">
      <c r="A1003" s="149"/>
      <c r="B1003" s="149"/>
      <c r="C1003" s="149"/>
      <c r="D1003" s="55"/>
      <c r="E1003" s="55"/>
      <c r="F1003" s="55"/>
      <c r="G1003" s="55"/>
      <c r="H1003" s="55"/>
      <c r="I1003" s="55"/>
      <c r="J1003" s="55"/>
      <c r="K1003" s="55"/>
      <c r="L1003" s="55"/>
      <c r="M1003" s="55"/>
      <c r="N1003" s="55"/>
      <c r="O1003" s="55"/>
      <c r="P1003" s="55"/>
      <c r="Q1003" s="55"/>
      <c r="R1003" s="55"/>
      <c r="S1003" s="55"/>
      <c r="T1003" s="55"/>
      <c r="U1003" s="55"/>
      <c r="V1003" s="55"/>
      <c r="W1003" s="55"/>
      <c r="X1003" s="55"/>
      <c r="Y1003" s="55"/>
      <c r="Z1003" s="55"/>
      <c r="AA1003" s="55"/>
      <c r="AB1003" s="55"/>
      <c r="AC1003" s="55"/>
      <c r="AD1003" s="55"/>
    </row>
    <row r="1004">
      <c r="A1004" s="149"/>
      <c r="B1004" s="149"/>
      <c r="C1004" s="149"/>
      <c r="D1004" s="55"/>
      <c r="E1004" s="55"/>
      <c r="F1004" s="55"/>
      <c r="G1004" s="55"/>
      <c r="H1004" s="55"/>
      <c r="I1004" s="55"/>
      <c r="J1004" s="55"/>
      <c r="K1004" s="55"/>
      <c r="L1004" s="55"/>
      <c r="M1004" s="55"/>
      <c r="N1004" s="55"/>
      <c r="O1004" s="55"/>
      <c r="P1004" s="55"/>
      <c r="Q1004" s="55"/>
      <c r="R1004" s="55"/>
      <c r="S1004" s="55"/>
      <c r="T1004" s="55"/>
      <c r="U1004" s="55"/>
      <c r="V1004" s="55"/>
      <c r="W1004" s="55"/>
      <c r="X1004" s="55"/>
      <c r="Y1004" s="55"/>
      <c r="Z1004" s="55"/>
      <c r="AA1004" s="55"/>
      <c r="AB1004" s="55"/>
      <c r="AC1004" s="55"/>
      <c r="AD1004" s="55"/>
    </row>
    <row r="1005">
      <c r="A1005" s="149"/>
      <c r="B1005" s="149"/>
      <c r="C1005" s="149"/>
      <c r="D1005" s="55"/>
      <c r="E1005" s="55"/>
      <c r="F1005" s="55"/>
      <c r="G1005" s="55"/>
      <c r="H1005" s="55"/>
      <c r="I1005" s="55"/>
      <c r="J1005" s="55"/>
      <c r="K1005" s="55"/>
      <c r="L1005" s="55"/>
      <c r="M1005" s="55"/>
      <c r="N1005" s="55"/>
      <c r="O1005" s="55"/>
      <c r="P1005" s="55"/>
      <c r="Q1005" s="55"/>
      <c r="R1005" s="55"/>
      <c r="S1005" s="55"/>
      <c r="T1005" s="55"/>
      <c r="U1005" s="55"/>
      <c r="V1005" s="55"/>
      <c r="W1005" s="55"/>
      <c r="X1005" s="55"/>
      <c r="Y1005" s="55"/>
      <c r="Z1005" s="55"/>
      <c r="AA1005" s="55"/>
      <c r="AB1005" s="55"/>
      <c r="AC1005" s="55"/>
      <c r="AD1005" s="55"/>
    </row>
    <row r="1006">
      <c r="A1006" s="149"/>
      <c r="B1006" s="149"/>
      <c r="C1006" s="149"/>
      <c r="D1006" s="55"/>
      <c r="E1006" s="55"/>
      <c r="F1006" s="55"/>
      <c r="G1006" s="55"/>
      <c r="H1006" s="55"/>
      <c r="I1006" s="55"/>
      <c r="J1006" s="55"/>
      <c r="K1006" s="55"/>
      <c r="L1006" s="55"/>
      <c r="M1006" s="55"/>
      <c r="N1006" s="55"/>
      <c r="O1006" s="55"/>
      <c r="P1006" s="55"/>
      <c r="Q1006" s="55"/>
      <c r="R1006" s="55"/>
      <c r="S1006" s="55"/>
      <c r="T1006" s="55"/>
      <c r="U1006" s="55"/>
      <c r="V1006" s="55"/>
      <c r="W1006" s="55"/>
      <c r="X1006" s="55"/>
      <c r="Y1006" s="55"/>
      <c r="Z1006" s="55"/>
      <c r="AA1006" s="55"/>
      <c r="AB1006" s="55"/>
      <c r="AC1006" s="55"/>
      <c r="AD1006" s="55"/>
    </row>
    <row r="1007">
      <c r="A1007" s="149"/>
      <c r="B1007" s="149"/>
      <c r="C1007" s="149"/>
      <c r="D1007" s="55"/>
      <c r="E1007" s="55"/>
      <c r="F1007" s="55"/>
      <c r="G1007" s="55"/>
      <c r="H1007" s="55"/>
      <c r="I1007" s="55"/>
      <c r="J1007" s="55"/>
      <c r="K1007" s="55"/>
      <c r="L1007" s="55"/>
      <c r="M1007" s="55"/>
      <c r="N1007" s="55"/>
      <c r="O1007" s="55"/>
      <c r="P1007" s="55"/>
      <c r="Q1007" s="55"/>
      <c r="R1007" s="55"/>
      <c r="S1007" s="55"/>
      <c r="T1007" s="55"/>
      <c r="U1007" s="55"/>
      <c r="V1007" s="55"/>
      <c r="W1007" s="55"/>
      <c r="X1007" s="55"/>
      <c r="Y1007" s="55"/>
      <c r="Z1007" s="55"/>
      <c r="AA1007" s="55"/>
      <c r="AB1007" s="55"/>
      <c r="AC1007" s="55"/>
      <c r="AD1007" s="55"/>
    </row>
    <row r="1008">
      <c r="A1008" s="149"/>
      <c r="B1008" s="149"/>
      <c r="C1008" s="149"/>
      <c r="D1008" s="55"/>
      <c r="E1008" s="55"/>
      <c r="F1008" s="55"/>
      <c r="G1008" s="55"/>
      <c r="H1008" s="55"/>
      <c r="I1008" s="55"/>
      <c r="J1008" s="55"/>
      <c r="K1008" s="55"/>
      <c r="L1008" s="55"/>
      <c r="M1008" s="55"/>
      <c r="N1008" s="55"/>
      <c r="O1008" s="55"/>
      <c r="P1008" s="55"/>
      <c r="Q1008" s="55"/>
      <c r="R1008" s="55"/>
      <c r="S1008" s="55"/>
      <c r="T1008" s="55"/>
      <c r="U1008" s="55"/>
      <c r="V1008" s="55"/>
      <c r="W1008" s="55"/>
      <c r="X1008" s="55"/>
      <c r="Y1008" s="55"/>
      <c r="Z1008" s="55"/>
      <c r="AA1008" s="55"/>
      <c r="AB1008" s="55"/>
      <c r="AC1008" s="55"/>
      <c r="AD1008" s="55"/>
    </row>
    <row r="1009">
      <c r="A1009" s="149"/>
      <c r="B1009" s="149"/>
      <c r="C1009" s="149"/>
      <c r="D1009" s="55"/>
      <c r="E1009" s="55"/>
      <c r="F1009" s="55"/>
      <c r="G1009" s="55"/>
      <c r="H1009" s="55"/>
      <c r="I1009" s="55"/>
      <c r="J1009" s="55"/>
      <c r="K1009" s="55"/>
      <c r="L1009" s="55"/>
      <c r="M1009" s="55"/>
      <c r="N1009" s="55"/>
      <c r="O1009" s="55"/>
      <c r="P1009" s="55"/>
      <c r="Q1009" s="55"/>
      <c r="R1009" s="55"/>
      <c r="S1009" s="55"/>
      <c r="T1009" s="55"/>
      <c r="U1009" s="55"/>
      <c r="V1009" s="55"/>
      <c r="W1009" s="55"/>
      <c r="X1009" s="55"/>
      <c r="Y1009" s="55"/>
      <c r="Z1009" s="55"/>
      <c r="AA1009" s="55"/>
      <c r="AB1009" s="55"/>
      <c r="AC1009" s="55"/>
      <c r="AD1009" s="55"/>
    </row>
    <row r="1010">
      <c r="A1010" s="149"/>
      <c r="B1010" s="149"/>
      <c r="C1010" s="149"/>
      <c r="D1010" s="55"/>
      <c r="E1010" s="55"/>
      <c r="F1010" s="55"/>
      <c r="G1010" s="55"/>
      <c r="H1010" s="55"/>
      <c r="I1010" s="55"/>
      <c r="J1010" s="55"/>
      <c r="K1010" s="55"/>
      <c r="L1010" s="55"/>
      <c r="M1010" s="55"/>
      <c r="N1010" s="55"/>
      <c r="O1010" s="55"/>
      <c r="P1010" s="55"/>
      <c r="Q1010" s="55"/>
      <c r="R1010" s="55"/>
      <c r="S1010" s="55"/>
      <c r="T1010" s="55"/>
      <c r="U1010" s="55"/>
      <c r="V1010" s="55"/>
      <c r="W1010" s="55"/>
      <c r="X1010" s="55"/>
      <c r="Y1010" s="55"/>
      <c r="Z1010" s="55"/>
      <c r="AA1010" s="55"/>
      <c r="AB1010" s="55"/>
      <c r="AC1010" s="55"/>
      <c r="AD1010" s="55"/>
    </row>
    <row r="1011">
      <c r="A1011" s="149"/>
      <c r="B1011" s="149"/>
      <c r="C1011" s="149"/>
      <c r="D1011" s="55"/>
      <c r="E1011" s="55"/>
      <c r="F1011" s="55"/>
      <c r="G1011" s="55"/>
      <c r="H1011" s="55"/>
      <c r="I1011" s="55"/>
      <c r="J1011" s="55"/>
      <c r="K1011" s="55"/>
      <c r="L1011" s="55"/>
      <c r="M1011" s="55"/>
      <c r="N1011" s="55"/>
      <c r="O1011" s="55"/>
      <c r="P1011" s="55"/>
      <c r="Q1011" s="55"/>
      <c r="R1011" s="55"/>
      <c r="S1011" s="55"/>
      <c r="T1011" s="55"/>
      <c r="U1011" s="55"/>
      <c r="V1011" s="55"/>
      <c r="W1011" s="55"/>
      <c r="X1011" s="55"/>
      <c r="Y1011" s="55"/>
      <c r="Z1011" s="55"/>
      <c r="AA1011" s="55"/>
      <c r="AB1011" s="55"/>
      <c r="AC1011" s="55"/>
      <c r="AD1011" s="55"/>
    </row>
    <row r="1012">
      <c r="A1012" s="149"/>
      <c r="B1012" s="149"/>
      <c r="C1012" s="149"/>
      <c r="D1012" s="55"/>
      <c r="E1012" s="55"/>
      <c r="F1012" s="55"/>
      <c r="G1012" s="55"/>
      <c r="H1012" s="55"/>
      <c r="I1012" s="55"/>
      <c r="J1012" s="55"/>
      <c r="K1012" s="55"/>
      <c r="L1012" s="55"/>
      <c r="M1012" s="55"/>
      <c r="N1012" s="55"/>
      <c r="O1012" s="55"/>
      <c r="P1012" s="55"/>
      <c r="Q1012" s="55"/>
      <c r="R1012" s="55"/>
      <c r="S1012" s="55"/>
      <c r="T1012" s="55"/>
      <c r="U1012" s="55"/>
      <c r="V1012" s="55"/>
      <c r="W1012" s="55"/>
      <c r="X1012" s="55"/>
      <c r="Y1012" s="55"/>
      <c r="Z1012" s="55"/>
      <c r="AA1012" s="55"/>
      <c r="AB1012" s="55"/>
      <c r="AC1012" s="55"/>
      <c r="AD1012" s="55"/>
    </row>
    <row r="1013">
      <c r="A1013" s="149"/>
      <c r="B1013" s="149"/>
      <c r="C1013" s="149"/>
      <c r="D1013" s="55"/>
      <c r="E1013" s="55"/>
      <c r="F1013" s="55"/>
      <c r="G1013" s="55"/>
      <c r="H1013" s="55"/>
      <c r="I1013" s="55"/>
      <c r="J1013" s="55"/>
      <c r="K1013" s="55"/>
      <c r="L1013" s="55"/>
      <c r="M1013" s="55"/>
      <c r="N1013" s="55"/>
      <c r="O1013" s="55"/>
      <c r="P1013" s="55"/>
      <c r="Q1013" s="55"/>
      <c r="R1013" s="55"/>
      <c r="S1013" s="55"/>
      <c r="T1013" s="55"/>
      <c r="U1013" s="55"/>
      <c r="V1013" s="55"/>
      <c r="W1013" s="55"/>
      <c r="X1013" s="55"/>
      <c r="Y1013" s="55"/>
      <c r="Z1013" s="55"/>
      <c r="AA1013" s="55"/>
      <c r="AB1013" s="55"/>
      <c r="AC1013" s="55"/>
      <c r="AD1013" s="55"/>
    </row>
    <row r="1014">
      <c r="A1014" s="149"/>
      <c r="B1014" s="149"/>
      <c r="C1014" s="149"/>
      <c r="D1014" s="55"/>
      <c r="E1014" s="55"/>
      <c r="F1014" s="55"/>
      <c r="G1014" s="55"/>
      <c r="H1014" s="55"/>
      <c r="I1014" s="55"/>
      <c r="J1014" s="55"/>
      <c r="K1014" s="55"/>
      <c r="L1014" s="55"/>
      <c r="M1014" s="55"/>
      <c r="N1014" s="55"/>
      <c r="O1014" s="55"/>
      <c r="P1014" s="55"/>
      <c r="Q1014" s="55"/>
      <c r="R1014" s="55"/>
      <c r="S1014" s="55"/>
      <c r="T1014" s="55"/>
      <c r="U1014" s="55"/>
      <c r="V1014" s="55"/>
      <c r="W1014" s="55"/>
      <c r="X1014" s="55"/>
      <c r="Y1014" s="55"/>
      <c r="Z1014" s="55"/>
      <c r="AA1014" s="55"/>
      <c r="AB1014" s="55"/>
      <c r="AC1014" s="55"/>
      <c r="AD1014" s="55"/>
    </row>
    <row r="1015">
      <c r="A1015" s="149"/>
      <c r="B1015" s="149"/>
      <c r="C1015" s="149"/>
      <c r="D1015" s="55"/>
      <c r="E1015" s="55"/>
      <c r="F1015" s="55"/>
      <c r="G1015" s="55"/>
      <c r="H1015" s="55"/>
      <c r="I1015" s="55"/>
      <c r="J1015" s="55"/>
      <c r="K1015" s="55"/>
      <c r="L1015" s="55"/>
      <c r="M1015" s="55"/>
      <c r="N1015" s="55"/>
      <c r="O1015" s="55"/>
      <c r="P1015" s="55"/>
      <c r="Q1015" s="55"/>
      <c r="R1015" s="55"/>
      <c r="S1015" s="55"/>
      <c r="T1015" s="55"/>
      <c r="U1015" s="55"/>
      <c r="V1015" s="55"/>
      <c r="W1015" s="55"/>
      <c r="X1015" s="55"/>
      <c r="Y1015" s="55"/>
      <c r="Z1015" s="55"/>
      <c r="AA1015" s="55"/>
      <c r="AB1015" s="55"/>
      <c r="AC1015" s="55"/>
      <c r="AD1015" s="55"/>
    </row>
    <row r="1016">
      <c r="A1016" s="149"/>
      <c r="B1016" s="149"/>
      <c r="C1016" s="149"/>
      <c r="D1016" s="55"/>
      <c r="E1016" s="55"/>
      <c r="F1016" s="55"/>
      <c r="G1016" s="55"/>
      <c r="H1016" s="55"/>
      <c r="I1016" s="55"/>
      <c r="J1016" s="55"/>
      <c r="K1016" s="55"/>
      <c r="L1016" s="55"/>
      <c r="M1016" s="55"/>
      <c r="N1016" s="55"/>
      <c r="O1016" s="55"/>
      <c r="P1016" s="55"/>
      <c r="Q1016" s="55"/>
      <c r="R1016" s="55"/>
      <c r="S1016" s="55"/>
      <c r="T1016" s="55"/>
      <c r="U1016" s="55"/>
      <c r="V1016" s="55"/>
      <c r="W1016" s="55"/>
      <c r="X1016" s="55"/>
      <c r="Y1016" s="55"/>
      <c r="Z1016" s="55"/>
      <c r="AA1016" s="55"/>
      <c r="AB1016" s="55"/>
      <c r="AC1016" s="55"/>
      <c r="AD1016" s="55"/>
    </row>
    <row r="1017">
      <c r="A1017" s="149"/>
      <c r="B1017" s="149"/>
      <c r="C1017" s="149"/>
      <c r="D1017" s="55"/>
      <c r="E1017" s="55"/>
      <c r="F1017" s="55"/>
      <c r="G1017" s="55"/>
      <c r="H1017" s="55"/>
      <c r="I1017" s="55"/>
      <c r="J1017" s="55"/>
      <c r="K1017" s="55"/>
      <c r="L1017" s="55"/>
      <c r="M1017" s="55"/>
      <c r="N1017" s="55"/>
      <c r="O1017" s="55"/>
      <c r="P1017" s="55"/>
      <c r="Q1017" s="55"/>
      <c r="R1017" s="55"/>
      <c r="S1017" s="55"/>
      <c r="T1017" s="55"/>
      <c r="U1017" s="55"/>
      <c r="V1017" s="55"/>
      <c r="W1017" s="55"/>
      <c r="X1017" s="55"/>
      <c r="Y1017" s="55"/>
      <c r="Z1017" s="55"/>
      <c r="AA1017" s="55"/>
      <c r="AB1017" s="55"/>
      <c r="AC1017" s="55"/>
      <c r="AD1017" s="55"/>
    </row>
    <row r="1018">
      <c r="A1018" s="149"/>
      <c r="B1018" s="149"/>
      <c r="C1018" s="149"/>
      <c r="D1018" s="55"/>
      <c r="E1018" s="55"/>
      <c r="F1018" s="55"/>
      <c r="G1018" s="55"/>
      <c r="H1018" s="55"/>
      <c r="I1018" s="55"/>
      <c r="J1018" s="55"/>
      <c r="K1018" s="55"/>
      <c r="L1018" s="55"/>
      <c r="M1018" s="55"/>
      <c r="N1018" s="55"/>
      <c r="O1018" s="55"/>
      <c r="P1018" s="55"/>
      <c r="Q1018" s="55"/>
      <c r="R1018" s="55"/>
      <c r="S1018" s="55"/>
      <c r="T1018" s="55"/>
      <c r="U1018" s="55"/>
      <c r="V1018" s="55"/>
      <c r="W1018" s="55"/>
      <c r="X1018" s="55"/>
      <c r="Y1018" s="55"/>
      <c r="Z1018" s="55"/>
      <c r="AA1018" s="55"/>
      <c r="AB1018" s="55"/>
      <c r="AC1018" s="55"/>
      <c r="AD1018" s="55"/>
    </row>
    <row r="1019">
      <c r="A1019" s="149"/>
      <c r="B1019" s="149"/>
      <c r="C1019" s="149"/>
      <c r="D1019" s="55"/>
      <c r="E1019" s="55"/>
      <c r="F1019" s="55"/>
      <c r="G1019" s="55"/>
      <c r="H1019" s="55"/>
      <c r="I1019" s="55"/>
      <c r="J1019" s="55"/>
      <c r="K1019" s="55"/>
      <c r="L1019" s="55"/>
      <c r="M1019" s="55"/>
      <c r="N1019" s="55"/>
      <c r="O1019" s="55"/>
      <c r="P1019" s="55"/>
      <c r="Q1019" s="55"/>
      <c r="R1019" s="55"/>
      <c r="S1019" s="55"/>
      <c r="T1019" s="55"/>
      <c r="U1019" s="55"/>
      <c r="V1019" s="55"/>
      <c r="W1019" s="55"/>
      <c r="X1019" s="55"/>
      <c r="Y1019" s="55"/>
      <c r="Z1019" s="55"/>
      <c r="AA1019" s="55"/>
      <c r="AB1019" s="55"/>
      <c r="AC1019" s="55"/>
      <c r="AD1019" s="55"/>
    </row>
    <row r="1020">
      <c r="A1020" s="149"/>
      <c r="B1020" s="149"/>
      <c r="C1020" s="149"/>
      <c r="D1020" s="55"/>
      <c r="E1020" s="55"/>
      <c r="F1020" s="55"/>
      <c r="G1020" s="55"/>
      <c r="H1020" s="55"/>
      <c r="I1020" s="55"/>
      <c r="J1020" s="55"/>
      <c r="K1020" s="55"/>
      <c r="L1020" s="55"/>
      <c r="M1020" s="55"/>
      <c r="N1020" s="55"/>
      <c r="O1020" s="55"/>
      <c r="P1020" s="55"/>
      <c r="Q1020" s="55"/>
      <c r="R1020" s="55"/>
      <c r="S1020" s="55"/>
      <c r="T1020" s="55"/>
      <c r="U1020" s="55"/>
      <c r="V1020" s="55"/>
      <c r="W1020" s="55"/>
      <c r="X1020" s="55"/>
      <c r="Y1020" s="55"/>
      <c r="Z1020" s="55"/>
      <c r="AA1020" s="55"/>
      <c r="AB1020" s="55"/>
      <c r="AC1020" s="55"/>
      <c r="AD1020" s="55"/>
    </row>
    <row r="1021">
      <c r="A1021" s="149"/>
      <c r="B1021" s="149"/>
      <c r="C1021" s="149"/>
      <c r="D1021" s="55"/>
      <c r="E1021" s="55"/>
      <c r="F1021" s="55"/>
      <c r="G1021" s="55"/>
      <c r="H1021" s="55"/>
      <c r="I1021" s="55"/>
      <c r="J1021" s="55"/>
      <c r="K1021" s="55"/>
      <c r="L1021" s="55"/>
      <c r="M1021" s="55"/>
      <c r="N1021" s="55"/>
      <c r="O1021" s="55"/>
      <c r="P1021" s="55"/>
      <c r="Q1021" s="55"/>
      <c r="R1021" s="55"/>
      <c r="S1021" s="55"/>
      <c r="T1021" s="55"/>
      <c r="U1021" s="55"/>
      <c r="V1021" s="55"/>
      <c r="W1021" s="55"/>
      <c r="X1021" s="55"/>
      <c r="Y1021" s="55"/>
      <c r="Z1021" s="55"/>
      <c r="AA1021" s="55"/>
      <c r="AB1021" s="55"/>
      <c r="AC1021" s="55"/>
      <c r="AD1021" s="55"/>
    </row>
    <row r="1022">
      <c r="A1022" s="149"/>
      <c r="B1022" s="149"/>
      <c r="C1022" s="149"/>
      <c r="D1022" s="55"/>
      <c r="E1022" s="55"/>
      <c r="F1022" s="55"/>
      <c r="G1022" s="55"/>
      <c r="H1022" s="55"/>
      <c r="I1022" s="55"/>
      <c r="J1022" s="55"/>
      <c r="K1022" s="55"/>
      <c r="L1022" s="55"/>
      <c r="M1022" s="55"/>
      <c r="N1022" s="55"/>
      <c r="O1022" s="55"/>
      <c r="P1022" s="55"/>
      <c r="Q1022" s="55"/>
      <c r="R1022" s="55"/>
      <c r="S1022" s="55"/>
      <c r="T1022" s="55"/>
      <c r="U1022" s="55"/>
      <c r="V1022" s="55"/>
      <c r="W1022" s="55"/>
      <c r="X1022" s="55"/>
      <c r="Y1022" s="55"/>
      <c r="Z1022" s="55"/>
      <c r="AA1022" s="55"/>
      <c r="AB1022" s="55"/>
      <c r="AC1022" s="55"/>
      <c r="AD1022" s="55"/>
    </row>
    <row r="1023">
      <c r="A1023" s="149"/>
      <c r="B1023" s="149"/>
      <c r="C1023" s="149"/>
      <c r="D1023" s="55"/>
      <c r="E1023" s="55"/>
      <c r="F1023" s="55"/>
      <c r="G1023" s="55"/>
      <c r="H1023" s="55"/>
      <c r="I1023" s="55"/>
      <c r="J1023" s="55"/>
      <c r="K1023" s="55"/>
      <c r="L1023" s="55"/>
      <c r="M1023" s="55"/>
      <c r="N1023" s="55"/>
      <c r="O1023" s="55"/>
      <c r="P1023" s="55"/>
      <c r="Q1023" s="55"/>
      <c r="R1023" s="55"/>
      <c r="S1023" s="55"/>
      <c r="T1023" s="55"/>
      <c r="U1023" s="55"/>
      <c r="V1023" s="55"/>
      <c r="W1023" s="55"/>
      <c r="X1023" s="55"/>
      <c r="Y1023" s="55"/>
      <c r="Z1023" s="55"/>
      <c r="AA1023" s="55"/>
      <c r="AB1023" s="55"/>
      <c r="AC1023" s="55"/>
      <c r="AD1023" s="55"/>
    </row>
    <row r="1024">
      <c r="A1024" s="149"/>
      <c r="B1024" s="149"/>
      <c r="C1024" s="149"/>
      <c r="D1024" s="55"/>
      <c r="E1024" s="55"/>
      <c r="F1024" s="55"/>
      <c r="G1024" s="55"/>
      <c r="H1024" s="55"/>
      <c r="I1024" s="55"/>
      <c r="J1024" s="55"/>
      <c r="K1024" s="55"/>
      <c r="L1024" s="55"/>
      <c r="M1024" s="55"/>
      <c r="N1024" s="55"/>
      <c r="O1024" s="55"/>
      <c r="P1024" s="55"/>
      <c r="Q1024" s="55"/>
      <c r="R1024" s="55"/>
      <c r="S1024" s="55"/>
      <c r="T1024" s="55"/>
      <c r="U1024" s="55"/>
      <c r="V1024" s="55"/>
      <c r="W1024" s="55"/>
      <c r="X1024" s="55"/>
      <c r="Y1024" s="55"/>
      <c r="Z1024" s="55"/>
      <c r="AA1024" s="55"/>
      <c r="AB1024" s="55"/>
      <c r="AC1024" s="55"/>
      <c r="AD1024" s="55"/>
    </row>
    <row r="1025">
      <c r="A1025" s="149"/>
      <c r="B1025" s="149"/>
      <c r="C1025" s="149"/>
      <c r="D1025" s="55"/>
      <c r="E1025" s="55"/>
      <c r="F1025" s="55"/>
      <c r="G1025" s="55"/>
      <c r="H1025" s="55"/>
      <c r="I1025" s="55"/>
      <c r="J1025" s="55"/>
      <c r="K1025" s="55"/>
      <c r="L1025" s="55"/>
      <c r="M1025" s="55"/>
      <c r="N1025" s="55"/>
      <c r="O1025" s="55"/>
      <c r="P1025" s="55"/>
      <c r="Q1025" s="55"/>
      <c r="R1025" s="55"/>
      <c r="S1025" s="55"/>
      <c r="T1025" s="55"/>
      <c r="U1025" s="55"/>
      <c r="V1025" s="55"/>
      <c r="W1025" s="55"/>
      <c r="X1025" s="55"/>
      <c r="Y1025" s="55"/>
      <c r="Z1025" s="55"/>
      <c r="AA1025" s="55"/>
      <c r="AB1025" s="55"/>
      <c r="AC1025" s="55"/>
      <c r="AD1025" s="55"/>
    </row>
    <row r="1026">
      <c r="A1026" s="149"/>
      <c r="B1026" s="149"/>
      <c r="C1026" s="149"/>
      <c r="D1026" s="55"/>
      <c r="E1026" s="55"/>
      <c r="F1026" s="55"/>
      <c r="G1026" s="55"/>
      <c r="H1026" s="55"/>
      <c r="I1026" s="55"/>
      <c r="J1026" s="55"/>
      <c r="K1026" s="55"/>
      <c r="L1026" s="55"/>
      <c r="M1026" s="55"/>
      <c r="N1026" s="55"/>
      <c r="O1026" s="55"/>
      <c r="P1026" s="55"/>
      <c r="Q1026" s="55"/>
      <c r="R1026" s="55"/>
      <c r="S1026" s="55"/>
      <c r="T1026" s="55"/>
      <c r="U1026" s="55"/>
      <c r="V1026" s="55"/>
      <c r="W1026" s="55"/>
      <c r="X1026" s="55"/>
      <c r="Y1026" s="55"/>
      <c r="Z1026" s="55"/>
      <c r="AA1026" s="55"/>
      <c r="AB1026" s="55"/>
      <c r="AC1026" s="55"/>
      <c r="AD1026" s="55"/>
    </row>
    <row r="1027">
      <c r="A1027" s="149"/>
      <c r="B1027" s="149"/>
      <c r="C1027" s="149"/>
      <c r="D1027" s="55"/>
      <c r="E1027" s="55"/>
      <c r="F1027" s="55"/>
      <c r="G1027" s="55"/>
      <c r="H1027" s="55"/>
      <c r="I1027" s="55"/>
      <c r="J1027" s="55"/>
      <c r="K1027" s="55"/>
      <c r="L1027" s="55"/>
      <c r="M1027" s="55"/>
      <c r="N1027" s="55"/>
      <c r="O1027" s="55"/>
      <c r="P1027" s="55"/>
      <c r="Q1027" s="55"/>
      <c r="R1027" s="55"/>
      <c r="S1027" s="55"/>
      <c r="T1027" s="55"/>
      <c r="U1027" s="55"/>
      <c r="V1027" s="55"/>
      <c r="W1027" s="55"/>
      <c r="X1027" s="55"/>
      <c r="Y1027" s="55"/>
      <c r="Z1027" s="55"/>
      <c r="AA1027" s="55"/>
      <c r="AB1027" s="55"/>
      <c r="AC1027" s="55"/>
      <c r="AD1027" s="55"/>
    </row>
    <row r="1028">
      <c r="A1028" s="149"/>
      <c r="B1028" s="149"/>
      <c r="C1028" s="149"/>
      <c r="D1028" s="55"/>
      <c r="E1028" s="55"/>
      <c r="F1028" s="55"/>
      <c r="G1028" s="55"/>
      <c r="H1028" s="55"/>
      <c r="I1028" s="55"/>
      <c r="J1028" s="55"/>
      <c r="K1028" s="55"/>
      <c r="L1028" s="55"/>
      <c r="M1028" s="55"/>
      <c r="N1028" s="55"/>
      <c r="O1028" s="55"/>
      <c r="P1028" s="55"/>
      <c r="Q1028" s="55"/>
      <c r="R1028" s="55"/>
      <c r="S1028" s="55"/>
      <c r="T1028" s="55"/>
      <c r="U1028" s="55"/>
      <c r="V1028" s="55"/>
      <c r="W1028" s="55"/>
      <c r="X1028" s="55"/>
      <c r="Y1028" s="55"/>
      <c r="Z1028" s="55"/>
      <c r="AA1028" s="55"/>
      <c r="AB1028" s="55"/>
      <c r="AC1028" s="55"/>
      <c r="AD1028" s="55"/>
    </row>
    <row r="1029">
      <c r="A1029" s="149"/>
      <c r="B1029" s="149"/>
      <c r="C1029" s="149"/>
      <c r="D1029" s="55"/>
      <c r="E1029" s="55"/>
      <c r="F1029" s="55"/>
      <c r="G1029" s="55"/>
      <c r="H1029" s="55"/>
      <c r="I1029" s="55"/>
      <c r="J1029" s="55"/>
      <c r="K1029" s="55"/>
      <c r="L1029" s="55"/>
      <c r="M1029" s="55"/>
      <c r="N1029" s="55"/>
      <c r="O1029" s="55"/>
      <c r="P1029" s="55"/>
      <c r="Q1029" s="55"/>
      <c r="R1029" s="55"/>
      <c r="S1029" s="55"/>
      <c r="T1029" s="55"/>
      <c r="U1029" s="55"/>
      <c r="V1029" s="55"/>
      <c r="W1029" s="55"/>
      <c r="X1029" s="55"/>
      <c r="Y1029" s="55"/>
      <c r="Z1029" s="55"/>
      <c r="AA1029" s="55"/>
      <c r="AB1029" s="55"/>
      <c r="AC1029" s="55"/>
      <c r="AD1029" s="55"/>
    </row>
    <row r="1030">
      <c r="A1030" s="149"/>
      <c r="B1030" s="149"/>
      <c r="C1030" s="149"/>
      <c r="D1030" s="55"/>
      <c r="E1030" s="55"/>
      <c r="F1030" s="55"/>
      <c r="G1030" s="55"/>
      <c r="H1030" s="55"/>
      <c r="I1030" s="55"/>
      <c r="J1030" s="55"/>
      <c r="K1030" s="55"/>
      <c r="L1030" s="55"/>
      <c r="M1030" s="55"/>
      <c r="N1030" s="55"/>
      <c r="O1030" s="55"/>
      <c r="P1030" s="55"/>
      <c r="Q1030" s="55"/>
      <c r="R1030" s="55"/>
      <c r="S1030" s="55"/>
      <c r="T1030" s="55"/>
      <c r="U1030" s="55"/>
      <c r="V1030" s="55"/>
      <c r="W1030" s="55"/>
      <c r="X1030" s="55"/>
      <c r="Y1030" s="55"/>
      <c r="Z1030" s="55"/>
      <c r="AA1030" s="55"/>
      <c r="AB1030" s="55"/>
      <c r="AC1030" s="55"/>
      <c r="AD1030" s="55"/>
    </row>
    <row r="1031">
      <c r="A1031" s="149"/>
      <c r="B1031" s="149"/>
      <c r="C1031" s="149"/>
      <c r="D1031" s="55"/>
      <c r="E1031" s="55"/>
      <c r="F1031" s="55"/>
      <c r="G1031" s="55"/>
      <c r="H1031" s="55"/>
      <c r="I1031" s="55"/>
      <c r="J1031" s="55"/>
      <c r="K1031" s="55"/>
      <c r="L1031" s="55"/>
      <c r="M1031" s="55"/>
      <c r="N1031" s="55"/>
      <c r="O1031" s="55"/>
      <c r="P1031" s="55"/>
      <c r="Q1031" s="55"/>
      <c r="R1031" s="55"/>
      <c r="S1031" s="55"/>
      <c r="T1031" s="55"/>
      <c r="U1031" s="55"/>
      <c r="V1031" s="55"/>
      <c r="W1031" s="55"/>
      <c r="X1031" s="55"/>
      <c r="Y1031" s="55"/>
      <c r="Z1031" s="55"/>
      <c r="AA1031" s="55"/>
      <c r="AB1031" s="55"/>
      <c r="AC1031" s="55"/>
      <c r="AD1031" s="55"/>
    </row>
    <row r="1032">
      <c r="A1032" s="149"/>
      <c r="B1032" s="149"/>
      <c r="C1032" s="149"/>
      <c r="D1032" s="55"/>
      <c r="E1032" s="55"/>
      <c r="F1032" s="55"/>
      <c r="G1032" s="55"/>
      <c r="H1032" s="55"/>
      <c r="I1032" s="55"/>
      <c r="J1032" s="55"/>
      <c r="K1032" s="55"/>
      <c r="L1032" s="55"/>
      <c r="M1032" s="55"/>
      <c r="N1032" s="55"/>
      <c r="O1032" s="55"/>
      <c r="P1032" s="55"/>
      <c r="Q1032" s="55"/>
      <c r="R1032" s="55"/>
      <c r="S1032" s="55"/>
      <c r="T1032" s="55"/>
      <c r="U1032" s="55"/>
      <c r="V1032" s="55"/>
      <c r="W1032" s="55"/>
      <c r="X1032" s="55"/>
      <c r="Y1032" s="55"/>
      <c r="Z1032" s="55"/>
      <c r="AA1032" s="55"/>
      <c r="AB1032" s="55"/>
      <c r="AC1032" s="55"/>
      <c r="AD1032" s="55"/>
    </row>
    <row r="1033">
      <c r="A1033" s="149"/>
      <c r="B1033" s="149"/>
      <c r="C1033" s="149"/>
      <c r="D1033" s="55"/>
      <c r="E1033" s="55"/>
      <c r="F1033" s="55"/>
      <c r="G1033" s="55"/>
      <c r="H1033" s="55"/>
      <c r="I1033" s="55"/>
      <c r="J1033" s="55"/>
      <c r="K1033" s="55"/>
      <c r="L1033" s="55"/>
      <c r="M1033" s="55"/>
      <c r="N1033" s="55"/>
      <c r="O1033" s="55"/>
      <c r="P1033" s="55"/>
      <c r="Q1033" s="55"/>
      <c r="R1033" s="55"/>
      <c r="S1033" s="55"/>
      <c r="T1033" s="55"/>
      <c r="U1033" s="55"/>
      <c r="V1033" s="55"/>
      <c r="W1033" s="55"/>
      <c r="X1033" s="55"/>
      <c r="Y1033" s="55"/>
      <c r="Z1033" s="55"/>
      <c r="AA1033" s="55"/>
      <c r="AB1033" s="55"/>
      <c r="AC1033" s="55"/>
      <c r="AD1033" s="55"/>
    </row>
    <row r="1034">
      <c r="A1034" s="149"/>
      <c r="B1034" s="149"/>
      <c r="C1034" s="149"/>
      <c r="D1034" s="55"/>
      <c r="E1034" s="55"/>
      <c r="F1034" s="55"/>
      <c r="G1034" s="55"/>
      <c r="H1034" s="55"/>
      <c r="I1034" s="55"/>
      <c r="J1034" s="55"/>
      <c r="K1034" s="55"/>
      <c r="L1034" s="55"/>
      <c r="M1034" s="55"/>
      <c r="N1034" s="55"/>
      <c r="O1034" s="55"/>
      <c r="P1034" s="55"/>
      <c r="Q1034" s="55"/>
      <c r="R1034" s="55"/>
      <c r="S1034" s="55"/>
      <c r="T1034" s="55"/>
      <c r="U1034" s="55"/>
      <c r="V1034" s="55"/>
      <c r="W1034" s="55"/>
      <c r="X1034" s="55"/>
      <c r="Y1034" s="55"/>
      <c r="Z1034" s="55"/>
      <c r="AA1034" s="55"/>
      <c r="AB1034" s="55"/>
      <c r="AC1034" s="55"/>
      <c r="AD1034" s="55"/>
    </row>
    <row r="1035">
      <c r="A1035" s="149"/>
      <c r="B1035" s="149"/>
      <c r="C1035" s="149"/>
      <c r="D1035" s="55"/>
      <c r="E1035" s="55"/>
      <c r="F1035" s="55"/>
      <c r="G1035" s="55"/>
      <c r="H1035" s="55"/>
      <c r="I1035" s="55"/>
      <c r="J1035" s="55"/>
      <c r="K1035" s="55"/>
      <c r="L1035" s="55"/>
      <c r="M1035" s="55"/>
      <c r="N1035" s="55"/>
      <c r="O1035" s="55"/>
      <c r="P1035" s="55"/>
      <c r="Q1035" s="55"/>
      <c r="R1035" s="55"/>
      <c r="S1035" s="55"/>
      <c r="T1035" s="55"/>
      <c r="U1035" s="55"/>
      <c r="V1035" s="55"/>
      <c r="W1035" s="55"/>
      <c r="X1035" s="55"/>
      <c r="Y1035" s="55"/>
      <c r="Z1035" s="55"/>
      <c r="AA1035" s="55"/>
      <c r="AB1035" s="55"/>
      <c r="AC1035" s="55"/>
      <c r="AD1035" s="55"/>
    </row>
    <row r="1036">
      <c r="A1036" s="149"/>
      <c r="B1036" s="149"/>
      <c r="C1036" s="149"/>
      <c r="D1036" s="55"/>
      <c r="E1036" s="55"/>
      <c r="F1036" s="55"/>
      <c r="G1036" s="55"/>
      <c r="H1036" s="55"/>
      <c r="I1036" s="55"/>
      <c r="J1036" s="55"/>
      <c r="K1036" s="55"/>
      <c r="L1036" s="55"/>
      <c r="M1036" s="55"/>
      <c r="N1036" s="55"/>
      <c r="O1036" s="55"/>
      <c r="P1036" s="55"/>
      <c r="Q1036" s="55"/>
      <c r="R1036" s="55"/>
      <c r="S1036" s="55"/>
      <c r="T1036" s="55"/>
      <c r="U1036" s="55"/>
      <c r="V1036" s="55"/>
      <c r="W1036" s="55"/>
      <c r="X1036" s="55"/>
      <c r="Y1036" s="55"/>
      <c r="Z1036" s="55"/>
      <c r="AA1036" s="55"/>
      <c r="AB1036" s="55"/>
      <c r="AC1036" s="55"/>
      <c r="AD1036" s="55"/>
    </row>
    <row r="1037">
      <c r="A1037" s="149"/>
      <c r="B1037" s="149"/>
      <c r="C1037" s="149"/>
      <c r="D1037" s="55"/>
      <c r="E1037" s="55"/>
      <c r="F1037" s="55"/>
      <c r="G1037" s="55"/>
      <c r="H1037" s="55"/>
      <c r="I1037" s="55"/>
      <c r="J1037" s="55"/>
      <c r="K1037" s="55"/>
      <c r="L1037" s="55"/>
      <c r="M1037" s="55"/>
      <c r="N1037" s="55"/>
      <c r="O1037" s="55"/>
      <c r="P1037" s="55"/>
      <c r="Q1037" s="55"/>
      <c r="R1037" s="55"/>
      <c r="S1037" s="55"/>
      <c r="T1037" s="55"/>
      <c r="U1037" s="55"/>
      <c r="V1037" s="55"/>
      <c r="W1037" s="55"/>
      <c r="X1037" s="55"/>
      <c r="Y1037" s="55"/>
      <c r="Z1037" s="55"/>
      <c r="AA1037" s="55"/>
      <c r="AB1037" s="55"/>
      <c r="AC1037" s="55"/>
      <c r="AD1037" s="55"/>
    </row>
    <row r="1038">
      <c r="A1038" s="149"/>
      <c r="B1038" s="149"/>
      <c r="C1038" s="149"/>
      <c r="D1038" s="55"/>
      <c r="E1038" s="55"/>
      <c r="F1038" s="55"/>
      <c r="G1038" s="55"/>
      <c r="H1038" s="55"/>
      <c r="I1038" s="55"/>
      <c r="J1038" s="55"/>
      <c r="K1038" s="55"/>
      <c r="L1038" s="55"/>
      <c r="M1038" s="55"/>
      <c r="N1038" s="55"/>
      <c r="O1038" s="55"/>
      <c r="P1038" s="55"/>
      <c r="Q1038" s="55"/>
      <c r="R1038" s="55"/>
      <c r="S1038" s="55"/>
      <c r="T1038" s="55"/>
      <c r="U1038" s="55"/>
      <c r="V1038" s="55"/>
      <c r="W1038" s="55"/>
      <c r="X1038" s="55"/>
      <c r="Y1038" s="55"/>
      <c r="Z1038" s="55"/>
      <c r="AA1038" s="55"/>
      <c r="AB1038" s="55"/>
      <c r="AC1038" s="55"/>
      <c r="AD1038" s="55"/>
    </row>
    <row r="1039">
      <c r="A1039" s="149"/>
      <c r="B1039" s="149"/>
      <c r="C1039" s="149"/>
      <c r="D1039" s="55"/>
      <c r="E1039" s="55"/>
      <c r="F1039" s="55"/>
      <c r="G1039" s="55"/>
      <c r="H1039" s="55"/>
      <c r="I1039" s="55"/>
      <c r="J1039" s="55"/>
      <c r="K1039" s="55"/>
      <c r="L1039" s="55"/>
      <c r="M1039" s="55"/>
      <c r="N1039" s="55"/>
      <c r="O1039" s="55"/>
      <c r="P1039" s="55"/>
      <c r="Q1039" s="55"/>
      <c r="R1039" s="55"/>
      <c r="S1039" s="55"/>
      <c r="T1039" s="55"/>
      <c r="U1039" s="55"/>
      <c r="V1039" s="55"/>
      <c r="W1039" s="55"/>
      <c r="X1039" s="55"/>
      <c r="Y1039" s="55"/>
      <c r="Z1039" s="55"/>
      <c r="AA1039" s="55"/>
      <c r="AB1039" s="55"/>
      <c r="AC1039" s="55"/>
      <c r="AD1039" s="55"/>
    </row>
    <row r="1040">
      <c r="A1040" s="149"/>
      <c r="B1040" s="149"/>
      <c r="C1040" s="149"/>
      <c r="D1040" s="55"/>
      <c r="E1040" s="55"/>
      <c r="F1040" s="55"/>
      <c r="G1040" s="55"/>
      <c r="H1040" s="55"/>
      <c r="I1040" s="55"/>
      <c r="J1040" s="55"/>
      <c r="K1040" s="55"/>
      <c r="L1040" s="55"/>
      <c r="M1040" s="55"/>
      <c r="N1040" s="55"/>
      <c r="O1040" s="55"/>
      <c r="P1040" s="55"/>
      <c r="Q1040" s="55"/>
      <c r="R1040" s="55"/>
      <c r="S1040" s="55"/>
      <c r="T1040" s="55"/>
      <c r="U1040" s="55"/>
      <c r="V1040" s="55"/>
      <c r="W1040" s="55"/>
      <c r="X1040" s="55"/>
      <c r="Y1040" s="55"/>
      <c r="Z1040" s="55"/>
      <c r="AA1040" s="55"/>
      <c r="AB1040" s="55"/>
      <c r="AC1040" s="55"/>
      <c r="AD1040" s="55"/>
    </row>
    <row r="1041">
      <c r="A1041" s="149"/>
      <c r="B1041" s="149"/>
      <c r="C1041" s="149"/>
      <c r="D1041" s="55"/>
      <c r="E1041" s="55"/>
      <c r="F1041" s="55"/>
      <c r="G1041" s="55"/>
      <c r="H1041" s="55"/>
      <c r="I1041" s="55"/>
      <c r="J1041" s="55"/>
      <c r="K1041" s="55"/>
      <c r="L1041" s="55"/>
      <c r="M1041" s="55"/>
      <c r="N1041" s="55"/>
      <c r="O1041" s="55"/>
      <c r="P1041" s="55"/>
      <c r="Q1041" s="55"/>
      <c r="R1041" s="55"/>
      <c r="S1041" s="55"/>
      <c r="T1041" s="55"/>
      <c r="U1041" s="55"/>
      <c r="V1041" s="55"/>
      <c r="W1041" s="55"/>
      <c r="X1041" s="55"/>
      <c r="Y1041" s="55"/>
      <c r="Z1041" s="55"/>
      <c r="AA1041" s="55"/>
      <c r="AB1041" s="55"/>
      <c r="AC1041" s="55"/>
      <c r="AD1041" s="55"/>
    </row>
    <row r="1042">
      <c r="A1042" s="149"/>
      <c r="B1042" s="149"/>
      <c r="C1042" s="149"/>
      <c r="D1042" s="55"/>
      <c r="E1042" s="55"/>
      <c r="F1042" s="55"/>
      <c r="G1042" s="55"/>
      <c r="H1042" s="55"/>
      <c r="I1042" s="55"/>
      <c r="J1042" s="55"/>
      <c r="K1042" s="55"/>
      <c r="L1042" s="55"/>
      <c r="M1042" s="55"/>
      <c r="N1042" s="55"/>
      <c r="O1042" s="55"/>
      <c r="P1042" s="55"/>
      <c r="Q1042" s="55"/>
      <c r="R1042" s="55"/>
      <c r="S1042" s="55"/>
      <c r="T1042" s="55"/>
      <c r="U1042" s="55"/>
      <c r="V1042" s="55"/>
      <c r="W1042" s="55"/>
      <c r="X1042" s="55"/>
      <c r="Y1042" s="55"/>
      <c r="Z1042" s="55"/>
      <c r="AA1042" s="55"/>
      <c r="AB1042" s="55"/>
      <c r="AC1042" s="55"/>
      <c r="AD1042" s="55"/>
    </row>
    <row r="1043">
      <c r="A1043" s="149"/>
      <c r="B1043" s="149"/>
      <c r="C1043" s="149"/>
      <c r="D1043" s="55"/>
      <c r="E1043" s="55"/>
      <c r="F1043" s="55"/>
      <c r="G1043" s="55"/>
      <c r="H1043" s="55"/>
      <c r="I1043" s="55"/>
      <c r="J1043" s="55"/>
      <c r="K1043" s="55"/>
      <c r="L1043" s="55"/>
      <c r="M1043" s="55"/>
      <c r="N1043" s="55"/>
      <c r="O1043" s="55"/>
      <c r="P1043" s="55"/>
      <c r="Q1043" s="55"/>
      <c r="R1043" s="55"/>
      <c r="S1043" s="55"/>
      <c r="T1043" s="55"/>
      <c r="U1043" s="55"/>
      <c r="V1043" s="55"/>
      <c r="W1043" s="55"/>
      <c r="X1043" s="55"/>
      <c r="Y1043" s="55"/>
      <c r="Z1043" s="55"/>
      <c r="AA1043" s="55"/>
      <c r="AB1043" s="55"/>
      <c r="AC1043" s="55"/>
      <c r="AD1043" s="55"/>
    </row>
    <row r="1044">
      <c r="A1044" s="149"/>
      <c r="B1044" s="149"/>
      <c r="C1044" s="149"/>
      <c r="D1044" s="55"/>
      <c r="E1044" s="55"/>
      <c r="F1044" s="55"/>
      <c r="G1044" s="55"/>
      <c r="H1044" s="55"/>
      <c r="I1044" s="55"/>
      <c r="J1044" s="55"/>
      <c r="K1044" s="55"/>
      <c r="L1044" s="55"/>
      <c r="M1044" s="55"/>
      <c r="N1044" s="55"/>
      <c r="O1044" s="55"/>
      <c r="P1044" s="55"/>
      <c r="Q1044" s="55"/>
      <c r="R1044" s="55"/>
      <c r="S1044" s="55"/>
      <c r="T1044" s="55"/>
      <c r="U1044" s="55"/>
      <c r="V1044" s="55"/>
      <c r="W1044" s="55"/>
      <c r="X1044" s="55"/>
      <c r="Y1044" s="55"/>
      <c r="Z1044" s="55"/>
      <c r="AA1044" s="55"/>
      <c r="AB1044" s="55"/>
      <c r="AC1044" s="55"/>
      <c r="AD1044" s="55"/>
    </row>
    <row r="1045">
      <c r="A1045" s="149"/>
      <c r="B1045" s="149"/>
      <c r="C1045" s="149"/>
      <c r="D1045" s="55"/>
      <c r="E1045" s="55"/>
      <c r="F1045" s="55"/>
      <c r="G1045" s="55"/>
      <c r="H1045" s="55"/>
      <c r="I1045" s="55"/>
      <c r="J1045" s="55"/>
      <c r="K1045" s="55"/>
      <c r="L1045" s="55"/>
      <c r="M1045" s="55"/>
      <c r="N1045" s="55"/>
      <c r="O1045" s="55"/>
      <c r="P1045" s="55"/>
      <c r="Q1045" s="55"/>
      <c r="R1045" s="55"/>
      <c r="S1045" s="55"/>
      <c r="T1045" s="55"/>
      <c r="U1045" s="55"/>
      <c r="V1045" s="55"/>
      <c r="W1045" s="55"/>
      <c r="X1045" s="55"/>
      <c r="Y1045" s="55"/>
      <c r="Z1045" s="55"/>
      <c r="AA1045" s="55"/>
      <c r="AB1045" s="55"/>
      <c r="AC1045" s="55"/>
      <c r="AD1045" s="55"/>
    </row>
    <row r="1046">
      <c r="A1046" s="149"/>
      <c r="B1046" s="149"/>
      <c r="C1046" s="149"/>
      <c r="D1046" s="55"/>
      <c r="E1046" s="55"/>
      <c r="F1046" s="55"/>
      <c r="G1046" s="55"/>
      <c r="H1046" s="55"/>
      <c r="I1046" s="55"/>
      <c r="J1046" s="55"/>
      <c r="K1046" s="55"/>
      <c r="L1046" s="55"/>
      <c r="M1046" s="55"/>
      <c r="N1046" s="55"/>
      <c r="O1046" s="55"/>
      <c r="P1046" s="55"/>
      <c r="Q1046" s="55"/>
      <c r="R1046" s="55"/>
      <c r="S1046" s="55"/>
      <c r="T1046" s="55"/>
      <c r="U1046" s="55"/>
      <c r="V1046" s="55"/>
      <c r="W1046" s="55"/>
      <c r="X1046" s="55"/>
      <c r="Y1046" s="55"/>
      <c r="Z1046" s="55"/>
      <c r="AA1046" s="55"/>
      <c r="AB1046" s="55"/>
      <c r="AC1046" s="55"/>
      <c r="AD1046" s="55"/>
    </row>
    <row r="1047">
      <c r="A1047" s="149"/>
      <c r="B1047" s="149"/>
      <c r="C1047" s="149"/>
      <c r="D1047" s="55"/>
      <c r="E1047" s="55"/>
      <c r="F1047" s="55"/>
      <c r="G1047" s="55"/>
      <c r="H1047" s="55"/>
      <c r="I1047" s="55"/>
      <c r="J1047" s="55"/>
      <c r="K1047" s="55"/>
      <c r="L1047" s="55"/>
      <c r="M1047" s="55"/>
      <c r="N1047" s="55"/>
      <c r="O1047" s="55"/>
      <c r="P1047" s="55"/>
      <c r="Q1047" s="55"/>
      <c r="R1047" s="55"/>
      <c r="S1047" s="55"/>
      <c r="T1047" s="55"/>
      <c r="U1047" s="55"/>
      <c r="V1047" s="55"/>
      <c r="W1047" s="55"/>
      <c r="X1047" s="55"/>
      <c r="Y1047" s="55"/>
      <c r="Z1047" s="55"/>
      <c r="AA1047" s="55"/>
      <c r="AB1047" s="55"/>
      <c r="AC1047" s="55"/>
      <c r="AD1047" s="55"/>
    </row>
    <row r="1048">
      <c r="A1048" s="149"/>
      <c r="B1048" s="149"/>
      <c r="C1048" s="149"/>
      <c r="D1048" s="55"/>
      <c r="E1048" s="55"/>
      <c r="F1048" s="55"/>
      <c r="G1048" s="55"/>
      <c r="H1048" s="55"/>
      <c r="I1048" s="55"/>
      <c r="J1048" s="55"/>
      <c r="K1048" s="55"/>
      <c r="L1048" s="55"/>
      <c r="M1048" s="55"/>
      <c r="N1048" s="55"/>
      <c r="O1048" s="55"/>
      <c r="P1048" s="55"/>
      <c r="Q1048" s="55"/>
      <c r="R1048" s="55"/>
      <c r="S1048" s="55"/>
      <c r="T1048" s="55"/>
      <c r="U1048" s="55"/>
      <c r="V1048" s="55"/>
      <c r="W1048" s="55"/>
      <c r="X1048" s="55"/>
      <c r="Y1048" s="55"/>
      <c r="Z1048" s="55"/>
      <c r="AA1048" s="55"/>
      <c r="AB1048" s="55"/>
      <c r="AC1048" s="55"/>
      <c r="AD1048" s="55"/>
    </row>
    <row r="1049">
      <c r="A1049" s="149"/>
      <c r="B1049" s="149"/>
      <c r="C1049" s="149"/>
      <c r="D1049" s="55"/>
      <c r="E1049" s="55"/>
      <c r="F1049" s="55"/>
      <c r="G1049" s="55"/>
      <c r="H1049" s="55"/>
      <c r="I1049" s="55"/>
      <c r="J1049" s="55"/>
      <c r="K1049" s="55"/>
      <c r="L1049" s="55"/>
      <c r="M1049" s="55"/>
      <c r="N1049" s="55"/>
      <c r="O1049" s="55"/>
      <c r="P1049" s="55"/>
      <c r="Q1049" s="55"/>
      <c r="R1049" s="55"/>
      <c r="S1049" s="55"/>
      <c r="T1049" s="55"/>
      <c r="U1049" s="55"/>
      <c r="V1049" s="55"/>
      <c r="W1049" s="55"/>
      <c r="X1049" s="55"/>
      <c r="Y1049" s="55"/>
      <c r="Z1049" s="55"/>
      <c r="AA1049" s="55"/>
      <c r="AB1049" s="55"/>
      <c r="AC1049" s="55"/>
      <c r="AD1049" s="55"/>
    </row>
    <row r="1050">
      <c r="A1050" s="149"/>
      <c r="B1050" s="149"/>
      <c r="C1050" s="149"/>
      <c r="D1050" s="55"/>
      <c r="E1050" s="55"/>
      <c r="F1050" s="55"/>
      <c r="G1050" s="55"/>
      <c r="H1050" s="55"/>
      <c r="I1050" s="55"/>
      <c r="J1050" s="55"/>
      <c r="K1050" s="55"/>
      <c r="L1050" s="55"/>
      <c r="M1050" s="55"/>
      <c r="N1050" s="55"/>
      <c r="O1050" s="55"/>
      <c r="P1050" s="55"/>
      <c r="Q1050" s="55"/>
      <c r="R1050" s="55"/>
      <c r="S1050" s="55"/>
      <c r="T1050" s="55"/>
      <c r="U1050" s="55"/>
      <c r="V1050" s="55"/>
      <c r="W1050" s="55"/>
      <c r="X1050" s="55"/>
      <c r="Y1050" s="55"/>
      <c r="Z1050" s="55"/>
      <c r="AA1050" s="55"/>
      <c r="AB1050" s="55"/>
      <c r="AC1050" s="55"/>
      <c r="AD1050" s="55"/>
    </row>
    <row r="1051">
      <c r="A1051" s="149"/>
      <c r="B1051" s="149"/>
      <c r="C1051" s="149"/>
      <c r="D1051" s="55"/>
      <c r="E1051" s="55"/>
      <c r="F1051" s="55"/>
      <c r="G1051" s="55"/>
      <c r="H1051" s="55"/>
      <c r="I1051" s="55"/>
      <c r="J1051" s="55"/>
      <c r="K1051" s="55"/>
      <c r="L1051" s="55"/>
      <c r="M1051" s="55"/>
      <c r="N1051" s="55"/>
      <c r="O1051" s="55"/>
      <c r="P1051" s="55"/>
      <c r="Q1051" s="55"/>
      <c r="R1051" s="55"/>
      <c r="S1051" s="55"/>
      <c r="T1051" s="55"/>
      <c r="U1051" s="55"/>
      <c r="V1051" s="55"/>
      <c r="W1051" s="55"/>
      <c r="X1051" s="55"/>
      <c r="Y1051" s="55"/>
      <c r="Z1051" s="55"/>
      <c r="AA1051" s="55"/>
      <c r="AB1051" s="55"/>
      <c r="AC1051" s="55"/>
      <c r="AD1051" s="55"/>
    </row>
    <row r="1052">
      <c r="A1052" s="149"/>
      <c r="B1052" s="149"/>
      <c r="C1052" s="149"/>
      <c r="D1052" s="55"/>
      <c r="E1052" s="55"/>
      <c r="F1052" s="55"/>
      <c r="G1052" s="55"/>
      <c r="H1052" s="55"/>
      <c r="I1052" s="55"/>
      <c r="J1052" s="55"/>
      <c r="K1052" s="55"/>
      <c r="L1052" s="55"/>
      <c r="M1052" s="55"/>
      <c r="N1052" s="55"/>
      <c r="O1052" s="55"/>
      <c r="P1052" s="55"/>
      <c r="Q1052" s="55"/>
      <c r="R1052" s="55"/>
      <c r="S1052" s="55"/>
      <c r="T1052" s="55"/>
      <c r="U1052" s="55"/>
      <c r="V1052" s="55"/>
      <c r="W1052" s="55"/>
      <c r="X1052" s="55"/>
      <c r="Y1052" s="55"/>
      <c r="Z1052" s="55"/>
      <c r="AA1052" s="55"/>
      <c r="AB1052" s="55"/>
      <c r="AC1052" s="55"/>
      <c r="AD1052" s="55"/>
    </row>
    <row r="1053">
      <c r="A1053" s="149"/>
      <c r="B1053" s="149"/>
      <c r="C1053" s="149"/>
      <c r="D1053" s="55"/>
      <c r="E1053" s="55"/>
      <c r="F1053" s="55"/>
      <c r="G1053" s="55"/>
      <c r="H1053" s="55"/>
      <c r="I1053" s="55"/>
      <c r="J1053" s="55"/>
      <c r="K1053" s="55"/>
      <c r="L1053" s="55"/>
      <c r="M1053" s="55"/>
      <c r="N1053" s="55"/>
      <c r="O1053" s="55"/>
      <c r="P1053" s="55"/>
      <c r="Q1053" s="55"/>
      <c r="R1053" s="55"/>
      <c r="S1053" s="55"/>
      <c r="T1053" s="55"/>
      <c r="U1053" s="55"/>
      <c r="V1053" s="55"/>
      <c r="W1053" s="55"/>
      <c r="X1053" s="55"/>
      <c r="Y1053" s="55"/>
      <c r="Z1053" s="55"/>
      <c r="AA1053" s="55"/>
      <c r="AB1053" s="55"/>
      <c r="AC1053" s="55"/>
      <c r="AD1053" s="55"/>
    </row>
    <row r="1054">
      <c r="A1054" s="149"/>
      <c r="B1054" s="149"/>
      <c r="C1054" s="149"/>
      <c r="D1054" s="55"/>
      <c r="E1054" s="55"/>
      <c r="F1054" s="55"/>
      <c r="G1054" s="55"/>
      <c r="H1054" s="55"/>
      <c r="I1054" s="55"/>
      <c r="J1054" s="55"/>
      <c r="K1054" s="55"/>
      <c r="L1054" s="55"/>
      <c r="M1054" s="55"/>
      <c r="N1054" s="55"/>
      <c r="O1054" s="55"/>
      <c r="P1054" s="55"/>
      <c r="Q1054" s="55"/>
      <c r="R1054" s="55"/>
      <c r="S1054" s="55"/>
      <c r="T1054" s="55"/>
      <c r="U1054" s="55"/>
      <c r="V1054" s="55"/>
      <c r="W1054" s="55"/>
      <c r="X1054" s="55"/>
      <c r="Y1054" s="55"/>
      <c r="Z1054" s="55"/>
      <c r="AA1054" s="55"/>
      <c r="AB1054" s="55"/>
      <c r="AC1054" s="55"/>
      <c r="AD1054" s="55"/>
    </row>
    <row r="1055">
      <c r="A1055" s="149"/>
      <c r="B1055" s="149"/>
      <c r="C1055" s="149"/>
      <c r="D1055" s="55"/>
      <c r="E1055" s="55"/>
      <c r="F1055" s="55"/>
      <c r="G1055" s="55"/>
      <c r="H1055" s="55"/>
      <c r="I1055" s="55"/>
      <c r="J1055" s="55"/>
      <c r="K1055" s="55"/>
      <c r="L1055" s="55"/>
      <c r="M1055" s="55"/>
      <c r="N1055" s="55"/>
      <c r="O1055" s="55"/>
      <c r="P1055" s="55"/>
      <c r="Q1055" s="55"/>
      <c r="R1055" s="55"/>
      <c r="S1055" s="55"/>
      <c r="T1055" s="55"/>
      <c r="U1055" s="55"/>
      <c r="V1055" s="55"/>
      <c r="W1055" s="55"/>
      <c r="X1055" s="55"/>
      <c r="Y1055" s="55"/>
      <c r="Z1055" s="55"/>
      <c r="AA1055" s="55"/>
      <c r="AB1055" s="55"/>
      <c r="AC1055" s="55"/>
      <c r="AD1055" s="55"/>
    </row>
    <row r="1056">
      <c r="A1056" s="149"/>
      <c r="B1056" s="149"/>
      <c r="C1056" s="149"/>
      <c r="D1056" s="55"/>
      <c r="E1056" s="55"/>
      <c r="F1056" s="55"/>
      <c r="G1056" s="55"/>
      <c r="H1056" s="55"/>
      <c r="I1056" s="55"/>
      <c r="J1056" s="55"/>
      <c r="K1056" s="55"/>
      <c r="L1056" s="55"/>
      <c r="M1056" s="55"/>
      <c r="N1056" s="55"/>
      <c r="O1056" s="55"/>
      <c r="P1056" s="55"/>
      <c r="Q1056" s="55"/>
      <c r="R1056" s="55"/>
      <c r="S1056" s="55"/>
      <c r="T1056" s="55"/>
      <c r="U1056" s="55"/>
      <c r="V1056" s="55"/>
      <c r="W1056" s="55"/>
      <c r="X1056" s="55"/>
      <c r="Y1056" s="55"/>
      <c r="Z1056" s="55"/>
      <c r="AA1056" s="55"/>
      <c r="AB1056" s="55"/>
      <c r="AC1056" s="55"/>
      <c r="AD1056" s="55"/>
    </row>
    <row r="1057">
      <c r="A1057" s="149"/>
      <c r="B1057" s="149"/>
      <c r="C1057" s="149"/>
      <c r="D1057" s="55"/>
      <c r="E1057" s="55"/>
      <c r="F1057" s="55"/>
      <c r="G1057" s="55"/>
      <c r="H1057" s="55"/>
      <c r="I1057" s="55"/>
      <c r="J1057" s="55"/>
      <c r="K1057" s="55"/>
      <c r="L1057" s="55"/>
      <c r="M1057" s="55"/>
      <c r="N1057" s="55"/>
      <c r="O1057" s="55"/>
      <c r="P1057" s="55"/>
      <c r="Q1057" s="55"/>
      <c r="R1057" s="55"/>
      <c r="S1057" s="55"/>
      <c r="T1057" s="55"/>
      <c r="U1057" s="55"/>
      <c r="V1057" s="55"/>
      <c r="W1057" s="55"/>
      <c r="X1057" s="55"/>
      <c r="Y1057" s="55"/>
      <c r="Z1057" s="55"/>
      <c r="AA1057" s="55"/>
      <c r="AB1057" s="55"/>
      <c r="AC1057" s="55"/>
      <c r="AD1057" s="55"/>
    </row>
    <row r="1058">
      <c r="A1058" s="149"/>
      <c r="B1058" s="149"/>
      <c r="C1058" s="149"/>
      <c r="D1058" s="55"/>
      <c r="E1058" s="55"/>
      <c r="F1058" s="55"/>
      <c r="G1058" s="55"/>
      <c r="H1058" s="55"/>
      <c r="I1058" s="55"/>
      <c r="J1058" s="55"/>
      <c r="K1058" s="55"/>
      <c r="L1058" s="55"/>
      <c r="M1058" s="55"/>
      <c r="N1058" s="55"/>
      <c r="O1058" s="55"/>
      <c r="P1058" s="55"/>
      <c r="Q1058" s="55"/>
      <c r="R1058" s="55"/>
      <c r="S1058" s="55"/>
      <c r="T1058" s="55"/>
      <c r="U1058" s="55"/>
      <c r="V1058" s="55"/>
      <c r="W1058" s="55"/>
      <c r="X1058" s="55"/>
      <c r="Y1058" s="55"/>
      <c r="Z1058" s="55"/>
      <c r="AA1058" s="55"/>
      <c r="AB1058" s="55"/>
      <c r="AC1058" s="55"/>
      <c r="AD1058" s="55"/>
    </row>
    <row r="1059">
      <c r="A1059" s="149"/>
      <c r="B1059" s="149"/>
      <c r="C1059" s="149"/>
      <c r="D1059" s="55"/>
      <c r="E1059" s="55"/>
      <c r="F1059" s="55"/>
      <c r="G1059" s="55"/>
      <c r="H1059" s="55"/>
      <c r="I1059" s="55"/>
      <c r="J1059" s="55"/>
      <c r="K1059" s="55"/>
      <c r="L1059" s="55"/>
      <c r="M1059" s="55"/>
      <c r="N1059" s="55"/>
      <c r="O1059" s="55"/>
      <c r="P1059" s="55"/>
      <c r="Q1059" s="55"/>
      <c r="R1059" s="55"/>
      <c r="S1059" s="55"/>
      <c r="T1059" s="55"/>
      <c r="U1059" s="55"/>
      <c r="V1059" s="55"/>
      <c r="W1059" s="55"/>
      <c r="X1059" s="55"/>
      <c r="Y1059" s="55"/>
      <c r="Z1059" s="55"/>
      <c r="AA1059" s="55"/>
      <c r="AB1059" s="55"/>
      <c r="AC1059" s="55"/>
      <c r="AD1059" s="55"/>
    </row>
    <row r="1060">
      <c r="A1060" s="149"/>
      <c r="B1060" s="149"/>
      <c r="C1060" s="149"/>
      <c r="D1060" s="55"/>
      <c r="E1060" s="55"/>
      <c r="F1060" s="55"/>
      <c r="G1060" s="55"/>
      <c r="H1060" s="55"/>
      <c r="I1060" s="55"/>
      <c r="J1060" s="55"/>
      <c r="K1060" s="55"/>
      <c r="L1060" s="55"/>
      <c r="M1060" s="55"/>
      <c r="N1060" s="55"/>
      <c r="O1060" s="55"/>
      <c r="P1060" s="55"/>
      <c r="Q1060" s="55"/>
      <c r="R1060" s="55"/>
      <c r="S1060" s="55"/>
      <c r="T1060" s="55"/>
      <c r="U1060" s="55"/>
      <c r="V1060" s="55"/>
      <c r="W1060" s="55"/>
      <c r="X1060" s="55"/>
      <c r="Y1060" s="55"/>
      <c r="Z1060" s="55"/>
      <c r="AA1060" s="55"/>
      <c r="AB1060" s="55"/>
      <c r="AC1060" s="55"/>
      <c r="AD1060" s="55"/>
    </row>
    <row r="1061">
      <c r="A1061" s="149"/>
      <c r="B1061" s="149"/>
      <c r="C1061" s="149"/>
      <c r="D1061" s="55"/>
      <c r="E1061" s="55"/>
      <c r="F1061" s="55"/>
      <c r="G1061" s="55"/>
      <c r="H1061" s="55"/>
      <c r="I1061" s="55"/>
      <c r="J1061" s="55"/>
      <c r="K1061" s="55"/>
      <c r="L1061" s="55"/>
      <c r="M1061" s="55"/>
      <c r="N1061" s="55"/>
      <c r="O1061" s="55"/>
      <c r="P1061" s="55"/>
      <c r="Q1061" s="55"/>
      <c r="R1061" s="55"/>
      <c r="S1061" s="55"/>
      <c r="T1061" s="55"/>
      <c r="U1061" s="55"/>
      <c r="V1061" s="55"/>
      <c r="W1061" s="55"/>
      <c r="X1061" s="55"/>
      <c r="Y1061" s="55"/>
      <c r="Z1061" s="55"/>
      <c r="AA1061" s="55"/>
      <c r="AB1061" s="55"/>
      <c r="AC1061" s="55"/>
      <c r="AD1061" s="55"/>
    </row>
    <row r="1062">
      <c r="A1062" s="149"/>
      <c r="B1062" s="149"/>
      <c r="C1062" s="149"/>
      <c r="D1062" s="55"/>
      <c r="E1062" s="55"/>
      <c r="F1062" s="55"/>
      <c r="G1062" s="55"/>
      <c r="H1062" s="55"/>
      <c r="I1062" s="55"/>
      <c r="J1062" s="55"/>
      <c r="K1062" s="55"/>
      <c r="L1062" s="55"/>
      <c r="M1062" s="55"/>
      <c r="N1062" s="55"/>
      <c r="O1062" s="55"/>
      <c r="P1062" s="55"/>
      <c r="Q1062" s="55"/>
      <c r="R1062" s="55"/>
      <c r="S1062" s="55"/>
      <c r="T1062" s="55"/>
      <c r="U1062" s="55"/>
      <c r="V1062" s="55"/>
      <c r="W1062" s="55"/>
      <c r="X1062" s="55"/>
      <c r="Y1062" s="55"/>
      <c r="Z1062" s="55"/>
      <c r="AA1062" s="55"/>
      <c r="AB1062" s="55"/>
      <c r="AC1062" s="55"/>
      <c r="AD1062" s="55"/>
    </row>
    <row r="1063">
      <c r="A1063" s="149"/>
      <c r="B1063" s="149"/>
      <c r="C1063" s="149"/>
      <c r="D1063" s="55"/>
      <c r="E1063" s="55"/>
      <c r="F1063" s="55"/>
      <c r="G1063" s="55"/>
      <c r="H1063" s="55"/>
      <c r="I1063" s="55"/>
      <c r="J1063" s="55"/>
      <c r="K1063" s="55"/>
      <c r="L1063" s="55"/>
      <c r="M1063" s="55"/>
      <c r="N1063" s="55"/>
      <c r="O1063" s="55"/>
      <c r="P1063" s="55"/>
      <c r="Q1063" s="55"/>
      <c r="R1063" s="55"/>
      <c r="S1063" s="55"/>
      <c r="T1063" s="55"/>
      <c r="U1063" s="55"/>
      <c r="V1063" s="55"/>
      <c r="W1063" s="55"/>
      <c r="X1063" s="55"/>
      <c r="Y1063" s="55"/>
      <c r="Z1063" s="55"/>
      <c r="AA1063" s="55"/>
      <c r="AB1063" s="55"/>
      <c r="AC1063" s="55"/>
      <c r="AD1063" s="55"/>
    </row>
    <row r="1064">
      <c r="A1064" s="149"/>
      <c r="B1064" s="149"/>
      <c r="C1064" s="149"/>
      <c r="D1064" s="55"/>
      <c r="E1064" s="55"/>
      <c r="F1064" s="55"/>
      <c r="G1064" s="55"/>
      <c r="H1064" s="55"/>
      <c r="I1064" s="55"/>
      <c r="J1064" s="55"/>
      <c r="K1064" s="55"/>
      <c r="L1064" s="55"/>
      <c r="M1064" s="55"/>
      <c r="N1064" s="55"/>
      <c r="O1064" s="55"/>
      <c r="P1064" s="55"/>
      <c r="Q1064" s="55"/>
      <c r="R1064" s="55"/>
      <c r="S1064" s="55"/>
      <c r="T1064" s="55"/>
      <c r="U1064" s="55"/>
      <c r="V1064" s="55"/>
      <c r="W1064" s="55"/>
      <c r="X1064" s="55"/>
      <c r="Y1064" s="55"/>
      <c r="Z1064" s="55"/>
      <c r="AA1064" s="55"/>
      <c r="AB1064" s="55"/>
      <c r="AC1064" s="55"/>
      <c r="AD1064" s="55"/>
    </row>
    <row r="1065">
      <c r="A1065" s="149"/>
      <c r="B1065" s="149"/>
      <c r="C1065" s="149"/>
      <c r="D1065" s="55"/>
      <c r="E1065" s="55"/>
      <c r="F1065" s="55"/>
      <c r="G1065" s="55"/>
      <c r="H1065" s="55"/>
      <c r="I1065" s="55"/>
      <c r="J1065" s="55"/>
      <c r="K1065" s="55"/>
      <c r="L1065" s="55"/>
      <c r="M1065" s="55"/>
      <c r="N1065" s="55"/>
      <c r="O1065" s="55"/>
      <c r="P1065" s="55"/>
      <c r="Q1065" s="55"/>
      <c r="R1065" s="55"/>
      <c r="S1065" s="55"/>
      <c r="T1065" s="55"/>
      <c r="U1065" s="55"/>
      <c r="V1065" s="55"/>
      <c r="W1065" s="55"/>
      <c r="X1065" s="55"/>
      <c r="Y1065" s="55"/>
      <c r="Z1065" s="55"/>
      <c r="AA1065" s="55"/>
      <c r="AB1065" s="55"/>
      <c r="AC1065" s="55"/>
      <c r="AD1065" s="55"/>
    </row>
    <row r="1066">
      <c r="A1066" s="149"/>
      <c r="B1066" s="149"/>
      <c r="C1066" s="149"/>
      <c r="D1066" s="55"/>
      <c r="E1066" s="55"/>
      <c r="F1066" s="55"/>
      <c r="G1066" s="55"/>
      <c r="H1066" s="55"/>
      <c r="I1066" s="55"/>
      <c r="J1066" s="55"/>
      <c r="K1066" s="55"/>
      <c r="L1066" s="55"/>
      <c r="M1066" s="55"/>
      <c r="N1066" s="55"/>
      <c r="O1066" s="55"/>
      <c r="P1066" s="55"/>
      <c r="Q1066" s="55"/>
      <c r="R1066" s="55"/>
      <c r="S1066" s="55"/>
      <c r="T1066" s="55"/>
      <c r="U1066" s="55"/>
      <c r="V1066" s="55"/>
      <c r="W1066" s="55"/>
      <c r="X1066" s="55"/>
      <c r="Y1066" s="55"/>
      <c r="Z1066" s="55"/>
      <c r="AA1066" s="55"/>
      <c r="AB1066" s="55"/>
      <c r="AC1066" s="55"/>
      <c r="AD1066" s="55"/>
    </row>
    <row r="1067">
      <c r="A1067" s="149"/>
      <c r="B1067" s="149"/>
      <c r="C1067" s="149"/>
      <c r="D1067" s="55"/>
      <c r="E1067" s="55"/>
      <c r="F1067" s="55"/>
      <c r="G1067" s="55"/>
      <c r="H1067" s="55"/>
      <c r="I1067" s="55"/>
      <c r="J1067" s="55"/>
      <c r="K1067" s="55"/>
      <c r="L1067" s="55"/>
      <c r="M1067" s="55"/>
      <c r="N1067" s="55"/>
      <c r="O1067" s="55"/>
      <c r="P1067" s="55"/>
      <c r="Q1067" s="55"/>
      <c r="R1067" s="55"/>
      <c r="S1067" s="55"/>
      <c r="T1067" s="55"/>
      <c r="U1067" s="55"/>
      <c r="V1067" s="55"/>
      <c r="W1067" s="55"/>
      <c r="X1067" s="55"/>
      <c r="Y1067" s="55"/>
      <c r="Z1067" s="55"/>
      <c r="AA1067" s="55"/>
      <c r="AB1067" s="55"/>
      <c r="AC1067" s="55"/>
      <c r="AD1067" s="55"/>
    </row>
    <row r="1068">
      <c r="A1068" s="149"/>
      <c r="B1068" s="149"/>
      <c r="C1068" s="149"/>
      <c r="D1068" s="55"/>
      <c r="E1068" s="55"/>
      <c r="F1068" s="55"/>
      <c r="G1068" s="55"/>
      <c r="H1068" s="55"/>
      <c r="I1068" s="55"/>
      <c r="J1068" s="55"/>
      <c r="K1068" s="55"/>
      <c r="L1068" s="55"/>
      <c r="M1068" s="55"/>
      <c r="N1068" s="55"/>
      <c r="O1068" s="55"/>
      <c r="P1068" s="55"/>
      <c r="Q1068" s="55"/>
      <c r="R1068" s="55"/>
      <c r="S1068" s="55"/>
      <c r="T1068" s="55"/>
      <c r="U1068" s="55"/>
      <c r="V1068" s="55"/>
      <c r="W1068" s="55"/>
      <c r="X1068" s="55"/>
      <c r="Y1068" s="55"/>
      <c r="Z1068" s="55"/>
      <c r="AA1068" s="55"/>
      <c r="AB1068" s="55"/>
      <c r="AC1068" s="55"/>
      <c r="AD1068" s="55"/>
    </row>
    <row r="1069">
      <c r="A1069" s="149"/>
      <c r="B1069" s="149"/>
      <c r="C1069" s="149"/>
      <c r="D1069" s="55"/>
      <c r="E1069" s="55"/>
      <c r="F1069" s="55"/>
      <c r="G1069" s="55"/>
      <c r="H1069" s="55"/>
      <c r="I1069" s="55"/>
      <c r="J1069" s="55"/>
      <c r="K1069" s="55"/>
      <c r="L1069" s="55"/>
      <c r="M1069" s="55"/>
      <c r="N1069" s="55"/>
      <c r="O1069" s="55"/>
      <c r="P1069" s="55"/>
      <c r="Q1069" s="55"/>
      <c r="R1069" s="55"/>
      <c r="S1069" s="55"/>
      <c r="T1069" s="55"/>
      <c r="U1069" s="55"/>
      <c r="V1069" s="55"/>
      <c r="W1069" s="55"/>
      <c r="X1069" s="55"/>
      <c r="Y1069" s="55"/>
      <c r="Z1069" s="55"/>
      <c r="AA1069" s="55"/>
      <c r="AB1069" s="55"/>
      <c r="AC1069" s="55"/>
      <c r="AD1069" s="55"/>
    </row>
    <row r="1070">
      <c r="A1070" s="149"/>
      <c r="B1070" s="149"/>
      <c r="C1070" s="149"/>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c r="AA1070" s="55"/>
      <c r="AB1070" s="55"/>
      <c r="AC1070" s="55"/>
      <c r="AD1070" s="55"/>
    </row>
    <row r="1071">
      <c r="A1071" s="149"/>
      <c r="B1071" s="149"/>
      <c r="C1071" s="149"/>
      <c r="D1071" s="55"/>
      <c r="E1071" s="55"/>
      <c r="F1071" s="55"/>
      <c r="G1071" s="55"/>
      <c r="H1071" s="55"/>
      <c r="I1071" s="55"/>
      <c r="J1071" s="55"/>
      <c r="K1071" s="55"/>
      <c r="L1071" s="55"/>
      <c r="M1071" s="55"/>
      <c r="N1071" s="55"/>
      <c r="O1071" s="55"/>
      <c r="P1071" s="55"/>
      <c r="Q1071" s="55"/>
      <c r="R1071" s="55"/>
      <c r="S1071" s="55"/>
      <c r="T1071" s="55"/>
      <c r="U1071" s="55"/>
      <c r="V1071" s="55"/>
      <c r="W1071" s="55"/>
      <c r="X1071" s="55"/>
      <c r="Y1071" s="55"/>
      <c r="Z1071" s="55"/>
      <c r="AA1071" s="55"/>
      <c r="AB1071" s="55"/>
      <c r="AC1071" s="55"/>
      <c r="AD1071" s="55"/>
    </row>
    <row r="1072">
      <c r="A1072" s="149"/>
      <c r="B1072" s="149"/>
      <c r="C1072" s="149"/>
      <c r="D1072" s="55"/>
      <c r="E1072" s="55"/>
      <c r="F1072" s="55"/>
      <c r="G1072" s="55"/>
      <c r="H1072" s="55"/>
      <c r="I1072" s="55"/>
      <c r="J1072" s="55"/>
      <c r="K1072" s="55"/>
      <c r="L1072" s="55"/>
      <c r="M1072" s="55"/>
      <c r="N1072" s="55"/>
      <c r="O1072" s="55"/>
      <c r="P1072" s="55"/>
      <c r="Q1072" s="55"/>
      <c r="R1072" s="55"/>
      <c r="S1072" s="55"/>
      <c r="T1072" s="55"/>
      <c r="U1072" s="55"/>
      <c r="V1072" s="55"/>
      <c r="W1072" s="55"/>
      <c r="X1072" s="55"/>
      <c r="Y1072" s="55"/>
      <c r="Z1072" s="55"/>
      <c r="AA1072" s="55"/>
      <c r="AB1072" s="55"/>
      <c r="AC1072" s="55"/>
      <c r="AD1072" s="55"/>
    </row>
    <row r="1073">
      <c r="A1073" s="149"/>
      <c r="B1073" s="149"/>
      <c r="C1073" s="149"/>
      <c r="D1073" s="55"/>
      <c r="E1073" s="55"/>
      <c r="F1073" s="55"/>
      <c r="G1073" s="55"/>
      <c r="H1073" s="55"/>
      <c r="I1073" s="55"/>
      <c r="J1073" s="55"/>
      <c r="K1073" s="55"/>
      <c r="L1073" s="55"/>
      <c r="M1073" s="55"/>
      <c r="N1073" s="55"/>
      <c r="O1073" s="55"/>
      <c r="P1073" s="55"/>
      <c r="Q1073" s="55"/>
      <c r="R1073" s="55"/>
      <c r="S1073" s="55"/>
      <c r="T1073" s="55"/>
      <c r="U1073" s="55"/>
      <c r="V1073" s="55"/>
      <c r="W1073" s="55"/>
      <c r="X1073" s="55"/>
      <c r="Y1073" s="55"/>
      <c r="Z1073" s="55"/>
      <c r="AA1073" s="55"/>
      <c r="AB1073" s="55"/>
      <c r="AC1073" s="55"/>
      <c r="AD1073" s="55"/>
    </row>
    <row r="1074">
      <c r="A1074" s="149"/>
      <c r="B1074" s="149"/>
      <c r="C1074" s="149"/>
      <c r="D1074" s="55"/>
      <c r="E1074" s="55"/>
      <c r="F1074" s="55"/>
      <c r="G1074" s="55"/>
      <c r="H1074" s="55"/>
      <c r="I1074" s="55"/>
      <c r="J1074" s="55"/>
      <c r="K1074" s="55"/>
      <c r="L1074" s="55"/>
      <c r="M1074" s="55"/>
      <c r="N1074" s="55"/>
      <c r="O1074" s="55"/>
      <c r="P1074" s="55"/>
      <c r="Q1074" s="55"/>
      <c r="R1074" s="55"/>
      <c r="S1074" s="55"/>
      <c r="T1074" s="55"/>
      <c r="U1074" s="55"/>
      <c r="V1074" s="55"/>
      <c r="W1074" s="55"/>
      <c r="X1074" s="55"/>
      <c r="Y1074" s="55"/>
      <c r="Z1074" s="55"/>
      <c r="AA1074" s="55"/>
      <c r="AB1074" s="55"/>
      <c r="AC1074" s="55"/>
      <c r="AD1074" s="55"/>
    </row>
    <row r="1075">
      <c r="A1075" s="149"/>
      <c r="B1075" s="149"/>
      <c r="C1075" s="149"/>
      <c r="D1075" s="55"/>
      <c r="E1075" s="55"/>
      <c r="F1075" s="55"/>
      <c r="G1075" s="55"/>
      <c r="H1075" s="55"/>
      <c r="I1075" s="55"/>
      <c r="J1075" s="55"/>
      <c r="K1075" s="55"/>
      <c r="L1075" s="55"/>
      <c r="M1075" s="55"/>
      <c r="N1075" s="55"/>
      <c r="O1075" s="55"/>
      <c r="P1075" s="55"/>
      <c r="Q1075" s="55"/>
      <c r="R1075" s="55"/>
      <c r="S1075" s="55"/>
      <c r="T1075" s="55"/>
      <c r="U1075" s="55"/>
      <c r="V1075" s="55"/>
      <c r="W1075" s="55"/>
      <c r="X1075" s="55"/>
      <c r="Y1075" s="55"/>
      <c r="Z1075" s="55"/>
      <c r="AA1075" s="55"/>
      <c r="AB1075" s="55"/>
      <c r="AC1075" s="55"/>
      <c r="AD1075" s="55"/>
    </row>
    <row r="1076">
      <c r="A1076" s="149"/>
      <c r="B1076" s="149"/>
      <c r="C1076" s="149"/>
      <c r="D1076" s="55"/>
      <c r="E1076" s="55"/>
      <c r="F1076" s="55"/>
      <c r="G1076" s="55"/>
      <c r="H1076" s="55"/>
      <c r="I1076" s="55"/>
      <c r="J1076" s="55"/>
      <c r="K1076" s="55"/>
      <c r="L1076" s="55"/>
      <c r="M1076" s="55"/>
      <c r="N1076" s="55"/>
      <c r="O1076" s="55"/>
      <c r="P1076" s="55"/>
      <c r="Q1076" s="55"/>
      <c r="R1076" s="55"/>
      <c r="S1076" s="55"/>
      <c r="T1076" s="55"/>
      <c r="U1076" s="55"/>
      <c r="V1076" s="55"/>
      <c r="W1076" s="55"/>
      <c r="X1076" s="55"/>
      <c r="Y1076" s="55"/>
      <c r="Z1076" s="55"/>
      <c r="AA1076" s="55"/>
      <c r="AB1076" s="55"/>
      <c r="AC1076" s="55"/>
      <c r="AD1076" s="55"/>
    </row>
    <row r="1077">
      <c r="A1077" s="149"/>
      <c r="B1077" s="149"/>
      <c r="C1077" s="149"/>
      <c r="D1077" s="55"/>
      <c r="E1077" s="55"/>
      <c r="F1077" s="55"/>
      <c r="G1077" s="55"/>
      <c r="H1077" s="55"/>
      <c r="I1077" s="55"/>
      <c r="J1077" s="55"/>
      <c r="K1077" s="55"/>
      <c r="L1077" s="55"/>
      <c r="M1077" s="55"/>
      <c r="N1077" s="55"/>
      <c r="O1077" s="55"/>
      <c r="P1077" s="55"/>
      <c r="Q1077" s="55"/>
      <c r="R1077" s="55"/>
      <c r="S1077" s="55"/>
      <c r="T1077" s="55"/>
      <c r="U1077" s="55"/>
      <c r="V1077" s="55"/>
      <c r="W1077" s="55"/>
      <c r="X1077" s="55"/>
      <c r="Y1077" s="55"/>
      <c r="Z1077" s="55"/>
      <c r="AA1077" s="55"/>
      <c r="AB1077" s="55"/>
      <c r="AC1077" s="55"/>
      <c r="AD1077" s="55"/>
    </row>
    <row r="1078">
      <c r="A1078" s="149"/>
      <c r="B1078" s="149"/>
      <c r="C1078" s="149"/>
      <c r="D1078" s="55"/>
      <c r="E1078" s="55"/>
      <c r="F1078" s="55"/>
      <c r="G1078" s="55"/>
      <c r="H1078" s="55"/>
      <c r="I1078" s="55"/>
      <c r="J1078" s="55"/>
      <c r="K1078" s="55"/>
      <c r="L1078" s="55"/>
      <c r="M1078" s="55"/>
      <c r="N1078" s="55"/>
      <c r="O1078" s="55"/>
      <c r="P1078" s="55"/>
      <c r="Q1078" s="55"/>
      <c r="R1078" s="55"/>
      <c r="S1078" s="55"/>
      <c r="T1078" s="55"/>
      <c r="U1078" s="55"/>
      <c r="V1078" s="55"/>
      <c r="W1078" s="55"/>
      <c r="X1078" s="55"/>
      <c r="Y1078" s="55"/>
      <c r="Z1078" s="55"/>
      <c r="AA1078" s="55"/>
      <c r="AB1078" s="55"/>
      <c r="AC1078" s="55"/>
      <c r="AD1078" s="55"/>
    </row>
    <row r="1079">
      <c r="A1079" s="149"/>
      <c r="B1079" s="149"/>
      <c r="C1079" s="149"/>
      <c r="D1079" s="55"/>
      <c r="E1079" s="55"/>
      <c r="F1079" s="55"/>
      <c r="G1079" s="55"/>
      <c r="H1079" s="55"/>
      <c r="I1079" s="55"/>
      <c r="J1079" s="55"/>
      <c r="K1079" s="55"/>
      <c r="L1079" s="55"/>
      <c r="M1079" s="55"/>
      <c r="N1079" s="55"/>
      <c r="O1079" s="55"/>
      <c r="P1079" s="55"/>
      <c r="Q1079" s="55"/>
      <c r="R1079" s="55"/>
      <c r="S1079" s="55"/>
      <c r="T1079" s="55"/>
      <c r="U1079" s="55"/>
      <c r="V1079" s="55"/>
      <c r="W1079" s="55"/>
      <c r="X1079" s="55"/>
      <c r="Y1079" s="55"/>
      <c r="Z1079" s="55"/>
      <c r="AA1079" s="55"/>
      <c r="AB1079" s="55"/>
      <c r="AC1079" s="55"/>
      <c r="AD1079" s="55"/>
    </row>
    <row r="1080">
      <c r="A1080" s="149"/>
      <c r="B1080" s="149"/>
      <c r="C1080" s="149"/>
      <c r="D1080" s="55"/>
      <c r="E1080" s="55"/>
      <c r="F1080" s="55"/>
      <c r="G1080" s="55"/>
      <c r="H1080" s="55"/>
      <c r="I1080" s="55"/>
      <c r="J1080" s="55"/>
      <c r="K1080" s="55"/>
      <c r="L1080" s="55"/>
      <c r="M1080" s="55"/>
      <c r="N1080" s="55"/>
      <c r="O1080" s="55"/>
      <c r="P1080" s="55"/>
      <c r="Q1080" s="55"/>
      <c r="R1080" s="55"/>
      <c r="S1080" s="55"/>
      <c r="T1080" s="55"/>
      <c r="U1080" s="55"/>
      <c r="V1080" s="55"/>
      <c r="W1080" s="55"/>
      <c r="X1080" s="55"/>
      <c r="Y1080" s="55"/>
      <c r="Z1080" s="55"/>
      <c r="AA1080" s="55"/>
      <c r="AB1080" s="55"/>
      <c r="AC1080" s="55"/>
      <c r="AD1080" s="55"/>
    </row>
    <row r="1081">
      <c r="A1081" s="149"/>
      <c r="B1081" s="149"/>
      <c r="C1081" s="149"/>
      <c r="D1081" s="55"/>
      <c r="E1081" s="55"/>
      <c r="F1081" s="55"/>
      <c r="G1081" s="55"/>
      <c r="H1081" s="55"/>
      <c r="I1081" s="55"/>
      <c r="J1081" s="55"/>
      <c r="K1081" s="55"/>
      <c r="L1081" s="55"/>
      <c r="M1081" s="55"/>
      <c r="N1081" s="55"/>
      <c r="O1081" s="55"/>
      <c r="P1081" s="55"/>
      <c r="Q1081" s="55"/>
      <c r="R1081" s="55"/>
      <c r="S1081" s="55"/>
      <c r="T1081" s="55"/>
      <c r="U1081" s="55"/>
      <c r="V1081" s="55"/>
      <c r="W1081" s="55"/>
      <c r="X1081" s="55"/>
      <c r="Y1081" s="55"/>
      <c r="Z1081" s="55"/>
      <c r="AA1081" s="55"/>
      <c r="AB1081" s="55"/>
      <c r="AC1081" s="55"/>
      <c r="AD1081" s="55"/>
    </row>
    <row r="1082">
      <c r="A1082" s="149"/>
      <c r="B1082" s="149"/>
      <c r="C1082" s="149"/>
      <c r="D1082" s="55"/>
      <c r="E1082" s="55"/>
      <c r="F1082" s="55"/>
      <c r="G1082" s="55"/>
      <c r="H1082" s="55"/>
      <c r="I1082" s="55"/>
      <c r="J1082" s="55"/>
      <c r="K1082" s="55"/>
      <c r="L1082" s="55"/>
      <c r="M1082" s="55"/>
      <c r="N1082" s="55"/>
      <c r="O1082" s="55"/>
      <c r="P1082" s="55"/>
      <c r="Q1082" s="55"/>
      <c r="R1082" s="55"/>
      <c r="S1082" s="55"/>
      <c r="T1082" s="55"/>
      <c r="U1082" s="55"/>
      <c r="V1082" s="55"/>
      <c r="W1082" s="55"/>
      <c r="X1082" s="55"/>
      <c r="Y1082" s="55"/>
      <c r="Z1082" s="55"/>
      <c r="AA1082" s="55"/>
      <c r="AB1082" s="55"/>
      <c r="AC1082" s="55"/>
      <c r="AD1082" s="55"/>
    </row>
    <row r="1083">
      <c r="A1083" s="149"/>
      <c r="B1083" s="149"/>
      <c r="C1083" s="149"/>
      <c r="D1083" s="55"/>
      <c r="E1083" s="55"/>
      <c r="F1083" s="55"/>
      <c r="G1083" s="55"/>
      <c r="H1083" s="55"/>
      <c r="I1083" s="55"/>
      <c r="J1083" s="55"/>
      <c r="K1083" s="55"/>
      <c r="L1083" s="55"/>
      <c r="M1083" s="55"/>
      <c r="N1083" s="55"/>
      <c r="O1083" s="55"/>
      <c r="P1083" s="55"/>
      <c r="Q1083" s="55"/>
      <c r="R1083" s="55"/>
      <c r="S1083" s="55"/>
      <c r="T1083" s="55"/>
      <c r="U1083" s="55"/>
      <c r="V1083" s="55"/>
      <c r="W1083" s="55"/>
      <c r="X1083" s="55"/>
      <c r="Y1083" s="55"/>
      <c r="Z1083" s="55"/>
      <c r="AA1083" s="55"/>
      <c r="AB1083" s="55"/>
      <c r="AC1083" s="55"/>
      <c r="AD1083" s="55"/>
    </row>
    <row r="1084">
      <c r="A1084" s="149"/>
      <c r="B1084" s="149"/>
      <c r="C1084" s="149"/>
      <c r="D1084" s="55"/>
      <c r="E1084" s="55"/>
      <c r="F1084" s="55"/>
      <c r="G1084" s="55"/>
      <c r="H1084" s="55"/>
      <c r="I1084" s="55"/>
      <c r="J1084" s="55"/>
      <c r="K1084" s="55"/>
      <c r="L1084" s="55"/>
      <c r="M1084" s="55"/>
      <c r="N1084" s="55"/>
      <c r="O1084" s="55"/>
      <c r="P1084" s="55"/>
      <c r="Q1084" s="55"/>
      <c r="R1084" s="55"/>
      <c r="S1084" s="55"/>
      <c r="T1084" s="55"/>
      <c r="U1084" s="55"/>
      <c r="V1084" s="55"/>
      <c r="W1084" s="55"/>
      <c r="X1084" s="55"/>
      <c r="Y1084" s="55"/>
      <c r="Z1084" s="55"/>
      <c r="AA1084" s="55"/>
      <c r="AB1084" s="55"/>
      <c r="AC1084" s="55"/>
      <c r="AD1084" s="55"/>
    </row>
    <row r="1085">
      <c r="A1085" s="149"/>
      <c r="B1085" s="149"/>
      <c r="C1085" s="149"/>
      <c r="D1085" s="55"/>
      <c r="E1085" s="55"/>
      <c r="F1085" s="55"/>
      <c r="G1085" s="55"/>
      <c r="H1085" s="55"/>
      <c r="I1085" s="55"/>
      <c r="J1085" s="55"/>
      <c r="K1085" s="55"/>
      <c r="L1085" s="55"/>
      <c r="M1085" s="55"/>
      <c r="N1085" s="55"/>
      <c r="O1085" s="55"/>
      <c r="P1085" s="55"/>
      <c r="Q1085" s="55"/>
      <c r="R1085" s="55"/>
      <c r="S1085" s="55"/>
      <c r="T1085" s="55"/>
      <c r="U1085" s="55"/>
      <c r="V1085" s="55"/>
      <c r="W1085" s="55"/>
      <c r="X1085" s="55"/>
      <c r="Y1085" s="55"/>
      <c r="Z1085" s="55"/>
      <c r="AA1085" s="55"/>
      <c r="AB1085" s="55"/>
      <c r="AC1085" s="55"/>
      <c r="AD1085" s="55"/>
    </row>
    <row r="1086">
      <c r="A1086" s="149"/>
      <c r="B1086" s="149"/>
      <c r="C1086" s="149"/>
      <c r="D1086" s="55"/>
      <c r="E1086" s="55"/>
      <c r="F1086" s="55"/>
      <c r="G1086" s="55"/>
      <c r="H1086" s="55"/>
      <c r="I1086" s="55"/>
      <c r="J1086" s="55"/>
      <c r="K1086" s="55"/>
      <c r="L1086" s="55"/>
      <c r="M1086" s="55"/>
      <c r="N1086" s="55"/>
      <c r="O1086" s="55"/>
      <c r="P1086" s="55"/>
      <c r="Q1086" s="55"/>
      <c r="R1086" s="55"/>
      <c r="S1086" s="55"/>
      <c r="T1086" s="55"/>
      <c r="U1086" s="55"/>
      <c r="V1086" s="55"/>
      <c r="W1086" s="55"/>
      <c r="X1086" s="55"/>
      <c r="Y1086" s="55"/>
      <c r="Z1086" s="55"/>
      <c r="AA1086" s="55"/>
      <c r="AB1086" s="55"/>
      <c r="AC1086" s="55"/>
      <c r="AD1086" s="55"/>
    </row>
    <row r="1087">
      <c r="A1087" s="149"/>
      <c r="B1087" s="149"/>
      <c r="C1087" s="149"/>
      <c r="D1087" s="55"/>
      <c r="E1087" s="55"/>
      <c r="F1087" s="55"/>
      <c r="G1087" s="55"/>
      <c r="H1087" s="55"/>
      <c r="I1087" s="55"/>
      <c r="J1087" s="55"/>
      <c r="K1087" s="55"/>
      <c r="L1087" s="55"/>
      <c r="M1087" s="55"/>
      <c r="N1087" s="55"/>
      <c r="O1087" s="55"/>
      <c r="P1087" s="55"/>
      <c r="Q1087" s="55"/>
      <c r="R1087" s="55"/>
      <c r="S1087" s="55"/>
      <c r="T1087" s="55"/>
      <c r="U1087" s="55"/>
      <c r="V1087" s="55"/>
      <c r="W1087" s="55"/>
      <c r="X1087" s="55"/>
      <c r="Y1087" s="55"/>
      <c r="Z1087" s="55"/>
      <c r="AA1087" s="55"/>
      <c r="AB1087" s="55"/>
      <c r="AC1087" s="55"/>
      <c r="AD1087" s="55"/>
    </row>
    <row r="1088">
      <c r="A1088" s="149"/>
      <c r="B1088" s="149"/>
      <c r="C1088" s="149"/>
      <c r="D1088" s="55"/>
      <c r="E1088" s="55"/>
      <c r="F1088" s="55"/>
      <c r="G1088" s="55"/>
      <c r="H1088" s="55"/>
      <c r="I1088" s="55"/>
      <c r="J1088" s="55"/>
      <c r="K1088" s="55"/>
      <c r="L1088" s="55"/>
      <c r="M1088" s="55"/>
      <c r="N1088" s="55"/>
      <c r="O1088" s="55"/>
      <c r="P1088" s="55"/>
      <c r="Q1088" s="55"/>
      <c r="R1088" s="55"/>
      <c r="S1088" s="55"/>
      <c r="T1088" s="55"/>
      <c r="U1088" s="55"/>
      <c r="V1088" s="55"/>
      <c r="W1088" s="55"/>
      <c r="X1088" s="55"/>
      <c r="Y1088" s="55"/>
      <c r="Z1088" s="55"/>
      <c r="AA1088" s="55"/>
      <c r="AB1088" s="55"/>
      <c r="AC1088" s="55"/>
      <c r="AD1088" s="55"/>
    </row>
    <row r="1089">
      <c r="A1089" s="149"/>
      <c r="B1089" s="149"/>
      <c r="C1089" s="149"/>
      <c r="D1089" s="55"/>
      <c r="E1089" s="55"/>
      <c r="F1089" s="55"/>
      <c r="G1089" s="55"/>
      <c r="H1089" s="55"/>
      <c r="I1089" s="55"/>
      <c r="J1089" s="55"/>
      <c r="K1089" s="55"/>
      <c r="L1089" s="55"/>
      <c r="M1089" s="55"/>
      <c r="N1089" s="55"/>
      <c r="O1089" s="55"/>
      <c r="P1089" s="55"/>
      <c r="Q1089" s="55"/>
      <c r="R1089" s="55"/>
      <c r="S1089" s="55"/>
      <c r="T1089" s="55"/>
      <c r="U1089" s="55"/>
      <c r="V1089" s="55"/>
      <c r="W1089" s="55"/>
      <c r="X1089" s="55"/>
      <c r="Y1089" s="55"/>
      <c r="Z1089" s="55"/>
      <c r="AA1089" s="55"/>
      <c r="AB1089" s="55"/>
      <c r="AC1089" s="55"/>
      <c r="AD1089" s="55"/>
    </row>
    <row r="1090">
      <c r="A1090" s="149"/>
      <c r="B1090" s="149"/>
      <c r="C1090" s="149"/>
      <c r="D1090" s="55"/>
      <c r="E1090" s="55"/>
      <c r="F1090" s="55"/>
      <c r="G1090" s="55"/>
      <c r="H1090" s="55"/>
      <c r="I1090" s="55"/>
      <c r="J1090" s="55"/>
      <c r="K1090" s="55"/>
      <c r="L1090" s="55"/>
      <c r="M1090" s="55"/>
      <c r="N1090" s="55"/>
      <c r="O1090" s="55"/>
      <c r="P1090" s="55"/>
      <c r="Q1090" s="55"/>
      <c r="R1090" s="55"/>
      <c r="S1090" s="55"/>
      <c r="T1090" s="55"/>
      <c r="U1090" s="55"/>
      <c r="V1090" s="55"/>
      <c r="W1090" s="55"/>
      <c r="X1090" s="55"/>
      <c r="Y1090" s="55"/>
      <c r="Z1090" s="55"/>
      <c r="AA1090" s="55"/>
      <c r="AB1090" s="55"/>
      <c r="AC1090" s="55"/>
      <c r="AD1090" s="55"/>
    </row>
    <row r="1091">
      <c r="A1091" s="149"/>
      <c r="B1091" s="149"/>
      <c r="C1091" s="149"/>
      <c r="D1091" s="55"/>
      <c r="E1091" s="55"/>
      <c r="F1091" s="55"/>
      <c r="G1091" s="55"/>
      <c r="H1091" s="55"/>
      <c r="I1091" s="55"/>
      <c r="J1091" s="55"/>
      <c r="K1091" s="55"/>
      <c r="L1091" s="55"/>
      <c r="M1091" s="55"/>
      <c r="N1091" s="55"/>
      <c r="O1091" s="55"/>
      <c r="P1091" s="55"/>
      <c r="Q1091" s="55"/>
      <c r="R1091" s="55"/>
      <c r="S1091" s="55"/>
      <c r="T1091" s="55"/>
      <c r="U1091" s="55"/>
      <c r="V1091" s="55"/>
      <c r="W1091" s="55"/>
      <c r="X1091" s="55"/>
      <c r="Y1091" s="55"/>
      <c r="Z1091" s="55"/>
      <c r="AA1091" s="55"/>
      <c r="AB1091" s="55"/>
      <c r="AC1091" s="55"/>
      <c r="AD1091" s="55"/>
    </row>
    <row r="1092">
      <c r="A1092" s="149"/>
      <c r="B1092" s="149"/>
      <c r="C1092" s="149"/>
      <c r="D1092" s="55"/>
      <c r="E1092" s="55"/>
      <c r="F1092" s="55"/>
      <c r="G1092" s="55"/>
      <c r="H1092" s="55"/>
      <c r="I1092" s="55"/>
      <c r="J1092" s="55"/>
      <c r="K1092" s="55"/>
      <c r="L1092" s="55"/>
      <c r="M1092" s="55"/>
      <c r="N1092" s="55"/>
      <c r="O1092" s="55"/>
      <c r="P1092" s="55"/>
      <c r="Q1092" s="55"/>
      <c r="R1092" s="55"/>
      <c r="S1092" s="55"/>
      <c r="T1092" s="55"/>
      <c r="U1092" s="55"/>
      <c r="V1092" s="55"/>
      <c r="W1092" s="55"/>
      <c r="X1092" s="55"/>
      <c r="Y1092" s="55"/>
      <c r="Z1092" s="55"/>
      <c r="AA1092" s="55"/>
      <c r="AB1092" s="55"/>
      <c r="AC1092" s="55"/>
      <c r="AD1092" s="55"/>
    </row>
    <row r="1093">
      <c r="A1093" s="149"/>
      <c r="B1093" s="149"/>
      <c r="C1093" s="149"/>
      <c r="D1093" s="55"/>
      <c r="E1093" s="55"/>
      <c r="F1093" s="55"/>
      <c r="G1093" s="55"/>
      <c r="H1093" s="55"/>
      <c r="I1093" s="55"/>
      <c r="J1093" s="55"/>
      <c r="K1093" s="55"/>
      <c r="L1093" s="55"/>
      <c r="M1093" s="55"/>
      <c r="N1093" s="55"/>
      <c r="O1093" s="55"/>
      <c r="P1093" s="55"/>
      <c r="Q1093" s="55"/>
      <c r="R1093" s="55"/>
      <c r="S1093" s="55"/>
      <c r="T1093" s="55"/>
      <c r="U1093" s="55"/>
      <c r="V1093" s="55"/>
      <c r="W1093" s="55"/>
      <c r="X1093" s="55"/>
      <c r="Y1093" s="55"/>
      <c r="Z1093" s="55"/>
      <c r="AA1093" s="55"/>
      <c r="AB1093" s="55"/>
      <c r="AC1093" s="55"/>
      <c r="AD1093" s="55"/>
    </row>
    <row r="1094">
      <c r="A1094" s="149"/>
      <c r="B1094" s="149"/>
      <c r="C1094" s="149"/>
      <c r="D1094" s="55"/>
      <c r="E1094" s="55"/>
      <c r="F1094" s="55"/>
      <c r="G1094" s="55"/>
      <c r="H1094" s="55"/>
      <c r="I1094" s="55"/>
      <c r="J1094" s="55"/>
      <c r="K1094" s="55"/>
      <c r="L1094" s="55"/>
      <c r="M1094" s="55"/>
      <c r="N1094" s="55"/>
      <c r="O1094" s="55"/>
      <c r="P1094" s="55"/>
      <c r="Q1094" s="55"/>
      <c r="R1094" s="55"/>
      <c r="S1094" s="55"/>
      <c r="T1094" s="55"/>
      <c r="U1094" s="55"/>
      <c r="V1094" s="55"/>
      <c r="W1094" s="55"/>
      <c r="X1094" s="55"/>
      <c r="Y1094" s="55"/>
      <c r="Z1094" s="55"/>
      <c r="AA1094" s="55"/>
      <c r="AB1094" s="55"/>
      <c r="AC1094" s="55"/>
      <c r="AD1094" s="55"/>
    </row>
    <row r="1095">
      <c r="A1095" s="149"/>
      <c r="B1095" s="149"/>
      <c r="C1095" s="149"/>
      <c r="D1095" s="55"/>
      <c r="E1095" s="55"/>
      <c r="F1095" s="55"/>
      <c r="G1095" s="55"/>
      <c r="H1095" s="55"/>
      <c r="I1095" s="55"/>
      <c r="J1095" s="55"/>
      <c r="K1095" s="55"/>
      <c r="L1095" s="55"/>
      <c r="M1095" s="55"/>
      <c r="N1095" s="55"/>
      <c r="O1095" s="55"/>
      <c r="P1095" s="55"/>
      <c r="Q1095" s="55"/>
      <c r="R1095" s="55"/>
      <c r="S1095" s="55"/>
      <c r="T1095" s="55"/>
      <c r="U1095" s="55"/>
      <c r="V1095" s="55"/>
      <c r="W1095" s="55"/>
      <c r="X1095" s="55"/>
      <c r="Y1095" s="55"/>
      <c r="Z1095" s="55"/>
      <c r="AA1095" s="55"/>
      <c r="AB1095" s="55"/>
      <c r="AC1095" s="55"/>
      <c r="AD1095" s="55"/>
    </row>
    <row r="1096">
      <c r="A1096" s="149"/>
      <c r="B1096" s="149"/>
      <c r="C1096" s="149"/>
      <c r="D1096" s="55"/>
      <c r="E1096" s="55"/>
      <c r="F1096" s="55"/>
      <c r="G1096" s="55"/>
      <c r="H1096" s="55"/>
      <c r="I1096" s="55"/>
      <c r="J1096" s="55"/>
      <c r="K1096" s="55"/>
      <c r="L1096" s="55"/>
      <c r="M1096" s="55"/>
      <c r="N1096" s="55"/>
      <c r="O1096" s="55"/>
      <c r="P1096" s="55"/>
      <c r="Q1096" s="55"/>
      <c r="R1096" s="55"/>
      <c r="S1096" s="55"/>
      <c r="T1096" s="55"/>
      <c r="U1096" s="55"/>
      <c r="V1096" s="55"/>
      <c r="W1096" s="55"/>
      <c r="X1096" s="55"/>
      <c r="Y1096" s="55"/>
      <c r="Z1096" s="55"/>
      <c r="AA1096" s="55"/>
      <c r="AB1096" s="55"/>
      <c r="AC1096" s="55"/>
      <c r="AD1096" s="55"/>
    </row>
    <row r="1097">
      <c r="A1097" s="149"/>
      <c r="B1097" s="149"/>
      <c r="C1097" s="149"/>
      <c r="D1097" s="55"/>
      <c r="E1097" s="55"/>
      <c r="F1097" s="55"/>
      <c r="G1097" s="55"/>
      <c r="H1097" s="55"/>
      <c r="I1097" s="55"/>
      <c r="J1097" s="55"/>
      <c r="K1097" s="55"/>
      <c r="L1097" s="55"/>
      <c r="M1097" s="55"/>
      <c r="N1097" s="55"/>
      <c r="O1097" s="55"/>
      <c r="P1097" s="55"/>
      <c r="Q1097" s="55"/>
      <c r="R1097" s="55"/>
      <c r="S1097" s="55"/>
      <c r="T1097" s="55"/>
      <c r="U1097" s="55"/>
      <c r="V1097" s="55"/>
      <c r="W1097" s="55"/>
      <c r="X1097" s="55"/>
      <c r="Y1097" s="55"/>
      <c r="Z1097" s="55"/>
      <c r="AA1097" s="55"/>
      <c r="AB1097" s="55"/>
      <c r="AC1097" s="55"/>
      <c r="AD1097" s="55"/>
    </row>
    <row r="1098">
      <c r="A1098" s="149"/>
      <c r="B1098" s="149"/>
      <c r="C1098" s="149"/>
      <c r="D1098" s="55"/>
      <c r="E1098" s="55"/>
      <c r="F1098" s="55"/>
      <c r="G1098" s="55"/>
      <c r="H1098" s="55"/>
      <c r="I1098" s="55"/>
      <c r="J1098" s="55"/>
      <c r="K1098" s="55"/>
      <c r="L1098" s="55"/>
      <c r="M1098" s="55"/>
      <c r="N1098" s="55"/>
      <c r="O1098" s="55"/>
      <c r="P1098" s="55"/>
      <c r="Q1098" s="55"/>
      <c r="R1098" s="55"/>
      <c r="S1098" s="55"/>
      <c r="T1098" s="55"/>
      <c r="U1098" s="55"/>
      <c r="V1098" s="55"/>
      <c r="W1098" s="55"/>
      <c r="X1098" s="55"/>
      <c r="Y1098" s="55"/>
      <c r="Z1098" s="55"/>
      <c r="AA1098" s="55"/>
      <c r="AB1098" s="55"/>
      <c r="AC1098" s="55"/>
      <c r="AD1098" s="55"/>
    </row>
    <row r="1099">
      <c r="A1099" s="149"/>
      <c r="B1099" s="149"/>
      <c r="C1099" s="149"/>
      <c r="D1099" s="55"/>
      <c r="E1099" s="55"/>
      <c r="F1099" s="55"/>
      <c r="G1099" s="55"/>
      <c r="H1099" s="55"/>
      <c r="I1099" s="55"/>
      <c r="J1099" s="55"/>
      <c r="K1099" s="55"/>
      <c r="L1099" s="55"/>
      <c r="M1099" s="55"/>
      <c r="N1099" s="55"/>
      <c r="O1099" s="55"/>
      <c r="P1099" s="55"/>
      <c r="Q1099" s="55"/>
      <c r="R1099" s="55"/>
      <c r="S1099" s="55"/>
      <c r="T1099" s="55"/>
      <c r="U1099" s="55"/>
      <c r="V1099" s="55"/>
      <c r="W1099" s="55"/>
      <c r="X1099" s="55"/>
      <c r="Y1099" s="55"/>
      <c r="Z1099" s="55"/>
      <c r="AA1099" s="55"/>
      <c r="AB1099" s="55"/>
      <c r="AC1099" s="55"/>
      <c r="AD1099" s="55"/>
    </row>
    <row r="1100">
      <c r="A1100" s="149"/>
      <c r="B1100" s="149"/>
      <c r="C1100" s="149"/>
      <c r="D1100" s="55"/>
      <c r="E1100" s="55"/>
      <c r="F1100" s="55"/>
      <c r="G1100" s="55"/>
      <c r="H1100" s="55"/>
      <c r="I1100" s="55"/>
      <c r="J1100" s="55"/>
      <c r="K1100" s="55"/>
      <c r="L1100" s="55"/>
      <c r="M1100" s="55"/>
      <c r="N1100" s="55"/>
      <c r="O1100" s="55"/>
      <c r="P1100" s="55"/>
      <c r="Q1100" s="55"/>
      <c r="R1100" s="55"/>
      <c r="S1100" s="55"/>
      <c r="T1100" s="55"/>
      <c r="U1100" s="55"/>
      <c r="V1100" s="55"/>
      <c r="W1100" s="55"/>
      <c r="X1100" s="55"/>
      <c r="Y1100" s="55"/>
      <c r="Z1100" s="55"/>
      <c r="AA1100" s="55"/>
      <c r="AB1100" s="55"/>
      <c r="AC1100" s="55"/>
      <c r="AD1100" s="55"/>
    </row>
    <row r="1101">
      <c r="A1101" s="149"/>
      <c r="B1101" s="149"/>
      <c r="C1101" s="149"/>
      <c r="D1101" s="55"/>
      <c r="E1101" s="55"/>
      <c r="F1101" s="55"/>
      <c r="G1101" s="55"/>
      <c r="H1101" s="55"/>
      <c r="I1101" s="55"/>
      <c r="J1101" s="55"/>
      <c r="K1101" s="55"/>
      <c r="L1101" s="55"/>
      <c r="M1101" s="55"/>
      <c r="N1101" s="55"/>
      <c r="O1101" s="55"/>
      <c r="P1101" s="55"/>
      <c r="Q1101" s="55"/>
      <c r="R1101" s="55"/>
      <c r="S1101" s="55"/>
      <c r="T1101" s="55"/>
      <c r="U1101" s="55"/>
      <c r="V1101" s="55"/>
      <c r="W1101" s="55"/>
      <c r="X1101" s="55"/>
      <c r="Y1101" s="55"/>
      <c r="Z1101" s="55"/>
      <c r="AA1101" s="55"/>
      <c r="AB1101" s="55"/>
      <c r="AC1101" s="55"/>
      <c r="AD1101" s="55"/>
    </row>
    <row r="1102">
      <c r="A1102" s="149"/>
      <c r="B1102" s="149"/>
      <c r="C1102" s="149"/>
      <c r="D1102" s="55"/>
      <c r="E1102" s="55"/>
      <c r="F1102" s="55"/>
      <c r="G1102" s="55"/>
      <c r="H1102" s="55"/>
      <c r="I1102" s="55"/>
      <c r="J1102" s="55"/>
      <c r="K1102" s="55"/>
      <c r="L1102" s="55"/>
      <c r="M1102" s="55"/>
      <c r="N1102" s="55"/>
      <c r="O1102" s="55"/>
      <c r="P1102" s="55"/>
      <c r="Q1102" s="55"/>
      <c r="R1102" s="55"/>
      <c r="S1102" s="55"/>
      <c r="T1102" s="55"/>
      <c r="U1102" s="55"/>
      <c r="V1102" s="55"/>
      <c r="W1102" s="55"/>
      <c r="X1102" s="55"/>
      <c r="Y1102" s="55"/>
      <c r="Z1102" s="55"/>
      <c r="AA1102" s="55"/>
      <c r="AB1102" s="55"/>
      <c r="AC1102" s="55"/>
      <c r="AD1102" s="55"/>
    </row>
    <row r="1103">
      <c r="A1103" s="149"/>
      <c r="B1103" s="149"/>
      <c r="C1103" s="149"/>
      <c r="D1103" s="55"/>
      <c r="E1103" s="55"/>
      <c r="F1103" s="55"/>
      <c r="G1103" s="55"/>
      <c r="H1103" s="55"/>
      <c r="I1103" s="55"/>
      <c r="J1103" s="55"/>
      <c r="K1103" s="55"/>
      <c r="L1103" s="55"/>
      <c r="M1103" s="55"/>
      <c r="N1103" s="55"/>
      <c r="O1103" s="55"/>
      <c r="P1103" s="55"/>
      <c r="Q1103" s="55"/>
      <c r="R1103" s="55"/>
      <c r="S1103" s="55"/>
      <c r="T1103" s="55"/>
      <c r="U1103" s="55"/>
      <c r="V1103" s="55"/>
      <c r="W1103" s="55"/>
      <c r="X1103" s="55"/>
      <c r="Y1103" s="55"/>
      <c r="Z1103" s="55"/>
      <c r="AA1103" s="55"/>
      <c r="AB1103" s="55"/>
      <c r="AC1103" s="55"/>
      <c r="AD1103" s="55"/>
    </row>
    <row r="1104">
      <c r="A1104" s="149"/>
      <c r="B1104" s="149"/>
      <c r="C1104" s="149"/>
      <c r="D1104" s="55"/>
      <c r="E1104" s="55"/>
      <c r="F1104" s="55"/>
      <c r="G1104" s="55"/>
      <c r="H1104" s="55"/>
      <c r="I1104" s="55"/>
      <c r="J1104" s="55"/>
      <c r="K1104" s="55"/>
      <c r="L1104" s="55"/>
      <c r="M1104" s="55"/>
      <c r="N1104" s="55"/>
      <c r="O1104" s="55"/>
      <c r="P1104" s="55"/>
      <c r="Q1104" s="55"/>
      <c r="R1104" s="55"/>
      <c r="S1104" s="55"/>
      <c r="T1104" s="55"/>
      <c r="U1104" s="55"/>
      <c r="V1104" s="55"/>
      <c r="W1104" s="55"/>
      <c r="X1104" s="55"/>
      <c r="Y1104" s="55"/>
      <c r="Z1104" s="55"/>
      <c r="AA1104" s="55"/>
      <c r="AB1104" s="55"/>
      <c r="AC1104" s="55"/>
      <c r="AD1104" s="55"/>
    </row>
    <row r="1105">
      <c r="A1105" s="149"/>
      <c r="B1105" s="149"/>
      <c r="C1105" s="149"/>
      <c r="D1105" s="55"/>
      <c r="E1105" s="55"/>
      <c r="F1105" s="55"/>
      <c r="G1105" s="55"/>
      <c r="H1105" s="55"/>
      <c r="I1105" s="55"/>
      <c r="J1105" s="55"/>
      <c r="K1105" s="55"/>
      <c r="L1105" s="55"/>
      <c r="M1105" s="55"/>
      <c r="N1105" s="55"/>
      <c r="O1105" s="55"/>
      <c r="P1105" s="55"/>
      <c r="Q1105" s="55"/>
      <c r="R1105" s="55"/>
      <c r="S1105" s="55"/>
      <c r="T1105" s="55"/>
      <c r="U1105" s="55"/>
      <c r="V1105" s="55"/>
      <c r="W1105" s="55"/>
      <c r="X1105" s="55"/>
      <c r="Y1105" s="55"/>
      <c r="Z1105" s="55"/>
      <c r="AA1105" s="55"/>
      <c r="AB1105" s="55"/>
      <c r="AC1105" s="55"/>
      <c r="AD1105" s="55"/>
    </row>
    <row r="1106">
      <c r="A1106" s="149"/>
      <c r="B1106" s="149"/>
      <c r="C1106" s="149"/>
      <c r="D1106" s="55"/>
      <c r="E1106" s="55"/>
      <c r="F1106" s="55"/>
      <c r="G1106" s="55"/>
      <c r="H1106" s="55"/>
      <c r="I1106" s="55"/>
      <c r="J1106" s="55"/>
      <c r="K1106" s="55"/>
      <c r="L1106" s="55"/>
      <c r="M1106" s="55"/>
      <c r="N1106" s="55"/>
      <c r="O1106" s="55"/>
      <c r="P1106" s="55"/>
      <c r="Q1106" s="55"/>
      <c r="R1106" s="55"/>
      <c r="S1106" s="55"/>
      <c r="T1106" s="55"/>
      <c r="U1106" s="55"/>
      <c r="V1106" s="55"/>
      <c r="W1106" s="55"/>
      <c r="X1106" s="55"/>
      <c r="Y1106" s="55"/>
      <c r="Z1106" s="55"/>
      <c r="AA1106" s="55"/>
      <c r="AB1106" s="55"/>
      <c r="AC1106" s="55"/>
      <c r="AD1106" s="55"/>
    </row>
    <row r="1107">
      <c r="A1107" s="149"/>
      <c r="B1107" s="149"/>
      <c r="C1107" s="149"/>
      <c r="D1107" s="55"/>
      <c r="E1107" s="55"/>
      <c r="F1107" s="55"/>
      <c r="G1107" s="55"/>
      <c r="H1107" s="55"/>
      <c r="I1107" s="55"/>
      <c r="J1107" s="55"/>
      <c r="K1107" s="55"/>
      <c r="L1107" s="55"/>
      <c r="M1107" s="55"/>
      <c r="N1107" s="55"/>
      <c r="O1107" s="55"/>
      <c r="P1107" s="55"/>
      <c r="Q1107" s="55"/>
      <c r="R1107" s="55"/>
      <c r="S1107" s="55"/>
      <c r="T1107" s="55"/>
      <c r="U1107" s="55"/>
      <c r="V1107" s="55"/>
      <c r="W1107" s="55"/>
      <c r="X1107" s="55"/>
      <c r="Y1107" s="55"/>
      <c r="Z1107" s="55"/>
      <c r="AA1107" s="55"/>
      <c r="AB1107" s="55"/>
      <c r="AC1107" s="55"/>
      <c r="AD1107" s="55"/>
    </row>
    <row r="1108">
      <c r="A1108" s="149"/>
      <c r="B1108" s="149"/>
      <c r="C1108" s="149"/>
      <c r="D1108" s="55"/>
      <c r="E1108" s="55"/>
      <c r="F1108" s="55"/>
      <c r="G1108" s="55"/>
      <c r="H1108" s="55"/>
      <c r="I1108" s="55"/>
      <c r="J1108" s="55"/>
      <c r="K1108" s="55"/>
      <c r="L1108" s="55"/>
      <c r="M1108" s="55"/>
      <c r="N1108" s="55"/>
      <c r="O1108" s="55"/>
      <c r="P1108" s="55"/>
      <c r="Q1108" s="55"/>
      <c r="R1108" s="55"/>
      <c r="S1108" s="55"/>
      <c r="T1108" s="55"/>
      <c r="U1108" s="55"/>
      <c r="V1108" s="55"/>
      <c r="W1108" s="55"/>
      <c r="X1108" s="55"/>
      <c r="Y1108" s="55"/>
      <c r="Z1108" s="55"/>
      <c r="AA1108" s="55"/>
      <c r="AB1108" s="55"/>
      <c r="AC1108" s="55"/>
      <c r="AD1108" s="55"/>
    </row>
    <row r="1109">
      <c r="A1109" s="149"/>
      <c r="B1109" s="149"/>
      <c r="C1109" s="149"/>
      <c r="D1109" s="55"/>
      <c r="E1109" s="55"/>
      <c r="F1109" s="55"/>
      <c r="G1109" s="55"/>
      <c r="H1109" s="55"/>
      <c r="I1109" s="55"/>
      <c r="J1109" s="55"/>
      <c r="K1109" s="55"/>
      <c r="L1109" s="55"/>
      <c r="M1109" s="55"/>
      <c r="N1109" s="55"/>
      <c r="O1109" s="55"/>
      <c r="P1109" s="55"/>
      <c r="Q1109" s="55"/>
      <c r="R1109" s="55"/>
      <c r="S1109" s="55"/>
      <c r="T1109" s="55"/>
      <c r="U1109" s="55"/>
      <c r="V1109" s="55"/>
      <c r="W1109" s="55"/>
      <c r="X1109" s="55"/>
      <c r="Y1109" s="55"/>
      <c r="Z1109" s="55"/>
      <c r="AA1109" s="55"/>
      <c r="AB1109" s="55"/>
      <c r="AC1109" s="55"/>
      <c r="AD1109" s="55"/>
    </row>
    <row r="1110">
      <c r="A1110" s="149"/>
      <c r="B1110" s="149"/>
      <c r="C1110" s="149"/>
      <c r="D1110" s="55"/>
      <c r="E1110" s="55"/>
      <c r="F1110" s="55"/>
      <c r="G1110" s="55"/>
      <c r="H1110" s="55"/>
      <c r="I1110" s="55"/>
      <c r="J1110" s="55"/>
      <c r="K1110" s="55"/>
      <c r="L1110" s="55"/>
      <c r="M1110" s="55"/>
      <c r="N1110" s="55"/>
      <c r="O1110" s="55"/>
      <c r="P1110" s="55"/>
      <c r="Q1110" s="55"/>
      <c r="R1110" s="55"/>
      <c r="S1110" s="55"/>
      <c r="T1110" s="55"/>
      <c r="U1110" s="55"/>
      <c r="V1110" s="55"/>
      <c r="W1110" s="55"/>
      <c r="X1110" s="55"/>
      <c r="Y1110" s="55"/>
      <c r="Z1110" s="55"/>
      <c r="AA1110" s="55"/>
      <c r="AB1110" s="55"/>
      <c r="AC1110" s="55"/>
      <c r="AD1110" s="55"/>
    </row>
    <row r="1111">
      <c r="A1111" s="149"/>
      <c r="B1111" s="149"/>
      <c r="C1111" s="149"/>
      <c r="D1111" s="55"/>
      <c r="E1111" s="55"/>
      <c r="F1111" s="55"/>
      <c r="G1111" s="55"/>
      <c r="H1111" s="55"/>
      <c r="I1111" s="55"/>
      <c r="J1111" s="55"/>
      <c r="K1111" s="55"/>
      <c r="L1111" s="55"/>
      <c r="M1111" s="55"/>
      <c r="N1111" s="55"/>
      <c r="O1111" s="55"/>
      <c r="P1111" s="55"/>
      <c r="Q1111" s="55"/>
      <c r="R1111" s="55"/>
      <c r="S1111" s="55"/>
      <c r="T1111" s="55"/>
      <c r="U1111" s="55"/>
      <c r="V1111" s="55"/>
      <c r="W1111" s="55"/>
      <c r="X1111" s="55"/>
      <c r="Y1111" s="55"/>
      <c r="Z1111" s="55"/>
      <c r="AA1111" s="55"/>
      <c r="AB1111" s="55"/>
      <c r="AC1111" s="55"/>
      <c r="AD1111" s="55"/>
    </row>
    <row r="1112">
      <c r="A1112" s="149"/>
      <c r="B1112" s="149"/>
      <c r="C1112" s="149"/>
      <c r="D1112" s="55"/>
      <c r="E1112" s="55"/>
      <c r="F1112" s="55"/>
      <c r="G1112" s="55"/>
      <c r="H1112" s="55"/>
      <c r="I1112" s="55"/>
      <c r="J1112" s="55"/>
      <c r="K1112" s="55"/>
      <c r="L1112" s="55"/>
      <c r="M1112" s="55"/>
      <c r="N1112" s="55"/>
      <c r="O1112" s="55"/>
      <c r="P1112" s="55"/>
      <c r="Q1112" s="55"/>
      <c r="R1112" s="55"/>
      <c r="S1112" s="55"/>
      <c r="T1112" s="55"/>
      <c r="U1112" s="55"/>
      <c r="V1112" s="55"/>
      <c r="W1112" s="55"/>
      <c r="X1112" s="55"/>
      <c r="Y1112" s="55"/>
      <c r="Z1112" s="55"/>
      <c r="AA1112" s="55"/>
      <c r="AB1112" s="55"/>
      <c r="AC1112" s="55"/>
      <c r="AD1112" s="55"/>
    </row>
    <row r="1113">
      <c r="A1113" s="149"/>
      <c r="B1113" s="149"/>
      <c r="C1113" s="149"/>
      <c r="D1113" s="55"/>
      <c r="E1113" s="55"/>
      <c r="F1113" s="55"/>
      <c r="G1113" s="55"/>
      <c r="H1113" s="55"/>
      <c r="I1113" s="55"/>
      <c r="J1113" s="55"/>
      <c r="K1113" s="55"/>
      <c r="L1113" s="55"/>
      <c r="M1113" s="55"/>
      <c r="N1113" s="55"/>
      <c r="O1113" s="55"/>
      <c r="P1113" s="55"/>
      <c r="Q1113" s="55"/>
      <c r="R1113" s="55"/>
      <c r="S1113" s="55"/>
      <c r="T1113" s="55"/>
      <c r="U1113" s="55"/>
      <c r="V1113" s="55"/>
      <c r="W1113" s="55"/>
      <c r="X1113" s="55"/>
      <c r="Y1113" s="55"/>
      <c r="Z1113" s="55"/>
      <c r="AA1113" s="55"/>
      <c r="AB1113" s="55"/>
      <c r="AC1113" s="55"/>
      <c r="AD1113" s="55"/>
    </row>
    <row r="1114">
      <c r="A1114" s="149"/>
      <c r="B1114" s="149"/>
      <c r="C1114" s="149"/>
      <c r="D1114" s="55"/>
      <c r="E1114" s="55"/>
      <c r="F1114" s="55"/>
      <c r="G1114" s="55"/>
      <c r="H1114" s="55"/>
      <c r="I1114" s="55"/>
      <c r="J1114" s="55"/>
      <c r="K1114" s="55"/>
      <c r="L1114" s="55"/>
      <c r="M1114" s="55"/>
      <c r="N1114" s="55"/>
      <c r="O1114" s="55"/>
      <c r="P1114" s="55"/>
      <c r="Q1114" s="55"/>
      <c r="R1114" s="55"/>
      <c r="S1114" s="55"/>
      <c r="T1114" s="55"/>
      <c r="U1114" s="55"/>
      <c r="V1114" s="55"/>
      <c r="W1114" s="55"/>
      <c r="X1114" s="55"/>
      <c r="Y1114" s="55"/>
      <c r="Z1114" s="55"/>
      <c r="AA1114" s="55"/>
      <c r="AB1114" s="55"/>
      <c r="AC1114" s="55"/>
      <c r="AD1114" s="55"/>
    </row>
    <row r="1115">
      <c r="A1115" s="149"/>
      <c r="B1115" s="149"/>
      <c r="C1115" s="149"/>
      <c r="D1115" s="55"/>
      <c r="E1115" s="55"/>
      <c r="F1115" s="55"/>
      <c r="G1115" s="55"/>
      <c r="H1115" s="55"/>
      <c r="I1115" s="55"/>
      <c r="J1115" s="55"/>
      <c r="K1115" s="55"/>
      <c r="L1115" s="55"/>
      <c r="M1115" s="55"/>
      <c r="N1115" s="55"/>
      <c r="O1115" s="55"/>
      <c r="P1115" s="55"/>
      <c r="Q1115" s="55"/>
      <c r="R1115" s="55"/>
      <c r="S1115" s="55"/>
      <c r="T1115" s="55"/>
      <c r="U1115" s="55"/>
      <c r="V1115" s="55"/>
      <c r="W1115" s="55"/>
      <c r="X1115" s="55"/>
      <c r="Y1115" s="55"/>
      <c r="Z1115" s="55"/>
      <c r="AA1115" s="55"/>
      <c r="AB1115" s="55"/>
      <c r="AC1115" s="55"/>
      <c r="AD1115" s="55"/>
    </row>
    <row r="1116">
      <c r="A1116" s="149"/>
      <c r="B1116" s="149"/>
      <c r="C1116" s="149"/>
      <c r="D1116" s="55"/>
      <c r="E1116" s="55"/>
      <c r="F1116" s="55"/>
      <c r="G1116" s="55"/>
      <c r="H1116" s="55"/>
      <c r="I1116" s="55"/>
      <c r="J1116" s="55"/>
      <c r="K1116" s="55"/>
      <c r="L1116" s="55"/>
      <c r="M1116" s="55"/>
      <c r="N1116" s="55"/>
      <c r="O1116" s="55"/>
      <c r="P1116" s="55"/>
      <c r="Q1116" s="55"/>
      <c r="R1116" s="55"/>
      <c r="S1116" s="55"/>
      <c r="T1116" s="55"/>
      <c r="U1116" s="55"/>
      <c r="V1116" s="55"/>
      <c r="W1116" s="55"/>
      <c r="X1116" s="55"/>
      <c r="Y1116" s="55"/>
      <c r="Z1116" s="55"/>
      <c r="AA1116" s="55"/>
      <c r="AB1116" s="55"/>
      <c r="AC1116" s="55"/>
      <c r="AD1116" s="55"/>
    </row>
    <row r="1117">
      <c r="A1117" s="149"/>
      <c r="B1117" s="149"/>
      <c r="C1117" s="149"/>
      <c r="D1117" s="55"/>
      <c r="E1117" s="55"/>
      <c r="F1117" s="55"/>
      <c r="G1117" s="55"/>
      <c r="H1117" s="55"/>
      <c r="I1117" s="55"/>
      <c r="J1117" s="55"/>
      <c r="K1117" s="55"/>
      <c r="L1117" s="55"/>
      <c r="M1117" s="55"/>
      <c r="N1117" s="55"/>
      <c r="O1117" s="55"/>
      <c r="P1117" s="55"/>
      <c r="Q1117" s="55"/>
      <c r="R1117" s="55"/>
      <c r="S1117" s="55"/>
      <c r="T1117" s="55"/>
      <c r="U1117" s="55"/>
      <c r="V1117" s="55"/>
      <c r="W1117" s="55"/>
      <c r="X1117" s="55"/>
      <c r="Y1117" s="55"/>
      <c r="Z1117" s="55"/>
      <c r="AA1117" s="55"/>
      <c r="AB1117" s="55"/>
      <c r="AC1117" s="55"/>
      <c r="AD1117" s="55"/>
    </row>
    <row r="1118">
      <c r="A1118" s="149"/>
      <c r="B1118" s="149"/>
      <c r="C1118" s="149"/>
      <c r="D1118" s="55"/>
      <c r="E1118" s="55"/>
      <c r="F1118" s="55"/>
      <c r="G1118" s="55"/>
      <c r="H1118" s="55"/>
      <c r="I1118" s="55"/>
      <c r="J1118" s="55"/>
      <c r="K1118" s="55"/>
      <c r="L1118" s="55"/>
      <c r="M1118" s="55"/>
      <c r="N1118" s="55"/>
      <c r="O1118" s="55"/>
      <c r="P1118" s="55"/>
      <c r="Q1118" s="55"/>
      <c r="R1118" s="55"/>
      <c r="S1118" s="55"/>
      <c r="T1118" s="55"/>
      <c r="U1118" s="55"/>
      <c r="V1118" s="55"/>
      <c r="W1118" s="55"/>
      <c r="X1118" s="55"/>
      <c r="Y1118" s="55"/>
      <c r="Z1118" s="55"/>
      <c r="AA1118" s="55"/>
      <c r="AB1118" s="55"/>
      <c r="AC1118" s="55"/>
      <c r="AD1118" s="55"/>
    </row>
    <row r="1119">
      <c r="A1119" s="149"/>
      <c r="B1119" s="149"/>
      <c r="C1119" s="149"/>
      <c r="D1119" s="55"/>
      <c r="E1119" s="55"/>
      <c r="F1119" s="55"/>
      <c r="G1119" s="55"/>
      <c r="H1119" s="55"/>
      <c r="I1119" s="55"/>
      <c r="J1119" s="55"/>
      <c r="K1119" s="55"/>
      <c r="L1119" s="55"/>
      <c r="M1119" s="55"/>
      <c r="N1119" s="55"/>
      <c r="O1119" s="55"/>
      <c r="P1119" s="55"/>
      <c r="Q1119" s="55"/>
      <c r="R1119" s="55"/>
      <c r="S1119" s="55"/>
      <c r="T1119" s="55"/>
      <c r="U1119" s="55"/>
      <c r="V1119" s="55"/>
      <c r="W1119" s="55"/>
      <c r="X1119" s="55"/>
      <c r="Y1119" s="55"/>
      <c r="Z1119" s="55"/>
      <c r="AA1119" s="55"/>
      <c r="AB1119" s="55"/>
      <c r="AC1119" s="55"/>
      <c r="AD1119" s="55"/>
    </row>
    <row r="1120">
      <c r="A1120" s="149"/>
      <c r="B1120" s="149"/>
      <c r="C1120" s="149"/>
      <c r="D1120" s="55"/>
      <c r="E1120" s="55"/>
      <c r="F1120" s="55"/>
      <c r="G1120" s="55"/>
      <c r="H1120" s="55"/>
      <c r="I1120" s="55"/>
      <c r="J1120" s="55"/>
      <c r="K1120" s="55"/>
      <c r="L1120" s="55"/>
      <c r="M1120" s="55"/>
      <c r="N1120" s="55"/>
      <c r="O1120" s="55"/>
      <c r="P1120" s="55"/>
      <c r="Q1120" s="55"/>
      <c r="R1120" s="55"/>
      <c r="S1120" s="55"/>
      <c r="T1120" s="55"/>
      <c r="U1120" s="55"/>
      <c r="V1120" s="55"/>
      <c r="W1120" s="55"/>
      <c r="X1120" s="55"/>
      <c r="Y1120" s="55"/>
      <c r="Z1120" s="55"/>
      <c r="AA1120" s="55"/>
      <c r="AB1120" s="55"/>
      <c r="AC1120" s="55"/>
      <c r="AD1120" s="55"/>
    </row>
    <row r="1121">
      <c r="A1121" s="149"/>
      <c r="B1121" s="149"/>
      <c r="C1121" s="149"/>
      <c r="D1121" s="55"/>
      <c r="E1121" s="55"/>
      <c r="F1121" s="55"/>
      <c r="G1121" s="55"/>
      <c r="H1121" s="55"/>
      <c r="I1121" s="55"/>
      <c r="J1121" s="55"/>
      <c r="K1121" s="55"/>
      <c r="L1121" s="55"/>
      <c r="M1121" s="55"/>
      <c r="N1121" s="55"/>
      <c r="O1121" s="55"/>
      <c r="P1121" s="55"/>
      <c r="Q1121" s="55"/>
      <c r="R1121" s="55"/>
      <c r="S1121" s="55"/>
      <c r="T1121" s="55"/>
      <c r="U1121" s="55"/>
      <c r="V1121" s="55"/>
      <c r="W1121" s="55"/>
      <c r="X1121" s="55"/>
      <c r="Y1121" s="55"/>
      <c r="Z1121" s="55"/>
      <c r="AA1121" s="55"/>
      <c r="AB1121" s="55"/>
      <c r="AC1121" s="55"/>
      <c r="AD1121" s="55"/>
    </row>
    <row r="1122">
      <c r="A1122" s="149"/>
      <c r="B1122" s="149"/>
      <c r="C1122" s="149"/>
      <c r="D1122" s="55"/>
      <c r="E1122" s="55"/>
      <c r="F1122" s="55"/>
      <c r="G1122" s="55"/>
      <c r="H1122" s="55"/>
      <c r="I1122" s="55"/>
      <c r="J1122" s="55"/>
      <c r="K1122" s="55"/>
      <c r="L1122" s="55"/>
      <c r="M1122" s="55"/>
      <c r="N1122" s="55"/>
      <c r="O1122" s="55"/>
      <c r="P1122" s="55"/>
      <c r="Q1122" s="55"/>
      <c r="R1122" s="55"/>
      <c r="S1122" s="55"/>
      <c r="T1122" s="55"/>
      <c r="U1122" s="55"/>
      <c r="V1122" s="55"/>
      <c r="W1122" s="55"/>
      <c r="X1122" s="55"/>
      <c r="Y1122" s="55"/>
      <c r="Z1122" s="55"/>
      <c r="AA1122" s="55"/>
      <c r="AB1122" s="55"/>
      <c r="AC1122" s="55"/>
      <c r="AD1122" s="55"/>
    </row>
    <row r="1123">
      <c r="A1123" s="149"/>
      <c r="B1123" s="149"/>
      <c r="C1123" s="149"/>
      <c r="D1123" s="55"/>
      <c r="E1123" s="55"/>
      <c r="F1123" s="55"/>
      <c r="G1123" s="55"/>
      <c r="H1123" s="55"/>
      <c r="I1123" s="55"/>
      <c r="J1123" s="55"/>
      <c r="K1123" s="55"/>
      <c r="L1123" s="55"/>
      <c r="M1123" s="55"/>
      <c r="N1123" s="55"/>
      <c r="O1123" s="55"/>
      <c r="P1123" s="55"/>
      <c r="Q1123" s="55"/>
      <c r="R1123" s="55"/>
      <c r="S1123" s="55"/>
      <c r="T1123" s="55"/>
      <c r="U1123" s="55"/>
      <c r="V1123" s="55"/>
      <c r="W1123" s="55"/>
      <c r="X1123" s="55"/>
      <c r="Y1123" s="55"/>
      <c r="Z1123" s="55"/>
      <c r="AA1123" s="55"/>
      <c r="AB1123" s="55"/>
      <c r="AC1123" s="55"/>
      <c r="AD1123" s="55"/>
    </row>
    <row r="1124">
      <c r="A1124" s="149"/>
      <c r="B1124" s="149"/>
      <c r="C1124" s="149"/>
      <c r="D1124" s="55"/>
      <c r="E1124" s="55"/>
      <c r="F1124" s="55"/>
      <c r="G1124" s="55"/>
      <c r="H1124" s="55"/>
      <c r="I1124" s="55"/>
      <c r="J1124" s="55"/>
      <c r="K1124" s="55"/>
      <c r="L1124" s="55"/>
      <c r="M1124" s="55"/>
      <c r="N1124" s="55"/>
      <c r="O1124" s="55"/>
      <c r="P1124" s="55"/>
      <c r="Q1124" s="55"/>
      <c r="R1124" s="55"/>
      <c r="S1124" s="55"/>
      <c r="T1124" s="55"/>
      <c r="U1124" s="55"/>
      <c r="V1124" s="55"/>
      <c r="W1124" s="55"/>
      <c r="X1124" s="55"/>
      <c r="Y1124" s="55"/>
      <c r="Z1124" s="55"/>
      <c r="AA1124" s="55"/>
      <c r="AB1124" s="55"/>
      <c r="AC1124" s="55"/>
      <c r="AD1124" s="55"/>
    </row>
    <row r="1125">
      <c r="A1125" s="149"/>
      <c r="B1125" s="149"/>
      <c r="C1125" s="149"/>
      <c r="D1125" s="55"/>
      <c r="E1125" s="55"/>
      <c r="F1125" s="55"/>
      <c r="G1125" s="55"/>
      <c r="H1125" s="55"/>
      <c r="I1125" s="55"/>
      <c r="J1125" s="55"/>
      <c r="K1125" s="55"/>
      <c r="L1125" s="55"/>
      <c r="M1125" s="55"/>
      <c r="N1125" s="55"/>
      <c r="O1125" s="55"/>
      <c r="P1125" s="55"/>
      <c r="Q1125" s="55"/>
      <c r="R1125" s="55"/>
      <c r="S1125" s="55"/>
      <c r="T1125" s="55"/>
      <c r="U1125" s="55"/>
      <c r="V1125" s="55"/>
      <c r="W1125" s="55"/>
      <c r="X1125" s="55"/>
      <c r="Y1125" s="55"/>
      <c r="Z1125" s="55"/>
      <c r="AA1125" s="55"/>
      <c r="AB1125" s="55"/>
      <c r="AC1125" s="55"/>
      <c r="AD1125" s="55"/>
    </row>
    <row r="1126">
      <c r="A1126" s="149"/>
      <c r="B1126" s="149"/>
      <c r="C1126" s="149"/>
      <c r="D1126" s="55"/>
      <c r="E1126" s="55"/>
      <c r="F1126" s="55"/>
      <c r="G1126" s="55"/>
      <c r="H1126" s="55"/>
      <c r="I1126" s="55"/>
      <c r="J1126" s="55"/>
      <c r="K1126" s="55"/>
      <c r="L1126" s="55"/>
      <c r="M1126" s="55"/>
      <c r="N1126" s="55"/>
      <c r="O1126" s="55"/>
      <c r="P1126" s="55"/>
      <c r="Q1126" s="55"/>
      <c r="R1126" s="55"/>
      <c r="S1126" s="55"/>
      <c r="T1126" s="55"/>
      <c r="U1126" s="55"/>
      <c r="V1126" s="55"/>
      <c r="W1126" s="55"/>
      <c r="X1126" s="55"/>
      <c r="Y1126" s="55"/>
      <c r="Z1126" s="55"/>
      <c r="AA1126" s="55"/>
      <c r="AB1126" s="55"/>
      <c r="AC1126" s="55"/>
      <c r="AD1126" s="55"/>
    </row>
    <row r="1127">
      <c r="A1127" s="149"/>
      <c r="B1127" s="149"/>
      <c r="C1127" s="149"/>
      <c r="D1127" s="55"/>
      <c r="E1127" s="55"/>
      <c r="F1127" s="55"/>
      <c r="G1127" s="55"/>
      <c r="H1127" s="55"/>
      <c r="I1127" s="55"/>
      <c r="J1127" s="55"/>
      <c r="K1127" s="55"/>
      <c r="L1127" s="55"/>
      <c r="M1127" s="55"/>
      <c r="N1127" s="55"/>
      <c r="O1127" s="55"/>
      <c r="P1127" s="55"/>
      <c r="Q1127" s="55"/>
      <c r="R1127" s="55"/>
      <c r="S1127" s="55"/>
      <c r="T1127" s="55"/>
      <c r="U1127" s="55"/>
      <c r="V1127" s="55"/>
      <c r="W1127" s="55"/>
      <c r="X1127" s="55"/>
      <c r="Y1127" s="55"/>
      <c r="Z1127" s="55"/>
      <c r="AA1127" s="55"/>
      <c r="AB1127" s="55"/>
      <c r="AC1127" s="55"/>
      <c r="AD1127" s="55"/>
    </row>
    <row r="1128">
      <c r="A1128" s="149"/>
      <c r="B1128" s="149"/>
      <c r="C1128" s="149"/>
      <c r="D1128" s="55"/>
      <c r="E1128" s="55"/>
      <c r="F1128" s="55"/>
      <c r="G1128" s="55"/>
      <c r="H1128" s="55"/>
      <c r="I1128" s="55"/>
      <c r="J1128" s="55"/>
      <c r="K1128" s="55"/>
      <c r="L1128" s="55"/>
      <c r="M1128" s="55"/>
      <c r="N1128" s="55"/>
      <c r="O1128" s="55"/>
      <c r="P1128" s="55"/>
      <c r="Q1128" s="55"/>
      <c r="R1128" s="55"/>
      <c r="S1128" s="55"/>
      <c r="T1128" s="55"/>
      <c r="U1128" s="55"/>
      <c r="V1128" s="55"/>
      <c r="W1128" s="55"/>
      <c r="X1128" s="55"/>
      <c r="Y1128" s="55"/>
      <c r="Z1128" s="55"/>
      <c r="AA1128" s="55"/>
      <c r="AB1128" s="55"/>
      <c r="AC1128" s="55"/>
      <c r="AD1128" s="55"/>
    </row>
    <row r="1129">
      <c r="A1129" s="149"/>
      <c r="B1129" s="149"/>
      <c r="C1129" s="149"/>
      <c r="D1129" s="55"/>
      <c r="E1129" s="55"/>
      <c r="F1129" s="55"/>
      <c r="G1129" s="55"/>
      <c r="H1129" s="55"/>
      <c r="I1129" s="55"/>
      <c r="J1129" s="55"/>
      <c r="K1129" s="55"/>
      <c r="L1129" s="55"/>
      <c r="M1129" s="55"/>
      <c r="N1129" s="55"/>
      <c r="O1129" s="55"/>
      <c r="P1129" s="55"/>
      <c r="Q1129" s="55"/>
      <c r="R1129" s="55"/>
      <c r="S1129" s="55"/>
      <c r="T1129" s="55"/>
      <c r="U1129" s="55"/>
      <c r="V1129" s="55"/>
      <c r="W1129" s="55"/>
      <c r="X1129" s="55"/>
      <c r="Y1129" s="55"/>
      <c r="Z1129" s="55"/>
      <c r="AA1129" s="55"/>
      <c r="AB1129" s="55"/>
      <c r="AC1129" s="55"/>
      <c r="AD1129" s="55"/>
    </row>
    <row r="1130">
      <c r="A1130" s="149"/>
      <c r="B1130" s="149"/>
      <c r="C1130" s="149"/>
      <c r="D1130" s="55"/>
      <c r="E1130" s="55"/>
      <c r="F1130" s="55"/>
      <c r="G1130" s="55"/>
      <c r="H1130" s="55"/>
      <c r="I1130" s="55"/>
      <c r="J1130" s="55"/>
      <c r="K1130" s="55"/>
      <c r="L1130" s="55"/>
      <c r="M1130" s="55"/>
      <c r="N1130" s="55"/>
      <c r="O1130" s="55"/>
      <c r="P1130" s="55"/>
      <c r="Q1130" s="55"/>
      <c r="R1130" s="55"/>
      <c r="S1130" s="55"/>
      <c r="T1130" s="55"/>
      <c r="U1130" s="55"/>
      <c r="V1130" s="55"/>
      <c r="W1130" s="55"/>
      <c r="X1130" s="55"/>
      <c r="Y1130" s="55"/>
      <c r="Z1130" s="55"/>
      <c r="AA1130" s="55"/>
      <c r="AB1130" s="55"/>
      <c r="AC1130" s="55"/>
      <c r="AD1130" s="55"/>
    </row>
    <row r="1131">
      <c r="A1131" s="149"/>
      <c r="B1131" s="149"/>
      <c r="C1131" s="149"/>
      <c r="D1131" s="55"/>
      <c r="E1131" s="55"/>
      <c r="F1131" s="55"/>
      <c r="G1131" s="55"/>
      <c r="H1131" s="55"/>
      <c r="I1131" s="55"/>
      <c r="J1131" s="55"/>
      <c r="K1131" s="55"/>
      <c r="L1131" s="55"/>
      <c r="M1131" s="55"/>
      <c r="N1131" s="55"/>
      <c r="O1131" s="55"/>
      <c r="P1131" s="55"/>
      <c r="Q1131" s="55"/>
      <c r="R1131" s="55"/>
      <c r="S1131" s="55"/>
      <c r="T1131" s="55"/>
      <c r="U1131" s="55"/>
      <c r="V1131" s="55"/>
      <c r="W1131" s="55"/>
      <c r="X1131" s="55"/>
      <c r="Y1131" s="55"/>
      <c r="Z1131" s="55"/>
      <c r="AA1131" s="55"/>
      <c r="AB1131" s="55"/>
      <c r="AC1131" s="55"/>
      <c r="AD1131" s="55"/>
    </row>
    <row r="1132">
      <c r="A1132" s="149"/>
      <c r="B1132" s="149"/>
      <c r="C1132" s="149"/>
      <c r="D1132" s="55"/>
      <c r="E1132" s="55"/>
      <c r="F1132" s="55"/>
      <c r="G1132" s="55"/>
      <c r="H1132" s="55"/>
      <c r="I1132" s="55"/>
      <c r="J1132" s="55"/>
      <c r="K1132" s="55"/>
      <c r="L1132" s="55"/>
      <c r="M1132" s="55"/>
      <c r="N1132" s="55"/>
      <c r="O1132" s="55"/>
      <c r="P1132" s="55"/>
      <c r="Q1132" s="55"/>
      <c r="R1132" s="55"/>
      <c r="S1132" s="55"/>
      <c r="T1132" s="55"/>
      <c r="U1132" s="55"/>
      <c r="V1132" s="55"/>
      <c r="W1132" s="55"/>
      <c r="X1132" s="55"/>
      <c r="Y1132" s="55"/>
      <c r="Z1132" s="55"/>
      <c r="AA1132" s="55"/>
      <c r="AB1132" s="55"/>
      <c r="AC1132" s="55"/>
      <c r="AD1132" s="55"/>
    </row>
    <row r="1133">
      <c r="A1133" s="149"/>
      <c r="B1133" s="149"/>
      <c r="C1133" s="149"/>
      <c r="D1133" s="55"/>
      <c r="E1133" s="55"/>
      <c r="F1133" s="55"/>
      <c r="G1133" s="55"/>
      <c r="H1133" s="55"/>
      <c r="I1133" s="55"/>
      <c r="J1133" s="55"/>
      <c r="K1133" s="55"/>
      <c r="L1133" s="55"/>
      <c r="M1133" s="55"/>
      <c r="N1133" s="55"/>
      <c r="O1133" s="55"/>
      <c r="P1133" s="55"/>
      <c r="Q1133" s="55"/>
      <c r="R1133" s="55"/>
      <c r="S1133" s="55"/>
      <c r="T1133" s="55"/>
      <c r="U1133" s="55"/>
      <c r="V1133" s="55"/>
      <c r="W1133" s="55"/>
      <c r="X1133" s="55"/>
      <c r="Y1133" s="55"/>
      <c r="Z1133" s="55"/>
      <c r="AA1133" s="55"/>
      <c r="AB1133" s="55"/>
      <c r="AC1133" s="55"/>
      <c r="AD1133" s="55"/>
    </row>
    <row r="1134">
      <c r="A1134" s="149"/>
      <c r="B1134" s="149"/>
      <c r="C1134" s="149"/>
      <c r="D1134" s="55"/>
      <c r="E1134" s="55"/>
      <c r="F1134" s="55"/>
      <c r="G1134" s="55"/>
      <c r="H1134" s="55"/>
      <c r="I1134" s="55"/>
      <c r="J1134" s="55"/>
      <c r="K1134" s="55"/>
      <c r="L1134" s="55"/>
      <c r="M1134" s="55"/>
      <c r="N1134" s="55"/>
      <c r="O1134" s="55"/>
      <c r="P1134" s="55"/>
      <c r="Q1134" s="55"/>
      <c r="R1134" s="55"/>
      <c r="S1134" s="55"/>
      <c r="T1134" s="55"/>
      <c r="U1134" s="55"/>
      <c r="V1134" s="55"/>
      <c r="W1134" s="55"/>
      <c r="X1134" s="55"/>
      <c r="Y1134" s="55"/>
      <c r="Z1134" s="55"/>
      <c r="AA1134" s="55"/>
      <c r="AB1134" s="55"/>
      <c r="AC1134" s="55"/>
      <c r="AD1134" s="55"/>
    </row>
    <row r="1135">
      <c r="A1135" s="149"/>
      <c r="B1135" s="149"/>
      <c r="C1135" s="149"/>
      <c r="D1135" s="55"/>
      <c r="E1135" s="55"/>
      <c r="F1135" s="55"/>
      <c r="G1135" s="55"/>
      <c r="H1135" s="55"/>
      <c r="I1135" s="55"/>
      <c r="J1135" s="55"/>
      <c r="K1135" s="55"/>
      <c r="L1135" s="55"/>
      <c r="M1135" s="55"/>
      <c r="N1135" s="55"/>
      <c r="O1135" s="55"/>
      <c r="P1135" s="55"/>
      <c r="Q1135" s="55"/>
      <c r="R1135" s="55"/>
      <c r="S1135" s="55"/>
      <c r="T1135" s="55"/>
      <c r="U1135" s="55"/>
      <c r="V1135" s="55"/>
      <c r="W1135" s="55"/>
      <c r="X1135" s="55"/>
      <c r="Y1135" s="55"/>
      <c r="Z1135" s="55"/>
      <c r="AA1135" s="55"/>
      <c r="AB1135" s="55"/>
      <c r="AC1135" s="55"/>
      <c r="AD1135" s="55"/>
    </row>
    <row r="1136">
      <c r="A1136" s="149"/>
      <c r="B1136" s="149"/>
      <c r="C1136" s="149"/>
      <c r="D1136" s="55"/>
      <c r="E1136" s="55"/>
      <c r="F1136" s="55"/>
      <c r="G1136" s="55"/>
      <c r="H1136" s="55"/>
      <c r="I1136" s="55"/>
      <c r="J1136" s="55"/>
      <c r="K1136" s="55"/>
      <c r="L1136" s="55"/>
      <c r="M1136" s="55"/>
      <c r="N1136" s="55"/>
      <c r="O1136" s="55"/>
      <c r="P1136" s="55"/>
      <c r="Q1136" s="55"/>
      <c r="R1136" s="55"/>
      <c r="S1136" s="55"/>
      <c r="T1136" s="55"/>
      <c r="U1136" s="55"/>
      <c r="V1136" s="55"/>
      <c r="W1136" s="55"/>
      <c r="X1136" s="55"/>
      <c r="Y1136" s="55"/>
      <c r="Z1136" s="55"/>
      <c r="AA1136" s="55"/>
      <c r="AB1136" s="55"/>
      <c r="AC1136" s="55"/>
      <c r="AD1136" s="55"/>
    </row>
    <row r="1137">
      <c r="A1137" s="149"/>
      <c r="B1137" s="149"/>
      <c r="C1137" s="149"/>
      <c r="D1137" s="55"/>
      <c r="E1137" s="55"/>
      <c r="F1137" s="55"/>
      <c r="G1137" s="55"/>
      <c r="H1137" s="55"/>
      <c r="I1137" s="55"/>
      <c r="J1137" s="55"/>
      <c r="K1137" s="55"/>
      <c r="L1137" s="55"/>
      <c r="M1137" s="55"/>
      <c r="N1137" s="55"/>
      <c r="O1137" s="55"/>
      <c r="P1137" s="55"/>
      <c r="Q1137" s="55"/>
      <c r="R1137" s="55"/>
      <c r="S1137" s="55"/>
      <c r="T1137" s="55"/>
      <c r="U1137" s="55"/>
      <c r="V1137" s="55"/>
      <c r="W1137" s="55"/>
      <c r="X1137" s="55"/>
      <c r="Y1137" s="55"/>
      <c r="Z1137" s="55"/>
      <c r="AA1137" s="55"/>
      <c r="AB1137" s="55"/>
      <c r="AC1137" s="55"/>
      <c r="AD1137" s="55"/>
    </row>
    <row r="1138">
      <c r="A1138" s="149"/>
      <c r="B1138" s="149"/>
      <c r="C1138" s="149"/>
      <c r="D1138" s="55"/>
      <c r="E1138" s="55"/>
      <c r="F1138" s="55"/>
      <c r="G1138" s="55"/>
      <c r="H1138" s="55"/>
      <c r="I1138" s="55"/>
      <c r="J1138" s="55"/>
      <c r="K1138" s="55"/>
      <c r="L1138" s="55"/>
      <c r="M1138" s="55"/>
      <c r="N1138" s="55"/>
      <c r="O1138" s="55"/>
      <c r="P1138" s="55"/>
      <c r="Q1138" s="55"/>
      <c r="R1138" s="55"/>
      <c r="S1138" s="55"/>
      <c r="T1138" s="55"/>
      <c r="U1138" s="55"/>
      <c r="V1138" s="55"/>
      <c r="W1138" s="55"/>
      <c r="X1138" s="55"/>
      <c r="Y1138" s="55"/>
      <c r="Z1138" s="55"/>
      <c r="AA1138" s="55"/>
      <c r="AB1138" s="55"/>
      <c r="AC1138" s="55"/>
      <c r="AD1138" s="55"/>
    </row>
    <row r="1139">
      <c r="A1139" s="149"/>
      <c r="B1139" s="149"/>
      <c r="C1139" s="149"/>
      <c r="D1139" s="55"/>
      <c r="E1139" s="55"/>
      <c r="F1139" s="55"/>
      <c r="G1139" s="55"/>
      <c r="H1139" s="55"/>
      <c r="I1139" s="55"/>
      <c r="J1139" s="55"/>
      <c r="K1139" s="55"/>
      <c r="L1139" s="55"/>
      <c r="M1139" s="55"/>
      <c r="N1139" s="55"/>
      <c r="O1139" s="55"/>
      <c r="P1139" s="55"/>
      <c r="Q1139" s="55"/>
      <c r="R1139" s="55"/>
      <c r="S1139" s="55"/>
      <c r="T1139" s="55"/>
      <c r="U1139" s="55"/>
      <c r="V1139" s="55"/>
      <c r="W1139" s="55"/>
      <c r="X1139" s="55"/>
      <c r="Y1139" s="55"/>
      <c r="Z1139" s="55"/>
      <c r="AA1139" s="55"/>
      <c r="AB1139" s="55"/>
      <c r="AC1139" s="55"/>
      <c r="AD1139" s="55"/>
    </row>
    <row r="1140">
      <c r="A1140" s="149"/>
      <c r="B1140" s="149"/>
      <c r="C1140" s="149"/>
      <c r="D1140" s="55"/>
      <c r="E1140" s="55"/>
      <c r="F1140" s="55"/>
      <c r="G1140" s="55"/>
      <c r="H1140" s="55"/>
      <c r="I1140" s="55"/>
      <c r="J1140" s="55"/>
      <c r="K1140" s="55"/>
      <c r="L1140" s="55"/>
      <c r="M1140" s="55"/>
      <c r="N1140" s="55"/>
      <c r="O1140" s="55"/>
      <c r="P1140" s="55"/>
      <c r="Q1140" s="55"/>
      <c r="R1140" s="55"/>
      <c r="S1140" s="55"/>
      <c r="T1140" s="55"/>
      <c r="U1140" s="55"/>
      <c r="V1140" s="55"/>
      <c r="W1140" s="55"/>
      <c r="X1140" s="55"/>
      <c r="Y1140" s="55"/>
      <c r="Z1140" s="55"/>
      <c r="AA1140" s="55"/>
      <c r="AB1140" s="55"/>
      <c r="AC1140" s="55"/>
      <c r="AD1140" s="55"/>
    </row>
    <row r="1141">
      <c r="A1141" s="149"/>
      <c r="B1141" s="149"/>
      <c r="C1141" s="149"/>
      <c r="D1141" s="55"/>
      <c r="E1141" s="55"/>
      <c r="F1141" s="55"/>
      <c r="G1141" s="55"/>
      <c r="H1141" s="55"/>
      <c r="I1141" s="55"/>
      <c r="J1141" s="55"/>
      <c r="K1141" s="55"/>
      <c r="L1141" s="55"/>
      <c r="M1141" s="55"/>
      <c r="N1141" s="55"/>
      <c r="O1141" s="55"/>
      <c r="P1141" s="55"/>
      <c r="Q1141" s="55"/>
      <c r="R1141" s="55"/>
      <c r="S1141" s="55"/>
      <c r="T1141" s="55"/>
      <c r="U1141" s="55"/>
      <c r="V1141" s="55"/>
      <c r="W1141" s="55"/>
      <c r="X1141" s="55"/>
      <c r="Y1141" s="55"/>
      <c r="Z1141" s="55"/>
      <c r="AA1141" s="55"/>
      <c r="AB1141" s="55"/>
      <c r="AC1141" s="55"/>
      <c r="AD1141" s="55"/>
    </row>
    <row r="1142">
      <c r="A1142" s="149"/>
      <c r="B1142" s="149"/>
      <c r="C1142" s="149"/>
      <c r="D1142" s="55"/>
      <c r="E1142" s="55"/>
      <c r="F1142" s="55"/>
      <c r="G1142" s="55"/>
      <c r="H1142" s="55"/>
      <c r="I1142" s="55"/>
      <c r="J1142" s="55"/>
      <c r="K1142" s="55"/>
      <c r="L1142" s="55"/>
      <c r="M1142" s="55"/>
      <c r="N1142" s="55"/>
      <c r="O1142" s="55"/>
      <c r="P1142" s="55"/>
      <c r="Q1142" s="55"/>
      <c r="R1142" s="55"/>
      <c r="S1142" s="55"/>
      <c r="T1142" s="55"/>
      <c r="U1142" s="55"/>
      <c r="V1142" s="55"/>
      <c r="W1142" s="55"/>
      <c r="X1142" s="55"/>
      <c r="Y1142" s="55"/>
      <c r="Z1142" s="55"/>
      <c r="AA1142" s="55"/>
      <c r="AB1142" s="55"/>
      <c r="AC1142" s="55"/>
      <c r="AD1142" s="55"/>
    </row>
    <row r="1143">
      <c r="A1143" s="149"/>
      <c r="B1143" s="149"/>
      <c r="C1143" s="149"/>
      <c r="D1143" s="55"/>
      <c r="E1143" s="55"/>
      <c r="F1143" s="55"/>
      <c r="G1143" s="55"/>
      <c r="H1143" s="55"/>
      <c r="I1143" s="55"/>
      <c r="J1143" s="55"/>
      <c r="K1143" s="55"/>
      <c r="L1143" s="55"/>
      <c r="M1143" s="55"/>
      <c r="N1143" s="55"/>
      <c r="O1143" s="55"/>
      <c r="P1143" s="55"/>
      <c r="Q1143" s="55"/>
      <c r="R1143" s="55"/>
      <c r="S1143" s="55"/>
      <c r="T1143" s="55"/>
      <c r="U1143" s="55"/>
      <c r="V1143" s="55"/>
      <c r="W1143" s="55"/>
      <c r="X1143" s="55"/>
      <c r="Y1143" s="55"/>
      <c r="Z1143" s="55"/>
      <c r="AA1143" s="55"/>
      <c r="AB1143" s="55"/>
      <c r="AC1143" s="55"/>
      <c r="AD1143" s="55"/>
    </row>
    <row r="1144">
      <c r="A1144" s="149"/>
      <c r="B1144" s="149"/>
      <c r="C1144" s="149"/>
      <c r="D1144" s="55"/>
      <c r="E1144" s="55"/>
      <c r="F1144" s="55"/>
      <c r="G1144" s="55"/>
      <c r="H1144" s="55"/>
      <c r="I1144" s="55"/>
      <c r="J1144" s="55"/>
      <c r="K1144" s="55"/>
      <c r="L1144" s="55"/>
      <c r="M1144" s="55"/>
      <c r="N1144" s="55"/>
      <c r="O1144" s="55"/>
      <c r="P1144" s="55"/>
      <c r="Q1144" s="55"/>
      <c r="R1144" s="55"/>
      <c r="S1144" s="55"/>
      <c r="T1144" s="55"/>
      <c r="U1144" s="55"/>
      <c r="V1144" s="55"/>
      <c r="W1144" s="55"/>
      <c r="X1144" s="55"/>
      <c r="Y1144" s="55"/>
      <c r="Z1144" s="55"/>
      <c r="AA1144" s="55"/>
      <c r="AB1144" s="55"/>
      <c r="AC1144" s="55"/>
      <c r="AD1144" s="55"/>
    </row>
    <row r="1145">
      <c r="A1145" s="149"/>
      <c r="B1145" s="149"/>
      <c r="C1145" s="149"/>
      <c r="D1145" s="55"/>
      <c r="E1145" s="55"/>
      <c r="F1145" s="55"/>
      <c r="G1145" s="55"/>
      <c r="H1145" s="55"/>
      <c r="I1145" s="55"/>
      <c r="J1145" s="55"/>
      <c r="K1145" s="55"/>
      <c r="L1145" s="55"/>
      <c r="M1145" s="55"/>
      <c r="N1145" s="55"/>
      <c r="O1145" s="55"/>
      <c r="P1145" s="55"/>
      <c r="Q1145" s="55"/>
      <c r="R1145" s="55"/>
      <c r="S1145" s="55"/>
      <c r="T1145" s="55"/>
      <c r="U1145" s="55"/>
      <c r="V1145" s="55"/>
      <c r="W1145" s="55"/>
      <c r="X1145" s="55"/>
      <c r="Y1145" s="55"/>
      <c r="Z1145" s="55"/>
      <c r="AA1145" s="55"/>
      <c r="AB1145" s="55"/>
      <c r="AC1145" s="55"/>
      <c r="AD1145" s="55"/>
    </row>
    <row r="1146">
      <c r="A1146" s="149"/>
      <c r="B1146" s="149"/>
      <c r="C1146" s="149"/>
      <c r="D1146" s="55"/>
      <c r="E1146" s="55"/>
      <c r="F1146" s="55"/>
      <c r="G1146" s="55"/>
      <c r="H1146" s="55"/>
      <c r="I1146" s="55"/>
      <c r="J1146" s="55"/>
      <c r="K1146" s="55"/>
      <c r="L1146" s="55"/>
      <c r="M1146" s="55"/>
      <c r="N1146" s="55"/>
      <c r="O1146" s="55"/>
      <c r="P1146" s="55"/>
      <c r="Q1146" s="55"/>
      <c r="R1146" s="55"/>
      <c r="S1146" s="55"/>
      <c r="T1146" s="55"/>
      <c r="U1146" s="55"/>
      <c r="V1146" s="55"/>
      <c r="W1146" s="55"/>
      <c r="X1146" s="55"/>
      <c r="Y1146" s="55"/>
      <c r="Z1146" s="55"/>
      <c r="AA1146" s="55"/>
      <c r="AB1146" s="55"/>
      <c r="AC1146" s="55"/>
      <c r="AD1146" s="55"/>
    </row>
    <row r="1147">
      <c r="A1147" s="149"/>
      <c r="B1147" s="149"/>
      <c r="C1147" s="149"/>
      <c r="D1147" s="55"/>
      <c r="E1147" s="55"/>
      <c r="F1147" s="55"/>
      <c r="G1147" s="55"/>
      <c r="H1147" s="55"/>
      <c r="I1147" s="55"/>
      <c r="J1147" s="55"/>
      <c r="K1147" s="55"/>
      <c r="L1147" s="55"/>
      <c r="M1147" s="55"/>
      <c r="N1147" s="55"/>
      <c r="O1147" s="55"/>
      <c r="P1147" s="55"/>
      <c r="Q1147" s="55"/>
      <c r="R1147" s="55"/>
      <c r="S1147" s="55"/>
      <c r="T1147" s="55"/>
      <c r="U1147" s="55"/>
      <c r="V1147" s="55"/>
      <c r="W1147" s="55"/>
      <c r="X1147" s="55"/>
      <c r="Y1147" s="55"/>
      <c r="Z1147" s="55"/>
      <c r="AA1147" s="55"/>
      <c r="AB1147" s="55"/>
      <c r="AC1147" s="55"/>
      <c r="AD1147" s="55"/>
    </row>
    <row r="1148">
      <c r="A1148" s="149"/>
      <c r="B1148" s="149"/>
      <c r="C1148" s="149"/>
      <c r="D1148" s="55"/>
      <c r="E1148" s="55"/>
      <c r="F1148" s="55"/>
      <c r="G1148" s="55"/>
      <c r="H1148" s="55"/>
      <c r="I1148" s="55"/>
      <c r="J1148" s="55"/>
      <c r="K1148" s="55"/>
      <c r="L1148" s="55"/>
      <c r="M1148" s="55"/>
      <c r="N1148" s="55"/>
      <c r="O1148" s="55"/>
      <c r="P1148" s="55"/>
      <c r="Q1148" s="55"/>
      <c r="R1148" s="55"/>
      <c r="S1148" s="55"/>
      <c r="T1148" s="55"/>
      <c r="U1148" s="55"/>
      <c r="V1148" s="55"/>
      <c r="W1148" s="55"/>
      <c r="X1148" s="55"/>
      <c r="Y1148" s="55"/>
      <c r="Z1148" s="55"/>
      <c r="AA1148" s="55"/>
      <c r="AB1148" s="55"/>
      <c r="AC1148" s="55"/>
      <c r="AD1148" s="55"/>
    </row>
    <row r="1149">
      <c r="A1149" s="149"/>
      <c r="B1149" s="149"/>
      <c r="C1149" s="149"/>
      <c r="D1149" s="55"/>
      <c r="E1149" s="55"/>
      <c r="F1149" s="55"/>
      <c r="G1149" s="55"/>
      <c r="H1149" s="55"/>
      <c r="I1149" s="55"/>
      <c r="J1149" s="55"/>
      <c r="K1149" s="55"/>
      <c r="L1149" s="55"/>
      <c r="M1149" s="55"/>
      <c r="N1149" s="55"/>
      <c r="O1149" s="55"/>
      <c r="P1149" s="55"/>
      <c r="Q1149" s="55"/>
      <c r="R1149" s="55"/>
      <c r="S1149" s="55"/>
      <c r="T1149" s="55"/>
      <c r="U1149" s="55"/>
      <c r="V1149" s="55"/>
      <c r="W1149" s="55"/>
      <c r="X1149" s="55"/>
      <c r="Y1149" s="55"/>
      <c r="Z1149" s="55"/>
      <c r="AA1149" s="55"/>
      <c r="AB1149" s="55"/>
      <c r="AC1149" s="55"/>
      <c r="AD1149" s="55"/>
    </row>
    <row r="1150">
      <c r="A1150" s="149"/>
      <c r="B1150" s="149"/>
      <c r="C1150" s="149"/>
      <c r="D1150" s="55"/>
      <c r="E1150" s="55"/>
      <c r="F1150" s="55"/>
      <c r="G1150" s="55"/>
      <c r="H1150" s="55"/>
      <c r="I1150" s="55"/>
      <c r="J1150" s="55"/>
      <c r="K1150" s="55"/>
      <c r="L1150" s="55"/>
      <c r="M1150" s="55"/>
      <c r="N1150" s="55"/>
      <c r="O1150" s="55"/>
      <c r="P1150" s="55"/>
      <c r="Q1150" s="55"/>
      <c r="R1150" s="55"/>
      <c r="S1150" s="55"/>
      <c r="T1150" s="55"/>
      <c r="U1150" s="55"/>
      <c r="V1150" s="55"/>
      <c r="W1150" s="55"/>
      <c r="X1150" s="55"/>
      <c r="Y1150" s="55"/>
      <c r="Z1150" s="55"/>
      <c r="AA1150" s="55"/>
      <c r="AB1150" s="55"/>
      <c r="AC1150" s="55"/>
      <c r="AD1150" s="55"/>
    </row>
    <row r="1151">
      <c r="A1151" s="149"/>
      <c r="B1151" s="149"/>
      <c r="C1151" s="149"/>
      <c r="D1151" s="55"/>
      <c r="E1151" s="55"/>
      <c r="F1151" s="55"/>
      <c r="G1151" s="55"/>
      <c r="H1151" s="55"/>
      <c r="I1151" s="55"/>
      <c r="J1151" s="55"/>
      <c r="K1151" s="55"/>
      <c r="L1151" s="55"/>
      <c r="M1151" s="55"/>
      <c r="N1151" s="55"/>
      <c r="O1151" s="55"/>
      <c r="P1151" s="55"/>
      <c r="Q1151" s="55"/>
      <c r="R1151" s="55"/>
      <c r="S1151" s="55"/>
      <c r="T1151" s="55"/>
      <c r="U1151" s="55"/>
      <c r="V1151" s="55"/>
      <c r="W1151" s="55"/>
      <c r="X1151" s="55"/>
      <c r="Y1151" s="55"/>
      <c r="Z1151" s="55"/>
      <c r="AA1151" s="55"/>
      <c r="AB1151" s="55"/>
      <c r="AC1151" s="55"/>
      <c r="AD1151" s="55"/>
    </row>
    <row r="1152">
      <c r="A1152" s="149"/>
      <c r="B1152" s="149"/>
      <c r="C1152" s="149"/>
      <c r="D1152" s="55"/>
      <c r="E1152" s="55"/>
      <c r="F1152" s="55"/>
      <c r="G1152" s="55"/>
      <c r="H1152" s="55"/>
      <c r="I1152" s="55"/>
      <c r="J1152" s="55"/>
      <c r="K1152" s="55"/>
      <c r="L1152" s="55"/>
      <c r="M1152" s="55"/>
      <c r="N1152" s="55"/>
      <c r="O1152" s="55"/>
      <c r="P1152" s="55"/>
      <c r="Q1152" s="55"/>
      <c r="R1152" s="55"/>
      <c r="S1152" s="55"/>
      <c r="T1152" s="55"/>
      <c r="U1152" s="55"/>
      <c r="V1152" s="55"/>
      <c r="W1152" s="55"/>
      <c r="X1152" s="55"/>
      <c r="Y1152" s="55"/>
      <c r="Z1152" s="55"/>
      <c r="AA1152" s="55"/>
      <c r="AB1152" s="55"/>
      <c r="AC1152" s="55"/>
      <c r="AD1152" s="55"/>
    </row>
    <row r="1153">
      <c r="A1153" s="149"/>
      <c r="B1153" s="149"/>
      <c r="C1153" s="149"/>
      <c r="D1153" s="55"/>
      <c r="E1153" s="55"/>
      <c r="F1153" s="55"/>
      <c r="G1153" s="55"/>
      <c r="H1153" s="55"/>
      <c r="I1153" s="55"/>
      <c r="J1153" s="55"/>
      <c r="K1153" s="55"/>
      <c r="L1153" s="55"/>
      <c r="M1153" s="55"/>
      <c r="N1153" s="55"/>
      <c r="O1153" s="55"/>
      <c r="P1153" s="55"/>
      <c r="Q1153" s="55"/>
      <c r="R1153" s="55"/>
      <c r="S1153" s="55"/>
      <c r="T1153" s="55"/>
      <c r="U1153" s="55"/>
      <c r="V1153" s="55"/>
      <c r="W1153" s="55"/>
      <c r="X1153" s="55"/>
      <c r="Y1153" s="55"/>
      <c r="Z1153" s="55"/>
      <c r="AA1153" s="55"/>
      <c r="AB1153" s="55"/>
      <c r="AC1153" s="55"/>
      <c r="AD1153" s="55"/>
    </row>
    <row r="1154">
      <c r="A1154" s="149"/>
      <c r="B1154" s="149"/>
      <c r="C1154" s="149"/>
      <c r="D1154" s="55"/>
      <c r="E1154" s="55"/>
      <c r="F1154" s="55"/>
      <c r="G1154" s="55"/>
      <c r="H1154" s="55"/>
      <c r="I1154" s="55"/>
      <c r="J1154" s="55"/>
      <c r="K1154" s="55"/>
      <c r="L1154" s="55"/>
      <c r="M1154" s="55"/>
      <c r="N1154" s="55"/>
      <c r="O1154" s="55"/>
      <c r="P1154" s="55"/>
      <c r="Q1154" s="55"/>
      <c r="R1154" s="55"/>
      <c r="S1154" s="55"/>
      <c r="T1154" s="55"/>
      <c r="U1154" s="55"/>
      <c r="V1154" s="55"/>
      <c r="W1154" s="55"/>
      <c r="X1154" s="55"/>
      <c r="Y1154" s="55"/>
      <c r="Z1154" s="55"/>
      <c r="AA1154" s="55"/>
      <c r="AB1154" s="55"/>
      <c r="AC1154" s="55"/>
      <c r="AD1154" s="55"/>
    </row>
    <row r="1155">
      <c r="A1155" s="149"/>
      <c r="B1155" s="149"/>
      <c r="C1155" s="149"/>
      <c r="D1155" s="55"/>
      <c r="E1155" s="55"/>
      <c r="F1155" s="55"/>
      <c r="G1155" s="55"/>
      <c r="H1155" s="55"/>
      <c r="I1155" s="55"/>
      <c r="J1155" s="55"/>
      <c r="K1155" s="55"/>
      <c r="L1155" s="55"/>
      <c r="M1155" s="55"/>
      <c r="N1155" s="55"/>
      <c r="O1155" s="55"/>
      <c r="P1155" s="55"/>
      <c r="Q1155" s="55"/>
      <c r="R1155" s="55"/>
      <c r="S1155" s="55"/>
      <c r="T1155" s="55"/>
      <c r="U1155" s="55"/>
      <c r="V1155" s="55"/>
      <c r="W1155" s="55"/>
      <c r="X1155" s="55"/>
      <c r="Y1155" s="55"/>
      <c r="Z1155" s="55"/>
      <c r="AA1155" s="55"/>
      <c r="AB1155" s="55"/>
      <c r="AC1155" s="55"/>
      <c r="AD1155" s="55"/>
    </row>
    <row r="1156">
      <c r="A1156" s="149"/>
      <c r="B1156" s="149"/>
      <c r="C1156" s="149"/>
      <c r="D1156" s="55"/>
      <c r="E1156" s="55"/>
      <c r="F1156" s="55"/>
      <c r="G1156" s="55"/>
      <c r="H1156" s="55"/>
      <c r="I1156" s="55"/>
      <c r="J1156" s="55"/>
      <c r="K1156" s="55"/>
      <c r="L1156" s="55"/>
      <c r="M1156" s="55"/>
      <c r="N1156" s="55"/>
      <c r="O1156" s="55"/>
      <c r="P1156" s="55"/>
      <c r="Q1156" s="55"/>
      <c r="R1156" s="55"/>
      <c r="S1156" s="55"/>
      <c r="T1156" s="55"/>
      <c r="U1156" s="55"/>
      <c r="V1156" s="55"/>
      <c r="W1156" s="55"/>
      <c r="X1156" s="55"/>
      <c r="Y1156" s="55"/>
      <c r="Z1156" s="55"/>
      <c r="AA1156" s="55"/>
      <c r="AB1156" s="55"/>
      <c r="AC1156" s="55"/>
      <c r="AD1156" s="55"/>
    </row>
    <row r="1157">
      <c r="A1157" s="149"/>
      <c r="B1157" s="149"/>
      <c r="C1157" s="149"/>
      <c r="D1157" s="55"/>
      <c r="E1157" s="55"/>
      <c r="F1157" s="55"/>
      <c r="G1157" s="55"/>
      <c r="H1157" s="55"/>
      <c r="I1157" s="55"/>
      <c r="J1157" s="55"/>
      <c r="K1157" s="55"/>
      <c r="L1157" s="55"/>
      <c r="M1157" s="55"/>
      <c r="N1157" s="55"/>
      <c r="O1157" s="55"/>
      <c r="P1157" s="55"/>
      <c r="Q1157" s="55"/>
      <c r="R1157" s="55"/>
      <c r="S1157" s="55"/>
      <c r="T1157" s="55"/>
      <c r="U1157" s="55"/>
      <c r="V1157" s="55"/>
      <c r="W1157" s="55"/>
      <c r="X1157" s="55"/>
      <c r="Y1157" s="55"/>
      <c r="Z1157" s="55"/>
      <c r="AA1157" s="55"/>
      <c r="AB1157" s="55"/>
      <c r="AC1157" s="55"/>
      <c r="AD1157" s="55"/>
    </row>
    <row r="1158">
      <c r="A1158" s="149"/>
      <c r="B1158" s="149"/>
      <c r="C1158" s="149"/>
      <c r="D1158" s="55"/>
      <c r="E1158" s="55"/>
      <c r="F1158" s="55"/>
      <c r="G1158" s="55"/>
      <c r="H1158" s="55"/>
      <c r="I1158" s="55"/>
      <c r="J1158" s="55"/>
      <c r="K1158" s="55"/>
      <c r="L1158" s="55"/>
      <c r="M1158" s="55"/>
      <c r="N1158" s="55"/>
      <c r="O1158" s="55"/>
      <c r="P1158" s="55"/>
      <c r="Q1158" s="55"/>
      <c r="R1158" s="55"/>
      <c r="S1158" s="55"/>
      <c r="T1158" s="55"/>
      <c r="U1158" s="55"/>
      <c r="V1158" s="55"/>
      <c r="W1158" s="55"/>
      <c r="X1158" s="55"/>
      <c r="Y1158" s="55"/>
      <c r="Z1158" s="55"/>
      <c r="AA1158" s="55"/>
      <c r="AB1158" s="55"/>
      <c r="AC1158" s="55"/>
      <c r="AD1158" s="55"/>
    </row>
    <row r="1159">
      <c r="A1159" s="149"/>
      <c r="B1159" s="149"/>
      <c r="C1159" s="149"/>
      <c r="D1159" s="55"/>
      <c r="E1159" s="55"/>
      <c r="F1159" s="55"/>
      <c r="G1159" s="55"/>
      <c r="H1159" s="55"/>
      <c r="I1159" s="55"/>
      <c r="J1159" s="55"/>
      <c r="K1159" s="55"/>
      <c r="L1159" s="55"/>
      <c r="M1159" s="55"/>
      <c r="N1159" s="55"/>
      <c r="O1159" s="55"/>
      <c r="P1159" s="55"/>
      <c r="Q1159" s="55"/>
      <c r="R1159" s="55"/>
      <c r="S1159" s="55"/>
      <c r="T1159" s="55"/>
      <c r="U1159" s="55"/>
      <c r="V1159" s="55"/>
      <c r="W1159" s="55"/>
      <c r="X1159" s="55"/>
      <c r="Y1159" s="55"/>
      <c r="Z1159" s="55"/>
      <c r="AA1159" s="55"/>
      <c r="AB1159" s="55"/>
      <c r="AC1159" s="55"/>
      <c r="AD1159" s="55"/>
    </row>
    <row r="1160">
      <c r="A1160" s="149"/>
      <c r="B1160" s="149"/>
      <c r="C1160" s="149"/>
      <c r="D1160" s="55"/>
      <c r="E1160" s="55"/>
      <c r="F1160" s="55"/>
      <c r="G1160" s="55"/>
      <c r="H1160" s="55"/>
      <c r="I1160" s="55"/>
      <c r="J1160" s="55"/>
      <c r="K1160" s="55"/>
      <c r="L1160" s="55"/>
      <c r="M1160" s="55"/>
      <c r="N1160" s="55"/>
      <c r="O1160" s="55"/>
      <c r="P1160" s="55"/>
      <c r="Q1160" s="55"/>
      <c r="R1160" s="55"/>
      <c r="S1160" s="55"/>
      <c r="T1160" s="55"/>
      <c r="U1160" s="55"/>
      <c r="V1160" s="55"/>
      <c r="W1160" s="55"/>
      <c r="X1160" s="55"/>
      <c r="Y1160" s="55"/>
      <c r="Z1160" s="55"/>
      <c r="AA1160" s="55"/>
      <c r="AB1160" s="55"/>
      <c r="AC1160" s="55"/>
      <c r="AD1160" s="55"/>
    </row>
    <row r="1161">
      <c r="A1161" s="149"/>
      <c r="B1161" s="149"/>
      <c r="C1161" s="149"/>
      <c r="D1161" s="55"/>
      <c r="E1161" s="55"/>
      <c r="F1161" s="55"/>
      <c r="G1161" s="55"/>
      <c r="H1161" s="55"/>
      <c r="I1161" s="55"/>
      <c r="J1161" s="55"/>
      <c r="K1161" s="55"/>
      <c r="L1161" s="55"/>
      <c r="M1161" s="55"/>
      <c r="N1161" s="55"/>
      <c r="O1161" s="55"/>
      <c r="P1161" s="55"/>
      <c r="Q1161" s="55"/>
      <c r="R1161" s="55"/>
      <c r="S1161" s="55"/>
      <c r="T1161" s="55"/>
      <c r="U1161" s="55"/>
      <c r="V1161" s="55"/>
      <c r="W1161" s="55"/>
      <c r="X1161" s="55"/>
      <c r="Y1161" s="55"/>
      <c r="Z1161" s="55"/>
      <c r="AA1161" s="55"/>
      <c r="AB1161" s="55"/>
      <c r="AC1161" s="55"/>
      <c r="AD1161" s="55"/>
    </row>
    <row r="1162">
      <c r="A1162" s="149"/>
      <c r="B1162" s="149"/>
      <c r="C1162" s="149"/>
      <c r="D1162" s="55"/>
      <c r="E1162" s="55"/>
      <c r="F1162" s="55"/>
      <c r="G1162" s="55"/>
      <c r="H1162" s="55"/>
      <c r="I1162" s="55"/>
      <c r="J1162" s="55"/>
      <c r="K1162" s="55"/>
      <c r="L1162" s="55"/>
      <c r="M1162" s="55"/>
      <c r="N1162" s="55"/>
      <c r="O1162" s="55"/>
      <c r="P1162" s="55"/>
      <c r="Q1162" s="55"/>
      <c r="R1162" s="55"/>
      <c r="S1162" s="55"/>
      <c r="T1162" s="55"/>
      <c r="U1162" s="55"/>
      <c r="V1162" s="55"/>
      <c r="W1162" s="55"/>
      <c r="X1162" s="55"/>
      <c r="Y1162" s="55"/>
      <c r="Z1162" s="55"/>
      <c r="AA1162" s="55"/>
      <c r="AB1162" s="55"/>
      <c r="AC1162" s="55"/>
      <c r="AD1162" s="55"/>
    </row>
    <row r="1163">
      <c r="A1163" s="149"/>
      <c r="B1163" s="149"/>
      <c r="C1163" s="149"/>
      <c r="D1163" s="55"/>
      <c r="E1163" s="55"/>
      <c r="F1163" s="55"/>
      <c r="G1163" s="55"/>
      <c r="H1163" s="55"/>
      <c r="I1163" s="55"/>
      <c r="J1163" s="55"/>
      <c r="K1163" s="55"/>
      <c r="L1163" s="55"/>
      <c r="M1163" s="55"/>
      <c r="N1163" s="55"/>
      <c r="O1163" s="55"/>
      <c r="P1163" s="55"/>
      <c r="Q1163" s="55"/>
      <c r="R1163" s="55"/>
      <c r="S1163" s="55"/>
      <c r="T1163" s="55"/>
      <c r="U1163" s="55"/>
      <c r="V1163" s="55"/>
      <c r="W1163" s="55"/>
      <c r="X1163" s="55"/>
      <c r="Y1163" s="55"/>
      <c r="Z1163" s="55"/>
      <c r="AA1163" s="55"/>
      <c r="AB1163" s="55"/>
      <c r="AC1163" s="55"/>
      <c r="AD1163" s="55"/>
    </row>
    <row r="1164">
      <c r="A1164" s="149"/>
      <c r="B1164" s="149"/>
      <c r="C1164" s="149"/>
      <c r="D1164" s="55"/>
      <c r="E1164" s="55"/>
      <c r="F1164" s="55"/>
      <c r="G1164" s="55"/>
      <c r="H1164" s="55"/>
      <c r="I1164" s="55"/>
      <c r="J1164" s="55"/>
      <c r="K1164" s="55"/>
      <c r="L1164" s="55"/>
      <c r="M1164" s="55"/>
      <c r="N1164" s="55"/>
      <c r="O1164" s="55"/>
      <c r="P1164" s="55"/>
      <c r="Q1164" s="55"/>
      <c r="R1164" s="55"/>
      <c r="S1164" s="55"/>
      <c r="T1164" s="55"/>
      <c r="U1164" s="55"/>
      <c r="V1164" s="55"/>
      <c r="W1164" s="55"/>
      <c r="X1164" s="55"/>
      <c r="Y1164" s="55"/>
      <c r="Z1164" s="55"/>
      <c r="AA1164" s="55"/>
      <c r="AB1164" s="55"/>
      <c r="AC1164" s="55"/>
      <c r="AD1164" s="55"/>
    </row>
    <row r="1165">
      <c r="A1165" s="149"/>
      <c r="B1165" s="149"/>
      <c r="C1165" s="149"/>
      <c r="D1165" s="55"/>
      <c r="E1165" s="55"/>
      <c r="F1165" s="55"/>
      <c r="G1165" s="55"/>
      <c r="H1165" s="55"/>
      <c r="I1165" s="55"/>
      <c r="J1165" s="55"/>
      <c r="K1165" s="55"/>
      <c r="L1165" s="55"/>
      <c r="M1165" s="55"/>
      <c r="N1165" s="55"/>
      <c r="O1165" s="55"/>
      <c r="P1165" s="55"/>
      <c r="Q1165" s="55"/>
      <c r="R1165" s="55"/>
      <c r="S1165" s="55"/>
      <c r="T1165" s="55"/>
      <c r="U1165" s="55"/>
      <c r="V1165" s="55"/>
      <c r="W1165" s="55"/>
      <c r="X1165" s="55"/>
      <c r="Y1165" s="55"/>
      <c r="Z1165" s="55"/>
      <c r="AA1165" s="55"/>
      <c r="AB1165" s="55"/>
      <c r="AC1165" s="55"/>
      <c r="AD1165" s="55"/>
    </row>
    <row r="1166">
      <c r="A1166" s="149"/>
      <c r="B1166" s="149"/>
      <c r="C1166" s="149"/>
      <c r="D1166" s="55"/>
      <c r="E1166" s="55"/>
      <c r="F1166" s="55"/>
      <c r="G1166" s="55"/>
      <c r="H1166" s="55"/>
      <c r="I1166" s="55"/>
      <c r="J1166" s="55"/>
      <c r="K1166" s="55"/>
      <c r="L1166" s="55"/>
      <c r="M1166" s="55"/>
      <c r="N1166" s="55"/>
      <c r="O1166" s="55"/>
      <c r="P1166" s="55"/>
      <c r="Q1166" s="55"/>
      <c r="R1166" s="55"/>
      <c r="S1166" s="55"/>
      <c r="T1166" s="55"/>
      <c r="U1166" s="55"/>
      <c r="V1166" s="55"/>
      <c r="W1166" s="55"/>
      <c r="X1166" s="55"/>
      <c r="Y1166" s="55"/>
      <c r="Z1166" s="55"/>
      <c r="AA1166" s="55"/>
      <c r="AB1166" s="55"/>
      <c r="AC1166" s="55"/>
      <c r="AD1166" s="55"/>
    </row>
    <row r="1167">
      <c r="A1167" s="149"/>
      <c r="B1167" s="149"/>
      <c r="C1167" s="149"/>
      <c r="D1167" s="55"/>
      <c r="E1167" s="55"/>
      <c r="F1167" s="55"/>
      <c r="G1167" s="55"/>
      <c r="H1167" s="55"/>
      <c r="I1167" s="55"/>
      <c r="J1167" s="55"/>
      <c r="K1167" s="55"/>
      <c r="L1167" s="55"/>
      <c r="M1167" s="55"/>
      <c r="N1167" s="55"/>
      <c r="O1167" s="55"/>
      <c r="P1167" s="55"/>
      <c r="Q1167" s="55"/>
      <c r="R1167" s="55"/>
      <c r="S1167" s="55"/>
      <c r="T1167" s="55"/>
      <c r="U1167" s="55"/>
      <c r="V1167" s="55"/>
      <c r="W1167" s="55"/>
      <c r="X1167" s="55"/>
      <c r="Y1167" s="55"/>
      <c r="Z1167" s="55"/>
      <c r="AA1167" s="55"/>
      <c r="AB1167" s="55"/>
      <c r="AC1167" s="55"/>
      <c r="AD1167" s="55"/>
    </row>
    <row r="1168">
      <c r="A1168" s="149"/>
      <c r="B1168" s="149"/>
      <c r="C1168" s="149"/>
      <c r="D1168" s="55"/>
      <c r="E1168" s="55"/>
      <c r="F1168" s="55"/>
      <c r="G1168" s="55"/>
      <c r="H1168" s="55"/>
      <c r="I1168" s="55"/>
      <c r="J1168" s="55"/>
      <c r="K1168" s="55"/>
      <c r="L1168" s="55"/>
      <c r="M1168" s="55"/>
      <c r="N1168" s="55"/>
      <c r="O1168" s="55"/>
      <c r="P1168" s="55"/>
      <c r="Q1168" s="55"/>
      <c r="R1168" s="55"/>
      <c r="S1168" s="55"/>
      <c r="T1168" s="55"/>
      <c r="U1168" s="55"/>
      <c r="V1168" s="55"/>
      <c r="W1168" s="55"/>
      <c r="X1168" s="55"/>
      <c r="Y1168" s="55"/>
      <c r="Z1168" s="55"/>
      <c r="AA1168" s="55"/>
      <c r="AB1168" s="55"/>
      <c r="AC1168" s="55"/>
      <c r="AD1168" s="55"/>
    </row>
    <row r="1169">
      <c r="A1169" s="149"/>
      <c r="B1169" s="149"/>
      <c r="C1169" s="149"/>
      <c r="D1169" s="55"/>
      <c r="E1169" s="55"/>
      <c r="F1169" s="55"/>
      <c r="G1169" s="55"/>
      <c r="H1169" s="55"/>
      <c r="I1169" s="55"/>
      <c r="J1169" s="55"/>
      <c r="K1169" s="55"/>
      <c r="L1169" s="55"/>
      <c r="M1169" s="55"/>
      <c r="N1169" s="55"/>
      <c r="O1169" s="55"/>
      <c r="P1169" s="55"/>
      <c r="Q1169" s="55"/>
      <c r="R1169" s="55"/>
      <c r="S1169" s="55"/>
      <c r="T1169" s="55"/>
      <c r="U1169" s="55"/>
      <c r="V1169" s="55"/>
      <c r="W1169" s="55"/>
      <c r="X1169" s="55"/>
      <c r="Y1169" s="55"/>
      <c r="Z1169" s="55"/>
      <c r="AA1169" s="55"/>
      <c r="AB1169" s="55"/>
      <c r="AC1169" s="55"/>
      <c r="AD1169" s="55"/>
    </row>
    <row r="1170">
      <c r="A1170" s="149"/>
      <c r="B1170" s="149"/>
      <c r="C1170" s="149"/>
      <c r="D1170" s="55"/>
      <c r="E1170" s="55"/>
      <c r="F1170" s="55"/>
      <c r="G1170" s="55"/>
      <c r="H1170" s="55"/>
      <c r="I1170" s="55"/>
      <c r="J1170" s="55"/>
      <c r="K1170" s="55"/>
      <c r="L1170" s="55"/>
      <c r="M1170" s="55"/>
      <c r="N1170" s="55"/>
      <c r="O1170" s="55"/>
      <c r="P1170" s="55"/>
      <c r="Q1170" s="55"/>
      <c r="R1170" s="55"/>
      <c r="S1170" s="55"/>
      <c r="T1170" s="55"/>
      <c r="U1170" s="55"/>
      <c r="V1170" s="55"/>
      <c r="W1170" s="55"/>
      <c r="X1170" s="55"/>
      <c r="Y1170" s="55"/>
      <c r="Z1170" s="55"/>
      <c r="AA1170" s="55"/>
      <c r="AB1170" s="55"/>
      <c r="AC1170" s="55"/>
      <c r="AD1170" s="55"/>
    </row>
    <row r="1171">
      <c r="A1171" s="149"/>
      <c r="B1171" s="149"/>
      <c r="C1171" s="149"/>
      <c r="D1171" s="55"/>
      <c r="E1171" s="55"/>
      <c r="F1171" s="55"/>
      <c r="G1171" s="55"/>
      <c r="H1171" s="55"/>
      <c r="I1171" s="55"/>
      <c r="J1171" s="55"/>
      <c r="K1171" s="55"/>
      <c r="L1171" s="55"/>
      <c r="M1171" s="55"/>
      <c r="N1171" s="55"/>
      <c r="O1171" s="55"/>
      <c r="P1171" s="55"/>
      <c r="Q1171" s="55"/>
      <c r="R1171" s="55"/>
      <c r="S1171" s="55"/>
      <c r="T1171" s="55"/>
      <c r="U1171" s="55"/>
      <c r="V1171" s="55"/>
      <c r="W1171" s="55"/>
      <c r="X1171" s="55"/>
      <c r="Y1171" s="55"/>
      <c r="Z1171" s="55"/>
      <c r="AA1171" s="55"/>
      <c r="AB1171" s="55"/>
      <c r="AC1171" s="55"/>
      <c r="AD1171" s="55"/>
    </row>
    <row r="1172">
      <c r="A1172" s="149"/>
      <c r="B1172" s="149"/>
      <c r="C1172" s="149"/>
      <c r="D1172" s="55"/>
      <c r="E1172" s="55"/>
      <c r="F1172" s="55"/>
      <c r="G1172" s="55"/>
      <c r="H1172" s="55"/>
      <c r="I1172" s="55"/>
      <c r="J1172" s="55"/>
      <c r="K1172" s="55"/>
      <c r="L1172" s="55"/>
      <c r="M1172" s="55"/>
      <c r="N1172" s="55"/>
      <c r="O1172" s="55"/>
      <c r="P1172" s="55"/>
      <c r="Q1172" s="55"/>
      <c r="R1172" s="55"/>
      <c r="S1172" s="55"/>
      <c r="T1172" s="55"/>
      <c r="U1172" s="55"/>
      <c r="V1172" s="55"/>
      <c r="W1172" s="55"/>
      <c r="X1172" s="55"/>
      <c r="Y1172" s="55"/>
      <c r="Z1172" s="55"/>
      <c r="AA1172" s="55"/>
      <c r="AB1172" s="55"/>
      <c r="AC1172" s="55"/>
      <c r="AD1172" s="55"/>
    </row>
    <row r="1173">
      <c r="A1173" s="149"/>
      <c r="B1173" s="149"/>
      <c r="C1173" s="149"/>
      <c r="D1173" s="55"/>
      <c r="E1173" s="55"/>
      <c r="F1173" s="55"/>
      <c r="G1173" s="55"/>
      <c r="H1173" s="55"/>
      <c r="I1173" s="55"/>
      <c r="J1173" s="55"/>
      <c r="K1173" s="55"/>
      <c r="L1173" s="55"/>
      <c r="M1173" s="55"/>
      <c r="N1173" s="55"/>
      <c r="O1173" s="55"/>
      <c r="P1173" s="55"/>
      <c r="Q1173" s="55"/>
      <c r="R1173" s="55"/>
      <c r="S1173" s="55"/>
      <c r="T1173" s="55"/>
      <c r="U1173" s="55"/>
      <c r="V1173" s="55"/>
      <c r="W1173" s="55"/>
      <c r="X1173" s="55"/>
      <c r="Y1173" s="55"/>
      <c r="Z1173" s="55"/>
      <c r="AA1173" s="55"/>
      <c r="AB1173" s="55"/>
      <c r="AC1173" s="55"/>
      <c r="AD1173" s="55"/>
    </row>
    <row r="1174">
      <c r="A1174" s="149"/>
      <c r="B1174" s="149"/>
      <c r="C1174" s="149"/>
      <c r="D1174" s="55"/>
      <c r="E1174" s="55"/>
      <c r="F1174" s="55"/>
      <c r="G1174" s="55"/>
      <c r="H1174" s="55"/>
      <c r="I1174" s="55"/>
      <c r="J1174" s="55"/>
      <c r="K1174" s="55"/>
      <c r="L1174" s="55"/>
      <c r="M1174" s="55"/>
      <c r="N1174" s="55"/>
      <c r="O1174" s="55"/>
      <c r="P1174" s="55"/>
      <c r="Q1174" s="55"/>
      <c r="R1174" s="55"/>
      <c r="S1174" s="55"/>
      <c r="T1174" s="55"/>
      <c r="U1174" s="55"/>
      <c r="V1174" s="55"/>
      <c r="W1174" s="55"/>
      <c r="X1174" s="55"/>
      <c r="Y1174" s="55"/>
      <c r="Z1174" s="55"/>
      <c r="AA1174" s="55"/>
      <c r="AB1174" s="55"/>
      <c r="AC1174" s="55"/>
      <c r="AD1174" s="55"/>
    </row>
    <row r="1175">
      <c r="A1175" s="149"/>
      <c r="B1175" s="149"/>
      <c r="C1175" s="149"/>
      <c r="D1175" s="55"/>
      <c r="E1175" s="55"/>
      <c r="F1175" s="55"/>
      <c r="G1175" s="55"/>
      <c r="H1175" s="55"/>
      <c r="I1175" s="55"/>
      <c r="J1175" s="55"/>
      <c r="K1175" s="55"/>
      <c r="L1175" s="55"/>
      <c r="M1175" s="55"/>
      <c r="N1175" s="55"/>
      <c r="O1175" s="55"/>
      <c r="P1175" s="55"/>
      <c r="Q1175" s="55"/>
      <c r="R1175" s="55"/>
      <c r="S1175" s="55"/>
      <c r="T1175" s="55"/>
      <c r="U1175" s="55"/>
      <c r="V1175" s="55"/>
      <c r="W1175" s="55"/>
      <c r="X1175" s="55"/>
      <c r="Y1175" s="55"/>
      <c r="Z1175" s="55"/>
      <c r="AA1175" s="55"/>
      <c r="AB1175" s="55"/>
      <c r="AC1175" s="55"/>
      <c r="AD1175" s="55"/>
    </row>
    <row r="1176">
      <c r="A1176" s="149"/>
      <c r="B1176" s="149"/>
      <c r="C1176" s="149"/>
      <c r="D1176" s="55"/>
      <c r="E1176" s="55"/>
      <c r="F1176" s="55"/>
      <c r="G1176" s="55"/>
      <c r="H1176" s="55"/>
      <c r="I1176" s="55"/>
      <c r="J1176" s="55"/>
      <c r="K1176" s="55"/>
      <c r="L1176" s="55"/>
      <c r="M1176" s="55"/>
      <c r="N1176" s="55"/>
      <c r="O1176" s="55"/>
      <c r="P1176" s="55"/>
      <c r="Q1176" s="55"/>
      <c r="R1176" s="55"/>
      <c r="S1176" s="55"/>
      <c r="T1176" s="55"/>
      <c r="U1176" s="55"/>
      <c r="V1176" s="55"/>
      <c r="W1176" s="55"/>
      <c r="X1176" s="55"/>
      <c r="Y1176" s="55"/>
      <c r="Z1176" s="55"/>
      <c r="AA1176" s="55"/>
      <c r="AB1176" s="55"/>
      <c r="AC1176" s="55"/>
      <c r="AD1176" s="55"/>
    </row>
    <row r="1177">
      <c r="A1177" s="149"/>
      <c r="B1177" s="149"/>
      <c r="C1177" s="149"/>
      <c r="D1177" s="55"/>
      <c r="E1177" s="55"/>
      <c r="F1177" s="55"/>
      <c r="G1177" s="55"/>
      <c r="H1177" s="55"/>
      <c r="I1177" s="55"/>
      <c r="J1177" s="55"/>
      <c r="K1177" s="55"/>
      <c r="L1177" s="55"/>
      <c r="M1177" s="55"/>
      <c r="N1177" s="55"/>
      <c r="O1177" s="55"/>
      <c r="P1177" s="55"/>
      <c r="Q1177" s="55"/>
      <c r="R1177" s="55"/>
      <c r="S1177" s="55"/>
      <c r="T1177" s="55"/>
      <c r="U1177" s="55"/>
      <c r="V1177" s="55"/>
      <c r="W1177" s="55"/>
      <c r="X1177" s="55"/>
      <c r="Y1177" s="55"/>
      <c r="Z1177" s="55"/>
      <c r="AA1177" s="55"/>
      <c r="AB1177" s="55"/>
      <c r="AC1177" s="55"/>
      <c r="AD1177" s="55"/>
    </row>
    <row r="1178">
      <c r="A1178" s="149"/>
      <c r="B1178" s="149"/>
      <c r="C1178" s="149"/>
      <c r="D1178" s="55"/>
      <c r="E1178" s="55"/>
      <c r="F1178" s="55"/>
      <c r="G1178" s="55"/>
      <c r="H1178" s="55"/>
      <c r="I1178" s="55"/>
      <c r="J1178" s="55"/>
      <c r="K1178" s="55"/>
      <c r="L1178" s="55"/>
      <c r="M1178" s="55"/>
      <c r="N1178" s="55"/>
      <c r="O1178" s="55"/>
      <c r="P1178" s="55"/>
      <c r="Q1178" s="55"/>
      <c r="R1178" s="55"/>
      <c r="S1178" s="55"/>
      <c r="T1178" s="55"/>
      <c r="U1178" s="55"/>
      <c r="V1178" s="55"/>
      <c r="W1178" s="55"/>
      <c r="X1178" s="55"/>
      <c r="Y1178" s="55"/>
      <c r="Z1178" s="55"/>
      <c r="AA1178" s="55"/>
      <c r="AB1178" s="55"/>
      <c r="AC1178" s="55"/>
      <c r="AD1178" s="55"/>
    </row>
    <row r="1179">
      <c r="A1179" s="149"/>
      <c r="B1179" s="149"/>
      <c r="C1179" s="149"/>
      <c r="D1179" s="55"/>
      <c r="E1179" s="55"/>
      <c r="F1179" s="55"/>
      <c r="G1179" s="55"/>
      <c r="H1179" s="55"/>
      <c r="I1179" s="55"/>
      <c r="J1179" s="55"/>
      <c r="K1179" s="55"/>
      <c r="L1179" s="55"/>
      <c r="M1179" s="55"/>
      <c r="N1179" s="55"/>
      <c r="O1179" s="55"/>
      <c r="P1179" s="55"/>
      <c r="Q1179" s="55"/>
      <c r="R1179" s="55"/>
      <c r="S1179" s="55"/>
      <c r="T1179" s="55"/>
      <c r="U1179" s="55"/>
      <c r="V1179" s="55"/>
      <c r="W1179" s="55"/>
      <c r="X1179" s="55"/>
      <c r="Y1179" s="55"/>
      <c r="Z1179" s="55"/>
      <c r="AA1179" s="55"/>
      <c r="AB1179" s="55"/>
      <c r="AC1179" s="55"/>
      <c r="AD1179" s="55"/>
    </row>
    <row r="1180">
      <c r="A1180" s="149"/>
      <c r="B1180" s="149"/>
      <c r="C1180" s="149"/>
      <c r="D1180" s="55"/>
      <c r="E1180" s="55"/>
      <c r="F1180" s="55"/>
      <c r="G1180" s="55"/>
      <c r="H1180" s="55"/>
      <c r="I1180" s="55"/>
      <c r="J1180" s="55"/>
      <c r="K1180" s="55"/>
      <c r="L1180" s="55"/>
      <c r="M1180" s="55"/>
      <c r="N1180" s="55"/>
      <c r="O1180" s="55"/>
      <c r="P1180" s="55"/>
      <c r="Q1180" s="55"/>
      <c r="R1180" s="55"/>
      <c r="S1180" s="55"/>
      <c r="T1180" s="55"/>
      <c r="U1180" s="55"/>
      <c r="V1180" s="55"/>
      <c r="W1180" s="55"/>
      <c r="X1180" s="55"/>
      <c r="Y1180" s="55"/>
      <c r="Z1180" s="55"/>
      <c r="AA1180" s="55"/>
      <c r="AB1180" s="55"/>
      <c r="AC1180" s="55"/>
      <c r="AD1180" s="55"/>
    </row>
    <row r="1181">
      <c r="A1181" s="149"/>
      <c r="B1181" s="149"/>
      <c r="C1181" s="149"/>
      <c r="D1181" s="55"/>
      <c r="E1181" s="55"/>
      <c r="F1181" s="55"/>
      <c r="G1181" s="55"/>
      <c r="H1181" s="55"/>
      <c r="I1181" s="55"/>
      <c r="J1181" s="55"/>
      <c r="K1181" s="55"/>
      <c r="L1181" s="55"/>
      <c r="M1181" s="55"/>
      <c r="N1181" s="55"/>
      <c r="O1181" s="55"/>
      <c r="P1181" s="55"/>
      <c r="Q1181" s="55"/>
      <c r="R1181" s="55"/>
      <c r="S1181" s="55"/>
      <c r="T1181" s="55"/>
      <c r="U1181" s="55"/>
      <c r="V1181" s="55"/>
      <c r="W1181" s="55"/>
      <c r="X1181" s="55"/>
      <c r="Y1181" s="55"/>
      <c r="Z1181" s="55"/>
      <c r="AA1181" s="55"/>
      <c r="AB1181" s="55"/>
      <c r="AC1181" s="55"/>
      <c r="AD1181" s="55"/>
    </row>
    <row r="1182">
      <c r="A1182" s="149"/>
      <c r="B1182" s="149"/>
      <c r="C1182" s="149"/>
      <c r="D1182" s="55"/>
      <c r="E1182" s="55"/>
      <c r="F1182" s="55"/>
      <c r="G1182" s="55"/>
      <c r="H1182" s="55"/>
      <c r="I1182" s="55"/>
      <c r="J1182" s="55"/>
      <c r="K1182" s="55"/>
      <c r="L1182" s="55"/>
      <c r="M1182" s="55"/>
      <c r="N1182" s="55"/>
      <c r="O1182" s="55"/>
      <c r="P1182" s="55"/>
      <c r="Q1182" s="55"/>
      <c r="R1182" s="55"/>
      <c r="S1182" s="55"/>
      <c r="T1182" s="55"/>
      <c r="U1182" s="55"/>
      <c r="V1182" s="55"/>
      <c r="W1182" s="55"/>
      <c r="X1182" s="55"/>
      <c r="Y1182" s="55"/>
      <c r="Z1182" s="55"/>
      <c r="AA1182" s="55"/>
      <c r="AB1182" s="55"/>
      <c r="AC1182" s="55"/>
      <c r="AD1182" s="55"/>
    </row>
    <row r="1183">
      <c r="A1183" s="149"/>
      <c r="B1183" s="149"/>
      <c r="C1183" s="149"/>
      <c r="D1183" s="55"/>
      <c r="E1183" s="55"/>
      <c r="F1183" s="55"/>
      <c r="G1183" s="55"/>
      <c r="H1183" s="55"/>
      <c r="I1183" s="55"/>
      <c r="J1183" s="55"/>
      <c r="K1183" s="55"/>
      <c r="L1183" s="55"/>
      <c r="M1183" s="55"/>
      <c r="N1183" s="55"/>
      <c r="O1183" s="55"/>
      <c r="P1183" s="55"/>
      <c r="Q1183" s="55"/>
      <c r="R1183" s="55"/>
      <c r="S1183" s="55"/>
      <c r="T1183" s="55"/>
      <c r="U1183" s="55"/>
      <c r="V1183" s="55"/>
      <c r="W1183" s="55"/>
      <c r="X1183" s="55"/>
      <c r="Y1183" s="55"/>
      <c r="Z1183" s="55"/>
      <c r="AA1183" s="55"/>
      <c r="AB1183" s="55"/>
      <c r="AC1183" s="55"/>
      <c r="AD1183" s="55"/>
    </row>
    <row r="1184">
      <c r="A1184" s="149"/>
      <c r="B1184" s="149"/>
      <c r="C1184" s="149"/>
      <c r="D1184" s="55"/>
      <c r="E1184" s="55"/>
      <c r="F1184" s="55"/>
      <c r="G1184" s="55"/>
      <c r="H1184" s="55"/>
      <c r="I1184" s="55"/>
      <c r="J1184" s="55"/>
      <c r="K1184" s="55"/>
      <c r="L1184" s="55"/>
      <c r="M1184" s="55"/>
      <c r="N1184" s="55"/>
      <c r="O1184" s="55"/>
      <c r="P1184" s="55"/>
      <c r="Q1184" s="55"/>
      <c r="R1184" s="55"/>
      <c r="S1184" s="55"/>
      <c r="T1184" s="55"/>
      <c r="U1184" s="55"/>
      <c r="V1184" s="55"/>
      <c r="W1184" s="55"/>
      <c r="X1184" s="55"/>
      <c r="Y1184" s="55"/>
      <c r="Z1184" s="55"/>
      <c r="AA1184" s="55"/>
      <c r="AB1184" s="55"/>
      <c r="AC1184" s="55"/>
      <c r="AD1184" s="55"/>
    </row>
    <row r="1185">
      <c r="A1185" s="149"/>
      <c r="B1185" s="149"/>
      <c r="C1185" s="149"/>
      <c r="D1185" s="55"/>
      <c r="E1185" s="55"/>
      <c r="F1185" s="55"/>
      <c r="G1185" s="55"/>
      <c r="H1185" s="55"/>
      <c r="I1185" s="55"/>
      <c r="J1185" s="55"/>
      <c r="K1185" s="55"/>
      <c r="L1185" s="55"/>
      <c r="M1185" s="55"/>
      <c r="N1185" s="55"/>
      <c r="O1185" s="55"/>
      <c r="P1185" s="55"/>
      <c r="Q1185" s="55"/>
      <c r="R1185" s="55"/>
      <c r="S1185" s="55"/>
      <c r="T1185" s="55"/>
      <c r="U1185" s="55"/>
      <c r="V1185" s="55"/>
      <c r="W1185" s="55"/>
      <c r="X1185" s="55"/>
      <c r="Y1185" s="55"/>
      <c r="Z1185" s="55"/>
      <c r="AA1185" s="55"/>
      <c r="AB1185" s="55"/>
      <c r="AC1185" s="55"/>
      <c r="AD1185" s="55"/>
    </row>
    <row r="1186">
      <c r="A1186" s="149"/>
      <c r="B1186" s="149"/>
      <c r="C1186" s="149"/>
      <c r="D1186" s="55"/>
      <c r="E1186" s="55"/>
      <c r="F1186" s="55"/>
      <c r="G1186" s="55"/>
      <c r="H1186" s="55"/>
      <c r="I1186" s="55"/>
      <c r="J1186" s="55"/>
      <c r="K1186" s="55"/>
      <c r="L1186" s="55"/>
      <c r="M1186" s="55"/>
      <c r="N1186" s="55"/>
      <c r="O1186" s="55"/>
      <c r="P1186" s="55"/>
      <c r="Q1186" s="55"/>
      <c r="R1186" s="55"/>
      <c r="S1186" s="55"/>
      <c r="T1186" s="55"/>
      <c r="U1186" s="55"/>
      <c r="V1186" s="55"/>
      <c r="W1186" s="55"/>
      <c r="X1186" s="55"/>
      <c r="Y1186" s="55"/>
      <c r="Z1186" s="55"/>
      <c r="AA1186" s="55"/>
      <c r="AB1186" s="55"/>
      <c r="AC1186" s="55"/>
      <c r="AD1186" s="55"/>
    </row>
    <row r="1187">
      <c r="A1187" s="149"/>
      <c r="B1187" s="149"/>
      <c r="C1187" s="149"/>
      <c r="D1187" s="55"/>
      <c r="E1187" s="55"/>
      <c r="F1187" s="55"/>
      <c r="G1187" s="55"/>
      <c r="H1187" s="55"/>
      <c r="I1187" s="55"/>
      <c r="J1187" s="55"/>
      <c r="K1187" s="55"/>
      <c r="L1187" s="55"/>
      <c r="M1187" s="55"/>
      <c r="N1187" s="55"/>
      <c r="O1187" s="55"/>
      <c r="P1187" s="55"/>
      <c r="Q1187" s="55"/>
      <c r="R1187" s="55"/>
      <c r="S1187" s="55"/>
      <c r="T1187" s="55"/>
      <c r="U1187" s="55"/>
      <c r="V1187" s="55"/>
      <c r="W1187" s="55"/>
      <c r="X1187" s="55"/>
      <c r="Y1187" s="55"/>
      <c r="Z1187" s="55"/>
      <c r="AA1187" s="55"/>
      <c r="AB1187" s="55"/>
      <c r="AC1187" s="55"/>
      <c r="AD1187" s="55"/>
    </row>
    <row r="1188">
      <c r="A1188" s="149"/>
      <c r="B1188" s="149"/>
      <c r="C1188" s="149"/>
      <c r="D1188" s="55"/>
      <c r="E1188" s="55"/>
      <c r="F1188" s="55"/>
      <c r="G1188" s="55"/>
      <c r="H1188" s="55"/>
      <c r="I1188" s="55"/>
      <c r="J1188" s="55"/>
      <c r="K1188" s="55"/>
      <c r="L1188" s="55"/>
      <c r="M1188" s="55"/>
      <c r="N1188" s="55"/>
      <c r="O1188" s="55"/>
      <c r="P1188" s="55"/>
      <c r="Q1188" s="55"/>
      <c r="R1188" s="55"/>
      <c r="S1188" s="55"/>
      <c r="T1188" s="55"/>
      <c r="U1188" s="55"/>
      <c r="V1188" s="55"/>
      <c r="W1188" s="55"/>
      <c r="X1188" s="55"/>
      <c r="Y1188" s="55"/>
      <c r="Z1188" s="55"/>
      <c r="AA1188" s="55"/>
      <c r="AB1188" s="55"/>
      <c r="AC1188" s="55"/>
      <c r="AD1188" s="55"/>
    </row>
    <row r="1189">
      <c r="A1189" s="149"/>
      <c r="B1189" s="149"/>
      <c r="C1189" s="149"/>
      <c r="D1189" s="55"/>
      <c r="E1189" s="55"/>
      <c r="F1189" s="55"/>
      <c r="G1189" s="55"/>
      <c r="H1189" s="55"/>
      <c r="I1189" s="55"/>
      <c r="J1189" s="55"/>
      <c r="K1189" s="55"/>
      <c r="L1189" s="55"/>
      <c r="M1189" s="55"/>
      <c r="N1189" s="55"/>
      <c r="O1189" s="55"/>
      <c r="P1189" s="55"/>
      <c r="Q1189" s="55"/>
      <c r="R1189" s="55"/>
      <c r="S1189" s="55"/>
      <c r="T1189" s="55"/>
      <c r="U1189" s="55"/>
      <c r="V1189" s="55"/>
      <c r="W1189" s="55"/>
      <c r="X1189" s="55"/>
      <c r="Y1189" s="55"/>
      <c r="Z1189" s="55"/>
      <c r="AA1189" s="55"/>
      <c r="AB1189" s="55"/>
      <c r="AC1189" s="55"/>
      <c r="AD1189" s="55"/>
    </row>
    <row r="1190">
      <c r="A1190" s="149"/>
      <c r="B1190" s="149"/>
      <c r="C1190" s="149"/>
      <c r="D1190" s="55"/>
      <c r="E1190" s="55"/>
      <c r="F1190" s="55"/>
      <c r="G1190" s="55"/>
      <c r="H1190" s="55"/>
      <c r="I1190" s="55"/>
      <c r="J1190" s="55"/>
      <c r="K1190" s="55"/>
      <c r="L1190" s="55"/>
      <c r="M1190" s="55"/>
      <c r="N1190" s="55"/>
      <c r="O1190" s="55"/>
      <c r="P1190" s="55"/>
      <c r="Q1190" s="55"/>
      <c r="R1190" s="55"/>
      <c r="S1190" s="55"/>
      <c r="T1190" s="55"/>
      <c r="U1190" s="55"/>
      <c r="V1190" s="55"/>
      <c r="W1190" s="55"/>
      <c r="X1190" s="55"/>
      <c r="Y1190" s="55"/>
      <c r="Z1190" s="55"/>
      <c r="AA1190" s="55"/>
      <c r="AB1190" s="55"/>
      <c r="AC1190" s="55"/>
      <c r="AD1190" s="55"/>
    </row>
    <row r="1191">
      <c r="A1191" s="149"/>
      <c r="B1191" s="149"/>
      <c r="C1191" s="149"/>
      <c r="D1191" s="55"/>
      <c r="E1191" s="55"/>
      <c r="F1191" s="55"/>
      <c r="G1191" s="55"/>
      <c r="H1191" s="55"/>
      <c r="I1191" s="55"/>
      <c r="J1191" s="55"/>
      <c r="K1191" s="55"/>
      <c r="L1191" s="55"/>
      <c r="M1191" s="55"/>
      <c r="N1191" s="55"/>
      <c r="O1191" s="55"/>
      <c r="P1191" s="55"/>
      <c r="Q1191" s="55"/>
      <c r="R1191" s="55"/>
      <c r="S1191" s="55"/>
      <c r="T1191" s="55"/>
      <c r="U1191" s="55"/>
      <c r="V1191" s="55"/>
      <c r="W1191" s="55"/>
      <c r="X1191" s="55"/>
      <c r="Y1191" s="55"/>
      <c r="Z1191" s="55"/>
      <c r="AA1191" s="55"/>
      <c r="AB1191" s="55"/>
      <c r="AC1191" s="55"/>
      <c r="AD1191" s="55"/>
    </row>
    <row r="1192">
      <c r="A1192" s="149"/>
      <c r="B1192" s="149"/>
      <c r="C1192" s="149"/>
      <c r="D1192" s="55"/>
      <c r="E1192" s="55"/>
      <c r="F1192" s="55"/>
      <c r="G1192" s="55"/>
      <c r="H1192" s="55"/>
      <c r="I1192" s="55"/>
      <c r="J1192" s="55"/>
      <c r="K1192" s="55"/>
      <c r="L1192" s="55"/>
      <c r="M1192" s="55"/>
      <c r="N1192" s="55"/>
      <c r="O1192" s="55"/>
      <c r="P1192" s="55"/>
      <c r="Q1192" s="55"/>
      <c r="R1192" s="55"/>
      <c r="S1192" s="55"/>
      <c r="T1192" s="55"/>
      <c r="U1192" s="55"/>
      <c r="V1192" s="55"/>
      <c r="W1192" s="55"/>
      <c r="X1192" s="55"/>
      <c r="Y1192" s="55"/>
      <c r="Z1192" s="55"/>
      <c r="AA1192" s="55"/>
      <c r="AB1192" s="55"/>
      <c r="AC1192" s="55"/>
      <c r="AD1192" s="55"/>
    </row>
    <row r="1193">
      <c r="A1193" s="149"/>
      <c r="B1193" s="149"/>
      <c r="C1193" s="149"/>
      <c r="D1193" s="55"/>
      <c r="E1193" s="55"/>
      <c r="F1193" s="55"/>
      <c r="G1193" s="55"/>
      <c r="H1193" s="55"/>
      <c r="I1193" s="55"/>
      <c r="J1193" s="55"/>
      <c r="K1193" s="55"/>
      <c r="L1193" s="55"/>
      <c r="M1193" s="55"/>
      <c r="N1193" s="55"/>
      <c r="O1193" s="55"/>
      <c r="P1193" s="55"/>
      <c r="Q1193" s="55"/>
      <c r="R1193" s="55"/>
      <c r="S1193" s="55"/>
      <c r="T1193" s="55"/>
      <c r="U1193" s="55"/>
      <c r="V1193" s="55"/>
      <c r="W1193" s="55"/>
      <c r="X1193" s="55"/>
      <c r="Y1193" s="55"/>
      <c r="Z1193" s="55"/>
      <c r="AA1193" s="55"/>
      <c r="AB1193" s="55"/>
      <c r="AC1193" s="55"/>
      <c r="AD1193" s="55"/>
    </row>
    <row r="1194">
      <c r="A1194" s="149"/>
      <c r="B1194" s="149"/>
      <c r="C1194" s="149"/>
      <c r="D1194" s="55"/>
      <c r="E1194" s="55"/>
      <c r="F1194" s="55"/>
      <c r="G1194" s="55"/>
      <c r="H1194" s="55"/>
      <c r="I1194" s="55"/>
      <c r="J1194" s="55"/>
      <c r="K1194" s="55"/>
      <c r="L1194" s="55"/>
      <c r="M1194" s="55"/>
      <c r="N1194" s="55"/>
      <c r="O1194" s="55"/>
      <c r="P1194" s="55"/>
      <c r="Q1194" s="55"/>
      <c r="R1194" s="55"/>
      <c r="S1194" s="55"/>
      <c r="T1194" s="55"/>
      <c r="U1194" s="55"/>
      <c r="V1194" s="55"/>
      <c r="W1194" s="55"/>
      <c r="X1194" s="55"/>
      <c r="Y1194" s="55"/>
      <c r="Z1194" s="55"/>
      <c r="AA1194" s="55"/>
      <c r="AB1194" s="55"/>
      <c r="AC1194" s="55"/>
      <c r="AD1194" s="55"/>
    </row>
    <row r="1195">
      <c r="A1195" s="149"/>
      <c r="B1195" s="149"/>
      <c r="C1195" s="149"/>
      <c r="D1195" s="55"/>
      <c r="E1195" s="55"/>
      <c r="F1195" s="55"/>
      <c r="G1195" s="55"/>
      <c r="H1195" s="55"/>
      <c r="I1195" s="55"/>
      <c r="J1195" s="55"/>
      <c r="K1195" s="55"/>
      <c r="L1195" s="55"/>
      <c r="M1195" s="55"/>
      <c r="N1195" s="55"/>
      <c r="O1195" s="55"/>
      <c r="P1195" s="55"/>
      <c r="Q1195" s="55"/>
      <c r="R1195" s="55"/>
      <c r="S1195" s="55"/>
      <c r="T1195" s="55"/>
      <c r="U1195" s="55"/>
      <c r="V1195" s="55"/>
      <c r="W1195" s="55"/>
      <c r="X1195" s="55"/>
      <c r="Y1195" s="55"/>
      <c r="Z1195" s="55"/>
      <c r="AA1195" s="55"/>
      <c r="AB1195" s="55"/>
      <c r="AC1195" s="55"/>
      <c r="AD1195" s="55"/>
    </row>
    <row r="1196">
      <c r="A1196" s="149"/>
      <c r="B1196" s="149"/>
      <c r="C1196" s="149"/>
      <c r="D1196" s="55"/>
      <c r="E1196" s="55"/>
      <c r="F1196" s="55"/>
      <c r="G1196" s="55"/>
      <c r="H1196" s="55"/>
      <c r="I1196" s="55"/>
      <c r="J1196" s="55"/>
      <c r="K1196" s="55"/>
      <c r="L1196" s="55"/>
      <c r="M1196" s="55"/>
      <c r="N1196" s="55"/>
      <c r="O1196" s="55"/>
      <c r="P1196" s="55"/>
      <c r="Q1196" s="55"/>
      <c r="R1196" s="55"/>
      <c r="S1196" s="55"/>
      <c r="T1196" s="55"/>
      <c r="U1196" s="55"/>
      <c r="V1196" s="55"/>
      <c r="W1196" s="55"/>
      <c r="X1196" s="55"/>
      <c r="Y1196" s="55"/>
      <c r="Z1196" s="55"/>
      <c r="AA1196" s="55"/>
      <c r="AB1196" s="55"/>
      <c r="AC1196" s="55"/>
      <c r="AD1196" s="55"/>
    </row>
    <row r="1197">
      <c r="A1197" s="149"/>
      <c r="B1197" s="149"/>
      <c r="C1197" s="149"/>
      <c r="D1197" s="55"/>
      <c r="E1197" s="55"/>
      <c r="F1197" s="55"/>
      <c r="G1197" s="55"/>
      <c r="H1197" s="55"/>
      <c r="I1197" s="55"/>
      <c r="J1197" s="55"/>
      <c r="K1197" s="55"/>
      <c r="L1197" s="55"/>
      <c r="M1197" s="55"/>
      <c r="N1197" s="55"/>
      <c r="O1197" s="55"/>
      <c r="P1197" s="55"/>
      <c r="Q1197" s="55"/>
      <c r="R1197" s="55"/>
      <c r="S1197" s="55"/>
      <c r="T1197" s="55"/>
      <c r="U1197" s="55"/>
      <c r="V1197" s="55"/>
      <c r="W1197" s="55"/>
      <c r="X1197" s="55"/>
      <c r="Y1197" s="55"/>
      <c r="Z1197" s="55"/>
      <c r="AA1197" s="55"/>
      <c r="AB1197" s="55"/>
      <c r="AC1197" s="55"/>
      <c r="AD1197" s="55"/>
    </row>
    <row r="1198">
      <c r="A1198" s="149"/>
      <c r="B1198" s="149"/>
      <c r="C1198" s="149"/>
      <c r="D1198" s="55"/>
      <c r="E1198" s="55"/>
      <c r="F1198" s="55"/>
      <c r="G1198" s="55"/>
      <c r="H1198" s="55"/>
      <c r="I1198" s="55"/>
      <c r="J1198" s="55"/>
      <c r="K1198" s="55"/>
      <c r="L1198" s="55"/>
      <c r="M1198" s="55"/>
      <c r="N1198" s="55"/>
      <c r="O1198" s="55"/>
      <c r="P1198" s="55"/>
      <c r="Q1198" s="55"/>
      <c r="R1198" s="55"/>
      <c r="S1198" s="55"/>
      <c r="T1198" s="55"/>
      <c r="U1198" s="55"/>
      <c r="V1198" s="55"/>
      <c r="W1198" s="55"/>
      <c r="X1198" s="55"/>
      <c r="Y1198" s="55"/>
      <c r="Z1198" s="55"/>
      <c r="AA1198" s="55"/>
      <c r="AB1198" s="55"/>
      <c r="AC1198" s="55"/>
      <c r="AD1198" s="55"/>
    </row>
    <row r="1199">
      <c r="A1199" s="149"/>
      <c r="B1199" s="149"/>
      <c r="C1199" s="149"/>
      <c r="D1199" s="55"/>
      <c r="E1199" s="55"/>
      <c r="F1199" s="55"/>
      <c r="G1199" s="55"/>
      <c r="H1199" s="55"/>
      <c r="I1199" s="55"/>
      <c r="J1199" s="55"/>
      <c r="K1199" s="55"/>
      <c r="L1199" s="55"/>
      <c r="M1199" s="55"/>
      <c r="N1199" s="55"/>
      <c r="O1199" s="55"/>
      <c r="P1199" s="55"/>
      <c r="Q1199" s="55"/>
      <c r="R1199" s="55"/>
      <c r="S1199" s="55"/>
      <c r="T1199" s="55"/>
      <c r="U1199" s="55"/>
      <c r="V1199" s="55"/>
      <c r="W1199" s="55"/>
      <c r="X1199" s="55"/>
      <c r="Y1199" s="55"/>
      <c r="Z1199" s="55"/>
      <c r="AA1199" s="55"/>
      <c r="AB1199" s="55"/>
      <c r="AC1199" s="55"/>
      <c r="AD1199" s="55"/>
    </row>
    <row r="1200">
      <c r="A1200" s="149"/>
      <c r="B1200" s="149"/>
      <c r="C1200" s="149"/>
      <c r="D1200" s="55"/>
      <c r="E1200" s="55"/>
      <c r="F1200" s="55"/>
      <c r="G1200" s="55"/>
      <c r="H1200" s="55"/>
      <c r="I1200" s="55"/>
      <c r="J1200" s="55"/>
      <c r="K1200" s="55"/>
      <c r="L1200" s="55"/>
      <c r="M1200" s="55"/>
      <c r="N1200" s="55"/>
      <c r="O1200" s="55"/>
      <c r="P1200" s="55"/>
      <c r="Q1200" s="55"/>
      <c r="R1200" s="55"/>
      <c r="S1200" s="55"/>
      <c r="T1200" s="55"/>
      <c r="U1200" s="55"/>
      <c r="V1200" s="55"/>
      <c r="W1200" s="55"/>
      <c r="X1200" s="55"/>
      <c r="Y1200" s="55"/>
      <c r="Z1200" s="55"/>
      <c r="AA1200" s="55"/>
      <c r="AB1200" s="55"/>
      <c r="AC1200" s="55"/>
      <c r="AD1200" s="55"/>
    </row>
    <row r="1201">
      <c r="A1201" s="149"/>
      <c r="B1201" s="149"/>
      <c r="C1201" s="149"/>
      <c r="D1201" s="55"/>
      <c r="E1201" s="55"/>
      <c r="F1201" s="55"/>
      <c r="G1201" s="55"/>
      <c r="H1201" s="55"/>
      <c r="I1201" s="55"/>
      <c r="J1201" s="55"/>
      <c r="K1201" s="55"/>
      <c r="L1201" s="55"/>
      <c r="M1201" s="55"/>
      <c r="N1201" s="55"/>
      <c r="O1201" s="55"/>
      <c r="P1201" s="55"/>
      <c r="Q1201" s="55"/>
      <c r="R1201" s="55"/>
      <c r="S1201" s="55"/>
      <c r="T1201" s="55"/>
      <c r="U1201" s="55"/>
      <c r="V1201" s="55"/>
      <c r="W1201" s="55"/>
      <c r="X1201" s="55"/>
      <c r="Y1201" s="55"/>
      <c r="Z1201" s="55"/>
      <c r="AA1201" s="55"/>
      <c r="AB1201" s="55"/>
      <c r="AC1201" s="55"/>
      <c r="AD1201" s="55"/>
    </row>
    <row r="1202">
      <c r="A1202" s="149"/>
      <c r="B1202" s="149"/>
      <c r="C1202" s="149"/>
      <c r="D1202" s="55"/>
      <c r="E1202" s="55"/>
      <c r="F1202" s="55"/>
      <c r="G1202" s="55"/>
      <c r="H1202" s="55"/>
      <c r="I1202" s="55"/>
      <c r="J1202" s="55"/>
      <c r="K1202" s="55"/>
      <c r="L1202" s="55"/>
      <c r="M1202" s="55"/>
      <c r="N1202" s="55"/>
      <c r="O1202" s="55"/>
      <c r="P1202" s="55"/>
      <c r="Q1202" s="55"/>
      <c r="R1202" s="55"/>
      <c r="S1202" s="55"/>
      <c r="T1202" s="55"/>
      <c r="U1202" s="55"/>
      <c r="V1202" s="55"/>
      <c r="W1202" s="55"/>
      <c r="X1202" s="55"/>
      <c r="Y1202" s="55"/>
      <c r="Z1202" s="55"/>
      <c r="AA1202" s="55"/>
      <c r="AB1202" s="55"/>
      <c r="AC1202" s="55"/>
      <c r="AD1202" s="55"/>
    </row>
    <row r="1203">
      <c r="A1203" s="149"/>
      <c r="B1203" s="149"/>
      <c r="C1203" s="149"/>
      <c r="D1203" s="55"/>
      <c r="E1203" s="55"/>
      <c r="F1203" s="55"/>
      <c r="G1203" s="55"/>
      <c r="H1203" s="55"/>
      <c r="I1203" s="55"/>
      <c r="J1203" s="55"/>
      <c r="K1203" s="55"/>
      <c r="L1203" s="55"/>
      <c r="M1203" s="55"/>
      <c r="N1203" s="55"/>
      <c r="O1203" s="55"/>
      <c r="P1203" s="55"/>
      <c r="Q1203" s="55"/>
      <c r="R1203" s="55"/>
      <c r="S1203" s="55"/>
      <c r="T1203" s="55"/>
      <c r="U1203" s="55"/>
      <c r="V1203" s="55"/>
      <c r="W1203" s="55"/>
      <c r="X1203" s="55"/>
      <c r="Y1203" s="55"/>
      <c r="Z1203" s="55"/>
      <c r="AA1203" s="55"/>
      <c r="AB1203" s="55"/>
      <c r="AC1203" s="55"/>
      <c r="AD1203" s="55"/>
    </row>
    <row r="1204">
      <c r="A1204" s="149"/>
      <c r="B1204" s="149"/>
      <c r="C1204" s="149"/>
      <c r="D1204" s="55"/>
      <c r="E1204" s="55"/>
      <c r="F1204" s="55"/>
      <c r="G1204" s="55"/>
      <c r="H1204" s="55"/>
      <c r="I1204" s="55"/>
      <c r="J1204" s="55"/>
      <c r="K1204" s="55"/>
      <c r="L1204" s="55"/>
      <c r="M1204" s="55"/>
      <c r="N1204" s="55"/>
      <c r="O1204" s="55"/>
      <c r="P1204" s="55"/>
      <c r="Q1204" s="55"/>
      <c r="R1204" s="55"/>
      <c r="S1204" s="55"/>
      <c r="T1204" s="55"/>
      <c r="U1204" s="55"/>
      <c r="V1204" s="55"/>
      <c r="W1204" s="55"/>
      <c r="X1204" s="55"/>
      <c r="Y1204" s="55"/>
      <c r="Z1204" s="55"/>
      <c r="AA1204" s="55"/>
      <c r="AB1204" s="55"/>
      <c r="AC1204" s="55"/>
      <c r="AD1204" s="55"/>
    </row>
    <row r="1205">
      <c r="A1205" s="149"/>
      <c r="B1205" s="149"/>
      <c r="C1205" s="149"/>
      <c r="D1205" s="55"/>
      <c r="E1205" s="55"/>
      <c r="F1205" s="55"/>
      <c r="G1205" s="55"/>
      <c r="H1205" s="55"/>
      <c r="I1205" s="55"/>
      <c r="J1205" s="55"/>
      <c r="K1205" s="55"/>
      <c r="L1205" s="55"/>
      <c r="M1205" s="55"/>
      <c r="N1205" s="55"/>
      <c r="O1205" s="55"/>
      <c r="P1205" s="55"/>
      <c r="Q1205" s="55"/>
      <c r="R1205" s="55"/>
      <c r="S1205" s="55"/>
      <c r="T1205" s="55"/>
      <c r="U1205" s="55"/>
      <c r="V1205" s="55"/>
      <c r="W1205" s="55"/>
      <c r="X1205" s="55"/>
      <c r="Y1205" s="55"/>
      <c r="Z1205" s="55"/>
      <c r="AA1205" s="55"/>
      <c r="AB1205" s="55"/>
      <c r="AC1205" s="55"/>
      <c r="AD1205" s="55"/>
    </row>
    <row r="1206">
      <c r="A1206" s="149"/>
      <c r="B1206" s="149"/>
      <c r="C1206" s="149"/>
      <c r="D1206" s="55"/>
      <c r="E1206" s="55"/>
      <c r="F1206" s="55"/>
      <c r="G1206" s="55"/>
      <c r="H1206" s="55"/>
      <c r="I1206" s="55"/>
      <c r="J1206" s="55"/>
      <c r="K1206" s="55"/>
      <c r="L1206" s="55"/>
      <c r="M1206" s="55"/>
      <c r="N1206" s="55"/>
      <c r="O1206" s="55"/>
      <c r="P1206" s="55"/>
      <c r="Q1206" s="55"/>
      <c r="R1206" s="55"/>
      <c r="S1206" s="55"/>
      <c r="T1206" s="55"/>
      <c r="U1206" s="55"/>
      <c r="V1206" s="55"/>
      <c r="W1206" s="55"/>
      <c r="X1206" s="55"/>
      <c r="Y1206" s="55"/>
      <c r="Z1206" s="55"/>
      <c r="AA1206" s="55"/>
      <c r="AB1206" s="55"/>
      <c r="AC1206" s="55"/>
      <c r="AD1206" s="55"/>
    </row>
    <row r="1207">
      <c r="A1207" s="149"/>
      <c r="B1207" s="149"/>
      <c r="C1207" s="149"/>
      <c r="D1207" s="55"/>
      <c r="E1207" s="55"/>
      <c r="F1207" s="55"/>
      <c r="G1207" s="55"/>
      <c r="H1207" s="55"/>
      <c r="I1207" s="55"/>
      <c r="J1207" s="55"/>
      <c r="K1207" s="55"/>
      <c r="L1207" s="55"/>
      <c r="M1207" s="55"/>
      <c r="N1207" s="55"/>
      <c r="O1207" s="55"/>
      <c r="P1207" s="55"/>
      <c r="Q1207" s="55"/>
      <c r="R1207" s="55"/>
      <c r="S1207" s="55"/>
      <c r="T1207" s="55"/>
      <c r="U1207" s="55"/>
      <c r="V1207" s="55"/>
      <c r="W1207" s="55"/>
      <c r="X1207" s="55"/>
      <c r="Y1207" s="55"/>
      <c r="Z1207" s="55"/>
      <c r="AA1207" s="55"/>
      <c r="AB1207" s="55"/>
      <c r="AC1207" s="55"/>
      <c r="AD1207" s="55"/>
    </row>
    <row r="1208">
      <c r="A1208" s="149"/>
      <c r="B1208" s="149"/>
      <c r="C1208" s="149"/>
      <c r="D1208" s="55"/>
      <c r="E1208" s="55"/>
      <c r="F1208" s="55"/>
      <c r="G1208" s="55"/>
      <c r="H1208" s="55"/>
      <c r="I1208" s="55"/>
      <c r="J1208" s="55"/>
      <c r="K1208" s="55"/>
      <c r="L1208" s="55"/>
      <c r="M1208" s="55"/>
      <c r="N1208" s="55"/>
      <c r="O1208" s="55"/>
      <c r="P1208" s="55"/>
      <c r="Q1208" s="55"/>
      <c r="R1208" s="55"/>
      <c r="S1208" s="55"/>
      <c r="T1208" s="55"/>
      <c r="U1208" s="55"/>
      <c r="V1208" s="55"/>
      <c r="W1208" s="55"/>
      <c r="X1208" s="55"/>
      <c r="Y1208" s="55"/>
      <c r="Z1208" s="55"/>
      <c r="AA1208" s="55"/>
      <c r="AB1208" s="55"/>
      <c r="AC1208" s="55"/>
      <c r="AD1208" s="55"/>
    </row>
    <row r="1209">
      <c r="A1209" s="149"/>
      <c r="B1209" s="149"/>
      <c r="C1209" s="149"/>
      <c r="D1209" s="55"/>
      <c r="E1209" s="55"/>
      <c r="F1209" s="55"/>
      <c r="G1209" s="55"/>
      <c r="H1209" s="55"/>
      <c r="I1209" s="55"/>
      <c r="J1209" s="55"/>
      <c r="K1209" s="55"/>
      <c r="L1209" s="55"/>
      <c r="M1209" s="55"/>
      <c r="N1209" s="55"/>
      <c r="O1209" s="55"/>
      <c r="P1209" s="55"/>
      <c r="Q1209" s="55"/>
      <c r="R1209" s="55"/>
      <c r="S1209" s="55"/>
      <c r="T1209" s="55"/>
      <c r="U1209" s="55"/>
      <c r="V1209" s="55"/>
      <c r="W1209" s="55"/>
      <c r="X1209" s="55"/>
      <c r="Y1209" s="55"/>
      <c r="Z1209" s="55"/>
      <c r="AA1209" s="55"/>
      <c r="AB1209" s="55"/>
      <c r="AC1209" s="55"/>
      <c r="AD1209" s="55"/>
    </row>
    <row r="1210">
      <c r="A1210" s="149"/>
      <c r="B1210" s="149"/>
      <c r="C1210" s="149"/>
      <c r="D1210" s="55"/>
      <c r="E1210" s="55"/>
      <c r="F1210" s="55"/>
      <c r="G1210" s="55"/>
      <c r="H1210" s="55"/>
      <c r="I1210" s="55"/>
      <c r="J1210" s="55"/>
      <c r="K1210" s="55"/>
      <c r="L1210" s="55"/>
      <c r="M1210" s="55"/>
      <c r="N1210" s="55"/>
      <c r="O1210" s="55"/>
      <c r="P1210" s="55"/>
      <c r="Q1210" s="55"/>
      <c r="R1210" s="55"/>
      <c r="S1210" s="55"/>
      <c r="T1210" s="55"/>
      <c r="U1210" s="55"/>
      <c r="V1210" s="55"/>
      <c r="W1210" s="55"/>
      <c r="X1210" s="55"/>
      <c r="Y1210" s="55"/>
      <c r="Z1210" s="55"/>
      <c r="AA1210" s="55"/>
      <c r="AB1210" s="55"/>
      <c r="AC1210" s="55"/>
      <c r="AD1210" s="55"/>
    </row>
    <row r="1211">
      <c r="A1211" s="149"/>
      <c r="B1211" s="149"/>
      <c r="C1211" s="149"/>
      <c r="D1211" s="55"/>
      <c r="E1211" s="55"/>
      <c r="F1211" s="55"/>
      <c r="G1211" s="55"/>
      <c r="H1211" s="55"/>
      <c r="I1211" s="55"/>
      <c r="J1211" s="55"/>
      <c r="K1211" s="55"/>
      <c r="L1211" s="55"/>
      <c r="M1211" s="55"/>
      <c r="N1211" s="55"/>
      <c r="O1211" s="55"/>
      <c r="P1211" s="55"/>
      <c r="Q1211" s="55"/>
      <c r="R1211" s="55"/>
      <c r="S1211" s="55"/>
      <c r="T1211" s="55"/>
      <c r="U1211" s="55"/>
      <c r="V1211" s="55"/>
      <c r="W1211" s="55"/>
      <c r="X1211" s="55"/>
      <c r="Y1211" s="55"/>
      <c r="Z1211" s="55"/>
      <c r="AA1211" s="55"/>
      <c r="AB1211" s="55"/>
      <c r="AC1211" s="55"/>
      <c r="AD1211" s="55"/>
    </row>
    <row r="1212">
      <c r="A1212" s="149"/>
      <c r="B1212" s="149"/>
      <c r="C1212" s="149"/>
      <c r="D1212" s="55"/>
      <c r="E1212" s="55"/>
      <c r="F1212" s="55"/>
      <c r="G1212" s="55"/>
      <c r="H1212" s="55"/>
      <c r="I1212" s="55"/>
      <c r="J1212" s="55"/>
      <c r="K1212" s="55"/>
      <c r="L1212" s="55"/>
      <c r="M1212" s="55"/>
      <c r="N1212" s="55"/>
      <c r="O1212" s="55"/>
      <c r="P1212" s="55"/>
      <c r="Q1212" s="55"/>
      <c r="R1212" s="55"/>
      <c r="S1212" s="55"/>
      <c r="T1212" s="55"/>
      <c r="U1212" s="55"/>
      <c r="V1212" s="55"/>
      <c r="W1212" s="55"/>
      <c r="X1212" s="55"/>
      <c r="Y1212" s="55"/>
      <c r="Z1212" s="55"/>
      <c r="AA1212" s="55"/>
      <c r="AB1212" s="55"/>
      <c r="AC1212" s="55"/>
      <c r="AD1212" s="55"/>
    </row>
    <row r="1213">
      <c r="A1213" s="149"/>
      <c r="B1213" s="149"/>
      <c r="C1213" s="149"/>
      <c r="D1213" s="55"/>
      <c r="E1213" s="55"/>
      <c r="F1213" s="55"/>
      <c r="G1213" s="55"/>
      <c r="H1213" s="55"/>
      <c r="I1213" s="55"/>
      <c r="J1213" s="55"/>
      <c r="K1213" s="55"/>
      <c r="L1213" s="55"/>
      <c r="M1213" s="55"/>
      <c r="N1213" s="55"/>
      <c r="O1213" s="55"/>
      <c r="P1213" s="55"/>
      <c r="Q1213" s="55"/>
      <c r="R1213" s="55"/>
      <c r="S1213" s="55"/>
      <c r="T1213" s="55"/>
      <c r="U1213" s="55"/>
      <c r="V1213" s="55"/>
      <c r="W1213" s="55"/>
      <c r="X1213" s="55"/>
      <c r="Y1213" s="55"/>
      <c r="Z1213" s="55"/>
      <c r="AA1213" s="55"/>
      <c r="AB1213" s="55"/>
      <c r="AC1213" s="55"/>
      <c r="AD1213" s="55"/>
    </row>
    <row r="1214">
      <c r="A1214" s="149"/>
      <c r="B1214" s="149"/>
      <c r="C1214" s="149"/>
      <c r="D1214" s="55"/>
      <c r="E1214" s="55"/>
      <c r="F1214" s="55"/>
      <c r="G1214" s="55"/>
      <c r="H1214" s="55"/>
      <c r="I1214" s="55"/>
      <c r="J1214" s="55"/>
      <c r="K1214" s="55"/>
      <c r="L1214" s="55"/>
      <c r="M1214" s="55"/>
      <c r="N1214" s="55"/>
      <c r="O1214" s="55"/>
      <c r="P1214" s="55"/>
      <c r="Q1214" s="55"/>
      <c r="R1214" s="55"/>
      <c r="S1214" s="55"/>
      <c r="T1214" s="55"/>
      <c r="U1214" s="55"/>
      <c r="V1214" s="55"/>
      <c r="W1214" s="55"/>
      <c r="X1214" s="55"/>
      <c r="Y1214" s="55"/>
      <c r="Z1214" s="55"/>
      <c r="AA1214" s="55"/>
      <c r="AB1214" s="55"/>
      <c r="AC1214" s="55"/>
      <c r="AD1214" s="55"/>
    </row>
    <row r="1215">
      <c r="A1215" s="149"/>
      <c r="B1215" s="149"/>
      <c r="C1215" s="149"/>
      <c r="D1215" s="55"/>
      <c r="E1215" s="55"/>
      <c r="F1215" s="55"/>
      <c r="G1215" s="55"/>
      <c r="H1215" s="55"/>
      <c r="I1215" s="55"/>
      <c r="J1215" s="55"/>
      <c r="K1215" s="55"/>
      <c r="L1215" s="55"/>
      <c r="M1215" s="55"/>
      <c r="N1215" s="55"/>
      <c r="O1215" s="55"/>
      <c r="P1215" s="55"/>
      <c r="Q1215" s="55"/>
      <c r="R1215" s="55"/>
      <c r="S1215" s="55"/>
      <c r="T1215" s="55"/>
      <c r="U1215" s="55"/>
      <c r="V1215" s="55"/>
      <c r="W1215" s="55"/>
      <c r="X1215" s="55"/>
      <c r="Y1215" s="55"/>
      <c r="Z1215" s="55"/>
      <c r="AA1215" s="55"/>
      <c r="AB1215" s="55"/>
      <c r="AC1215" s="55"/>
      <c r="AD1215" s="55"/>
    </row>
    <row r="1216">
      <c r="A1216" s="149"/>
      <c r="B1216" s="149"/>
      <c r="C1216" s="149"/>
      <c r="D1216" s="55"/>
      <c r="E1216" s="55"/>
      <c r="F1216" s="55"/>
      <c r="G1216" s="55"/>
      <c r="H1216" s="55"/>
      <c r="I1216" s="55"/>
      <c r="J1216" s="55"/>
      <c r="K1216" s="55"/>
      <c r="L1216" s="55"/>
      <c r="M1216" s="55"/>
      <c r="N1216" s="55"/>
      <c r="O1216" s="55"/>
      <c r="P1216" s="55"/>
      <c r="Q1216" s="55"/>
      <c r="R1216" s="55"/>
      <c r="S1216" s="55"/>
      <c r="T1216" s="55"/>
      <c r="U1216" s="55"/>
      <c r="V1216" s="55"/>
      <c r="W1216" s="55"/>
      <c r="X1216" s="55"/>
      <c r="Y1216" s="55"/>
      <c r="Z1216" s="55"/>
      <c r="AA1216" s="55"/>
      <c r="AB1216" s="55"/>
      <c r="AC1216" s="55"/>
      <c r="AD1216" s="55"/>
    </row>
    <row r="1217">
      <c r="A1217" s="149"/>
      <c r="B1217" s="149"/>
      <c r="C1217" s="149"/>
      <c r="D1217" s="55"/>
      <c r="E1217" s="55"/>
      <c r="F1217" s="55"/>
      <c r="G1217" s="55"/>
      <c r="H1217" s="55"/>
      <c r="I1217" s="55"/>
      <c r="J1217" s="55"/>
      <c r="K1217" s="55"/>
      <c r="L1217" s="55"/>
      <c r="M1217" s="55"/>
      <c r="N1217" s="55"/>
      <c r="O1217" s="55"/>
      <c r="P1217" s="55"/>
      <c r="Q1217" s="55"/>
      <c r="R1217" s="55"/>
      <c r="S1217" s="55"/>
      <c r="T1217" s="55"/>
      <c r="U1217" s="55"/>
      <c r="V1217" s="55"/>
      <c r="W1217" s="55"/>
      <c r="X1217" s="55"/>
      <c r="Y1217" s="55"/>
      <c r="Z1217" s="55"/>
      <c r="AA1217" s="55"/>
      <c r="AB1217" s="55"/>
      <c r="AC1217" s="55"/>
      <c r="AD1217" s="55"/>
    </row>
    <row r="1218">
      <c r="A1218" s="149"/>
      <c r="B1218" s="149"/>
      <c r="C1218" s="149"/>
      <c r="D1218" s="55"/>
      <c r="E1218" s="55"/>
      <c r="F1218" s="55"/>
      <c r="G1218" s="55"/>
      <c r="H1218" s="55"/>
      <c r="I1218" s="55"/>
      <c r="J1218" s="55"/>
      <c r="K1218" s="55"/>
      <c r="L1218" s="55"/>
      <c r="M1218" s="55"/>
      <c r="N1218" s="55"/>
      <c r="O1218" s="55"/>
      <c r="P1218" s="55"/>
      <c r="Q1218" s="55"/>
      <c r="R1218" s="55"/>
      <c r="S1218" s="55"/>
      <c r="T1218" s="55"/>
      <c r="U1218" s="55"/>
      <c r="V1218" s="55"/>
      <c r="W1218" s="55"/>
      <c r="X1218" s="55"/>
      <c r="Y1218" s="55"/>
      <c r="Z1218" s="55"/>
      <c r="AA1218" s="55"/>
      <c r="AB1218" s="55"/>
      <c r="AC1218" s="55"/>
      <c r="AD1218" s="55"/>
    </row>
    <row r="1219">
      <c r="A1219" s="149"/>
      <c r="B1219" s="149"/>
      <c r="C1219" s="149"/>
      <c r="D1219" s="55"/>
      <c r="E1219" s="55"/>
      <c r="F1219" s="55"/>
      <c r="G1219" s="55"/>
      <c r="H1219" s="55"/>
      <c r="I1219" s="55"/>
      <c r="J1219" s="55"/>
      <c r="K1219" s="55"/>
      <c r="L1219" s="55"/>
      <c r="M1219" s="55"/>
      <c r="N1219" s="55"/>
      <c r="O1219" s="55"/>
      <c r="P1219" s="55"/>
      <c r="Q1219" s="55"/>
      <c r="R1219" s="55"/>
      <c r="S1219" s="55"/>
      <c r="T1219" s="55"/>
      <c r="U1219" s="55"/>
      <c r="V1219" s="55"/>
      <c r="W1219" s="55"/>
      <c r="X1219" s="55"/>
      <c r="Y1219" s="55"/>
      <c r="Z1219" s="55"/>
      <c r="AA1219" s="55"/>
      <c r="AB1219" s="55"/>
      <c r="AC1219" s="55"/>
      <c r="AD1219" s="55"/>
    </row>
    <row r="1220">
      <c r="A1220" s="149"/>
      <c r="B1220" s="149"/>
      <c r="C1220" s="149"/>
      <c r="D1220" s="55"/>
      <c r="E1220" s="55"/>
      <c r="F1220" s="55"/>
      <c r="G1220" s="55"/>
      <c r="H1220" s="55"/>
      <c r="I1220" s="55"/>
      <c r="J1220" s="55"/>
      <c r="K1220" s="55"/>
      <c r="L1220" s="55"/>
      <c r="M1220" s="55"/>
      <c r="N1220" s="55"/>
      <c r="O1220" s="55"/>
      <c r="P1220" s="55"/>
      <c r="Q1220" s="55"/>
      <c r="R1220" s="55"/>
      <c r="S1220" s="55"/>
      <c r="T1220" s="55"/>
      <c r="U1220" s="55"/>
      <c r="V1220" s="55"/>
      <c r="W1220" s="55"/>
      <c r="X1220" s="55"/>
      <c r="Y1220" s="55"/>
      <c r="Z1220" s="55"/>
      <c r="AA1220" s="55"/>
      <c r="AB1220" s="55"/>
      <c r="AC1220" s="55"/>
      <c r="AD1220" s="55"/>
    </row>
    <row r="1221">
      <c r="A1221" s="149"/>
      <c r="B1221" s="149"/>
      <c r="C1221" s="149"/>
      <c r="D1221" s="55"/>
      <c r="E1221" s="55"/>
      <c r="F1221" s="55"/>
      <c r="G1221" s="55"/>
      <c r="H1221" s="55"/>
      <c r="I1221" s="55"/>
      <c r="J1221" s="55"/>
      <c r="K1221" s="55"/>
      <c r="L1221" s="55"/>
      <c r="M1221" s="55"/>
      <c r="N1221" s="55"/>
      <c r="O1221" s="55"/>
      <c r="P1221" s="55"/>
      <c r="Q1221" s="55"/>
      <c r="R1221" s="55"/>
      <c r="S1221" s="55"/>
      <c r="T1221" s="55"/>
      <c r="U1221" s="55"/>
      <c r="V1221" s="55"/>
      <c r="W1221" s="55"/>
      <c r="X1221" s="55"/>
      <c r="Y1221" s="55"/>
      <c r="Z1221" s="55"/>
      <c r="AA1221" s="55"/>
      <c r="AB1221" s="55"/>
      <c r="AC1221" s="55"/>
      <c r="AD1221" s="55"/>
    </row>
    <row r="1222">
      <c r="A1222" s="149"/>
      <c r="B1222" s="149"/>
      <c r="C1222" s="149"/>
      <c r="D1222" s="55"/>
      <c r="E1222" s="55"/>
      <c r="F1222" s="55"/>
      <c r="G1222" s="55"/>
      <c r="H1222" s="55"/>
      <c r="I1222" s="55"/>
      <c r="J1222" s="55"/>
      <c r="K1222" s="55"/>
      <c r="L1222" s="55"/>
      <c r="M1222" s="55"/>
      <c r="N1222" s="55"/>
      <c r="O1222" s="55"/>
      <c r="P1222" s="55"/>
      <c r="Q1222" s="55"/>
      <c r="R1222" s="55"/>
      <c r="S1222" s="55"/>
      <c r="T1222" s="55"/>
      <c r="U1222" s="55"/>
      <c r="V1222" s="55"/>
      <c r="W1222" s="55"/>
      <c r="X1222" s="55"/>
      <c r="Y1222" s="55"/>
      <c r="Z1222" s="55"/>
      <c r="AA1222" s="55"/>
      <c r="AB1222" s="55"/>
      <c r="AC1222" s="55"/>
      <c r="AD1222" s="55"/>
    </row>
    <row r="1223">
      <c r="A1223" s="149"/>
      <c r="B1223" s="149"/>
      <c r="C1223" s="149"/>
      <c r="D1223" s="55"/>
      <c r="E1223" s="55"/>
      <c r="F1223" s="55"/>
      <c r="G1223" s="55"/>
      <c r="H1223" s="55"/>
      <c r="I1223" s="55"/>
      <c r="J1223" s="55"/>
      <c r="K1223" s="55"/>
      <c r="L1223" s="55"/>
      <c r="M1223" s="55"/>
      <c r="N1223" s="55"/>
      <c r="O1223" s="55"/>
      <c r="P1223" s="55"/>
      <c r="Q1223" s="55"/>
      <c r="R1223" s="55"/>
      <c r="S1223" s="55"/>
      <c r="T1223" s="55"/>
      <c r="U1223" s="55"/>
      <c r="V1223" s="55"/>
      <c r="W1223" s="55"/>
      <c r="X1223" s="55"/>
      <c r="Y1223" s="55"/>
      <c r="Z1223" s="55"/>
      <c r="AA1223" s="55"/>
      <c r="AB1223" s="55"/>
      <c r="AC1223" s="55"/>
      <c r="AD1223" s="55"/>
    </row>
    <row r="1224">
      <c r="A1224" s="149"/>
      <c r="B1224" s="149"/>
      <c r="C1224" s="149"/>
      <c r="D1224" s="55"/>
      <c r="E1224" s="55"/>
      <c r="F1224" s="55"/>
      <c r="G1224" s="55"/>
      <c r="H1224" s="55"/>
      <c r="I1224" s="55"/>
      <c r="J1224" s="55"/>
      <c r="K1224" s="55"/>
      <c r="L1224" s="55"/>
      <c r="M1224" s="55"/>
      <c r="N1224" s="55"/>
      <c r="O1224" s="55"/>
      <c r="P1224" s="55"/>
      <c r="Q1224" s="55"/>
      <c r="R1224" s="55"/>
      <c r="S1224" s="55"/>
      <c r="T1224" s="55"/>
      <c r="U1224" s="55"/>
      <c r="V1224" s="55"/>
      <c r="W1224" s="55"/>
      <c r="X1224" s="55"/>
      <c r="Y1224" s="55"/>
      <c r="Z1224" s="55"/>
      <c r="AA1224" s="55"/>
      <c r="AB1224" s="55"/>
      <c r="AC1224" s="55"/>
      <c r="AD1224" s="55"/>
    </row>
    <row r="1225">
      <c r="A1225" s="149"/>
      <c r="B1225" s="149"/>
      <c r="C1225" s="149"/>
      <c r="D1225" s="55"/>
      <c r="E1225" s="55"/>
      <c r="F1225" s="55"/>
      <c r="G1225" s="55"/>
      <c r="H1225" s="55"/>
      <c r="I1225" s="55"/>
      <c r="J1225" s="55"/>
      <c r="K1225" s="55"/>
      <c r="L1225" s="55"/>
      <c r="M1225" s="55"/>
      <c r="N1225" s="55"/>
      <c r="O1225" s="55"/>
      <c r="P1225" s="55"/>
      <c r="Q1225" s="55"/>
      <c r="R1225" s="55"/>
      <c r="S1225" s="55"/>
      <c r="T1225" s="55"/>
      <c r="U1225" s="55"/>
      <c r="V1225" s="55"/>
      <c r="W1225" s="55"/>
      <c r="X1225" s="55"/>
      <c r="Y1225" s="55"/>
      <c r="Z1225" s="55"/>
      <c r="AA1225" s="55"/>
      <c r="AB1225" s="55"/>
      <c r="AC1225" s="55"/>
      <c r="AD1225" s="55"/>
    </row>
    <row r="1226">
      <c r="A1226" s="149"/>
      <c r="B1226" s="149"/>
      <c r="C1226" s="149"/>
      <c r="D1226" s="55"/>
      <c r="E1226" s="55"/>
      <c r="F1226" s="55"/>
      <c r="G1226" s="55"/>
      <c r="H1226" s="55"/>
      <c r="I1226" s="55"/>
      <c r="J1226" s="55"/>
      <c r="K1226" s="55"/>
      <c r="L1226" s="55"/>
      <c r="M1226" s="55"/>
      <c r="N1226" s="55"/>
      <c r="O1226" s="55"/>
      <c r="P1226" s="55"/>
      <c r="Q1226" s="55"/>
      <c r="R1226" s="55"/>
      <c r="S1226" s="55"/>
      <c r="T1226" s="55"/>
      <c r="U1226" s="55"/>
      <c r="V1226" s="55"/>
      <c r="W1226" s="55"/>
      <c r="X1226" s="55"/>
      <c r="Y1226" s="55"/>
      <c r="Z1226" s="55"/>
      <c r="AA1226" s="55"/>
      <c r="AB1226" s="55"/>
      <c r="AC1226" s="55"/>
      <c r="AD1226" s="55"/>
    </row>
    <row r="1227">
      <c r="A1227" s="149"/>
      <c r="B1227" s="149"/>
      <c r="C1227" s="149"/>
      <c r="D1227" s="55"/>
      <c r="E1227" s="55"/>
      <c r="F1227" s="55"/>
      <c r="G1227" s="55"/>
      <c r="H1227" s="55"/>
      <c r="I1227" s="55"/>
      <c r="J1227" s="55"/>
      <c r="K1227" s="55"/>
      <c r="L1227" s="55"/>
      <c r="M1227" s="55"/>
      <c r="N1227" s="55"/>
      <c r="O1227" s="55"/>
      <c r="P1227" s="55"/>
      <c r="Q1227" s="55"/>
      <c r="R1227" s="55"/>
      <c r="S1227" s="55"/>
      <c r="T1227" s="55"/>
      <c r="U1227" s="55"/>
      <c r="V1227" s="55"/>
      <c r="W1227" s="55"/>
      <c r="X1227" s="55"/>
      <c r="Y1227" s="55"/>
      <c r="Z1227" s="55"/>
      <c r="AA1227" s="55"/>
      <c r="AB1227" s="55"/>
      <c r="AC1227" s="55"/>
      <c r="AD1227" s="55"/>
    </row>
    <row r="1228">
      <c r="A1228" s="149"/>
      <c r="B1228" s="149"/>
      <c r="C1228" s="149"/>
      <c r="D1228" s="55"/>
      <c r="E1228" s="55"/>
      <c r="F1228" s="55"/>
      <c r="G1228" s="55"/>
      <c r="H1228" s="55"/>
      <c r="I1228" s="55"/>
      <c r="J1228" s="55"/>
      <c r="K1228" s="55"/>
      <c r="L1228" s="55"/>
      <c r="M1228" s="55"/>
      <c r="N1228" s="55"/>
      <c r="O1228" s="55"/>
      <c r="P1228" s="55"/>
      <c r="Q1228" s="55"/>
      <c r="R1228" s="55"/>
      <c r="S1228" s="55"/>
      <c r="T1228" s="55"/>
      <c r="U1228" s="55"/>
      <c r="V1228" s="55"/>
      <c r="W1228" s="55"/>
      <c r="X1228" s="55"/>
      <c r="Y1228" s="55"/>
      <c r="Z1228" s="55"/>
      <c r="AA1228" s="55"/>
      <c r="AB1228" s="55"/>
      <c r="AC1228" s="55"/>
      <c r="AD1228" s="55"/>
    </row>
    <row r="1229">
      <c r="A1229" s="149"/>
      <c r="B1229" s="149"/>
      <c r="C1229" s="149"/>
      <c r="D1229" s="55"/>
      <c r="E1229" s="55"/>
      <c r="F1229" s="55"/>
      <c r="G1229" s="55"/>
      <c r="H1229" s="55"/>
      <c r="I1229" s="55"/>
      <c r="J1229" s="55"/>
      <c r="K1229" s="55"/>
      <c r="L1229" s="55"/>
      <c r="M1229" s="55"/>
      <c r="N1229" s="55"/>
      <c r="O1229" s="55"/>
      <c r="P1229" s="55"/>
      <c r="Q1229" s="55"/>
      <c r="R1229" s="55"/>
      <c r="S1229" s="55"/>
      <c r="T1229" s="55"/>
      <c r="U1229" s="55"/>
      <c r="V1229" s="55"/>
      <c r="W1229" s="55"/>
      <c r="X1229" s="55"/>
      <c r="Y1229" s="55"/>
      <c r="Z1229" s="55"/>
      <c r="AA1229" s="55"/>
      <c r="AB1229" s="55"/>
      <c r="AC1229" s="55"/>
      <c r="AD1229" s="55"/>
    </row>
    <row r="1230">
      <c r="A1230" s="149"/>
      <c r="B1230" s="149"/>
      <c r="C1230" s="149"/>
      <c r="D1230" s="55"/>
      <c r="E1230" s="55"/>
      <c r="F1230" s="55"/>
      <c r="G1230" s="55"/>
      <c r="H1230" s="55"/>
      <c r="I1230" s="55"/>
      <c r="J1230" s="55"/>
      <c r="K1230" s="55"/>
      <c r="L1230" s="55"/>
      <c r="M1230" s="55"/>
      <c r="N1230" s="55"/>
      <c r="O1230" s="55"/>
      <c r="P1230" s="55"/>
      <c r="Q1230" s="55"/>
      <c r="R1230" s="55"/>
      <c r="S1230" s="55"/>
      <c r="T1230" s="55"/>
      <c r="U1230" s="55"/>
      <c r="V1230" s="55"/>
      <c r="W1230" s="55"/>
      <c r="X1230" s="55"/>
      <c r="Y1230" s="55"/>
      <c r="Z1230" s="55"/>
      <c r="AA1230" s="55"/>
      <c r="AB1230" s="55"/>
      <c r="AC1230" s="55"/>
      <c r="AD1230" s="55"/>
    </row>
    <row r="1231">
      <c r="A1231" s="149"/>
      <c r="B1231" s="149"/>
      <c r="C1231" s="149"/>
      <c r="D1231" s="55"/>
      <c r="E1231" s="55"/>
      <c r="F1231" s="55"/>
      <c r="G1231" s="55"/>
      <c r="H1231" s="55"/>
      <c r="I1231" s="55"/>
      <c r="J1231" s="55"/>
      <c r="K1231" s="55"/>
      <c r="L1231" s="55"/>
      <c r="M1231" s="55"/>
      <c r="N1231" s="55"/>
      <c r="O1231" s="55"/>
      <c r="P1231" s="55"/>
      <c r="Q1231" s="55"/>
      <c r="R1231" s="55"/>
      <c r="S1231" s="55"/>
      <c r="T1231" s="55"/>
      <c r="U1231" s="55"/>
      <c r="V1231" s="55"/>
      <c r="W1231" s="55"/>
      <c r="X1231" s="55"/>
      <c r="Y1231" s="55"/>
      <c r="Z1231" s="55"/>
      <c r="AA1231" s="55"/>
      <c r="AB1231" s="55"/>
      <c r="AC1231" s="55"/>
      <c r="AD1231" s="55"/>
    </row>
    <row r="1232">
      <c r="A1232" s="149"/>
      <c r="B1232" s="149"/>
      <c r="C1232" s="149"/>
      <c r="D1232" s="55"/>
      <c r="E1232" s="55"/>
      <c r="F1232" s="55"/>
      <c r="G1232" s="55"/>
      <c r="H1232" s="55"/>
      <c r="I1232" s="55"/>
      <c r="J1232" s="55"/>
      <c r="K1232" s="55"/>
      <c r="L1232" s="55"/>
      <c r="M1232" s="55"/>
      <c r="N1232" s="55"/>
      <c r="O1232" s="55"/>
      <c r="P1232" s="55"/>
      <c r="Q1232" s="55"/>
      <c r="R1232" s="55"/>
      <c r="S1232" s="55"/>
      <c r="T1232" s="55"/>
      <c r="U1232" s="55"/>
      <c r="V1232" s="55"/>
      <c r="W1232" s="55"/>
      <c r="X1232" s="55"/>
      <c r="Y1232" s="55"/>
      <c r="Z1232" s="55"/>
      <c r="AA1232" s="55"/>
      <c r="AB1232" s="55"/>
      <c r="AC1232" s="55"/>
      <c r="AD1232" s="55"/>
    </row>
    <row r="1233">
      <c r="A1233" s="149"/>
      <c r="B1233" s="149"/>
      <c r="C1233" s="149"/>
      <c r="D1233" s="55"/>
      <c r="E1233" s="55"/>
      <c r="F1233" s="55"/>
      <c r="G1233" s="55"/>
      <c r="H1233" s="55"/>
      <c r="I1233" s="55"/>
      <c r="J1233" s="55"/>
      <c r="K1233" s="55"/>
      <c r="L1233" s="55"/>
      <c r="M1233" s="55"/>
      <c r="N1233" s="55"/>
      <c r="O1233" s="55"/>
      <c r="P1233" s="55"/>
      <c r="Q1233" s="55"/>
      <c r="R1233" s="55"/>
      <c r="S1233" s="55"/>
      <c r="T1233" s="55"/>
      <c r="U1233" s="55"/>
      <c r="V1233" s="55"/>
      <c r="W1233" s="55"/>
      <c r="X1233" s="55"/>
      <c r="Y1233" s="55"/>
      <c r="Z1233" s="55"/>
      <c r="AA1233" s="55"/>
      <c r="AB1233" s="55"/>
      <c r="AC1233" s="55"/>
      <c r="AD1233" s="55"/>
    </row>
    <row r="1234">
      <c r="A1234" s="149"/>
      <c r="B1234" s="149"/>
      <c r="C1234" s="149"/>
      <c r="D1234" s="55"/>
      <c r="E1234" s="55"/>
      <c r="F1234" s="55"/>
      <c r="G1234" s="55"/>
      <c r="H1234" s="55"/>
      <c r="I1234" s="55"/>
      <c r="J1234" s="55"/>
      <c r="K1234" s="55"/>
      <c r="L1234" s="55"/>
      <c r="M1234" s="55"/>
      <c r="N1234" s="55"/>
      <c r="O1234" s="55"/>
      <c r="P1234" s="55"/>
      <c r="Q1234" s="55"/>
      <c r="R1234" s="55"/>
      <c r="S1234" s="55"/>
      <c r="T1234" s="55"/>
      <c r="U1234" s="55"/>
      <c r="V1234" s="55"/>
      <c r="W1234" s="55"/>
      <c r="X1234" s="55"/>
      <c r="Y1234" s="55"/>
      <c r="Z1234" s="55"/>
      <c r="AA1234" s="55"/>
      <c r="AB1234" s="55"/>
      <c r="AC1234" s="55"/>
      <c r="AD1234" s="55"/>
    </row>
    <row r="1235">
      <c r="A1235" s="149"/>
      <c r="B1235" s="149"/>
      <c r="C1235" s="149"/>
      <c r="D1235" s="55"/>
      <c r="E1235" s="55"/>
      <c r="F1235" s="55"/>
      <c r="G1235" s="55"/>
      <c r="H1235" s="55"/>
      <c r="I1235" s="55"/>
      <c r="J1235" s="55"/>
      <c r="K1235" s="55"/>
      <c r="L1235" s="55"/>
      <c r="M1235" s="55"/>
      <c r="N1235" s="55"/>
      <c r="O1235" s="55"/>
      <c r="P1235" s="55"/>
      <c r="Q1235" s="55"/>
      <c r="R1235" s="55"/>
      <c r="S1235" s="55"/>
      <c r="T1235" s="55"/>
      <c r="U1235" s="55"/>
      <c r="V1235" s="55"/>
      <c r="W1235" s="55"/>
      <c r="X1235" s="55"/>
      <c r="Y1235" s="55"/>
      <c r="Z1235" s="55"/>
      <c r="AA1235" s="55"/>
      <c r="AB1235" s="55"/>
      <c r="AC1235" s="55"/>
      <c r="AD1235" s="55"/>
    </row>
    <row r="1236">
      <c r="A1236" s="149"/>
      <c r="B1236" s="149"/>
      <c r="C1236" s="149"/>
      <c r="D1236" s="55"/>
      <c r="E1236" s="55"/>
      <c r="F1236" s="55"/>
      <c r="G1236" s="55"/>
      <c r="H1236" s="55"/>
      <c r="I1236" s="55"/>
      <c r="J1236" s="55"/>
      <c r="K1236" s="55"/>
      <c r="L1236" s="55"/>
      <c r="M1236" s="55"/>
      <c r="N1236" s="55"/>
      <c r="O1236" s="55"/>
      <c r="P1236" s="55"/>
      <c r="Q1236" s="55"/>
      <c r="R1236" s="55"/>
      <c r="S1236" s="55"/>
      <c r="T1236" s="55"/>
      <c r="U1236" s="55"/>
      <c r="V1236" s="55"/>
      <c r="W1236" s="55"/>
      <c r="X1236" s="55"/>
      <c r="Y1236" s="55"/>
      <c r="Z1236" s="55"/>
      <c r="AA1236" s="55"/>
      <c r="AB1236" s="55"/>
      <c r="AC1236" s="55"/>
      <c r="AD1236" s="55"/>
    </row>
    <row r="1237">
      <c r="A1237" s="149"/>
      <c r="B1237" s="149"/>
      <c r="C1237" s="149"/>
      <c r="D1237" s="55"/>
      <c r="E1237" s="55"/>
      <c r="F1237" s="55"/>
      <c r="G1237" s="55"/>
      <c r="H1237" s="55"/>
      <c r="I1237" s="55"/>
      <c r="J1237" s="55"/>
      <c r="K1237" s="55"/>
      <c r="L1237" s="55"/>
      <c r="M1237" s="55"/>
      <c r="N1237" s="55"/>
      <c r="O1237" s="55"/>
      <c r="P1237" s="55"/>
      <c r="Q1237" s="55"/>
      <c r="R1237" s="55"/>
      <c r="S1237" s="55"/>
      <c r="T1237" s="55"/>
      <c r="U1237" s="55"/>
      <c r="V1237" s="55"/>
      <c r="W1237" s="55"/>
      <c r="X1237" s="55"/>
      <c r="Y1237" s="55"/>
      <c r="Z1237" s="55"/>
      <c r="AA1237" s="55"/>
      <c r="AB1237" s="55"/>
      <c r="AC1237" s="55"/>
      <c r="AD1237" s="55"/>
    </row>
    <row r="1238">
      <c r="A1238" s="149"/>
      <c r="B1238" s="149"/>
      <c r="C1238" s="149"/>
      <c r="D1238" s="55"/>
      <c r="E1238" s="55"/>
      <c r="F1238" s="55"/>
      <c r="G1238" s="55"/>
      <c r="H1238" s="55"/>
      <c r="I1238" s="55"/>
      <c r="J1238" s="55"/>
      <c r="K1238" s="55"/>
      <c r="L1238" s="55"/>
      <c r="M1238" s="55"/>
      <c r="N1238" s="55"/>
      <c r="O1238" s="55"/>
      <c r="P1238" s="55"/>
      <c r="Q1238" s="55"/>
      <c r="R1238" s="55"/>
      <c r="S1238" s="55"/>
      <c r="T1238" s="55"/>
      <c r="U1238" s="55"/>
      <c r="V1238" s="55"/>
      <c r="W1238" s="55"/>
      <c r="X1238" s="55"/>
      <c r="Y1238" s="55"/>
      <c r="Z1238" s="55"/>
      <c r="AA1238" s="55"/>
      <c r="AB1238" s="55"/>
      <c r="AC1238" s="55"/>
      <c r="AD1238" s="55"/>
    </row>
    <row r="1239">
      <c r="A1239" s="149"/>
      <c r="B1239" s="149"/>
      <c r="C1239" s="149"/>
      <c r="D1239" s="55"/>
      <c r="E1239" s="55"/>
      <c r="F1239" s="55"/>
      <c r="G1239" s="55"/>
      <c r="H1239" s="55"/>
      <c r="I1239" s="55"/>
      <c r="J1239" s="55"/>
      <c r="K1239" s="55"/>
      <c r="L1239" s="55"/>
      <c r="M1239" s="55"/>
      <c r="N1239" s="55"/>
      <c r="O1239" s="55"/>
      <c r="P1239" s="55"/>
      <c r="Q1239" s="55"/>
      <c r="R1239" s="55"/>
      <c r="S1239" s="55"/>
      <c r="T1239" s="55"/>
      <c r="U1239" s="55"/>
      <c r="V1239" s="55"/>
      <c r="W1239" s="55"/>
      <c r="X1239" s="55"/>
      <c r="Y1239" s="55"/>
      <c r="Z1239" s="55"/>
      <c r="AA1239" s="55"/>
      <c r="AB1239" s="55"/>
      <c r="AC1239" s="55"/>
      <c r="AD1239" s="55"/>
    </row>
    <row r="1240">
      <c r="A1240" s="149"/>
      <c r="B1240" s="149"/>
      <c r="C1240" s="149"/>
      <c r="D1240" s="55"/>
      <c r="E1240" s="55"/>
      <c r="F1240" s="55"/>
      <c r="G1240" s="55"/>
      <c r="H1240" s="55"/>
      <c r="I1240" s="55"/>
      <c r="J1240" s="55"/>
      <c r="K1240" s="55"/>
      <c r="L1240" s="55"/>
      <c r="M1240" s="55"/>
      <c r="N1240" s="55"/>
      <c r="O1240" s="55"/>
      <c r="P1240" s="55"/>
      <c r="Q1240" s="55"/>
      <c r="R1240" s="55"/>
      <c r="S1240" s="55"/>
      <c r="T1240" s="55"/>
      <c r="U1240" s="55"/>
      <c r="V1240" s="55"/>
      <c r="W1240" s="55"/>
      <c r="X1240" s="55"/>
      <c r="Y1240" s="55"/>
      <c r="Z1240" s="55"/>
      <c r="AA1240" s="55"/>
      <c r="AB1240" s="55"/>
      <c r="AC1240" s="55"/>
      <c r="AD1240" s="55"/>
    </row>
    <row r="1241">
      <c r="A1241" s="149"/>
      <c r="B1241" s="149"/>
      <c r="C1241" s="149"/>
      <c r="D1241" s="55"/>
      <c r="E1241" s="55"/>
      <c r="F1241" s="55"/>
      <c r="G1241" s="55"/>
      <c r="H1241" s="55"/>
      <c r="I1241" s="55"/>
      <c r="J1241" s="55"/>
      <c r="K1241" s="55"/>
      <c r="L1241" s="55"/>
      <c r="M1241" s="55"/>
      <c r="N1241" s="55"/>
      <c r="O1241" s="55"/>
      <c r="P1241" s="55"/>
      <c r="Q1241" s="55"/>
      <c r="R1241" s="55"/>
      <c r="S1241" s="55"/>
      <c r="T1241" s="55"/>
      <c r="U1241" s="55"/>
      <c r="V1241" s="55"/>
      <c r="W1241" s="55"/>
      <c r="X1241" s="55"/>
      <c r="Y1241" s="55"/>
      <c r="Z1241" s="55"/>
      <c r="AA1241" s="55"/>
      <c r="AB1241" s="55"/>
      <c r="AC1241" s="55"/>
      <c r="AD1241" s="55"/>
    </row>
    <row r="1242">
      <c r="A1242" s="149"/>
      <c r="B1242" s="149"/>
      <c r="C1242" s="149"/>
      <c r="D1242" s="55"/>
      <c r="E1242" s="55"/>
      <c r="F1242" s="55"/>
      <c r="G1242" s="55"/>
      <c r="H1242" s="55"/>
      <c r="I1242" s="55"/>
      <c r="J1242" s="55"/>
      <c r="K1242" s="55"/>
      <c r="L1242" s="55"/>
      <c r="M1242" s="55"/>
      <c r="N1242" s="55"/>
      <c r="O1242" s="55"/>
      <c r="P1242" s="55"/>
      <c r="Q1242" s="55"/>
      <c r="R1242" s="55"/>
      <c r="S1242" s="55"/>
      <c r="T1242" s="55"/>
      <c r="U1242" s="55"/>
      <c r="V1242" s="55"/>
      <c r="W1242" s="55"/>
      <c r="X1242" s="55"/>
      <c r="Y1242" s="55"/>
      <c r="Z1242" s="55"/>
      <c r="AA1242" s="55"/>
      <c r="AB1242" s="55"/>
      <c r="AC1242" s="55"/>
      <c r="AD1242" s="55"/>
    </row>
    <row r="1243">
      <c r="A1243" s="149"/>
      <c r="B1243" s="149"/>
      <c r="C1243" s="149"/>
      <c r="D1243" s="55"/>
      <c r="E1243" s="55"/>
      <c r="F1243" s="55"/>
      <c r="G1243" s="55"/>
      <c r="H1243" s="55"/>
      <c r="I1243" s="55"/>
      <c r="J1243" s="55"/>
      <c r="K1243" s="55"/>
      <c r="L1243" s="55"/>
      <c r="M1243" s="55"/>
      <c r="N1243" s="55"/>
      <c r="O1243" s="55"/>
      <c r="P1243" s="55"/>
      <c r="Q1243" s="55"/>
      <c r="R1243" s="55"/>
      <c r="S1243" s="55"/>
      <c r="T1243" s="55"/>
      <c r="U1243" s="55"/>
      <c r="V1243" s="55"/>
      <c r="W1243" s="55"/>
      <c r="X1243" s="55"/>
      <c r="Y1243" s="55"/>
      <c r="Z1243" s="55"/>
      <c r="AA1243" s="55"/>
      <c r="AB1243" s="55"/>
      <c r="AC1243" s="55"/>
      <c r="AD1243" s="55"/>
    </row>
    <row r="1244">
      <c r="A1244" s="149"/>
      <c r="B1244" s="149"/>
      <c r="C1244" s="149"/>
      <c r="D1244" s="55"/>
      <c r="E1244" s="55"/>
      <c r="F1244" s="55"/>
      <c r="G1244" s="55"/>
      <c r="H1244" s="55"/>
      <c r="I1244" s="55"/>
      <c r="J1244" s="55"/>
      <c r="K1244" s="55"/>
      <c r="L1244" s="55"/>
      <c r="M1244" s="55"/>
      <c r="N1244" s="55"/>
      <c r="O1244" s="55"/>
      <c r="P1244" s="55"/>
      <c r="Q1244" s="55"/>
      <c r="R1244" s="55"/>
      <c r="S1244" s="55"/>
      <c r="T1244" s="55"/>
      <c r="U1244" s="55"/>
      <c r="V1244" s="55"/>
      <c r="W1244" s="55"/>
      <c r="X1244" s="55"/>
      <c r="Y1244" s="55"/>
      <c r="Z1244" s="55"/>
      <c r="AA1244" s="55"/>
      <c r="AB1244" s="55"/>
      <c r="AC1244" s="55"/>
      <c r="AD1244" s="55"/>
    </row>
    <row r="1245">
      <c r="A1245" s="149"/>
      <c r="B1245" s="149"/>
      <c r="C1245" s="149"/>
      <c r="D1245" s="55"/>
      <c r="E1245" s="55"/>
      <c r="F1245" s="55"/>
      <c r="G1245" s="55"/>
      <c r="H1245" s="55"/>
      <c r="I1245" s="55"/>
      <c r="J1245" s="55"/>
      <c r="K1245" s="55"/>
      <c r="L1245" s="55"/>
      <c r="M1245" s="55"/>
      <c r="N1245" s="55"/>
      <c r="O1245" s="55"/>
      <c r="P1245" s="55"/>
      <c r="Q1245" s="55"/>
      <c r="R1245" s="55"/>
      <c r="S1245" s="55"/>
      <c r="T1245" s="55"/>
      <c r="U1245" s="55"/>
      <c r="V1245" s="55"/>
      <c r="W1245" s="55"/>
      <c r="X1245" s="55"/>
      <c r="Y1245" s="55"/>
      <c r="Z1245" s="55"/>
      <c r="AA1245" s="55"/>
      <c r="AB1245" s="55"/>
      <c r="AC1245" s="55"/>
      <c r="AD1245" s="55"/>
    </row>
    <row r="1246">
      <c r="A1246" s="149"/>
      <c r="B1246" s="149"/>
      <c r="C1246" s="149"/>
      <c r="D1246" s="55"/>
      <c r="E1246" s="55"/>
      <c r="F1246" s="55"/>
      <c r="G1246" s="55"/>
      <c r="H1246" s="55"/>
      <c r="I1246" s="55"/>
      <c r="J1246" s="55"/>
      <c r="K1246" s="55"/>
      <c r="L1246" s="55"/>
      <c r="M1246" s="55"/>
      <c r="N1246" s="55"/>
      <c r="O1246" s="55"/>
      <c r="P1246" s="55"/>
      <c r="Q1246" s="55"/>
      <c r="R1246" s="55"/>
      <c r="S1246" s="55"/>
      <c r="T1246" s="55"/>
      <c r="U1246" s="55"/>
      <c r="V1246" s="55"/>
      <c r="W1246" s="55"/>
      <c r="X1246" s="55"/>
      <c r="Y1246" s="55"/>
      <c r="Z1246" s="55"/>
      <c r="AA1246" s="55"/>
      <c r="AB1246" s="55"/>
      <c r="AC1246" s="55"/>
      <c r="AD1246" s="55"/>
    </row>
    <row r="1247">
      <c r="A1247" s="149"/>
      <c r="B1247" s="149"/>
      <c r="C1247" s="149"/>
      <c r="D1247" s="55"/>
      <c r="E1247" s="55"/>
      <c r="F1247" s="55"/>
      <c r="G1247" s="55"/>
      <c r="H1247" s="55"/>
      <c r="I1247" s="55"/>
      <c r="J1247" s="55"/>
      <c r="K1247" s="55"/>
      <c r="L1247" s="55"/>
      <c r="M1247" s="55"/>
      <c r="N1247" s="55"/>
      <c r="O1247" s="55"/>
      <c r="P1247" s="55"/>
      <c r="Q1247" s="55"/>
      <c r="R1247" s="55"/>
      <c r="S1247" s="55"/>
      <c r="T1247" s="55"/>
      <c r="U1247" s="55"/>
      <c r="V1247" s="55"/>
      <c r="W1247" s="55"/>
      <c r="X1247" s="55"/>
      <c r="Y1247" s="55"/>
      <c r="Z1247" s="55"/>
      <c r="AA1247" s="55"/>
      <c r="AB1247" s="55"/>
      <c r="AC1247" s="55"/>
      <c r="AD1247" s="55"/>
    </row>
    <row r="1248">
      <c r="A1248" s="149"/>
      <c r="B1248" s="149"/>
      <c r="C1248" s="149"/>
      <c r="D1248" s="55"/>
      <c r="E1248" s="55"/>
      <c r="F1248" s="55"/>
      <c r="G1248" s="55"/>
      <c r="H1248" s="55"/>
      <c r="I1248" s="55"/>
      <c r="J1248" s="55"/>
      <c r="K1248" s="55"/>
      <c r="L1248" s="55"/>
      <c r="M1248" s="55"/>
      <c r="N1248" s="55"/>
      <c r="O1248" s="55"/>
      <c r="P1248" s="55"/>
      <c r="Q1248" s="55"/>
      <c r="R1248" s="55"/>
      <c r="S1248" s="55"/>
      <c r="T1248" s="55"/>
      <c r="U1248" s="55"/>
      <c r="V1248" s="55"/>
      <c r="W1248" s="55"/>
      <c r="X1248" s="55"/>
      <c r="Y1248" s="55"/>
      <c r="Z1248" s="55"/>
      <c r="AA1248" s="55"/>
      <c r="AB1248" s="55"/>
      <c r="AC1248" s="55"/>
      <c r="AD1248" s="55"/>
    </row>
    <row r="1249">
      <c r="A1249" s="149"/>
      <c r="B1249" s="149"/>
      <c r="C1249" s="149"/>
      <c r="D1249" s="55"/>
      <c r="E1249" s="55"/>
      <c r="F1249" s="55"/>
      <c r="G1249" s="55"/>
      <c r="H1249" s="55"/>
      <c r="I1249" s="55"/>
      <c r="J1249" s="55"/>
      <c r="K1249" s="55"/>
      <c r="L1249" s="55"/>
      <c r="M1249" s="55"/>
      <c r="N1249" s="55"/>
      <c r="O1249" s="55"/>
      <c r="P1249" s="55"/>
      <c r="Q1249" s="55"/>
      <c r="R1249" s="55"/>
      <c r="S1249" s="55"/>
      <c r="T1249" s="55"/>
      <c r="U1249" s="55"/>
      <c r="V1249" s="55"/>
      <c r="W1249" s="55"/>
      <c r="X1249" s="55"/>
      <c r="Y1249" s="55"/>
      <c r="Z1249" s="55"/>
      <c r="AA1249" s="55"/>
      <c r="AB1249" s="55"/>
      <c r="AC1249" s="55"/>
      <c r="AD1249" s="55"/>
    </row>
    <row r="1250">
      <c r="A1250" s="149"/>
      <c r="B1250" s="149"/>
      <c r="C1250" s="149"/>
      <c r="D1250" s="55"/>
      <c r="E1250" s="55"/>
      <c r="F1250" s="55"/>
      <c r="G1250" s="55"/>
      <c r="H1250" s="55"/>
      <c r="I1250" s="55"/>
      <c r="J1250" s="55"/>
      <c r="K1250" s="55"/>
      <c r="L1250" s="55"/>
      <c r="M1250" s="55"/>
      <c r="N1250" s="55"/>
      <c r="O1250" s="55"/>
      <c r="P1250" s="55"/>
      <c r="Q1250" s="55"/>
      <c r="R1250" s="55"/>
      <c r="S1250" s="55"/>
      <c r="T1250" s="55"/>
      <c r="U1250" s="55"/>
      <c r="V1250" s="55"/>
      <c r="W1250" s="55"/>
      <c r="X1250" s="55"/>
      <c r="Y1250" s="55"/>
      <c r="Z1250" s="55"/>
      <c r="AA1250" s="55"/>
      <c r="AB1250" s="55"/>
      <c r="AC1250" s="55"/>
      <c r="AD1250" s="55"/>
    </row>
    <row r="1251">
      <c r="A1251" s="149"/>
      <c r="B1251" s="149"/>
      <c r="C1251" s="149"/>
      <c r="D1251" s="55"/>
      <c r="E1251" s="55"/>
      <c r="F1251" s="55"/>
      <c r="G1251" s="55"/>
      <c r="H1251" s="55"/>
      <c r="I1251" s="55"/>
      <c r="J1251" s="55"/>
      <c r="K1251" s="55"/>
      <c r="L1251" s="55"/>
      <c r="M1251" s="55"/>
      <c r="N1251" s="55"/>
      <c r="O1251" s="55"/>
      <c r="P1251" s="55"/>
      <c r="Q1251" s="55"/>
      <c r="R1251" s="55"/>
      <c r="S1251" s="55"/>
      <c r="T1251" s="55"/>
      <c r="U1251" s="55"/>
      <c r="V1251" s="55"/>
      <c r="W1251" s="55"/>
      <c r="X1251" s="55"/>
      <c r="Y1251" s="55"/>
      <c r="Z1251" s="55"/>
      <c r="AA1251" s="55"/>
      <c r="AB1251" s="55"/>
      <c r="AC1251" s="55"/>
      <c r="AD1251" s="55"/>
    </row>
    <row r="1252">
      <c r="A1252" s="149"/>
      <c r="B1252" s="149"/>
      <c r="C1252" s="149"/>
      <c r="D1252" s="55"/>
      <c r="E1252" s="55"/>
      <c r="F1252" s="55"/>
      <c r="G1252" s="55"/>
      <c r="H1252" s="55"/>
      <c r="I1252" s="55"/>
      <c r="J1252" s="55"/>
      <c r="K1252" s="55"/>
      <c r="L1252" s="55"/>
      <c r="M1252" s="55"/>
      <c r="N1252" s="55"/>
      <c r="O1252" s="55"/>
      <c r="P1252" s="55"/>
      <c r="Q1252" s="55"/>
      <c r="R1252" s="55"/>
      <c r="S1252" s="55"/>
      <c r="T1252" s="55"/>
      <c r="U1252" s="55"/>
      <c r="V1252" s="55"/>
      <c r="W1252" s="55"/>
      <c r="X1252" s="55"/>
      <c r="Y1252" s="55"/>
      <c r="Z1252" s="55"/>
      <c r="AA1252" s="55"/>
      <c r="AB1252" s="55"/>
      <c r="AC1252" s="55"/>
      <c r="AD1252" s="55"/>
    </row>
    <row r="1253">
      <c r="A1253" s="149"/>
      <c r="B1253" s="149"/>
      <c r="C1253" s="149"/>
      <c r="D1253" s="55"/>
      <c r="E1253" s="55"/>
      <c r="F1253" s="55"/>
      <c r="G1253" s="55"/>
      <c r="H1253" s="55"/>
      <c r="I1253" s="55"/>
      <c r="J1253" s="55"/>
      <c r="K1253" s="55"/>
      <c r="L1253" s="55"/>
      <c r="M1253" s="55"/>
      <c r="N1253" s="55"/>
      <c r="O1253" s="55"/>
      <c r="P1253" s="55"/>
      <c r="Q1253" s="55"/>
      <c r="R1253" s="55"/>
      <c r="S1253" s="55"/>
      <c r="T1253" s="55"/>
      <c r="U1253" s="55"/>
      <c r="V1253" s="55"/>
      <c r="W1253" s="55"/>
      <c r="X1253" s="55"/>
      <c r="Y1253" s="55"/>
      <c r="Z1253" s="55"/>
      <c r="AA1253" s="55"/>
      <c r="AB1253" s="55"/>
      <c r="AC1253" s="55"/>
      <c r="AD1253" s="55"/>
    </row>
    <row r="1254">
      <c r="A1254" s="149"/>
      <c r="B1254" s="149"/>
      <c r="C1254" s="149"/>
      <c r="D1254" s="55"/>
      <c r="E1254" s="55"/>
      <c r="F1254" s="55"/>
      <c r="G1254" s="55"/>
      <c r="H1254" s="55"/>
      <c r="I1254" s="55"/>
      <c r="J1254" s="55"/>
      <c r="K1254" s="55"/>
      <c r="L1254" s="55"/>
      <c r="M1254" s="55"/>
      <c r="N1254" s="55"/>
      <c r="O1254" s="55"/>
      <c r="P1254" s="55"/>
      <c r="Q1254" s="55"/>
      <c r="R1254" s="55"/>
      <c r="S1254" s="55"/>
      <c r="T1254" s="55"/>
      <c r="U1254" s="55"/>
      <c r="V1254" s="55"/>
      <c r="W1254" s="55"/>
      <c r="X1254" s="55"/>
      <c r="Y1254" s="55"/>
      <c r="Z1254" s="55"/>
      <c r="AA1254" s="55"/>
      <c r="AB1254" s="55"/>
      <c r="AC1254" s="55"/>
      <c r="AD1254" s="55"/>
    </row>
    <row r="1255">
      <c r="A1255" s="149"/>
      <c r="B1255" s="149"/>
      <c r="C1255" s="149"/>
      <c r="D1255" s="55"/>
      <c r="E1255" s="55"/>
      <c r="F1255" s="55"/>
      <c r="G1255" s="55"/>
      <c r="H1255" s="55"/>
      <c r="I1255" s="55"/>
      <c r="J1255" s="55"/>
      <c r="K1255" s="55"/>
      <c r="L1255" s="55"/>
      <c r="M1255" s="55"/>
      <c r="N1255" s="55"/>
      <c r="O1255" s="55"/>
      <c r="P1255" s="55"/>
      <c r="Q1255" s="55"/>
      <c r="R1255" s="55"/>
      <c r="S1255" s="55"/>
      <c r="T1255" s="55"/>
      <c r="U1255" s="55"/>
      <c r="V1255" s="55"/>
      <c r="W1255" s="55"/>
      <c r="X1255" s="55"/>
      <c r="Y1255" s="55"/>
      <c r="Z1255" s="55"/>
      <c r="AA1255" s="55"/>
      <c r="AB1255" s="55"/>
      <c r="AC1255" s="55"/>
      <c r="AD1255" s="55"/>
    </row>
    <row r="1256">
      <c r="A1256" s="149"/>
      <c r="B1256" s="149"/>
      <c r="C1256" s="149"/>
      <c r="D1256" s="55"/>
      <c r="E1256" s="55"/>
      <c r="F1256" s="55"/>
      <c r="G1256" s="55"/>
      <c r="H1256" s="55"/>
      <c r="I1256" s="55"/>
      <c r="J1256" s="55"/>
      <c r="K1256" s="55"/>
      <c r="L1256" s="55"/>
      <c r="M1256" s="55"/>
      <c r="N1256" s="55"/>
      <c r="O1256" s="55"/>
      <c r="P1256" s="55"/>
      <c r="Q1256" s="55"/>
      <c r="R1256" s="55"/>
      <c r="S1256" s="55"/>
      <c r="T1256" s="55"/>
      <c r="U1256" s="55"/>
      <c r="V1256" s="55"/>
      <c r="W1256" s="55"/>
      <c r="X1256" s="55"/>
      <c r="Y1256" s="55"/>
      <c r="Z1256" s="55"/>
      <c r="AA1256" s="55"/>
      <c r="AB1256" s="55"/>
      <c r="AC1256" s="55"/>
      <c r="AD1256" s="55"/>
    </row>
    <row r="1257">
      <c r="A1257" s="149"/>
      <c r="B1257" s="149"/>
      <c r="C1257" s="149"/>
      <c r="D1257" s="55"/>
      <c r="E1257" s="55"/>
      <c r="F1257" s="55"/>
      <c r="G1257" s="55"/>
      <c r="H1257" s="55"/>
      <c r="I1257" s="55"/>
      <c r="J1257" s="55"/>
      <c r="K1257" s="55"/>
      <c r="L1257" s="55"/>
      <c r="M1257" s="55"/>
      <c r="N1257" s="55"/>
      <c r="O1257" s="55"/>
      <c r="P1257" s="55"/>
      <c r="Q1257" s="55"/>
      <c r="R1257" s="55"/>
      <c r="S1257" s="55"/>
      <c r="T1257" s="55"/>
      <c r="U1257" s="55"/>
      <c r="V1257" s="55"/>
      <c r="W1257" s="55"/>
      <c r="X1257" s="55"/>
      <c r="Y1257" s="55"/>
      <c r="Z1257" s="55"/>
      <c r="AA1257" s="55"/>
      <c r="AB1257" s="55"/>
      <c r="AC1257" s="55"/>
      <c r="AD1257" s="55"/>
    </row>
    <row r="1258">
      <c r="A1258" s="149"/>
      <c r="B1258" s="149"/>
      <c r="C1258" s="149"/>
      <c r="D1258" s="55"/>
      <c r="E1258" s="55"/>
      <c r="F1258" s="55"/>
      <c r="G1258" s="55"/>
      <c r="H1258" s="55"/>
      <c r="I1258" s="55"/>
      <c r="J1258" s="55"/>
      <c r="K1258" s="55"/>
      <c r="L1258" s="55"/>
      <c r="M1258" s="55"/>
      <c r="N1258" s="55"/>
      <c r="O1258" s="55"/>
      <c r="P1258" s="55"/>
      <c r="Q1258" s="55"/>
      <c r="R1258" s="55"/>
      <c r="S1258" s="55"/>
      <c r="T1258" s="55"/>
      <c r="U1258" s="55"/>
      <c r="V1258" s="55"/>
      <c r="W1258" s="55"/>
      <c r="X1258" s="55"/>
      <c r="Y1258" s="55"/>
      <c r="Z1258" s="55"/>
      <c r="AA1258" s="55"/>
      <c r="AB1258" s="55"/>
      <c r="AC1258" s="55"/>
      <c r="AD1258" s="55"/>
    </row>
    <row r="1259">
      <c r="A1259" s="149"/>
      <c r="B1259" s="149"/>
      <c r="C1259" s="149"/>
      <c r="D1259" s="55"/>
      <c r="E1259" s="55"/>
      <c r="F1259" s="55"/>
      <c r="G1259" s="55"/>
      <c r="H1259" s="55"/>
      <c r="I1259" s="55"/>
      <c r="J1259" s="55"/>
      <c r="K1259" s="55"/>
      <c r="L1259" s="55"/>
      <c r="M1259" s="55"/>
      <c r="N1259" s="55"/>
      <c r="O1259" s="55"/>
      <c r="P1259" s="55"/>
      <c r="Q1259" s="55"/>
      <c r="R1259" s="55"/>
      <c r="S1259" s="55"/>
      <c r="T1259" s="55"/>
      <c r="U1259" s="55"/>
      <c r="V1259" s="55"/>
      <c r="W1259" s="55"/>
      <c r="X1259" s="55"/>
      <c r="Y1259" s="55"/>
      <c r="Z1259" s="55"/>
      <c r="AA1259" s="55"/>
      <c r="AB1259" s="55"/>
      <c r="AC1259" s="55"/>
      <c r="AD1259" s="55"/>
    </row>
    <row r="1260">
      <c r="A1260" s="149"/>
      <c r="B1260" s="149"/>
      <c r="C1260" s="149"/>
      <c r="D1260" s="55"/>
      <c r="E1260" s="55"/>
      <c r="F1260" s="55"/>
      <c r="G1260" s="55"/>
      <c r="H1260" s="55"/>
      <c r="I1260" s="55"/>
      <c r="J1260" s="55"/>
      <c r="K1260" s="55"/>
      <c r="L1260" s="55"/>
      <c r="M1260" s="55"/>
      <c r="N1260" s="55"/>
      <c r="O1260" s="55"/>
      <c r="P1260" s="55"/>
      <c r="Q1260" s="55"/>
      <c r="R1260" s="55"/>
      <c r="S1260" s="55"/>
      <c r="T1260" s="55"/>
      <c r="U1260" s="55"/>
      <c r="V1260" s="55"/>
      <c r="W1260" s="55"/>
      <c r="X1260" s="55"/>
      <c r="Y1260" s="55"/>
      <c r="Z1260" s="55"/>
      <c r="AA1260" s="55"/>
      <c r="AB1260" s="55"/>
      <c r="AC1260" s="55"/>
      <c r="AD1260" s="55"/>
    </row>
    <row r="1261">
      <c r="A1261" s="149"/>
      <c r="B1261" s="149"/>
      <c r="C1261" s="149"/>
      <c r="D1261" s="55"/>
      <c r="E1261" s="55"/>
      <c r="F1261" s="55"/>
      <c r="G1261" s="55"/>
      <c r="H1261" s="55"/>
      <c r="I1261" s="55"/>
      <c r="J1261" s="55"/>
      <c r="K1261" s="55"/>
      <c r="L1261" s="55"/>
      <c r="M1261" s="55"/>
      <c r="N1261" s="55"/>
      <c r="O1261" s="55"/>
      <c r="P1261" s="55"/>
      <c r="Q1261" s="55"/>
      <c r="R1261" s="55"/>
      <c r="S1261" s="55"/>
      <c r="T1261" s="55"/>
      <c r="U1261" s="55"/>
      <c r="V1261" s="55"/>
      <c r="W1261" s="55"/>
      <c r="X1261" s="55"/>
      <c r="Y1261" s="55"/>
      <c r="Z1261" s="55"/>
      <c r="AA1261" s="55"/>
      <c r="AB1261" s="55"/>
      <c r="AC1261" s="55"/>
      <c r="AD1261" s="55"/>
    </row>
    <row r="1262">
      <c r="A1262" s="149"/>
      <c r="B1262" s="149"/>
      <c r="C1262" s="149"/>
      <c r="D1262" s="55"/>
      <c r="E1262" s="55"/>
      <c r="F1262" s="55"/>
      <c r="G1262" s="55"/>
      <c r="H1262" s="55"/>
      <c r="I1262" s="55"/>
      <c r="J1262" s="55"/>
      <c r="K1262" s="55"/>
      <c r="L1262" s="55"/>
      <c r="M1262" s="55"/>
      <c r="N1262" s="55"/>
      <c r="O1262" s="55"/>
      <c r="P1262" s="55"/>
      <c r="Q1262" s="55"/>
      <c r="R1262" s="55"/>
      <c r="S1262" s="55"/>
      <c r="T1262" s="55"/>
      <c r="U1262" s="55"/>
      <c r="V1262" s="55"/>
      <c r="W1262" s="55"/>
      <c r="X1262" s="55"/>
      <c r="Y1262" s="55"/>
      <c r="Z1262" s="55"/>
      <c r="AA1262" s="55"/>
      <c r="AB1262" s="55"/>
      <c r="AC1262" s="55"/>
      <c r="AD1262" s="55"/>
    </row>
    <row r="1263">
      <c r="A1263" s="149"/>
      <c r="B1263" s="149"/>
      <c r="C1263" s="149"/>
      <c r="D1263" s="55"/>
      <c r="E1263" s="55"/>
      <c r="F1263" s="55"/>
      <c r="G1263" s="55"/>
      <c r="H1263" s="55"/>
      <c r="I1263" s="55"/>
      <c r="J1263" s="55"/>
      <c r="K1263" s="55"/>
      <c r="L1263" s="55"/>
      <c r="M1263" s="55"/>
      <c r="N1263" s="55"/>
      <c r="O1263" s="55"/>
      <c r="P1263" s="55"/>
      <c r="Q1263" s="55"/>
      <c r="R1263" s="55"/>
      <c r="S1263" s="55"/>
      <c r="T1263" s="55"/>
      <c r="U1263" s="55"/>
      <c r="V1263" s="55"/>
      <c r="W1263" s="55"/>
      <c r="X1263" s="55"/>
      <c r="Y1263" s="55"/>
      <c r="Z1263" s="55"/>
      <c r="AA1263" s="55"/>
      <c r="AB1263" s="55"/>
      <c r="AC1263" s="55"/>
      <c r="AD1263" s="55"/>
    </row>
    <row r="1264">
      <c r="A1264" s="149"/>
      <c r="B1264" s="149"/>
      <c r="C1264" s="149"/>
      <c r="D1264" s="55"/>
      <c r="E1264" s="55"/>
      <c r="F1264" s="55"/>
      <c r="G1264" s="55"/>
      <c r="H1264" s="55"/>
      <c r="I1264" s="55"/>
      <c r="J1264" s="55"/>
      <c r="K1264" s="55"/>
      <c r="L1264" s="55"/>
      <c r="M1264" s="55"/>
      <c r="N1264" s="55"/>
      <c r="O1264" s="55"/>
      <c r="P1264" s="55"/>
      <c r="Q1264" s="55"/>
      <c r="R1264" s="55"/>
      <c r="S1264" s="55"/>
      <c r="T1264" s="55"/>
      <c r="U1264" s="55"/>
      <c r="V1264" s="55"/>
      <c r="W1264" s="55"/>
      <c r="X1264" s="55"/>
      <c r="Y1264" s="55"/>
      <c r="Z1264" s="55"/>
      <c r="AA1264" s="55"/>
      <c r="AB1264" s="55"/>
      <c r="AC1264" s="55"/>
      <c r="AD1264" s="55"/>
    </row>
    <row r="1265">
      <c r="A1265" s="149"/>
      <c r="B1265" s="149"/>
      <c r="C1265" s="149"/>
      <c r="D1265" s="55"/>
      <c r="E1265" s="55"/>
      <c r="F1265" s="55"/>
      <c r="G1265" s="55"/>
      <c r="H1265" s="55"/>
      <c r="I1265" s="55"/>
      <c r="J1265" s="55"/>
      <c r="K1265" s="55"/>
      <c r="L1265" s="55"/>
      <c r="M1265" s="55"/>
      <c r="N1265" s="55"/>
      <c r="O1265" s="55"/>
      <c r="P1265" s="55"/>
      <c r="Q1265" s="55"/>
      <c r="R1265" s="55"/>
      <c r="S1265" s="55"/>
      <c r="T1265" s="55"/>
      <c r="U1265" s="55"/>
      <c r="V1265" s="55"/>
      <c r="W1265" s="55"/>
      <c r="X1265" s="55"/>
      <c r="Y1265" s="55"/>
      <c r="Z1265" s="55"/>
      <c r="AA1265" s="55"/>
      <c r="AB1265" s="55"/>
      <c r="AC1265" s="55"/>
      <c r="AD1265" s="55"/>
    </row>
    <row r="1266">
      <c r="A1266" s="149"/>
      <c r="B1266" s="149"/>
      <c r="C1266" s="149"/>
      <c r="D1266" s="55"/>
      <c r="E1266" s="55"/>
      <c r="F1266" s="55"/>
      <c r="G1266" s="55"/>
      <c r="H1266" s="55"/>
      <c r="I1266" s="55"/>
      <c r="J1266" s="55"/>
      <c r="K1266" s="55"/>
      <c r="L1266" s="55"/>
      <c r="M1266" s="55"/>
      <c r="N1266" s="55"/>
      <c r="O1266" s="55"/>
      <c r="P1266" s="55"/>
      <c r="Q1266" s="55"/>
      <c r="R1266" s="55"/>
      <c r="S1266" s="55"/>
      <c r="T1266" s="55"/>
      <c r="U1266" s="55"/>
      <c r="V1266" s="55"/>
      <c r="W1266" s="55"/>
      <c r="X1266" s="55"/>
      <c r="Y1266" s="55"/>
      <c r="Z1266" s="55"/>
      <c r="AA1266" s="55"/>
      <c r="AB1266" s="55"/>
      <c r="AC1266" s="55"/>
      <c r="AD1266" s="55"/>
    </row>
    <row r="1267">
      <c r="A1267" s="149"/>
      <c r="B1267" s="149"/>
      <c r="C1267" s="149"/>
      <c r="D1267" s="55"/>
      <c r="E1267" s="55"/>
      <c r="F1267" s="55"/>
      <c r="G1267" s="55"/>
      <c r="H1267" s="55"/>
      <c r="I1267" s="55"/>
      <c r="J1267" s="55"/>
      <c r="K1267" s="55"/>
      <c r="L1267" s="55"/>
      <c r="M1267" s="55"/>
      <c r="N1267" s="55"/>
      <c r="O1267" s="55"/>
      <c r="P1267" s="55"/>
      <c r="Q1267" s="55"/>
      <c r="R1267" s="55"/>
      <c r="S1267" s="55"/>
      <c r="T1267" s="55"/>
      <c r="U1267" s="55"/>
      <c r="V1267" s="55"/>
      <c r="W1267" s="55"/>
      <c r="X1267" s="55"/>
      <c r="Y1267" s="55"/>
      <c r="Z1267" s="55"/>
      <c r="AA1267" s="55"/>
      <c r="AB1267" s="55"/>
      <c r="AC1267" s="55"/>
      <c r="AD1267" s="55"/>
    </row>
    <row r="1268">
      <c r="A1268" s="149"/>
      <c r="B1268" s="149"/>
      <c r="C1268" s="149"/>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row>
    <row r="1269">
      <c r="A1269" s="149"/>
      <c r="B1269" s="149"/>
      <c r="C1269" s="149"/>
      <c r="D1269" s="55"/>
      <c r="E1269" s="55"/>
      <c r="F1269" s="55"/>
      <c r="G1269" s="55"/>
      <c r="H1269" s="55"/>
      <c r="I1269" s="55"/>
      <c r="J1269" s="55"/>
      <c r="K1269" s="55"/>
      <c r="L1269" s="55"/>
      <c r="M1269" s="55"/>
      <c r="N1269" s="55"/>
      <c r="O1269" s="55"/>
      <c r="P1269" s="55"/>
      <c r="Q1269" s="55"/>
      <c r="R1269" s="55"/>
      <c r="S1269" s="55"/>
      <c r="T1269" s="55"/>
      <c r="U1269" s="55"/>
      <c r="V1269" s="55"/>
      <c r="W1269" s="55"/>
      <c r="X1269" s="55"/>
      <c r="Y1269" s="55"/>
      <c r="Z1269" s="55"/>
      <c r="AA1269" s="55"/>
      <c r="AB1269" s="55"/>
      <c r="AC1269" s="55"/>
      <c r="AD1269" s="55"/>
    </row>
    <row r="1270">
      <c r="A1270" s="149"/>
      <c r="B1270" s="149"/>
      <c r="C1270" s="149"/>
      <c r="D1270" s="55"/>
      <c r="E1270" s="55"/>
      <c r="F1270" s="55"/>
      <c r="G1270" s="55"/>
      <c r="H1270" s="55"/>
      <c r="I1270" s="55"/>
      <c r="J1270" s="55"/>
      <c r="K1270" s="55"/>
      <c r="L1270" s="55"/>
      <c r="M1270" s="55"/>
      <c r="N1270" s="55"/>
      <c r="O1270" s="55"/>
      <c r="P1270" s="55"/>
      <c r="Q1270" s="55"/>
      <c r="R1270" s="55"/>
      <c r="S1270" s="55"/>
      <c r="T1270" s="55"/>
      <c r="U1270" s="55"/>
      <c r="V1270" s="55"/>
      <c r="W1270" s="55"/>
      <c r="X1270" s="55"/>
      <c r="Y1270" s="55"/>
      <c r="Z1270" s="55"/>
      <c r="AA1270" s="55"/>
      <c r="AB1270" s="55"/>
      <c r="AC1270" s="55"/>
      <c r="AD1270" s="55"/>
    </row>
    <row r="1271">
      <c r="A1271" s="149"/>
      <c r="B1271" s="149"/>
      <c r="C1271" s="149"/>
      <c r="D1271" s="55"/>
      <c r="E1271" s="55"/>
      <c r="F1271" s="55"/>
      <c r="G1271" s="55"/>
      <c r="H1271" s="55"/>
      <c r="I1271" s="55"/>
      <c r="J1271" s="55"/>
      <c r="K1271" s="55"/>
      <c r="L1271" s="55"/>
      <c r="M1271" s="55"/>
      <c r="N1271" s="55"/>
      <c r="O1271" s="55"/>
      <c r="P1271" s="55"/>
      <c r="Q1271" s="55"/>
      <c r="R1271" s="55"/>
      <c r="S1271" s="55"/>
      <c r="T1271" s="55"/>
      <c r="U1271" s="55"/>
      <c r="V1271" s="55"/>
      <c r="W1271" s="55"/>
      <c r="X1271" s="55"/>
      <c r="Y1271" s="55"/>
      <c r="Z1271" s="55"/>
      <c r="AA1271" s="55"/>
      <c r="AB1271" s="55"/>
      <c r="AC1271" s="55"/>
      <c r="AD1271" s="55"/>
    </row>
    <row r="1272">
      <c r="A1272" s="149"/>
      <c r="B1272" s="149"/>
      <c r="C1272" s="149"/>
      <c r="D1272" s="55"/>
      <c r="E1272" s="55"/>
      <c r="F1272" s="55"/>
      <c r="G1272" s="55"/>
      <c r="H1272" s="55"/>
      <c r="I1272" s="55"/>
      <c r="J1272" s="55"/>
      <c r="K1272" s="55"/>
      <c r="L1272" s="55"/>
      <c r="M1272" s="55"/>
      <c r="N1272" s="55"/>
      <c r="O1272" s="55"/>
      <c r="P1272" s="55"/>
      <c r="Q1272" s="55"/>
      <c r="R1272" s="55"/>
      <c r="S1272" s="55"/>
      <c r="T1272" s="55"/>
      <c r="U1272" s="55"/>
      <c r="V1272" s="55"/>
      <c r="W1272" s="55"/>
      <c r="X1272" s="55"/>
      <c r="Y1272" s="55"/>
      <c r="Z1272" s="55"/>
      <c r="AA1272" s="55"/>
      <c r="AB1272" s="55"/>
      <c r="AC1272" s="55"/>
      <c r="AD1272" s="55"/>
    </row>
    <row r="1273">
      <c r="A1273" s="149"/>
      <c r="B1273" s="149"/>
      <c r="C1273" s="149"/>
      <c r="D1273" s="55"/>
      <c r="E1273" s="55"/>
      <c r="F1273" s="55"/>
      <c r="G1273" s="55"/>
      <c r="H1273" s="55"/>
      <c r="I1273" s="55"/>
      <c r="J1273" s="55"/>
      <c r="K1273" s="55"/>
      <c r="L1273" s="55"/>
      <c r="M1273" s="55"/>
      <c r="N1273" s="55"/>
      <c r="O1273" s="55"/>
      <c r="P1273" s="55"/>
      <c r="Q1273" s="55"/>
      <c r="R1273" s="55"/>
      <c r="S1273" s="55"/>
      <c r="T1273" s="55"/>
      <c r="U1273" s="55"/>
      <c r="V1273" s="55"/>
      <c r="W1273" s="55"/>
      <c r="X1273" s="55"/>
      <c r="Y1273" s="55"/>
      <c r="Z1273" s="55"/>
      <c r="AA1273" s="55"/>
      <c r="AB1273" s="55"/>
      <c r="AC1273" s="55"/>
      <c r="AD1273" s="55"/>
    </row>
    <row r="1274">
      <c r="A1274" s="149"/>
      <c r="B1274" s="149"/>
      <c r="C1274" s="149"/>
      <c r="D1274" s="55"/>
      <c r="E1274" s="55"/>
      <c r="F1274" s="55"/>
      <c r="G1274" s="55"/>
      <c r="H1274" s="55"/>
      <c r="I1274" s="55"/>
      <c r="J1274" s="55"/>
      <c r="K1274" s="55"/>
      <c r="L1274" s="55"/>
      <c r="M1274" s="55"/>
      <c r="N1274" s="55"/>
      <c r="O1274" s="55"/>
      <c r="P1274" s="55"/>
      <c r="Q1274" s="55"/>
      <c r="R1274" s="55"/>
      <c r="S1274" s="55"/>
      <c r="T1274" s="55"/>
      <c r="U1274" s="55"/>
      <c r="V1274" s="55"/>
      <c r="W1274" s="55"/>
      <c r="X1274" s="55"/>
      <c r="Y1274" s="55"/>
      <c r="Z1274" s="55"/>
      <c r="AA1274" s="55"/>
      <c r="AB1274" s="55"/>
      <c r="AC1274" s="55"/>
      <c r="AD1274" s="55"/>
    </row>
    <row r="1275">
      <c r="A1275" s="149"/>
      <c r="B1275" s="149"/>
      <c r="C1275" s="149"/>
      <c r="D1275" s="55"/>
      <c r="E1275" s="55"/>
      <c r="F1275" s="55"/>
      <c r="G1275" s="55"/>
      <c r="H1275" s="55"/>
      <c r="I1275" s="55"/>
      <c r="J1275" s="55"/>
      <c r="K1275" s="55"/>
      <c r="L1275" s="55"/>
      <c r="M1275" s="55"/>
      <c r="N1275" s="55"/>
      <c r="O1275" s="55"/>
      <c r="P1275" s="55"/>
      <c r="Q1275" s="55"/>
      <c r="R1275" s="55"/>
      <c r="S1275" s="55"/>
      <c r="T1275" s="55"/>
      <c r="U1275" s="55"/>
      <c r="V1275" s="55"/>
      <c r="W1275" s="55"/>
      <c r="X1275" s="55"/>
      <c r="Y1275" s="55"/>
      <c r="Z1275" s="55"/>
      <c r="AA1275" s="55"/>
      <c r="AB1275" s="55"/>
      <c r="AC1275" s="55"/>
      <c r="AD1275" s="55"/>
    </row>
    <row r="1276">
      <c r="A1276" s="149"/>
      <c r="B1276" s="149"/>
      <c r="C1276" s="149"/>
      <c r="D1276" s="55"/>
      <c r="E1276" s="55"/>
      <c r="F1276" s="55"/>
      <c r="G1276" s="55"/>
      <c r="H1276" s="55"/>
      <c r="I1276" s="55"/>
      <c r="J1276" s="55"/>
      <c r="K1276" s="55"/>
      <c r="L1276" s="55"/>
      <c r="M1276" s="55"/>
      <c r="N1276" s="55"/>
      <c r="O1276" s="55"/>
      <c r="P1276" s="55"/>
      <c r="Q1276" s="55"/>
      <c r="R1276" s="55"/>
      <c r="S1276" s="55"/>
      <c r="T1276" s="55"/>
      <c r="U1276" s="55"/>
      <c r="V1276" s="55"/>
      <c r="W1276" s="55"/>
      <c r="X1276" s="55"/>
      <c r="Y1276" s="55"/>
      <c r="Z1276" s="55"/>
      <c r="AA1276" s="55"/>
      <c r="AB1276" s="55"/>
      <c r="AC1276" s="55"/>
      <c r="AD1276" s="55"/>
    </row>
    <row r="1277">
      <c r="A1277" s="149"/>
      <c r="B1277" s="149"/>
      <c r="C1277" s="149"/>
      <c r="D1277" s="55"/>
      <c r="E1277" s="55"/>
      <c r="F1277" s="55"/>
      <c r="G1277" s="55"/>
      <c r="H1277" s="55"/>
      <c r="I1277" s="55"/>
      <c r="J1277" s="55"/>
      <c r="K1277" s="55"/>
      <c r="L1277" s="55"/>
      <c r="M1277" s="55"/>
      <c r="N1277" s="55"/>
      <c r="O1277" s="55"/>
      <c r="P1277" s="55"/>
      <c r="Q1277" s="55"/>
      <c r="R1277" s="55"/>
      <c r="S1277" s="55"/>
      <c r="T1277" s="55"/>
      <c r="U1277" s="55"/>
      <c r="V1277" s="55"/>
      <c r="W1277" s="55"/>
      <c r="X1277" s="55"/>
      <c r="Y1277" s="55"/>
      <c r="Z1277" s="55"/>
      <c r="AA1277" s="55"/>
      <c r="AB1277" s="55"/>
      <c r="AC1277" s="55"/>
      <c r="AD1277" s="55"/>
    </row>
    <row r="1278">
      <c r="A1278" s="149"/>
      <c r="B1278" s="149"/>
      <c r="C1278" s="149"/>
      <c r="D1278" s="55"/>
      <c r="E1278" s="55"/>
      <c r="F1278" s="55"/>
      <c r="G1278" s="55"/>
      <c r="H1278" s="55"/>
      <c r="I1278" s="55"/>
      <c r="J1278" s="55"/>
      <c r="K1278" s="55"/>
      <c r="L1278" s="55"/>
      <c r="M1278" s="55"/>
      <c r="N1278" s="55"/>
      <c r="O1278" s="55"/>
      <c r="P1278" s="55"/>
      <c r="Q1278" s="55"/>
      <c r="R1278" s="55"/>
      <c r="S1278" s="55"/>
      <c r="T1278" s="55"/>
      <c r="U1278" s="55"/>
      <c r="V1278" s="55"/>
      <c r="W1278" s="55"/>
      <c r="X1278" s="55"/>
      <c r="Y1278" s="55"/>
      <c r="Z1278" s="55"/>
      <c r="AA1278" s="55"/>
      <c r="AB1278" s="55"/>
      <c r="AC1278" s="55"/>
      <c r="AD1278" s="55"/>
    </row>
    <row r="1279">
      <c r="A1279" s="149"/>
      <c r="B1279" s="149"/>
      <c r="C1279" s="149"/>
      <c r="D1279" s="55"/>
      <c r="E1279" s="55"/>
      <c r="F1279" s="55"/>
      <c r="G1279" s="55"/>
      <c r="H1279" s="55"/>
      <c r="I1279" s="55"/>
      <c r="J1279" s="55"/>
      <c r="K1279" s="55"/>
      <c r="L1279" s="55"/>
      <c r="M1279" s="55"/>
      <c r="N1279" s="55"/>
      <c r="O1279" s="55"/>
      <c r="P1279" s="55"/>
      <c r="Q1279" s="55"/>
      <c r="R1279" s="55"/>
      <c r="S1279" s="55"/>
      <c r="T1279" s="55"/>
      <c r="U1279" s="55"/>
      <c r="V1279" s="55"/>
      <c r="W1279" s="55"/>
      <c r="X1279" s="55"/>
      <c r="Y1279" s="55"/>
      <c r="Z1279" s="55"/>
      <c r="AA1279" s="55"/>
      <c r="AB1279" s="55"/>
      <c r="AC1279" s="55"/>
      <c r="AD1279" s="55"/>
    </row>
    <row r="1280">
      <c r="A1280" s="149"/>
      <c r="B1280" s="149"/>
      <c r="C1280" s="149"/>
      <c r="D1280" s="55"/>
      <c r="E1280" s="55"/>
      <c r="F1280" s="55"/>
      <c r="G1280" s="55"/>
      <c r="H1280" s="55"/>
      <c r="I1280" s="55"/>
      <c r="J1280" s="55"/>
      <c r="K1280" s="55"/>
      <c r="L1280" s="55"/>
      <c r="M1280" s="55"/>
      <c r="N1280" s="55"/>
      <c r="O1280" s="55"/>
      <c r="P1280" s="55"/>
      <c r="Q1280" s="55"/>
      <c r="R1280" s="55"/>
      <c r="S1280" s="55"/>
      <c r="T1280" s="55"/>
      <c r="U1280" s="55"/>
      <c r="V1280" s="55"/>
      <c r="W1280" s="55"/>
      <c r="X1280" s="55"/>
      <c r="Y1280" s="55"/>
      <c r="Z1280" s="55"/>
      <c r="AA1280" s="55"/>
      <c r="AB1280" s="55"/>
      <c r="AC1280" s="55"/>
      <c r="AD1280" s="55"/>
    </row>
    <row r="1281">
      <c r="A1281" s="149"/>
      <c r="B1281" s="149"/>
      <c r="C1281" s="149"/>
      <c r="D1281" s="55"/>
      <c r="E1281" s="55"/>
      <c r="F1281" s="55"/>
      <c r="G1281" s="55"/>
      <c r="H1281" s="55"/>
      <c r="I1281" s="55"/>
      <c r="J1281" s="55"/>
      <c r="K1281" s="55"/>
      <c r="L1281" s="55"/>
      <c r="M1281" s="55"/>
      <c r="N1281" s="55"/>
      <c r="O1281" s="55"/>
      <c r="P1281" s="55"/>
      <c r="Q1281" s="55"/>
      <c r="R1281" s="55"/>
      <c r="S1281" s="55"/>
      <c r="T1281" s="55"/>
      <c r="U1281" s="55"/>
      <c r="V1281" s="55"/>
      <c r="W1281" s="55"/>
      <c r="X1281" s="55"/>
      <c r="Y1281" s="55"/>
      <c r="Z1281" s="55"/>
      <c r="AA1281" s="55"/>
      <c r="AB1281" s="55"/>
      <c r="AC1281" s="55"/>
      <c r="AD1281" s="55"/>
    </row>
    <row r="1282">
      <c r="A1282" s="149"/>
      <c r="B1282" s="149"/>
      <c r="C1282" s="149"/>
      <c r="D1282" s="55"/>
      <c r="E1282" s="55"/>
      <c r="F1282" s="55"/>
      <c r="G1282" s="55"/>
      <c r="H1282" s="55"/>
      <c r="I1282" s="55"/>
      <c r="J1282" s="55"/>
      <c r="K1282" s="55"/>
      <c r="L1282" s="55"/>
      <c r="M1282" s="55"/>
      <c r="N1282" s="55"/>
      <c r="O1282" s="55"/>
      <c r="P1282" s="55"/>
      <c r="Q1282" s="55"/>
      <c r="R1282" s="55"/>
      <c r="S1282" s="55"/>
      <c r="T1282" s="55"/>
      <c r="U1282" s="55"/>
      <c r="V1282" s="55"/>
      <c r="W1282" s="55"/>
      <c r="X1282" s="55"/>
      <c r="Y1282" s="55"/>
      <c r="Z1282" s="55"/>
      <c r="AA1282" s="55"/>
      <c r="AB1282" s="55"/>
      <c r="AC1282" s="55"/>
      <c r="AD1282" s="55"/>
    </row>
    <row r="1283">
      <c r="A1283" s="149"/>
      <c r="B1283" s="149"/>
      <c r="C1283" s="149"/>
      <c r="D1283" s="55"/>
      <c r="E1283" s="55"/>
      <c r="F1283" s="55"/>
      <c r="G1283" s="55"/>
      <c r="H1283" s="55"/>
      <c r="I1283" s="55"/>
      <c r="J1283" s="55"/>
      <c r="K1283" s="55"/>
      <c r="L1283" s="55"/>
      <c r="M1283" s="55"/>
      <c r="N1283" s="55"/>
      <c r="O1283" s="55"/>
      <c r="P1283" s="55"/>
      <c r="Q1283" s="55"/>
      <c r="R1283" s="55"/>
      <c r="S1283" s="55"/>
      <c r="T1283" s="55"/>
      <c r="U1283" s="55"/>
      <c r="V1283" s="55"/>
      <c r="W1283" s="55"/>
      <c r="X1283" s="55"/>
      <c r="Y1283" s="55"/>
      <c r="Z1283" s="55"/>
      <c r="AA1283" s="55"/>
      <c r="AB1283" s="55"/>
      <c r="AC1283" s="55"/>
      <c r="AD1283" s="55"/>
    </row>
    <row r="1284">
      <c r="A1284" s="149"/>
      <c r="B1284" s="149"/>
      <c r="C1284" s="149"/>
      <c r="D1284" s="55"/>
      <c r="E1284" s="55"/>
      <c r="F1284" s="55"/>
      <c r="G1284" s="55"/>
      <c r="H1284" s="55"/>
      <c r="I1284" s="55"/>
      <c r="J1284" s="55"/>
      <c r="K1284" s="55"/>
      <c r="L1284" s="55"/>
      <c r="M1284" s="55"/>
      <c r="N1284" s="55"/>
      <c r="O1284" s="55"/>
      <c r="P1284" s="55"/>
      <c r="Q1284" s="55"/>
      <c r="R1284" s="55"/>
      <c r="S1284" s="55"/>
      <c r="T1284" s="55"/>
      <c r="U1284" s="55"/>
      <c r="V1284" s="55"/>
      <c r="W1284" s="55"/>
      <c r="X1284" s="55"/>
      <c r="Y1284" s="55"/>
      <c r="Z1284" s="55"/>
      <c r="AA1284" s="55"/>
      <c r="AB1284" s="55"/>
      <c r="AC1284" s="55"/>
      <c r="AD1284" s="55"/>
    </row>
    <row r="1285">
      <c r="A1285" s="149"/>
      <c r="B1285" s="149"/>
      <c r="C1285" s="149"/>
      <c r="D1285" s="55"/>
      <c r="E1285" s="55"/>
      <c r="F1285" s="55"/>
      <c r="G1285" s="55"/>
      <c r="H1285" s="55"/>
      <c r="I1285" s="55"/>
      <c r="J1285" s="55"/>
      <c r="K1285" s="55"/>
      <c r="L1285" s="55"/>
      <c r="M1285" s="55"/>
      <c r="N1285" s="55"/>
      <c r="O1285" s="55"/>
      <c r="P1285" s="55"/>
      <c r="Q1285" s="55"/>
      <c r="R1285" s="55"/>
      <c r="S1285" s="55"/>
      <c r="T1285" s="55"/>
      <c r="U1285" s="55"/>
      <c r="V1285" s="55"/>
      <c r="W1285" s="55"/>
      <c r="X1285" s="55"/>
      <c r="Y1285" s="55"/>
      <c r="Z1285" s="55"/>
      <c r="AA1285" s="55"/>
      <c r="AB1285" s="55"/>
      <c r="AC1285" s="55"/>
      <c r="AD1285" s="55"/>
    </row>
    <row r="1286">
      <c r="A1286" s="149"/>
      <c r="B1286" s="149"/>
      <c r="C1286" s="149"/>
      <c r="D1286" s="55"/>
      <c r="E1286" s="55"/>
      <c r="F1286" s="55"/>
      <c r="G1286" s="55"/>
      <c r="H1286" s="55"/>
      <c r="I1286" s="55"/>
      <c r="J1286" s="55"/>
      <c r="K1286" s="55"/>
      <c r="L1286" s="55"/>
      <c r="M1286" s="55"/>
      <c r="N1286" s="55"/>
      <c r="O1286" s="55"/>
      <c r="P1286" s="55"/>
      <c r="Q1286" s="55"/>
      <c r="R1286" s="55"/>
      <c r="S1286" s="55"/>
      <c r="T1286" s="55"/>
      <c r="U1286" s="55"/>
      <c r="V1286" s="55"/>
      <c r="W1286" s="55"/>
      <c r="X1286" s="55"/>
      <c r="Y1286" s="55"/>
      <c r="Z1286" s="55"/>
      <c r="AA1286" s="55"/>
      <c r="AB1286" s="55"/>
      <c r="AC1286" s="55"/>
      <c r="AD1286" s="55"/>
    </row>
    <row r="1287">
      <c r="A1287" s="149"/>
      <c r="B1287" s="149"/>
      <c r="C1287" s="149"/>
      <c r="D1287" s="55"/>
      <c r="E1287" s="55"/>
      <c r="F1287" s="55"/>
      <c r="G1287" s="55"/>
      <c r="H1287" s="55"/>
      <c r="I1287" s="55"/>
      <c r="J1287" s="55"/>
      <c r="K1287" s="55"/>
      <c r="L1287" s="55"/>
      <c r="M1287" s="55"/>
      <c r="N1287" s="55"/>
      <c r="O1287" s="55"/>
      <c r="P1287" s="55"/>
      <c r="Q1287" s="55"/>
      <c r="R1287" s="55"/>
      <c r="S1287" s="55"/>
      <c r="T1287" s="55"/>
      <c r="U1287" s="55"/>
      <c r="V1287" s="55"/>
      <c r="W1287" s="55"/>
      <c r="X1287" s="55"/>
      <c r="Y1287" s="55"/>
      <c r="Z1287" s="55"/>
      <c r="AA1287" s="55"/>
      <c r="AB1287" s="55"/>
      <c r="AC1287" s="55"/>
      <c r="AD1287" s="55"/>
    </row>
    <row r="1288">
      <c r="A1288" s="149"/>
      <c r="B1288" s="149"/>
      <c r="C1288" s="149"/>
      <c r="D1288" s="55"/>
      <c r="E1288" s="55"/>
      <c r="F1288" s="55"/>
      <c r="G1288" s="55"/>
      <c r="H1288" s="55"/>
      <c r="I1288" s="55"/>
      <c r="J1288" s="55"/>
      <c r="K1288" s="55"/>
      <c r="L1288" s="55"/>
      <c r="M1288" s="55"/>
      <c r="N1288" s="55"/>
      <c r="O1288" s="55"/>
      <c r="P1288" s="55"/>
      <c r="Q1288" s="55"/>
      <c r="R1288" s="55"/>
      <c r="S1288" s="55"/>
      <c r="T1288" s="55"/>
      <c r="U1288" s="55"/>
      <c r="V1288" s="55"/>
      <c r="W1288" s="55"/>
      <c r="X1288" s="55"/>
      <c r="Y1288" s="55"/>
      <c r="Z1288" s="55"/>
      <c r="AA1288" s="55"/>
      <c r="AB1288" s="55"/>
      <c r="AC1288" s="55"/>
      <c r="AD1288" s="55"/>
    </row>
    <row r="1289">
      <c r="A1289" s="149"/>
      <c r="B1289" s="149"/>
      <c r="C1289" s="149"/>
      <c r="D1289" s="55"/>
      <c r="E1289" s="55"/>
      <c r="F1289" s="55"/>
      <c r="G1289" s="55"/>
      <c r="H1289" s="55"/>
      <c r="I1289" s="55"/>
      <c r="J1289" s="55"/>
      <c r="K1289" s="55"/>
      <c r="L1289" s="55"/>
      <c r="M1289" s="55"/>
      <c r="N1289" s="55"/>
      <c r="O1289" s="55"/>
      <c r="P1289" s="55"/>
      <c r="Q1289" s="55"/>
      <c r="R1289" s="55"/>
      <c r="S1289" s="55"/>
      <c r="T1289" s="55"/>
      <c r="U1289" s="55"/>
      <c r="V1289" s="55"/>
      <c r="W1289" s="55"/>
      <c r="X1289" s="55"/>
      <c r="Y1289" s="55"/>
      <c r="Z1289" s="55"/>
      <c r="AA1289" s="55"/>
      <c r="AB1289" s="55"/>
      <c r="AC1289" s="55"/>
      <c r="AD1289" s="55"/>
    </row>
    <row r="1290">
      <c r="A1290" s="149"/>
      <c r="B1290" s="149"/>
      <c r="C1290" s="149"/>
      <c r="D1290" s="55"/>
      <c r="E1290" s="55"/>
      <c r="F1290" s="55"/>
      <c r="G1290" s="55"/>
      <c r="H1290" s="55"/>
      <c r="I1290" s="55"/>
      <c r="J1290" s="55"/>
      <c r="K1290" s="55"/>
      <c r="L1290" s="55"/>
      <c r="M1290" s="55"/>
      <c r="N1290" s="55"/>
      <c r="O1290" s="55"/>
      <c r="P1290" s="55"/>
      <c r="Q1290" s="55"/>
      <c r="R1290" s="55"/>
      <c r="S1290" s="55"/>
      <c r="T1290" s="55"/>
      <c r="U1290" s="55"/>
      <c r="V1290" s="55"/>
      <c r="W1290" s="55"/>
      <c r="X1290" s="55"/>
      <c r="Y1290" s="55"/>
      <c r="Z1290" s="55"/>
      <c r="AA1290" s="55"/>
      <c r="AB1290" s="55"/>
      <c r="AC1290" s="55"/>
      <c r="AD1290" s="55"/>
    </row>
    <row r="1291">
      <c r="A1291" s="149"/>
      <c r="B1291" s="149"/>
      <c r="C1291" s="149"/>
      <c r="D1291" s="55"/>
      <c r="E1291" s="55"/>
      <c r="F1291" s="55"/>
      <c r="G1291" s="55"/>
      <c r="H1291" s="55"/>
      <c r="I1291" s="55"/>
      <c r="J1291" s="55"/>
      <c r="K1291" s="55"/>
      <c r="L1291" s="55"/>
      <c r="M1291" s="55"/>
      <c r="N1291" s="55"/>
      <c r="O1291" s="55"/>
      <c r="P1291" s="55"/>
      <c r="Q1291" s="55"/>
      <c r="R1291" s="55"/>
      <c r="S1291" s="55"/>
      <c r="T1291" s="55"/>
      <c r="U1291" s="55"/>
      <c r="V1291" s="55"/>
      <c r="W1291" s="55"/>
      <c r="X1291" s="55"/>
      <c r="Y1291" s="55"/>
      <c r="Z1291" s="55"/>
      <c r="AA1291" s="55"/>
      <c r="AB1291" s="55"/>
      <c r="AC1291" s="55"/>
      <c r="AD1291" s="55"/>
    </row>
    <row r="1292">
      <c r="A1292" s="149"/>
      <c r="B1292" s="149"/>
      <c r="C1292" s="149"/>
      <c r="D1292" s="55"/>
      <c r="E1292" s="55"/>
      <c r="F1292" s="55"/>
      <c r="G1292" s="55"/>
      <c r="H1292" s="55"/>
      <c r="I1292" s="55"/>
      <c r="J1292" s="55"/>
      <c r="K1292" s="55"/>
      <c r="L1292" s="55"/>
      <c r="M1292" s="55"/>
      <c r="N1292" s="55"/>
      <c r="O1292" s="55"/>
      <c r="P1292" s="55"/>
      <c r="Q1292" s="55"/>
      <c r="R1292" s="55"/>
      <c r="S1292" s="55"/>
      <c r="T1292" s="55"/>
      <c r="U1292" s="55"/>
      <c r="V1292" s="55"/>
      <c r="W1292" s="55"/>
      <c r="X1292" s="55"/>
      <c r="Y1292" s="55"/>
      <c r="Z1292" s="55"/>
      <c r="AA1292" s="55"/>
      <c r="AB1292" s="55"/>
      <c r="AC1292" s="55"/>
      <c r="AD1292" s="55"/>
    </row>
    <row r="1293">
      <c r="A1293" s="149"/>
      <c r="B1293" s="149"/>
      <c r="C1293" s="149"/>
      <c r="D1293" s="55"/>
      <c r="E1293" s="55"/>
      <c r="F1293" s="55"/>
      <c r="G1293" s="55"/>
      <c r="H1293" s="55"/>
      <c r="I1293" s="55"/>
      <c r="J1293" s="55"/>
      <c r="K1293" s="55"/>
      <c r="L1293" s="55"/>
      <c r="M1293" s="55"/>
      <c r="N1293" s="55"/>
      <c r="O1293" s="55"/>
      <c r="P1293" s="55"/>
      <c r="Q1293" s="55"/>
      <c r="R1293" s="55"/>
      <c r="S1293" s="55"/>
      <c r="T1293" s="55"/>
      <c r="U1293" s="55"/>
      <c r="V1293" s="55"/>
      <c r="W1293" s="55"/>
      <c r="X1293" s="55"/>
      <c r="Y1293" s="55"/>
      <c r="Z1293" s="55"/>
      <c r="AA1293" s="55"/>
      <c r="AB1293" s="55"/>
      <c r="AC1293" s="55"/>
      <c r="AD1293" s="55"/>
    </row>
    <row r="1294">
      <c r="A1294" s="149"/>
      <c r="B1294" s="149"/>
      <c r="C1294" s="149"/>
      <c r="D1294" s="55"/>
      <c r="E1294" s="55"/>
      <c r="F1294" s="55"/>
      <c r="G1294" s="55"/>
      <c r="H1294" s="55"/>
      <c r="I1294" s="55"/>
      <c r="J1294" s="55"/>
      <c r="K1294" s="55"/>
      <c r="L1294" s="55"/>
      <c r="M1294" s="55"/>
      <c r="N1294" s="55"/>
      <c r="O1294" s="55"/>
      <c r="P1294" s="55"/>
      <c r="Q1294" s="55"/>
      <c r="R1294" s="55"/>
      <c r="S1294" s="55"/>
      <c r="T1294" s="55"/>
      <c r="U1294" s="55"/>
      <c r="V1294" s="55"/>
      <c r="W1294" s="55"/>
      <c r="X1294" s="55"/>
      <c r="Y1294" s="55"/>
      <c r="Z1294" s="55"/>
      <c r="AA1294" s="55"/>
      <c r="AB1294" s="55"/>
      <c r="AC1294" s="55"/>
      <c r="AD1294" s="55"/>
    </row>
    <row r="1295">
      <c r="A1295" s="149"/>
      <c r="B1295" s="149"/>
      <c r="C1295" s="149"/>
      <c r="D1295" s="55"/>
      <c r="E1295" s="55"/>
      <c r="F1295" s="55"/>
      <c r="G1295" s="55"/>
      <c r="H1295" s="55"/>
      <c r="I1295" s="55"/>
      <c r="J1295" s="55"/>
      <c r="K1295" s="55"/>
      <c r="L1295" s="55"/>
      <c r="M1295" s="55"/>
      <c r="N1295" s="55"/>
      <c r="O1295" s="55"/>
      <c r="P1295" s="55"/>
      <c r="Q1295" s="55"/>
      <c r="R1295" s="55"/>
      <c r="S1295" s="55"/>
      <c r="T1295" s="55"/>
      <c r="U1295" s="55"/>
      <c r="V1295" s="55"/>
      <c r="W1295" s="55"/>
      <c r="X1295" s="55"/>
      <c r="Y1295" s="55"/>
      <c r="Z1295" s="55"/>
      <c r="AA1295" s="55"/>
      <c r="AB1295" s="55"/>
      <c r="AC1295" s="55"/>
      <c r="AD1295" s="55"/>
    </row>
    <row r="1296">
      <c r="A1296" s="149"/>
      <c r="B1296" s="149"/>
      <c r="C1296" s="149"/>
      <c r="D1296" s="55"/>
      <c r="E1296" s="55"/>
      <c r="F1296" s="55"/>
      <c r="G1296" s="55"/>
      <c r="H1296" s="55"/>
      <c r="I1296" s="55"/>
      <c r="J1296" s="55"/>
      <c r="K1296" s="55"/>
      <c r="L1296" s="55"/>
      <c r="M1296" s="55"/>
      <c r="N1296" s="55"/>
      <c r="O1296" s="55"/>
      <c r="P1296" s="55"/>
      <c r="Q1296" s="55"/>
      <c r="R1296" s="55"/>
      <c r="S1296" s="55"/>
      <c r="T1296" s="55"/>
      <c r="U1296" s="55"/>
      <c r="V1296" s="55"/>
      <c r="W1296" s="55"/>
      <c r="X1296" s="55"/>
      <c r="Y1296" s="55"/>
      <c r="Z1296" s="55"/>
      <c r="AA1296" s="55"/>
      <c r="AB1296" s="55"/>
      <c r="AC1296" s="55"/>
      <c r="AD1296" s="55"/>
    </row>
    <row r="1297">
      <c r="A1297" s="149"/>
      <c r="B1297" s="149"/>
      <c r="C1297" s="149"/>
      <c r="D1297" s="55"/>
      <c r="E1297" s="55"/>
      <c r="F1297" s="55"/>
      <c r="G1297" s="55"/>
      <c r="H1297" s="55"/>
      <c r="I1297" s="55"/>
      <c r="J1297" s="55"/>
      <c r="K1297" s="55"/>
      <c r="L1297" s="55"/>
      <c r="M1297" s="55"/>
      <c r="N1297" s="55"/>
      <c r="O1297" s="55"/>
      <c r="P1297" s="55"/>
      <c r="Q1297" s="55"/>
      <c r="R1297" s="55"/>
      <c r="S1297" s="55"/>
      <c r="T1297" s="55"/>
      <c r="U1297" s="55"/>
      <c r="V1297" s="55"/>
      <c r="W1297" s="55"/>
      <c r="X1297" s="55"/>
      <c r="Y1297" s="55"/>
      <c r="Z1297" s="55"/>
      <c r="AA1297" s="55"/>
      <c r="AB1297" s="55"/>
      <c r="AC1297" s="55"/>
      <c r="AD1297" s="55"/>
    </row>
    <row r="1298">
      <c r="A1298" s="149"/>
      <c r="B1298" s="149"/>
      <c r="C1298" s="149"/>
      <c r="D1298" s="55"/>
      <c r="E1298" s="55"/>
      <c r="F1298" s="55"/>
      <c r="G1298" s="55"/>
      <c r="H1298" s="55"/>
      <c r="I1298" s="55"/>
      <c r="J1298" s="55"/>
      <c r="K1298" s="55"/>
      <c r="L1298" s="55"/>
      <c r="M1298" s="55"/>
      <c r="N1298" s="55"/>
      <c r="O1298" s="55"/>
      <c r="P1298" s="55"/>
      <c r="Q1298" s="55"/>
      <c r="R1298" s="55"/>
      <c r="S1298" s="55"/>
      <c r="T1298" s="55"/>
      <c r="U1298" s="55"/>
      <c r="V1298" s="55"/>
      <c r="W1298" s="55"/>
      <c r="X1298" s="55"/>
      <c r="Y1298" s="55"/>
      <c r="Z1298" s="55"/>
      <c r="AA1298" s="55"/>
      <c r="AB1298" s="55"/>
      <c r="AC1298" s="55"/>
      <c r="AD1298" s="55"/>
    </row>
    <row r="1299">
      <c r="A1299" s="149"/>
      <c r="B1299" s="149"/>
      <c r="C1299" s="149"/>
      <c r="D1299" s="55"/>
      <c r="E1299" s="55"/>
      <c r="F1299" s="55"/>
      <c r="G1299" s="55"/>
      <c r="H1299" s="55"/>
      <c r="I1299" s="55"/>
      <c r="J1299" s="55"/>
      <c r="K1299" s="55"/>
      <c r="L1299" s="55"/>
      <c r="M1299" s="55"/>
      <c r="N1299" s="55"/>
      <c r="O1299" s="55"/>
      <c r="P1299" s="55"/>
      <c r="Q1299" s="55"/>
      <c r="R1299" s="55"/>
      <c r="S1299" s="55"/>
      <c r="T1299" s="55"/>
      <c r="U1299" s="55"/>
      <c r="V1299" s="55"/>
      <c r="W1299" s="55"/>
      <c r="X1299" s="55"/>
      <c r="Y1299" s="55"/>
      <c r="Z1299" s="55"/>
      <c r="AA1299" s="55"/>
      <c r="AB1299" s="55"/>
      <c r="AC1299" s="55"/>
      <c r="AD1299" s="55"/>
    </row>
    <row r="1300">
      <c r="A1300" s="149"/>
      <c r="B1300" s="149"/>
      <c r="C1300" s="149"/>
      <c r="D1300" s="55"/>
      <c r="E1300" s="55"/>
      <c r="F1300" s="55"/>
      <c r="G1300" s="55"/>
      <c r="H1300" s="55"/>
      <c r="I1300" s="55"/>
      <c r="J1300" s="55"/>
      <c r="K1300" s="55"/>
      <c r="L1300" s="55"/>
      <c r="M1300" s="55"/>
      <c r="N1300" s="55"/>
      <c r="O1300" s="55"/>
      <c r="P1300" s="55"/>
      <c r="Q1300" s="55"/>
      <c r="R1300" s="55"/>
      <c r="S1300" s="55"/>
      <c r="T1300" s="55"/>
      <c r="U1300" s="55"/>
      <c r="V1300" s="55"/>
      <c r="W1300" s="55"/>
      <c r="X1300" s="55"/>
      <c r="Y1300" s="55"/>
      <c r="Z1300" s="55"/>
      <c r="AA1300" s="55"/>
      <c r="AB1300" s="55"/>
      <c r="AC1300" s="55"/>
      <c r="AD1300" s="55"/>
    </row>
    <row r="1301">
      <c r="A1301" s="149"/>
      <c r="B1301" s="149"/>
      <c r="C1301" s="149"/>
      <c r="D1301" s="55"/>
      <c r="E1301" s="55"/>
      <c r="F1301" s="55"/>
      <c r="G1301" s="55"/>
      <c r="H1301" s="55"/>
      <c r="I1301" s="55"/>
      <c r="J1301" s="55"/>
      <c r="K1301" s="55"/>
      <c r="L1301" s="55"/>
      <c r="M1301" s="55"/>
      <c r="N1301" s="55"/>
      <c r="O1301" s="55"/>
      <c r="P1301" s="55"/>
      <c r="Q1301" s="55"/>
      <c r="R1301" s="55"/>
      <c r="S1301" s="55"/>
      <c r="T1301" s="55"/>
      <c r="U1301" s="55"/>
      <c r="V1301" s="55"/>
      <c r="W1301" s="55"/>
      <c r="X1301" s="55"/>
      <c r="Y1301" s="55"/>
      <c r="Z1301" s="55"/>
      <c r="AA1301" s="55"/>
      <c r="AB1301" s="55"/>
      <c r="AC1301" s="55"/>
      <c r="AD1301" s="55"/>
    </row>
    <row r="1302">
      <c r="A1302" s="149"/>
      <c r="B1302" s="149"/>
      <c r="C1302" s="149"/>
      <c r="D1302" s="55"/>
      <c r="E1302" s="55"/>
      <c r="F1302" s="55"/>
      <c r="G1302" s="55"/>
      <c r="H1302" s="55"/>
      <c r="I1302" s="55"/>
      <c r="J1302" s="55"/>
      <c r="K1302" s="55"/>
      <c r="L1302" s="55"/>
      <c r="M1302" s="55"/>
      <c r="N1302" s="55"/>
      <c r="O1302" s="55"/>
      <c r="P1302" s="55"/>
      <c r="Q1302" s="55"/>
      <c r="R1302" s="55"/>
      <c r="S1302" s="55"/>
      <c r="T1302" s="55"/>
      <c r="U1302" s="55"/>
      <c r="V1302" s="55"/>
      <c r="W1302" s="55"/>
      <c r="X1302" s="55"/>
      <c r="Y1302" s="55"/>
      <c r="Z1302" s="55"/>
      <c r="AA1302" s="55"/>
      <c r="AB1302" s="55"/>
      <c r="AC1302" s="55"/>
      <c r="AD1302" s="55"/>
    </row>
    <row r="1303">
      <c r="A1303" s="149"/>
      <c r="B1303" s="149"/>
      <c r="C1303" s="149"/>
      <c r="D1303" s="55"/>
      <c r="E1303" s="55"/>
      <c r="F1303" s="55"/>
      <c r="G1303" s="55"/>
      <c r="H1303" s="55"/>
      <c r="I1303" s="55"/>
      <c r="J1303" s="55"/>
      <c r="K1303" s="55"/>
      <c r="L1303" s="55"/>
      <c r="M1303" s="55"/>
      <c r="N1303" s="55"/>
      <c r="O1303" s="55"/>
      <c r="P1303" s="55"/>
      <c r="Q1303" s="55"/>
      <c r="R1303" s="55"/>
      <c r="S1303" s="55"/>
      <c r="T1303" s="55"/>
      <c r="U1303" s="55"/>
      <c r="V1303" s="55"/>
      <c r="W1303" s="55"/>
      <c r="X1303" s="55"/>
      <c r="Y1303" s="55"/>
      <c r="Z1303" s="55"/>
      <c r="AA1303" s="55"/>
      <c r="AB1303" s="55"/>
      <c r="AC1303" s="55"/>
      <c r="AD1303" s="55"/>
    </row>
    <row r="1304">
      <c r="A1304" s="149"/>
      <c r="B1304" s="149"/>
      <c r="C1304" s="149"/>
      <c r="D1304" s="55"/>
      <c r="E1304" s="55"/>
      <c r="F1304" s="55"/>
      <c r="G1304" s="55"/>
      <c r="H1304" s="55"/>
      <c r="I1304" s="55"/>
      <c r="J1304" s="55"/>
      <c r="K1304" s="55"/>
      <c r="L1304" s="55"/>
      <c r="M1304" s="55"/>
      <c r="N1304" s="55"/>
      <c r="O1304" s="55"/>
      <c r="P1304" s="55"/>
      <c r="Q1304" s="55"/>
      <c r="R1304" s="55"/>
      <c r="S1304" s="55"/>
      <c r="T1304" s="55"/>
      <c r="U1304" s="55"/>
      <c r="V1304" s="55"/>
      <c r="W1304" s="55"/>
      <c r="X1304" s="55"/>
      <c r="Y1304" s="55"/>
      <c r="Z1304" s="55"/>
      <c r="AA1304" s="55"/>
      <c r="AB1304" s="55"/>
      <c r="AC1304" s="55"/>
      <c r="AD1304" s="55"/>
    </row>
    <row r="1305">
      <c r="A1305" s="149"/>
      <c r="B1305" s="149"/>
      <c r="C1305" s="149"/>
      <c r="D1305" s="55"/>
      <c r="E1305" s="55"/>
      <c r="F1305" s="55"/>
      <c r="G1305" s="55"/>
      <c r="H1305" s="55"/>
      <c r="I1305" s="55"/>
      <c r="J1305" s="55"/>
      <c r="K1305" s="55"/>
      <c r="L1305" s="55"/>
      <c r="M1305" s="55"/>
      <c r="N1305" s="55"/>
      <c r="O1305" s="55"/>
      <c r="P1305" s="55"/>
      <c r="Q1305" s="55"/>
      <c r="R1305" s="55"/>
      <c r="S1305" s="55"/>
      <c r="T1305" s="55"/>
      <c r="U1305" s="55"/>
      <c r="V1305" s="55"/>
      <c r="W1305" s="55"/>
      <c r="X1305" s="55"/>
      <c r="Y1305" s="55"/>
      <c r="Z1305" s="55"/>
      <c r="AA1305" s="55"/>
      <c r="AB1305" s="55"/>
      <c r="AC1305" s="55"/>
      <c r="AD1305" s="55"/>
    </row>
    <row r="1306">
      <c r="A1306" s="149"/>
      <c r="B1306" s="149"/>
      <c r="C1306" s="149"/>
      <c r="D1306" s="55"/>
      <c r="E1306" s="55"/>
      <c r="F1306" s="55"/>
      <c r="G1306" s="55"/>
      <c r="H1306" s="55"/>
      <c r="I1306" s="55"/>
      <c r="J1306" s="55"/>
      <c r="K1306" s="55"/>
      <c r="L1306" s="55"/>
      <c r="M1306" s="55"/>
      <c r="N1306" s="55"/>
      <c r="O1306" s="55"/>
      <c r="P1306" s="55"/>
      <c r="Q1306" s="55"/>
      <c r="R1306" s="55"/>
      <c r="S1306" s="55"/>
      <c r="T1306" s="55"/>
      <c r="U1306" s="55"/>
      <c r="V1306" s="55"/>
      <c r="W1306" s="55"/>
      <c r="X1306" s="55"/>
      <c r="Y1306" s="55"/>
      <c r="Z1306" s="55"/>
      <c r="AA1306" s="55"/>
      <c r="AB1306" s="55"/>
      <c r="AC1306" s="55"/>
      <c r="AD1306" s="55"/>
    </row>
    <row r="1307">
      <c r="A1307" s="149"/>
      <c r="B1307" s="149"/>
      <c r="C1307" s="149"/>
      <c r="D1307" s="55"/>
      <c r="E1307" s="55"/>
      <c r="F1307" s="55"/>
      <c r="G1307" s="55"/>
      <c r="H1307" s="55"/>
      <c r="I1307" s="55"/>
      <c r="J1307" s="55"/>
      <c r="K1307" s="55"/>
      <c r="L1307" s="55"/>
      <c r="M1307" s="55"/>
      <c r="N1307" s="55"/>
      <c r="O1307" s="55"/>
      <c r="P1307" s="55"/>
      <c r="Q1307" s="55"/>
      <c r="R1307" s="55"/>
      <c r="S1307" s="55"/>
      <c r="T1307" s="55"/>
      <c r="U1307" s="55"/>
      <c r="V1307" s="55"/>
      <c r="W1307" s="55"/>
      <c r="X1307" s="55"/>
      <c r="Y1307" s="55"/>
      <c r="Z1307" s="55"/>
      <c r="AA1307" s="55"/>
      <c r="AB1307" s="55"/>
      <c r="AC1307" s="55"/>
      <c r="AD1307" s="55"/>
    </row>
    <row r="1308">
      <c r="A1308" s="149"/>
      <c r="B1308" s="149"/>
      <c r="C1308" s="149"/>
      <c r="D1308" s="55"/>
      <c r="E1308" s="55"/>
      <c r="F1308" s="55"/>
      <c r="G1308" s="55"/>
      <c r="H1308" s="55"/>
      <c r="I1308" s="55"/>
      <c r="J1308" s="55"/>
      <c r="K1308" s="55"/>
      <c r="L1308" s="55"/>
      <c r="M1308" s="55"/>
      <c r="N1308" s="55"/>
      <c r="O1308" s="55"/>
      <c r="P1308" s="55"/>
      <c r="Q1308" s="55"/>
      <c r="R1308" s="55"/>
      <c r="S1308" s="55"/>
      <c r="T1308" s="55"/>
      <c r="U1308" s="55"/>
      <c r="V1308" s="55"/>
      <c r="W1308" s="55"/>
      <c r="X1308" s="55"/>
      <c r="Y1308" s="55"/>
      <c r="Z1308" s="55"/>
      <c r="AA1308" s="55"/>
      <c r="AB1308" s="55"/>
      <c r="AC1308" s="55"/>
      <c r="AD1308" s="55"/>
    </row>
    <row r="1309">
      <c r="A1309" s="149"/>
      <c r="B1309" s="149"/>
      <c r="C1309" s="149"/>
      <c r="D1309" s="55"/>
      <c r="E1309" s="55"/>
      <c r="F1309" s="55"/>
      <c r="G1309" s="55"/>
      <c r="H1309" s="55"/>
      <c r="I1309" s="55"/>
      <c r="J1309" s="55"/>
      <c r="K1309" s="55"/>
      <c r="L1309" s="55"/>
      <c r="M1309" s="55"/>
      <c r="N1309" s="55"/>
      <c r="O1309" s="55"/>
      <c r="P1309" s="55"/>
      <c r="Q1309" s="55"/>
      <c r="R1309" s="55"/>
      <c r="S1309" s="55"/>
      <c r="T1309" s="55"/>
      <c r="U1309" s="55"/>
      <c r="V1309" s="55"/>
      <c r="W1309" s="55"/>
      <c r="X1309" s="55"/>
      <c r="Y1309" s="55"/>
      <c r="Z1309" s="55"/>
      <c r="AA1309" s="55"/>
      <c r="AB1309" s="55"/>
      <c r="AC1309" s="55"/>
      <c r="AD1309" s="55"/>
    </row>
    <row r="1310">
      <c r="A1310" s="149"/>
      <c r="B1310" s="149"/>
      <c r="C1310" s="149"/>
      <c r="D1310" s="55"/>
      <c r="E1310" s="55"/>
      <c r="F1310" s="55"/>
      <c r="G1310" s="55"/>
      <c r="H1310" s="55"/>
      <c r="I1310" s="55"/>
      <c r="J1310" s="55"/>
      <c r="K1310" s="55"/>
      <c r="L1310" s="55"/>
      <c r="M1310" s="55"/>
      <c r="N1310" s="55"/>
      <c r="O1310" s="55"/>
      <c r="P1310" s="55"/>
      <c r="Q1310" s="55"/>
      <c r="R1310" s="55"/>
      <c r="S1310" s="55"/>
      <c r="T1310" s="55"/>
      <c r="U1310" s="55"/>
      <c r="V1310" s="55"/>
      <c r="W1310" s="55"/>
      <c r="X1310" s="55"/>
      <c r="Y1310" s="55"/>
      <c r="Z1310" s="55"/>
      <c r="AA1310" s="55"/>
      <c r="AB1310" s="55"/>
      <c r="AC1310" s="55"/>
      <c r="AD1310" s="55"/>
    </row>
    <row r="1311">
      <c r="A1311" s="149"/>
      <c r="B1311" s="149"/>
      <c r="C1311" s="149"/>
      <c r="D1311" s="55"/>
      <c r="E1311" s="55"/>
      <c r="F1311" s="55"/>
      <c r="G1311" s="55"/>
      <c r="H1311" s="55"/>
      <c r="I1311" s="55"/>
      <c r="J1311" s="55"/>
      <c r="K1311" s="55"/>
      <c r="L1311" s="55"/>
      <c r="M1311" s="55"/>
      <c r="N1311" s="55"/>
      <c r="O1311" s="55"/>
      <c r="P1311" s="55"/>
      <c r="Q1311" s="55"/>
      <c r="R1311" s="55"/>
      <c r="S1311" s="55"/>
      <c r="T1311" s="55"/>
      <c r="U1311" s="55"/>
      <c r="V1311" s="55"/>
      <c r="W1311" s="55"/>
      <c r="X1311" s="55"/>
      <c r="Y1311" s="55"/>
      <c r="Z1311" s="55"/>
      <c r="AA1311" s="55"/>
      <c r="AB1311" s="55"/>
      <c r="AC1311" s="55"/>
      <c r="AD1311" s="55"/>
    </row>
  </sheetData>
  <customSheetViews>
    <customSheetView guid="{B9B40D7A-6EAE-4980-8EA7-1E95F9ED6C6F}" filter="1" showAutoFilter="1">
      <autoFilter ref="$A$1:$L$533"/>
    </customSheetView>
    <customSheetView guid="{5D0D3789-3B3F-4C1E-9519-EA1440E6015A}" filter="1" showAutoFilter="1">
      <autoFilter ref="$A$1:$L$123"/>
    </customSheetView>
  </customSheetViews>
  <conditionalFormatting sqref="I1:I1311">
    <cfRule type="cellIs" dxfId="1" priority="1" operator="between">
      <formula>today() +30</formula>
      <formula>today() -30</formula>
    </cfRule>
  </conditionalFormatting>
  <conditionalFormatting sqref="K1:K1311">
    <cfRule type="cellIs" dxfId="1" priority="2" operator="between">
      <formula>today() +30</formula>
      <formula>today() -30</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8.0"/>
    <col customWidth="1" min="2" max="2" width="22.29"/>
    <col customWidth="1" min="3" max="3" width="15.43"/>
    <col customWidth="1" min="4" max="4" width="51.29"/>
    <col customWidth="1" min="5" max="5" width="31.29"/>
    <col customWidth="1" min="6" max="7" width="21.57"/>
    <col customWidth="1" min="8" max="8" width="18.43"/>
    <col customWidth="1" min="9" max="9" width="35.43"/>
    <col customWidth="1" min="10" max="10" width="20.0"/>
    <col customWidth="1" min="11" max="11" width="19.71"/>
    <col customWidth="1" min="12" max="12" width="18.86"/>
    <col customWidth="1" min="13" max="13" width="19.71"/>
    <col customWidth="1" min="14" max="14" width="21.57"/>
    <col customWidth="1" min="15" max="15" width="9.14"/>
    <col customWidth="1" min="16" max="16" width="18.43"/>
    <col customWidth="1" min="17" max="17" width="15.86"/>
    <col customWidth="1" min="18" max="30" width="21.57"/>
  </cols>
  <sheetData>
    <row r="1" ht="52.5" customHeight="1">
      <c r="A1" s="152" t="s">
        <v>58</v>
      </c>
      <c r="B1" s="152" t="s">
        <v>372</v>
      </c>
      <c r="C1" s="152" t="s">
        <v>373</v>
      </c>
      <c r="D1" s="152" t="s">
        <v>374</v>
      </c>
      <c r="E1" s="152" t="s">
        <v>375</v>
      </c>
      <c r="F1" s="152" t="s">
        <v>376</v>
      </c>
      <c r="G1" s="152" t="s">
        <v>377</v>
      </c>
      <c r="H1" s="152" t="s">
        <v>378</v>
      </c>
      <c r="I1" s="152" t="s">
        <v>379</v>
      </c>
      <c r="J1" s="152" t="s">
        <v>380</v>
      </c>
      <c r="K1" s="152" t="s">
        <v>381</v>
      </c>
      <c r="L1" s="152" t="s">
        <v>382</v>
      </c>
      <c r="M1" s="152" t="s">
        <v>383</v>
      </c>
      <c r="N1" s="152" t="s">
        <v>384</v>
      </c>
      <c r="O1" s="152" t="s">
        <v>385</v>
      </c>
      <c r="P1" s="152" t="s">
        <v>386</v>
      </c>
      <c r="Q1" s="152" t="s">
        <v>387</v>
      </c>
      <c r="R1" s="152" t="s">
        <v>388</v>
      </c>
      <c r="S1" s="152" t="s">
        <v>389</v>
      </c>
      <c r="T1" s="152" t="s">
        <v>390</v>
      </c>
      <c r="U1" s="152" t="s">
        <v>391</v>
      </c>
      <c r="V1" s="152" t="s">
        <v>392</v>
      </c>
      <c r="W1" s="152" t="s">
        <v>393</v>
      </c>
      <c r="X1" s="152" t="s">
        <v>394</v>
      </c>
      <c r="Y1" s="153"/>
      <c r="Z1" s="153"/>
      <c r="AA1" s="153"/>
      <c r="AB1" s="153"/>
      <c r="AC1" s="153"/>
      <c r="AD1" s="153"/>
      <c r="AE1" s="153"/>
      <c r="AF1" s="153"/>
      <c r="AG1" s="153"/>
      <c r="AH1" s="153"/>
      <c r="AI1" s="153"/>
      <c r="AJ1" s="153"/>
      <c r="AK1" s="153"/>
      <c r="AL1" s="153"/>
      <c r="AM1" s="153"/>
      <c r="AN1" s="153"/>
      <c r="AO1" s="153"/>
      <c r="AP1" s="153"/>
      <c r="AQ1" s="153"/>
      <c r="AR1" s="153"/>
      <c r="AS1" s="153"/>
      <c r="AT1" s="153"/>
      <c r="AU1" s="153"/>
      <c r="AV1" s="153"/>
      <c r="AW1" s="153"/>
    </row>
    <row r="2">
      <c r="A2" s="154">
        <v>43442.51732141204</v>
      </c>
      <c r="B2" s="116" t="s">
        <v>395</v>
      </c>
      <c r="C2" s="116" t="s">
        <v>396</v>
      </c>
      <c r="E2" s="116" t="s">
        <v>397</v>
      </c>
      <c r="F2" s="116" t="s">
        <v>398</v>
      </c>
      <c r="G2" s="116" t="s">
        <v>399</v>
      </c>
      <c r="H2" s="116" t="s">
        <v>63</v>
      </c>
      <c r="I2" s="116" t="s">
        <v>136</v>
      </c>
      <c r="J2" s="116" t="s">
        <v>400</v>
      </c>
      <c r="K2" s="116" t="s">
        <v>251</v>
      </c>
      <c r="L2" s="116" t="s">
        <v>401</v>
      </c>
      <c r="M2" s="116" t="s">
        <v>163</v>
      </c>
      <c r="N2" s="116" t="s">
        <v>402</v>
      </c>
      <c r="O2" s="116" t="s">
        <v>403</v>
      </c>
      <c r="P2" s="116" t="s">
        <v>404</v>
      </c>
      <c r="R2" s="116" t="s">
        <v>405</v>
      </c>
      <c r="S2" s="155"/>
      <c r="T2" s="155"/>
      <c r="U2" s="155"/>
      <c r="V2" s="155"/>
      <c r="W2" s="155"/>
      <c r="X2" s="155"/>
      <c r="Y2" s="126"/>
    </row>
    <row r="3">
      <c r="A3" s="154">
        <v>43444.757240694445</v>
      </c>
      <c r="B3" s="116" t="s">
        <v>406</v>
      </c>
      <c r="C3" s="116" t="s">
        <v>407</v>
      </c>
      <c r="D3" s="116" t="s">
        <v>408</v>
      </c>
      <c r="E3" s="116" t="s">
        <v>409</v>
      </c>
      <c r="F3" s="116" t="s">
        <v>410</v>
      </c>
      <c r="G3" s="116" t="s">
        <v>411</v>
      </c>
      <c r="H3" s="116" t="s">
        <v>63</v>
      </c>
      <c r="I3" s="116" t="s">
        <v>401</v>
      </c>
      <c r="J3" s="116" t="s">
        <v>163</v>
      </c>
      <c r="K3" s="116" t="s">
        <v>400</v>
      </c>
      <c r="L3" s="116" t="s">
        <v>251</v>
      </c>
      <c r="M3" s="116" t="s">
        <v>136</v>
      </c>
      <c r="N3" s="116" t="s">
        <v>412</v>
      </c>
      <c r="O3" s="116" t="s">
        <v>403</v>
      </c>
      <c r="P3" s="116" t="s">
        <v>413</v>
      </c>
      <c r="R3" s="116" t="s">
        <v>405</v>
      </c>
      <c r="S3" s="155"/>
      <c r="T3" s="155"/>
      <c r="U3" s="155"/>
      <c r="V3" s="155"/>
      <c r="W3" s="155"/>
      <c r="X3" s="155"/>
      <c r="Y3" s="126"/>
    </row>
    <row r="4">
      <c r="A4" s="154">
        <v>43446.43219766204</v>
      </c>
      <c r="B4" s="116" t="s">
        <v>414</v>
      </c>
      <c r="C4" s="116" t="s">
        <v>415</v>
      </c>
      <c r="D4" s="116" t="s">
        <v>416</v>
      </c>
      <c r="E4" s="116" t="s">
        <v>417</v>
      </c>
      <c r="F4" s="116" t="s">
        <v>418</v>
      </c>
      <c r="G4" s="116" t="s">
        <v>419</v>
      </c>
      <c r="H4" s="116" t="s">
        <v>202</v>
      </c>
      <c r="I4" s="116" t="s">
        <v>251</v>
      </c>
      <c r="J4" s="116" t="s">
        <v>136</v>
      </c>
      <c r="N4" s="116" t="s">
        <v>130</v>
      </c>
      <c r="O4" s="116" t="s">
        <v>403</v>
      </c>
      <c r="P4" s="116" t="s">
        <v>420</v>
      </c>
      <c r="R4" s="116" t="s">
        <v>405</v>
      </c>
      <c r="S4" s="155"/>
      <c r="T4" s="155"/>
      <c r="U4" s="155"/>
      <c r="V4" s="155"/>
      <c r="W4" s="155"/>
      <c r="X4" s="155"/>
      <c r="Y4" s="126"/>
    </row>
    <row r="5">
      <c r="A5" s="154">
        <v>43446.65079341435</v>
      </c>
      <c r="B5" s="116" t="s">
        <v>421</v>
      </c>
      <c r="C5" s="116" t="s">
        <v>422</v>
      </c>
      <c r="E5" s="116" t="s">
        <v>423</v>
      </c>
      <c r="F5" s="116" t="s">
        <v>398</v>
      </c>
      <c r="G5" s="116" t="s">
        <v>424</v>
      </c>
      <c r="H5" s="116" t="s">
        <v>63</v>
      </c>
      <c r="I5" s="116" t="s">
        <v>400</v>
      </c>
      <c r="J5" s="116" t="s">
        <v>251</v>
      </c>
      <c r="K5" s="116" t="s">
        <v>401</v>
      </c>
      <c r="N5" s="116" t="s">
        <v>425</v>
      </c>
      <c r="O5" s="116" t="s">
        <v>403</v>
      </c>
      <c r="P5" s="116" t="s">
        <v>426</v>
      </c>
      <c r="R5" s="116" t="s">
        <v>405</v>
      </c>
      <c r="S5" s="155"/>
      <c r="T5" s="155"/>
      <c r="U5" s="155"/>
      <c r="V5" s="155"/>
      <c r="W5" s="155"/>
      <c r="X5" s="155"/>
      <c r="Y5" s="126"/>
    </row>
    <row r="6">
      <c r="A6" s="154">
        <v>43446.70358693287</v>
      </c>
      <c r="B6" s="116" t="s">
        <v>427</v>
      </c>
      <c r="C6" s="116" t="s">
        <v>428</v>
      </c>
      <c r="D6" s="116" t="s">
        <v>429</v>
      </c>
      <c r="E6" s="116" t="s">
        <v>430</v>
      </c>
      <c r="F6" s="116" t="s">
        <v>431</v>
      </c>
      <c r="G6" s="116" t="s">
        <v>432</v>
      </c>
      <c r="H6" s="116" t="s">
        <v>202</v>
      </c>
      <c r="I6" s="116" t="s">
        <v>251</v>
      </c>
      <c r="J6" s="116" t="s">
        <v>400</v>
      </c>
      <c r="K6" s="116" t="s">
        <v>401</v>
      </c>
      <c r="L6" s="116" t="s">
        <v>163</v>
      </c>
      <c r="M6" s="116" t="s">
        <v>136</v>
      </c>
      <c r="N6" s="116" t="s">
        <v>433</v>
      </c>
      <c r="O6" s="116" t="s">
        <v>117</v>
      </c>
      <c r="P6" s="116" t="s">
        <v>434</v>
      </c>
      <c r="R6" s="116" t="s">
        <v>405</v>
      </c>
      <c r="S6" s="155"/>
      <c r="T6" s="155"/>
      <c r="U6" s="155"/>
      <c r="V6" s="155"/>
      <c r="W6" s="155"/>
      <c r="X6" s="155"/>
      <c r="Y6" s="126"/>
    </row>
    <row r="7">
      <c r="A7" s="154">
        <v>43447.42110715278</v>
      </c>
      <c r="B7" s="116" t="s">
        <v>435</v>
      </c>
      <c r="C7" s="116" t="s">
        <v>436</v>
      </c>
      <c r="D7" s="116" t="s">
        <v>437</v>
      </c>
      <c r="E7" s="116" t="s">
        <v>438</v>
      </c>
      <c r="F7" s="116" t="s">
        <v>439</v>
      </c>
      <c r="G7" s="116" t="s">
        <v>440</v>
      </c>
      <c r="H7" s="116" t="s">
        <v>63</v>
      </c>
      <c r="I7" s="116" t="s">
        <v>400</v>
      </c>
      <c r="O7" s="116" t="s">
        <v>130</v>
      </c>
      <c r="P7" s="116" t="s">
        <v>441</v>
      </c>
      <c r="R7" s="116" t="s">
        <v>442</v>
      </c>
      <c r="S7" s="155"/>
      <c r="T7" s="155"/>
      <c r="U7" s="155"/>
      <c r="V7" s="155"/>
      <c r="W7" s="155"/>
      <c r="X7" s="155"/>
      <c r="Y7" s="126"/>
    </row>
    <row r="8">
      <c r="A8" s="154">
        <v>43378.48075231481</v>
      </c>
      <c r="B8" s="116" t="s">
        <v>443</v>
      </c>
      <c r="C8" s="116" t="s">
        <v>444</v>
      </c>
      <c r="D8" s="116" t="s">
        <v>445</v>
      </c>
      <c r="E8" s="116" t="s">
        <v>446</v>
      </c>
      <c r="F8" s="116" t="s">
        <v>447</v>
      </c>
      <c r="G8" s="116" t="s">
        <v>448</v>
      </c>
      <c r="H8" s="116" t="s">
        <v>63</v>
      </c>
      <c r="I8" s="116" t="s">
        <v>400</v>
      </c>
      <c r="J8" s="116" t="s">
        <v>401</v>
      </c>
      <c r="K8" s="116" t="s">
        <v>251</v>
      </c>
      <c r="L8" s="116" t="s">
        <v>163</v>
      </c>
      <c r="M8" s="116" t="s">
        <v>136</v>
      </c>
      <c r="N8" s="116" t="s">
        <v>449</v>
      </c>
      <c r="O8" s="116" t="s">
        <v>403</v>
      </c>
      <c r="P8" s="116" t="s">
        <v>450</v>
      </c>
      <c r="R8" s="116" t="s">
        <v>451</v>
      </c>
      <c r="S8" s="155"/>
      <c r="T8" s="155"/>
      <c r="U8" s="155"/>
      <c r="V8" s="155"/>
      <c r="W8" s="155"/>
      <c r="X8" s="155"/>
      <c r="Y8" s="126"/>
    </row>
    <row r="9">
      <c r="A9" s="154">
        <v>43447.71939452546</v>
      </c>
      <c r="B9" s="116" t="s">
        <v>452</v>
      </c>
      <c r="C9" s="116" t="s">
        <v>453</v>
      </c>
      <c r="E9" s="116" t="s">
        <v>454</v>
      </c>
      <c r="F9" s="116" t="s">
        <v>431</v>
      </c>
      <c r="G9" s="116" t="s">
        <v>455</v>
      </c>
      <c r="H9" s="116" t="s">
        <v>63</v>
      </c>
      <c r="I9" s="116" t="s">
        <v>163</v>
      </c>
      <c r="J9" s="116" t="s">
        <v>251</v>
      </c>
      <c r="K9" s="116" t="s">
        <v>136</v>
      </c>
      <c r="L9" s="116" t="s">
        <v>401</v>
      </c>
      <c r="M9" s="116" t="s">
        <v>400</v>
      </c>
      <c r="N9" s="116" t="s">
        <v>456</v>
      </c>
      <c r="O9" s="116" t="s">
        <v>130</v>
      </c>
      <c r="R9" s="116" t="s">
        <v>405</v>
      </c>
      <c r="S9" s="155"/>
      <c r="T9" s="155"/>
      <c r="U9" s="155"/>
      <c r="V9" s="155"/>
      <c r="W9" s="155"/>
      <c r="X9" s="155"/>
      <c r="Y9" s="126"/>
    </row>
    <row r="10">
      <c r="A10" s="154">
        <v>43452.62142140046</v>
      </c>
      <c r="B10" s="116" t="s">
        <v>457</v>
      </c>
      <c r="C10" s="116" t="s">
        <v>458</v>
      </c>
      <c r="D10" s="116" t="s">
        <v>459</v>
      </c>
      <c r="E10" s="116" t="s">
        <v>460</v>
      </c>
      <c r="F10" s="116" t="s">
        <v>461</v>
      </c>
      <c r="G10" s="116" t="s">
        <v>462</v>
      </c>
      <c r="H10" s="116" t="s">
        <v>63</v>
      </c>
      <c r="I10" s="116" t="s">
        <v>401</v>
      </c>
      <c r="J10" s="116" t="s">
        <v>163</v>
      </c>
      <c r="K10" s="116" t="s">
        <v>136</v>
      </c>
      <c r="L10" s="116" t="s">
        <v>400</v>
      </c>
      <c r="M10" s="116" t="s">
        <v>251</v>
      </c>
      <c r="N10" s="116" t="s">
        <v>463</v>
      </c>
      <c r="O10" s="116" t="s">
        <v>117</v>
      </c>
      <c r="P10" s="116" t="s">
        <v>464</v>
      </c>
      <c r="R10" s="116" t="s">
        <v>451</v>
      </c>
      <c r="S10" s="155"/>
      <c r="T10" s="155"/>
      <c r="U10" s="155"/>
      <c r="V10" s="155"/>
      <c r="W10" s="155"/>
      <c r="X10" s="155"/>
      <c r="Y10" s="126"/>
    </row>
    <row r="11">
      <c r="A11" s="154">
        <v>43452.62491731481</v>
      </c>
      <c r="B11" s="116" t="s">
        <v>457</v>
      </c>
      <c r="C11" s="116" t="s">
        <v>458</v>
      </c>
      <c r="D11" s="116" t="s">
        <v>459</v>
      </c>
      <c r="E11" s="116" t="s">
        <v>460</v>
      </c>
      <c r="F11" s="116" t="s">
        <v>461</v>
      </c>
      <c r="G11" s="116" t="s">
        <v>462</v>
      </c>
      <c r="H11" s="116" t="s">
        <v>63</v>
      </c>
      <c r="I11" s="116" t="s">
        <v>401</v>
      </c>
      <c r="J11" s="116" t="s">
        <v>163</v>
      </c>
      <c r="K11" s="116" t="s">
        <v>136</v>
      </c>
      <c r="L11" s="116" t="s">
        <v>400</v>
      </c>
      <c r="M11" s="116" t="s">
        <v>251</v>
      </c>
      <c r="N11" s="116" t="s">
        <v>463</v>
      </c>
      <c r="O11" s="116" t="s">
        <v>117</v>
      </c>
      <c r="P11" s="116" t="s">
        <v>464</v>
      </c>
      <c r="R11" s="116" t="s">
        <v>451</v>
      </c>
      <c r="S11" s="155"/>
      <c r="T11" s="155"/>
      <c r="U11" s="155"/>
      <c r="V11" s="155"/>
      <c r="W11" s="155"/>
      <c r="X11" s="155"/>
      <c r="Y11" s="126"/>
    </row>
    <row r="12">
      <c r="A12" s="154">
        <v>43453.176856516206</v>
      </c>
      <c r="B12" s="116" t="s">
        <v>465</v>
      </c>
      <c r="C12" s="116" t="s">
        <v>466</v>
      </c>
      <c r="E12" s="116" t="s">
        <v>467</v>
      </c>
      <c r="F12" s="116" t="s">
        <v>468</v>
      </c>
      <c r="G12" s="116" t="s">
        <v>469</v>
      </c>
      <c r="H12" s="116" t="s">
        <v>202</v>
      </c>
      <c r="I12" s="116" t="s">
        <v>401</v>
      </c>
      <c r="J12" s="116" t="s">
        <v>251</v>
      </c>
      <c r="K12" s="116" t="s">
        <v>163</v>
      </c>
      <c r="L12" s="116" t="s">
        <v>400</v>
      </c>
      <c r="N12" s="116" t="s">
        <v>130</v>
      </c>
      <c r="O12" s="116" t="s">
        <v>403</v>
      </c>
      <c r="R12" s="116" t="s">
        <v>405</v>
      </c>
      <c r="S12" s="155"/>
      <c r="T12" s="155"/>
      <c r="U12" s="155"/>
      <c r="V12" s="155"/>
      <c r="W12" s="155"/>
      <c r="X12" s="155"/>
      <c r="Y12" s="126"/>
    </row>
    <row r="13">
      <c r="A13" s="154">
        <v>43453.554362870374</v>
      </c>
      <c r="B13" s="116" t="s">
        <v>470</v>
      </c>
      <c r="C13" s="116" t="s">
        <v>471</v>
      </c>
      <c r="D13" s="116" t="s">
        <v>472</v>
      </c>
      <c r="E13" s="116" t="s">
        <v>473</v>
      </c>
      <c r="F13" s="116" t="s">
        <v>461</v>
      </c>
      <c r="G13" s="116" t="s">
        <v>474</v>
      </c>
      <c r="H13" s="116" t="s">
        <v>63</v>
      </c>
      <c r="I13" s="116" t="s">
        <v>400</v>
      </c>
      <c r="J13" s="116" t="s">
        <v>251</v>
      </c>
      <c r="N13" s="116" t="s">
        <v>475</v>
      </c>
      <c r="O13" s="116" t="s">
        <v>403</v>
      </c>
      <c r="P13" s="116" t="s">
        <v>101</v>
      </c>
      <c r="R13" s="116" t="s">
        <v>405</v>
      </c>
      <c r="S13" s="155"/>
      <c r="T13" s="155"/>
      <c r="U13" s="155"/>
      <c r="V13" s="155"/>
      <c r="W13" s="155"/>
      <c r="X13" s="155"/>
      <c r="Y13" s="126"/>
    </row>
    <row r="14">
      <c r="A14" s="154">
        <v>43404.87436342592</v>
      </c>
      <c r="B14" s="116" t="s">
        <v>476</v>
      </c>
      <c r="C14" s="116" t="s">
        <v>477</v>
      </c>
      <c r="D14" s="116" t="s">
        <v>478</v>
      </c>
      <c r="E14" s="116" t="s">
        <v>479</v>
      </c>
      <c r="F14" s="116" t="s">
        <v>398</v>
      </c>
      <c r="G14" s="116" t="s">
        <v>480</v>
      </c>
      <c r="H14" s="116" t="s">
        <v>63</v>
      </c>
      <c r="I14" s="116" t="s">
        <v>251</v>
      </c>
      <c r="J14" s="116" t="s">
        <v>136</v>
      </c>
      <c r="K14" s="116" t="s">
        <v>401</v>
      </c>
      <c r="L14" s="116" t="s">
        <v>400</v>
      </c>
      <c r="M14" s="116" t="s">
        <v>163</v>
      </c>
      <c r="N14" s="116" t="s">
        <v>481</v>
      </c>
      <c r="O14" s="116" t="s">
        <v>403</v>
      </c>
      <c r="P14" s="116" t="s">
        <v>482</v>
      </c>
      <c r="R14" s="116" t="s">
        <v>451</v>
      </c>
      <c r="S14" s="155"/>
      <c r="T14" s="155"/>
      <c r="U14" s="155"/>
      <c r="V14" s="155"/>
      <c r="W14" s="155"/>
      <c r="X14" s="155"/>
      <c r="Y14" s="126"/>
    </row>
    <row r="15">
      <c r="A15" s="154">
        <v>43454.651333263886</v>
      </c>
      <c r="B15" s="116" t="s">
        <v>483</v>
      </c>
      <c r="C15" s="116" t="s">
        <v>484</v>
      </c>
      <c r="E15" s="116" t="s">
        <v>485</v>
      </c>
      <c r="F15" s="116" t="s">
        <v>398</v>
      </c>
      <c r="G15" s="116" t="s">
        <v>486</v>
      </c>
      <c r="H15" s="116" t="s">
        <v>63</v>
      </c>
      <c r="I15" s="116" t="s">
        <v>401</v>
      </c>
      <c r="J15" s="116" t="s">
        <v>400</v>
      </c>
      <c r="K15" s="92" t="s">
        <v>251</v>
      </c>
      <c r="L15" s="116" t="s">
        <v>163</v>
      </c>
      <c r="M15" s="116" t="s">
        <v>136</v>
      </c>
      <c r="N15" s="116" t="s">
        <v>487</v>
      </c>
      <c r="O15" s="116" t="s">
        <v>117</v>
      </c>
      <c r="P15" s="116" t="s">
        <v>488</v>
      </c>
      <c r="R15" s="116" t="s">
        <v>451</v>
      </c>
      <c r="S15" s="155"/>
      <c r="T15" s="155"/>
      <c r="U15" s="155"/>
      <c r="V15" s="155"/>
      <c r="W15" s="155"/>
      <c r="X15" s="155"/>
      <c r="Y15" s="126"/>
    </row>
    <row r="16">
      <c r="A16" s="154">
        <v>43462.72207682871</v>
      </c>
      <c r="B16" s="116" t="s">
        <v>489</v>
      </c>
      <c r="C16" s="116" t="s">
        <v>490</v>
      </c>
      <c r="D16" s="116" t="s">
        <v>491</v>
      </c>
      <c r="E16" s="116" t="s">
        <v>491</v>
      </c>
      <c r="F16" s="116" t="s">
        <v>492</v>
      </c>
      <c r="G16" s="116" t="s">
        <v>493</v>
      </c>
      <c r="H16" s="116" t="s">
        <v>63</v>
      </c>
      <c r="I16" s="116" t="s">
        <v>400</v>
      </c>
      <c r="J16" s="116" t="s">
        <v>251</v>
      </c>
      <c r="K16" s="116" t="s">
        <v>163</v>
      </c>
      <c r="L16" s="116" t="s">
        <v>401</v>
      </c>
      <c r="M16" s="116" t="s">
        <v>136</v>
      </c>
      <c r="N16" s="116" t="s">
        <v>494</v>
      </c>
      <c r="O16" s="116" t="s">
        <v>403</v>
      </c>
      <c r="P16" s="116" t="s">
        <v>495</v>
      </c>
      <c r="R16" s="116" t="s">
        <v>451</v>
      </c>
      <c r="S16" s="155"/>
      <c r="T16" s="155"/>
      <c r="U16" s="155"/>
      <c r="V16" s="155"/>
      <c r="W16" s="155"/>
      <c r="X16" s="155"/>
      <c r="Y16" s="126"/>
    </row>
    <row r="17" ht="17.25" customHeight="1">
      <c r="A17" s="154">
        <v>43465.469464884256</v>
      </c>
      <c r="B17" s="116" t="s">
        <v>496</v>
      </c>
      <c r="C17" s="116" t="s">
        <v>497</v>
      </c>
      <c r="D17" s="116" t="s">
        <v>498</v>
      </c>
      <c r="E17" s="116" t="s">
        <v>499</v>
      </c>
      <c r="F17" s="116" t="s">
        <v>500</v>
      </c>
      <c r="G17" s="116" t="s">
        <v>501</v>
      </c>
      <c r="H17" s="116" t="s">
        <v>63</v>
      </c>
      <c r="I17" s="116" t="s">
        <v>401</v>
      </c>
      <c r="J17" s="116" t="s">
        <v>163</v>
      </c>
      <c r="K17" s="116" t="s">
        <v>400</v>
      </c>
      <c r="L17" s="116" t="s">
        <v>251</v>
      </c>
      <c r="M17" s="116" t="s">
        <v>136</v>
      </c>
      <c r="O17" s="116" t="s">
        <v>403</v>
      </c>
      <c r="P17" s="116" t="s">
        <v>502</v>
      </c>
      <c r="R17" s="116" t="s">
        <v>451</v>
      </c>
      <c r="S17" s="155"/>
      <c r="T17" s="155"/>
      <c r="U17" s="155"/>
      <c r="V17" s="155"/>
      <c r="W17" s="155"/>
      <c r="X17" s="155"/>
      <c r="Y17" s="126"/>
    </row>
    <row r="18">
      <c r="A18" s="154">
        <v>43467.289876111114</v>
      </c>
      <c r="B18" s="116" t="s">
        <v>503</v>
      </c>
      <c r="C18" s="116" t="s">
        <v>504</v>
      </c>
      <c r="E18" s="116" t="s">
        <v>505</v>
      </c>
      <c r="F18" s="116" t="s">
        <v>506</v>
      </c>
      <c r="G18" s="116" t="s">
        <v>507</v>
      </c>
      <c r="H18" s="116" t="s">
        <v>63</v>
      </c>
      <c r="I18" s="116" t="s">
        <v>400</v>
      </c>
      <c r="N18" s="116" t="s">
        <v>508</v>
      </c>
      <c r="O18" s="116" t="s">
        <v>117</v>
      </c>
      <c r="R18" s="116" t="s">
        <v>405</v>
      </c>
      <c r="S18" s="155"/>
      <c r="T18" s="155"/>
      <c r="U18" s="155"/>
      <c r="V18" s="155"/>
      <c r="W18" s="155"/>
      <c r="X18" s="155"/>
      <c r="Y18" s="126"/>
    </row>
    <row r="19">
      <c r="A19" s="154">
        <v>43469.322247662036</v>
      </c>
      <c r="B19" s="116" t="s">
        <v>509</v>
      </c>
      <c r="C19" s="116" t="s">
        <v>313</v>
      </c>
      <c r="D19" s="116" t="s">
        <v>510</v>
      </c>
      <c r="E19" s="116" t="s">
        <v>511</v>
      </c>
      <c r="F19" s="116" t="s">
        <v>313</v>
      </c>
      <c r="G19" s="116" t="s">
        <v>313</v>
      </c>
      <c r="H19" s="116" t="s">
        <v>63</v>
      </c>
      <c r="I19" s="116" t="s">
        <v>400</v>
      </c>
      <c r="P19" s="116" t="s">
        <v>143</v>
      </c>
      <c r="Y19" s="126"/>
    </row>
    <row r="20">
      <c r="A20" s="154">
        <v>43469.47069386574</v>
      </c>
      <c r="B20" s="116" t="s">
        <v>512</v>
      </c>
      <c r="C20" s="116" t="s">
        <v>513</v>
      </c>
      <c r="D20" s="116" t="s">
        <v>514</v>
      </c>
      <c r="E20" s="116" t="s">
        <v>515</v>
      </c>
      <c r="F20" s="116" t="s">
        <v>492</v>
      </c>
      <c r="G20" s="116" t="s">
        <v>516</v>
      </c>
      <c r="H20" s="116" t="s">
        <v>202</v>
      </c>
      <c r="I20" s="116" t="s">
        <v>251</v>
      </c>
      <c r="J20" s="116" t="s">
        <v>400</v>
      </c>
      <c r="K20" s="116" t="s">
        <v>401</v>
      </c>
      <c r="N20" s="116" t="s">
        <v>517</v>
      </c>
      <c r="O20" s="116" t="s">
        <v>403</v>
      </c>
      <c r="P20" s="116" t="s">
        <v>518</v>
      </c>
      <c r="R20" s="116" t="s">
        <v>451</v>
      </c>
      <c r="S20" s="155"/>
      <c r="T20" s="155"/>
      <c r="U20" s="155"/>
      <c r="V20" s="155"/>
      <c r="W20" s="155"/>
      <c r="X20" s="155"/>
      <c r="Y20" s="126"/>
    </row>
    <row r="21">
      <c r="A21" s="154">
        <v>43472.425777592594</v>
      </c>
      <c r="B21" s="116" t="s">
        <v>519</v>
      </c>
      <c r="C21" s="116" t="s">
        <v>520</v>
      </c>
      <c r="D21" s="116" t="s">
        <v>521</v>
      </c>
      <c r="E21" s="116" t="s">
        <v>522</v>
      </c>
      <c r="F21" s="116" t="s">
        <v>431</v>
      </c>
      <c r="G21" s="116" t="s">
        <v>523</v>
      </c>
      <c r="H21" s="116" t="s">
        <v>63</v>
      </c>
      <c r="I21" s="116" t="s">
        <v>163</v>
      </c>
      <c r="J21" s="116" t="s">
        <v>251</v>
      </c>
      <c r="K21" s="116" t="s">
        <v>400</v>
      </c>
      <c r="L21" s="116" t="s">
        <v>136</v>
      </c>
      <c r="M21" s="116" t="s">
        <v>401</v>
      </c>
      <c r="N21" s="116" t="s">
        <v>130</v>
      </c>
      <c r="O21" s="116" t="s">
        <v>130</v>
      </c>
      <c r="P21" s="116" t="s">
        <v>524</v>
      </c>
      <c r="R21" s="116" t="s">
        <v>405</v>
      </c>
      <c r="S21" s="155"/>
      <c r="T21" s="155"/>
      <c r="U21" s="155"/>
      <c r="V21" s="155"/>
      <c r="W21" s="155"/>
      <c r="X21" s="155"/>
      <c r="Y21" s="126"/>
    </row>
    <row r="22">
      <c r="A22" s="154">
        <v>43472.537255601856</v>
      </c>
      <c r="B22" s="116" t="s">
        <v>525</v>
      </c>
      <c r="C22" s="116" t="s">
        <v>526</v>
      </c>
      <c r="D22" s="116" t="s">
        <v>527</v>
      </c>
      <c r="E22" s="116" t="s">
        <v>528</v>
      </c>
      <c r="F22" s="116" t="s">
        <v>529</v>
      </c>
      <c r="G22" s="116" t="s">
        <v>530</v>
      </c>
      <c r="H22" s="116" t="s">
        <v>63</v>
      </c>
      <c r="I22" s="116" t="s">
        <v>401</v>
      </c>
      <c r="J22" s="116" t="s">
        <v>400</v>
      </c>
      <c r="K22" s="116" t="s">
        <v>251</v>
      </c>
      <c r="L22" s="116" t="s">
        <v>163</v>
      </c>
      <c r="M22" s="116" t="s">
        <v>136</v>
      </c>
      <c r="N22" s="116" t="s">
        <v>531</v>
      </c>
      <c r="O22" s="116" t="s">
        <v>117</v>
      </c>
      <c r="P22" s="116" t="s">
        <v>532</v>
      </c>
      <c r="R22" s="116" t="s">
        <v>442</v>
      </c>
      <c r="S22" s="155"/>
      <c r="T22" s="155"/>
      <c r="U22" s="155"/>
      <c r="V22" s="155"/>
      <c r="W22" s="155"/>
      <c r="X22" s="155"/>
      <c r="Y22" s="126"/>
    </row>
    <row r="23">
      <c r="A23" s="154">
        <v>43473.390765081014</v>
      </c>
      <c r="B23" s="116" t="s">
        <v>533</v>
      </c>
      <c r="C23" s="116" t="s">
        <v>534</v>
      </c>
      <c r="D23" s="116" t="s">
        <v>535</v>
      </c>
      <c r="E23" s="116" t="s">
        <v>536</v>
      </c>
      <c r="F23" s="116" t="s">
        <v>537</v>
      </c>
      <c r="G23" s="116" t="s">
        <v>538</v>
      </c>
      <c r="H23" s="116" t="s">
        <v>63</v>
      </c>
      <c r="I23" s="116" t="s">
        <v>251</v>
      </c>
      <c r="J23" s="116" t="s">
        <v>400</v>
      </c>
      <c r="K23" s="116" t="s">
        <v>136</v>
      </c>
      <c r="L23" s="116" t="s">
        <v>401</v>
      </c>
      <c r="M23" s="116" t="s">
        <v>163</v>
      </c>
      <c r="O23" s="116" t="s">
        <v>117</v>
      </c>
      <c r="R23" s="116" t="s">
        <v>451</v>
      </c>
      <c r="S23" s="155"/>
      <c r="T23" s="155"/>
      <c r="U23" s="155"/>
      <c r="V23" s="155"/>
      <c r="W23" s="155"/>
      <c r="X23" s="155"/>
      <c r="Y23" s="126"/>
    </row>
    <row r="24">
      <c r="A24" s="154">
        <v>43332.58121527778</v>
      </c>
      <c r="B24" s="116" t="s">
        <v>539</v>
      </c>
      <c r="C24" s="116" t="s">
        <v>540</v>
      </c>
      <c r="D24" s="116" t="s">
        <v>541</v>
      </c>
      <c r="E24" s="116" t="s">
        <v>542</v>
      </c>
      <c r="F24" s="116" t="s">
        <v>543</v>
      </c>
      <c r="G24" s="116" t="s">
        <v>544</v>
      </c>
      <c r="H24" s="116" t="s">
        <v>63</v>
      </c>
      <c r="I24" s="116" t="s">
        <v>400</v>
      </c>
      <c r="J24" s="116" t="s">
        <v>251</v>
      </c>
      <c r="K24" s="116" t="s">
        <v>19</v>
      </c>
      <c r="L24" s="116" t="s">
        <v>136</v>
      </c>
      <c r="M24" s="116" t="s">
        <v>163</v>
      </c>
      <c r="N24" s="116" t="s">
        <v>117</v>
      </c>
      <c r="P24" s="156" t="s">
        <v>544</v>
      </c>
      <c r="Y24" s="153"/>
      <c r="Z24" s="157" t="s">
        <v>545</v>
      </c>
    </row>
    <row r="25">
      <c r="A25" s="154">
        <v>43332.58226851852</v>
      </c>
      <c r="B25" s="116" t="s">
        <v>546</v>
      </c>
      <c r="C25" s="116" t="s">
        <v>547</v>
      </c>
      <c r="D25" s="116" t="s">
        <v>548</v>
      </c>
      <c r="E25" s="116" t="s">
        <v>549</v>
      </c>
      <c r="F25" s="116" t="s">
        <v>431</v>
      </c>
      <c r="G25" s="116" t="s">
        <v>550</v>
      </c>
      <c r="H25" s="116" t="s">
        <v>63</v>
      </c>
      <c r="I25" s="116" t="s">
        <v>400</v>
      </c>
      <c r="J25" s="116" t="s">
        <v>251</v>
      </c>
      <c r="K25" s="116" t="s">
        <v>19</v>
      </c>
      <c r="N25" s="116" t="s">
        <v>117</v>
      </c>
      <c r="P25" s="156" t="s">
        <v>550</v>
      </c>
      <c r="Y25" s="126"/>
    </row>
    <row r="26">
      <c r="A26" s="158">
        <v>43332.58315972222</v>
      </c>
      <c r="B26" s="116" t="s">
        <v>551</v>
      </c>
      <c r="C26" s="116" t="s">
        <v>552</v>
      </c>
      <c r="D26" s="116" t="s">
        <v>437</v>
      </c>
      <c r="E26" s="116" t="s">
        <v>553</v>
      </c>
      <c r="F26" s="116" t="s">
        <v>554</v>
      </c>
      <c r="G26" s="116" t="s">
        <v>555</v>
      </c>
      <c r="H26" s="116" t="s">
        <v>63</v>
      </c>
      <c r="I26" s="116" t="s">
        <v>400</v>
      </c>
      <c r="J26" s="116" t="s">
        <v>251</v>
      </c>
      <c r="K26" s="116" t="s">
        <v>19</v>
      </c>
      <c r="L26" s="116" t="s">
        <v>136</v>
      </c>
      <c r="N26" s="116" t="s">
        <v>117</v>
      </c>
      <c r="P26" s="156" t="s">
        <v>556</v>
      </c>
      <c r="Y26" s="126"/>
    </row>
    <row r="27">
      <c r="A27" s="154">
        <v>43333.58667824074</v>
      </c>
      <c r="B27" s="116" t="s">
        <v>557</v>
      </c>
      <c r="C27" s="116" t="s">
        <v>34</v>
      </c>
      <c r="D27" s="116" t="s">
        <v>558</v>
      </c>
      <c r="E27" s="116" t="s">
        <v>559</v>
      </c>
      <c r="F27" s="116" t="s">
        <v>560</v>
      </c>
      <c r="G27" s="116" t="s">
        <v>561</v>
      </c>
      <c r="H27" s="116" t="s">
        <v>63</v>
      </c>
      <c r="I27" s="116" t="s">
        <v>400</v>
      </c>
      <c r="J27" s="116" t="s">
        <v>251</v>
      </c>
      <c r="K27" s="116" t="s">
        <v>19</v>
      </c>
      <c r="L27" s="116" t="s">
        <v>163</v>
      </c>
      <c r="N27" s="116" t="s">
        <v>117</v>
      </c>
      <c r="P27" s="156" t="s">
        <v>561</v>
      </c>
      <c r="Y27" s="126"/>
    </row>
    <row r="28">
      <c r="A28" s="154">
        <v>43335.587488425925</v>
      </c>
      <c r="B28" s="116" t="s">
        <v>562</v>
      </c>
      <c r="C28" s="116" t="s">
        <v>563</v>
      </c>
      <c r="D28" s="116" t="s">
        <v>564</v>
      </c>
      <c r="E28" s="116" t="s">
        <v>565</v>
      </c>
      <c r="F28" s="116" t="s">
        <v>566</v>
      </c>
      <c r="G28" s="116" t="s">
        <v>567</v>
      </c>
      <c r="H28" s="116" t="s">
        <v>63</v>
      </c>
      <c r="I28" s="116" t="s">
        <v>400</v>
      </c>
      <c r="J28" s="116" t="s">
        <v>251</v>
      </c>
      <c r="K28" s="116" t="s">
        <v>19</v>
      </c>
      <c r="L28" s="116" t="s">
        <v>163</v>
      </c>
      <c r="M28" s="116" t="s">
        <v>136</v>
      </c>
      <c r="N28" s="116" t="s">
        <v>117</v>
      </c>
      <c r="P28" s="156" t="s">
        <v>567</v>
      </c>
      <c r="Y28" s="126"/>
    </row>
    <row r="29">
      <c r="A29" s="154">
        <v>43339.58819444444</v>
      </c>
      <c r="B29" s="116" t="s">
        <v>568</v>
      </c>
      <c r="C29" s="116" t="s">
        <v>540</v>
      </c>
      <c r="D29" s="116" t="s">
        <v>541</v>
      </c>
      <c r="E29" s="116" t="s">
        <v>569</v>
      </c>
      <c r="F29" s="116" t="s">
        <v>570</v>
      </c>
      <c r="G29" s="116" t="s">
        <v>571</v>
      </c>
      <c r="H29" s="116" t="s">
        <v>63</v>
      </c>
      <c r="I29" s="116" t="s">
        <v>400</v>
      </c>
      <c r="J29" s="116" t="s">
        <v>163</v>
      </c>
      <c r="N29" s="116" t="s">
        <v>117</v>
      </c>
      <c r="P29" s="159" t="s">
        <v>571</v>
      </c>
      <c r="Y29" s="126"/>
    </row>
    <row r="30">
      <c r="A30" s="154">
        <v>43343.589641203704</v>
      </c>
      <c r="B30" s="116" t="s">
        <v>572</v>
      </c>
      <c r="C30" s="116" t="s">
        <v>313</v>
      </c>
      <c r="D30" s="116" t="s">
        <v>573</v>
      </c>
      <c r="E30" s="116" t="s">
        <v>574</v>
      </c>
      <c r="F30" s="116" t="s">
        <v>575</v>
      </c>
      <c r="G30" s="116" t="s">
        <v>576</v>
      </c>
      <c r="H30" s="116" t="s">
        <v>63</v>
      </c>
      <c r="I30" s="116" t="s">
        <v>400</v>
      </c>
      <c r="J30" s="116" t="s">
        <v>19</v>
      </c>
      <c r="K30" s="116" t="s">
        <v>163</v>
      </c>
      <c r="L30" s="116" t="s">
        <v>136</v>
      </c>
      <c r="M30" s="116" t="s">
        <v>251</v>
      </c>
      <c r="N30" s="116" t="s">
        <v>130</v>
      </c>
      <c r="P30" s="160" t="s">
        <v>576</v>
      </c>
      <c r="Y30" s="126"/>
    </row>
    <row r="31">
      <c r="A31" s="154">
        <v>43350.59027777778</v>
      </c>
      <c r="B31" s="116" t="s">
        <v>577</v>
      </c>
      <c r="C31" s="116" t="s">
        <v>407</v>
      </c>
      <c r="D31" s="116" t="s">
        <v>578</v>
      </c>
      <c r="E31" s="116" t="s">
        <v>579</v>
      </c>
      <c r="F31" s="116" t="s">
        <v>410</v>
      </c>
      <c r="G31" s="116" t="s">
        <v>580</v>
      </c>
      <c r="H31" s="116" t="s">
        <v>63</v>
      </c>
      <c r="I31" s="116" t="s">
        <v>400</v>
      </c>
      <c r="J31" s="116" t="s">
        <v>163</v>
      </c>
      <c r="K31" s="116" t="s">
        <v>251</v>
      </c>
      <c r="N31" s="116" t="s">
        <v>117</v>
      </c>
      <c r="P31" s="159" t="s">
        <v>580</v>
      </c>
      <c r="Y31" s="126"/>
    </row>
    <row r="32">
      <c r="A32" s="154">
        <v>43354.59087962963</v>
      </c>
      <c r="B32" s="116" t="s">
        <v>581</v>
      </c>
      <c r="C32" s="116" t="s">
        <v>582</v>
      </c>
      <c r="D32" s="116" t="s">
        <v>583</v>
      </c>
      <c r="E32" s="116" t="s">
        <v>584</v>
      </c>
      <c r="F32" s="116" t="s">
        <v>585</v>
      </c>
      <c r="G32" s="116" t="s">
        <v>586</v>
      </c>
      <c r="H32" s="116" t="s">
        <v>63</v>
      </c>
      <c r="I32" s="116" t="s">
        <v>400</v>
      </c>
      <c r="J32" s="116" t="s">
        <v>251</v>
      </c>
      <c r="N32" s="116" t="s">
        <v>117</v>
      </c>
      <c r="P32" s="159" t="s">
        <v>586</v>
      </c>
      <c r="Y32" s="126"/>
    </row>
    <row r="33">
      <c r="A33" s="154">
        <v>43356.59159722222</v>
      </c>
      <c r="B33" s="116" t="s">
        <v>587</v>
      </c>
      <c r="C33" s="116" t="s">
        <v>588</v>
      </c>
      <c r="D33" s="116" t="s">
        <v>589</v>
      </c>
      <c r="E33" s="116" t="s">
        <v>590</v>
      </c>
      <c r="F33" s="116" t="s">
        <v>418</v>
      </c>
      <c r="G33" s="116" t="s">
        <v>591</v>
      </c>
      <c r="H33" s="116" t="s">
        <v>63</v>
      </c>
      <c r="I33" s="116" t="s">
        <v>400</v>
      </c>
      <c r="J33" s="116" t="s">
        <v>251</v>
      </c>
      <c r="K33" s="116" t="s">
        <v>163</v>
      </c>
      <c r="L33" s="116" t="s">
        <v>19</v>
      </c>
      <c r="M33" s="116" t="s">
        <v>136</v>
      </c>
      <c r="N33" s="116" t="s">
        <v>117</v>
      </c>
      <c r="P33" s="156" t="s">
        <v>591</v>
      </c>
      <c r="Y33" s="126"/>
    </row>
    <row r="34">
      <c r="A34" s="154">
        <v>43357.59306712963</v>
      </c>
      <c r="B34" s="116" t="s">
        <v>592</v>
      </c>
      <c r="C34" s="116" t="s">
        <v>593</v>
      </c>
      <c r="D34" s="116" t="s">
        <v>594</v>
      </c>
      <c r="E34" s="116" t="s">
        <v>595</v>
      </c>
      <c r="F34" s="116" t="s">
        <v>596</v>
      </c>
      <c r="G34" s="116" t="s">
        <v>597</v>
      </c>
      <c r="H34" s="116" t="s">
        <v>63</v>
      </c>
      <c r="I34" s="116" t="s">
        <v>400</v>
      </c>
      <c r="J34" s="116" t="s">
        <v>251</v>
      </c>
      <c r="K34" s="116" t="s">
        <v>163</v>
      </c>
      <c r="N34" s="116" t="s">
        <v>130</v>
      </c>
      <c r="P34" s="159" t="s">
        <v>597</v>
      </c>
      <c r="Y34" s="126"/>
    </row>
    <row r="35">
      <c r="A35" s="154">
        <v>43359.59390046296</v>
      </c>
      <c r="B35" s="116" t="s">
        <v>598</v>
      </c>
      <c r="C35" s="116" t="s">
        <v>599</v>
      </c>
      <c r="D35" s="116" t="s">
        <v>600</v>
      </c>
      <c r="E35" s="116" t="s">
        <v>601</v>
      </c>
      <c r="F35" s="116" t="s">
        <v>410</v>
      </c>
      <c r="G35" s="116" t="s">
        <v>602</v>
      </c>
      <c r="H35" s="116" t="s">
        <v>63</v>
      </c>
      <c r="I35" s="116" t="s">
        <v>400</v>
      </c>
      <c r="J35" s="116" t="s">
        <v>19</v>
      </c>
      <c r="K35" s="116" t="s">
        <v>251</v>
      </c>
      <c r="L35" s="116" t="s">
        <v>163</v>
      </c>
      <c r="N35" s="116" t="s">
        <v>117</v>
      </c>
      <c r="P35" s="160" t="s">
        <v>602</v>
      </c>
      <c r="Y35" s="126"/>
    </row>
    <row r="36">
      <c r="A36" s="154">
        <v>43363.59516203704</v>
      </c>
      <c r="B36" s="116" t="s">
        <v>603</v>
      </c>
      <c r="C36" s="116" t="s">
        <v>604</v>
      </c>
      <c r="D36" s="116" t="s">
        <v>605</v>
      </c>
      <c r="E36" s="116" t="s">
        <v>606</v>
      </c>
      <c r="F36" s="116" t="s">
        <v>607</v>
      </c>
      <c r="G36" s="116" t="s">
        <v>130</v>
      </c>
      <c r="H36" s="116" t="s">
        <v>63</v>
      </c>
      <c r="I36" s="116" t="s">
        <v>400</v>
      </c>
      <c r="J36" s="116" t="s">
        <v>136</v>
      </c>
      <c r="K36" s="116" t="s">
        <v>163</v>
      </c>
      <c r="L36" s="116" t="s">
        <v>19</v>
      </c>
      <c r="M36" s="116" t="s">
        <v>251</v>
      </c>
      <c r="N36" s="116" t="s">
        <v>130</v>
      </c>
      <c r="O36" s="116" t="s">
        <v>117</v>
      </c>
      <c r="P36" s="116" t="s">
        <v>130</v>
      </c>
      <c r="Y36" s="126"/>
    </row>
    <row r="37">
      <c r="A37" s="154">
        <v>43473.59608081018</v>
      </c>
      <c r="B37" s="116" t="s">
        <v>443</v>
      </c>
      <c r="C37" s="116" t="s">
        <v>609</v>
      </c>
      <c r="D37" s="116" t="s">
        <v>445</v>
      </c>
      <c r="E37" s="116" t="s">
        <v>446</v>
      </c>
      <c r="F37" s="116" t="s">
        <v>610</v>
      </c>
      <c r="G37" s="116" t="s">
        <v>611</v>
      </c>
      <c r="H37" s="116" t="s">
        <v>63</v>
      </c>
      <c r="I37" s="116" t="s">
        <v>400</v>
      </c>
      <c r="J37" s="116" t="s">
        <v>136</v>
      </c>
      <c r="K37" s="116" t="s">
        <v>251</v>
      </c>
      <c r="L37" s="116" t="s">
        <v>19</v>
      </c>
      <c r="M37" s="116" t="s">
        <v>163</v>
      </c>
      <c r="N37" s="116" t="s">
        <v>117</v>
      </c>
      <c r="P37" s="159" t="s">
        <v>611</v>
      </c>
      <c r="Y37" s="126"/>
    </row>
    <row r="38">
      <c r="A38" s="154">
        <v>43384.5971412037</v>
      </c>
      <c r="B38" s="116" t="s">
        <v>612</v>
      </c>
      <c r="C38" s="116" t="s">
        <v>613</v>
      </c>
      <c r="D38" s="116" t="s">
        <v>614</v>
      </c>
      <c r="E38" s="116" t="s">
        <v>615</v>
      </c>
      <c r="F38" s="116" t="s">
        <v>431</v>
      </c>
      <c r="G38" s="116" t="s">
        <v>130</v>
      </c>
      <c r="H38" s="116" t="s">
        <v>63</v>
      </c>
      <c r="I38" s="116" t="s">
        <v>400</v>
      </c>
      <c r="N38" s="116" t="s">
        <v>117</v>
      </c>
      <c r="P38" s="116" t="s">
        <v>130</v>
      </c>
      <c r="Y38" s="126"/>
    </row>
    <row r="39" ht="17.25" customHeight="1">
      <c r="A39" s="154">
        <v>43401.5984837963</v>
      </c>
      <c r="B39" s="116" t="s">
        <v>616</v>
      </c>
      <c r="C39" s="116" t="s">
        <v>617</v>
      </c>
      <c r="D39" s="116" t="s">
        <v>618</v>
      </c>
      <c r="E39" s="116" t="s">
        <v>619</v>
      </c>
      <c r="F39" s="116" t="s">
        <v>620</v>
      </c>
      <c r="G39" s="116" t="s">
        <v>621</v>
      </c>
      <c r="H39" s="116" t="s">
        <v>63</v>
      </c>
      <c r="I39" s="116" t="s">
        <v>400</v>
      </c>
      <c r="J39" s="116" t="s">
        <v>251</v>
      </c>
      <c r="P39" s="159" t="s">
        <v>621</v>
      </c>
      <c r="Y39" s="126"/>
    </row>
    <row r="40">
      <c r="A40" s="154">
        <v>43413.59946759259</v>
      </c>
      <c r="B40" s="116" t="s">
        <v>622</v>
      </c>
      <c r="C40" s="116" t="s">
        <v>623</v>
      </c>
      <c r="D40" s="116" t="s">
        <v>624</v>
      </c>
      <c r="E40" s="116" t="s">
        <v>625</v>
      </c>
      <c r="F40" s="116" t="s">
        <v>431</v>
      </c>
      <c r="G40" s="116" t="s">
        <v>626</v>
      </c>
      <c r="H40" s="116" t="s">
        <v>63</v>
      </c>
      <c r="I40" s="116" t="s">
        <v>400</v>
      </c>
      <c r="J40" s="116" t="s">
        <v>251</v>
      </c>
      <c r="N40" s="116" t="s">
        <v>117</v>
      </c>
      <c r="P40" s="159" t="s">
        <v>626</v>
      </c>
      <c r="Y40" s="126"/>
    </row>
    <row r="41">
      <c r="A41" s="154">
        <v>43434.60061342592</v>
      </c>
      <c r="B41" s="116" t="s">
        <v>627</v>
      </c>
      <c r="C41" s="116" t="s">
        <v>436</v>
      </c>
      <c r="D41" s="116" t="s">
        <v>437</v>
      </c>
      <c r="E41" s="116" t="s">
        <v>628</v>
      </c>
      <c r="F41" s="116" t="s">
        <v>398</v>
      </c>
      <c r="G41" s="116" t="s">
        <v>629</v>
      </c>
      <c r="H41" s="116" t="s">
        <v>63</v>
      </c>
      <c r="I41" s="116" t="s">
        <v>400</v>
      </c>
      <c r="J41" s="116" t="s">
        <v>136</v>
      </c>
      <c r="K41" s="116" t="s">
        <v>163</v>
      </c>
      <c r="L41" s="116" t="s">
        <v>251</v>
      </c>
      <c r="M41" s="116" t="s">
        <v>19</v>
      </c>
      <c r="N41" s="116" t="s">
        <v>130</v>
      </c>
      <c r="P41" s="159" t="s">
        <v>629</v>
      </c>
      <c r="Y41" s="126"/>
    </row>
    <row r="42">
      <c r="A42" s="154">
        <v>43473.60137534722</v>
      </c>
      <c r="B42" s="116" t="s">
        <v>630</v>
      </c>
      <c r="C42" s="116" t="s">
        <v>631</v>
      </c>
      <c r="D42" s="116" t="s">
        <v>632</v>
      </c>
      <c r="E42" s="116" t="s">
        <v>633</v>
      </c>
      <c r="F42" s="116" t="s">
        <v>492</v>
      </c>
      <c r="G42" s="116" t="s">
        <v>634</v>
      </c>
      <c r="H42" s="116" t="s">
        <v>63</v>
      </c>
      <c r="I42" s="116" t="s">
        <v>400</v>
      </c>
      <c r="J42" s="116" t="s">
        <v>19</v>
      </c>
      <c r="N42" s="116" t="s">
        <v>130</v>
      </c>
      <c r="P42" s="159" t="s">
        <v>634</v>
      </c>
      <c r="Y42" s="126"/>
    </row>
    <row r="43">
      <c r="A43" s="154">
        <v>43434.60207175926</v>
      </c>
      <c r="B43" s="116" t="s">
        <v>435</v>
      </c>
      <c r="C43" s="116" t="s">
        <v>436</v>
      </c>
      <c r="E43" s="116" t="s">
        <v>438</v>
      </c>
      <c r="F43" s="116" t="s">
        <v>439</v>
      </c>
      <c r="G43" s="116" t="s">
        <v>635</v>
      </c>
      <c r="H43" s="116" t="s">
        <v>63</v>
      </c>
      <c r="I43" s="116" t="s">
        <v>400</v>
      </c>
      <c r="N43" s="116" t="s">
        <v>117</v>
      </c>
      <c r="P43" s="161" t="s">
        <v>635</v>
      </c>
      <c r="Y43" s="126"/>
    </row>
    <row r="44">
      <c r="A44" s="154">
        <v>43434.60393518519</v>
      </c>
      <c r="B44" s="116" t="s">
        <v>636</v>
      </c>
      <c r="C44" s="116" t="s">
        <v>436</v>
      </c>
      <c r="D44" s="116" t="s">
        <v>437</v>
      </c>
      <c r="E44" s="116" t="s">
        <v>637</v>
      </c>
      <c r="F44" s="116" t="s">
        <v>492</v>
      </c>
      <c r="G44" s="116" t="s">
        <v>638</v>
      </c>
      <c r="H44" s="116" t="s">
        <v>63</v>
      </c>
      <c r="I44" s="116" t="s">
        <v>400</v>
      </c>
      <c r="N44" s="116" t="s">
        <v>117</v>
      </c>
      <c r="P44" s="161" t="s">
        <v>638</v>
      </c>
      <c r="Y44" s="126"/>
    </row>
    <row r="45">
      <c r="A45" s="154">
        <v>43434.60476851852</v>
      </c>
      <c r="B45" s="116" t="s">
        <v>639</v>
      </c>
      <c r="C45" s="116" t="s">
        <v>436</v>
      </c>
      <c r="D45" s="116" t="s">
        <v>437</v>
      </c>
      <c r="E45" s="116" t="s">
        <v>640</v>
      </c>
      <c r="F45" s="116" t="s">
        <v>641</v>
      </c>
      <c r="G45" s="116" t="s">
        <v>642</v>
      </c>
      <c r="H45" s="116" t="s">
        <v>63</v>
      </c>
      <c r="I45" s="116" t="s">
        <v>400</v>
      </c>
      <c r="N45" s="116" t="s">
        <v>117</v>
      </c>
      <c r="P45" s="161" t="s">
        <v>642</v>
      </c>
      <c r="Y45" s="126"/>
    </row>
    <row r="46">
      <c r="A46" s="154">
        <v>43335.60587962963</v>
      </c>
      <c r="B46" s="116" t="s">
        <v>643</v>
      </c>
      <c r="C46" s="116" t="s">
        <v>644</v>
      </c>
      <c r="D46" s="116" t="s">
        <v>645</v>
      </c>
      <c r="E46" s="116" t="s">
        <v>646</v>
      </c>
      <c r="F46" s="116" t="s">
        <v>431</v>
      </c>
      <c r="G46" s="116" t="s">
        <v>647</v>
      </c>
      <c r="H46" s="116" t="s">
        <v>63</v>
      </c>
      <c r="I46" s="116" t="s">
        <v>400</v>
      </c>
      <c r="J46" s="116" t="s">
        <v>163</v>
      </c>
      <c r="K46" s="116" t="s">
        <v>251</v>
      </c>
      <c r="L46" s="116" t="s">
        <v>19</v>
      </c>
      <c r="M46" s="116" t="s">
        <v>136</v>
      </c>
      <c r="N46" s="116" t="s">
        <v>130</v>
      </c>
      <c r="P46" s="156" t="s">
        <v>648</v>
      </c>
      <c r="Y46" s="126"/>
    </row>
    <row r="47">
      <c r="A47" s="154">
        <v>43339.60663194444</v>
      </c>
      <c r="B47" s="116" t="s">
        <v>649</v>
      </c>
      <c r="C47" s="116" t="s">
        <v>650</v>
      </c>
      <c r="D47" s="116" t="s">
        <v>605</v>
      </c>
      <c r="E47" s="116" t="s">
        <v>651</v>
      </c>
      <c r="F47" s="116" t="s">
        <v>431</v>
      </c>
      <c r="G47" s="116" t="s">
        <v>652</v>
      </c>
      <c r="H47" s="116" t="s">
        <v>63</v>
      </c>
      <c r="I47" s="116" t="s">
        <v>163</v>
      </c>
      <c r="N47" s="116" t="s">
        <v>117</v>
      </c>
      <c r="P47" s="156" t="s">
        <v>652</v>
      </c>
      <c r="Y47" s="126"/>
    </row>
    <row r="48">
      <c r="A48" s="154">
        <v>43355.61038194445</v>
      </c>
      <c r="B48" s="116" t="s">
        <v>653</v>
      </c>
      <c r="C48" s="116" t="s">
        <v>654</v>
      </c>
      <c r="D48" s="116" t="s">
        <v>655</v>
      </c>
      <c r="E48" s="116" t="s">
        <v>656</v>
      </c>
      <c r="F48" s="116" t="s">
        <v>431</v>
      </c>
      <c r="G48" s="116" t="s">
        <v>657</v>
      </c>
      <c r="H48" s="116" t="s">
        <v>63</v>
      </c>
      <c r="I48" s="116" t="s">
        <v>163</v>
      </c>
      <c r="N48" s="116" t="s">
        <v>117</v>
      </c>
      <c r="P48" s="160" t="s">
        <v>657</v>
      </c>
      <c r="Y48" s="126"/>
    </row>
    <row r="49">
      <c r="A49" s="154">
        <v>43402.61143518519</v>
      </c>
      <c r="B49" s="116" t="s">
        <v>658</v>
      </c>
      <c r="C49" s="116" t="s">
        <v>659</v>
      </c>
      <c r="D49" s="116" t="s">
        <v>660</v>
      </c>
      <c r="E49" s="116" t="s">
        <v>661</v>
      </c>
      <c r="F49" s="116" t="s">
        <v>431</v>
      </c>
      <c r="G49" s="116" t="s">
        <v>662</v>
      </c>
      <c r="H49" s="116" t="s">
        <v>63</v>
      </c>
      <c r="I49" s="116" t="s">
        <v>163</v>
      </c>
      <c r="N49" s="116" t="s">
        <v>117</v>
      </c>
      <c r="P49" s="159" t="s">
        <v>663</v>
      </c>
      <c r="Y49" s="126"/>
    </row>
    <row r="50">
      <c r="A50" s="154">
        <v>43417.61216435185</v>
      </c>
      <c r="B50" s="116" t="s">
        <v>664</v>
      </c>
      <c r="C50" s="116" t="s">
        <v>665</v>
      </c>
      <c r="D50" s="116" t="s">
        <v>666</v>
      </c>
      <c r="E50" s="116" t="s">
        <v>667</v>
      </c>
      <c r="F50" s="116" t="s">
        <v>398</v>
      </c>
      <c r="G50" s="116" t="s">
        <v>668</v>
      </c>
      <c r="H50" s="116" t="s">
        <v>63</v>
      </c>
      <c r="I50" s="116" t="s">
        <v>163</v>
      </c>
      <c r="N50" s="116" t="s">
        <v>117</v>
      </c>
      <c r="P50" s="161" t="s">
        <v>668</v>
      </c>
      <c r="Y50" s="126"/>
    </row>
    <row r="51">
      <c r="A51" s="154">
        <v>43438.613125</v>
      </c>
      <c r="B51" s="116" t="s">
        <v>669</v>
      </c>
      <c r="C51" s="116" t="s">
        <v>670</v>
      </c>
      <c r="D51" s="116" t="s">
        <v>671</v>
      </c>
      <c r="E51" s="116" t="s">
        <v>672</v>
      </c>
      <c r="F51" s="116" t="s">
        <v>673</v>
      </c>
      <c r="G51" s="116" t="s">
        <v>674</v>
      </c>
      <c r="H51" s="116" t="s">
        <v>63</v>
      </c>
      <c r="I51" s="116" t="s">
        <v>163</v>
      </c>
      <c r="N51" s="116" t="s">
        <v>130</v>
      </c>
      <c r="P51" s="159" t="s">
        <v>674</v>
      </c>
      <c r="Y51" s="126"/>
    </row>
    <row r="52">
      <c r="A52" s="154">
        <v>43440.61386574074</v>
      </c>
      <c r="B52" s="116" t="s">
        <v>675</v>
      </c>
      <c r="C52" s="116" t="s">
        <v>676</v>
      </c>
      <c r="D52" s="116" t="s">
        <v>677</v>
      </c>
      <c r="E52" s="116" t="s">
        <v>678</v>
      </c>
      <c r="F52" s="116" t="s">
        <v>679</v>
      </c>
      <c r="G52" s="116" t="s">
        <v>680</v>
      </c>
      <c r="H52" s="116" t="s">
        <v>63</v>
      </c>
      <c r="I52" s="116" t="s">
        <v>163</v>
      </c>
      <c r="N52" s="116" t="s">
        <v>117</v>
      </c>
      <c r="P52" s="162" t="s">
        <v>680</v>
      </c>
      <c r="Y52" s="126"/>
    </row>
    <row r="53">
      <c r="A53" s="154">
        <v>43369.796423611115</v>
      </c>
      <c r="B53" s="116" t="s">
        <v>681</v>
      </c>
      <c r="C53" s="116" t="s">
        <v>682</v>
      </c>
      <c r="D53" s="116" t="s">
        <v>683</v>
      </c>
      <c r="E53" s="116" t="s">
        <v>684</v>
      </c>
      <c r="F53" s="116" t="s">
        <v>398</v>
      </c>
      <c r="G53" s="116" t="s">
        <v>685</v>
      </c>
      <c r="H53" s="116" t="s">
        <v>63</v>
      </c>
      <c r="I53" s="116" t="s">
        <v>251</v>
      </c>
      <c r="J53" s="116" t="s">
        <v>400</v>
      </c>
      <c r="K53" s="116" t="s">
        <v>163</v>
      </c>
      <c r="L53" s="116" t="s">
        <v>136</v>
      </c>
      <c r="M53" s="116" t="s">
        <v>401</v>
      </c>
      <c r="N53" s="116" t="s">
        <v>686</v>
      </c>
      <c r="O53" s="116" t="s">
        <v>117</v>
      </c>
      <c r="P53" s="116" t="s">
        <v>687</v>
      </c>
      <c r="R53" s="116" t="s">
        <v>451</v>
      </c>
      <c r="S53" s="155"/>
      <c r="T53" s="155"/>
      <c r="U53" s="155"/>
      <c r="V53" s="155"/>
      <c r="W53" s="155"/>
      <c r="X53" s="155"/>
      <c r="Y53" s="126"/>
    </row>
    <row r="54">
      <c r="A54" s="154">
        <v>43343.39832175926</v>
      </c>
      <c r="B54" s="116" t="s">
        <v>688</v>
      </c>
      <c r="C54" s="116" t="s">
        <v>313</v>
      </c>
      <c r="D54" s="116" t="s">
        <v>445</v>
      </c>
      <c r="E54" s="116" t="s">
        <v>689</v>
      </c>
      <c r="F54" s="116" t="s">
        <v>690</v>
      </c>
      <c r="G54" s="116" t="s">
        <v>313</v>
      </c>
      <c r="H54" s="116" t="s">
        <v>63</v>
      </c>
      <c r="I54" s="116" t="s">
        <v>136</v>
      </c>
      <c r="J54" s="116" t="s">
        <v>401</v>
      </c>
      <c r="K54" s="116" t="s">
        <v>251</v>
      </c>
      <c r="L54" s="116" t="s">
        <v>400</v>
      </c>
      <c r="N54" s="116" t="s">
        <v>691</v>
      </c>
      <c r="O54" s="116" t="s">
        <v>117</v>
      </c>
      <c r="P54" s="116" t="s">
        <v>692</v>
      </c>
      <c r="R54" s="116" t="s">
        <v>405</v>
      </c>
      <c r="S54" s="155"/>
      <c r="T54" s="155"/>
      <c r="U54" s="155"/>
      <c r="V54" s="155"/>
      <c r="W54" s="155"/>
      <c r="X54" s="155"/>
      <c r="Y54" s="126"/>
    </row>
    <row r="55">
      <c r="A55" s="154">
        <v>43365.400613425925</v>
      </c>
      <c r="B55" s="116" t="s">
        <v>693</v>
      </c>
      <c r="C55" s="116" t="s">
        <v>694</v>
      </c>
      <c r="D55" s="116" t="s">
        <v>695</v>
      </c>
      <c r="E55" s="116" t="s">
        <v>696</v>
      </c>
      <c r="F55" s="116" t="s">
        <v>431</v>
      </c>
      <c r="G55" s="116" t="s">
        <v>313</v>
      </c>
      <c r="H55" s="116" t="s">
        <v>63</v>
      </c>
      <c r="I55" s="116" t="s">
        <v>136</v>
      </c>
      <c r="J55" s="116" t="s">
        <v>251</v>
      </c>
      <c r="K55" s="116" t="s">
        <v>401</v>
      </c>
      <c r="L55" s="116" t="s">
        <v>400</v>
      </c>
      <c r="M55" s="116" t="s">
        <v>163</v>
      </c>
      <c r="N55" s="116" t="s">
        <v>691</v>
      </c>
      <c r="O55" s="116" t="s">
        <v>117</v>
      </c>
      <c r="P55" s="116" t="s">
        <v>697</v>
      </c>
      <c r="R55" s="116" t="s">
        <v>451</v>
      </c>
      <c r="S55" s="155"/>
      <c r="T55" s="155"/>
      <c r="U55" s="155"/>
      <c r="V55" s="155"/>
      <c r="W55" s="155"/>
      <c r="X55" s="155"/>
      <c r="Y55" s="126"/>
    </row>
    <row r="56">
      <c r="A56" s="154">
        <v>43368.40216435185</v>
      </c>
      <c r="B56" s="116" t="s">
        <v>698</v>
      </c>
      <c r="C56" s="116" t="s">
        <v>699</v>
      </c>
      <c r="D56" s="116" t="s">
        <v>655</v>
      </c>
      <c r="E56" s="116" t="s">
        <v>700</v>
      </c>
      <c r="F56" s="116" t="s">
        <v>701</v>
      </c>
      <c r="G56" s="116" t="s">
        <v>313</v>
      </c>
      <c r="H56" s="116" t="s">
        <v>63</v>
      </c>
      <c r="I56" s="116" t="s">
        <v>136</v>
      </c>
      <c r="J56" s="116" t="s">
        <v>401</v>
      </c>
      <c r="K56" s="116" t="s">
        <v>251</v>
      </c>
      <c r="L56" s="116" t="s">
        <v>400</v>
      </c>
      <c r="M56" s="116" t="s">
        <v>163</v>
      </c>
      <c r="N56" s="116" t="s">
        <v>691</v>
      </c>
      <c r="O56" s="116" t="s">
        <v>117</v>
      </c>
      <c r="P56" s="116" t="s">
        <v>702</v>
      </c>
      <c r="R56" s="116" t="s">
        <v>451</v>
      </c>
      <c r="S56" s="155"/>
      <c r="T56" s="155"/>
      <c r="U56" s="155"/>
      <c r="V56" s="155"/>
      <c r="W56" s="155"/>
      <c r="X56" s="155"/>
      <c r="Y56" s="126"/>
    </row>
    <row r="57">
      <c r="A57" s="154">
        <v>43370.40420138889</v>
      </c>
      <c r="B57" s="116" t="s">
        <v>703</v>
      </c>
      <c r="C57" s="116" t="s">
        <v>704</v>
      </c>
      <c r="D57" s="116" t="s">
        <v>705</v>
      </c>
      <c r="E57" s="116" t="s">
        <v>706</v>
      </c>
      <c r="F57" s="116" t="s">
        <v>596</v>
      </c>
      <c r="G57" s="116" t="s">
        <v>313</v>
      </c>
      <c r="H57" s="116" t="s">
        <v>63</v>
      </c>
      <c r="I57" s="116" t="s">
        <v>136</v>
      </c>
      <c r="J57" s="116" t="s">
        <v>163</v>
      </c>
      <c r="K57" s="116" t="s">
        <v>401</v>
      </c>
      <c r="N57" s="116" t="s">
        <v>691</v>
      </c>
      <c r="O57" s="116" t="s">
        <v>403</v>
      </c>
      <c r="P57" s="116" t="s">
        <v>707</v>
      </c>
      <c r="R57" s="116" t="s">
        <v>451</v>
      </c>
      <c r="S57" s="155"/>
      <c r="T57" s="155"/>
      <c r="U57" s="155"/>
      <c r="V57" s="155"/>
      <c r="W57" s="155"/>
      <c r="X57" s="155"/>
      <c r="Y57" s="126"/>
    </row>
    <row r="58">
      <c r="A58" s="154">
        <v>43382.413773148146</v>
      </c>
      <c r="B58" s="116" t="s">
        <v>708</v>
      </c>
      <c r="C58" s="116" t="s">
        <v>709</v>
      </c>
      <c r="D58" s="116" t="s">
        <v>710</v>
      </c>
      <c r="E58" s="116" t="s">
        <v>711</v>
      </c>
      <c r="F58" s="116" t="s">
        <v>492</v>
      </c>
      <c r="G58" s="116" t="s">
        <v>313</v>
      </c>
      <c r="H58" s="116" t="s">
        <v>63</v>
      </c>
      <c r="I58" s="116" t="s">
        <v>136</v>
      </c>
      <c r="J58" s="116" t="s">
        <v>401</v>
      </c>
      <c r="K58" s="116" t="s">
        <v>400</v>
      </c>
      <c r="N58" s="116" t="s">
        <v>691</v>
      </c>
      <c r="O58" s="116" t="s">
        <v>403</v>
      </c>
      <c r="P58" s="116" t="s">
        <v>712</v>
      </c>
      <c r="R58" s="116" t="s">
        <v>442</v>
      </c>
      <c r="S58" s="155"/>
      <c r="T58" s="155"/>
      <c r="U58" s="155"/>
      <c r="V58" s="155"/>
      <c r="W58" s="155"/>
      <c r="X58" s="155"/>
      <c r="Y58" s="126"/>
    </row>
    <row r="59">
      <c r="A59" s="154">
        <v>43395.41673611111</v>
      </c>
      <c r="B59" s="116" t="s">
        <v>713</v>
      </c>
      <c r="C59" s="116" t="s">
        <v>714</v>
      </c>
      <c r="D59" s="116" t="s">
        <v>715</v>
      </c>
      <c r="E59" s="116" t="s">
        <v>716</v>
      </c>
      <c r="F59" s="116" t="s">
        <v>418</v>
      </c>
      <c r="G59" s="116" t="s">
        <v>313</v>
      </c>
      <c r="H59" s="116" t="s">
        <v>63</v>
      </c>
      <c r="I59" s="116" t="s">
        <v>136</v>
      </c>
      <c r="J59" s="116" t="s">
        <v>251</v>
      </c>
      <c r="K59" s="116" t="s">
        <v>401</v>
      </c>
      <c r="L59" s="116" t="s">
        <v>400</v>
      </c>
      <c r="N59" s="116" t="s">
        <v>717</v>
      </c>
      <c r="O59" s="116" t="s">
        <v>403</v>
      </c>
      <c r="P59" s="116" t="s">
        <v>718</v>
      </c>
      <c r="R59" s="116" t="s">
        <v>405</v>
      </c>
      <c r="S59" s="155"/>
      <c r="T59" s="155"/>
      <c r="U59" s="155"/>
      <c r="V59" s="155"/>
      <c r="W59" s="155"/>
      <c r="X59" s="155"/>
      <c r="Y59" s="126"/>
    </row>
    <row r="60">
      <c r="A60" s="154">
        <v>43398.41884259259</v>
      </c>
      <c r="B60" s="116" t="s">
        <v>719</v>
      </c>
      <c r="C60" s="116" t="s">
        <v>720</v>
      </c>
      <c r="D60" s="116" t="s">
        <v>578</v>
      </c>
      <c r="E60" s="116" t="s">
        <v>721</v>
      </c>
      <c r="F60" s="116" t="s">
        <v>418</v>
      </c>
      <c r="G60" s="116" t="s">
        <v>313</v>
      </c>
      <c r="H60" s="116" t="s">
        <v>63</v>
      </c>
      <c r="I60" s="116" t="s">
        <v>136</v>
      </c>
      <c r="J60" s="116" t="s">
        <v>163</v>
      </c>
      <c r="K60" s="116" t="s">
        <v>400</v>
      </c>
      <c r="L60" s="116" t="s">
        <v>251</v>
      </c>
      <c r="M60" s="116" t="s">
        <v>401</v>
      </c>
      <c r="N60" s="116" t="s">
        <v>691</v>
      </c>
      <c r="O60" s="116" t="s">
        <v>403</v>
      </c>
      <c r="P60" s="116" t="s">
        <v>722</v>
      </c>
      <c r="R60" s="116" t="s">
        <v>405</v>
      </c>
      <c r="S60" s="155"/>
      <c r="T60" s="155"/>
      <c r="U60" s="155"/>
      <c r="V60" s="155"/>
      <c r="W60" s="155"/>
      <c r="X60" s="155"/>
      <c r="Y60" s="126"/>
    </row>
    <row r="61">
      <c r="A61" s="154">
        <v>43414.42046296296</v>
      </c>
      <c r="B61" s="116" t="s">
        <v>723</v>
      </c>
      <c r="C61" s="116" t="s">
        <v>724</v>
      </c>
      <c r="D61" s="116" t="s">
        <v>725</v>
      </c>
      <c r="E61" s="116" t="s">
        <v>726</v>
      </c>
      <c r="F61" s="116" t="s">
        <v>492</v>
      </c>
      <c r="G61" s="116" t="s">
        <v>313</v>
      </c>
      <c r="H61" s="116" t="s">
        <v>63</v>
      </c>
      <c r="I61" s="116" t="s">
        <v>136</v>
      </c>
      <c r="J61" s="116" t="s">
        <v>251</v>
      </c>
      <c r="K61" s="116" t="s">
        <v>401</v>
      </c>
      <c r="L61" s="116" t="s">
        <v>400</v>
      </c>
      <c r="M61" s="116" t="s">
        <v>163</v>
      </c>
      <c r="N61" s="116" t="s">
        <v>691</v>
      </c>
      <c r="O61" s="116" t="s">
        <v>403</v>
      </c>
      <c r="P61" s="116" t="s">
        <v>727</v>
      </c>
      <c r="R61" s="116" t="s">
        <v>405</v>
      </c>
      <c r="S61" s="155"/>
      <c r="T61" s="155"/>
      <c r="U61" s="155"/>
      <c r="V61" s="155"/>
      <c r="W61" s="155"/>
      <c r="X61" s="155"/>
      <c r="Y61" s="126"/>
    </row>
    <row r="62">
      <c r="A62" s="154">
        <v>43422.42162037037</v>
      </c>
      <c r="B62" s="116" t="s">
        <v>728</v>
      </c>
      <c r="C62" s="116" t="s">
        <v>729</v>
      </c>
      <c r="D62" s="116" t="s">
        <v>578</v>
      </c>
      <c r="E62" s="116" t="s">
        <v>730</v>
      </c>
      <c r="F62" s="116" t="s">
        <v>492</v>
      </c>
      <c r="G62" s="116" t="s">
        <v>313</v>
      </c>
      <c r="H62" s="116" t="s">
        <v>63</v>
      </c>
      <c r="I62" s="116" t="s">
        <v>136</v>
      </c>
      <c r="J62" s="116" t="s">
        <v>251</v>
      </c>
      <c r="K62" s="116" t="s">
        <v>400</v>
      </c>
      <c r="L62" s="116" t="s">
        <v>163</v>
      </c>
      <c r="N62" s="116" t="s">
        <v>130</v>
      </c>
      <c r="O62" s="116" t="s">
        <v>403</v>
      </c>
      <c r="P62" s="116" t="s">
        <v>731</v>
      </c>
      <c r="R62" s="116" t="s">
        <v>451</v>
      </c>
      <c r="S62" s="155"/>
      <c r="T62" s="155"/>
      <c r="U62" s="155"/>
      <c r="V62" s="155"/>
      <c r="W62" s="155"/>
      <c r="X62" s="155"/>
      <c r="Y62" s="126"/>
    </row>
    <row r="63">
      <c r="A63" s="154">
        <v>43357.42855324074</v>
      </c>
      <c r="B63" s="116" t="s">
        <v>732</v>
      </c>
      <c r="C63" s="116" t="s">
        <v>733</v>
      </c>
      <c r="D63" s="116" t="s">
        <v>578</v>
      </c>
      <c r="E63" s="116" t="s">
        <v>734</v>
      </c>
      <c r="F63" s="116" t="s">
        <v>431</v>
      </c>
      <c r="G63" s="116" t="s">
        <v>267</v>
      </c>
      <c r="H63" s="116" t="s">
        <v>63</v>
      </c>
      <c r="I63" s="116" t="s">
        <v>251</v>
      </c>
      <c r="J63" s="116" t="s">
        <v>400</v>
      </c>
      <c r="K63" s="116" t="s">
        <v>401</v>
      </c>
      <c r="L63" s="116" t="s">
        <v>163</v>
      </c>
      <c r="M63" s="116" t="s">
        <v>136</v>
      </c>
      <c r="N63" s="116" t="s">
        <v>691</v>
      </c>
      <c r="O63" s="116" t="s">
        <v>130</v>
      </c>
      <c r="P63" s="116" t="s">
        <v>735</v>
      </c>
      <c r="R63" s="116" t="s">
        <v>405</v>
      </c>
      <c r="S63" s="155"/>
      <c r="T63" s="155"/>
      <c r="U63" s="155"/>
      <c r="V63" s="155"/>
      <c r="W63" s="155"/>
      <c r="X63" s="155"/>
      <c r="Y63" s="126"/>
    </row>
    <row r="64">
      <c r="A64" s="154">
        <v>43332.43167824074</v>
      </c>
      <c r="B64" s="116" t="s">
        <v>736</v>
      </c>
      <c r="C64" s="116" t="s">
        <v>665</v>
      </c>
      <c r="D64" s="116" t="s">
        <v>737</v>
      </c>
      <c r="E64" s="116" t="s">
        <v>738</v>
      </c>
      <c r="F64" s="116" t="s">
        <v>431</v>
      </c>
      <c r="G64" s="116" t="s">
        <v>267</v>
      </c>
      <c r="H64" s="116" t="s">
        <v>63</v>
      </c>
      <c r="I64" s="116" t="s">
        <v>251</v>
      </c>
      <c r="J64" s="116" t="s">
        <v>400</v>
      </c>
      <c r="K64" s="116" t="s">
        <v>401</v>
      </c>
      <c r="L64" s="116" t="s">
        <v>163</v>
      </c>
      <c r="M64" s="116" t="s">
        <v>136</v>
      </c>
      <c r="N64" s="116" t="s">
        <v>691</v>
      </c>
      <c r="O64" s="116" t="s">
        <v>117</v>
      </c>
      <c r="P64" s="116" t="s">
        <v>739</v>
      </c>
      <c r="R64" s="116" t="s">
        <v>451</v>
      </c>
      <c r="S64" s="155"/>
      <c r="T64" s="155"/>
      <c r="U64" s="155"/>
      <c r="V64" s="155"/>
      <c r="W64" s="155"/>
      <c r="X64" s="155"/>
      <c r="Y64" s="126"/>
    </row>
    <row r="65">
      <c r="A65" s="154">
        <v>43334.433587962965</v>
      </c>
      <c r="B65" s="116" t="s">
        <v>740</v>
      </c>
      <c r="C65" s="116" t="s">
        <v>741</v>
      </c>
      <c r="D65" s="116" t="s">
        <v>742</v>
      </c>
      <c r="E65" s="116" t="s">
        <v>743</v>
      </c>
      <c r="F65" s="116" t="s">
        <v>398</v>
      </c>
      <c r="G65" s="116" t="s">
        <v>267</v>
      </c>
      <c r="H65" s="116" t="s">
        <v>63</v>
      </c>
      <c r="I65" s="116" t="s">
        <v>251</v>
      </c>
      <c r="J65" s="116" t="s">
        <v>400</v>
      </c>
      <c r="K65" s="116" t="s">
        <v>401</v>
      </c>
      <c r="L65" s="116" t="s">
        <v>163</v>
      </c>
      <c r="M65" s="116" t="s">
        <v>136</v>
      </c>
      <c r="N65" s="116" t="s">
        <v>691</v>
      </c>
      <c r="O65" s="116" t="s">
        <v>130</v>
      </c>
      <c r="P65" s="116" t="s">
        <v>744</v>
      </c>
      <c r="R65" s="116" t="s">
        <v>405</v>
      </c>
      <c r="S65" s="155"/>
      <c r="T65" s="155"/>
      <c r="U65" s="155"/>
      <c r="V65" s="155"/>
      <c r="W65" s="155"/>
      <c r="X65" s="155"/>
      <c r="Y65" s="126"/>
    </row>
    <row r="66">
      <c r="A66" s="154">
        <v>43336.43583333334</v>
      </c>
      <c r="B66" s="116" t="s">
        <v>745</v>
      </c>
      <c r="C66" s="116" t="s">
        <v>746</v>
      </c>
      <c r="D66" s="116" t="s">
        <v>705</v>
      </c>
      <c r="E66" s="116" t="s">
        <v>747</v>
      </c>
      <c r="F66" s="116" t="s">
        <v>431</v>
      </c>
      <c r="G66" s="116" t="s">
        <v>267</v>
      </c>
      <c r="H66" s="116" t="s">
        <v>63</v>
      </c>
      <c r="I66" s="116" t="s">
        <v>251</v>
      </c>
      <c r="J66" s="116" t="s">
        <v>401</v>
      </c>
      <c r="K66" s="116" t="s">
        <v>163</v>
      </c>
      <c r="L66" s="116" t="s">
        <v>400</v>
      </c>
      <c r="M66" s="116" t="s">
        <v>136</v>
      </c>
      <c r="N66" s="116" t="s">
        <v>691</v>
      </c>
      <c r="O66" s="116" t="s">
        <v>403</v>
      </c>
      <c r="P66" s="116" t="s">
        <v>748</v>
      </c>
      <c r="R66" s="116" t="s">
        <v>405</v>
      </c>
      <c r="S66" s="155"/>
      <c r="T66" s="155"/>
      <c r="U66" s="155"/>
      <c r="V66" s="155"/>
      <c r="W66" s="155"/>
      <c r="X66" s="155"/>
      <c r="Y66" s="126"/>
    </row>
    <row r="67">
      <c r="A67" s="154">
        <v>43340.43892361111</v>
      </c>
      <c r="B67" s="116" t="s">
        <v>749</v>
      </c>
      <c r="C67" s="116" t="s">
        <v>750</v>
      </c>
      <c r="D67" s="116" t="s">
        <v>589</v>
      </c>
      <c r="E67" s="116" t="s">
        <v>751</v>
      </c>
      <c r="F67" s="116" t="s">
        <v>431</v>
      </c>
      <c r="G67" s="116" t="s">
        <v>267</v>
      </c>
      <c r="H67" s="116" t="s">
        <v>63</v>
      </c>
      <c r="I67" s="116" t="s">
        <v>251</v>
      </c>
      <c r="J67" s="116" t="s">
        <v>400</v>
      </c>
      <c r="K67" s="116" t="s">
        <v>401</v>
      </c>
      <c r="L67" s="116" t="s">
        <v>163</v>
      </c>
      <c r="M67" s="116" t="s">
        <v>136</v>
      </c>
      <c r="N67" s="116" t="s">
        <v>691</v>
      </c>
      <c r="O67" s="116" t="s">
        <v>403</v>
      </c>
      <c r="P67" s="116" t="s">
        <v>752</v>
      </c>
      <c r="R67" s="116" t="s">
        <v>451</v>
      </c>
      <c r="S67" s="155"/>
      <c r="T67" s="155"/>
      <c r="U67" s="155"/>
      <c r="V67" s="155"/>
      <c r="W67" s="155"/>
      <c r="X67" s="155"/>
      <c r="Y67" s="126"/>
    </row>
    <row r="68">
      <c r="A68" s="154">
        <v>43340.441666666666</v>
      </c>
      <c r="B68" s="116" t="s">
        <v>753</v>
      </c>
      <c r="C68" s="116" t="s">
        <v>754</v>
      </c>
      <c r="D68" s="116" t="s">
        <v>755</v>
      </c>
      <c r="E68" s="116" t="s">
        <v>756</v>
      </c>
      <c r="F68" s="116" t="s">
        <v>431</v>
      </c>
      <c r="G68" s="116" t="s">
        <v>267</v>
      </c>
      <c r="H68" s="116" t="s">
        <v>63</v>
      </c>
      <c r="I68" s="116" t="s">
        <v>400</v>
      </c>
      <c r="J68" s="116" t="s">
        <v>251</v>
      </c>
      <c r="K68" s="116" t="s">
        <v>401</v>
      </c>
      <c r="L68" s="116" t="s">
        <v>163</v>
      </c>
      <c r="M68" s="116" t="s">
        <v>136</v>
      </c>
      <c r="N68" s="116" t="s">
        <v>691</v>
      </c>
      <c r="P68" s="116" t="s">
        <v>757</v>
      </c>
      <c r="R68" s="116" t="s">
        <v>451</v>
      </c>
      <c r="S68" s="155"/>
      <c r="T68" s="155"/>
      <c r="U68" s="155"/>
      <c r="V68" s="155"/>
      <c r="W68" s="155"/>
      <c r="X68" s="155"/>
      <c r="Y68" s="126"/>
    </row>
    <row r="69">
      <c r="A69" s="154">
        <v>43349.4431712963</v>
      </c>
      <c r="B69" s="116" t="s">
        <v>758</v>
      </c>
      <c r="C69" s="116" t="s">
        <v>759</v>
      </c>
      <c r="D69" s="116" t="s">
        <v>589</v>
      </c>
      <c r="E69" s="116" t="s">
        <v>760</v>
      </c>
      <c r="F69" s="116" t="s">
        <v>418</v>
      </c>
      <c r="G69" s="116" t="s">
        <v>267</v>
      </c>
      <c r="H69" s="116" t="s">
        <v>63</v>
      </c>
      <c r="I69" s="116" t="s">
        <v>251</v>
      </c>
      <c r="J69" s="116" t="s">
        <v>400</v>
      </c>
      <c r="K69" s="116" t="s">
        <v>163</v>
      </c>
      <c r="L69" s="116" t="s">
        <v>136</v>
      </c>
      <c r="M69" s="116" t="s">
        <v>401</v>
      </c>
      <c r="N69" s="116" t="s">
        <v>691</v>
      </c>
      <c r="O69" s="116" t="s">
        <v>117</v>
      </c>
      <c r="P69" s="116" t="s">
        <v>761</v>
      </c>
      <c r="R69" s="116" t="s">
        <v>405</v>
      </c>
      <c r="S69" s="155"/>
      <c r="T69" s="155"/>
      <c r="U69" s="155"/>
      <c r="V69" s="155"/>
      <c r="W69" s="155"/>
      <c r="X69" s="155"/>
      <c r="Y69" s="126"/>
    </row>
    <row r="70">
      <c r="A70" s="154">
        <v>43362.44483796296</v>
      </c>
      <c r="B70" s="116" t="s">
        <v>762</v>
      </c>
      <c r="C70" s="116" t="s">
        <v>763</v>
      </c>
      <c r="D70" s="116" t="s">
        <v>578</v>
      </c>
      <c r="E70" s="116" t="s">
        <v>764</v>
      </c>
      <c r="F70" s="116" t="s">
        <v>431</v>
      </c>
      <c r="G70" s="116" t="s">
        <v>267</v>
      </c>
      <c r="H70" s="116" t="s">
        <v>63</v>
      </c>
      <c r="I70" s="116" t="s">
        <v>251</v>
      </c>
      <c r="J70" s="116" t="s">
        <v>400</v>
      </c>
      <c r="K70" s="116" t="s">
        <v>163</v>
      </c>
      <c r="L70" s="116" t="s">
        <v>401</v>
      </c>
      <c r="M70" s="116" t="s">
        <v>136</v>
      </c>
      <c r="N70" s="116" t="s">
        <v>691</v>
      </c>
      <c r="O70" s="116" t="s">
        <v>117</v>
      </c>
      <c r="P70" s="116" t="s">
        <v>765</v>
      </c>
      <c r="R70" s="116" t="s">
        <v>451</v>
      </c>
      <c r="S70" s="155"/>
      <c r="T70" s="155"/>
      <c r="U70" s="155"/>
      <c r="V70" s="155"/>
      <c r="W70" s="155"/>
      <c r="X70" s="155"/>
      <c r="Y70" s="126"/>
    </row>
    <row r="71">
      <c r="A71" s="154">
        <v>43364.44614583333</v>
      </c>
      <c r="B71" s="116" t="s">
        <v>766</v>
      </c>
      <c r="C71" s="116" t="s">
        <v>313</v>
      </c>
      <c r="D71" s="116" t="s">
        <v>767</v>
      </c>
      <c r="E71" s="116" t="s">
        <v>768</v>
      </c>
      <c r="F71" s="116" t="s">
        <v>418</v>
      </c>
      <c r="G71" s="116" t="s">
        <v>267</v>
      </c>
      <c r="H71" s="116" t="s">
        <v>63</v>
      </c>
      <c r="I71" s="116" t="s">
        <v>251</v>
      </c>
      <c r="J71" s="116" t="s">
        <v>400</v>
      </c>
      <c r="K71" s="116" t="s">
        <v>163</v>
      </c>
      <c r="L71" s="116" t="s">
        <v>401</v>
      </c>
      <c r="M71" s="116" t="s">
        <v>136</v>
      </c>
      <c r="N71" s="116" t="s">
        <v>691</v>
      </c>
      <c r="O71" s="116" t="s">
        <v>117</v>
      </c>
      <c r="P71" s="116" t="s">
        <v>769</v>
      </c>
      <c r="R71" s="116" t="s">
        <v>451</v>
      </c>
      <c r="S71" s="155"/>
      <c r="T71" s="155"/>
      <c r="U71" s="155"/>
      <c r="V71" s="155"/>
      <c r="W71" s="155"/>
      <c r="X71" s="155"/>
      <c r="Y71" s="126"/>
    </row>
    <row r="72">
      <c r="A72" s="154">
        <v>43369.44834490741</v>
      </c>
      <c r="B72" s="116" t="s">
        <v>770</v>
      </c>
      <c r="C72" s="116" t="s">
        <v>682</v>
      </c>
      <c r="D72" s="116" t="s">
        <v>771</v>
      </c>
      <c r="E72" s="116" t="s">
        <v>684</v>
      </c>
      <c r="F72" s="116" t="s">
        <v>398</v>
      </c>
      <c r="G72" s="116" t="s">
        <v>267</v>
      </c>
      <c r="H72" s="116" t="s">
        <v>63</v>
      </c>
      <c r="I72" s="116" t="s">
        <v>251</v>
      </c>
      <c r="J72" s="116" t="s">
        <v>400</v>
      </c>
      <c r="K72" s="116" t="s">
        <v>163</v>
      </c>
      <c r="L72" s="116" t="s">
        <v>401</v>
      </c>
      <c r="M72" s="116" t="s">
        <v>136</v>
      </c>
      <c r="N72" s="116" t="s">
        <v>691</v>
      </c>
      <c r="O72" s="116" t="s">
        <v>117</v>
      </c>
      <c r="P72" s="116" t="s">
        <v>772</v>
      </c>
      <c r="R72" s="116" t="s">
        <v>451</v>
      </c>
      <c r="S72" s="155"/>
      <c r="T72" s="155"/>
      <c r="U72" s="155"/>
      <c r="V72" s="155"/>
      <c r="W72" s="155"/>
      <c r="X72" s="155"/>
      <c r="Y72" s="126"/>
    </row>
    <row r="73">
      <c r="A73" s="154">
        <v>43369.44918981481</v>
      </c>
      <c r="B73" s="116" t="s">
        <v>770</v>
      </c>
      <c r="C73" s="116" t="s">
        <v>682</v>
      </c>
      <c r="D73" s="116" t="s">
        <v>771</v>
      </c>
      <c r="E73" s="116" t="s">
        <v>684</v>
      </c>
      <c r="F73" s="116" t="s">
        <v>398</v>
      </c>
      <c r="G73" s="116" t="s">
        <v>267</v>
      </c>
      <c r="H73" s="116" t="s">
        <v>63</v>
      </c>
      <c r="I73" s="116" t="s">
        <v>251</v>
      </c>
      <c r="J73" s="116" t="s">
        <v>400</v>
      </c>
      <c r="K73" s="116" t="s">
        <v>163</v>
      </c>
      <c r="L73" s="116" t="s">
        <v>401</v>
      </c>
      <c r="M73" s="116" t="s">
        <v>136</v>
      </c>
      <c r="N73" s="116" t="s">
        <v>691</v>
      </c>
      <c r="O73" s="116" t="s">
        <v>117</v>
      </c>
      <c r="P73" s="116" t="s">
        <v>772</v>
      </c>
      <c r="R73" s="116" t="s">
        <v>451</v>
      </c>
      <c r="S73" s="155"/>
      <c r="T73" s="155"/>
      <c r="U73" s="155"/>
      <c r="V73" s="155"/>
      <c r="W73" s="155"/>
      <c r="X73" s="155"/>
      <c r="Y73" s="126"/>
    </row>
    <row r="74">
      <c r="A74" s="154">
        <v>43389.45233796296</v>
      </c>
      <c r="B74" s="116" t="s">
        <v>773</v>
      </c>
      <c r="C74" s="116" t="s">
        <v>774</v>
      </c>
      <c r="D74" s="116" t="s">
        <v>437</v>
      </c>
      <c r="E74" s="116" t="s">
        <v>775</v>
      </c>
      <c r="F74" s="116" t="s">
        <v>398</v>
      </c>
      <c r="G74" s="116" t="s">
        <v>267</v>
      </c>
      <c r="H74" s="116" t="s">
        <v>63</v>
      </c>
      <c r="I74" s="116" t="s">
        <v>251</v>
      </c>
      <c r="J74" s="116" t="s">
        <v>400</v>
      </c>
      <c r="K74" s="116" t="s">
        <v>401</v>
      </c>
      <c r="L74" s="116" t="s">
        <v>163</v>
      </c>
      <c r="M74" s="116" t="s">
        <v>136</v>
      </c>
      <c r="N74" s="116" t="s">
        <v>691</v>
      </c>
      <c r="O74" s="116" t="s">
        <v>117</v>
      </c>
      <c r="P74" s="116" t="s">
        <v>776</v>
      </c>
      <c r="R74" s="116" t="s">
        <v>405</v>
      </c>
      <c r="S74" s="155"/>
      <c r="T74" s="155"/>
      <c r="U74" s="155"/>
      <c r="V74" s="155"/>
      <c r="W74" s="155"/>
      <c r="X74" s="155"/>
      <c r="Y74" s="126"/>
    </row>
    <row r="75">
      <c r="A75" s="154">
        <v>43373.450949074075</v>
      </c>
      <c r="B75" s="116" t="s">
        <v>777</v>
      </c>
      <c r="C75" s="116" t="s">
        <v>778</v>
      </c>
      <c r="D75" s="116" t="s">
        <v>671</v>
      </c>
      <c r="E75" s="116" t="s">
        <v>779</v>
      </c>
      <c r="F75" s="116" t="s">
        <v>418</v>
      </c>
      <c r="G75" s="116" t="s">
        <v>267</v>
      </c>
      <c r="H75" s="116" t="s">
        <v>63</v>
      </c>
      <c r="I75" s="116" t="s">
        <v>251</v>
      </c>
      <c r="N75" s="116" t="s">
        <v>691</v>
      </c>
      <c r="O75" s="116" t="s">
        <v>130</v>
      </c>
      <c r="P75" s="116" t="s">
        <v>780</v>
      </c>
      <c r="R75" s="116" t="s">
        <v>442</v>
      </c>
      <c r="S75" s="155"/>
      <c r="T75" s="155"/>
      <c r="U75" s="155"/>
      <c r="V75" s="155"/>
      <c r="W75" s="155"/>
      <c r="X75" s="155"/>
      <c r="Y75" s="126"/>
    </row>
    <row r="76">
      <c r="A76" s="154">
        <v>43395.455196759256</v>
      </c>
      <c r="B76" s="116" t="s">
        <v>781</v>
      </c>
      <c r="C76" s="116" t="s">
        <v>782</v>
      </c>
      <c r="D76" s="116" t="s">
        <v>767</v>
      </c>
      <c r="E76" s="116" t="s">
        <v>783</v>
      </c>
      <c r="F76" s="116" t="s">
        <v>701</v>
      </c>
      <c r="G76" s="116" t="s">
        <v>267</v>
      </c>
      <c r="H76" s="116" t="s">
        <v>63</v>
      </c>
      <c r="I76" s="116" t="s">
        <v>251</v>
      </c>
      <c r="J76" s="116" t="s">
        <v>136</v>
      </c>
      <c r="K76" s="116" t="s">
        <v>400</v>
      </c>
      <c r="L76" s="116" t="s">
        <v>401</v>
      </c>
      <c r="M76" s="116" t="s">
        <v>163</v>
      </c>
      <c r="N76" s="116" t="s">
        <v>691</v>
      </c>
      <c r="O76" s="116" t="s">
        <v>117</v>
      </c>
      <c r="P76" s="116" t="s">
        <v>784</v>
      </c>
      <c r="R76" s="116" t="s">
        <v>451</v>
      </c>
      <c r="S76" s="155"/>
      <c r="T76" s="155"/>
      <c r="U76" s="155"/>
      <c r="V76" s="155"/>
      <c r="W76" s="155"/>
      <c r="X76" s="155"/>
      <c r="Y76" s="126"/>
    </row>
    <row r="77">
      <c r="A77" s="154">
        <v>43398.459340277775</v>
      </c>
      <c r="B77" s="116" t="s">
        <v>785</v>
      </c>
      <c r="C77" s="116" t="s">
        <v>786</v>
      </c>
      <c r="D77" s="116" t="s">
        <v>742</v>
      </c>
      <c r="E77" s="116" t="s">
        <v>787</v>
      </c>
      <c r="F77" s="116" t="s">
        <v>492</v>
      </c>
      <c r="G77" s="116" t="s">
        <v>267</v>
      </c>
      <c r="H77" s="116" t="s">
        <v>63</v>
      </c>
      <c r="I77" s="116" t="s">
        <v>251</v>
      </c>
      <c r="J77" s="116" t="s">
        <v>400</v>
      </c>
      <c r="K77" s="116" t="s">
        <v>401</v>
      </c>
      <c r="L77" s="116" t="s">
        <v>163</v>
      </c>
      <c r="M77" s="116" t="s">
        <v>136</v>
      </c>
      <c r="N77" s="116" t="s">
        <v>691</v>
      </c>
      <c r="O77" s="116" t="s">
        <v>403</v>
      </c>
      <c r="P77" s="116" t="s">
        <v>788</v>
      </c>
      <c r="R77" s="116" t="s">
        <v>405</v>
      </c>
      <c r="S77" s="155"/>
      <c r="T77" s="155"/>
      <c r="U77" s="155"/>
      <c r="V77" s="155"/>
      <c r="W77" s="155"/>
      <c r="X77" s="155"/>
      <c r="Y77" s="126"/>
    </row>
    <row r="78">
      <c r="A78" s="154">
        <v>43409.460914351854</v>
      </c>
      <c r="B78" s="116" t="s">
        <v>789</v>
      </c>
      <c r="C78" s="116" t="s">
        <v>790</v>
      </c>
      <c r="D78" s="116" t="s">
        <v>791</v>
      </c>
      <c r="E78" s="116" t="s">
        <v>792</v>
      </c>
      <c r="F78" s="116" t="s">
        <v>461</v>
      </c>
      <c r="G78" s="116" t="s">
        <v>267</v>
      </c>
      <c r="H78" s="116" t="s">
        <v>63</v>
      </c>
      <c r="I78" s="116" t="s">
        <v>251</v>
      </c>
      <c r="J78" s="116" t="s">
        <v>401</v>
      </c>
      <c r="K78" s="116" t="s">
        <v>400</v>
      </c>
      <c r="L78" s="116" t="s">
        <v>163</v>
      </c>
      <c r="M78" s="116" t="s">
        <v>136</v>
      </c>
      <c r="N78" s="116" t="s">
        <v>130</v>
      </c>
      <c r="O78" s="116" t="s">
        <v>117</v>
      </c>
      <c r="P78" s="116" t="s">
        <v>793</v>
      </c>
      <c r="R78" s="116" t="s">
        <v>451</v>
      </c>
      <c r="S78" s="155"/>
      <c r="T78" s="155"/>
      <c r="U78" s="155"/>
      <c r="V78" s="155"/>
      <c r="W78" s="155"/>
      <c r="X78" s="155"/>
      <c r="Y78" s="126"/>
    </row>
    <row r="79">
      <c r="A79" s="154">
        <v>43413.4621412037</v>
      </c>
      <c r="B79" s="116" t="s">
        <v>794</v>
      </c>
      <c r="C79" s="116" t="s">
        <v>267</v>
      </c>
      <c r="D79" s="116" t="s">
        <v>795</v>
      </c>
      <c r="E79" s="116" t="s">
        <v>796</v>
      </c>
      <c r="F79" s="116" t="s">
        <v>447</v>
      </c>
      <c r="G79" s="116" t="s">
        <v>267</v>
      </c>
      <c r="H79" s="116" t="s">
        <v>63</v>
      </c>
      <c r="I79" s="116" t="s">
        <v>251</v>
      </c>
      <c r="J79" s="116" t="s">
        <v>400</v>
      </c>
      <c r="K79" s="116" t="s">
        <v>401</v>
      </c>
      <c r="L79" s="116" t="s">
        <v>163</v>
      </c>
      <c r="M79" s="116" t="s">
        <v>136</v>
      </c>
      <c r="N79" s="116" t="s">
        <v>691</v>
      </c>
      <c r="O79" s="116" t="s">
        <v>403</v>
      </c>
      <c r="P79" s="116" t="s">
        <v>797</v>
      </c>
      <c r="R79" s="116" t="s">
        <v>451</v>
      </c>
      <c r="S79" s="155"/>
      <c r="T79" s="155"/>
      <c r="U79" s="155"/>
      <c r="V79" s="155"/>
      <c r="W79" s="155"/>
      <c r="X79" s="155"/>
      <c r="Y79" s="126"/>
    </row>
    <row r="80">
      <c r="A80" s="154">
        <v>43413.46335648148</v>
      </c>
      <c r="B80" s="116" t="s">
        <v>798</v>
      </c>
      <c r="C80" s="116" t="s">
        <v>799</v>
      </c>
      <c r="D80" s="116" t="s">
        <v>800</v>
      </c>
      <c r="E80" s="163" t="s">
        <v>801</v>
      </c>
      <c r="F80" s="116" t="s">
        <v>492</v>
      </c>
      <c r="G80" s="116" t="s">
        <v>267</v>
      </c>
      <c r="H80" s="116" t="s">
        <v>63</v>
      </c>
      <c r="I80" s="116" t="s">
        <v>251</v>
      </c>
      <c r="J80" s="116" t="s">
        <v>136</v>
      </c>
      <c r="K80" s="116" t="s">
        <v>163</v>
      </c>
      <c r="L80" s="116" t="s">
        <v>400</v>
      </c>
      <c r="M80" s="116" t="s">
        <v>401</v>
      </c>
      <c r="N80" s="116" t="s">
        <v>691</v>
      </c>
      <c r="P80" s="116" t="s">
        <v>802</v>
      </c>
      <c r="R80" s="116" t="s">
        <v>405</v>
      </c>
      <c r="S80" s="155"/>
      <c r="T80" s="155"/>
      <c r="U80" s="155"/>
      <c r="V80" s="155"/>
      <c r="W80" s="155"/>
      <c r="X80" s="155"/>
      <c r="Y80" s="126"/>
    </row>
    <row r="81">
      <c r="A81" s="154">
        <v>43416.46445601852</v>
      </c>
      <c r="B81" s="116" t="s">
        <v>803</v>
      </c>
      <c r="C81" s="116" t="s">
        <v>484</v>
      </c>
      <c r="D81" s="116" t="s">
        <v>804</v>
      </c>
      <c r="E81" s="116"/>
      <c r="F81" s="116" t="s">
        <v>492</v>
      </c>
      <c r="G81" s="116" t="s">
        <v>267</v>
      </c>
      <c r="H81" s="116" t="s">
        <v>63</v>
      </c>
      <c r="I81" s="116" t="s">
        <v>251</v>
      </c>
      <c r="J81" s="116" t="s">
        <v>401</v>
      </c>
      <c r="K81" s="116" t="s">
        <v>400</v>
      </c>
      <c r="L81" s="116" t="s">
        <v>163</v>
      </c>
      <c r="M81" s="116" t="s">
        <v>136</v>
      </c>
      <c r="N81" s="116" t="s">
        <v>691</v>
      </c>
      <c r="O81" s="116" t="s">
        <v>403</v>
      </c>
      <c r="P81" s="116" t="s">
        <v>805</v>
      </c>
      <c r="R81" s="116" t="s">
        <v>451</v>
      </c>
      <c r="S81" s="155"/>
      <c r="T81" s="155"/>
      <c r="U81" s="155"/>
      <c r="V81" s="155"/>
      <c r="W81" s="155"/>
      <c r="X81" s="155"/>
      <c r="Y81" s="152" t="s">
        <v>806</v>
      </c>
    </row>
    <row r="82">
      <c r="A82" s="154">
        <v>43418.46555555556</v>
      </c>
      <c r="B82" s="116" t="s">
        <v>807</v>
      </c>
      <c r="C82" s="116" t="s">
        <v>808</v>
      </c>
      <c r="D82" s="116" t="s">
        <v>809</v>
      </c>
      <c r="E82" s="116" t="s">
        <v>810</v>
      </c>
      <c r="F82" s="116" t="s">
        <v>492</v>
      </c>
      <c r="G82" s="116" t="s">
        <v>267</v>
      </c>
      <c r="H82" s="116" t="s">
        <v>63</v>
      </c>
      <c r="I82" s="116" t="s">
        <v>251</v>
      </c>
      <c r="J82" s="116" t="s">
        <v>400</v>
      </c>
      <c r="K82" s="116" t="s">
        <v>401</v>
      </c>
      <c r="L82" s="116" t="s">
        <v>163</v>
      </c>
      <c r="M82" s="116" t="s">
        <v>136</v>
      </c>
      <c r="N82" s="116" t="s">
        <v>691</v>
      </c>
      <c r="O82" s="116" t="s">
        <v>130</v>
      </c>
      <c r="P82" s="116" t="s">
        <v>811</v>
      </c>
      <c r="R82" s="116" t="s">
        <v>451</v>
      </c>
      <c r="S82" s="155"/>
      <c r="T82" s="155"/>
      <c r="U82" s="155"/>
      <c r="V82" s="155"/>
      <c r="W82" s="155"/>
      <c r="X82" s="155"/>
      <c r="Y82" s="126"/>
    </row>
    <row r="83">
      <c r="A83" s="154">
        <v>43418.467453703706</v>
      </c>
      <c r="B83" s="116" t="s">
        <v>812</v>
      </c>
      <c r="C83" s="116" t="s">
        <v>704</v>
      </c>
      <c r="D83" s="116" t="s">
        <v>804</v>
      </c>
      <c r="E83" s="116" t="s">
        <v>813</v>
      </c>
      <c r="F83" s="116" t="s">
        <v>398</v>
      </c>
      <c r="G83" s="116" t="s">
        <v>267</v>
      </c>
      <c r="H83" s="116" t="s">
        <v>63</v>
      </c>
      <c r="I83" s="116" t="s">
        <v>163</v>
      </c>
      <c r="J83" s="116" t="s">
        <v>251</v>
      </c>
      <c r="K83" s="116" t="s">
        <v>401</v>
      </c>
      <c r="L83" s="116" t="s">
        <v>400</v>
      </c>
      <c r="M83" s="116" t="s">
        <v>136</v>
      </c>
      <c r="N83" s="116" t="s">
        <v>691</v>
      </c>
      <c r="O83" s="116" t="s">
        <v>130</v>
      </c>
      <c r="P83" s="116" t="s">
        <v>814</v>
      </c>
      <c r="R83" s="116" t="s">
        <v>451</v>
      </c>
      <c r="S83" s="155"/>
      <c r="T83" s="155"/>
      <c r="U83" s="155"/>
      <c r="V83" s="155"/>
      <c r="W83" s="155"/>
      <c r="X83" s="155"/>
      <c r="Y83" s="126"/>
    </row>
    <row r="84">
      <c r="A84" s="154">
        <v>43483.52609407407</v>
      </c>
      <c r="B84" s="116" t="s">
        <v>815</v>
      </c>
      <c r="C84" s="116" t="s">
        <v>816</v>
      </c>
      <c r="D84" s="116" t="s">
        <v>817</v>
      </c>
      <c r="E84" s="116" t="s">
        <v>818</v>
      </c>
      <c r="F84" s="116" t="s">
        <v>431</v>
      </c>
      <c r="G84" s="116" t="s">
        <v>819</v>
      </c>
      <c r="H84" s="116" t="s">
        <v>63</v>
      </c>
      <c r="I84" s="116" t="s">
        <v>251</v>
      </c>
      <c r="J84" s="116" t="s">
        <v>820</v>
      </c>
      <c r="O84" s="116" t="s">
        <v>403</v>
      </c>
      <c r="P84" s="116" t="s">
        <v>821</v>
      </c>
      <c r="R84" s="116" t="s">
        <v>405</v>
      </c>
      <c r="S84" s="155"/>
      <c r="T84" s="155"/>
      <c r="U84" s="155"/>
      <c r="V84" s="155"/>
      <c r="W84" s="155"/>
      <c r="X84" s="155"/>
      <c r="Y84" s="126"/>
    </row>
    <row r="85">
      <c r="A85" s="154">
        <v>43342.52626157407</v>
      </c>
      <c r="B85" s="116" t="s">
        <v>822</v>
      </c>
      <c r="C85" s="116" t="s">
        <v>823</v>
      </c>
      <c r="D85" s="116" t="s">
        <v>437</v>
      </c>
      <c r="E85" s="116" t="s">
        <v>824</v>
      </c>
      <c r="F85" s="116" t="s">
        <v>701</v>
      </c>
      <c r="G85" s="116" t="s">
        <v>313</v>
      </c>
      <c r="H85" s="116" t="s">
        <v>202</v>
      </c>
      <c r="I85" s="116" t="s">
        <v>401</v>
      </c>
      <c r="J85" s="116" t="s">
        <v>400</v>
      </c>
      <c r="K85" s="116" t="s">
        <v>251</v>
      </c>
      <c r="L85" s="116" t="s">
        <v>136</v>
      </c>
      <c r="N85" s="116" t="s">
        <v>691</v>
      </c>
      <c r="O85" s="116" t="s">
        <v>403</v>
      </c>
      <c r="P85" s="116" t="s">
        <v>825</v>
      </c>
      <c r="R85" s="116" t="s">
        <v>405</v>
      </c>
      <c r="S85" s="155"/>
      <c r="T85" s="155"/>
      <c r="U85" s="155"/>
      <c r="V85" s="155"/>
      <c r="W85" s="155"/>
      <c r="X85" s="155"/>
      <c r="Y85" s="126"/>
    </row>
    <row r="86">
      <c r="A86" s="154">
        <v>43339.52752314815</v>
      </c>
      <c r="B86" s="116" t="s">
        <v>826</v>
      </c>
      <c r="C86" s="116" t="s">
        <v>313</v>
      </c>
      <c r="D86" s="116" t="s">
        <v>705</v>
      </c>
      <c r="E86" s="116" t="s">
        <v>827</v>
      </c>
      <c r="F86" s="116" t="s">
        <v>398</v>
      </c>
      <c r="G86" s="116" t="s">
        <v>313</v>
      </c>
      <c r="H86" s="116" t="s">
        <v>202</v>
      </c>
      <c r="I86" s="116" t="s">
        <v>401</v>
      </c>
      <c r="J86" s="116" t="s">
        <v>400</v>
      </c>
      <c r="K86" s="116" t="s">
        <v>251</v>
      </c>
      <c r="L86" s="116" t="s">
        <v>136</v>
      </c>
      <c r="N86" s="116" t="s">
        <v>691</v>
      </c>
      <c r="O86" s="116" t="s">
        <v>403</v>
      </c>
      <c r="P86" s="116" t="s">
        <v>130</v>
      </c>
      <c r="R86" s="116" t="s">
        <v>405</v>
      </c>
      <c r="S86" s="155"/>
      <c r="T86" s="155"/>
      <c r="U86" s="155"/>
      <c r="V86" s="155"/>
      <c r="W86" s="155"/>
      <c r="X86" s="155"/>
      <c r="Y86" s="126"/>
    </row>
    <row r="87">
      <c r="A87" s="154">
        <v>43332.52856481481</v>
      </c>
      <c r="B87" s="116" t="s">
        <v>828</v>
      </c>
      <c r="C87" s="116" t="s">
        <v>829</v>
      </c>
      <c r="D87" s="116" t="s">
        <v>655</v>
      </c>
      <c r="E87" s="116" t="s">
        <v>830</v>
      </c>
      <c r="F87" s="116" t="s">
        <v>431</v>
      </c>
      <c r="G87" s="116" t="s">
        <v>313</v>
      </c>
      <c r="H87" s="116" t="s">
        <v>202</v>
      </c>
      <c r="I87" s="116" t="s">
        <v>251</v>
      </c>
      <c r="J87" s="116" t="s">
        <v>136</v>
      </c>
      <c r="N87" s="116" t="s">
        <v>117</v>
      </c>
      <c r="O87" s="116" t="s">
        <v>403</v>
      </c>
      <c r="P87" s="116" t="s">
        <v>831</v>
      </c>
      <c r="R87" s="116" t="s">
        <v>405</v>
      </c>
      <c r="S87" s="155"/>
      <c r="T87" s="155"/>
      <c r="U87" s="155"/>
      <c r="V87" s="155"/>
      <c r="W87" s="155"/>
      <c r="X87" s="155"/>
      <c r="Y87" s="126"/>
    </row>
    <row r="88">
      <c r="A88" s="154">
        <v>43332.52978009259</v>
      </c>
      <c r="B88" s="116" t="s">
        <v>832</v>
      </c>
      <c r="C88" s="116" t="s">
        <v>313</v>
      </c>
      <c r="D88" s="116" t="s">
        <v>742</v>
      </c>
      <c r="E88" s="116" t="s">
        <v>833</v>
      </c>
      <c r="F88" s="116" t="s">
        <v>431</v>
      </c>
      <c r="G88" s="116" t="s">
        <v>313</v>
      </c>
      <c r="H88" s="116" t="s">
        <v>202</v>
      </c>
      <c r="I88" s="116" t="s">
        <v>400</v>
      </c>
      <c r="J88" s="116" t="s">
        <v>251</v>
      </c>
      <c r="N88" s="116" t="s">
        <v>117</v>
      </c>
      <c r="O88" s="116" t="s">
        <v>403</v>
      </c>
      <c r="P88" s="116" t="s">
        <v>834</v>
      </c>
      <c r="R88" s="116" t="s">
        <v>405</v>
      </c>
      <c r="S88" s="155"/>
      <c r="T88" s="155"/>
      <c r="U88" s="155"/>
      <c r="V88" s="155"/>
      <c r="W88" s="155"/>
      <c r="X88" s="155"/>
      <c r="Y88" s="126"/>
    </row>
    <row r="89">
      <c r="A89" s="154">
        <v>43332.53108796296</v>
      </c>
      <c r="B89" s="116" t="s">
        <v>835</v>
      </c>
      <c r="C89" s="116" t="s">
        <v>836</v>
      </c>
      <c r="D89" s="116" t="s">
        <v>837</v>
      </c>
      <c r="E89" s="116" t="s">
        <v>838</v>
      </c>
      <c r="F89" s="116" t="s">
        <v>492</v>
      </c>
      <c r="G89" s="116" t="s">
        <v>313</v>
      </c>
      <c r="H89" s="116" t="s">
        <v>202</v>
      </c>
      <c r="I89" s="116" t="s">
        <v>401</v>
      </c>
      <c r="J89" s="116" t="s">
        <v>400</v>
      </c>
      <c r="K89" s="116" t="s">
        <v>251</v>
      </c>
      <c r="N89" s="116" t="s">
        <v>117</v>
      </c>
      <c r="O89" s="116" t="s">
        <v>403</v>
      </c>
      <c r="P89" s="116" t="s">
        <v>313</v>
      </c>
      <c r="R89" s="116" t="s">
        <v>405</v>
      </c>
      <c r="S89" s="155"/>
      <c r="T89" s="155"/>
      <c r="U89" s="155"/>
      <c r="V89" s="155"/>
      <c r="W89" s="155"/>
      <c r="X89" s="155"/>
      <c r="Y89" s="126"/>
    </row>
    <row r="90">
      <c r="A90" s="154">
        <v>43332.532847222225</v>
      </c>
      <c r="B90" s="116" t="s">
        <v>839</v>
      </c>
      <c r="C90" s="116" t="s">
        <v>840</v>
      </c>
      <c r="D90" s="116" t="s">
        <v>841</v>
      </c>
      <c r="E90" s="116" t="s">
        <v>842</v>
      </c>
      <c r="F90" s="116" t="s">
        <v>843</v>
      </c>
      <c r="G90" s="116" t="s">
        <v>313</v>
      </c>
      <c r="H90" s="116" t="s">
        <v>202</v>
      </c>
      <c r="I90" s="116" t="s">
        <v>401</v>
      </c>
      <c r="J90" s="116" t="s">
        <v>400</v>
      </c>
      <c r="K90" s="116" t="s">
        <v>251</v>
      </c>
      <c r="N90" s="116" t="s">
        <v>117</v>
      </c>
      <c r="O90" s="116" t="s">
        <v>403</v>
      </c>
      <c r="P90" s="116" t="s">
        <v>844</v>
      </c>
      <c r="R90" s="116" t="s">
        <v>405</v>
      </c>
      <c r="S90" s="155"/>
      <c r="T90" s="155"/>
      <c r="U90" s="155"/>
      <c r="V90" s="155"/>
      <c r="W90" s="155"/>
      <c r="X90" s="155"/>
      <c r="Y90" s="126"/>
    </row>
    <row r="91">
      <c r="A91" s="154">
        <v>43483.533421493055</v>
      </c>
      <c r="B91" s="116" t="s">
        <v>845</v>
      </c>
      <c r="C91" s="116" t="s">
        <v>846</v>
      </c>
      <c r="E91" s="116" t="s">
        <v>847</v>
      </c>
      <c r="F91" s="116" t="s">
        <v>418</v>
      </c>
      <c r="G91" s="116" t="s">
        <v>848</v>
      </c>
      <c r="H91" s="116" t="s">
        <v>63</v>
      </c>
      <c r="I91" s="116" t="s">
        <v>163</v>
      </c>
      <c r="K91" s="116" t="s">
        <v>400</v>
      </c>
      <c r="L91" s="116" t="s">
        <v>136</v>
      </c>
      <c r="M91" s="116" t="s">
        <v>251</v>
      </c>
      <c r="N91" s="116" t="s">
        <v>849</v>
      </c>
      <c r="O91" s="116" t="s">
        <v>403</v>
      </c>
      <c r="P91" s="116" t="s">
        <v>850</v>
      </c>
      <c r="R91" s="116" t="s">
        <v>451</v>
      </c>
      <c r="S91" s="155"/>
      <c r="T91" s="155"/>
      <c r="U91" s="155"/>
      <c r="V91" s="155"/>
      <c r="W91" s="155"/>
      <c r="X91" s="155"/>
      <c r="Y91" s="126"/>
    </row>
    <row r="92">
      <c r="A92" s="154">
        <v>43366.53592592593</v>
      </c>
      <c r="B92" s="116" t="s">
        <v>851</v>
      </c>
      <c r="C92" s="116" t="s">
        <v>313</v>
      </c>
      <c r="D92" s="116" t="s">
        <v>852</v>
      </c>
      <c r="E92" s="116" t="s">
        <v>853</v>
      </c>
      <c r="F92" s="116" t="s">
        <v>610</v>
      </c>
      <c r="G92" s="116" t="s">
        <v>313</v>
      </c>
      <c r="H92" s="116" t="s">
        <v>202</v>
      </c>
      <c r="I92" s="116" t="s">
        <v>251</v>
      </c>
      <c r="N92" s="116" t="s">
        <v>117</v>
      </c>
      <c r="O92" s="116" t="s">
        <v>403</v>
      </c>
      <c r="P92" s="116" t="s">
        <v>313</v>
      </c>
      <c r="R92" s="116" t="s">
        <v>405</v>
      </c>
      <c r="S92" s="155"/>
      <c r="T92" s="155"/>
      <c r="U92" s="155"/>
      <c r="V92" s="155"/>
      <c r="W92" s="155"/>
      <c r="X92" s="155"/>
      <c r="Y92" s="126"/>
    </row>
    <row r="93">
      <c r="A93" s="154">
        <v>43371.53938657408</v>
      </c>
      <c r="B93" s="116" t="s">
        <v>854</v>
      </c>
      <c r="C93" s="116" t="s">
        <v>855</v>
      </c>
      <c r="D93" s="116" t="s">
        <v>856</v>
      </c>
      <c r="E93" s="116" t="s">
        <v>857</v>
      </c>
      <c r="F93" s="116" t="s">
        <v>701</v>
      </c>
      <c r="G93" s="116" t="s">
        <v>313</v>
      </c>
      <c r="H93" s="116" t="s">
        <v>202</v>
      </c>
      <c r="N93" s="116" t="s">
        <v>130</v>
      </c>
      <c r="O93" s="116" t="s">
        <v>403</v>
      </c>
      <c r="P93" s="116" t="s">
        <v>313</v>
      </c>
      <c r="R93" s="116" t="s">
        <v>405</v>
      </c>
      <c r="S93" s="155"/>
      <c r="T93" s="155"/>
      <c r="U93" s="155"/>
      <c r="V93" s="155"/>
      <c r="W93" s="155"/>
      <c r="X93" s="155"/>
      <c r="Y93" s="126"/>
    </row>
    <row r="94">
      <c r="A94" s="154">
        <v>43372.549050925925</v>
      </c>
      <c r="B94" s="116" t="s">
        <v>851</v>
      </c>
      <c r="C94" s="116" t="s">
        <v>313</v>
      </c>
      <c r="D94" s="116" t="s">
        <v>852</v>
      </c>
      <c r="E94" s="116" t="s">
        <v>858</v>
      </c>
      <c r="F94" s="116" t="s">
        <v>610</v>
      </c>
      <c r="G94" s="116" t="s">
        <v>313</v>
      </c>
      <c r="H94" s="116" t="s">
        <v>202</v>
      </c>
      <c r="N94" s="116" t="s">
        <v>117</v>
      </c>
      <c r="O94" s="116" t="s">
        <v>403</v>
      </c>
      <c r="P94" s="116" t="s">
        <v>313</v>
      </c>
      <c r="R94" s="116" t="s">
        <v>405</v>
      </c>
      <c r="S94" s="155"/>
      <c r="T94" s="155"/>
      <c r="U94" s="155"/>
      <c r="V94" s="155"/>
      <c r="W94" s="155"/>
      <c r="X94" s="155"/>
      <c r="Y94" s="126"/>
    </row>
    <row r="95">
      <c r="A95" s="154">
        <v>43389.55033564815</v>
      </c>
      <c r="B95" s="116" t="s">
        <v>859</v>
      </c>
      <c r="C95" s="116" t="s">
        <v>860</v>
      </c>
      <c r="D95" s="116" t="s">
        <v>600</v>
      </c>
      <c r="E95" s="116" t="s">
        <v>861</v>
      </c>
      <c r="F95" s="116" t="s">
        <v>461</v>
      </c>
      <c r="G95" s="116" t="s">
        <v>313</v>
      </c>
      <c r="H95" s="116" t="s">
        <v>202</v>
      </c>
      <c r="N95" s="116" t="s">
        <v>130</v>
      </c>
      <c r="O95" s="116" t="s">
        <v>403</v>
      </c>
      <c r="P95" s="116" t="s">
        <v>862</v>
      </c>
      <c r="R95" s="116" t="s">
        <v>405</v>
      </c>
      <c r="S95" s="155"/>
      <c r="T95" s="155"/>
      <c r="U95" s="155"/>
      <c r="V95" s="155"/>
      <c r="W95" s="155"/>
      <c r="X95" s="155"/>
      <c r="Y95" s="126"/>
    </row>
    <row r="96">
      <c r="A96" s="154">
        <v>43402.551099537035</v>
      </c>
      <c r="B96" s="116" t="s">
        <v>863</v>
      </c>
      <c r="C96" s="116" t="s">
        <v>659</v>
      </c>
      <c r="D96" s="116" t="s">
        <v>660</v>
      </c>
      <c r="E96" s="116" t="s">
        <v>864</v>
      </c>
      <c r="F96" s="116" t="s">
        <v>529</v>
      </c>
      <c r="G96" s="116" t="s">
        <v>313</v>
      </c>
      <c r="H96" s="116" t="s">
        <v>202</v>
      </c>
      <c r="N96" s="116" t="s">
        <v>117</v>
      </c>
      <c r="O96" s="116" t="s">
        <v>403</v>
      </c>
      <c r="P96" s="116" t="s">
        <v>865</v>
      </c>
      <c r="R96" s="116" t="s">
        <v>405</v>
      </c>
      <c r="S96" s="155"/>
      <c r="T96" s="155"/>
      <c r="U96" s="155"/>
      <c r="V96" s="155"/>
      <c r="W96" s="155"/>
      <c r="X96" s="155"/>
      <c r="Y96" s="126"/>
    </row>
    <row r="97">
      <c r="A97" s="154">
        <v>43426.551932870374</v>
      </c>
      <c r="B97" s="116" t="s">
        <v>866</v>
      </c>
      <c r="C97" s="116" t="s">
        <v>867</v>
      </c>
      <c r="D97" s="116" t="s">
        <v>671</v>
      </c>
      <c r="E97" s="116" t="s">
        <v>868</v>
      </c>
      <c r="F97" s="116" t="s">
        <v>398</v>
      </c>
      <c r="G97" s="116" t="s">
        <v>313</v>
      </c>
      <c r="H97" s="116" t="s">
        <v>63</v>
      </c>
      <c r="N97" s="116" t="s">
        <v>117</v>
      </c>
      <c r="O97" s="116" t="s">
        <v>403</v>
      </c>
      <c r="P97" s="116" t="s">
        <v>869</v>
      </c>
      <c r="R97" s="116" t="s">
        <v>405</v>
      </c>
      <c r="S97" s="155"/>
      <c r="T97" s="155"/>
      <c r="U97" s="155"/>
      <c r="V97" s="155"/>
      <c r="W97" s="155"/>
      <c r="X97" s="155"/>
      <c r="Y97" s="126"/>
    </row>
    <row r="98">
      <c r="A98" s="154">
        <v>43427.55287037037</v>
      </c>
      <c r="B98" s="116" t="s">
        <v>870</v>
      </c>
      <c r="C98" s="116" t="s">
        <v>871</v>
      </c>
      <c r="D98" s="116" t="s">
        <v>872</v>
      </c>
      <c r="E98" s="116" t="s">
        <v>873</v>
      </c>
      <c r="F98" s="116" t="s">
        <v>431</v>
      </c>
      <c r="G98" s="116" t="s">
        <v>313</v>
      </c>
      <c r="H98" s="116" t="s">
        <v>202</v>
      </c>
      <c r="N98" s="116" t="s">
        <v>130</v>
      </c>
      <c r="O98" s="116" t="s">
        <v>403</v>
      </c>
      <c r="P98" s="116" t="s">
        <v>874</v>
      </c>
      <c r="R98" s="116" t="s">
        <v>405</v>
      </c>
      <c r="S98" s="155"/>
      <c r="T98" s="155"/>
      <c r="U98" s="155"/>
      <c r="V98" s="155"/>
      <c r="W98" s="155"/>
      <c r="X98" s="155"/>
      <c r="Y98" s="126"/>
    </row>
    <row r="99">
      <c r="A99" s="154">
        <v>43434.55380787037</v>
      </c>
      <c r="B99" s="116" t="s">
        <v>630</v>
      </c>
      <c r="C99" s="116" t="s">
        <v>631</v>
      </c>
      <c r="D99" s="116" t="s">
        <v>632</v>
      </c>
      <c r="E99" s="116" t="s">
        <v>633</v>
      </c>
      <c r="F99" s="116" t="s">
        <v>492</v>
      </c>
      <c r="G99" s="116" t="s">
        <v>313</v>
      </c>
      <c r="H99" s="116" t="s">
        <v>63</v>
      </c>
      <c r="I99" s="116" t="s">
        <v>400</v>
      </c>
      <c r="N99" s="116" t="s">
        <v>130</v>
      </c>
      <c r="O99" s="116" t="s">
        <v>403</v>
      </c>
      <c r="P99" s="116" t="s">
        <v>634</v>
      </c>
      <c r="R99" s="116" t="s">
        <v>405</v>
      </c>
      <c r="S99" s="155"/>
      <c r="T99" s="155"/>
      <c r="U99" s="155"/>
      <c r="V99" s="155"/>
      <c r="W99" s="155"/>
      <c r="X99" s="155"/>
      <c r="Y99" s="126"/>
    </row>
    <row r="100">
      <c r="A100" s="154">
        <v>43483.55459590278</v>
      </c>
      <c r="B100" s="116" t="s">
        <v>636</v>
      </c>
      <c r="C100" s="116" t="s">
        <v>436</v>
      </c>
      <c r="D100" s="116" t="s">
        <v>437</v>
      </c>
      <c r="E100" s="116" t="s">
        <v>637</v>
      </c>
      <c r="F100" s="116" t="s">
        <v>492</v>
      </c>
      <c r="G100" s="116" t="s">
        <v>313</v>
      </c>
      <c r="H100" s="116" t="s">
        <v>63</v>
      </c>
      <c r="I100" s="116" t="s">
        <v>400</v>
      </c>
      <c r="N100" s="116" t="s">
        <v>117</v>
      </c>
      <c r="O100" s="116" t="s">
        <v>403</v>
      </c>
      <c r="P100" s="116" t="s">
        <v>638</v>
      </c>
      <c r="R100" s="116" t="s">
        <v>405</v>
      </c>
      <c r="S100" s="155"/>
      <c r="T100" s="155"/>
      <c r="U100" s="155"/>
      <c r="V100" s="155"/>
      <c r="W100" s="155"/>
      <c r="X100" s="155"/>
      <c r="Y100" s="126"/>
    </row>
    <row r="101">
      <c r="A101" s="154">
        <v>43434.555347222224</v>
      </c>
      <c r="B101" s="116" t="s">
        <v>639</v>
      </c>
      <c r="C101" s="116" t="s">
        <v>436</v>
      </c>
      <c r="D101" s="116" t="s">
        <v>437</v>
      </c>
      <c r="E101" s="116" t="s">
        <v>640</v>
      </c>
      <c r="F101" s="116" t="s">
        <v>641</v>
      </c>
      <c r="G101" s="116" t="s">
        <v>313</v>
      </c>
      <c r="H101" s="116" t="s">
        <v>63</v>
      </c>
      <c r="I101" s="116" t="s">
        <v>400</v>
      </c>
      <c r="N101" s="116" t="s">
        <v>117</v>
      </c>
      <c r="O101" s="116" t="s">
        <v>403</v>
      </c>
      <c r="P101" s="116" t="s">
        <v>642</v>
      </c>
      <c r="R101" s="116" t="s">
        <v>405</v>
      </c>
      <c r="S101" s="155"/>
      <c r="T101" s="155"/>
      <c r="U101" s="155"/>
      <c r="V101" s="155"/>
      <c r="W101" s="155"/>
      <c r="X101" s="155"/>
      <c r="Y101" s="126"/>
    </row>
    <row r="102">
      <c r="A102" s="154">
        <v>43485.69615496528</v>
      </c>
      <c r="B102" s="116" t="s">
        <v>875</v>
      </c>
      <c r="C102" s="116" t="s">
        <v>876</v>
      </c>
      <c r="E102" s="116" t="s">
        <v>877</v>
      </c>
      <c r="F102" s="116" t="s">
        <v>461</v>
      </c>
      <c r="G102" s="116" t="s">
        <v>878</v>
      </c>
      <c r="H102" s="116" t="s">
        <v>63</v>
      </c>
      <c r="I102" s="116" t="s">
        <v>136</v>
      </c>
      <c r="J102" s="116" t="s">
        <v>251</v>
      </c>
      <c r="K102" s="116" t="s">
        <v>401</v>
      </c>
      <c r="L102" s="116" t="s">
        <v>400</v>
      </c>
      <c r="M102" s="116" t="s">
        <v>163</v>
      </c>
      <c r="O102" s="116" t="s">
        <v>403</v>
      </c>
      <c r="P102" s="116" t="s">
        <v>879</v>
      </c>
      <c r="R102" s="116" t="s">
        <v>451</v>
      </c>
      <c r="S102" s="155"/>
      <c r="T102" s="155"/>
      <c r="U102" s="155"/>
      <c r="V102" s="155"/>
      <c r="W102" s="155"/>
      <c r="X102" s="155"/>
      <c r="Y102" s="126"/>
    </row>
    <row r="103">
      <c r="A103" s="154">
        <v>43416.37436342592</v>
      </c>
      <c r="B103" s="116" t="s">
        <v>880</v>
      </c>
      <c r="C103" s="116" t="s">
        <v>881</v>
      </c>
      <c r="D103" s="116" t="s">
        <v>882</v>
      </c>
      <c r="E103" s="116" t="s">
        <v>883</v>
      </c>
      <c r="F103" s="116" t="s">
        <v>492</v>
      </c>
      <c r="G103" s="116" t="s">
        <v>19</v>
      </c>
      <c r="H103" s="116" t="s">
        <v>63</v>
      </c>
      <c r="I103" s="116" t="s">
        <v>401</v>
      </c>
      <c r="J103" s="116" t="s">
        <v>163</v>
      </c>
      <c r="K103" s="116" t="s">
        <v>400</v>
      </c>
      <c r="L103" s="116" t="s">
        <v>251</v>
      </c>
      <c r="M103" s="116" t="s">
        <v>136</v>
      </c>
      <c r="N103" s="116" t="s">
        <v>117</v>
      </c>
      <c r="O103" s="116" t="s">
        <v>130</v>
      </c>
      <c r="P103" s="116" t="s">
        <v>884</v>
      </c>
      <c r="R103" s="116" t="s">
        <v>405</v>
      </c>
      <c r="S103" s="155"/>
      <c r="T103" s="155"/>
      <c r="U103" s="155"/>
      <c r="V103" s="155"/>
      <c r="W103" s="155"/>
      <c r="X103" s="155"/>
      <c r="Y103" s="126"/>
    </row>
    <row r="104">
      <c r="A104" s="154">
        <v>43347.37954861111</v>
      </c>
      <c r="B104" s="116" t="s">
        <v>885</v>
      </c>
      <c r="C104" s="116" t="s">
        <v>886</v>
      </c>
      <c r="D104" s="116" t="s">
        <v>705</v>
      </c>
      <c r="E104" s="116" t="s">
        <v>887</v>
      </c>
      <c r="F104" s="116" t="s">
        <v>410</v>
      </c>
      <c r="G104" s="116" t="s">
        <v>313</v>
      </c>
      <c r="H104" s="116" t="s">
        <v>63</v>
      </c>
      <c r="I104" s="116" t="s">
        <v>401</v>
      </c>
      <c r="J104" s="116" t="s">
        <v>400</v>
      </c>
      <c r="K104" s="116" t="s">
        <v>136</v>
      </c>
      <c r="L104" s="116" t="s">
        <v>251</v>
      </c>
      <c r="M104" s="116" t="s">
        <v>163</v>
      </c>
      <c r="N104" s="116" t="s">
        <v>130</v>
      </c>
      <c r="O104" s="116" t="s">
        <v>117</v>
      </c>
      <c r="P104" s="116" t="s">
        <v>20</v>
      </c>
      <c r="R104" s="116" t="s">
        <v>442</v>
      </c>
      <c r="S104" s="155"/>
      <c r="T104" s="155"/>
      <c r="U104" s="155"/>
      <c r="V104" s="155"/>
      <c r="W104" s="155"/>
      <c r="X104" s="155"/>
      <c r="Y104" s="126"/>
    </row>
    <row r="105">
      <c r="A105" s="154">
        <v>43378.381261574075</v>
      </c>
      <c r="B105" s="116" t="s">
        <v>888</v>
      </c>
      <c r="C105" s="116" t="s">
        <v>313</v>
      </c>
      <c r="E105" s="116" t="s">
        <v>889</v>
      </c>
      <c r="F105" s="116" t="s">
        <v>890</v>
      </c>
      <c r="G105" s="116" t="s">
        <v>313</v>
      </c>
      <c r="H105" s="116" t="s">
        <v>63</v>
      </c>
      <c r="I105" s="116" t="s">
        <v>401</v>
      </c>
      <c r="J105" s="116" t="s">
        <v>136</v>
      </c>
      <c r="K105" s="116" t="s">
        <v>400</v>
      </c>
      <c r="L105" s="116" t="s">
        <v>251</v>
      </c>
      <c r="M105" s="116" t="s">
        <v>163</v>
      </c>
      <c r="N105" s="116" t="s">
        <v>117</v>
      </c>
      <c r="O105" s="116" t="s">
        <v>117</v>
      </c>
      <c r="P105" s="116" t="s">
        <v>891</v>
      </c>
      <c r="R105" s="116" t="s">
        <v>451</v>
      </c>
      <c r="S105" s="155"/>
      <c r="T105" s="155"/>
      <c r="U105" s="155"/>
      <c r="V105" s="155"/>
      <c r="W105" s="155"/>
      <c r="X105" s="155"/>
      <c r="Y105" s="126"/>
    </row>
    <row r="106">
      <c r="A106" s="154">
        <v>43415.38344907408</v>
      </c>
      <c r="B106" s="116" t="s">
        <v>892</v>
      </c>
      <c r="C106" s="116" t="s">
        <v>893</v>
      </c>
      <c r="D106" s="116" t="s">
        <v>894</v>
      </c>
      <c r="E106" s="116" t="s">
        <v>895</v>
      </c>
      <c r="F106" s="116" t="s">
        <v>529</v>
      </c>
      <c r="G106" s="116" t="s">
        <v>313</v>
      </c>
      <c r="H106" s="116" t="s">
        <v>63</v>
      </c>
      <c r="I106" s="116" t="s">
        <v>401</v>
      </c>
      <c r="J106" s="116" t="s">
        <v>400</v>
      </c>
      <c r="K106" s="116" t="s">
        <v>251</v>
      </c>
      <c r="L106" s="116" t="s">
        <v>163</v>
      </c>
      <c r="M106" s="116" t="s">
        <v>136</v>
      </c>
      <c r="N106" s="116" t="s">
        <v>130</v>
      </c>
      <c r="O106" s="116" t="s">
        <v>403</v>
      </c>
      <c r="P106" s="116" t="s">
        <v>896</v>
      </c>
      <c r="R106" s="116" t="s">
        <v>405</v>
      </c>
      <c r="S106" s="155"/>
      <c r="T106" s="155"/>
      <c r="U106" s="155"/>
      <c r="V106" s="155"/>
      <c r="W106" s="155"/>
      <c r="X106" s="155"/>
      <c r="Y106" s="126"/>
    </row>
    <row r="107">
      <c r="A107" s="154">
        <v>43416.38512731482</v>
      </c>
      <c r="B107" s="116" t="s">
        <v>897</v>
      </c>
      <c r="C107" s="116" t="s">
        <v>898</v>
      </c>
      <c r="D107" s="116" t="s">
        <v>725</v>
      </c>
      <c r="E107" s="116" t="s">
        <v>899</v>
      </c>
      <c r="F107" s="116" t="s">
        <v>492</v>
      </c>
      <c r="G107" s="116" t="s">
        <v>313</v>
      </c>
      <c r="H107" s="116" t="s">
        <v>63</v>
      </c>
      <c r="I107" s="116" t="s">
        <v>401</v>
      </c>
      <c r="J107" s="116" t="s">
        <v>251</v>
      </c>
      <c r="K107" s="116" t="s">
        <v>400</v>
      </c>
      <c r="L107" s="116" t="s">
        <v>136</v>
      </c>
      <c r="M107" s="116" t="s">
        <v>163</v>
      </c>
      <c r="N107" s="116" t="s">
        <v>117</v>
      </c>
      <c r="O107" s="116" t="s">
        <v>403</v>
      </c>
      <c r="P107" s="116" t="s">
        <v>900</v>
      </c>
      <c r="R107" s="116" t="s">
        <v>405</v>
      </c>
      <c r="S107" s="155"/>
      <c r="T107" s="155"/>
      <c r="U107" s="155"/>
      <c r="V107" s="155"/>
      <c r="W107" s="155"/>
      <c r="X107" s="155"/>
      <c r="Y107" s="126"/>
    </row>
    <row r="108">
      <c r="A108" s="154">
        <v>43418.386828703704</v>
      </c>
      <c r="B108" s="116" t="s">
        <v>901</v>
      </c>
      <c r="C108" s="116" t="s">
        <v>902</v>
      </c>
      <c r="D108" s="116" t="s">
        <v>903</v>
      </c>
      <c r="E108" s="116" t="s">
        <v>904</v>
      </c>
      <c r="F108" s="116" t="s">
        <v>492</v>
      </c>
      <c r="G108" s="116" t="s">
        <v>313</v>
      </c>
      <c r="H108" s="116" t="s">
        <v>63</v>
      </c>
      <c r="I108" s="116" t="s">
        <v>401</v>
      </c>
      <c r="J108" s="116" t="s">
        <v>400</v>
      </c>
      <c r="K108" s="116" t="s">
        <v>251</v>
      </c>
      <c r="L108" s="116" t="s">
        <v>163</v>
      </c>
      <c r="M108" s="116" t="s">
        <v>136</v>
      </c>
      <c r="N108" s="116" t="s">
        <v>130</v>
      </c>
      <c r="O108" s="116" t="s">
        <v>403</v>
      </c>
      <c r="P108" s="116" t="s">
        <v>905</v>
      </c>
      <c r="R108" s="116" t="s">
        <v>405</v>
      </c>
      <c r="S108" s="155"/>
      <c r="T108" s="155"/>
      <c r="U108" s="155"/>
      <c r="V108" s="155"/>
      <c r="W108" s="155"/>
      <c r="X108" s="155"/>
      <c r="Y108" s="126"/>
    </row>
    <row r="109">
      <c r="A109" s="154">
        <v>43419.394525462965</v>
      </c>
      <c r="B109" s="116" t="s">
        <v>906</v>
      </c>
      <c r="C109" s="116" t="s">
        <v>907</v>
      </c>
      <c r="D109" s="116" t="s">
        <v>841</v>
      </c>
      <c r="E109" s="116" t="s">
        <v>908</v>
      </c>
      <c r="F109" s="116" t="s">
        <v>461</v>
      </c>
      <c r="G109" s="116" t="s">
        <v>313</v>
      </c>
      <c r="H109" s="116" t="s">
        <v>63</v>
      </c>
      <c r="I109" s="116" t="s">
        <v>401</v>
      </c>
      <c r="J109" s="116" t="s">
        <v>136</v>
      </c>
      <c r="K109" s="116" t="s">
        <v>400</v>
      </c>
      <c r="L109" s="116" t="s">
        <v>251</v>
      </c>
      <c r="N109" s="116" t="s">
        <v>117</v>
      </c>
      <c r="O109" s="116" t="s">
        <v>403</v>
      </c>
      <c r="P109" s="116" t="s">
        <v>313</v>
      </c>
      <c r="Y109" s="126"/>
    </row>
    <row r="110">
      <c r="A110" s="154">
        <v>43430.400046296294</v>
      </c>
      <c r="B110" s="116" t="s">
        <v>909</v>
      </c>
      <c r="C110" s="116" t="s">
        <v>313</v>
      </c>
      <c r="D110" s="116" t="s">
        <v>771</v>
      </c>
      <c r="E110" s="116" t="s">
        <v>910</v>
      </c>
      <c r="F110" s="116" t="s">
        <v>492</v>
      </c>
      <c r="G110" s="116" t="s">
        <v>313</v>
      </c>
      <c r="H110" s="116" t="s">
        <v>63</v>
      </c>
      <c r="I110" s="116" t="s">
        <v>136</v>
      </c>
      <c r="J110" s="116" t="s">
        <v>251</v>
      </c>
      <c r="K110" s="116" t="s">
        <v>401</v>
      </c>
      <c r="L110" s="116" t="s">
        <v>163</v>
      </c>
      <c r="M110" s="116" t="s">
        <v>400</v>
      </c>
      <c r="N110" s="116" t="s">
        <v>117</v>
      </c>
      <c r="O110" s="116" t="s">
        <v>117</v>
      </c>
      <c r="P110" s="116" t="s">
        <v>313</v>
      </c>
      <c r="R110" s="116" t="s">
        <v>451</v>
      </c>
      <c r="S110" s="155"/>
      <c r="T110" s="155"/>
      <c r="U110" s="155"/>
      <c r="V110" s="155"/>
      <c r="W110" s="155"/>
      <c r="X110" s="155"/>
      <c r="Y110" s="126"/>
    </row>
    <row r="111">
      <c r="A111" s="154">
        <v>43437.40190972222</v>
      </c>
      <c r="B111" s="116" t="s">
        <v>911</v>
      </c>
      <c r="C111" s="116" t="s">
        <v>912</v>
      </c>
      <c r="D111" s="116" t="s">
        <v>913</v>
      </c>
      <c r="E111" s="116" t="s">
        <v>914</v>
      </c>
      <c r="F111" s="116" t="s">
        <v>492</v>
      </c>
      <c r="G111" s="116" t="s">
        <v>313</v>
      </c>
      <c r="H111" s="116" t="s">
        <v>63</v>
      </c>
      <c r="I111" s="116" t="s">
        <v>401</v>
      </c>
      <c r="J111" s="116" t="s">
        <v>400</v>
      </c>
      <c r="K111" s="116" t="s">
        <v>251</v>
      </c>
      <c r="L111" s="116" t="s">
        <v>163</v>
      </c>
      <c r="M111" s="116" t="s">
        <v>136</v>
      </c>
      <c r="N111" s="116" t="s">
        <v>117</v>
      </c>
      <c r="O111" s="116" t="s">
        <v>130</v>
      </c>
      <c r="P111" s="116" t="s">
        <v>313</v>
      </c>
      <c r="R111" s="116" t="s">
        <v>405</v>
      </c>
      <c r="S111" s="155"/>
      <c r="T111" s="155"/>
      <c r="U111" s="155"/>
      <c r="V111" s="155"/>
      <c r="W111" s="155"/>
      <c r="X111" s="155"/>
      <c r="Y111" s="126"/>
    </row>
    <row r="112">
      <c r="A112" s="154">
        <v>43439.40657407408</v>
      </c>
      <c r="B112" s="116" t="s">
        <v>915</v>
      </c>
      <c r="C112" s="116" t="s">
        <v>313</v>
      </c>
      <c r="D112" s="116" t="s">
        <v>916</v>
      </c>
      <c r="E112" s="116" t="s">
        <v>917</v>
      </c>
      <c r="F112" s="116" t="s">
        <v>418</v>
      </c>
      <c r="G112" s="116" t="s">
        <v>313</v>
      </c>
      <c r="H112" s="116" t="s">
        <v>63</v>
      </c>
      <c r="I112" s="116" t="s">
        <v>401</v>
      </c>
      <c r="J112" s="116" t="s">
        <v>400</v>
      </c>
      <c r="K112" s="116" t="s">
        <v>251</v>
      </c>
      <c r="L112" s="116" t="s">
        <v>163</v>
      </c>
      <c r="M112" s="116" t="s">
        <v>136</v>
      </c>
      <c r="N112" s="116" t="s">
        <v>117</v>
      </c>
      <c r="O112" s="116" t="s">
        <v>130</v>
      </c>
      <c r="P112" s="116" t="s">
        <v>918</v>
      </c>
      <c r="R112" s="116" t="s">
        <v>405</v>
      </c>
      <c r="S112" s="155"/>
      <c r="T112" s="155"/>
      <c r="U112" s="155"/>
      <c r="V112" s="155"/>
      <c r="W112" s="155"/>
      <c r="X112" s="155"/>
      <c r="Y112" s="126"/>
    </row>
    <row r="113">
      <c r="A113" s="154">
        <v>43488.21571815972</v>
      </c>
      <c r="B113" s="116" t="s">
        <v>919</v>
      </c>
      <c r="C113" s="116" t="s">
        <v>920</v>
      </c>
      <c r="D113" s="116" t="s">
        <v>921</v>
      </c>
      <c r="E113" s="116" t="s">
        <v>922</v>
      </c>
      <c r="F113" s="116" t="s">
        <v>529</v>
      </c>
      <c r="G113" s="116" t="s">
        <v>923</v>
      </c>
      <c r="H113" s="116" t="s">
        <v>202</v>
      </c>
      <c r="I113" s="116" t="s">
        <v>400</v>
      </c>
      <c r="J113" s="116" t="s">
        <v>251</v>
      </c>
      <c r="K113" s="116" t="s">
        <v>401</v>
      </c>
      <c r="L113" s="116" t="s">
        <v>163</v>
      </c>
      <c r="M113" s="116" t="s">
        <v>136</v>
      </c>
      <c r="N113" s="116" t="s">
        <v>924</v>
      </c>
      <c r="O113" s="116" t="s">
        <v>117</v>
      </c>
      <c r="P113" s="116" t="s">
        <v>925</v>
      </c>
      <c r="R113" s="116" t="s">
        <v>405</v>
      </c>
      <c r="S113" s="155"/>
      <c r="T113" s="155"/>
      <c r="U113" s="155"/>
      <c r="V113" s="155"/>
      <c r="W113" s="155"/>
      <c r="X113" s="155"/>
      <c r="Y113" s="126"/>
    </row>
    <row r="114">
      <c r="A114" s="154">
        <v>43489.186652662036</v>
      </c>
      <c r="B114" s="116" t="s">
        <v>926</v>
      </c>
      <c r="C114" s="116" t="s">
        <v>927</v>
      </c>
      <c r="D114" s="116" t="s">
        <v>928</v>
      </c>
      <c r="E114" s="116" t="s">
        <v>929</v>
      </c>
      <c r="F114" s="116" t="s">
        <v>701</v>
      </c>
      <c r="G114" s="116" t="s">
        <v>930</v>
      </c>
      <c r="H114" s="116" t="s">
        <v>63</v>
      </c>
      <c r="I114" s="116" t="s">
        <v>136</v>
      </c>
      <c r="J114" s="116" t="s">
        <v>401</v>
      </c>
      <c r="K114" s="116" t="s">
        <v>251</v>
      </c>
      <c r="N114" s="116" t="s">
        <v>931</v>
      </c>
      <c r="O114" s="116" t="s">
        <v>403</v>
      </c>
      <c r="P114" s="116" t="s">
        <v>932</v>
      </c>
      <c r="R114" s="116" t="s">
        <v>405</v>
      </c>
      <c r="S114" s="116" t="s">
        <v>933</v>
      </c>
      <c r="T114" s="116" t="s">
        <v>934</v>
      </c>
      <c r="U114" s="155"/>
      <c r="V114" s="155"/>
      <c r="W114" s="155"/>
      <c r="X114" s="155"/>
      <c r="Y114" s="126"/>
    </row>
    <row r="115">
      <c r="A115" s="154">
        <v>43489.310416782406</v>
      </c>
      <c r="B115" s="116" t="s">
        <v>935</v>
      </c>
      <c r="C115" s="116" t="s">
        <v>936</v>
      </c>
      <c r="D115" s="116" t="s">
        <v>937</v>
      </c>
      <c r="E115" s="116" t="s">
        <v>938</v>
      </c>
      <c r="F115" s="116" t="s">
        <v>939</v>
      </c>
      <c r="G115" s="116" t="s">
        <v>940</v>
      </c>
      <c r="H115" s="116" t="s">
        <v>63</v>
      </c>
      <c r="I115" s="116" t="s">
        <v>136</v>
      </c>
      <c r="J115" s="116" t="s">
        <v>400</v>
      </c>
      <c r="N115" s="116" t="s">
        <v>130</v>
      </c>
      <c r="O115" s="116" t="s">
        <v>130</v>
      </c>
      <c r="P115" s="116" t="s">
        <v>941</v>
      </c>
      <c r="R115" s="116" t="s">
        <v>405</v>
      </c>
      <c r="S115" s="116" t="s">
        <v>942</v>
      </c>
      <c r="T115" s="116" t="s">
        <v>943</v>
      </c>
      <c r="U115" s="155"/>
      <c r="V115" s="155"/>
      <c r="W115" s="155"/>
      <c r="X115" s="155"/>
      <c r="Y115" s="126"/>
    </row>
    <row r="116">
      <c r="A116" s="154">
        <v>43354.42292824074</v>
      </c>
      <c r="B116" s="116" t="s">
        <v>944</v>
      </c>
      <c r="C116" s="116" t="s">
        <v>313</v>
      </c>
      <c r="D116" s="116" t="s">
        <v>945</v>
      </c>
      <c r="E116" s="116" t="s">
        <v>946</v>
      </c>
      <c r="F116" s="116" t="s">
        <v>947</v>
      </c>
      <c r="G116" s="116" t="s">
        <v>313</v>
      </c>
      <c r="H116" s="116" t="s">
        <v>63</v>
      </c>
      <c r="I116" s="116" t="s">
        <v>136</v>
      </c>
      <c r="J116" s="116" t="s">
        <v>163</v>
      </c>
      <c r="K116" s="116" t="s">
        <v>251</v>
      </c>
      <c r="L116" s="116" t="s">
        <v>400</v>
      </c>
      <c r="N116" s="116" t="s">
        <v>717</v>
      </c>
      <c r="O116" s="116" t="s">
        <v>403</v>
      </c>
      <c r="P116" s="116" t="s">
        <v>948</v>
      </c>
      <c r="R116" s="116" t="s">
        <v>451</v>
      </c>
      <c r="Y116" s="126"/>
    </row>
    <row r="117">
      <c r="A117" s="154">
        <v>43423.42459490741</v>
      </c>
      <c r="B117" s="116" t="s">
        <v>949</v>
      </c>
      <c r="C117" s="116" t="s">
        <v>950</v>
      </c>
      <c r="D117" s="116" t="s">
        <v>671</v>
      </c>
      <c r="E117" s="116" t="s">
        <v>951</v>
      </c>
      <c r="F117" s="116" t="s">
        <v>398</v>
      </c>
      <c r="G117" s="116" t="s">
        <v>313</v>
      </c>
      <c r="H117" s="116" t="s">
        <v>63</v>
      </c>
      <c r="I117" s="116" t="s">
        <v>136</v>
      </c>
      <c r="J117" s="116" t="s">
        <v>251</v>
      </c>
      <c r="K117" s="116" t="s">
        <v>401</v>
      </c>
      <c r="L117" s="116" t="s">
        <v>400</v>
      </c>
      <c r="N117" s="116" t="s">
        <v>117</v>
      </c>
      <c r="O117" s="116" t="s">
        <v>117</v>
      </c>
      <c r="P117" s="116" t="s">
        <v>952</v>
      </c>
      <c r="R117" s="116" t="s">
        <v>405</v>
      </c>
      <c r="Y117" s="126"/>
    </row>
    <row r="118">
      <c r="A118" s="154">
        <v>43439.427199074074</v>
      </c>
      <c r="B118" s="116" t="s">
        <v>953</v>
      </c>
      <c r="C118" s="116" t="s">
        <v>954</v>
      </c>
      <c r="D118" s="116" t="s">
        <v>445</v>
      </c>
      <c r="E118" s="116" t="s">
        <v>955</v>
      </c>
      <c r="F118" s="116" t="s">
        <v>956</v>
      </c>
      <c r="G118" s="116" t="s">
        <v>313</v>
      </c>
      <c r="H118" s="116" t="s">
        <v>63</v>
      </c>
      <c r="I118" s="116" t="s">
        <v>136</v>
      </c>
      <c r="J118" s="116" t="s">
        <v>251</v>
      </c>
      <c r="K118" s="116" t="s">
        <v>400</v>
      </c>
      <c r="L118" s="116" t="s">
        <v>401</v>
      </c>
      <c r="M118" s="116" t="s">
        <v>163</v>
      </c>
      <c r="N118" s="116" t="s">
        <v>117</v>
      </c>
      <c r="O118" s="116" t="s">
        <v>403</v>
      </c>
      <c r="P118" s="116" t="s">
        <v>869</v>
      </c>
      <c r="R118" s="116" t="s">
        <v>405</v>
      </c>
      <c r="Y118" s="126"/>
    </row>
    <row r="119">
      <c r="A119" s="154">
        <v>43494.456474085644</v>
      </c>
      <c r="B119" s="116" t="s">
        <v>957</v>
      </c>
      <c r="C119" s="116" t="s">
        <v>958</v>
      </c>
      <c r="D119" s="116" t="s">
        <v>959</v>
      </c>
      <c r="E119" s="116" t="s">
        <v>960</v>
      </c>
      <c r="F119" s="116" t="s">
        <v>410</v>
      </c>
      <c r="G119" s="116" t="s">
        <v>961</v>
      </c>
      <c r="H119" s="116" t="s">
        <v>63</v>
      </c>
      <c r="I119" s="116" t="s">
        <v>401</v>
      </c>
      <c r="J119" s="116" t="s">
        <v>400</v>
      </c>
      <c r="O119" s="116" t="s">
        <v>403</v>
      </c>
      <c r="P119" s="116" t="s">
        <v>123</v>
      </c>
      <c r="R119" s="116" t="s">
        <v>405</v>
      </c>
      <c r="S119" s="116" t="s">
        <v>962</v>
      </c>
      <c r="Y119" s="126"/>
    </row>
    <row r="120">
      <c r="A120" s="154">
        <v>43496.57359181713</v>
      </c>
      <c r="B120" s="116" t="s">
        <v>963</v>
      </c>
      <c r="C120" s="116" t="s">
        <v>964</v>
      </c>
      <c r="D120" s="116" t="s">
        <v>965</v>
      </c>
      <c r="E120" s="116" t="s">
        <v>966</v>
      </c>
      <c r="F120" s="116" t="s">
        <v>431</v>
      </c>
      <c r="G120" s="116" t="s">
        <v>967</v>
      </c>
      <c r="H120" s="116" t="s">
        <v>63</v>
      </c>
      <c r="I120" s="116" t="s">
        <v>400</v>
      </c>
      <c r="J120" s="116" t="s">
        <v>251</v>
      </c>
      <c r="K120" s="116" t="s">
        <v>136</v>
      </c>
      <c r="L120" s="116" t="s">
        <v>401</v>
      </c>
      <c r="N120" s="116" t="s">
        <v>968</v>
      </c>
      <c r="O120" s="116" t="s">
        <v>403</v>
      </c>
      <c r="P120" s="116" t="s">
        <v>969</v>
      </c>
      <c r="R120" s="116" t="s">
        <v>451</v>
      </c>
      <c r="S120" s="116" t="s">
        <v>970</v>
      </c>
      <c r="T120" s="116" t="s">
        <v>971</v>
      </c>
      <c r="U120" s="155"/>
      <c r="V120" s="155"/>
      <c r="W120" s="155"/>
      <c r="X120" s="155"/>
      <c r="Y120" s="126"/>
    </row>
    <row r="121">
      <c r="A121" s="154">
        <v>43431.472766203704</v>
      </c>
      <c r="B121" s="116" t="s">
        <v>972</v>
      </c>
      <c r="C121" s="116" t="s">
        <v>313</v>
      </c>
      <c r="D121" s="116" t="s">
        <v>804</v>
      </c>
      <c r="E121" s="116" t="s">
        <v>973</v>
      </c>
      <c r="F121" s="116" t="s">
        <v>974</v>
      </c>
      <c r="G121" s="116" t="s">
        <v>313</v>
      </c>
      <c r="H121" s="116" t="s">
        <v>63</v>
      </c>
      <c r="I121" s="116" t="s">
        <v>136</v>
      </c>
      <c r="J121" s="116" t="s">
        <v>400</v>
      </c>
      <c r="K121" s="116" t="s">
        <v>251</v>
      </c>
      <c r="L121" s="116" t="s">
        <v>401</v>
      </c>
      <c r="M121" s="116" t="s">
        <v>163</v>
      </c>
      <c r="N121" s="116" t="s">
        <v>130</v>
      </c>
      <c r="O121" s="116" t="s">
        <v>117</v>
      </c>
      <c r="P121" s="116" t="s">
        <v>975</v>
      </c>
      <c r="R121" s="116" t="s">
        <v>451</v>
      </c>
      <c r="S121" s="116" t="s">
        <v>313</v>
      </c>
      <c r="T121" s="116" t="s">
        <v>313</v>
      </c>
      <c r="U121" s="155"/>
      <c r="V121" s="155"/>
      <c r="W121" s="155"/>
      <c r="X121" s="155"/>
      <c r="Y121" s="126"/>
    </row>
    <row r="122">
      <c r="A122" s="154">
        <v>43498.50725701389</v>
      </c>
      <c r="B122" s="116" t="s">
        <v>976</v>
      </c>
      <c r="C122" s="116" t="s">
        <v>977</v>
      </c>
      <c r="D122" s="116" t="s">
        <v>978</v>
      </c>
      <c r="E122" s="116" t="s">
        <v>979</v>
      </c>
      <c r="F122" s="116" t="s">
        <v>980</v>
      </c>
      <c r="G122" s="116" t="s">
        <v>981</v>
      </c>
      <c r="H122" s="116" t="s">
        <v>63</v>
      </c>
      <c r="I122" s="116" t="s">
        <v>401</v>
      </c>
      <c r="J122" s="116" t="s">
        <v>163</v>
      </c>
      <c r="K122" s="116" t="s">
        <v>136</v>
      </c>
      <c r="L122" s="116" t="s">
        <v>400</v>
      </c>
      <c r="M122" s="116" t="s">
        <v>251</v>
      </c>
      <c r="N122" s="116" t="s">
        <v>463</v>
      </c>
      <c r="O122" s="116" t="s">
        <v>117</v>
      </c>
      <c r="R122" s="116" t="s">
        <v>451</v>
      </c>
      <c r="S122" s="116" t="s">
        <v>982</v>
      </c>
      <c r="T122" s="116" t="s">
        <v>983</v>
      </c>
      <c r="U122" s="155"/>
      <c r="V122" s="155"/>
      <c r="W122" s="155"/>
      <c r="X122" s="155"/>
      <c r="Y122" s="126"/>
    </row>
    <row r="123">
      <c r="A123" s="154">
        <v>43504.644372696755</v>
      </c>
      <c r="B123" s="116" t="s">
        <v>984</v>
      </c>
      <c r="C123" s="116" t="s">
        <v>985</v>
      </c>
      <c r="D123" s="116" t="s">
        <v>986</v>
      </c>
      <c r="E123" s="116" t="s">
        <v>987</v>
      </c>
      <c r="F123" s="116" t="s">
        <v>461</v>
      </c>
      <c r="G123" s="116" t="s">
        <v>988</v>
      </c>
      <c r="H123" s="116" t="s">
        <v>63</v>
      </c>
      <c r="I123" s="116" t="s">
        <v>136</v>
      </c>
      <c r="J123" s="116" t="s">
        <v>251</v>
      </c>
      <c r="K123" s="116" t="s">
        <v>400</v>
      </c>
      <c r="L123" s="116" t="s">
        <v>401</v>
      </c>
      <c r="M123" s="116" t="s">
        <v>163</v>
      </c>
      <c r="N123" s="116" t="s">
        <v>989</v>
      </c>
      <c r="O123" s="116" t="s">
        <v>130</v>
      </c>
      <c r="R123" s="116" t="s">
        <v>405</v>
      </c>
      <c r="S123" s="116" t="s">
        <v>990</v>
      </c>
      <c r="T123" s="116" t="s">
        <v>991</v>
      </c>
      <c r="U123" s="155"/>
      <c r="V123" s="155"/>
      <c r="W123" s="155"/>
      <c r="X123" s="155"/>
      <c r="Y123" s="126"/>
    </row>
    <row r="124">
      <c r="A124" s="154">
        <v>43510.15695694444</v>
      </c>
      <c r="B124" s="116" t="s">
        <v>992</v>
      </c>
      <c r="C124" s="116" t="s">
        <v>993</v>
      </c>
      <c r="D124" s="116" t="s">
        <v>994</v>
      </c>
      <c r="E124" s="116" t="s">
        <v>995</v>
      </c>
      <c r="F124" s="116" t="s">
        <v>461</v>
      </c>
      <c r="G124" s="116" t="s">
        <v>996</v>
      </c>
      <c r="H124" s="116" t="s">
        <v>63</v>
      </c>
      <c r="I124" s="116" t="s">
        <v>400</v>
      </c>
      <c r="J124" s="116" t="s">
        <v>251</v>
      </c>
      <c r="K124" s="116" t="s">
        <v>401</v>
      </c>
      <c r="N124" s="116" t="s">
        <v>997</v>
      </c>
      <c r="O124" s="116" t="s">
        <v>403</v>
      </c>
      <c r="P124" s="116" t="s">
        <v>998</v>
      </c>
      <c r="R124" s="116" t="s">
        <v>451</v>
      </c>
      <c r="S124" s="116" t="s">
        <v>999</v>
      </c>
      <c r="T124" s="116" t="s">
        <v>1000</v>
      </c>
      <c r="U124" s="155"/>
      <c r="V124" s="155"/>
      <c r="W124" s="155"/>
      <c r="X124" s="155"/>
      <c r="Y124" s="126"/>
    </row>
    <row r="125">
      <c r="A125" s="154">
        <v>43510.64592836806</v>
      </c>
      <c r="B125" s="116" t="s">
        <v>1001</v>
      </c>
      <c r="C125" s="116" t="s">
        <v>1002</v>
      </c>
      <c r="D125" s="116" t="s">
        <v>1003</v>
      </c>
      <c r="E125" s="116" t="s">
        <v>1004</v>
      </c>
      <c r="F125" s="116" t="s">
        <v>431</v>
      </c>
      <c r="G125" s="116" t="s">
        <v>1005</v>
      </c>
      <c r="H125" s="116" t="s">
        <v>63</v>
      </c>
      <c r="I125" s="116" t="s">
        <v>163</v>
      </c>
      <c r="J125" s="116" t="s">
        <v>136</v>
      </c>
      <c r="K125" s="116" t="s">
        <v>400</v>
      </c>
      <c r="L125" s="116" t="s">
        <v>251</v>
      </c>
      <c r="N125" s="116" t="s">
        <v>1006</v>
      </c>
      <c r="O125" s="116" t="s">
        <v>117</v>
      </c>
      <c r="P125" s="116" t="s">
        <v>1007</v>
      </c>
      <c r="R125" s="116" t="s">
        <v>451</v>
      </c>
      <c r="S125" s="116" t="s">
        <v>1008</v>
      </c>
      <c r="T125" s="116" t="s">
        <v>1009</v>
      </c>
      <c r="U125" s="155"/>
      <c r="V125" s="155"/>
      <c r="W125" s="155"/>
      <c r="X125" s="155"/>
      <c r="Y125" s="126"/>
    </row>
    <row r="126">
      <c r="A126" s="154">
        <v>43511.51492671296</v>
      </c>
      <c r="B126" s="116" t="s">
        <v>1010</v>
      </c>
      <c r="C126" s="116" t="s">
        <v>1011</v>
      </c>
      <c r="D126" s="116" t="s">
        <v>1012</v>
      </c>
      <c r="E126" s="116" t="s">
        <v>1013</v>
      </c>
      <c r="F126" s="116" t="s">
        <v>529</v>
      </c>
      <c r="G126" s="116" t="s">
        <v>1014</v>
      </c>
      <c r="H126" s="116" t="s">
        <v>63</v>
      </c>
      <c r="I126" s="116" t="s">
        <v>251</v>
      </c>
      <c r="J126" s="116" t="s">
        <v>400</v>
      </c>
      <c r="K126" s="116" t="s">
        <v>401</v>
      </c>
      <c r="L126" s="116" t="s">
        <v>136</v>
      </c>
      <c r="M126" s="116" t="s">
        <v>163</v>
      </c>
      <c r="O126" s="116" t="s">
        <v>403</v>
      </c>
      <c r="R126" s="116" t="s">
        <v>405</v>
      </c>
      <c r="S126" s="116" t="s">
        <v>1015</v>
      </c>
      <c r="T126" s="116" t="s">
        <v>1016</v>
      </c>
      <c r="U126" s="155"/>
      <c r="V126" s="155"/>
      <c r="W126" s="155"/>
      <c r="X126" s="155"/>
      <c r="Y126" s="126"/>
    </row>
    <row r="127" ht="12.75" customHeight="1">
      <c r="A127" s="154">
        <v>43515.32583059028</v>
      </c>
      <c r="B127" s="116" t="s">
        <v>1017</v>
      </c>
      <c r="C127" s="116" t="s">
        <v>1018</v>
      </c>
      <c r="D127" s="116" t="s">
        <v>1019</v>
      </c>
      <c r="E127" s="116" t="s">
        <v>1020</v>
      </c>
      <c r="F127" s="116" t="s">
        <v>1021</v>
      </c>
      <c r="G127" s="116" t="s">
        <v>1022</v>
      </c>
      <c r="H127" s="116" t="s">
        <v>63</v>
      </c>
      <c r="I127" s="116" t="s">
        <v>136</v>
      </c>
      <c r="N127" s="116" t="s">
        <v>1023</v>
      </c>
      <c r="O127" s="116" t="s">
        <v>117</v>
      </c>
      <c r="P127" s="116" t="s">
        <v>1024</v>
      </c>
      <c r="R127" s="116" t="s">
        <v>451</v>
      </c>
      <c r="S127" s="116" t="s">
        <v>1025</v>
      </c>
      <c r="T127" s="116" t="s">
        <v>1026</v>
      </c>
      <c r="U127" s="116" t="s">
        <v>1027</v>
      </c>
      <c r="V127" s="116" t="s">
        <v>1028</v>
      </c>
      <c r="Y127" s="126"/>
    </row>
    <row r="128">
      <c r="A128" s="154">
        <v>43524.49831216435</v>
      </c>
      <c r="B128" s="116" t="s">
        <v>1029</v>
      </c>
      <c r="C128" s="116" t="s">
        <v>1030</v>
      </c>
      <c r="D128" s="116" t="s">
        <v>1031</v>
      </c>
      <c r="E128" s="116" t="s">
        <v>1032</v>
      </c>
      <c r="F128" s="116" t="s">
        <v>431</v>
      </c>
      <c r="G128" s="116" t="s">
        <v>1022</v>
      </c>
      <c r="H128" s="116" t="s">
        <v>63</v>
      </c>
      <c r="I128" s="116" t="s">
        <v>400</v>
      </c>
      <c r="J128" s="116" t="s">
        <v>163</v>
      </c>
      <c r="K128" s="116" t="s">
        <v>251</v>
      </c>
      <c r="L128" s="116" t="s">
        <v>136</v>
      </c>
      <c r="M128" s="116" t="s">
        <v>401</v>
      </c>
      <c r="N128" s="116" t="s">
        <v>130</v>
      </c>
      <c r="O128" s="116" t="s">
        <v>117</v>
      </c>
      <c r="P128" s="116" t="s">
        <v>1033</v>
      </c>
      <c r="R128" s="116" t="s">
        <v>451</v>
      </c>
      <c r="S128" s="116" t="s">
        <v>1034</v>
      </c>
      <c r="T128" s="116" t="s">
        <v>1035</v>
      </c>
      <c r="U128" s="116" t="s">
        <v>1036</v>
      </c>
      <c r="V128" s="116" t="s">
        <v>1028</v>
      </c>
      <c r="W128" s="116" t="s">
        <v>1037</v>
      </c>
      <c r="X128" s="155"/>
      <c r="Y128" s="126"/>
    </row>
    <row r="129">
      <c r="A129" s="154">
        <v>43525.50388739583</v>
      </c>
      <c r="B129" s="116" t="s">
        <v>1038</v>
      </c>
      <c r="C129" s="116" t="s">
        <v>1039</v>
      </c>
      <c r="D129" s="116" t="s">
        <v>1040</v>
      </c>
      <c r="E129" s="116" t="s">
        <v>1041</v>
      </c>
      <c r="F129" s="116" t="s">
        <v>461</v>
      </c>
      <c r="G129" s="116" t="s">
        <v>1022</v>
      </c>
      <c r="H129" s="116" t="s">
        <v>63</v>
      </c>
      <c r="I129" s="116" t="s">
        <v>251</v>
      </c>
      <c r="J129" s="116" t="s">
        <v>400</v>
      </c>
      <c r="K129" s="116" t="s">
        <v>163</v>
      </c>
      <c r="N129" s="116" t="s">
        <v>1042</v>
      </c>
      <c r="O129" s="116" t="s">
        <v>117</v>
      </c>
      <c r="R129" s="116" t="s">
        <v>451</v>
      </c>
      <c r="S129" s="116" t="s">
        <v>1044</v>
      </c>
      <c r="T129" s="116" t="s">
        <v>1045</v>
      </c>
      <c r="U129" s="116" t="s">
        <v>1027</v>
      </c>
      <c r="V129" s="116" t="s">
        <v>1028</v>
      </c>
      <c r="Y129" s="126"/>
    </row>
    <row r="130" ht="17.25" customHeight="1">
      <c r="A130" s="154">
        <v>43530.323665868054</v>
      </c>
      <c r="B130" s="116" t="s">
        <v>1046</v>
      </c>
      <c r="C130" s="116" t="s">
        <v>650</v>
      </c>
      <c r="D130" s="116" t="s">
        <v>1047</v>
      </c>
      <c r="E130" s="116" t="s">
        <v>1048</v>
      </c>
      <c r="F130" s="116" t="s">
        <v>418</v>
      </c>
      <c r="G130" s="116" t="s">
        <v>1049</v>
      </c>
      <c r="H130" s="116" t="s">
        <v>63</v>
      </c>
      <c r="I130" s="116" t="s">
        <v>400</v>
      </c>
      <c r="J130" s="116" t="s">
        <v>251</v>
      </c>
      <c r="K130" s="116" t="s">
        <v>163</v>
      </c>
      <c r="L130" s="116" t="s">
        <v>401</v>
      </c>
      <c r="M130" s="116" t="s">
        <v>136</v>
      </c>
      <c r="N130" s="116" t="s">
        <v>1050</v>
      </c>
      <c r="O130" s="116" t="s">
        <v>117</v>
      </c>
      <c r="P130" s="116" t="s">
        <v>130</v>
      </c>
      <c r="R130" s="116" t="s">
        <v>451</v>
      </c>
      <c r="S130" s="116" t="s">
        <v>1051</v>
      </c>
      <c r="T130" s="116" t="s">
        <v>1052</v>
      </c>
      <c r="U130" s="116" t="s">
        <v>1053</v>
      </c>
      <c r="V130" s="116" t="s">
        <v>1028</v>
      </c>
      <c r="W130" s="116" t="s">
        <v>1054</v>
      </c>
      <c r="X130" s="155"/>
      <c r="Y130" s="126"/>
    </row>
    <row r="131">
      <c r="A131" s="154">
        <v>43531.57807722222</v>
      </c>
      <c r="B131" s="116" t="s">
        <v>1055</v>
      </c>
      <c r="C131" s="116" t="s">
        <v>1056</v>
      </c>
      <c r="E131" s="116" t="s">
        <v>1057</v>
      </c>
      <c r="F131" s="116" t="s">
        <v>431</v>
      </c>
      <c r="G131" s="116" t="s">
        <v>1058</v>
      </c>
      <c r="H131" s="116" t="s">
        <v>202</v>
      </c>
      <c r="O131" s="116" t="s">
        <v>117</v>
      </c>
      <c r="P131" s="116" t="s">
        <v>1059</v>
      </c>
      <c r="R131" s="116" t="s">
        <v>405</v>
      </c>
      <c r="S131" s="116" t="s">
        <v>1060</v>
      </c>
      <c r="T131" s="116" t="s">
        <v>1061</v>
      </c>
      <c r="U131" s="116" t="s">
        <v>1062</v>
      </c>
      <c r="V131" s="116" t="s">
        <v>1028</v>
      </c>
      <c r="W131" s="116" t="s">
        <v>1063</v>
      </c>
      <c r="X131" s="155"/>
      <c r="Y131" s="126"/>
    </row>
    <row r="132">
      <c r="A132" s="154">
        <v>43531.60836384259</v>
      </c>
      <c r="B132" s="116" t="s">
        <v>1064</v>
      </c>
      <c r="C132" s="116" t="s">
        <v>1065</v>
      </c>
      <c r="D132" s="116" t="s">
        <v>1066</v>
      </c>
      <c r="E132" s="116" t="s">
        <v>1067</v>
      </c>
      <c r="F132" s="116" t="s">
        <v>1068</v>
      </c>
      <c r="G132" s="116" t="s">
        <v>1069</v>
      </c>
      <c r="H132" s="116" t="s">
        <v>63</v>
      </c>
      <c r="I132" s="116" t="s">
        <v>400</v>
      </c>
      <c r="J132" s="92" t="s">
        <v>163</v>
      </c>
      <c r="K132" s="116" t="s">
        <v>251</v>
      </c>
      <c r="O132" s="116" t="s">
        <v>403</v>
      </c>
      <c r="R132" s="116" t="s">
        <v>405</v>
      </c>
      <c r="S132" s="116" t="s">
        <v>1070</v>
      </c>
      <c r="T132" s="116" t="s">
        <v>1071</v>
      </c>
      <c r="U132" s="116" t="s">
        <v>1062</v>
      </c>
      <c r="V132" s="116" t="s">
        <v>1072</v>
      </c>
      <c r="Y132" s="126"/>
    </row>
    <row r="133" ht="15.0" customHeight="1">
      <c r="A133" s="154">
        <v>43531.617576516204</v>
      </c>
      <c r="B133" s="116" t="s">
        <v>1073</v>
      </c>
      <c r="C133" s="116" t="s">
        <v>1074</v>
      </c>
      <c r="D133" s="116" t="s">
        <v>1075</v>
      </c>
      <c r="E133" s="116" t="s">
        <v>1076</v>
      </c>
      <c r="F133" s="116" t="s">
        <v>431</v>
      </c>
      <c r="G133" s="116" t="s">
        <v>1077</v>
      </c>
      <c r="H133" s="116" t="s">
        <v>63</v>
      </c>
      <c r="I133" s="116" t="s">
        <v>401</v>
      </c>
      <c r="J133" s="116" t="s">
        <v>400</v>
      </c>
      <c r="K133" s="116" t="s">
        <v>251</v>
      </c>
      <c r="L133" s="116" t="s">
        <v>163</v>
      </c>
      <c r="M133" s="116" t="s">
        <v>136</v>
      </c>
      <c r="N133" s="116" t="s">
        <v>1078</v>
      </c>
      <c r="O133" s="116" t="s">
        <v>117</v>
      </c>
      <c r="P133" s="116" t="s">
        <v>1079</v>
      </c>
      <c r="R133" s="116" t="s">
        <v>451</v>
      </c>
      <c r="S133" s="116" t="s">
        <v>1080</v>
      </c>
      <c r="U133" s="116" t="s">
        <v>1036</v>
      </c>
      <c r="V133" s="116" t="s">
        <v>1028</v>
      </c>
      <c r="W133" s="116" t="s">
        <v>1081</v>
      </c>
      <c r="X133" s="155"/>
      <c r="Y133" s="126"/>
    </row>
    <row r="134" ht="17.25" customHeight="1">
      <c r="A134" s="154">
        <v>43535.006761145836</v>
      </c>
      <c r="B134" s="116" t="s">
        <v>1082</v>
      </c>
      <c r="C134" s="116" t="s">
        <v>1083</v>
      </c>
      <c r="D134" s="116" t="s">
        <v>1084</v>
      </c>
      <c r="E134" s="116" t="s">
        <v>1085</v>
      </c>
      <c r="F134" s="116" t="s">
        <v>461</v>
      </c>
      <c r="G134" s="116" t="s">
        <v>1086</v>
      </c>
      <c r="H134" s="116" t="s">
        <v>63</v>
      </c>
      <c r="I134" s="116" t="s">
        <v>163</v>
      </c>
      <c r="J134" s="116" t="s">
        <v>401</v>
      </c>
      <c r="K134" s="116" t="s">
        <v>400</v>
      </c>
      <c r="L134" s="116" t="s">
        <v>136</v>
      </c>
      <c r="M134" s="116" t="s">
        <v>251</v>
      </c>
      <c r="N134" s="116" t="s">
        <v>1087</v>
      </c>
      <c r="O134" s="116" t="s">
        <v>117</v>
      </c>
      <c r="P134" s="116" t="s">
        <v>1088</v>
      </c>
      <c r="R134" s="116" t="s">
        <v>405</v>
      </c>
      <c r="S134" s="116" t="s">
        <v>1089</v>
      </c>
      <c r="T134" s="116" t="s">
        <v>1090</v>
      </c>
      <c r="U134" s="116" t="s">
        <v>1027</v>
      </c>
      <c r="V134" s="116" t="s">
        <v>1091</v>
      </c>
      <c r="W134" s="116" t="s">
        <v>34</v>
      </c>
      <c r="X134" s="155"/>
      <c r="Y134" s="126"/>
    </row>
    <row r="135">
      <c r="A135" s="154">
        <v>43537.38783907407</v>
      </c>
      <c r="B135" s="116" t="s">
        <v>1092</v>
      </c>
      <c r="C135" s="116" t="s">
        <v>453</v>
      </c>
      <c r="D135" s="116" t="s">
        <v>1093</v>
      </c>
      <c r="E135" s="116" t="s">
        <v>1094</v>
      </c>
      <c r="F135" s="116" t="s">
        <v>1068</v>
      </c>
      <c r="G135" s="116" t="s">
        <v>1022</v>
      </c>
      <c r="H135" s="116" t="s">
        <v>202</v>
      </c>
      <c r="O135" s="116" t="s">
        <v>403</v>
      </c>
      <c r="R135" s="116" t="s">
        <v>451</v>
      </c>
      <c r="S135" s="116" t="s">
        <v>1095</v>
      </c>
      <c r="T135" s="116" t="s">
        <v>1096</v>
      </c>
      <c r="U135" s="116" t="s">
        <v>1097</v>
      </c>
      <c r="V135" s="116" t="s">
        <v>1028</v>
      </c>
      <c r="Y135" s="126"/>
    </row>
    <row r="136">
      <c r="A136" s="154">
        <v>43542.63785333333</v>
      </c>
      <c r="B136" s="116" t="s">
        <v>1098</v>
      </c>
      <c r="C136" s="116" t="s">
        <v>714</v>
      </c>
      <c r="D136" s="116" t="s">
        <v>1099</v>
      </c>
      <c r="E136" s="116" t="s">
        <v>1100</v>
      </c>
      <c r="F136" s="116" t="s">
        <v>492</v>
      </c>
      <c r="G136" s="116" t="s">
        <v>1101</v>
      </c>
      <c r="H136" s="116" t="s">
        <v>63</v>
      </c>
      <c r="I136" s="116" t="s">
        <v>400</v>
      </c>
      <c r="J136" s="116" t="s">
        <v>251</v>
      </c>
      <c r="N136" s="116" t="s">
        <v>1102</v>
      </c>
      <c r="O136" s="116" t="s">
        <v>403</v>
      </c>
      <c r="P136" s="116" t="s">
        <v>123</v>
      </c>
      <c r="R136" s="116" t="s">
        <v>405</v>
      </c>
      <c r="S136" s="116" t="s">
        <v>1103</v>
      </c>
      <c r="T136" s="116" t="s">
        <v>123</v>
      </c>
      <c r="U136" s="116" t="s">
        <v>1036</v>
      </c>
      <c r="V136" s="116" t="s">
        <v>1091</v>
      </c>
      <c r="W136" s="116" t="s">
        <v>1104</v>
      </c>
      <c r="X136" s="155"/>
      <c r="Y136" s="126"/>
    </row>
    <row r="137">
      <c r="A137" s="154">
        <v>43543.44051402778</v>
      </c>
      <c r="B137" s="116" t="s">
        <v>1105</v>
      </c>
      <c r="C137" s="116" t="s">
        <v>750</v>
      </c>
      <c r="E137" s="116" t="s">
        <v>1106</v>
      </c>
      <c r="F137" s="116" t="s">
        <v>431</v>
      </c>
      <c r="G137" s="116" t="s">
        <v>1022</v>
      </c>
      <c r="H137" s="116" t="s">
        <v>63</v>
      </c>
      <c r="I137" s="116" t="s">
        <v>251</v>
      </c>
      <c r="J137" s="116" t="s">
        <v>400</v>
      </c>
      <c r="K137" s="116" t="s">
        <v>401</v>
      </c>
      <c r="L137" s="116" t="s">
        <v>163</v>
      </c>
      <c r="M137" s="116" t="s">
        <v>136</v>
      </c>
      <c r="N137" s="116" t="s">
        <v>1107</v>
      </c>
      <c r="O137" s="116" t="s">
        <v>117</v>
      </c>
      <c r="P137" s="116" t="s">
        <v>1108</v>
      </c>
      <c r="R137" s="116" t="s">
        <v>451</v>
      </c>
      <c r="S137" s="116" t="s">
        <v>1109</v>
      </c>
      <c r="T137" s="116" t="s">
        <v>1110</v>
      </c>
      <c r="U137" s="116" t="s">
        <v>1027</v>
      </c>
      <c r="V137" s="116" t="s">
        <v>1028</v>
      </c>
      <c r="W137" s="116" t="s">
        <v>1081</v>
      </c>
      <c r="X137" s="155"/>
      <c r="Y137" s="126"/>
    </row>
    <row r="138">
      <c r="A138" s="154">
        <v>43549.5145897801</v>
      </c>
      <c r="B138" s="116" t="s">
        <v>1111</v>
      </c>
      <c r="C138" s="116" t="s">
        <v>1112</v>
      </c>
      <c r="D138" s="116" t="s">
        <v>1113</v>
      </c>
      <c r="E138" s="116" t="s">
        <v>1114</v>
      </c>
      <c r="F138" s="116" t="s">
        <v>431</v>
      </c>
      <c r="G138" s="116" t="s">
        <v>1077</v>
      </c>
      <c r="H138" s="116" t="s">
        <v>202</v>
      </c>
      <c r="O138" s="116" t="s">
        <v>130</v>
      </c>
      <c r="P138" s="116" t="s">
        <v>1115</v>
      </c>
      <c r="R138" s="116" t="s">
        <v>405</v>
      </c>
      <c r="S138" s="116" t="s">
        <v>1116</v>
      </c>
      <c r="T138" s="116" t="s">
        <v>1117</v>
      </c>
      <c r="U138" s="116" t="s">
        <v>1062</v>
      </c>
      <c r="V138" s="116" t="s">
        <v>1028</v>
      </c>
      <c r="W138" s="116" t="s">
        <v>1081</v>
      </c>
      <c r="X138" s="155"/>
      <c r="Y138" s="126"/>
    </row>
    <row r="139">
      <c r="A139" s="154">
        <v>43549.53046127315</v>
      </c>
      <c r="B139" s="116" t="s">
        <v>1118</v>
      </c>
      <c r="C139" s="116" t="s">
        <v>1119</v>
      </c>
      <c r="D139" s="116" t="s">
        <v>1120</v>
      </c>
      <c r="E139" s="116" t="s">
        <v>1121</v>
      </c>
      <c r="F139" s="116" t="s">
        <v>431</v>
      </c>
      <c r="G139" s="116" t="s">
        <v>1058</v>
      </c>
      <c r="H139" s="116" t="s">
        <v>63</v>
      </c>
      <c r="I139" s="116" t="s">
        <v>251</v>
      </c>
      <c r="J139" s="116" t="s">
        <v>163</v>
      </c>
      <c r="N139" s="116" t="s">
        <v>1122</v>
      </c>
      <c r="O139" s="116" t="s">
        <v>403</v>
      </c>
      <c r="P139" s="116" t="s">
        <v>1123</v>
      </c>
      <c r="R139" s="116" t="s">
        <v>451</v>
      </c>
      <c r="S139" s="116" t="s">
        <v>1124</v>
      </c>
      <c r="T139" s="116" t="s">
        <v>1125</v>
      </c>
      <c r="U139" s="116" t="s">
        <v>1027</v>
      </c>
      <c r="V139" s="116" t="s">
        <v>1028</v>
      </c>
      <c r="W139" s="116" t="s">
        <v>1081</v>
      </c>
      <c r="X139" s="155"/>
      <c r="Y139" s="126"/>
    </row>
    <row r="140">
      <c r="A140" s="154">
        <v>43549.67094309028</v>
      </c>
      <c r="B140" s="116" t="s">
        <v>1126</v>
      </c>
      <c r="C140" s="116" t="s">
        <v>1127</v>
      </c>
      <c r="D140" s="116" t="s">
        <v>1128</v>
      </c>
      <c r="E140" s="116" t="s">
        <v>1129</v>
      </c>
      <c r="F140" s="116" t="s">
        <v>431</v>
      </c>
      <c r="G140" s="116" t="s">
        <v>1101</v>
      </c>
      <c r="H140" s="116" t="s">
        <v>63</v>
      </c>
      <c r="I140" s="116" t="s">
        <v>251</v>
      </c>
      <c r="J140" s="116" t="s">
        <v>136</v>
      </c>
      <c r="K140" s="116" t="s">
        <v>163</v>
      </c>
      <c r="L140" s="116" t="s">
        <v>401</v>
      </c>
      <c r="M140" s="116" t="s">
        <v>400</v>
      </c>
      <c r="N140" s="116" t="s">
        <v>1130</v>
      </c>
      <c r="O140" s="116" t="s">
        <v>117</v>
      </c>
      <c r="R140" s="116" t="s">
        <v>451</v>
      </c>
      <c r="S140" s="116" t="s">
        <v>1131</v>
      </c>
      <c r="T140" s="116" t="s">
        <v>1132</v>
      </c>
      <c r="U140" s="116" t="s">
        <v>1133</v>
      </c>
      <c r="V140" s="116" t="s">
        <v>1028</v>
      </c>
      <c r="W140" s="116" t="s">
        <v>1134</v>
      </c>
      <c r="X140" s="155"/>
      <c r="Y140" s="126"/>
    </row>
    <row r="141">
      <c r="A141" s="154">
        <v>43550.17733546296</v>
      </c>
      <c r="B141" s="116" t="s">
        <v>1135</v>
      </c>
      <c r="C141" s="116" t="s">
        <v>1136</v>
      </c>
      <c r="D141" s="116" t="s">
        <v>1137</v>
      </c>
      <c r="E141" s="116" t="s">
        <v>1138</v>
      </c>
      <c r="F141" s="116" t="s">
        <v>431</v>
      </c>
      <c r="G141" s="116" t="s">
        <v>1077</v>
      </c>
      <c r="H141" s="116" t="s">
        <v>63</v>
      </c>
      <c r="I141" s="116" t="s">
        <v>136</v>
      </c>
      <c r="J141" s="116" t="s">
        <v>400</v>
      </c>
      <c r="K141" s="116" t="s">
        <v>401</v>
      </c>
      <c r="L141" s="116" t="s">
        <v>251</v>
      </c>
      <c r="M141" s="116" t="s">
        <v>163</v>
      </c>
      <c r="N141" s="116" t="s">
        <v>1139</v>
      </c>
      <c r="O141" s="116" t="s">
        <v>403</v>
      </c>
      <c r="R141" s="116" t="s">
        <v>451</v>
      </c>
      <c r="S141" s="116" t="s">
        <v>1140</v>
      </c>
      <c r="T141" s="116" t="s">
        <v>1141</v>
      </c>
      <c r="U141" s="116" t="s">
        <v>1027</v>
      </c>
      <c r="V141" s="116" t="s">
        <v>1028</v>
      </c>
      <c r="W141" s="116" t="s">
        <v>1142</v>
      </c>
      <c r="X141" s="155"/>
      <c r="Y141" s="126"/>
    </row>
    <row r="142">
      <c r="A142" s="154">
        <v>43551.42424122685</v>
      </c>
      <c r="B142" s="116" t="s">
        <v>1143</v>
      </c>
      <c r="C142" s="116" t="s">
        <v>1144</v>
      </c>
      <c r="D142" s="116" t="s">
        <v>1145</v>
      </c>
      <c r="E142" s="116" t="s">
        <v>1146</v>
      </c>
      <c r="F142" s="116" t="s">
        <v>418</v>
      </c>
      <c r="G142" s="116" t="s">
        <v>1147</v>
      </c>
      <c r="H142" s="116" t="s">
        <v>202</v>
      </c>
      <c r="I142" s="116" t="s">
        <v>401</v>
      </c>
      <c r="O142" s="116" t="s">
        <v>403</v>
      </c>
      <c r="R142" s="116" t="s">
        <v>405</v>
      </c>
      <c r="S142" s="116" t="s">
        <v>1148</v>
      </c>
      <c r="T142" s="116" t="s">
        <v>1149</v>
      </c>
      <c r="U142" s="116" t="s">
        <v>1062</v>
      </c>
      <c r="V142" s="116" t="s">
        <v>1150</v>
      </c>
      <c r="Y142" s="126"/>
    </row>
    <row r="143">
      <c r="A143" s="154">
        <v>43556.9679415162</v>
      </c>
      <c r="B143" s="116" t="s">
        <v>1151</v>
      </c>
      <c r="C143" s="116" t="s">
        <v>1152</v>
      </c>
      <c r="D143" s="116" t="s">
        <v>1153</v>
      </c>
      <c r="E143" s="116" t="s">
        <v>1154</v>
      </c>
      <c r="F143" s="116" t="s">
        <v>410</v>
      </c>
      <c r="G143" s="116" t="s">
        <v>1086</v>
      </c>
      <c r="H143" s="116" t="s">
        <v>202</v>
      </c>
      <c r="I143" s="116" t="s">
        <v>251</v>
      </c>
      <c r="J143" s="116" t="s">
        <v>400</v>
      </c>
      <c r="K143" s="116" t="s">
        <v>401</v>
      </c>
      <c r="L143" s="116" t="s">
        <v>163</v>
      </c>
      <c r="M143" s="116" t="s">
        <v>136</v>
      </c>
      <c r="N143" s="116" t="s">
        <v>1155</v>
      </c>
      <c r="O143" s="116" t="s">
        <v>130</v>
      </c>
      <c r="P143" s="116" t="s">
        <v>1156</v>
      </c>
      <c r="R143" s="116" t="s">
        <v>451</v>
      </c>
      <c r="S143" s="116" t="s">
        <v>1157</v>
      </c>
      <c r="T143" s="116" t="s">
        <v>1158</v>
      </c>
      <c r="U143" s="116" t="s">
        <v>1097</v>
      </c>
      <c r="V143" s="116" t="s">
        <v>1159</v>
      </c>
      <c r="Y143" s="126"/>
    </row>
    <row r="144" ht="15.0" customHeight="1">
      <c r="A144" s="167">
        <v>43558.13699107639</v>
      </c>
      <c r="B144" s="168" t="s">
        <v>1160</v>
      </c>
      <c r="C144" s="168" t="s">
        <v>1161</v>
      </c>
      <c r="D144" s="168" t="s">
        <v>1162</v>
      </c>
      <c r="E144" s="168" t="s">
        <v>1163</v>
      </c>
      <c r="F144" s="168" t="s">
        <v>1164</v>
      </c>
      <c r="G144" s="168" t="s">
        <v>1165</v>
      </c>
      <c r="H144" s="168" t="s">
        <v>63</v>
      </c>
      <c r="I144" s="168" t="s">
        <v>251</v>
      </c>
      <c r="J144" s="168" t="s">
        <v>400</v>
      </c>
      <c r="K144" s="169"/>
      <c r="L144" s="169"/>
      <c r="M144" s="169"/>
      <c r="N144" s="168" t="s">
        <v>1166</v>
      </c>
      <c r="O144" s="168" t="s">
        <v>117</v>
      </c>
      <c r="P144" s="168" t="s">
        <v>1167</v>
      </c>
      <c r="Q144" s="169"/>
      <c r="R144" s="168" t="s">
        <v>405</v>
      </c>
      <c r="S144" s="168" t="s">
        <v>1168</v>
      </c>
      <c r="T144" s="168" t="s">
        <v>488</v>
      </c>
      <c r="U144" s="168" t="s">
        <v>1027</v>
      </c>
      <c r="V144" s="168" t="s">
        <v>1028</v>
      </c>
      <c r="W144" s="169"/>
      <c r="X144" s="169"/>
      <c r="Y144" s="170"/>
      <c r="Z144" s="169"/>
      <c r="AA144" s="169"/>
      <c r="AB144" s="169"/>
      <c r="AC144" s="169"/>
      <c r="AD144" s="169"/>
      <c r="AE144" s="169"/>
      <c r="AF144" s="169"/>
      <c r="AG144" s="169"/>
      <c r="AH144" s="169"/>
      <c r="AI144" s="169"/>
      <c r="AJ144" s="169"/>
      <c r="AK144" s="169"/>
      <c r="AL144" s="169"/>
      <c r="AM144" s="169"/>
      <c r="AN144" s="169"/>
      <c r="AO144" s="169"/>
      <c r="AP144" s="169"/>
      <c r="AQ144" s="169"/>
      <c r="AR144" s="169"/>
      <c r="AS144" s="169"/>
      <c r="AT144" s="169"/>
      <c r="AU144" s="169"/>
      <c r="AV144" s="169"/>
      <c r="AW144" s="169"/>
    </row>
    <row r="145">
      <c r="A145" s="154">
        <v>43558.60590172454</v>
      </c>
      <c r="B145" s="116" t="s">
        <v>1169</v>
      </c>
      <c r="C145" s="116" t="s">
        <v>1170</v>
      </c>
      <c r="D145" s="116" t="s">
        <v>1171</v>
      </c>
      <c r="E145" s="116" t="s">
        <v>1172</v>
      </c>
      <c r="F145" s="116" t="s">
        <v>701</v>
      </c>
      <c r="G145" s="116" t="s">
        <v>1173</v>
      </c>
      <c r="H145" s="116" t="s">
        <v>63</v>
      </c>
      <c r="I145" s="116" t="s">
        <v>251</v>
      </c>
      <c r="N145" s="116" t="s">
        <v>1174</v>
      </c>
      <c r="O145" s="116" t="s">
        <v>403</v>
      </c>
      <c r="P145" s="116" t="s">
        <v>1175</v>
      </c>
      <c r="R145" s="116" t="s">
        <v>451</v>
      </c>
      <c r="S145" s="116" t="s">
        <v>1176</v>
      </c>
      <c r="T145" s="116" t="s">
        <v>1177</v>
      </c>
      <c r="U145" s="116" t="s">
        <v>1178</v>
      </c>
      <c r="V145" s="116" t="s">
        <v>1179</v>
      </c>
      <c r="Y145" s="126"/>
    </row>
    <row r="146">
      <c r="A146" s="154">
        <v>43558.62698700231</v>
      </c>
      <c r="B146" s="116" t="s">
        <v>1180</v>
      </c>
      <c r="C146" s="116" t="s">
        <v>1181</v>
      </c>
      <c r="D146" s="116" t="s">
        <v>1182</v>
      </c>
      <c r="E146" s="116" t="s">
        <v>1183</v>
      </c>
      <c r="F146" s="116" t="s">
        <v>431</v>
      </c>
      <c r="G146" s="116" t="s">
        <v>1101</v>
      </c>
      <c r="H146" s="116" t="s">
        <v>63</v>
      </c>
      <c r="I146" s="116" t="s">
        <v>251</v>
      </c>
      <c r="J146" s="116" t="s">
        <v>401</v>
      </c>
      <c r="K146" s="116" t="s">
        <v>400</v>
      </c>
      <c r="N146" s="116" t="s">
        <v>1184</v>
      </c>
      <c r="O146" s="116" t="s">
        <v>403</v>
      </c>
      <c r="P146" s="116" t="s">
        <v>1185</v>
      </c>
      <c r="R146" s="116" t="s">
        <v>405</v>
      </c>
      <c r="S146" s="116" t="s">
        <v>1186</v>
      </c>
      <c r="T146" s="116" t="s">
        <v>1187</v>
      </c>
      <c r="U146" s="116" t="s">
        <v>1062</v>
      </c>
      <c r="V146" s="116" t="s">
        <v>1028</v>
      </c>
      <c r="W146" s="116" t="s">
        <v>1081</v>
      </c>
      <c r="X146" s="155"/>
      <c r="Y146" s="126"/>
    </row>
    <row r="147">
      <c r="A147" s="154">
        <v>43558.975779976856</v>
      </c>
      <c r="B147" s="116" t="s">
        <v>1188</v>
      </c>
      <c r="C147" s="116" t="s">
        <v>1189</v>
      </c>
      <c r="D147" s="116" t="s">
        <v>1190</v>
      </c>
      <c r="E147" s="116" t="s">
        <v>1191</v>
      </c>
      <c r="F147" s="116" t="s">
        <v>529</v>
      </c>
      <c r="G147" s="116" t="s">
        <v>1192</v>
      </c>
      <c r="H147" s="116" t="s">
        <v>63</v>
      </c>
      <c r="I147" s="116" t="s">
        <v>400</v>
      </c>
      <c r="J147" s="116" t="s">
        <v>251</v>
      </c>
      <c r="K147" s="116" t="s">
        <v>401</v>
      </c>
      <c r="L147" s="116" t="s">
        <v>163</v>
      </c>
      <c r="M147" s="116" t="s">
        <v>136</v>
      </c>
      <c r="N147" s="116" t="s">
        <v>1193</v>
      </c>
      <c r="O147" s="116" t="s">
        <v>117</v>
      </c>
      <c r="P147" s="116" t="s">
        <v>1194</v>
      </c>
      <c r="R147" s="116" t="s">
        <v>451</v>
      </c>
      <c r="S147" s="116" t="s">
        <v>1195</v>
      </c>
      <c r="T147" s="116" t="s">
        <v>1196</v>
      </c>
      <c r="U147" s="116" t="s">
        <v>1036</v>
      </c>
      <c r="V147" s="116" t="s">
        <v>1150</v>
      </c>
      <c r="W147" s="116" t="s">
        <v>1081</v>
      </c>
      <c r="X147" s="155"/>
      <c r="Y147" s="126"/>
    </row>
    <row r="148">
      <c r="A148" s="154">
        <v>43559.45062822917</v>
      </c>
      <c r="B148" s="116" t="s">
        <v>1197</v>
      </c>
      <c r="C148" s="116" t="s">
        <v>1198</v>
      </c>
      <c r="D148" s="116" t="s">
        <v>1199</v>
      </c>
      <c r="E148" s="116" t="s">
        <v>1200</v>
      </c>
      <c r="F148" s="116" t="s">
        <v>529</v>
      </c>
      <c r="G148" s="116" t="s">
        <v>1201</v>
      </c>
      <c r="H148" s="116" t="s">
        <v>63</v>
      </c>
      <c r="I148" s="116" t="s">
        <v>251</v>
      </c>
      <c r="J148" s="116" t="s">
        <v>400</v>
      </c>
      <c r="N148" s="116" t="s">
        <v>1202</v>
      </c>
      <c r="O148" s="116" t="s">
        <v>130</v>
      </c>
      <c r="P148" s="116" t="s">
        <v>1203</v>
      </c>
      <c r="R148" s="116" t="s">
        <v>405</v>
      </c>
      <c r="S148" s="116" t="s">
        <v>1204</v>
      </c>
      <c r="T148" s="116" t="s">
        <v>1205</v>
      </c>
      <c r="U148" s="116" t="s">
        <v>1027</v>
      </c>
      <c r="V148" s="116" t="s">
        <v>1150</v>
      </c>
      <c r="W148" s="116" t="s">
        <v>1206</v>
      </c>
      <c r="X148" s="155"/>
      <c r="Y148" s="126"/>
    </row>
    <row r="149">
      <c r="A149" s="154">
        <v>43559.490003969906</v>
      </c>
      <c r="B149" s="116" t="s">
        <v>1207</v>
      </c>
      <c r="C149" s="116" t="s">
        <v>631</v>
      </c>
      <c r="D149" s="116" t="s">
        <v>1208</v>
      </c>
      <c r="E149" s="116" t="s">
        <v>1209</v>
      </c>
      <c r="F149" s="116" t="s">
        <v>461</v>
      </c>
      <c r="G149" s="116" t="s">
        <v>1210</v>
      </c>
      <c r="H149" s="116" t="s">
        <v>63</v>
      </c>
      <c r="I149" s="116" t="s">
        <v>251</v>
      </c>
      <c r="J149" s="116" t="s">
        <v>400</v>
      </c>
      <c r="K149" s="116" t="s">
        <v>401</v>
      </c>
      <c r="L149" s="116" t="s">
        <v>163</v>
      </c>
      <c r="N149" s="116" t="s">
        <v>1211</v>
      </c>
      <c r="O149" s="116" t="s">
        <v>403</v>
      </c>
      <c r="P149" s="116" t="s">
        <v>1212</v>
      </c>
      <c r="R149" s="116" t="s">
        <v>405</v>
      </c>
      <c r="S149" s="116" t="s">
        <v>1213</v>
      </c>
      <c r="T149" s="116" t="s">
        <v>1214</v>
      </c>
      <c r="U149" s="116" t="s">
        <v>1036</v>
      </c>
      <c r="V149" s="116" t="s">
        <v>1150</v>
      </c>
      <c r="W149" s="116" t="s">
        <v>1215</v>
      </c>
      <c r="X149" s="155"/>
      <c r="Y149" s="126"/>
    </row>
    <row r="150">
      <c r="A150" s="154">
        <v>43560.447733368055</v>
      </c>
      <c r="B150" s="116" t="s">
        <v>1216</v>
      </c>
      <c r="C150" s="116" t="s">
        <v>1217</v>
      </c>
      <c r="D150" s="116" t="s">
        <v>1218</v>
      </c>
      <c r="F150" s="116" t="s">
        <v>431</v>
      </c>
      <c r="G150" s="116" t="s">
        <v>1219</v>
      </c>
      <c r="H150" s="116" t="s">
        <v>63</v>
      </c>
      <c r="I150" s="116" t="s">
        <v>401</v>
      </c>
      <c r="J150" s="116" t="s">
        <v>400</v>
      </c>
      <c r="K150" s="116" t="s">
        <v>251</v>
      </c>
      <c r="N150" s="116" t="s">
        <v>1220</v>
      </c>
      <c r="O150" s="116" t="s">
        <v>403</v>
      </c>
      <c r="P150" s="116" t="s">
        <v>1221</v>
      </c>
      <c r="R150" s="116" t="s">
        <v>405</v>
      </c>
      <c r="S150" s="116" t="s">
        <v>1222</v>
      </c>
      <c r="T150" s="116" t="s">
        <v>1223</v>
      </c>
      <c r="U150" s="116" t="s">
        <v>1027</v>
      </c>
      <c r="V150" s="116" t="s">
        <v>1028</v>
      </c>
      <c r="W150" s="116" t="s">
        <v>1081</v>
      </c>
      <c r="X150" s="155"/>
      <c r="Y150" s="152" t="s">
        <v>1224</v>
      </c>
    </row>
    <row r="151">
      <c r="A151" s="154">
        <v>43560.45181064815</v>
      </c>
      <c r="B151" s="116" t="s">
        <v>1225</v>
      </c>
      <c r="C151" s="116" t="s">
        <v>1226</v>
      </c>
      <c r="E151" s="116" t="s">
        <v>1227</v>
      </c>
      <c r="F151" s="116" t="s">
        <v>431</v>
      </c>
      <c r="G151" s="116" t="s">
        <v>1192</v>
      </c>
      <c r="H151" s="116" t="s">
        <v>63</v>
      </c>
      <c r="I151" s="116" t="s">
        <v>251</v>
      </c>
      <c r="J151" s="116" t="s">
        <v>400</v>
      </c>
      <c r="K151" s="116" t="s">
        <v>401</v>
      </c>
      <c r="N151" s="116" t="s">
        <v>1228</v>
      </c>
      <c r="O151" s="116" t="s">
        <v>403</v>
      </c>
      <c r="P151" s="116" t="s">
        <v>1230</v>
      </c>
      <c r="R151" s="116" t="s">
        <v>405</v>
      </c>
      <c r="S151" s="116" t="s">
        <v>1231</v>
      </c>
      <c r="T151" s="116" t="s">
        <v>1232</v>
      </c>
      <c r="U151" s="116" t="s">
        <v>1036</v>
      </c>
      <c r="V151" s="116" t="s">
        <v>1028</v>
      </c>
      <c r="W151" s="116" t="s">
        <v>1233</v>
      </c>
      <c r="X151" s="155"/>
      <c r="Y151" s="126"/>
    </row>
    <row r="152">
      <c r="A152" s="154">
        <v>43560.45312697916</v>
      </c>
      <c r="B152" s="116" t="s">
        <v>1234</v>
      </c>
      <c r="C152" s="116" t="s">
        <v>1235</v>
      </c>
      <c r="E152" s="116" t="s">
        <v>1236</v>
      </c>
      <c r="F152" s="116" t="s">
        <v>431</v>
      </c>
      <c r="G152" s="116" t="s">
        <v>1237</v>
      </c>
      <c r="H152" s="116" t="s">
        <v>63</v>
      </c>
      <c r="I152" s="116" t="s">
        <v>400</v>
      </c>
      <c r="J152" s="116" t="s">
        <v>251</v>
      </c>
      <c r="K152" s="116" t="s">
        <v>401</v>
      </c>
      <c r="L152" s="116" t="s">
        <v>136</v>
      </c>
      <c r="N152" s="116" t="s">
        <v>1238</v>
      </c>
      <c r="O152" s="116" t="s">
        <v>403</v>
      </c>
      <c r="R152" s="116" t="s">
        <v>451</v>
      </c>
      <c r="S152" s="116" t="s">
        <v>1239</v>
      </c>
      <c r="T152" s="116" t="s">
        <v>1240</v>
      </c>
      <c r="U152" s="116" t="s">
        <v>1027</v>
      </c>
      <c r="V152" s="116" t="s">
        <v>1028</v>
      </c>
      <c r="Y152" s="126"/>
    </row>
    <row r="153">
      <c r="A153" s="154">
        <v>43560.47645966435</v>
      </c>
      <c r="B153" s="116" t="s">
        <v>1241</v>
      </c>
      <c r="C153" s="116" t="s">
        <v>1242</v>
      </c>
      <c r="D153" s="116" t="s">
        <v>1243</v>
      </c>
      <c r="E153" s="116" t="s">
        <v>1244</v>
      </c>
      <c r="F153" s="116" t="s">
        <v>529</v>
      </c>
      <c r="G153" s="116" t="s">
        <v>1219</v>
      </c>
      <c r="H153" s="116" t="s">
        <v>63</v>
      </c>
      <c r="I153" s="116" t="s">
        <v>400</v>
      </c>
      <c r="J153" s="116" t="s">
        <v>401</v>
      </c>
      <c r="N153" s="116" t="s">
        <v>1245</v>
      </c>
      <c r="O153" s="116" t="s">
        <v>130</v>
      </c>
      <c r="P153" s="116" t="s">
        <v>1246</v>
      </c>
      <c r="R153" s="116" t="s">
        <v>405</v>
      </c>
      <c r="S153" s="116" t="s">
        <v>1247</v>
      </c>
      <c r="T153" s="116" t="s">
        <v>1248</v>
      </c>
      <c r="U153" s="116" t="s">
        <v>1062</v>
      </c>
      <c r="V153" s="116" t="s">
        <v>1249</v>
      </c>
      <c r="W153" s="116" t="s">
        <v>1081</v>
      </c>
      <c r="X153" s="155"/>
      <c r="Y153" s="126"/>
    </row>
    <row r="154">
      <c r="A154" s="154">
        <v>43560.5073359838</v>
      </c>
      <c r="B154" s="116" t="s">
        <v>1250</v>
      </c>
      <c r="C154" s="116" t="s">
        <v>1251</v>
      </c>
      <c r="E154" s="116" t="s">
        <v>1252</v>
      </c>
      <c r="F154" s="116" t="s">
        <v>1021</v>
      </c>
      <c r="G154" s="116" t="s">
        <v>1022</v>
      </c>
      <c r="H154" s="116" t="s">
        <v>63</v>
      </c>
      <c r="I154" s="116" t="s">
        <v>251</v>
      </c>
      <c r="J154" s="116" t="s">
        <v>400</v>
      </c>
      <c r="K154" s="116" t="s">
        <v>163</v>
      </c>
      <c r="N154" s="116" t="s">
        <v>1253</v>
      </c>
      <c r="O154" s="116" t="s">
        <v>403</v>
      </c>
      <c r="P154" s="116" t="s">
        <v>1254</v>
      </c>
      <c r="R154" s="116" t="s">
        <v>451</v>
      </c>
      <c r="S154" s="116" t="s">
        <v>1255</v>
      </c>
      <c r="T154" s="116" t="s">
        <v>1256</v>
      </c>
      <c r="U154" s="116" t="s">
        <v>1027</v>
      </c>
      <c r="V154" s="116" t="s">
        <v>1091</v>
      </c>
      <c r="W154" s="116" t="s">
        <v>1257</v>
      </c>
      <c r="X154" s="155"/>
      <c r="Y154" s="126"/>
    </row>
    <row r="155">
      <c r="A155" s="154">
        <v>43560.65032049768</v>
      </c>
      <c r="B155" s="116" t="s">
        <v>1258</v>
      </c>
      <c r="C155" s="116" t="s">
        <v>1259</v>
      </c>
      <c r="E155" s="116" t="s">
        <v>1260</v>
      </c>
      <c r="F155" s="116" t="s">
        <v>447</v>
      </c>
      <c r="G155" s="116" t="s">
        <v>1261</v>
      </c>
      <c r="H155" s="116" t="s">
        <v>63</v>
      </c>
      <c r="I155" s="116" t="s">
        <v>251</v>
      </c>
      <c r="N155" s="116" t="s">
        <v>1262</v>
      </c>
      <c r="O155" s="116" t="s">
        <v>130</v>
      </c>
      <c r="P155" s="116" t="s">
        <v>1263</v>
      </c>
      <c r="R155" s="116" t="s">
        <v>405</v>
      </c>
      <c r="S155" s="116" t="s">
        <v>1264</v>
      </c>
      <c r="T155" s="116" t="s">
        <v>1265</v>
      </c>
      <c r="U155" s="116" t="s">
        <v>1133</v>
      </c>
      <c r="V155" s="116" t="s">
        <v>1028</v>
      </c>
      <c r="Y155" s="126"/>
    </row>
    <row r="156">
      <c r="A156" s="154">
        <v>43560.80082045139</v>
      </c>
      <c r="B156" s="116" t="s">
        <v>1266</v>
      </c>
      <c r="C156" s="116" t="s">
        <v>1267</v>
      </c>
      <c r="D156" s="116" t="s">
        <v>1268</v>
      </c>
      <c r="E156" s="116" t="s">
        <v>1269</v>
      </c>
      <c r="F156" s="116" t="s">
        <v>701</v>
      </c>
      <c r="G156" s="116" t="s">
        <v>1219</v>
      </c>
      <c r="H156" s="116" t="s">
        <v>63</v>
      </c>
      <c r="I156" s="116" t="s">
        <v>400</v>
      </c>
      <c r="J156" s="116" t="s">
        <v>251</v>
      </c>
      <c r="K156" s="116" t="s">
        <v>136</v>
      </c>
      <c r="L156" s="116" t="s">
        <v>163</v>
      </c>
      <c r="M156" s="116" t="s">
        <v>401</v>
      </c>
      <c r="O156" s="116" t="s">
        <v>403</v>
      </c>
      <c r="R156" s="116" t="s">
        <v>405</v>
      </c>
      <c r="S156" s="116" t="s">
        <v>1270</v>
      </c>
      <c r="U156" s="116" t="s">
        <v>1036</v>
      </c>
      <c r="V156" s="116" t="s">
        <v>1028</v>
      </c>
      <c r="Y156" s="126"/>
    </row>
    <row r="157">
      <c r="A157" s="154">
        <v>43560.842058738424</v>
      </c>
      <c r="B157" s="116" t="s">
        <v>1271</v>
      </c>
      <c r="C157" s="116" t="s">
        <v>1272</v>
      </c>
      <c r="D157" s="116" t="s">
        <v>1273</v>
      </c>
      <c r="E157" s="116" t="s">
        <v>1274</v>
      </c>
      <c r="F157" s="116" t="s">
        <v>492</v>
      </c>
      <c r="G157" s="116" t="s">
        <v>1077</v>
      </c>
      <c r="H157" s="116" t="s">
        <v>202</v>
      </c>
      <c r="I157" s="116" t="s">
        <v>136</v>
      </c>
      <c r="N157" s="116" t="s">
        <v>1275</v>
      </c>
      <c r="O157" s="116" t="s">
        <v>130</v>
      </c>
      <c r="P157" s="116" t="s">
        <v>1276</v>
      </c>
      <c r="R157" s="116" t="s">
        <v>442</v>
      </c>
      <c r="S157" s="116" t="s">
        <v>1277</v>
      </c>
      <c r="T157" s="116" t="s">
        <v>1278</v>
      </c>
      <c r="U157" s="116" t="s">
        <v>1097</v>
      </c>
      <c r="V157" s="116" t="s">
        <v>1091</v>
      </c>
      <c r="W157" s="116" t="s">
        <v>1104</v>
      </c>
      <c r="X157" s="155"/>
      <c r="Y157" s="126"/>
    </row>
    <row r="158">
      <c r="A158" s="154">
        <v>43560.98825576389</v>
      </c>
      <c r="B158" s="116" t="s">
        <v>1279</v>
      </c>
      <c r="C158" s="116" t="s">
        <v>1280</v>
      </c>
      <c r="D158" s="116" t="s">
        <v>1281</v>
      </c>
      <c r="E158" s="116" t="s">
        <v>1282</v>
      </c>
      <c r="F158" s="116" t="s">
        <v>529</v>
      </c>
      <c r="G158" s="116" t="s">
        <v>1022</v>
      </c>
      <c r="H158" s="116" t="s">
        <v>63</v>
      </c>
      <c r="I158" s="116" t="s">
        <v>400</v>
      </c>
      <c r="J158" s="92" t="s">
        <v>251</v>
      </c>
      <c r="K158" s="116" t="s">
        <v>401</v>
      </c>
      <c r="N158" s="116" t="s">
        <v>1283</v>
      </c>
      <c r="O158" s="116" t="s">
        <v>403</v>
      </c>
      <c r="P158" s="116" t="s">
        <v>1284</v>
      </c>
      <c r="R158" s="116" t="s">
        <v>451</v>
      </c>
      <c r="S158" s="116" t="s">
        <v>1285</v>
      </c>
      <c r="T158" s="116" t="s">
        <v>1286</v>
      </c>
      <c r="U158" s="116" t="s">
        <v>1036</v>
      </c>
      <c r="V158" s="116" t="s">
        <v>1150</v>
      </c>
      <c r="Y158" s="126"/>
    </row>
    <row r="159">
      <c r="A159" s="154">
        <v>43562.748761192124</v>
      </c>
      <c r="B159" s="116" t="s">
        <v>1287</v>
      </c>
      <c r="C159" s="116" t="s">
        <v>1288</v>
      </c>
      <c r="D159" s="116" t="s">
        <v>1289</v>
      </c>
      <c r="E159" s="116" t="s">
        <v>1290</v>
      </c>
      <c r="F159" s="116" t="s">
        <v>461</v>
      </c>
      <c r="G159" s="116" t="s">
        <v>1049</v>
      </c>
      <c r="H159" s="116" t="s">
        <v>202</v>
      </c>
      <c r="I159" s="116" t="s">
        <v>401</v>
      </c>
      <c r="O159" s="116" t="s">
        <v>117</v>
      </c>
      <c r="P159" s="116" t="s">
        <v>1291</v>
      </c>
      <c r="R159" s="116" t="s">
        <v>451</v>
      </c>
      <c r="U159" s="116" t="s">
        <v>1292</v>
      </c>
      <c r="V159" s="116" t="s">
        <v>1293</v>
      </c>
      <c r="W159" s="116" t="s">
        <v>1081</v>
      </c>
      <c r="X159" s="155"/>
      <c r="Y159" s="126"/>
    </row>
    <row r="160">
      <c r="A160" s="154">
        <v>43563.398272280094</v>
      </c>
      <c r="B160" s="116" t="s">
        <v>1294</v>
      </c>
      <c r="C160" s="116" t="s">
        <v>1295</v>
      </c>
      <c r="D160" s="116" t="s">
        <v>1296</v>
      </c>
      <c r="E160" s="116" t="s">
        <v>1297</v>
      </c>
      <c r="F160" s="116" t="s">
        <v>492</v>
      </c>
      <c r="G160" s="116" t="s">
        <v>1219</v>
      </c>
      <c r="H160" s="116" t="s">
        <v>63</v>
      </c>
      <c r="I160" s="116" t="s">
        <v>401</v>
      </c>
      <c r="J160" s="116" t="s">
        <v>400</v>
      </c>
      <c r="K160" s="116" t="s">
        <v>136</v>
      </c>
      <c r="N160" s="116" t="s">
        <v>267</v>
      </c>
      <c r="O160" s="116" t="s">
        <v>403</v>
      </c>
      <c r="P160" s="116" t="s">
        <v>1298</v>
      </c>
      <c r="R160" s="116" t="s">
        <v>451</v>
      </c>
      <c r="S160" s="116" t="s">
        <v>1299</v>
      </c>
      <c r="T160" s="116" t="s">
        <v>1300</v>
      </c>
      <c r="U160" s="116" t="s">
        <v>1097</v>
      </c>
      <c r="V160" s="116" t="s">
        <v>1301</v>
      </c>
      <c r="W160" s="116" t="s">
        <v>1104</v>
      </c>
      <c r="X160" s="155"/>
      <c r="Y160" s="126"/>
    </row>
    <row r="161">
      <c r="A161" s="154">
        <v>43563.56040282408</v>
      </c>
      <c r="B161" s="116" t="s">
        <v>1302</v>
      </c>
      <c r="C161" s="116" t="s">
        <v>665</v>
      </c>
      <c r="D161" s="116" t="s">
        <v>1303</v>
      </c>
      <c r="E161" s="116" t="s">
        <v>1304</v>
      </c>
      <c r="F161" s="116" t="s">
        <v>1068</v>
      </c>
      <c r="G161" s="116" t="s">
        <v>1210</v>
      </c>
      <c r="H161" s="116" t="s">
        <v>63</v>
      </c>
      <c r="I161" s="116" t="s">
        <v>251</v>
      </c>
      <c r="J161" s="116" t="s">
        <v>400</v>
      </c>
      <c r="K161" s="116" t="s">
        <v>401</v>
      </c>
      <c r="N161" s="116" t="s">
        <v>1305</v>
      </c>
      <c r="O161" s="116" t="s">
        <v>130</v>
      </c>
      <c r="P161" s="116" t="s">
        <v>1306</v>
      </c>
      <c r="R161" s="116" t="s">
        <v>451</v>
      </c>
      <c r="S161" s="116" t="s">
        <v>1307</v>
      </c>
      <c r="T161" s="116" t="s">
        <v>1308</v>
      </c>
      <c r="U161" s="116" t="s">
        <v>1133</v>
      </c>
      <c r="V161" s="116" t="s">
        <v>1028</v>
      </c>
      <c r="Y161" s="126"/>
    </row>
    <row r="162">
      <c r="A162" s="154">
        <v>43563.61847023148</v>
      </c>
      <c r="B162" s="116" t="s">
        <v>1309</v>
      </c>
      <c r="C162" s="116" t="s">
        <v>1310</v>
      </c>
      <c r="E162" s="116" t="s">
        <v>1311</v>
      </c>
      <c r="F162" s="116" t="s">
        <v>447</v>
      </c>
      <c r="G162" s="116" t="s">
        <v>1049</v>
      </c>
      <c r="H162" s="116" t="s">
        <v>63</v>
      </c>
      <c r="I162" s="116" t="s">
        <v>163</v>
      </c>
      <c r="J162" s="116" t="s">
        <v>401</v>
      </c>
      <c r="K162" s="116" t="s">
        <v>251</v>
      </c>
      <c r="O162" s="116" t="s">
        <v>130</v>
      </c>
      <c r="P162" s="116" t="s">
        <v>1312</v>
      </c>
      <c r="R162" s="116" t="s">
        <v>405</v>
      </c>
      <c r="S162" s="116" t="s">
        <v>1313</v>
      </c>
      <c r="T162" s="116" t="s">
        <v>1314</v>
      </c>
      <c r="U162" s="116" t="s">
        <v>1133</v>
      </c>
      <c r="V162" s="116" t="s">
        <v>1028</v>
      </c>
      <c r="Y162" s="126"/>
    </row>
    <row r="163">
      <c r="A163" s="154">
        <v>43564.417590173616</v>
      </c>
      <c r="B163" s="116" t="s">
        <v>1315</v>
      </c>
      <c r="C163" s="116" t="s">
        <v>1316</v>
      </c>
      <c r="D163" s="116" t="s">
        <v>1317</v>
      </c>
      <c r="E163" s="116" t="s">
        <v>1318</v>
      </c>
      <c r="F163" s="116" t="s">
        <v>492</v>
      </c>
      <c r="G163" s="116" t="s">
        <v>1210</v>
      </c>
      <c r="H163" s="116" t="s">
        <v>63</v>
      </c>
      <c r="I163" s="116" t="s">
        <v>251</v>
      </c>
      <c r="J163" s="116" t="s">
        <v>400</v>
      </c>
      <c r="K163" s="116" t="s">
        <v>401</v>
      </c>
      <c r="L163" s="116" t="s">
        <v>163</v>
      </c>
      <c r="M163" s="116" t="s">
        <v>136</v>
      </c>
      <c r="N163" s="116" t="s">
        <v>1319</v>
      </c>
      <c r="O163" s="116" t="s">
        <v>130</v>
      </c>
      <c r="P163" s="116" t="s">
        <v>1320</v>
      </c>
      <c r="R163" s="116" t="s">
        <v>405</v>
      </c>
      <c r="S163" s="116" t="s">
        <v>1321</v>
      </c>
      <c r="T163" s="116" t="s">
        <v>1322</v>
      </c>
      <c r="U163" s="116" t="s">
        <v>1027</v>
      </c>
      <c r="V163" s="116" t="s">
        <v>1091</v>
      </c>
      <c r="W163" s="116" t="s">
        <v>1104</v>
      </c>
      <c r="X163" s="155"/>
      <c r="Y163" s="126"/>
    </row>
    <row r="164">
      <c r="A164" s="154">
        <v>43564.41960033565</v>
      </c>
      <c r="B164" s="116" t="s">
        <v>1323</v>
      </c>
      <c r="C164" s="116" t="s">
        <v>1324</v>
      </c>
      <c r="E164" s="116" t="s">
        <v>1325</v>
      </c>
      <c r="F164" s="116" t="s">
        <v>447</v>
      </c>
      <c r="G164" s="116" t="s">
        <v>1326</v>
      </c>
      <c r="H164" s="116" t="s">
        <v>202</v>
      </c>
      <c r="I164" s="116" t="s">
        <v>400</v>
      </c>
      <c r="J164" s="116" t="s">
        <v>251</v>
      </c>
      <c r="K164" s="116" t="s">
        <v>163</v>
      </c>
      <c r="L164" s="116" t="s">
        <v>136</v>
      </c>
      <c r="M164" s="116" t="s">
        <v>401</v>
      </c>
      <c r="N164" s="116" t="s">
        <v>1327</v>
      </c>
      <c r="O164" s="116" t="s">
        <v>130</v>
      </c>
      <c r="U164" s="116" t="s">
        <v>1097</v>
      </c>
      <c r="V164" s="116" t="s">
        <v>1028</v>
      </c>
      <c r="Y164" s="126"/>
    </row>
    <row r="165">
      <c r="A165" s="154">
        <v>43564.493346400464</v>
      </c>
      <c r="B165" s="116" t="s">
        <v>1328</v>
      </c>
      <c r="C165" s="116" t="s">
        <v>599</v>
      </c>
      <c r="D165" s="116" t="s">
        <v>1329</v>
      </c>
      <c r="E165" s="116" t="s">
        <v>1330</v>
      </c>
      <c r="F165" s="116" t="s">
        <v>492</v>
      </c>
      <c r="G165" s="116" t="s">
        <v>1331</v>
      </c>
      <c r="H165" s="116" t="s">
        <v>63</v>
      </c>
      <c r="I165" s="116" t="s">
        <v>400</v>
      </c>
      <c r="J165" s="116" t="s">
        <v>251</v>
      </c>
      <c r="K165" s="116" t="s">
        <v>401</v>
      </c>
      <c r="N165" s="116" t="s">
        <v>1332</v>
      </c>
      <c r="O165" s="116" t="s">
        <v>403</v>
      </c>
      <c r="P165" s="116" t="s">
        <v>1333</v>
      </c>
      <c r="R165" s="116" t="s">
        <v>405</v>
      </c>
      <c r="S165" s="116" t="s">
        <v>1334</v>
      </c>
      <c r="T165" s="116" t="s">
        <v>1335</v>
      </c>
      <c r="U165" s="116" t="s">
        <v>1036</v>
      </c>
      <c r="V165" s="116" t="s">
        <v>1091</v>
      </c>
      <c r="W165" s="116" t="s">
        <v>1104</v>
      </c>
      <c r="X165" s="155"/>
      <c r="Y165" s="126"/>
    </row>
    <row r="166">
      <c r="A166" s="154">
        <v>43564.694213055554</v>
      </c>
      <c r="B166" s="116" t="s">
        <v>1336</v>
      </c>
      <c r="C166" s="116" t="s">
        <v>547</v>
      </c>
      <c r="D166" s="116" t="s">
        <v>1337</v>
      </c>
      <c r="E166" s="116" t="s">
        <v>1338</v>
      </c>
      <c r="F166" s="116" t="s">
        <v>431</v>
      </c>
      <c r="G166" s="116" t="s">
        <v>1219</v>
      </c>
      <c r="H166" s="116" t="s">
        <v>63</v>
      </c>
      <c r="I166" s="116" t="s">
        <v>400</v>
      </c>
      <c r="J166" s="116" t="s">
        <v>251</v>
      </c>
      <c r="K166" s="116" t="s">
        <v>163</v>
      </c>
      <c r="L166" s="116" t="s">
        <v>401</v>
      </c>
      <c r="M166" s="116" t="s">
        <v>136</v>
      </c>
      <c r="N166" s="116" t="s">
        <v>1339</v>
      </c>
      <c r="O166" s="116" t="s">
        <v>117</v>
      </c>
      <c r="P166" s="116" t="s">
        <v>1340</v>
      </c>
      <c r="R166" s="116" t="s">
        <v>405</v>
      </c>
      <c r="S166" s="116" t="s">
        <v>1341</v>
      </c>
      <c r="T166" s="116" t="s">
        <v>1342</v>
      </c>
      <c r="U166" s="116" t="s">
        <v>1133</v>
      </c>
      <c r="V166" s="116" t="s">
        <v>1028</v>
      </c>
      <c r="W166" s="116" t="s">
        <v>1081</v>
      </c>
      <c r="X166" s="155"/>
      <c r="Y166" s="126"/>
    </row>
    <row r="167">
      <c r="A167" s="154">
        <v>43564.71066725695</v>
      </c>
      <c r="B167" s="116" t="s">
        <v>1343</v>
      </c>
      <c r="C167" s="116" t="s">
        <v>1344</v>
      </c>
      <c r="D167" s="116" t="s">
        <v>1345</v>
      </c>
      <c r="E167" s="116" t="s">
        <v>1346</v>
      </c>
      <c r="F167" s="116" t="s">
        <v>492</v>
      </c>
      <c r="G167" s="116" t="s">
        <v>1101</v>
      </c>
      <c r="H167" s="116" t="s">
        <v>63</v>
      </c>
      <c r="I167" s="116" t="s">
        <v>400</v>
      </c>
      <c r="J167" s="116" t="s">
        <v>251</v>
      </c>
      <c r="K167" s="116" t="s">
        <v>401</v>
      </c>
      <c r="L167" s="116" t="s">
        <v>163</v>
      </c>
      <c r="M167" s="116" t="s">
        <v>136</v>
      </c>
      <c r="O167" s="116" t="s">
        <v>130</v>
      </c>
      <c r="P167" s="116" t="s">
        <v>123</v>
      </c>
      <c r="R167" s="116" t="s">
        <v>405</v>
      </c>
      <c r="S167" s="116" t="s">
        <v>1347</v>
      </c>
      <c r="T167" s="116" t="s">
        <v>104</v>
      </c>
      <c r="U167" s="116" t="s">
        <v>1053</v>
      </c>
      <c r="V167" s="116" t="s">
        <v>1028</v>
      </c>
      <c r="W167" s="116" t="s">
        <v>1104</v>
      </c>
      <c r="X167" s="155"/>
      <c r="Y167" s="126"/>
    </row>
    <row r="168">
      <c r="A168" s="154">
        <v>43564.76043560186</v>
      </c>
      <c r="B168" s="116" t="s">
        <v>1348</v>
      </c>
      <c r="C168" s="116" t="s">
        <v>1349</v>
      </c>
      <c r="D168" s="116" t="s">
        <v>1350</v>
      </c>
      <c r="E168" s="116" t="s">
        <v>1351</v>
      </c>
      <c r="F168" s="116" t="s">
        <v>492</v>
      </c>
      <c r="G168" s="116" t="s">
        <v>1352</v>
      </c>
      <c r="H168" s="116" t="s">
        <v>202</v>
      </c>
      <c r="I168" s="116" t="s">
        <v>401</v>
      </c>
      <c r="J168" s="116" t="s">
        <v>400</v>
      </c>
      <c r="K168" s="116" t="s">
        <v>251</v>
      </c>
      <c r="L168" s="116" t="s">
        <v>136</v>
      </c>
      <c r="M168" s="116" t="s">
        <v>163</v>
      </c>
      <c r="N168" s="116" t="s">
        <v>1353</v>
      </c>
      <c r="O168" s="116" t="s">
        <v>117</v>
      </c>
      <c r="P168" s="116" t="s">
        <v>1203</v>
      </c>
      <c r="R168" s="116" t="s">
        <v>451</v>
      </c>
      <c r="T168" s="116" t="s">
        <v>1354</v>
      </c>
      <c r="U168" s="116" t="s">
        <v>1027</v>
      </c>
      <c r="V168" s="116" t="s">
        <v>1091</v>
      </c>
      <c r="W168" s="116" t="s">
        <v>1104</v>
      </c>
      <c r="X168" s="155"/>
      <c r="Y168" s="126"/>
    </row>
    <row r="169">
      <c r="A169" s="154">
        <v>43565.61995707176</v>
      </c>
      <c r="B169" s="116" t="s">
        <v>1355</v>
      </c>
      <c r="C169" s="116" t="s">
        <v>1356</v>
      </c>
      <c r="D169" s="116" t="s">
        <v>1357</v>
      </c>
      <c r="E169" s="116" t="s">
        <v>1358</v>
      </c>
      <c r="F169" s="116" t="s">
        <v>701</v>
      </c>
      <c r="G169" s="116" t="s">
        <v>1210</v>
      </c>
      <c r="H169" s="116" t="s">
        <v>202</v>
      </c>
      <c r="I169" s="116" t="s">
        <v>163</v>
      </c>
      <c r="J169" s="116" t="s">
        <v>251</v>
      </c>
      <c r="K169" s="116" t="s">
        <v>401</v>
      </c>
      <c r="O169" s="116" t="s">
        <v>403</v>
      </c>
      <c r="P169" s="116" t="s">
        <v>1359</v>
      </c>
      <c r="R169" s="116" t="s">
        <v>442</v>
      </c>
      <c r="S169" s="116" t="s">
        <v>1360</v>
      </c>
      <c r="T169" s="116" t="s">
        <v>1203</v>
      </c>
      <c r="U169" s="116" t="s">
        <v>1053</v>
      </c>
      <c r="V169" s="116" t="s">
        <v>1293</v>
      </c>
      <c r="Y169" s="126"/>
    </row>
    <row r="170">
      <c r="A170" s="154">
        <v>43566.03965038194</v>
      </c>
      <c r="B170" s="116" t="s">
        <v>1361</v>
      </c>
      <c r="C170" s="116" t="s">
        <v>1362</v>
      </c>
      <c r="E170" s="116" t="s">
        <v>1363</v>
      </c>
      <c r="F170" s="116" t="s">
        <v>1068</v>
      </c>
      <c r="G170" s="116" t="s">
        <v>1364</v>
      </c>
      <c r="H170" s="116" t="s">
        <v>63</v>
      </c>
      <c r="I170" s="116" t="s">
        <v>251</v>
      </c>
      <c r="J170" s="116" t="s">
        <v>163</v>
      </c>
      <c r="K170" s="116" t="s">
        <v>400</v>
      </c>
      <c r="L170" s="116" t="s">
        <v>401</v>
      </c>
      <c r="M170" s="116" t="s">
        <v>136</v>
      </c>
      <c r="N170" s="116" t="s">
        <v>1365</v>
      </c>
      <c r="O170" s="116" t="s">
        <v>403</v>
      </c>
      <c r="P170" s="116" t="s">
        <v>1366</v>
      </c>
      <c r="R170" s="116" t="s">
        <v>451</v>
      </c>
      <c r="S170" s="116" t="s">
        <v>1367</v>
      </c>
      <c r="T170" s="116" t="s">
        <v>1366</v>
      </c>
      <c r="U170" s="116" t="s">
        <v>1062</v>
      </c>
      <c r="V170" s="116" t="s">
        <v>1091</v>
      </c>
      <c r="W170" s="116" t="s">
        <v>1104</v>
      </c>
      <c r="X170" s="155"/>
      <c r="Y170" s="126"/>
    </row>
    <row r="171">
      <c r="A171" s="154">
        <v>43566.525071446755</v>
      </c>
      <c r="B171" s="116" t="s">
        <v>1368</v>
      </c>
      <c r="C171" s="116" t="s">
        <v>1369</v>
      </c>
      <c r="E171" s="116" t="s">
        <v>1370</v>
      </c>
      <c r="F171" s="116" t="s">
        <v>418</v>
      </c>
      <c r="G171" s="116" t="s">
        <v>1371</v>
      </c>
      <c r="H171" s="116" t="s">
        <v>63</v>
      </c>
      <c r="I171" s="116" t="s">
        <v>251</v>
      </c>
      <c r="J171" s="116" t="s">
        <v>400</v>
      </c>
      <c r="K171" s="116" t="s">
        <v>401</v>
      </c>
      <c r="L171" s="116" t="s">
        <v>163</v>
      </c>
      <c r="M171" s="116" t="s">
        <v>136</v>
      </c>
      <c r="N171" s="116" t="s">
        <v>1372</v>
      </c>
      <c r="O171" s="116" t="s">
        <v>403</v>
      </c>
      <c r="P171" s="116" t="s">
        <v>1373</v>
      </c>
      <c r="R171" s="116" t="s">
        <v>451</v>
      </c>
      <c r="U171" s="116" t="s">
        <v>1062</v>
      </c>
      <c r="V171" s="116" t="s">
        <v>1028</v>
      </c>
      <c r="Y171" s="126"/>
    </row>
    <row r="172">
      <c r="A172" s="154">
        <v>43566.667404039355</v>
      </c>
      <c r="B172" s="116" t="s">
        <v>1374</v>
      </c>
      <c r="C172" s="116" t="s">
        <v>1375</v>
      </c>
      <c r="D172" s="116" t="s">
        <v>1376</v>
      </c>
      <c r="E172" s="116" t="s">
        <v>1377</v>
      </c>
      <c r="F172" s="116" t="s">
        <v>431</v>
      </c>
      <c r="G172" s="116" t="s">
        <v>1210</v>
      </c>
      <c r="H172" s="116" t="s">
        <v>63</v>
      </c>
      <c r="I172" s="116" t="s">
        <v>400</v>
      </c>
      <c r="J172" s="116" t="s">
        <v>136</v>
      </c>
      <c r="K172" s="116" t="s">
        <v>401</v>
      </c>
      <c r="L172" s="116" t="s">
        <v>251</v>
      </c>
      <c r="M172" s="116" t="s">
        <v>163</v>
      </c>
      <c r="N172" s="116" t="s">
        <v>1378</v>
      </c>
      <c r="O172" s="116" t="s">
        <v>117</v>
      </c>
      <c r="R172" s="116" t="s">
        <v>405</v>
      </c>
      <c r="S172" s="116" t="s">
        <v>1379</v>
      </c>
      <c r="T172" s="116" t="s">
        <v>1380</v>
      </c>
      <c r="U172" s="116" t="s">
        <v>1027</v>
      </c>
      <c r="V172" s="116" t="s">
        <v>1028</v>
      </c>
      <c r="W172" s="116" t="s">
        <v>1381</v>
      </c>
      <c r="X172" s="155"/>
      <c r="Y172" s="126"/>
    </row>
    <row r="173">
      <c r="A173" s="154">
        <v>43566.96253849537</v>
      </c>
      <c r="B173" s="116" t="s">
        <v>1382</v>
      </c>
      <c r="C173" s="116" t="s">
        <v>1383</v>
      </c>
      <c r="D173" s="116" t="s">
        <v>1384</v>
      </c>
      <c r="E173" s="116" t="s">
        <v>1385</v>
      </c>
      <c r="F173" s="116" t="s">
        <v>418</v>
      </c>
      <c r="G173" s="116" t="s">
        <v>1219</v>
      </c>
      <c r="H173" s="116" t="s">
        <v>63</v>
      </c>
      <c r="I173" s="116" t="s">
        <v>400</v>
      </c>
      <c r="J173" s="92" t="s">
        <v>251</v>
      </c>
      <c r="K173" s="92" t="s">
        <v>163</v>
      </c>
      <c r="N173" s="116" t="s">
        <v>1386</v>
      </c>
      <c r="O173" s="116" t="s">
        <v>403</v>
      </c>
      <c r="P173" s="116" t="s">
        <v>1387</v>
      </c>
      <c r="R173" s="116" t="s">
        <v>405</v>
      </c>
      <c r="S173" s="116" t="s">
        <v>1388</v>
      </c>
      <c r="U173" s="116" t="s">
        <v>1036</v>
      </c>
      <c r="V173" s="116" t="s">
        <v>1028</v>
      </c>
      <c r="W173" s="116" t="s">
        <v>1389</v>
      </c>
      <c r="X173" s="155"/>
      <c r="Y173" s="126"/>
    </row>
    <row r="174">
      <c r="A174" s="154">
        <v>43567.67818671296</v>
      </c>
      <c r="B174" s="116" t="s">
        <v>1390</v>
      </c>
      <c r="C174" s="116" t="s">
        <v>1391</v>
      </c>
      <c r="D174" s="116" t="s">
        <v>1392</v>
      </c>
      <c r="E174" s="116" t="s">
        <v>1393</v>
      </c>
      <c r="F174" s="116" t="s">
        <v>492</v>
      </c>
      <c r="G174" s="116" t="s">
        <v>1219</v>
      </c>
      <c r="H174" s="116" t="s">
        <v>63</v>
      </c>
      <c r="I174" s="116" t="s">
        <v>251</v>
      </c>
      <c r="J174" s="116" t="s">
        <v>400</v>
      </c>
      <c r="N174" s="116" t="s">
        <v>1394</v>
      </c>
      <c r="O174" s="116" t="s">
        <v>130</v>
      </c>
      <c r="P174" s="116" t="s">
        <v>1395</v>
      </c>
      <c r="R174" s="116" t="s">
        <v>405</v>
      </c>
      <c r="T174" s="116" t="s">
        <v>1396</v>
      </c>
      <c r="U174" s="116" t="s">
        <v>1027</v>
      </c>
      <c r="V174" s="116" t="s">
        <v>1091</v>
      </c>
      <c r="W174" s="116" t="s">
        <v>1104</v>
      </c>
      <c r="X174" s="155"/>
      <c r="Y174" s="126"/>
    </row>
    <row r="175">
      <c r="A175" s="154">
        <v>43567.92645009259</v>
      </c>
      <c r="B175" s="116" t="s">
        <v>758</v>
      </c>
      <c r="C175" s="116" t="s">
        <v>1397</v>
      </c>
      <c r="D175" s="116" t="s">
        <v>1398</v>
      </c>
      <c r="E175" s="116" t="s">
        <v>760</v>
      </c>
      <c r="F175" s="116" t="s">
        <v>461</v>
      </c>
      <c r="G175" s="116" t="s">
        <v>1399</v>
      </c>
      <c r="H175" s="116" t="s">
        <v>63</v>
      </c>
      <c r="I175" s="116" t="s">
        <v>251</v>
      </c>
      <c r="J175" s="116" t="s">
        <v>400</v>
      </c>
      <c r="K175" s="116" t="s">
        <v>401</v>
      </c>
      <c r="L175" s="116" t="s">
        <v>163</v>
      </c>
      <c r="N175" s="116" t="s">
        <v>1400</v>
      </c>
      <c r="O175" s="116" t="s">
        <v>117</v>
      </c>
      <c r="P175" s="116" t="s">
        <v>1401</v>
      </c>
      <c r="R175" s="116" t="s">
        <v>405</v>
      </c>
      <c r="S175" s="116" t="s">
        <v>1402</v>
      </c>
      <c r="T175" s="116" t="s">
        <v>1403</v>
      </c>
      <c r="U175" s="116" t="s">
        <v>1097</v>
      </c>
      <c r="V175" s="116" t="s">
        <v>1028</v>
      </c>
      <c r="W175" s="116" t="s">
        <v>1404</v>
      </c>
      <c r="X175" s="155"/>
      <c r="Y175" s="126"/>
    </row>
    <row r="176">
      <c r="A176" s="154">
        <v>43568.82464288194</v>
      </c>
      <c r="B176" s="116" t="s">
        <v>1405</v>
      </c>
      <c r="C176" s="116" t="s">
        <v>1406</v>
      </c>
      <c r="D176" s="116" t="s">
        <v>1407</v>
      </c>
      <c r="E176" s="116" t="s">
        <v>1408</v>
      </c>
      <c r="F176" s="116" t="s">
        <v>1409</v>
      </c>
      <c r="G176" s="116" t="s">
        <v>1410</v>
      </c>
      <c r="H176" s="116" t="s">
        <v>63</v>
      </c>
      <c r="I176" s="116" t="s">
        <v>401</v>
      </c>
      <c r="J176" s="116" t="s">
        <v>400</v>
      </c>
      <c r="K176" s="116" t="s">
        <v>251</v>
      </c>
      <c r="L176" s="116" t="s">
        <v>163</v>
      </c>
      <c r="M176" s="116" t="s">
        <v>136</v>
      </c>
      <c r="O176" s="116" t="s">
        <v>403</v>
      </c>
      <c r="R176" s="116" t="s">
        <v>405</v>
      </c>
      <c r="S176" s="116" t="s">
        <v>1411</v>
      </c>
      <c r="T176" s="116" t="s">
        <v>1412</v>
      </c>
      <c r="U176" s="116" t="s">
        <v>1097</v>
      </c>
      <c r="V176" s="116" t="s">
        <v>1413</v>
      </c>
      <c r="Y176" s="126"/>
    </row>
    <row r="177">
      <c r="A177" s="154">
        <v>43570.893279675925</v>
      </c>
      <c r="B177" s="116" t="s">
        <v>1414</v>
      </c>
      <c r="C177" s="116" t="s">
        <v>1415</v>
      </c>
      <c r="D177" s="116" t="s">
        <v>1416</v>
      </c>
      <c r="E177" s="116" t="s">
        <v>1417</v>
      </c>
      <c r="F177" s="116" t="s">
        <v>431</v>
      </c>
      <c r="G177" s="116" t="s">
        <v>1022</v>
      </c>
      <c r="H177" s="116" t="s">
        <v>202</v>
      </c>
      <c r="O177" s="116" t="s">
        <v>403</v>
      </c>
      <c r="P177" s="116" t="s">
        <v>1418</v>
      </c>
      <c r="R177" s="116" t="s">
        <v>405</v>
      </c>
      <c r="S177" s="116" t="s">
        <v>1419</v>
      </c>
      <c r="T177" s="116" t="s">
        <v>1420</v>
      </c>
      <c r="U177" s="116" t="s">
        <v>1097</v>
      </c>
      <c r="V177" s="116" t="s">
        <v>1028</v>
      </c>
      <c r="Y177" s="126"/>
    </row>
    <row r="178">
      <c r="A178" s="154">
        <v>43571.977917592594</v>
      </c>
      <c r="B178" s="116" t="s">
        <v>1421</v>
      </c>
      <c r="C178" s="116" t="s">
        <v>881</v>
      </c>
      <c r="D178" s="116" t="s">
        <v>1422</v>
      </c>
      <c r="E178" s="116" t="s">
        <v>1423</v>
      </c>
      <c r="F178" s="116" t="s">
        <v>1068</v>
      </c>
      <c r="G178" s="116" t="s">
        <v>1424</v>
      </c>
      <c r="H178" s="116" t="s">
        <v>63</v>
      </c>
      <c r="I178" s="116" t="s">
        <v>400</v>
      </c>
      <c r="J178" s="116" t="s">
        <v>163</v>
      </c>
      <c r="N178" s="116" t="s">
        <v>1425</v>
      </c>
      <c r="O178" s="116" t="s">
        <v>130</v>
      </c>
      <c r="P178" s="116" t="s">
        <v>197</v>
      </c>
      <c r="R178" s="116" t="s">
        <v>405</v>
      </c>
      <c r="S178" s="116" t="s">
        <v>1426</v>
      </c>
      <c r="T178" s="116" t="s">
        <v>1427</v>
      </c>
      <c r="U178" s="116" t="s">
        <v>1062</v>
      </c>
      <c r="V178" s="116" t="s">
        <v>1028</v>
      </c>
      <c r="Y178" s="126"/>
    </row>
    <row r="179">
      <c r="A179" s="154">
        <v>43577.6068059838</v>
      </c>
      <c r="B179" s="116" t="s">
        <v>1428</v>
      </c>
      <c r="C179" s="116" t="s">
        <v>682</v>
      </c>
      <c r="E179" s="116" t="s">
        <v>1429</v>
      </c>
      <c r="F179" s="116" t="s">
        <v>1430</v>
      </c>
      <c r="G179" s="116" t="s">
        <v>1210</v>
      </c>
      <c r="H179" s="116" t="s">
        <v>63</v>
      </c>
      <c r="I179" s="116" t="s">
        <v>251</v>
      </c>
      <c r="N179" s="116" t="s">
        <v>1431</v>
      </c>
      <c r="O179" s="116" t="s">
        <v>403</v>
      </c>
      <c r="P179" s="116" t="s">
        <v>1432</v>
      </c>
      <c r="R179" s="116" t="s">
        <v>451</v>
      </c>
      <c r="S179" s="116" t="s">
        <v>1433</v>
      </c>
      <c r="T179" s="116" t="s">
        <v>1434</v>
      </c>
      <c r="U179" s="116" t="s">
        <v>1133</v>
      </c>
      <c r="V179" s="116" t="s">
        <v>1293</v>
      </c>
      <c r="Y179" s="126"/>
    </row>
    <row r="180">
      <c r="A180" s="154">
        <v>43577.87438443287</v>
      </c>
      <c r="B180" s="116" t="s">
        <v>1435</v>
      </c>
      <c r="C180" s="116" t="s">
        <v>1436</v>
      </c>
      <c r="D180" s="116" t="s">
        <v>1437</v>
      </c>
      <c r="E180" s="116" t="s">
        <v>1438</v>
      </c>
      <c r="F180" s="116" t="s">
        <v>431</v>
      </c>
      <c r="G180" s="116" t="s">
        <v>1439</v>
      </c>
      <c r="H180" s="116" t="s">
        <v>202</v>
      </c>
      <c r="I180" s="116" t="s">
        <v>163</v>
      </c>
      <c r="J180" s="116" t="s">
        <v>251</v>
      </c>
      <c r="N180" s="116" t="s">
        <v>1440</v>
      </c>
      <c r="O180" s="116" t="s">
        <v>130</v>
      </c>
      <c r="P180" s="116" t="s">
        <v>1441</v>
      </c>
      <c r="R180" s="116" t="s">
        <v>405</v>
      </c>
      <c r="S180" s="116" t="s">
        <v>1442</v>
      </c>
      <c r="U180" s="116" t="s">
        <v>1097</v>
      </c>
      <c r="V180" s="116" t="s">
        <v>1028</v>
      </c>
      <c r="W180" s="116" t="s">
        <v>1443</v>
      </c>
      <c r="X180" s="155"/>
      <c r="Y180" s="126"/>
    </row>
    <row r="181">
      <c r="A181" s="154">
        <v>43578.689141759256</v>
      </c>
      <c r="B181" s="116" t="s">
        <v>1444</v>
      </c>
      <c r="C181" s="116" t="s">
        <v>1445</v>
      </c>
      <c r="D181" s="116" t="s">
        <v>1446</v>
      </c>
      <c r="E181" s="116" t="s">
        <v>1447</v>
      </c>
      <c r="F181" s="116" t="s">
        <v>431</v>
      </c>
      <c r="G181" s="116" t="s">
        <v>1101</v>
      </c>
      <c r="H181" s="116" t="s">
        <v>63</v>
      </c>
      <c r="I181" s="116" t="s">
        <v>136</v>
      </c>
      <c r="J181" s="116" t="s">
        <v>251</v>
      </c>
      <c r="K181" s="116" t="s">
        <v>401</v>
      </c>
      <c r="L181" s="116" t="s">
        <v>400</v>
      </c>
      <c r="M181" s="116" t="s">
        <v>163</v>
      </c>
      <c r="O181" s="116" t="s">
        <v>403</v>
      </c>
      <c r="P181" s="116" t="s">
        <v>1448</v>
      </c>
      <c r="R181" s="116" t="s">
        <v>405</v>
      </c>
      <c r="S181" s="116" t="s">
        <v>1449</v>
      </c>
      <c r="T181" s="116" t="s">
        <v>1450</v>
      </c>
      <c r="U181" s="116" t="s">
        <v>1027</v>
      </c>
      <c r="V181" s="116" t="s">
        <v>1451</v>
      </c>
      <c r="W181" s="116" t="s">
        <v>1081</v>
      </c>
      <c r="X181" s="155"/>
      <c r="Y181" s="126"/>
    </row>
    <row r="182">
      <c r="A182" s="154">
        <v>43581.01534331018</v>
      </c>
      <c r="B182" s="116" t="s">
        <v>1452</v>
      </c>
      <c r="C182" s="116" t="s">
        <v>1453</v>
      </c>
      <c r="D182" s="116" t="s">
        <v>1454</v>
      </c>
      <c r="E182" s="116" t="s">
        <v>1455</v>
      </c>
      <c r="F182" s="116" t="s">
        <v>1456</v>
      </c>
      <c r="G182" s="116" t="s">
        <v>1049</v>
      </c>
      <c r="H182" s="116" t="s">
        <v>63</v>
      </c>
      <c r="I182" s="116" t="s">
        <v>400</v>
      </c>
      <c r="J182" s="116" t="s">
        <v>251</v>
      </c>
      <c r="K182" s="116" t="s">
        <v>136</v>
      </c>
      <c r="L182" s="116" t="s">
        <v>401</v>
      </c>
      <c r="M182" s="116" t="s">
        <v>163</v>
      </c>
      <c r="N182" s="116" t="s">
        <v>1457</v>
      </c>
      <c r="O182" s="116" t="s">
        <v>403</v>
      </c>
      <c r="P182" s="116" t="s">
        <v>1458</v>
      </c>
      <c r="R182" s="116" t="s">
        <v>451</v>
      </c>
      <c r="S182" s="116" t="s">
        <v>1459</v>
      </c>
      <c r="T182" s="116" t="s">
        <v>1460</v>
      </c>
      <c r="U182" s="116" t="s">
        <v>1097</v>
      </c>
      <c r="V182" s="116" t="s">
        <v>1028</v>
      </c>
      <c r="Y182" s="126"/>
    </row>
    <row r="183">
      <c r="A183" s="154">
        <v>43581.59238099537</v>
      </c>
      <c r="B183" s="116" t="s">
        <v>1461</v>
      </c>
      <c r="C183" s="116" t="s">
        <v>1462</v>
      </c>
      <c r="D183" s="116" t="s">
        <v>1463</v>
      </c>
      <c r="E183" s="116" t="s">
        <v>1464</v>
      </c>
      <c r="F183" s="116" t="s">
        <v>431</v>
      </c>
      <c r="G183" s="116" t="s">
        <v>1465</v>
      </c>
      <c r="H183" s="116" t="s">
        <v>63</v>
      </c>
      <c r="I183" s="116" t="s">
        <v>251</v>
      </c>
      <c r="N183" s="116" t="s">
        <v>1466</v>
      </c>
      <c r="O183" s="116" t="s">
        <v>130</v>
      </c>
      <c r="P183" s="116" t="s">
        <v>1467</v>
      </c>
      <c r="R183" s="116" t="s">
        <v>442</v>
      </c>
      <c r="S183" s="116" t="s">
        <v>1468</v>
      </c>
      <c r="T183" s="116" t="s">
        <v>314</v>
      </c>
      <c r="U183" s="116" t="s">
        <v>1053</v>
      </c>
      <c r="V183" s="116" t="s">
        <v>1028</v>
      </c>
      <c r="W183" s="116" t="s">
        <v>1469</v>
      </c>
      <c r="X183" s="155"/>
      <c r="Y183" s="126"/>
    </row>
    <row r="184">
      <c r="A184" s="154">
        <v>43584.79747771991</v>
      </c>
      <c r="B184" s="116" t="s">
        <v>1470</v>
      </c>
      <c r="C184" s="116" t="s">
        <v>1471</v>
      </c>
      <c r="E184" s="116" t="s">
        <v>1472</v>
      </c>
      <c r="F184" s="116" t="s">
        <v>701</v>
      </c>
      <c r="G184" s="116" t="s">
        <v>1022</v>
      </c>
      <c r="H184" s="116" t="s">
        <v>202</v>
      </c>
      <c r="O184" s="116" t="s">
        <v>403</v>
      </c>
      <c r="U184" s="116" t="s">
        <v>1097</v>
      </c>
      <c r="V184" s="116" t="s">
        <v>1293</v>
      </c>
      <c r="Y184" s="126"/>
    </row>
    <row r="185">
      <c r="A185" s="154">
        <v>43585.63376069444</v>
      </c>
      <c r="B185" s="116" t="s">
        <v>1473</v>
      </c>
      <c r="C185" s="116" t="s">
        <v>1189</v>
      </c>
      <c r="E185" s="116" t="s">
        <v>1191</v>
      </c>
      <c r="F185" s="116" t="s">
        <v>529</v>
      </c>
      <c r="G185" s="116" t="s">
        <v>1219</v>
      </c>
      <c r="H185" s="116" t="s">
        <v>63</v>
      </c>
      <c r="I185" s="116" t="s">
        <v>401</v>
      </c>
      <c r="J185" s="116" t="s">
        <v>400</v>
      </c>
      <c r="K185" s="116" t="s">
        <v>251</v>
      </c>
      <c r="L185" s="116" t="s">
        <v>163</v>
      </c>
      <c r="M185" s="116" t="s">
        <v>136</v>
      </c>
      <c r="O185" s="116" t="s">
        <v>117</v>
      </c>
      <c r="P185" s="116" t="s">
        <v>1474</v>
      </c>
      <c r="R185" s="116" t="s">
        <v>451</v>
      </c>
      <c r="U185" s="116" t="s">
        <v>1036</v>
      </c>
      <c r="V185" s="116" t="s">
        <v>1150</v>
      </c>
      <c r="W185" s="116" t="s">
        <v>1081</v>
      </c>
      <c r="X185" s="155"/>
      <c r="Y185" s="126"/>
    </row>
    <row r="186">
      <c r="A186" s="154">
        <v>43586.59645730324</v>
      </c>
      <c r="B186" s="116" t="s">
        <v>1475</v>
      </c>
      <c r="C186" s="116" t="s">
        <v>846</v>
      </c>
      <c r="D186" s="116" t="s">
        <v>1476</v>
      </c>
      <c r="E186" s="116" t="s">
        <v>1477</v>
      </c>
      <c r="F186" s="116" t="s">
        <v>418</v>
      </c>
      <c r="G186" s="116" t="s">
        <v>1022</v>
      </c>
      <c r="H186" s="116" t="s">
        <v>63</v>
      </c>
      <c r="I186" s="116" t="s">
        <v>251</v>
      </c>
      <c r="J186" s="116" t="s">
        <v>400</v>
      </c>
      <c r="N186" s="116" t="s">
        <v>1478</v>
      </c>
      <c r="O186" s="116" t="s">
        <v>403</v>
      </c>
      <c r="P186" s="116" t="s">
        <v>1479</v>
      </c>
      <c r="R186" s="116" t="s">
        <v>405</v>
      </c>
      <c r="S186" s="116" t="s">
        <v>1480</v>
      </c>
      <c r="T186" s="116" t="s">
        <v>1481</v>
      </c>
      <c r="U186" s="116" t="s">
        <v>1097</v>
      </c>
      <c r="V186" s="116" t="s">
        <v>1028</v>
      </c>
      <c r="Y186" s="126"/>
    </row>
    <row r="187">
      <c r="A187" s="154">
        <v>43587.167243738426</v>
      </c>
      <c r="B187" s="116" t="s">
        <v>1482</v>
      </c>
      <c r="C187" s="116" t="s">
        <v>1483</v>
      </c>
      <c r="D187" s="116" t="s">
        <v>1484</v>
      </c>
      <c r="E187" s="116" t="s">
        <v>1485</v>
      </c>
      <c r="F187" s="116" t="s">
        <v>431</v>
      </c>
      <c r="G187" s="116" t="s">
        <v>1465</v>
      </c>
      <c r="H187" s="116" t="s">
        <v>63</v>
      </c>
      <c r="I187" s="116" t="s">
        <v>251</v>
      </c>
      <c r="J187" s="116" t="s">
        <v>400</v>
      </c>
      <c r="K187" s="116" t="s">
        <v>401</v>
      </c>
      <c r="L187" s="116" t="s">
        <v>163</v>
      </c>
      <c r="M187" s="116" t="s">
        <v>136</v>
      </c>
      <c r="N187" s="116" t="s">
        <v>1486</v>
      </c>
      <c r="O187" s="116" t="s">
        <v>117</v>
      </c>
      <c r="P187" s="116" t="s">
        <v>1487</v>
      </c>
      <c r="R187" s="116" t="s">
        <v>442</v>
      </c>
      <c r="S187" s="116" t="s">
        <v>1488</v>
      </c>
      <c r="T187" s="116" t="s">
        <v>1489</v>
      </c>
      <c r="U187" s="116" t="s">
        <v>1490</v>
      </c>
      <c r="V187" s="116" t="s">
        <v>1293</v>
      </c>
      <c r="Y187" s="126"/>
    </row>
    <row r="188">
      <c r="A188" s="154">
        <v>43588.538737627314</v>
      </c>
      <c r="B188" s="116" t="s">
        <v>1491</v>
      </c>
      <c r="C188" s="116" t="s">
        <v>1492</v>
      </c>
      <c r="E188" s="116" t="s">
        <v>1493</v>
      </c>
      <c r="F188" s="116" t="s">
        <v>701</v>
      </c>
      <c r="G188" s="116" t="s">
        <v>1494</v>
      </c>
      <c r="H188" s="116" t="s">
        <v>63</v>
      </c>
      <c r="I188" s="116" t="s">
        <v>136</v>
      </c>
      <c r="J188" s="116" t="s">
        <v>163</v>
      </c>
      <c r="K188" s="116" t="s">
        <v>400</v>
      </c>
      <c r="L188" s="116" t="s">
        <v>251</v>
      </c>
      <c r="M188" s="116" t="s">
        <v>401</v>
      </c>
      <c r="O188" s="116" t="s">
        <v>117</v>
      </c>
      <c r="P188" s="116" t="s">
        <v>305</v>
      </c>
      <c r="R188" s="116" t="s">
        <v>451</v>
      </c>
      <c r="S188" s="116" t="s">
        <v>1495</v>
      </c>
      <c r="T188" s="116" t="s">
        <v>1496</v>
      </c>
      <c r="U188" s="116" t="s">
        <v>1097</v>
      </c>
      <c r="V188" s="116" t="s">
        <v>1293</v>
      </c>
      <c r="Y188" s="126"/>
    </row>
    <row r="189">
      <c r="A189" s="154">
        <v>43591.44244180556</v>
      </c>
      <c r="B189" s="116" t="s">
        <v>1497</v>
      </c>
      <c r="C189" s="116" t="s">
        <v>1498</v>
      </c>
      <c r="E189" s="116" t="s">
        <v>1499</v>
      </c>
      <c r="F189" s="116" t="s">
        <v>431</v>
      </c>
      <c r="G189" s="116" t="s">
        <v>1022</v>
      </c>
      <c r="H189" s="116" t="s">
        <v>202</v>
      </c>
      <c r="I189" s="116" t="s">
        <v>251</v>
      </c>
      <c r="J189" s="116" t="s">
        <v>401</v>
      </c>
      <c r="K189" s="116" t="s">
        <v>400</v>
      </c>
      <c r="L189" s="116" t="s">
        <v>163</v>
      </c>
      <c r="M189" s="116" t="s">
        <v>136</v>
      </c>
      <c r="O189" s="116" t="s">
        <v>403</v>
      </c>
      <c r="R189" s="116" t="s">
        <v>451</v>
      </c>
      <c r="U189" s="116" t="s">
        <v>1097</v>
      </c>
      <c r="V189" s="116" t="s">
        <v>1091</v>
      </c>
      <c r="Y189" s="126"/>
    </row>
    <row r="190">
      <c r="A190" s="154">
        <v>43591.69080378472</v>
      </c>
      <c r="B190" s="116" t="s">
        <v>1500</v>
      </c>
      <c r="C190" s="116" t="s">
        <v>1501</v>
      </c>
      <c r="D190" s="116" t="s">
        <v>1502</v>
      </c>
      <c r="E190" s="116" t="s">
        <v>1503</v>
      </c>
      <c r="F190" s="116" t="s">
        <v>701</v>
      </c>
      <c r="G190" s="116" t="s">
        <v>1504</v>
      </c>
      <c r="H190" s="116" t="s">
        <v>202</v>
      </c>
      <c r="I190" s="116" t="s">
        <v>400</v>
      </c>
      <c r="J190" s="116" t="s">
        <v>251</v>
      </c>
      <c r="K190" s="116" t="s">
        <v>401</v>
      </c>
      <c r="L190" s="116" t="s">
        <v>163</v>
      </c>
      <c r="M190" s="116" t="s">
        <v>136</v>
      </c>
      <c r="O190" s="116" t="s">
        <v>403</v>
      </c>
      <c r="P190" s="116" t="s">
        <v>53</v>
      </c>
      <c r="R190" s="116" t="s">
        <v>405</v>
      </c>
      <c r="S190" s="116" t="s">
        <v>1505</v>
      </c>
      <c r="T190" s="116" t="s">
        <v>1506</v>
      </c>
      <c r="U190" s="116" t="s">
        <v>1027</v>
      </c>
      <c r="V190" s="116" t="s">
        <v>1293</v>
      </c>
      <c r="Y190" s="126"/>
    </row>
    <row r="191">
      <c r="A191" s="154">
        <v>43592.739961354164</v>
      </c>
      <c r="B191" s="116" t="s">
        <v>1507</v>
      </c>
      <c r="C191" s="116" t="s">
        <v>1508</v>
      </c>
      <c r="D191" s="116" t="s">
        <v>1509</v>
      </c>
      <c r="E191" s="116" t="s">
        <v>1510</v>
      </c>
      <c r="F191" s="116" t="s">
        <v>418</v>
      </c>
      <c r="G191" s="116" t="s">
        <v>1511</v>
      </c>
      <c r="H191" s="116" t="s">
        <v>63</v>
      </c>
      <c r="I191" s="116" t="s">
        <v>400</v>
      </c>
      <c r="J191" s="116" t="s">
        <v>251</v>
      </c>
      <c r="K191" s="116" t="s">
        <v>136</v>
      </c>
      <c r="L191" s="116" t="s">
        <v>401</v>
      </c>
      <c r="M191" s="116" t="s">
        <v>163</v>
      </c>
      <c r="N191" s="116" t="s">
        <v>130</v>
      </c>
      <c r="O191" s="116" t="s">
        <v>403</v>
      </c>
      <c r="P191" s="116" t="s">
        <v>1512</v>
      </c>
      <c r="R191" s="116" t="s">
        <v>451</v>
      </c>
      <c r="S191" s="116" t="s">
        <v>1513</v>
      </c>
      <c r="T191" s="116" t="s">
        <v>1514</v>
      </c>
      <c r="U191" s="116" t="s">
        <v>1062</v>
      </c>
      <c r="V191" s="116" t="s">
        <v>1028</v>
      </c>
      <c r="W191" s="116" t="s">
        <v>1515</v>
      </c>
      <c r="X191" s="155"/>
      <c r="Y191" s="126"/>
    </row>
    <row r="192">
      <c r="A192" s="167">
        <v>43592.88754996528</v>
      </c>
      <c r="B192" s="168" t="s">
        <v>1516</v>
      </c>
      <c r="C192" s="168" t="s">
        <v>1517</v>
      </c>
      <c r="D192" s="168" t="s">
        <v>1518</v>
      </c>
      <c r="E192" s="168" t="s">
        <v>1519</v>
      </c>
      <c r="F192" s="168" t="s">
        <v>529</v>
      </c>
      <c r="G192" s="168" t="s">
        <v>1022</v>
      </c>
      <c r="H192" s="168" t="s">
        <v>63</v>
      </c>
      <c r="I192" s="168" t="s">
        <v>400</v>
      </c>
      <c r="J192" s="168" t="s">
        <v>251</v>
      </c>
      <c r="K192" s="169"/>
      <c r="L192" s="169"/>
      <c r="M192" s="169"/>
      <c r="N192" s="168" t="s">
        <v>1520</v>
      </c>
      <c r="O192" s="168" t="s">
        <v>130</v>
      </c>
      <c r="P192" s="168" t="s">
        <v>1521</v>
      </c>
      <c r="Q192" s="169"/>
      <c r="R192" s="168" t="s">
        <v>405</v>
      </c>
      <c r="S192" s="168" t="s">
        <v>1522</v>
      </c>
      <c r="T192" s="168" t="s">
        <v>1523</v>
      </c>
      <c r="U192" s="168" t="s">
        <v>1062</v>
      </c>
      <c r="V192" s="168" t="s">
        <v>1150</v>
      </c>
      <c r="W192" s="168" t="s">
        <v>1524</v>
      </c>
      <c r="X192" s="171"/>
      <c r="Y192" s="170"/>
      <c r="Z192" s="169"/>
      <c r="AA192" s="169"/>
      <c r="AB192" s="169"/>
      <c r="AC192" s="169"/>
      <c r="AD192" s="169"/>
      <c r="AE192" s="169"/>
      <c r="AF192" s="169"/>
      <c r="AG192" s="169"/>
      <c r="AH192" s="169"/>
      <c r="AI192" s="169"/>
      <c r="AJ192" s="169"/>
      <c r="AK192" s="169"/>
      <c r="AL192" s="169"/>
      <c r="AM192" s="169"/>
      <c r="AN192" s="169"/>
      <c r="AO192" s="169"/>
      <c r="AP192" s="169"/>
      <c r="AQ192" s="169"/>
      <c r="AR192" s="169"/>
      <c r="AS192" s="169"/>
      <c r="AT192" s="169"/>
      <c r="AU192" s="169"/>
      <c r="AV192" s="169"/>
      <c r="AW192" s="169"/>
    </row>
    <row r="193">
      <c r="A193" s="154">
        <v>43593.204109722225</v>
      </c>
      <c r="B193" s="116" t="s">
        <v>1525</v>
      </c>
      <c r="C193" s="116" t="s">
        <v>1526</v>
      </c>
      <c r="D193" s="116" t="s">
        <v>1527</v>
      </c>
      <c r="E193" s="116" t="s">
        <v>1528</v>
      </c>
      <c r="F193" s="116" t="s">
        <v>431</v>
      </c>
      <c r="G193" s="116" t="s">
        <v>1022</v>
      </c>
      <c r="H193" s="116" t="s">
        <v>202</v>
      </c>
      <c r="I193" s="116" t="s">
        <v>251</v>
      </c>
      <c r="J193" s="116" t="s">
        <v>400</v>
      </c>
      <c r="N193" s="116" t="s">
        <v>1529</v>
      </c>
      <c r="O193" s="116" t="s">
        <v>403</v>
      </c>
      <c r="P193" s="116" t="s">
        <v>1530</v>
      </c>
      <c r="R193" s="116" t="s">
        <v>405</v>
      </c>
      <c r="S193" s="116" t="s">
        <v>1531</v>
      </c>
      <c r="T193" s="116" t="s">
        <v>1532</v>
      </c>
      <c r="U193" s="116" t="s">
        <v>1062</v>
      </c>
      <c r="V193" s="116" t="s">
        <v>1091</v>
      </c>
      <c r="Y193" s="126"/>
    </row>
    <row r="194">
      <c r="A194" s="154">
        <v>43593.566494722225</v>
      </c>
      <c r="B194" s="116" t="s">
        <v>1533</v>
      </c>
      <c r="C194" s="116" t="s">
        <v>313</v>
      </c>
      <c r="E194" s="116" t="s">
        <v>1534</v>
      </c>
      <c r="F194" s="116" t="s">
        <v>313</v>
      </c>
      <c r="G194" s="116" t="s">
        <v>313</v>
      </c>
      <c r="H194" s="116" t="s">
        <v>63</v>
      </c>
      <c r="I194" s="116" t="s">
        <v>136</v>
      </c>
      <c r="U194" s="116" t="s">
        <v>313</v>
      </c>
      <c r="V194" s="116" t="s">
        <v>313</v>
      </c>
      <c r="Y194" s="126"/>
    </row>
    <row r="195">
      <c r="A195" s="154">
        <v>43593.73618653935</v>
      </c>
      <c r="B195" s="116" t="s">
        <v>1535</v>
      </c>
      <c r="C195" s="116" t="s">
        <v>1536</v>
      </c>
      <c r="D195" s="116" t="s">
        <v>1537</v>
      </c>
      <c r="E195" s="116" t="s">
        <v>1538</v>
      </c>
      <c r="F195" s="116" t="s">
        <v>418</v>
      </c>
      <c r="G195" s="116" t="s">
        <v>1022</v>
      </c>
      <c r="H195" s="116" t="s">
        <v>63</v>
      </c>
      <c r="I195" s="116" t="s">
        <v>400</v>
      </c>
      <c r="J195" s="116" t="s">
        <v>251</v>
      </c>
      <c r="K195" s="116" t="s">
        <v>163</v>
      </c>
      <c r="L195" s="116" t="s">
        <v>401</v>
      </c>
      <c r="M195" s="116" t="s">
        <v>136</v>
      </c>
      <c r="N195" s="116" t="s">
        <v>463</v>
      </c>
      <c r="O195" s="116" t="s">
        <v>403</v>
      </c>
      <c r="R195" s="116" t="s">
        <v>451</v>
      </c>
      <c r="S195" s="116" t="s">
        <v>1539</v>
      </c>
      <c r="U195" s="116" t="s">
        <v>1097</v>
      </c>
      <c r="V195" s="116" t="s">
        <v>1028</v>
      </c>
      <c r="Y195" s="126"/>
    </row>
    <row r="196">
      <c r="A196" s="154">
        <v>43595.37445846065</v>
      </c>
      <c r="B196" s="116" t="s">
        <v>1540</v>
      </c>
      <c r="C196" s="116" t="s">
        <v>1541</v>
      </c>
      <c r="D196" s="116" t="s">
        <v>1542</v>
      </c>
      <c r="E196" s="116" t="s">
        <v>1543</v>
      </c>
      <c r="F196" s="116" t="s">
        <v>418</v>
      </c>
      <c r="G196" s="116" t="s">
        <v>1544</v>
      </c>
      <c r="H196" s="116" t="s">
        <v>202</v>
      </c>
      <c r="I196" s="116" t="s">
        <v>401</v>
      </c>
      <c r="J196" s="116" t="s">
        <v>400</v>
      </c>
      <c r="K196" s="116" t="s">
        <v>251</v>
      </c>
      <c r="L196" s="116" t="s">
        <v>136</v>
      </c>
      <c r="M196" s="116" t="s">
        <v>163</v>
      </c>
      <c r="N196" s="116" t="s">
        <v>1545</v>
      </c>
      <c r="O196" s="116" t="s">
        <v>403</v>
      </c>
      <c r="P196" s="116" t="s">
        <v>1546</v>
      </c>
      <c r="R196" s="116" t="s">
        <v>451</v>
      </c>
      <c r="S196" s="116" t="s">
        <v>1547</v>
      </c>
      <c r="T196" s="116" t="s">
        <v>1548</v>
      </c>
      <c r="U196" s="116" t="s">
        <v>1036</v>
      </c>
      <c r="V196" s="116" t="s">
        <v>1028</v>
      </c>
      <c r="Y196" s="126"/>
    </row>
    <row r="197">
      <c r="A197" s="154">
        <v>43596.240464884264</v>
      </c>
      <c r="B197" s="116" t="s">
        <v>1549</v>
      </c>
      <c r="C197" s="116" t="s">
        <v>1550</v>
      </c>
      <c r="E197" s="116" t="s">
        <v>1551</v>
      </c>
      <c r="F197" s="116" t="s">
        <v>701</v>
      </c>
      <c r="G197" s="116" t="s">
        <v>1022</v>
      </c>
      <c r="H197" s="116" t="s">
        <v>63</v>
      </c>
      <c r="I197" s="116" t="s">
        <v>251</v>
      </c>
      <c r="J197" s="116" t="s">
        <v>400</v>
      </c>
      <c r="K197" s="116" t="s">
        <v>401</v>
      </c>
      <c r="L197" s="116" t="s">
        <v>163</v>
      </c>
      <c r="M197" s="116" t="s">
        <v>136</v>
      </c>
      <c r="N197" s="116" t="s">
        <v>1552</v>
      </c>
      <c r="O197" s="116" t="s">
        <v>403</v>
      </c>
      <c r="P197" s="116" t="s">
        <v>1553</v>
      </c>
      <c r="R197" s="116" t="s">
        <v>451</v>
      </c>
      <c r="S197" s="116" t="s">
        <v>1554</v>
      </c>
      <c r="U197" s="116" t="s">
        <v>1097</v>
      </c>
      <c r="V197" s="116" t="s">
        <v>1150</v>
      </c>
      <c r="Y197" s="126"/>
    </row>
    <row r="198">
      <c r="A198" s="154">
        <v>43390.565046296295</v>
      </c>
      <c r="B198" s="116" t="s">
        <v>1555</v>
      </c>
      <c r="C198" s="116" t="s">
        <v>1375</v>
      </c>
      <c r="D198" s="116" t="s">
        <v>1556</v>
      </c>
      <c r="E198" s="116" t="s">
        <v>1557</v>
      </c>
      <c r="F198" s="116" t="s">
        <v>418</v>
      </c>
      <c r="G198" s="116" t="s">
        <v>1558</v>
      </c>
      <c r="H198" s="116" t="s">
        <v>63</v>
      </c>
      <c r="I198" s="116" t="s">
        <v>400</v>
      </c>
      <c r="J198" s="116" t="s">
        <v>251</v>
      </c>
      <c r="N198" s="116" t="s">
        <v>130</v>
      </c>
      <c r="O198" s="116" t="s">
        <v>403</v>
      </c>
      <c r="P198" s="116" t="s">
        <v>1559</v>
      </c>
      <c r="R198" s="116" t="s">
        <v>405</v>
      </c>
      <c r="U198" s="116" t="s">
        <v>1560</v>
      </c>
      <c r="V198" s="116" t="s">
        <v>1561</v>
      </c>
      <c r="Y198" s="152" t="s">
        <v>1562</v>
      </c>
    </row>
    <row r="199">
      <c r="A199" s="154">
        <v>43601.325485277775</v>
      </c>
      <c r="B199" s="116" t="s">
        <v>1563</v>
      </c>
      <c r="C199" s="116" t="s">
        <v>881</v>
      </c>
      <c r="E199" s="116" t="s">
        <v>1564</v>
      </c>
      <c r="F199" s="116" t="s">
        <v>1068</v>
      </c>
      <c r="G199" s="116" t="s">
        <v>1058</v>
      </c>
      <c r="H199" s="116" t="s">
        <v>63</v>
      </c>
      <c r="I199" s="116" t="s">
        <v>163</v>
      </c>
      <c r="J199" s="116" t="s">
        <v>400</v>
      </c>
      <c r="P199" s="116" t="s">
        <v>1565</v>
      </c>
      <c r="R199" s="116" t="s">
        <v>451</v>
      </c>
      <c r="U199" s="116" t="s">
        <v>1062</v>
      </c>
      <c r="V199" s="116" t="s">
        <v>1028</v>
      </c>
      <c r="Y199" s="126"/>
    </row>
    <row r="200">
      <c r="A200" s="154">
        <v>43601.53615817129</v>
      </c>
      <c r="B200" s="116" t="s">
        <v>627</v>
      </c>
      <c r="C200" s="116" t="s">
        <v>436</v>
      </c>
      <c r="D200" s="116" t="s">
        <v>1566</v>
      </c>
      <c r="E200" s="116" t="s">
        <v>628</v>
      </c>
      <c r="F200" s="116" t="s">
        <v>447</v>
      </c>
      <c r="G200" s="116" t="s">
        <v>1567</v>
      </c>
      <c r="H200" s="116" t="s">
        <v>63</v>
      </c>
      <c r="I200" s="116" t="s">
        <v>251</v>
      </c>
      <c r="J200" s="116" t="s">
        <v>136</v>
      </c>
      <c r="K200" s="116" t="s">
        <v>401</v>
      </c>
      <c r="N200" s="116" t="s">
        <v>1568</v>
      </c>
      <c r="O200" s="116" t="s">
        <v>117</v>
      </c>
      <c r="P200" s="116" t="s">
        <v>1569</v>
      </c>
      <c r="R200" s="116" t="s">
        <v>451</v>
      </c>
      <c r="S200" s="116" t="s">
        <v>1570</v>
      </c>
      <c r="T200" s="116" t="s">
        <v>1571</v>
      </c>
      <c r="U200" s="116" t="s">
        <v>1062</v>
      </c>
      <c r="V200" s="116" t="s">
        <v>1293</v>
      </c>
      <c r="Y200" s="126"/>
    </row>
    <row r="201">
      <c r="A201" s="154">
        <v>43602.702408564815</v>
      </c>
      <c r="B201" s="116" t="s">
        <v>1572</v>
      </c>
      <c r="C201" s="116" t="s">
        <v>1573</v>
      </c>
      <c r="D201" s="116" t="s">
        <v>1574</v>
      </c>
      <c r="E201" s="116" t="s">
        <v>1575</v>
      </c>
      <c r="F201" s="116" t="s">
        <v>431</v>
      </c>
      <c r="G201" s="116" t="s">
        <v>1576</v>
      </c>
      <c r="H201" s="116" t="s">
        <v>63</v>
      </c>
      <c r="I201" s="116" t="s">
        <v>251</v>
      </c>
      <c r="J201" s="116" t="s">
        <v>400</v>
      </c>
      <c r="K201" s="116" t="s">
        <v>401</v>
      </c>
      <c r="L201" s="116" t="s">
        <v>163</v>
      </c>
      <c r="M201" s="116" t="s">
        <v>136</v>
      </c>
      <c r="N201" s="116" t="s">
        <v>1577</v>
      </c>
      <c r="O201" s="116" t="s">
        <v>117</v>
      </c>
      <c r="P201" s="116" t="s">
        <v>1578</v>
      </c>
      <c r="R201" s="116" t="s">
        <v>451</v>
      </c>
      <c r="S201" s="116" t="s">
        <v>1579</v>
      </c>
      <c r="T201" s="116" t="s">
        <v>1580</v>
      </c>
      <c r="U201" s="116" t="s">
        <v>1292</v>
      </c>
      <c r="V201" s="116" t="s">
        <v>1249</v>
      </c>
      <c r="W201" s="116" t="s">
        <v>130</v>
      </c>
      <c r="X201" s="155"/>
      <c r="Y201" s="126"/>
    </row>
    <row r="202">
      <c r="A202" s="154">
        <v>43605.50311005787</v>
      </c>
      <c r="B202" s="116" t="s">
        <v>1581</v>
      </c>
      <c r="C202" s="116" t="s">
        <v>1582</v>
      </c>
      <c r="D202" s="116" t="s">
        <v>1583</v>
      </c>
      <c r="E202" s="116" t="s">
        <v>1584</v>
      </c>
      <c r="F202" s="116" t="s">
        <v>1585</v>
      </c>
      <c r="G202" s="116" t="s">
        <v>1077</v>
      </c>
      <c r="H202" s="116" t="s">
        <v>63</v>
      </c>
      <c r="I202" s="116" t="s">
        <v>401</v>
      </c>
      <c r="J202" s="116" t="s">
        <v>251</v>
      </c>
      <c r="K202" s="116" t="s">
        <v>400</v>
      </c>
      <c r="L202" s="116" t="s">
        <v>163</v>
      </c>
      <c r="M202" s="116" t="s">
        <v>136</v>
      </c>
      <c r="O202" s="116" t="s">
        <v>130</v>
      </c>
      <c r="P202" s="116" t="s">
        <v>1586</v>
      </c>
      <c r="R202" s="116" t="s">
        <v>405</v>
      </c>
      <c r="S202" s="116" t="s">
        <v>1587</v>
      </c>
      <c r="T202" s="116" t="s">
        <v>1588</v>
      </c>
      <c r="U202" s="116" t="s">
        <v>1062</v>
      </c>
      <c r="V202" s="116" t="s">
        <v>1028</v>
      </c>
      <c r="W202" s="116" t="s">
        <v>1589</v>
      </c>
      <c r="X202" s="155"/>
      <c r="Y202" s="126"/>
    </row>
    <row r="203">
      <c r="A203" s="154">
        <v>43605.743656238425</v>
      </c>
      <c r="B203" s="116" t="s">
        <v>1590</v>
      </c>
      <c r="C203" s="116" t="s">
        <v>1591</v>
      </c>
      <c r="D203" s="116" t="s">
        <v>1592</v>
      </c>
      <c r="E203" s="116" t="s">
        <v>1593</v>
      </c>
      <c r="F203" s="116" t="s">
        <v>492</v>
      </c>
      <c r="G203" s="116" t="s">
        <v>1049</v>
      </c>
      <c r="H203" s="116" t="s">
        <v>202</v>
      </c>
      <c r="I203" s="116" t="s">
        <v>251</v>
      </c>
      <c r="J203" s="116" t="s">
        <v>400</v>
      </c>
      <c r="K203" s="116" t="s">
        <v>163</v>
      </c>
      <c r="L203" s="116" t="s">
        <v>401</v>
      </c>
      <c r="M203" s="116" t="s">
        <v>136</v>
      </c>
      <c r="N203" s="116" t="s">
        <v>1594</v>
      </c>
      <c r="O203" s="116" t="s">
        <v>117</v>
      </c>
      <c r="S203" s="116" t="s">
        <v>1595</v>
      </c>
      <c r="T203" s="116" t="s">
        <v>1596</v>
      </c>
      <c r="U203" s="116" t="s">
        <v>1036</v>
      </c>
      <c r="V203" s="116" t="s">
        <v>1091</v>
      </c>
      <c r="Y203" s="126"/>
    </row>
    <row r="204">
      <c r="A204" s="154">
        <v>43606.40039928241</v>
      </c>
      <c r="B204" s="116" t="s">
        <v>1597</v>
      </c>
      <c r="C204" s="116" t="s">
        <v>774</v>
      </c>
      <c r="E204" s="116" t="s">
        <v>775</v>
      </c>
      <c r="F204" s="116" t="s">
        <v>1021</v>
      </c>
      <c r="G204" s="116" t="s">
        <v>1101</v>
      </c>
      <c r="H204" s="116" t="s">
        <v>63</v>
      </c>
      <c r="I204" s="116" t="s">
        <v>400</v>
      </c>
      <c r="N204" s="116" t="s">
        <v>1598</v>
      </c>
      <c r="O204" s="116" t="s">
        <v>117</v>
      </c>
      <c r="P204" s="116" t="s">
        <v>197</v>
      </c>
      <c r="R204" s="116" t="s">
        <v>405</v>
      </c>
      <c r="S204" s="116" t="s">
        <v>1599</v>
      </c>
      <c r="T204" s="116" t="s">
        <v>197</v>
      </c>
      <c r="U204" s="116" t="s">
        <v>1133</v>
      </c>
      <c r="V204" s="116" t="s">
        <v>1091</v>
      </c>
      <c r="Y204" s="126"/>
    </row>
    <row r="205">
      <c r="A205" s="154">
        <v>43607.54873863426</v>
      </c>
      <c r="B205" s="116" t="s">
        <v>1600</v>
      </c>
      <c r="C205" s="116" t="s">
        <v>1601</v>
      </c>
      <c r="D205" s="116" t="s">
        <v>1602</v>
      </c>
      <c r="E205" s="116" t="s">
        <v>1603</v>
      </c>
      <c r="F205" s="116" t="s">
        <v>418</v>
      </c>
      <c r="G205" s="116" t="s">
        <v>1604</v>
      </c>
      <c r="H205" s="116" t="s">
        <v>63</v>
      </c>
      <c r="I205" s="116" t="s">
        <v>251</v>
      </c>
      <c r="J205" s="116" t="s">
        <v>400</v>
      </c>
      <c r="N205" s="116" t="s">
        <v>1605</v>
      </c>
      <c r="O205" s="116" t="s">
        <v>403</v>
      </c>
      <c r="P205" s="116" t="s">
        <v>1606</v>
      </c>
      <c r="R205" s="116" t="s">
        <v>405</v>
      </c>
      <c r="S205" s="116" t="s">
        <v>1607</v>
      </c>
      <c r="T205" s="116" t="s">
        <v>1608</v>
      </c>
      <c r="U205" s="116" t="s">
        <v>1133</v>
      </c>
      <c r="V205" s="116" t="s">
        <v>1028</v>
      </c>
      <c r="Y205" s="126"/>
    </row>
    <row r="206">
      <c r="A206" s="154">
        <v>43609.95575324074</v>
      </c>
      <c r="B206" s="116" t="s">
        <v>592</v>
      </c>
      <c r="C206" s="116" t="s">
        <v>593</v>
      </c>
      <c r="D206" s="116" t="s">
        <v>1609</v>
      </c>
      <c r="E206" s="116" t="s">
        <v>595</v>
      </c>
      <c r="F206" s="116" t="s">
        <v>461</v>
      </c>
      <c r="G206" s="116" t="s">
        <v>1610</v>
      </c>
      <c r="H206" s="116" t="s">
        <v>63</v>
      </c>
      <c r="I206" s="116" t="s">
        <v>251</v>
      </c>
      <c r="J206" s="116" t="s">
        <v>400</v>
      </c>
      <c r="N206" s="116" t="s">
        <v>1611</v>
      </c>
      <c r="O206" s="116" t="s">
        <v>117</v>
      </c>
      <c r="P206" s="116" t="s">
        <v>1612</v>
      </c>
      <c r="R206" s="116" t="s">
        <v>442</v>
      </c>
      <c r="S206" s="116" t="s">
        <v>1613</v>
      </c>
      <c r="T206" s="116" t="s">
        <v>1614</v>
      </c>
      <c r="U206" s="116" t="s">
        <v>1027</v>
      </c>
      <c r="V206" s="116" t="s">
        <v>1028</v>
      </c>
      <c r="Y206" s="126"/>
    </row>
    <row r="207">
      <c r="A207" s="154">
        <v>43610.740048368054</v>
      </c>
      <c r="B207" s="116" t="s">
        <v>1615</v>
      </c>
      <c r="C207" s="116" t="s">
        <v>1616</v>
      </c>
      <c r="D207" s="116" t="s">
        <v>1617</v>
      </c>
      <c r="E207" s="116" t="s">
        <v>1618</v>
      </c>
      <c r="F207" s="116" t="s">
        <v>461</v>
      </c>
      <c r="G207" s="116" t="s">
        <v>1022</v>
      </c>
      <c r="H207" s="116" t="s">
        <v>63</v>
      </c>
      <c r="I207" s="116" t="s">
        <v>251</v>
      </c>
      <c r="J207" s="116" t="s">
        <v>400</v>
      </c>
      <c r="K207" s="116" t="s">
        <v>136</v>
      </c>
      <c r="L207" s="116" t="s">
        <v>401</v>
      </c>
      <c r="M207" s="116" t="s">
        <v>163</v>
      </c>
      <c r="O207" s="116" t="s">
        <v>117</v>
      </c>
      <c r="R207" s="116" t="s">
        <v>451</v>
      </c>
      <c r="S207" s="116" t="s">
        <v>1619</v>
      </c>
      <c r="T207" s="116" t="s">
        <v>1620</v>
      </c>
      <c r="U207" s="116" t="s">
        <v>1097</v>
      </c>
      <c r="V207" s="116" t="s">
        <v>1091</v>
      </c>
      <c r="Y207" s="126"/>
    </row>
    <row r="208">
      <c r="A208" s="154">
        <v>43612.744829560186</v>
      </c>
      <c r="B208" s="116" t="s">
        <v>1621</v>
      </c>
      <c r="C208" s="116" t="s">
        <v>1622</v>
      </c>
      <c r="E208" s="116" t="s">
        <v>1623</v>
      </c>
      <c r="F208" s="116" t="s">
        <v>418</v>
      </c>
      <c r="G208" s="116" t="s">
        <v>1022</v>
      </c>
      <c r="H208" s="116" t="s">
        <v>63</v>
      </c>
      <c r="I208" s="116" t="s">
        <v>400</v>
      </c>
      <c r="J208" s="116" t="s">
        <v>251</v>
      </c>
      <c r="K208" s="116" t="s">
        <v>163</v>
      </c>
      <c r="O208" s="116" t="s">
        <v>117</v>
      </c>
      <c r="R208" s="116" t="s">
        <v>451</v>
      </c>
      <c r="S208" s="116" t="s">
        <v>1624</v>
      </c>
      <c r="T208" s="116" t="s">
        <v>1625</v>
      </c>
      <c r="U208" s="116" t="s">
        <v>1097</v>
      </c>
      <c r="V208" s="116" t="s">
        <v>1028</v>
      </c>
      <c r="Y208" s="126"/>
    </row>
    <row r="209">
      <c r="A209" s="154">
        <v>43614.60976244213</v>
      </c>
      <c r="B209" s="116" t="s">
        <v>1626</v>
      </c>
      <c r="C209" s="116" t="s">
        <v>1054</v>
      </c>
      <c r="D209" s="116" t="s">
        <v>1627</v>
      </c>
      <c r="E209" s="116" t="s">
        <v>1628</v>
      </c>
      <c r="F209" s="116" t="s">
        <v>701</v>
      </c>
      <c r="G209" s="116" t="s">
        <v>1629</v>
      </c>
      <c r="H209" s="116" t="s">
        <v>202</v>
      </c>
      <c r="I209" s="116" t="s">
        <v>400</v>
      </c>
      <c r="J209" s="116" t="s">
        <v>251</v>
      </c>
      <c r="K209" s="116" t="s">
        <v>136</v>
      </c>
      <c r="N209" s="116" t="s">
        <v>1630</v>
      </c>
      <c r="O209" s="116" t="s">
        <v>130</v>
      </c>
      <c r="P209" s="116" t="s">
        <v>1631</v>
      </c>
      <c r="R209" s="116" t="s">
        <v>405</v>
      </c>
      <c r="S209" s="116" t="s">
        <v>1632</v>
      </c>
      <c r="T209" s="116" t="s">
        <v>1630</v>
      </c>
      <c r="U209" s="116" t="s">
        <v>1097</v>
      </c>
      <c r="V209" s="116" t="s">
        <v>1091</v>
      </c>
      <c r="Y209" s="126"/>
    </row>
    <row r="210">
      <c r="A210" s="154">
        <v>43615.06075428241</v>
      </c>
      <c r="B210" s="116" t="s">
        <v>1633</v>
      </c>
      <c r="C210" s="116" t="s">
        <v>704</v>
      </c>
      <c r="D210" s="116" t="s">
        <v>1634</v>
      </c>
      <c r="E210" s="116" t="s">
        <v>1635</v>
      </c>
      <c r="F210" s="116" t="s">
        <v>1636</v>
      </c>
      <c r="G210" s="116" t="s">
        <v>1637</v>
      </c>
      <c r="H210" s="116" t="s">
        <v>63</v>
      </c>
      <c r="I210" s="116" t="s">
        <v>251</v>
      </c>
      <c r="J210" s="116" t="s">
        <v>400</v>
      </c>
      <c r="K210" s="116" t="s">
        <v>401</v>
      </c>
      <c r="L210" s="116" t="s">
        <v>136</v>
      </c>
      <c r="M210" s="116" t="s">
        <v>163</v>
      </c>
      <c r="N210" s="116" t="s">
        <v>1638</v>
      </c>
      <c r="O210" s="116" t="s">
        <v>403</v>
      </c>
      <c r="R210" s="116" t="s">
        <v>405</v>
      </c>
      <c r="S210" s="116" t="s">
        <v>1639</v>
      </c>
      <c r="T210" s="116" t="s">
        <v>1640</v>
      </c>
      <c r="U210" s="116" t="s">
        <v>1097</v>
      </c>
      <c r="V210" s="116" t="s">
        <v>1091</v>
      </c>
      <c r="Y210" s="126"/>
    </row>
    <row r="211">
      <c r="A211" s="154">
        <v>43615.39929767361</v>
      </c>
      <c r="B211" s="116" t="s">
        <v>1641</v>
      </c>
      <c r="C211" s="116" t="s">
        <v>1642</v>
      </c>
      <c r="D211" s="116" t="s">
        <v>1643</v>
      </c>
      <c r="E211" s="116" t="s">
        <v>1644</v>
      </c>
      <c r="F211" s="116" t="s">
        <v>701</v>
      </c>
      <c r="G211" s="116" t="s">
        <v>1645</v>
      </c>
      <c r="H211" s="116" t="s">
        <v>63</v>
      </c>
      <c r="I211" s="116" t="s">
        <v>251</v>
      </c>
      <c r="J211" s="116" t="s">
        <v>136</v>
      </c>
      <c r="K211" s="116" t="s">
        <v>400</v>
      </c>
      <c r="L211" s="116" t="s">
        <v>401</v>
      </c>
      <c r="M211" s="116" t="s">
        <v>163</v>
      </c>
      <c r="N211" s="116" t="s">
        <v>1646</v>
      </c>
      <c r="O211" s="116" t="s">
        <v>117</v>
      </c>
      <c r="P211" s="116" t="s">
        <v>1647</v>
      </c>
      <c r="R211" s="116" t="s">
        <v>451</v>
      </c>
      <c r="S211" s="116" t="s">
        <v>1648</v>
      </c>
      <c r="T211" s="116" t="s">
        <v>1649</v>
      </c>
      <c r="U211" s="116" t="s">
        <v>1027</v>
      </c>
      <c r="V211" s="116" t="s">
        <v>1293</v>
      </c>
      <c r="W211" s="116" t="s">
        <v>1650</v>
      </c>
      <c r="X211" s="155"/>
      <c r="Y211" s="126"/>
    </row>
    <row r="212">
      <c r="A212" s="154">
        <v>43615.57070869213</v>
      </c>
      <c r="B212" s="116" t="s">
        <v>1651</v>
      </c>
      <c r="C212" s="116" t="s">
        <v>1652</v>
      </c>
      <c r="D212" s="116" t="s">
        <v>1653</v>
      </c>
      <c r="E212" s="116" t="s">
        <v>1654</v>
      </c>
      <c r="F212" s="116" t="s">
        <v>461</v>
      </c>
      <c r="G212" s="116" t="s">
        <v>1165</v>
      </c>
      <c r="H212" s="116" t="s">
        <v>63</v>
      </c>
      <c r="I212" s="116" t="s">
        <v>400</v>
      </c>
      <c r="J212" s="116" t="s">
        <v>401</v>
      </c>
      <c r="K212" s="92" t="s">
        <v>251</v>
      </c>
      <c r="N212" s="116" t="s">
        <v>1655</v>
      </c>
      <c r="O212" s="116" t="s">
        <v>403</v>
      </c>
      <c r="P212" s="116" t="s">
        <v>1656</v>
      </c>
      <c r="R212" s="116" t="s">
        <v>405</v>
      </c>
      <c r="S212" s="116" t="s">
        <v>1657</v>
      </c>
      <c r="T212" s="116" t="s">
        <v>1658</v>
      </c>
      <c r="U212" s="116" t="s">
        <v>1027</v>
      </c>
      <c r="V212" s="116" t="s">
        <v>1028</v>
      </c>
      <c r="Y212" s="126"/>
    </row>
    <row r="213">
      <c r="A213" s="154">
        <v>43615.977712569445</v>
      </c>
      <c r="B213" s="116" t="s">
        <v>1659</v>
      </c>
      <c r="C213" s="116" t="s">
        <v>1660</v>
      </c>
      <c r="D213" s="116" t="s">
        <v>1661</v>
      </c>
      <c r="E213" s="116" t="s">
        <v>1662</v>
      </c>
      <c r="F213" s="116" t="s">
        <v>1663</v>
      </c>
      <c r="G213" s="116" t="s">
        <v>1664</v>
      </c>
      <c r="H213" s="116" t="s">
        <v>63</v>
      </c>
      <c r="I213" s="116" t="s">
        <v>401</v>
      </c>
      <c r="J213" s="116" t="s">
        <v>251</v>
      </c>
      <c r="K213" s="116" t="s">
        <v>400</v>
      </c>
      <c r="L213" s="116" t="s">
        <v>163</v>
      </c>
      <c r="M213" s="116" t="s">
        <v>136</v>
      </c>
      <c r="O213" s="116" t="s">
        <v>117</v>
      </c>
      <c r="P213" s="116" t="s">
        <v>1665</v>
      </c>
      <c r="R213" s="116" t="s">
        <v>451</v>
      </c>
      <c r="S213" s="116" t="s">
        <v>1666</v>
      </c>
      <c r="T213" s="116" t="s">
        <v>1630</v>
      </c>
      <c r="U213" s="116" t="s">
        <v>1667</v>
      </c>
      <c r="V213" s="116" t="s">
        <v>1668</v>
      </c>
      <c r="W213" s="116" t="s">
        <v>1669</v>
      </c>
      <c r="X213" s="155"/>
      <c r="Y213" s="126"/>
    </row>
    <row r="214">
      <c r="A214" s="154">
        <v>43619.48182516204</v>
      </c>
      <c r="B214" s="116" t="s">
        <v>1670</v>
      </c>
      <c r="C214" s="116" t="s">
        <v>1671</v>
      </c>
      <c r="E214" s="116" t="s">
        <v>1672</v>
      </c>
      <c r="F214" s="116" t="s">
        <v>1068</v>
      </c>
      <c r="G214" s="116" t="s">
        <v>1101</v>
      </c>
      <c r="H214" s="116" t="s">
        <v>63</v>
      </c>
      <c r="I214" s="116" t="s">
        <v>163</v>
      </c>
      <c r="J214" s="116" t="s">
        <v>400</v>
      </c>
      <c r="K214" s="116" t="s">
        <v>251</v>
      </c>
      <c r="N214" s="116" t="s">
        <v>1673</v>
      </c>
      <c r="O214" s="116" t="s">
        <v>403</v>
      </c>
      <c r="P214" s="116" t="s">
        <v>1674</v>
      </c>
      <c r="R214" s="116" t="s">
        <v>451</v>
      </c>
      <c r="S214" s="116" t="s">
        <v>1675</v>
      </c>
      <c r="T214" s="116" t="s">
        <v>1676</v>
      </c>
      <c r="U214" s="116" t="s">
        <v>1062</v>
      </c>
      <c r="V214" s="116" t="s">
        <v>1028</v>
      </c>
      <c r="X214" s="116" t="s">
        <v>1677</v>
      </c>
      <c r="Y214" s="126"/>
    </row>
    <row r="215">
      <c r="A215" s="154">
        <v>43620.78905363426</v>
      </c>
      <c r="B215" s="116" t="s">
        <v>1678</v>
      </c>
      <c r="C215" s="116" t="s">
        <v>1679</v>
      </c>
      <c r="E215" s="116" t="s">
        <v>1680</v>
      </c>
      <c r="F215" s="116" t="s">
        <v>492</v>
      </c>
      <c r="G215" s="116" t="s">
        <v>1681</v>
      </c>
      <c r="H215" s="116" t="s">
        <v>63</v>
      </c>
      <c r="I215" s="116" t="s">
        <v>251</v>
      </c>
      <c r="J215" s="116" t="s">
        <v>19</v>
      </c>
      <c r="N215" s="116" t="s">
        <v>1682</v>
      </c>
      <c r="O215" s="116" t="s">
        <v>403</v>
      </c>
      <c r="P215" s="116" t="s">
        <v>1683</v>
      </c>
      <c r="R215" s="116" t="s">
        <v>405</v>
      </c>
      <c r="S215" s="116" t="s">
        <v>1684</v>
      </c>
      <c r="T215" s="116" t="s">
        <v>1685</v>
      </c>
      <c r="U215" s="116" t="s">
        <v>1062</v>
      </c>
      <c r="V215" s="116" t="s">
        <v>1091</v>
      </c>
      <c r="W215" s="116" t="s">
        <v>1686</v>
      </c>
      <c r="X215" s="116" t="s">
        <v>1687</v>
      </c>
      <c r="Y215" s="126"/>
    </row>
    <row r="216">
      <c r="A216" s="154">
        <v>43621.341686875</v>
      </c>
      <c r="B216" s="116" t="s">
        <v>1688</v>
      </c>
      <c r="C216" s="116" t="s">
        <v>1689</v>
      </c>
      <c r="D216" s="116" t="s">
        <v>1690</v>
      </c>
      <c r="E216" s="116" t="s">
        <v>1691</v>
      </c>
      <c r="F216" s="116" t="s">
        <v>1068</v>
      </c>
      <c r="G216" s="116" t="s">
        <v>1022</v>
      </c>
      <c r="H216" s="116" t="s">
        <v>63</v>
      </c>
      <c r="I216" s="116" t="s">
        <v>251</v>
      </c>
      <c r="J216" s="116" t="s">
        <v>136</v>
      </c>
      <c r="K216" s="116" t="s">
        <v>401</v>
      </c>
      <c r="L216" s="116" t="s">
        <v>400</v>
      </c>
      <c r="M216" s="116" t="s">
        <v>163</v>
      </c>
      <c r="N216" s="116" t="s">
        <v>1692</v>
      </c>
      <c r="O216" s="116" t="s">
        <v>117</v>
      </c>
      <c r="P216" s="116" t="s">
        <v>1693</v>
      </c>
      <c r="R216" s="116" t="s">
        <v>451</v>
      </c>
      <c r="S216" s="116" t="s">
        <v>1694</v>
      </c>
      <c r="T216" s="116" t="s">
        <v>1695</v>
      </c>
      <c r="U216" s="116" t="s">
        <v>1097</v>
      </c>
      <c r="V216" s="116" t="s">
        <v>1028</v>
      </c>
      <c r="X216" s="116" t="s">
        <v>1696</v>
      </c>
      <c r="Y216" s="126"/>
    </row>
    <row r="217">
      <c r="A217" s="154">
        <v>43621.37989456019</v>
      </c>
      <c r="B217" s="116" t="s">
        <v>1697</v>
      </c>
      <c r="C217" s="116" t="s">
        <v>1698</v>
      </c>
      <c r="E217" s="116" t="s">
        <v>1699</v>
      </c>
      <c r="F217" s="116" t="s">
        <v>701</v>
      </c>
      <c r="G217" s="116" t="s">
        <v>1101</v>
      </c>
      <c r="H217" s="116" t="s">
        <v>202</v>
      </c>
      <c r="O217" s="116" t="s">
        <v>130</v>
      </c>
      <c r="S217" s="116" t="s">
        <v>1700</v>
      </c>
      <c r="T217" s="116" t="s">
        <v>1701</v>
      </c>
      <c r="U217" s="116" t="s">
        <v>1097</v>
      </c>
      <c r="V217" s="116" t="s">
        <v>1293</v>
      </c>
      <c r="X217" s="116" t="s">
        <v>1677</v>
      </c>
      <c r="Y217" s="126"/>
    </row>
    <row r="218">
      <c r="A218" s="154">
        <v>43622.554816874996</v>
      </c>
      <c r="B218" s="116" t="s">
        <v>1702</v>
      </c>
      <c r="C218" s="116" t="s">
        <v>1703</v>
      </c>
      <c r="D218" s="116" t="s">
        <v>1704</v>
      </c>
      <c r="E218" s="116" t="s">
        <v>1705</v>
      </c>
      <c r="F218" s="116" t="s">
        <v>461</v>
      </c>
      <c r="G218" s="116" t="s">
        <v>1101</v>
      </c>
      <c r="H218" s="116" t="s">
        <v>63</v>
      </c>
      <c r="I218" s="116" t="s">
        <v>400</v>
      </c>
      <c r="J218" s="116" t="s">
        <v>251</v>
      </c>
      <c r="K218" s="116" t="s">
        <v>401</v>
      </c>
      <c r="L218" s="116" t="s">
        <v>163</v>
      </c>
      <c r="M218" s="116" t="s">
        <v>136</v>
      </c>
      <c r="N218" s="116" t="s">
        <v>1706</v>
      </c>
      <c r="O218" s="116" t="s">
        <v>130</v>
      </c>
      <c r="P218" s="116" t="s">
        <v>1707</v>
      </c>
      <c r="R218" s="116" t="s">
        <v>451</v>
      </c>
      <c r="S218" s="116" t="s">
        <v>1708</v>
      </c>
      <c r="T218" s="116" t="s">
        <v>1709</v>
      </c>
      <c r="U218" s="116" t="s">
        <v>1036</v>
      </c>
      <c r="V218" s="116" t="s">
        <v>1028</v>
      </c>
      <c r="X218" s="116" t="s">
        <v>1710</v>
      </c>
      <c r="Y218" s="126"/>
    </row>
    <row r="219">
      <c r="A219" s="154">
        <v>43623.29049254629</v>
      </c>
      <c r="B219" s="116" t="s">
        <v>1711</v>
      </c>
      <c r="C219" s="116" t="s">
        <v>1712</v>
      </c>
      <c r="D219" s="116" t="s">
        <v>1713</v>
      </c>
      <c r="E219" s="116" t="s">
        <v>1714</v>
      </c>
      <c r="F219" s="116" t="s">
        <v>431</v>
      </c>
      <c r="G219" s="116" t="s">
        <v>1049</v>
      </c>
      <c r="H219" s="116" t="s">
        <v>63</v>
      </c>
      <c r="I219" s="116" t="s">
        <v>251</v>
      </c>
      <c r="J219" s="116" t="s">
        <v>401</v>
      </c>
      <c r="K219" s="116" t="s">
        <v>163</v>
      </c>
      <c r="L219" s="116" t="s">
        <v>400</v>
      </c>
      <c r="M219" s="116" t="s">
        <v>136</v>
      </c>
      <c r="N219" s="116" t="s">
        <v>1715</v>
      </c>
      <c r="O219" s="116" t="s">
        <v>117</v>
      </c>
      <c r="P219" s="116" t="s">
        <v>1716</v>
      </c>
      <c r="R219" s="116" t="s">
        <v>405</v>
      </c>
      <c r="S219" s="116" t="s">
        <v>1717</v>
      </c>
      <c r="T219" s="116" t="s">
        <v>1718</v>
      </c>
      <c r="U219" s="116" t="s">
        <v>1027</v>
      </c>
      <c r="V219" s="116" t="s">
        <v>1091</v>
      </c>
      <c r="X219" s="116" t="s">
        <v>1719</v>
      </c>
      <c r="Y219" s="126"/>
    </row>
    <row r="220">
      <c r="A220" s="154">
        <v>43625.51218064815</v>
      </c>
      <c r="B220" s="116" t="s">
        <v>1720</v>
      </c>
      <c r="C220" s="116" t="s">
        <v>1721</v>
      </c>
      <c r="D220" s="116" t="s">
        <v>1722</v>
      </c>
      <c r="E220" s="116" t="s">
        <v>1723</v>
      </c>
      <c r="F220" s="116" t="s">
        <v>529</v>
      </c>
      <c r="G220" s="116" t="s">
        <v>1724</v>
      </c>
      <c r="H220" s="116" t="s">
        <v>202</v>
      </c>
      <c r="I220" s="116" t="s">
        <v>400</v>
      </c>
      <c r="J220" s="116" t="s">
        <v>251</v>
      </c>
      <c r="K220" s="116" t="s">
        <v>163</v>
      </c>
      <c r="L220" s="116" t="s">
        <v>401</v>
      </c>
      <c r="M220" s="116" t="s">
        <v>136</v>
      </c>
      <c r="N220" s="116" t="s">
        <v>1725</v>
      </c>
      <c r="O220" s="116" t="s">
        <v>403</v>
      </c>
      <c r="P220" s="116" t="s">
        <v>1726</v>
      </c>
      <c r="R220" s="116" t="s">
        <v>405</v>
      </c>
      <c r="S220" s="116" t="s">
        <v>1727</v>
      </c>
      <c r="T220" s="116" t="s">
        <v>1728</v>
      </c>
      <c r="U220" s="116" t="s">
        <v>1729</v>
      </c>
      <c r="V220" s="116" t="s">
        <v>1150</v>
      </c>
      <c r="W220" s="116" t="s">
        <v>1730</v>
      </c>
      <c r="X220" s="116" t="s">
        <v>1731</v>
      </c>
      <c r="Y220" s="126"/>
    </row>
    <row r="221">
      <c r="A221" s="154">
        <v>43625.56646847222</v>
      </c>
      <c r="B221" s="116" t="s">
        <v>1732</v>
      </c>
      <c r="C221" s="116" t="s">
        <v>1733</v>
      </c>
      <c r="E221" s="116" t="s">
        <v>1734</v>
      </c>
      <c r="F221" s="116" t="s">
        <v>431</v>
      </c>
      <c r="G221" s="116" t="s">
        <v>1022</v>
      </c>
      <c r="H221" s="116" t="s">
        <v>63</v>
      </c>
      <c r="I221" s="116" t="s">
        <v>251</v>
      </c>
      <c r="J221" s="116" t="s">
        <v>400</v>
      </c>
      <c r="K221" s="116" t="s">
        <v>163</v>
      </c>
      <c r="L221" s="116" t="s">
        <v>401</v>
      </c>
      <c r="M221" s="116" t="s">
        <v>136</v>
      </c>
      <c r="O221" s="116" t="s">
        <v>130</v>
      </c>
      <c r="P221" s="116" t="s">
        <v>311</v>
      </c>
      <c r="R221" s="116" t="s">
        <v>451</v>
      </c>
      <c r="S221" s="116" t="s">
        <v>1735</v>
      </c>
      <c r="T221" s="116" t="s">
        <v>1736</v>
      </c>
      <c r="U221" s="116" t="s">
        <v>1133</v>
      </c>
      <c r="V221" s="116" t="s">
        <v>1737</v>
      </c>
      <c r="X221" s="116" t="s">
        <v>1738</v>
      </c>
      <c r="Y221" s="126"/>
    </row>
    <row r="222">
      <c r="A222" s="154">
        <v>43625.72974097222</v>
      </c>
      <c r="B222" s="116" t="s">
        <v>1739</v>
      </c>
      <c r="C222" s="116" t="s">
        <v>1740</v>
      </c>
      <c r="D222" s="116" t="s">
        <v>1741</v>
      </c>
      <c r="E222" s="116" t="s">
        <v>1742</v>
      </c>
      <c r="F222" s="116" t="s">
        <v>461</v>
      </c>
      <c r="G222" s="116" t="s">
        <v>1101</v>
      </c>
      <c r="H222" s="116" t="s">
        <v>63</v>
      </c>
      <c r="I222" s="116" t="s">
        <v>401</v>
      </c>
      <c r="J222" s="116" t="s">
        <v>251</v>
      </c>
      <c r="N222" s="116" t="s">
        <v>1743</v>
      </c>
      <c r="O222" s="116" t="s">
        <v>403</v>
      </c>
      <c r="P222" s="116" t="s">
        <v>1744</v>
      </c>
      <c r="R222" s="116" t="s">
        <v>405</v>
      </c>
      <c r="S222" s="116" t="s">
        <v>1745</v>
      </c>
      <c r="T222" s="116" t="s">
        <v>1746</v>
      </c>
      <c r="U222" s="116" t="s">
        <v>1133</v>
      </c>
      <c r="V222" s="116" t="s">
        <v>1028</v>
      </c>
      <c r="X222" s="116" t="s">
        <v>1748</v>
      </c>
      <c r="Y222" s="126"/>
    </row>
    <row r="223">
      <c r="A223" s="154">
        <v>43626.46727800926</v>
      </c>
      <c r="B223" s="116" t="s">
        <v>1749</v>
      </c>
      <c r="C223" s="116" t="s">
        <v>1750</v>
      </c>
      <c r="D223" s="116" t="s">
        <v>1751</v>
      </c>
      <c r="E223" s="116" t="s">
        <v>1752</v>
      </c>
      <c r="F223" s="116" t="s">
        <v>461</v>
      </c>
      <c r="G223" s="116" t="s">
        <v>1101</v>
      </c>
      <c r="H223" s="116" t="s">
        <v>63</v>
      </c>
      <c r="I223" s="116" t="s">
        <v>251</v>
      </c>
      <c r="N223" s="116" t="s">
        <v>1753</v>
      </c>
      <c r="O223" s="116" t="s">
        <v>403</v>
      </c>
      <c r="P223" s="116" t="s">
        <v>1754</v>
      </c>
      <c r="R223" s="116" t="s">
        <v>442</v>
      </c>
      <c r="S223" s="116" t="s">
        <v>1755</v>
      </c>
      <c r="T223" s="116" t="s">
        <v>1756</v>
      </c>
      <c r="U223" s="116" t="s">
        <v>1027</v>
      </c>
      <c r="V223" s="116" t="s">
        <v>1293</v>
      </c>
      <c r="X223" s="116" t="s">
        <v>1757</v>
      </c>
      <c r="Y223" s="126"/>
    </row>
    <row r="224">
      <c r="A224" s="154">
        <v>43626.62412516204</v>
      </c>
      <c r="B224" s="116" t="s">
        <v>1758</v>
      </c>
      <c r="C224" s="116" t="s">
        <v>1759</v>
      </c>
      <c r="D224" s="116" t="s">
        <v>1760</v>
      </c>
      <c r="E224" s="116" t="s">
        <v>1761</v>
      </c>
      <c r="F224" s="116" t="s">
        <v>1762</v>
      </c>
      <c r="G224" s="116" t="s">
        <v>1664</v>
      </c>
      <c r="H224" s="116" t="s">
        <v>202</v>
      </c>
      <c r="I224" s="116" t="s">
        <v>251</v>
      </c>
      <c r="J224" s="116" t="s">
        <v>401</v>
      </c>
      <c r="N224" s="116" t="s">
        <v>1763</v>
      </c>
      <c r="O224" s="116" t="s">
        <v>403</v>
      </c>
      <c r="P224" s="116" t="s">
        <v>1156</v>
      </c>
      <c r="R224" s="116" t="s">
        <v>405</v>
      </c>
      <c r="S224" s="116" t="s">
        <v>1764</v>
      </c>
      <c r="T224" s="116" t="s">
        <v>1765</v>
      </c>
      <c r="U224" s="116" t="s">
        <v>1766</v>
      </c>
      <c r="V224" s="116" t="s">
        <v>1091</v>
      </c>
      <c r="Y224" s="126"/>
    </row>
    <row r="225">
      <c r="A225" s="154">
        <v>43626.94418322916</v>
      </c>
      <c r="B225" s="116" t="s">
        <v>1767</v>
      </c>
      <c r="C225" s="116" t="s">
        <v>1768</v>
      </c>
      <c r="D225" s="116" t="s">
        <v>1769</v>
      </c>
      <c r="E225" s="116" t="s">
        <v>1770</v>
      </c>
      <c r="F225" s="116" t="s">
        <v>461</v>
      </c>
      <c r="G225" s="116" t="s">
        <v>1101</v>
      </c>
      <c r="H225" s="116" t="s">
        <v>202</v>
      </c>
      <c r="I225" s="116" t="s">
        <v>251</v>
      </c>
      <c r="J225" s="116" t="s">
        <v>400</v>
      </c>
      <c r="K225" s="116" t="s">
        <v>163</v>
      </c>
      <c r="L225" s="116" t="s">
        <v>136</v>
      </c>
      <c r="M225" s="116" t="s">
        <v>401</v>
      </c>
      <c r="N225" s="116" t="s">
        <v>1771</v>
      </c>
      <c r="O225" s="116" t="s">
        <v>117</v>
      </c>
      <c r="P225" s="116" t="s">
        <v>1772</v>
      </c>
      <c r="R225" s="116" t="s">
        <v>451</v>
      </c>
      <c r="S225" s="116" t="s">
        <v>1773</v>
      </c>
      <c r="T225" s="116" t="s">
        <v>1774</v>
      </c>
      <c r="U225" s="116" t="s">
        <v>1062</v>
      </c>
      <c r="V225" s="116" t="s">
        <v>1028</v>
      </c>
      <c r="W225" s="116" t="s">
        <v>1775</v>
      </c>
      <c r="X225" s="116" t="s">
        <v>1776</v>
      </c>
      <c r="Y225" s="126"/>
    </row>
    <row r="226">
      <c r="A226" s="154">
        <v>43627.30079422454</v>
      </c>
      <c r="B226" s="116" t="s">
        <v>1777</v>
      </c>
      <c r="C226" s="116" t="s">
        <v>1778</v>
      </c>
      <c r="D226" s="116" t="s">
        <v>1779</v>
      </c>
      <c r="E226" s="116" t="s">
        <v>1780</v>
      </c>
      <c r="F226" s="116" t="s">
        <v>1068</v>
      </c>
      <c r="G226" s="116" t="s">
        <v>1058</v>
      </c>
      <c r="H226" s="116" t="s">
        <v>63</v>
      </c>
      <c r="I226" s="116" t="s">
        <v>401</v>
      </c>
      <c r="J226" s="116" t="s">
        <v>400</v>
      </c>
      <c r="K226" s="116" t="s">
        <v>251</v>
      </c>
      <c r="L226" s="116" t="s">
        <v>163</v>
      </c>
      <c r="M226" s="116" t="s">
        <v>136</v>
      </c>
      <c r="N226" s="116" t="s">
        <v>1781</v>
      </c>
      <c r="O226" s="116" t="s">
        <v>403</v>
      </c>
      <c r="R226" s="116" t="s">
        <v>451</v>
      </c>
      <c r="S226" s="116" t="s">
        <v>1782</v>
      </c>
      <c r="T226" s="116" t="s">
        <v>1783</v>
      </c>
      <c r="U226" s="116" t="s">
        <v>1027</v>
      </c>
      <c r="V226" s="116" t="s">
        <v>1091</v>
      </c>
      <c r="W226" s="116" t="s">
        <v>1784</v>
      </c>
      <c r="X226" s="116" t="s">
        <v>1719</v>
      </c>
      <c r="Y226" s="126"/>
    </row>
    <row r="227">
      <c r="A227" s="154">
        <v>43627.800871377316</v>
      </c>
      <c r="B227" s="116" t="s">
        <v>1785</v>
      </c>
      <c r="C227" s="116" t="s">
        <v>1786</v>
      </c>
      <c r="D227" s="116" t="s">
        <v>1787</v>
      </c>
      <c r="E227" s="116" t="s">
        <v>1788</v>
      </c>
      <c r="F227" s="116" t="s">
        <v>410</v>
      </c>
      <c r="G227" s="116" t="s">
        <v>1789</v>
      </c>
      <c r="H227" s="116" t="s">
        <v>63</v>
      </c>
      <c r="I227" s="116" t="s">
        <v>251</v>
      </c>
      <c r="J227" s="116" t="s">
        <v>401</v>
      </c>
      <c r="K227" s="116" t="s">
        <v>400</v>
      </c>
      <c r="L227" s="116" t="s">
        <v>136</v>
      </c>
      <c r="N227" s="116" t="s">
        <v>1790</v>
      </c>
      <c r="O227" s="116" t="s">
        <v>403</v>
      </c>
      <c r="P227" s="116" t="s">
        <v>1278</v>
      </c>
      <c r="R227" s="116" t="s">
        <v>405</v>
      </c>
      <c r="S227" s="116" t="s">
        <v>1791</v>
      </c>
      <c r="T227" s="116" t="s">
        <v>1792</v>
      </c>
      <c r="U227" s="116" t="s">
        <v>1027</v>
      </c>
      <c r="V227" s="116" t="s">
        <v>1150</v>
      </c>
      <c r="W227" s="116" t="s">
        <v>130</v>
      </c>
      <c r="X227" s="116" t="s">
        <v>1793</v>
      </c>
      <c r="Y227" s="126"/>
    </row>
    <row r="228">
      <c r="A228" s="154">
        <v>43628.495487175926</v>
      </c>
      <c r="B228" s="116" t="s">
        <v>1794</v>
      </c>
      <c r="C228" s="116" t="s">
        <v>1795</v>
      </c>
      <c r="D228" s="116" t="s">
        <v>1796</v>
      </c>
      <c r="E228" s="116" t="s">
        <v>1797</v>
      </c>
      <c r="F228" s="116" t="s">
        <v>1068</v>
      </c>
      <c r="G228" s="116" t="s">
        <v>1022</v>
      </c>
      <c r="H228" s="116" t="s">
        <v>63</v>
      </c>
      <c r="I228" s="116" t="s">
        <v>136</v>
      </c>
      <c r="J228" s="116" t="s">
        <v>251</v>
      </c>
      <c r="K228" s="116" t="s">
        <v>400</v>
      </c>
      <c r="L228" s="116" t="s">
        <v>163</v>
      </c>
      <c r="N228" s="116" t="s">
        <v>1798</v>
      </c>
      <c r="O228" s="116" t="s">
        <v>130</v>
      </c>
      <c r="P228" s="116" t="s">
        <v>1799</v>
      </c>
      <c r="R228" s="116" t="s">
        <v>405</v>
      </c>
      <c r="S228" s="116" t="s">
        <v>1800</v>
      </c>
      <c r="T228" s="116" t="s">
        <v>1801</v>
      </c>
      <c r="U228" s="116" t="s">
        <v>1802</v>
      </c>
      <c r="V228" s="116" t="s">
        <v>1028</v>
      </c>
      <c r="X228" s="116" t="s">
        <v>1803</v>
      </c>
      <c r="Y228" s="126"/>
    </row>
    <row r="229">
      <c r="A229" s="154">
        <v>43628.62621785879</v>
      </c>
      <c r="B229" s="116" t="s">
        <v>1804</v>
      </c>
      <c r="C229" s="116" t="s">
        <v>1805</v>
      </c>
      <c r="D229" s="116" t="s">
        <v>1806</v>
      </c>
      <c r="E229" s="116" t="s">
        <v>1807</v>
      </c>
      <c r="F229" s="116" t="s">
        <v>701</v>
      </c>
      <c r="G229" s="116" t="s">
        <v>1808</v>
      </c>
      <c r="H229" s="116" t="s">
        <v>63</v>
      </c>
      <c r="I229" s="116" t="s">
        <v>400</v>
      </c>
      <c r="J229" s="116" t="s">
        <v>251</v>
      </c>
      <c r="K229" s="116" t="s">
        <v>163</v>
      </c>
      <c r="L229" s="116" t="s">
        <v>401</v>
      </c>
      <c r="N229" s="116" t="s">
        <v>1809</v>
      </c>
      <c r="O229" s="116" t="s">
        <v>130</v>
      </c>
      <c r="R229" s="116" t="s">
        <v>451</v>
      </c>
      <c r="S229" s="116" t="s">
        <v>1810</v>
      </c>
      <c r="T229" s="116" t="s">
        <v>1811</v>
      </c>
      <c r="U229" s="116" t="s">
        <v>1027</v>
      </c>
      <c r="V229" s="116" t="s">
        <v>1293</v>
      </c>
      <c r="X229" s="116" t="s">
        <v>1812</v>
      </c>
      <c r="Y229" s="126"/>
    </row>
    <row r="230">
      <c r="A230" s="154">
        <v>43632.88082258102</v>
      </c>
      <c r="B230" s="116" t="s">
        <v>1813</v>
      </c>
      <c r="C230" s="116" t="s">
        <v>1814</v>
      </c>
      <c r="D230" s="116" t="s">
        <v>1815</v>
      </c>
      <c r="E230" s="116" t="s">
        <v>1816</v>
      </c>
      <c r="F230" s="116" t="s">
        <v>575</v>
      </c>
      <c r="G230" s="116" t="s">
        <v>1049</v>
      </c>
      <c r="H230" s="116" t="s">
        <v>202</v>
      </c>
      <c r="I230" s="116" t="s">
        <v>136</v>
      </c>
      <c r="J230" s="116" t="s">
        <v>251</v>
      </c>
      <c r="K230" s="116" t="s">
        <v>400</v>
      </c>
      <c r="N230" s="116" t="s">
        <v>1817</v>
      </c>
      <c r="O230" s="116" t="s">
        <v>130</v>
      </c>
      <c r="P230" s="116" t="s">
        <v>1818</v>
      </c>
      <c r="R230" s="116" t="s">
        <v>405</v>
      </c>
      <c r="S230" s="116" t="s">
        <v>1819</v>
      </c>
      <c r="T230" s="116" t="s">
        <v>1820</v>
      </c>
      <c r="U230" s="116" t="s">
        <v>1062</v>
      </c>
      <c r="V230" s="116" t="s">
        <v>1821</v>
      </c>
      <c r="W230" s="116" t="s">
        <v>1822</v>
      </c>
      <c r="X230" s="116" t="s">
        <v>1823</v>
      </c>
      <c r="Y230" s="172" t="s">
        <v>1824</v>
      </c>
    </row>
    <row r="231">
      <c r="A231" s="154">
        <v>43633.67853769676</v>
      </c>
      <c r="B231" s="116" t="s">
        <v>1825</v>
      </c>
      <c r="C231" s="116" t="s">
        <v>1826</v>
      </c>
      <c r="D231" s="116" t="s">
        <v>1827</v>
      </c>
      <c r="E231" s="116" t="s">
        <v>1828</v>
      </c>
      <c r="F231" s="116" t="s">
        <v>418</v>
      </c>
      <c r="G231" s="116" t="s">
        <v>1219</v>
      </c>
      <c r="H231" s="116" t="s">
        <v>63</v>
      </c>
      <c r="I231" s="116" t="s">
        <v>401</v>
      </c>
      <c r="J231" s="116" t="s">
        <v>251</v>
      </c>
      <c r="K231" s="116" t="s">
        <v>400</v>
      </c>
      <c r="L231" s="116" t="s">
        <v>136</v>
      </c>
      <c r="M231" s="116" t="s">
        <v>163</v>
      </c>
      <c r="O231" s="116" t="s">
        <v>117</v>
      </c>
      <c r="R231" s="116" t="s">
        <v>451</v>
      </c>
      <c r="S231" s="116" t="s">
        <v>1829</v>
      </c>
      <c r="T231" s="116" t="s">
        <v>20</v>
      </c>
      <c r="U231" s="116" t="s">
        <v>1036</v>
      </c>
      <c r="V231" s="116" t="s">
        <v>1028</v>
      </c>
      <c r="X231" s="116" t="s">
        <v>1677</v>
      </c>
      <c r="Y231" s="126"/>
    </row>
    <row r="232">
      <c r="A232" s="154">
        <v>43634.5731383449</v>
      </c>
      <c r="B232" s="116" t="s">
        <v>1621</v>
      </c>
      <c r="C232" s="116" t="s">
        <v>1622</v>
      </c>
      <c r="D232" s="116" t="s">
        <v>1830</v>
      </c>
      <c r="E232" s="116" t="s">
        <v>1623</v>
      </c>
      <c r="F232" s="116" t="s">
        <v>418</v>
      </c>
      <c r="G232" s="116" t="s">
        <v>1022</v>
      </c>
      <c r="H232" s="116" t="s">
        <v>63</v>
      </c>
      <c r="I232" s="116" t="s">
        <v>400</v>
      </c>
      <c r="J232" s="116" t="s">
        <v>251</v>
      </c>
      <c r="K232" s="116" t="s">
        <v>401</v>
      </c>
      <c r="L232" s="116" t="s">
        <v>163</v>
      </c>
      <c r="M232" s="116" t="s">
        <v>136</v>
      </c>
      <c r="O232" s="116" t="s">
        <v>117</v>
      </c>
      <c r="R232" s="116" t="s">
        <v>451</v>
      </c>
      <c r="S232" s="116" t="s">
        <v>1831</v>
      </c>
      <c r="T232" s="116" t="s">
        <v>1832</v>
      </c>
      <c r="U232" s="116" t="s">
        <v>1133</v>
      </c>
      <c r="V232" s="116" t="s">
        <v>1028</v>
      </c>
      <c r="X232" s="116" t="s">
        <v>1833</v>
      </c>
      <c r="Y232" s="126"/>
    </row>
    <row r="233">
      <c r="A233" s="154">
        <v>43635.013758981484</v>
      </c>
      <c r="B233" s="116" t="s">
        <v>1834</v>
      </c>
      <c r="C233" s="116" t="s">
        <v>1835</v>
      </c>
      <c r="D233" s="116" t="s">
        <v>1836</v>
      </c>
      <c r="E233" s="116" t="s">
        <v>1837</v>
      </c>
      <c r="F233" s="116" t="s">
        <v>461</v>
      </c>
      <c r="G233" s="116" t="s">
        <v>1022</v>
      </c>
      <c r="H233" s="116" t="s">
        <v>63</v>
      </c>
      <c r="I233" s="116" t="s">
        <v>136</v>
      </c>
      <c r="J233" s="116" t="s">
        <v>251</v>
      </c>
      <c r="K233" s="116" t="s">
        <v>401</v>
      </c>
      <c r="L233" s="116" t="s">
        <v>400</v>
      </c>
      <c r="M233" s="116" t="s">
        <v>163</v>
      </c>
      <c r="N233" s="116" t="s">
        <v>1838</v>
      </c>
      <c r="O233" s="116" t="s">
        <v>117</v>
      </c>
      <c r="P233" s="116" t="s">
        <v>1839</v>
      </c>
      <c r="R233" s="116" t="s">
        <v>451</v>
      </c>
      <c r="S233" s="116" t="s">
        <v>1840</v>
      </c>
      <c r="T233" s="116" t="s">
        <v>130</v>
      </c>
      <c r="U233" s="116" t="s">
        <v>1097</v>
      </c>
      <c r="V233" s="116" t="s">
        <v>1028</v>
      </c>
      <c r="X233" s="116" t="s">
        <v>1841</v>
      </c>
      <c r="Y233" s="126"/>
    </row>
    <row r="234">
      <c r="A234" s="154">
        <v>43635.56924690973</v>
      </c>
      <c r="B234" s="116" t="s">
        <v>1842</v>
      </c>
      <c r="C234" s="116" t="s">
        <v>1843</v>
      </c>
      <c r="D234" s="116" t="s">
        <v>1844</v>
      </c>
      <c r="E234" s="116" t="s">
        <v>1845</v>
      </c>
      <c r="F234" s="116" t="s">
        <v>418</v>
      </c>
      <c r="G234" s="116" t="s">
        <v>1022</v>
      </c>
      <c r="H234" s="116" t="s">
        <v>63</v>
      </c>
      <c r="I234" s="116" t="s">
        <v>251</v>
      </c>
      <c r="J234" s="116" t="s">
        <v>400</v>
      </c>
      <c r="N234" s="116" t="s">
        <v>1846</v>
      </c>
      <c r="O234" s="116" t="s">
        <v>117</v>
      </c>
      <c r="P234" s="116" t="s">
        <v>1847</v>
      </c>
      <c r="R234" s="116" t="s">
        <v>451</v>
      </c>
      <c r="S234" s="116" t="s">
        <v>1848</v>
      </c>
      <c r="T234" s="116" t="s">
        <v>1849</v>
      </c>
      <c r="U234" s="116" t="s">
        <v>1027</v>
      </c>
      <c r="V234" s="116" t="s">
        <v>1293</v>
      </c>
      <c r="X234" s="116" t="s">
        <v>1850</v>
      </c>
      <c r="Y234" s="126"/>
    </row>
    <row r="235">
      <c r="A235" s="154">
        <v>43638.36269362269</v>
      </c>
      <c r="B235" s="116" t="s">
        <v>1851</v>
      </c>
      <c r="C235" s="116" t="s">
        <v>1852</v>
      </c>
      <c r="D235" s="116" t="s">
        <v>1853</v>
      </c>
      <c r="E235" s="116" t="s">
        <v>1854</v>
      </c>
      <c r="F235" s="116" t="s">
        <v>431</v>
      </c>
      <c r="G235" s="116" t="s">
        <v>1049</v>
      </c>
      <c r="H235" s="116" t="s">
        <v>202</v>
      </c>
      <c r="N235" s="116" t="s">
        <v>1855</v>
      </c>
      <c r="O235" s="116" t="s">
        <v>130</v>
      </c>
      <c r="P235" s="116" t="s">
        <v>1856</v>
      </c>
      <c r="R235" s="116" t="s">
        <v>451</v>
      </c>
      <c r="S235" s="116" t="s">
        <v>1857</v>
      </c>
      <c r="T235" s="116" t="s">
        <v>1532</v>
      </c>
      <c r="U235" s="116" t="s">
        <v>1858</v>
      </c>
      <c r="V235" s="116" t="s">
        <v>1091</v>
      </c>
      <c r="X235" s="116" t="s">
        <v>1859</v>
      </c>
      <c r="Y235" s="126"/>
    </row>
    <row r="236">
      <c r="A236" s="154">
        <v>43640.126610057865</v>
      </c>
      <c r="B236" s="116" t="s">
        <v>1860</v>
      </c>
      <c r="C236" s="116" t="s">
        <v>1861</v>
      </c>
      <c r="D236" s="116" t="s">
        <v>1862</v>
      </c>
      <c r="E236" s="116" t="s">
        <v>1863</v>
      </c>
      <c r="F236" s="116" t="s">
        <v>1864</v>
      </c>
      <c r="G236" s="116" t="s">
        <v>1022</v>
      </c>
      <c r="H236" s="116" t="s">
        <v>202</v>
      </c>
      <c r="I236" s="116" t="s">
        <v>400</v>
      </c>
      <c r="J236" s="116" t="s">
        <v>163</v>
      </c>
      <c r="K236" s="116" t="s">
        <v>251</v>
      </c>
      <c r="L236" s="116" t="s">
        <v>401</v>
      </c>
      <c r="M236" s="116" t="s">
        <v>136</v>
      </c>
      <c r="N236" s="116" t="s">
        <v>1865</v>
      </c>
      <c r="O236" s="116" t="s">
        <v>403</v>
      </c>
      <c r="P236" s="116" t="s">
        <v>1866</v>
      </c>
      <c r="R236" s="116" t="s">
        <v>405</v>
      </c>
      <c r="S236" s="116" t="s">
        <v>1867</v>
      </c>
      <c r="T236" s="116" t="s">
        <v>1868</v>
      </c>
      <c r="U236" s="116" t="s">
        <v>1027</v>
      </c>
      <c r="V236" s="116" t="s">
        <v>1869</v>
      </c>
      <c r="W236" s="116" t="s">
        <v>1870</v>
      </c>
      <c r="X236" s="116" t="s">
        <v>1871</v>
      </c>
      <c r="Y236" s="126"/>
    </row>
    <row r="237">
      <c r="A237" s="154">
        <v>43643.49489582176</v>
      </c>
      <c r="B237" s="116" t="s">
        <v>1872</v>
      </c>
      <c r="C237" s="116" t="s">
        <v>1873</v>
      </c>
      <c r="D237" s="116" t="s">
        <v>1874</v>
      </c>
      <c r="E237" s="116" t="s">
        <v>1875</v>
      </c>
      <c r="F237" s="116" t="s">
        <v>1409</v>
      </c>
      <c r="G237" s="116" t="s">
        <v>1022</v>
      </c>
      <c r="H237" s="116" t="s">
        <v>63</v>
      </c>
      <c r="I237" s="116" t="s">
        <v>400</v>
      </c>
      <c r="J237" s="116" t="s">
        <v>251</v>
      </c>
      <c r="K237" s="116" t="s">
        <v>401</v>
      </c>
      <c r="L237" s="116" t="s">
        <v>163</v>
      </c>
      <c r="M237" s="116" t="s">
        <v>136</v>
      </c>
      <c r="N237" s="116" t="s">
        <v>1876</v>
      </c>
      <c r="O237" s="116" t="s">
        <v>403</v>
      </c>
      <c r="P237" s="116" t="s">
        <v>1877</v>
      </c>
      <c r="R237" s="116" t="s">
        <v>405</v>
      </c>
      <c r="S237" s="116" t="s">
        <v>1878</v>
      </c>
      <c r="T237" s="116" t="s">
        <v>1879</v>
      </c>
      <c r="U237" s="116" t="s">
        <v>1292</v>
      </c>
      <c r="V237" s="116" t="s">
        <v>1293</v>
      </c>
      <c r="X237" s="116" t="s">
        <v>1833</v>
      </c>
      <c r="Y237" s="126"/>
    </row>
    <row r="238">
      <c r="A238" s="154">
        <v>43648.49980006945</v>
      </c>
      <c r="B238" s="116" t="s">
        <v>1880</v>
      </c>
      <c r="C238" s="116" t="s">
        <v>34</v>
      </c>
      <c r="D238" s="116" t="s">
        <v>1881</v>
      </c>
      <c r="E238" s="116" t="s">
        <v>1882</v>
      </c>
      <c r="F238" s="116" t="s">
        <v>1883</v>
      </c>
      <c r="G238" s="116" t="s">
        <v>1884</v>
      </c>
      <c r="H238" s="116" t="s">
        <v>202</v>
      </c>
      <c r="I238" s="116" t="s">
        <v>400</v>
      </c>
      <c r="J238" s="116" t="s">
        <v>251</v>
      </c>
      <c r="K238" s="116" t="s">
        <v>401</v>
      </c>
      <c r="L238" s="116" t="s">
        <v>163</v>
      </c>
      <c r="M238" s="116" t="s">
        <v>136</v>
      </c>
      <c r="N238" s="116" t="s">
        <v>1885</v>
      </c>
      <c r="O238" s="116" t="s">
        <v>117</v>
      </c>
      <c r="P238" s="116" t="s">
        <v>117</v>
      </c>
      <c r="R238" s="116" t="s">
        <v>451</v>
      </c>
      <c r="S238" s="116" t="s">
        <v>1886</v>
      </c>
      <c r="T238" s="116" t="s">
        <v>1887</v>
      </c>
      <c r="U238" s="116" t="s">
        <v>1292</v>
      </c>
      <c r="V238" s="116" t="s">
        <v>1293</v>
      </c>
      <c r="W238" s="116" t="s">
        <v>313</v>
      </c>
      <c r="X238" s="116" t="s">
        <v>1888</v>
      </c>
      <c r="Y238" s="172" t="s">
        <v>1889</v>
      </c>
    </row>
    <row r="239">
      <c r="A239" s="154">
        <v>43648.64460309027</v>
      </c>
      <c r="B239" s="116" t="s">
        <v>1890</v>
      </c>
      <c r="C239" s="116" t="s">
        <v>1891</v>
      </c>
      <c r="D239" s="116" t="s">
        <v>1892</v>
      </c>
      <c r="E239" s="116" t="s">
        <v>1893</v>
      </c>
      <c r="F239" s="116" t="s">
        <v>1894</v>
      </c>
      <c r="G239" s="116" t="s">
        <v>1049</v>
      </c>
      <c r="H239" s="116" t="s">
        <v>63</v>
      </c>
      <c r="I239" s="116" t="s">
        <v>136</v>
      </c>
      <c r="J239" s="116" t="s">
        <v>401</v>
      </c>
      <c r="N239" s="116" t="s">
        <v>1895</v>
      </c>
      <c r="O239" s="116" t="s">
        <v>403</v>
      </c>
      <c r="R239" s="116" t="s">
        <v>405</v>
      </c>
      <c r="S239" s="116" t="s">
        <v>1896</v>
      </c>
      <c r="T239" s="116" t="s">
        <v>1897</v>
      </c>
      <c r="U239" s="116" t="s">
        <v>1027</v>
      </c>
      <c r="V239" s="116" t="s">
        <v>1028</v>
      </c>
      <c r="X239" s="116" t="s">
        <v>1677</v>
      </c>
      <c r="Y239" s="126"/>
    </row>
    <row r="240">
      <c r="A240" s="154">
        <v>43651.292480902775</v>
      </c>
      <c r="B240" s="116" t="s">
        <v>1898</v>
      </c>
      <c r="C240" s="116" t="s">
        <v>823</v>
      </c>
      <c r="E240" s="116" t="s">
        <v>1899</v>
      </c>
      <c r="F240" s="116" t="s">
        <v>701</v>
      </c>
      <c r="G240" s="116" t="s">
        <v>1900</v>
      </c>
      <c r="H240" s="116" t="s">
        <v>63</v>
      </c>
      <c r="I240" s="116" t="s">
        <v>401</v>
      </c>
      <c r="J240" s="116" t="s">
        <v>251</v>
      </c>
      <c r="K240" s="116" t="s">
        <v>400</v>
      </c>
      <c r="L240" s="116" t="s">
        <v>163</v>
      </c>
      <c r="M240" s="116" t="s">
        <v>136</v>
      </c>
      <c r="O240" s="116" t="s">
        <v>403</v>
      </c>
      <c r="P240" s="116" t="s">
        <v>1901</v>
      </c>
      <c r="R240" s="116" t="s">
        <v>405</v>
      </c>
      <c r="S240" s="116" t="s">
        <v>1902</v>
      </c>
      <c r="T240" s="116" t="s">
        <v>1903</v>
      </c>
      <c r="U240" s="116" t="s">
        <v>1904</v>
      </c>
      <c r="V240" s="116" t="s">
        <v>1293</v>
      </c>
      <c r="X240" s="116" t="s">
        <v>1905</v>
      </c>
      <c r="Y240" s="126"/>
    </row>
    <row r="241">
      <c r="A241" s="154">
        <v>43651.61837447916</v>
      </c>
      <c r="B241" s="116" t="s">
        <v>1906</v>
      </c>
      <c r="C241" s="116" t="s">
        <v>1907</v>
      </c>
      <c r="D241" s="116" t="s">
        <v>1908</v>
      </c>
      <c r="E241" s="116" t="s">
        <v>1909</v>
      </c>
      <c r="F241" s="116" t="s">
        <v>461</v>
      </c>
      <c r="G241" s="116" t="s">
        <v>1610</v>
      </c>
      <c r="H241" s="116" t="s">
        <v>63</v>
      </c>
      <c r="I241" s="116" t="s">
        <v>251</v>
      </c>
      <c r="J241" s="116" t="s">
        <v>163</v>
      </c>
      <c r="K241" s="116" t="s">
        <v>401</v>
      </c>
      <c r="L241" s="116" t="s">
        <v>400</v>
      </c>
      <c r="M241" s="116" t="s">
        <v>136</v>
      </c>
      <c r="N241" s="116" t="s">
        <v>1911</v>
      </c>
      <c r="O241" s="116" t="s">
        <v>403</v>
      </c>
      <c r="P241" s="116" t="s">
        <v>1912</v>
      </c>
      <c r="R241" s="116" t="s">
        <v>451</v>
      </c>
      <c r="S241" s="116" t="s">
        <v>1913</v>
      </c>
      <c r="T241" s="116" t="s">
        <v>1914</v>
      </c>
      <c r="U241" s="116" t="s">
        <v>1062</v>
      </c>
      <c r="V241" s="116" t="s">
        <v>1028</v>
      </c>
      <c r="X241" s="116" t="s">
        <v>1915</v>
      </c>
      <c r="Y241" s="126"/>
    </row>
    <row r="242">
      <c r="A242" s="154">
        <v>43653.19000947916</v>
      </c>
      <c r="B242" s="116" t="s">
        <v>1916</v>
      </c>
      <c r="C242" s="116" t="s">
        <v>1917</v>
      </c>
      <c r="D242" s="116" t="s">
        <v>1918</v>
      </c>
      <c r="E242" s="116" t="s">
        <v>1919</v>
      </c>
      <c r="F242" s="116" t="s">
        <v>701</v>
      </c>
      <c r="G242" s="116" t="s">
        <v>1920</v>
      </c>
      <c r="H242" s="116" t="s">
        <v>202</v>
      </c>
      <c r="O242" s="116" t="s">
        <v>117</v>
      </c>
      <c r="R242" s="116" t="s">
        <v>451</v>
      </c>
      <c r="S242" s="116" t="s">
        <v>1921</v>
      </c>
      <c r="T242" s="116" t="s">
        <v>1922</v>
      </c>
      <c r="U242" s="116" t="s">
        <v>1133</v>
      </c>
      <c r="V242" s="116" t="s">
        <v>1293</v>
      </c>
      <c r="X242" s="116" t="s">
        <v>1833</v>
      </c>
      <c r="Y242" s="126"/>
    </row>
    <row r="243">
      <c r="A243" s="154">
        <v>43654.534963287035</v>
      </c>
      <c r="B243" s="116" t="s">
        <v>1923</v>
      </c>
      <c r="C243" s="116" t="s">
        <v>1924</v>
      </c>
      <c r="D243" s="116" t="s">
        <v>1925</v>
      </c>
      <c r="E243" s="116" t="s">
        <v>1926</v>
      </c>
      <c r="F243" s="116" t="s">
        <v>529</v>
      </c>
      <c r="G243" s="116" t="s">
        <v>1077</v>
      </c>
      <c r="H243" s="116" t="s">
        <v>63</v>
      </c>
      <c r="I243" s="116" t="s">
        <v>401</v>
      </c>
      <c r="J243" s="116" t="s">
        <v>251</v>
      </c>
      <c r="K243" s="116" t="s">
        <v>400</v>
      </c>
      <c r="L243" s="116" t="s">
        <v>136</v>
      </c>
      <c r="M243" s="116" t="s">
        <v>163</v>
      </c>
      <c r="N243" s="116" t="s">
        <v>1927</v>
      </c>
      <c r="O243" s="116" t="s">
        <v>403</v>
      </c>
      <c r="R243" s="116" t="s">
        <v>405</v>
      </c>
      <c r="S243" s="116" t="s">
        <v>1928</v>
      </c>
      <c r="T243" s="116" t="s">
        <v>1929</v>
      </c>
      <c r="U243" s="116" t="s">
        <v>1036</v>
      </c>
      <c r="V243" s="116" t="s">
        <v>1930</v>
      </c>
      <c r="W243" s="116" t="s">
        <v>1931</v>
      </c>
      <c r="X243" s="116" t="s">
        <v>1932</v>
      </c>
      <c r="Y243" s="126"/>
    </row>
    <row r="244">
      <c r="A244" s="154">
        <v>43655.43017872685</v>
      </c>
      <c r="B244" s="116" t="s">
        <v>1933</v>
      </c>
      <c r="C244" s="116" t="s">
        <v>1934</v>
      </c>
      <c r="E244" s="116" t="s">
        <v>1935</v>
      </c>
      <c r="F244" s="116" t="s">
        <v>1936</v>
      </c>
      <c r="G244" s="116" t="s">
        <v>1077</v>
      </c>
      <c r="H244" s="116" t="s">
        <v>63</v>
      </c>
      <c r="I244" s="116" t="s">
        <v>251</v>
      </c>
      <c r="J244" s="116" t="s">
        <v>401</v>
      </c>
      <c r="K244" s="116" t="s">
        <v>400</v>
      </c>
      <c r="L244" s="116" t="s">
        <v>136</v>
      </c>
      <c r="M244" s="116" t="s">
        <v>163</v>
      </c>
      <c r="N244" s="116" t="s">
        <v>1937</v>
      </c>
      <c r="O244" s="116" t="s">
        <v>403</v>
      </c>
      <c r="P244" s="116" t="s">
        <v>1938</v>
      </c>
      <c r="R244" s="116" t="s">
        <v>451</v>
      </c>
      <c r="S244" s="116" t="s">
        <v>1939</v>
      </c>
      <c r="T244" s="116" t="s">
        <v>1940</v>
      </c>
      <c r="U244" s="116" t="s">
        <v>1027</v>
      </c>
      <c r="V244" s="116" t="s">
        <v>1091</v>
      </c>
      <c r="X244" s="116" t="s">
        <v>1833</v>
      </c>
      <c r="Y244" s="126"/>
    </row>
    <row r="245">
      <c r="A245" s="154">
        <v>43661.55088730324</v>
      </c>
      <c r="B245" s="116" t="s">
        <v>1941</v>
      </c>
      <c r="C245" s="116" t="s">
        <v>1942</v>
      </c>
      <c r="E245" s="116" t="s">
        <v>1943</v>
      </c>
      <c r="F245" s="116" t="s">
        <v>447</v>
      </c>
      <c r="G245" s="116" t="s">
        <v>1439</v>
      </c>
      <c r="H245" s="116" t="s">
        <v>63</v>
      </c>
      <c r="I245" s="116" t="s">
        <v>400</v>
      </c>
      <c r="U245" s="116" t="s">
        <v>1036</v>
      </c>
      <c r="V245" s="116" t="s">
        <v>1293</v>
      </c>
      <c r="X245" s="116" t="s">
        <v>1677</v>
      </c>
    </row>
    <row r="246">
      <c r="A246" s="154">
        <v>43662.489374930556</v>
      </c>
      <c r="B246" s="116" t="s">
        <v>1944</v>
      </c>
      <c r="C246" s="116" t="s">
        <v>1945</v>
      </c>
      <c r="E246" s="116" t="s">
        <v>1946</v>
      </c>
      <c r="F246" s="116" t="s">
        <v>1068</v>
      </c>
      <c r="G246" s="116" t="s">
        <v>1049</v>
      </c>
      <c r="H246" s="116" t="s">
        <v>63</v>
      </c>
      <c r="I246" s="116" t="s">
        <v>251</v>
      </c>
      <c r="J246" s="116" t="s">
        <v>401</v>
      </c>
      <c r="K246" s="116" t="s">
        <v>400</v>
      </c>
      <c r="L246" s="116" t="s">
        <v>136</v>
      </c>
      <c r="M246" s="116" t="s">
        <v>163</v>
      </c>
      <c r="N246" s="116" t="s">
        <v>1947</v>
      </c>
      <c r="O246" s="116" t="s">
        <v>130</v>
      </c>
      <c r="P246" s="116" t="s">
        <v>1948</v>
      </c>
      <c r="R246" s="116" t="s">
        <v>451</v>
      </c>
      <c r="S246" s="116" t="s">
        <v>1949</v>
      </c>
      <c r="U246" s="116" t="s">
        <v>1950</v>
      </c>
      <c r="V246" s="116" t="s">
        <v>1028</v>
      </c>
      <c r="X246" s="116" t="s">
        <v>1757</v>
      </c>
    </row>
    <row r="247">
      <c r="A247" s="154">
        <v>43663.56819197917</v>
      </c>
      <c r="B247" s="116" t="s">
        <v>1951</v>
      </c>
      <c r="C247" s="116" t="s">
        <v>1952</v>
      </c>
      <c r="D247" s="116" t="s">
        <v>1953</v>
      </c>
      <c r="E247" s="116" t="s">
        <v>1954</v>
      </c>
      <c r="F247" s="116" t="s">
        <v>418</v>
      </c>
      <c r="G247" s="116" t="s">
        <v>1955</v>
      </c>
      <c r="H247" s="116" t="s">
        <v>63</v>
      </c>
      <c r="I247" s="116" t="s">
        <v>400</v>
      </c>
      <c r="J247" s="116" t="s">
        <v>251</v>
      </c>
      <c r="N247" s="116" t="s">
        <v>1054</v>
      </c>
      <c r="O247" s="116" t="s">
        <v>130</v>
      </c>
      <c r="P247" s="116" t="s">
        <v>1956</v>
      </c>
      <c r="R247" s="116" t="s">
        <v>405</v>
      </c>
      <c r="S247" s="116" t="s">
        <v>1957</v>
      </c>
      <c r="T247" s="116" t="s">
        <v>1958</v>
      </c>
      <c r="U247" s="116" t="s">
        <v>1027</v>
      </c>
      <c r="V247" s="116" t="s">
        <v>1150</v>
      </c>
      <c r="X247" s="116" t="s">
        <v>1833</v>
      </c>
    </row>
    <row r="248">
      <c r="A248" s="154">
        <v>43663.98611565972</v>
      </c>
      <c r="B248" s="116" t="s">
        <v>1959</v>
      </c>
      <c r="C248" s="116" t="s">
        <v>1960</v>
      </c>
      <c r="D248" s="116" t="s">
        <v>1961</v>
      </c>
      <c r="E248" s="116" t="s">
        <v>1962</v>
      </c>
      <c r="F248" s="116" t="s">
        <v>492</v>
      </c>
      <c r="G248" s="116" t="s">
        <v>1049</v>
      </c>
      <c r="H248" s="116" t="s">
        <v>63</v>
      </c>
      <c r="I248" s="116" t="s">
        <v>401</v>
      </c>
      <c r="J248" s="116" t="s">
        <v>400</v>
      </c>
      <c r="K248" s="116" t="s">
        <v>251</v>
      </c>
      <c r="N248" s="116" t="s">
        <v>1963</v>
      </c>
      <c r="O248" s="116" t="s">
        <v>130</v>
      </c>
      <c r="P248" s="116" t="s">
        <v>1964</v>
      </c>
      <c r="R248" s="116" t="s">
        <v>405</v>
      </c>
      <c r="S248" s="116" t="s">
        <v>1965</v>
      </c>
      <c r="T248" s="116" t="s">
        <v>1966</v>
      </c>
      <c r="U248" s="116" t="s">
        <v>1097</v>
      </c>
      <c r="V248" s="116" t="s">
        <v>1091</v>
      </c>
      <c r="W248" s="116" t="s">
        <v>1104</v>
      </c>
      <c r="X248" s="116" t="s">
        <v>1677</v>
      </c>
    </row>
    <row r="249">
      <c r="A249" s="154">
        <v>43665.50623513889</v>
      </c>
      <c r="B249" s="116" t="s">
        <v>1967</v>
      </c>
      <c r="C249" s="116" t="s">
        <v>1968</v>
      </c>
      <c r="E249" s="116" t="s">
        <v>1969</v>
      </c>
      <c r="F249" s="116" t="s">
        <v>418</v>
      </c>
      <c r="G249" s="116" t="s">
        <v>1022</v>
      </c>
      <c r="H249" s="116" t="s">
        <v>63</v>
      </c>
      <c r="I249" s="116" t="s">
        <v>251</v>
      </c>
      <c r="J249" s="116" t="s">
        <v>400</v>
      </c>
      <c r="K249" s="116" t="s">
        <v>136</v>
      </c>
      <c r="L249" s="116" t="s">
        <v>401</v>
      </c>
      <c r="M249" s="116" t="s">
        <v>163</v>
      </c>
      <c r="O249" s="116" t="s">
        <v>403</v>
      </c>
      <c r="P249" s="116" t="s">
        <v>117</v>
      </c>
      <c r="R249" s="116" t="s">
        <v>451</v>
      </c>
      <c r="S249" s="116" t="s">
        <v>1970</v>
      </c>
      <c r="T249" s="116" t="s">
        <v>1971</v>
      </c>
      <c r="U249" s="116" t="s">
        <v>1062</v>
      </c>
      <c r="V249" s="116" t="s">
        <v>1028</v>
      </c>
      <c r="X249" s="116" t="s">
        <v>1972</v>
      </c>
    </row>
    <row r="250">
      <c r="A250" s="154">
        <v>43668.94500358796</v>
      </c>
      <c r="B250" s="116" t="s">
        <v>1973</v>
      </c>
      <c r="C250" s="116" t="s">
        <v>840</v>
      </c>
      <c r="D250" s="116" t="s">
        <v>1974</v>
      </c>
      <c r="E250" s="116" t="s">
        <v>1975</v>
      </c>
      <c r="F250" s="116" t="s">
        <v>492</v>
      </c>
      <c r="G250" s="116" t="s">
        <v>1101</v>
      </c>
      <c r="H250" s="116" t="s">
        <v>63</v>
      </c>
      <c r="I250" s="116" t="s">
        <v>401</v>
      </c>
      <c r="J250" s="116" t="s">
        <v>400</v>
      </c>
      <c r="K250" s="116" t="s">
        <v>251</v>
      </c>
      <c r="N250" s="116" t="s">
        <v>1976</v>
      </c>
      <c r="O250" s="116" t="s">
        <v>130</v>
      </c>
      <c r="P250" s="116" t="s">
        <v>1977</v>
      </c>
      <c r="R250" s="116" t="s">
        <v>405</v>
      </c>
      <c r="S250" s="116" t="s">
        <v>1978</v>
      </c>
      <c r="U250" s="116" t="s">
        <v>1036</v>
      </c>
      <c r="V250" s="116" t="s">
        <v>1028</v>
      </c>
      <c r="W250" s="116" t="s">
        <v>1979</v>
      </c>
      <c r="X250" s="116" t="s">
        <v>1980</v>
      </c>
    </row>
    <row r="251">
      <c r="A251" s="154">
        <v>43671.887762453705</v>
      </c>
      <c r="B251" s="116" t="s">
        <v>1981</v>
      </c>
      <c r="C251" s="116" t="s">
        <v>1453</v>
      </c>
      <c r="D251" s="116" t="s">
        <v>1982</v>
      </c>
      <c r="E251" s="116" t="s">
        <v>1983</v>
      </c>
      <c r="F251" s="116" t="s">
        <v>492</v>
      </c>
      <c r="G251" s="116" t="s">
        <v>1101</v>
      </c>
      <c r="H251" s="116" t="s">
        <v>63</v>
      </c>
      <c r="I251" s="116" t="s">
        <v>251</v>
      </c>
      <c r="J251" s="116" t="s">
        <v>400</v>
      </c>
      <c r="K251" s="116" t="s">
        <v>401</v>
      </c>
      <c r="L251" s="116" t="s">
        <v>163</v>
      </c>
      <c r="M251" s="116" t="s">
        <v>136</v>
      </c>
      <c r="N251" s="116" t="s">
        <v>1984</v>
      </c>
      <c r="O251" s="116" t="s">
        <v>403</v>
      </c>
      <c r="R251" s="116" t="s">
        <v>451</v>
      </c>
      <c r="S251" s="116" t="s">
        <v>1985</v>
      </c>
      <c r="U251" s="116" t="s">
        <v>1097</v>
      </c>
      <c r="V251" s="116" t="s">
        <v>1091</v>
      </c>
      <c r="W251" s="116" t="s">
        <v>1104</v>
      </c>
      <c r="X251" s="116" t="s">
        <v>1687</v>
      </c>
    </row>
    <row r="252">
      <c r="A252" s="154">
        <v>43672.24757622685</v>
      </c>
      <c r="B252" s="116" t="s">
        <v>1986</v>
      </c>
      <c r="C252" s="116" t="s">
        <v>1987</v>
      </c>
      <c r="D252" s="116" t="s">
        <v>1988</v>
      </c>
      <c r="E252" s="116" t="s">
        <v>1989</v>
      </c>
      <c r="F252" s="116" t="s">
        <v>431</v>
      </c>
      <c r="G252" s="116" t="s">
        <v>1022</v>
      </c>
      <c r="H252" s="116" t="s">
        <v>202</v>
      </c>
      <c r="I252" s="116" t="s">
        <v>251</v>
      </c>
      <c r="J252" s="116" t="s">
        <v>401</v>
      </c>
      <c r="K252" s="116" t="s">
        <v>163</v>
      </c>
      <c r="N252" s="116" t="s">
        <v>1990</v>
      </c>
      <c r="O252" s="116" t="s">
        <v>403</v>
      </c>
      <c r="P252" s="116" t="s">
        <v>1991</v>
      </c>
      <c r="R252" s="116" t="s">
        <v>451</v>
      </c>
      <c r="S252" s="116" t="s">
        <v>1992</v>
      </c>
      <c r="T252" s="116" t="s">
        <v>1991</v>
      </c>
      <c r="U252" s="116" t="s">
        <v>1062</v>
      </c>
      <c r="V252" s="116" t="s">
        <v>1028</v>
      </c>
      <c r="W252" s="116" t="s">
        <v>1993</v>
      </c>
      <c r="X252" s="116" t="s">
        <v>1994</v>
      </c>
    </row>
    <row r="253">
      <c r="A253" s="154">
        <v>43673.078783564815</v>
      </c>
      <c r="B253" s="116" t="s">
        <v>1995</v>
      </c>
      <c r="C253" s="116" t="s">
        <v>1996</v>
      </c>
      <c r="E253" s="116" t="s">
        <v>1997</v>
      </c>
      <c r="F253" s="116" t="s">
        <v>461</v>
      </c>
      <c r="G253" s="116" t="s">
        <v>1637</v>
      </c>
      <c r="H253" s="116" t="s">
        <v>63</v>
      </c>
      <c r="I253" s="116" t="s">
        <v>401</v>
      </c>
      <c r="J253" s="116" t="s">
        <v>251</v>
      </c>
      <c r="K253" s="116" t="s">
        <v>400</v>
      </c>
      <c r="O253" s="116" t="s">
        <v>403</v>
      </c>
      <c r="P253" s="116" t="s">
        <v>1998</v>
      </c>
      <c r="R253" s="116" t="s">
        <v>405</v>
      </c>
      <c r="U253" s="116" t="s">
        <v>1027</v>
      </c>
      <c r="V253" s="116" t="s">
        <v>1150</v>
      </c>
      <c r="X253" s="116" t="s">
        <v>1999</v>
      </c>
    </row>
    <row r="254">
      <c r="A254" s="154">
        <v>43674.42165924769</v>
      </c>
      <c r="B254" s="116" t="s">
        <v>2000</v>
      </c>
      <c r="C254" s="116" t="s">
        <v>2001</v>
      </c>
      <c r="D254" s="116" t="s">
        <v>2002</v>
      </c>
      <c r="E254" s="116" t="s">
        <v>2003</v>
      </c>
      <c r="F254" s="116" t="s">
        <v>418</v>
      </c>
      <c r="G254" s="116" t="s">
        <v>1219</v>
      </c>
      <c r="H254" s="116" t="s">
        <v>63</v>
      </c>
      <c r="I254" s="116" t="s">
        <v>401</v>
      </c>
      <c r="J254" s="116" t="s">
        <v>136</v>
      </c>
      <c r="K254" s="116" t="s">
        <v>400</v>
      </c>
      <c r="L254" s="116" t="s">
        <v>251</v>
      </c>
      <c r="M254" s="116" t="s">
        <v>163</v>
      </c>
      <c r="N254" s="116" t="s">
        <v>2004</v>
      </c>
      <c r="O254" s="116" t="s">
        <v>117</v>
      </c>
      <c r="P254" s="116" t="s">
        <v>2005</v>
      </c>
      <c r="R254" s="116" t="s">
        <v>405</v>
      </c>
      <c r="S254" s="116" t="s">
        <v>2006</v>
      </c>
      <c r="T254" s="116" t="s">
        <v>2007</v>
      </c>
      <c r="U254" s="116" t="s">
        <v>1027</v>
      </c>
      <c r="V254" s="116" t="s">
        <v>1028</v>
      </c>
      <c r="W254" s="116" t="s">
        <v>2008</v>
      </c>
      <c r="X254" s="116" t="s">
        <v>1833</v>
      </c>
    </row>
    <row r="255">
      <c r="A255" s="154">
        <v>43674.68125140046</v>
      </c>
      <c r="B255" s="116" t="s">
        <v>2009</v>
      </c>
      <c r="C255" s="116" t="s">
        <v>2010</v>
      </c>
      <c r="E255" s="116" t="s">
        <v>2011</v>
      </c>
      <c r="F255" s="116" t="s">
        <v>2012</v>
      </c>
      <c r="G255" s="116" t="s">
        <v>1101</v>
      </c>
      <c r="H255" s="116" t="s">
        <v>63</v>
      </c>
      <c r="I255" s="116" t="s">
        <v>251</v>
      </c>
      <c r="O255" s="116" t="s">
        <v>117</v>
      </c>
      <c r="P255" s="116" t="s">
        <v>34</v>
      </c>
      <c r="R255" s="116" t="s">
        <v>451</v>
      </c>
      <c r="S255" s="116" t="s">
        <v>2013</v>
      </c>
      <c r="T255" s="116" t="s">
        <v>34</v>
      </c>
      <c r="U255" s="116" t="s">
        <v>1097</v>
      </c>
      <c r="V255" s="116" t="s">
        <v>1293</v>
      </c>
      <c r="X255" s="116" t="s">
        <v>1833</v>
      </c>
    </row>
    <row r="256" ht="18.0" customHeight="1">
      <c r="A256" s="154">
        <v>43675.64387090278</v>
      </c>
      <c r="B256" s="116" t="s">
        <v>2014</v>
      </c>
      <c r="C256" s="116" t="s">
        <v>2015</v>
      </c>
      <c r="D256" s="116" t="s">
        <v>2016</v>
      </c>
      <c r="E256" s="116" t="s">
        <v>2017</v>
      </c>
      <c r="F256" s="116" t="s">
        <v>431</v>
      </c>
      <c r="G256" s="116" t="s">
        <v>1101</v>
      </c>
      <c r="H256" s="116" t="s">
        <v>63</v>
      </c>
      <c r="I256" s="116" t="s">
        <v>136</v>
      </c>
      <c r="J256" s="116" t="s">
        <v>2018</v>
      </c>
      <c r="K256" s="116" t="s">
        <v>400</v>
      </c>
      <c r="L256" s="116" t="s">
        <v>401</v>
      </c>
      <c r="N256" s="116" t="s">
        <v>2019</v>
      </c>
      <c r="O256" s="116" t="s">
        <v>130</v>
      </c>
      <c r="P256" s="116" t="s">
        <v>2020</v>
      </c>
      <c r="R256" s="116" t="s">
        <v>405</v>
      </c>
      <c r="S256" s="116" t="s">
        <v>2021</v>
      </c>
      <c r="T256" s="116" t="s">
        <v>463</v>
      </c>
      <c r="U256" s="116" t="s">
        <v>1036</v>
      </c>
      <c r="V256" s="116" t="s">
        <v>1028</v>
      </c>
      <c r="W256" s="116" t="s">
        <v>2022</v>
      </c>
      <c r="X256" s="116" t="s">
        <v>1833</v>
      </c>
    </row>
    <row r="257">
      <c r="A257" s="154">
        <v>43677.461992488425</v>
      </c>
      <c r="B257" s="116" t="s">
        <v>2023</v>
      </c>
      <c r="C257" s="116" t="s">
        <v>2024</v>
      </c>
      <c r="D257" s="116" t="s">
        <v>2025</v>
      </c>
      <c r="E257" s="116" t="s">
        <v>2026</v>
      </c>
      <c r="F257" s="116" t="s">
        <v>701</v>
      </c>
      <c r="G257" s="116" t="s">
        <v>1465</v>
      </c>
      <c r="H257" s="116" t="s">
        <v>113</v>
      </c>
      <c r="I257" s="116" t="s">
        <v>400</v>
      </c>
      <c r="J257" s="116" t="s">
        <v>251</v>
      </c>
      <c r="K257" s="116" t="s">
        <v>401</v>
      </c>
      <c r="L257" s="116" t="s">
        <v>163</v>
      </c>
      <c r="M257" s="116" t="s">
        <v>136</v>
      </c>
      <c r="N257" s="116" t="s">
        <v>34</v>
      </c>
      <c r="O257" s="116" t="s">
        <v>117</v>
      </c>
      <c r="P257" s="116" t="s">
        <v>2027</v>
      </c>
      <c r="R257" s="116" t="s">
        <v>451</v>
      </c>
      <c r="S257" s="116" t="s">
        <v>2028</v>
      </c>
      <c r="T257" s="116" t="s">
        <v>309</v>
      </c>
      <c r="U257" s="116" t="s">
        <v>1036</v>
      </c>
      <c r="V257" s="116" t="s">
        <v>1091</v>
      </c>
      <c r="X257" s="116" t="s">
        <v>1710</v>
      </c>
    </row>
    <row r="258">
      <c r="A258" s="154">
        <v>43678.412040613424</v>
      </c>
      <c r="B258" s="116" t="s">
        <v>2029</v>
      </c>
      <c r="C258" s="116" t="s">
        <v>1170</v>
      </c>
      <c r="D258" s="116" t="s">
        <v>2030</v>
      </c>
      <c r="E258" s="116" t="s">
        <v>2031</v>
      </c>
      <c r="F258" s="116" t="s">
        <v>701</v>
      </c>
      <c r="G258" s="116" t="s">
        <v>1504</v>
      </c>
      <c r="H258" s="116" t="s">
        <v>113</v>
      </c>
      <c r="I258" s="116" t="s">
        <v>136</v>
      </c>
      <c r="J258" s="116" t="s">
        <v>163</v>
      </c>
      <c r="K258" s="116" t="s">
        <v>251</v>
      </c>
      <c r="L258" s="116" t="s">
        <v>400</v>
      </c>
      <c r="M258" s="116" t="s">
        <v>401</v>
      </c>
      <c r="N258" s="116" t="s">
        <v>130</v>
      </c>
      <c r="O258" s="116" t="s">
        <v>403</v>
      </c>
      <c r="P258" s="116" t="s">
        <v>2032</v>
      </c>
      <c r="R258" s="116" t="s">
        <v>451</v>
      </c>
      <c r="S258" s="116" t="s">
        <v>2033</v>
      </c>
      <c r="T258" s="116" t="s">
        <v>2034</v>
      </c>
      <c r="U258" s="116" t="s">
        <v>1062</v>
      </c>
      <c r="V258" s="116" t="s">
        <v>1091</v>
      </c>
      <c r="X258" s="116" t="s">
        <v>1687</v>
      </c>
    </row>
    <row r="259">
      <c r="A259" s="154">
        <v>43679.08931378472</v>
      </c>
      <c r="B259" s="116" t="s">
        <v>2035</v>
      </c>
      <c r="C259" s="116" t="s">
        <v>2036</v>
      </c>
      <c r="D259" s="116" t="s">
        <v>2037</v>
      </c>
      <c r="E259" s="116" t="s">
        <v>2038</v>
      </c>
      <c r="F259" s="116" t="s">
        <v>461</v>
      </c>
      <c r="G259" s="116" t="s">
        <v>1022</v>
      </c>
      <c r="H259" s="116" t="s">
        <v>113</v>
      </c>
      <c r="I259" s="116" t="s">
        <v>136</v>
      </c>
      <c r="J259" s="116" t="s">
        <v>251</v>
      </c>
      <c r="K259" s="116" t="s">
        <v>400</v>
      </c>
      <c r="L259" s="116" t="s">
        <v>401</v>
      </c>
      <c r="M259" s="116" t="s">
        <v>163</v>
      </c>
      <c r="O259" s="116" t="s">
        <v>403</v>
      </c>
      <c r="P259" s="116" t="s">
        <v>2039</v>
      </c>
      <c r="R259" s="116" t="s">
        <v>451</v>
      </c>
      <c r="S259" s="116" t="s">
        <v>2040</v>
      </c>
      <c r="T259" s="116" t="s">
        <v>2041</v>
      </c>
      <c r="U259" s="116" t="s">
        <v>1027</v>
      </c>
      <c r="V259" s="116" t="s">
        <v>1293</v>
      </c>
    </row>
    <row r="260">
      <c r="A260" s="154">
        <v>43679.89744516204</v>
      </c>
      <c r="B260" s="116" t="s">
        <v>2042</v>
      </c>
      <c r="C260" s="116" t="s">
        <v>2043</v>
      </c>
      <c r="D260" s="116" t="s">
        <v>2044</v>
      </c>
      <c r="E260" s="116" t="s">
        <v>2045</v>
      </c>
      <c r="F260" s="116" t="s">
        <v>461</v>
      </c>
      <c r="G260" s="116" t="s">
        <v>1465</v>
      </c>
      <c r="H260" s="116" t="s">
        <v>113</v>
      </c>
      <c r="N260" s="116" t="s">
        <v>2046</v>
      </c>
      <c r="P260" s="116" t="s">
        <v>2047</v>
      </c>
      <c r="R260" s="116" t="s">
        <v>451</v>
      </c>
      <c r="S260" s="116" t="s">
        <v>2048</v>
      </c>
      <c r="T260" s="116" t="s">
        <v>2047</v>
      </c>
      <c r="U260" s="116" t="s">
        <v>1027</v>
      </c>
      <c r="V260" s="116" t="s">
        <v>1028</v>
      </c>
      <c r="X260" s="116" t="s">
        <v>2049</v>
      </c>
    </row>
    <row r="261">
      <c r="A261" s="154">
        <v>43680.050454421296</v>
      </c>
      <c r="B261" s="116" t="s">
        <v>2050</v>
      </c>
      <c r="C261" s="116" t="s">
        <v>2051</v>
      </c>
      <c r="E261" s="116" t="s">
        <v>2052</v>
      </c>
      <c r="F261" s="116" t="s">
        <v>2053</v>
      </c>
      <c r="G261" s="116" t="s">
        <v>2054</v>
      </c>
      <c r="H261" s="116" t="s">
        <v>202</v>
      </c>
      <c r="I261" s="116" t="s">
        <v>163</v>
      </c>
      <c r="J261" s="116" t="s">
        <v>251</v>
      </c>
      <c r="K261" s="116" t="s">
        <v>400</v>
      </c>
      <c r="L261" s="116" t="s">
        <v>136</v>
      </c>
      <c r="O261" s="116" t="s">
        <v>403</v>
      </c>
      <c r="R261" s="116" t="s">
        <v>405</v>
      </c>
      <c r="U261" s="116" t="s">
        <v>1036</v>
      </c>
      <c r="V261" s="116" t="s">
        <v>1091</v>
      </c>
      <c r="X261" s="116" t="s">
        <v>2055</v>
      </c>
    </row>
    <row r="262">
      <c r="A262" s="154">
        <v>43684.39878295139</v>
      </c>
      <c r="B262" s="116" t="s">
        <v>2056</v>
      </c>
      <c r="C262" s="116" t="s">
        <v>2057</v>
      </c>
      <c r="D262" s="116" t="s">
        <v>2058</v>
      </c>
      <c r="E262" s="116" t="s">
        <v>2059</v>
      </c>
      <c r="F262" s="116" t="s">
        <v>1068</v>
      </c>
      <c r="G262" s="116" t="s">
        <v>2060</v>
      </c>
      <c r="H262" s="116" t="s">
        <v>63</v>
      </c>
      <c r="I262" s="116" t="s">
        <v>251</v>
      </c>
      <c r="J262" s="116" t="s">
        <v>400</v>
      </c>
      <c r="K262" s="116" t="s">
        <v>401</v>
      </c>
      <c r="L262" s="116" t="s">
        <v>136</v>
      </c>
      <c r="M262" s="116" t="s">
        <v>163</v>
      </c>
      <c r="N262" s="116" t="s">
        <v>2061</v>
      </c>
      <c r="O262" s="116" t="s">
        <v>403</v>
      </c>
      <c r="P262" s="116" t="s">
        <v>2062</v>
      </c>
      <c r="R262" s="116" t="s">
        <v>405</v>
      </c>
      <c r="S262" s="116" t="s">
        <v>2063</v>
      </c>
      <c r="T262" s="116" t="s">
        <v>2064</v>
      </c>
      <c r="U262" s="116" t="s">
        <v>1027</v>
      </c>
      <c r="V262" s="116" t="s">
        <v>1028</v>
      </c>
      <c r="X262" s="116" t="s">
        <v>2065</v>
      </c>
    </row>
    <row r="263">
      <c r="A263" s="154">
        <v>43684.4028878588</v>
      </c>
      <c r="B263" s="116" t="s">
        <v>2066</v>
      </c>
      <c r="C263" s="116" t="s">
        <v>907</v>
      </c>
      <c r="D263" s="116" t="s">
        <v>2067</v>
      </c>
      <c r="E263" s="116" t="s">
        <v>2068</v>
      </c>
      <c r="F263" s="116" t="s">
        <v>492</v>
      </c>
      <c r="G263" s="116" t="s">
        <v>1101</v>
      </c>
      <c r="H263" s="116" t="s">
        <v>63</v>
      </c>
      <c r="I263" s="116" t="s">
        <v>251</v>
      </c>
      <c r="N263" s="116" t="s">
        <v>130</v>
      </c>
      <c r="O263" s="116" t="s">
        <v>403</v>
      </c>
      <c r="P263" s="116" t="s">
        <v>305</v>
      </c>
      <c r="R263" s="116" t="s">
        <v>442</v>
      </c>
      <c r="S263" s="116" t="s">
        <v>2069</v>
      </c>
      <c r="T263" s="116" t="s">
        <v>2070</v>
      </c>
      <c r="U263" s="116" t="s">
        <v>1766</v>
      </c>
      <c r="V263" s="116" t="s">
        <v>1091</v>
      </c>
      <c r="W263" s="116" t="s">
        <v>2071</v>
      </c>
      <c r="X263" s="116" t="s">
        <v>1833</v>
      </c>
    </row>
    <row r="264">
      <c r="A264" s="154">
        <v>43684.68687708333</v>
      </c>
      <c r="B264" s="116" t="s">
        <v>2072</v>
      </c>
      <c r="C264" s="116" t="s">
        <v>2073</v>
      </c>
      <c r="E264" s="116" t="s">
        <v>2074</v>
      </c>
      <c r="F264" s="116" t="s">
        <v>1068</v>
      </c>
      <c r="G264" s="116" t="s">
        <v>1219</v>
      </c>
      <c r="H264" s="116" t="s">
        <v>63</v>
      </c>
      <c r="I264" s="116" t="s">
        <v>251</v>
      </c>
      <c r="J264" s="116" t="s">
        <v>136</v>
      </c>
      <c r="K264" s="116" t="s">
        <v>400</v>
      </c>
      <c r="L264" s="116" t="s">
        <v>163</v>
      </c>
      <c r="M264" s="116" t="s">
        <v>401</v>
      </c>
      <c r="N264" s="116" t="s">
        <v>2075</v>
      </c>
      <c r="O264" s="116" t="s">
        <v>117</v>
      </c>
      <c r="P264" s="116" t="s">
        <v>2076</v>
      </c>
      <c r="R264" s="116" t="s">
        <v>451</v>
      </c>
      <c r="S264" s="116" t="s">
        <v>2077</v>
      </c>
      <c r="T264" s="116" t="s">
        <v>2078</v>
      </c>
      <c r="U264" s="116" t="s">
        <v>1027</v>
      </c>
      <c r="V264" s="116" t="s">
        <v>1028</v>
      </c>
      <c r="X264" s="116" t="s">
        <v>1757</v>
      </c>
    </row>
    <row r="265">
      <c r="A265" s="154">
        <v>43685.46748900463</v>
      </c>
      <c r="B265" s="116" t="s">
        <v>2079</v>
      </c>
      <c r="C265" s="116" t="s">
        <v>2080</v>
      </c>
      <c r="D265" s="116" t="s">
        <v>2081</v>
      </c>
      <c r="E265" s="116" t="s">
        <v>2082</v>
      </c>
      <c r="F265" s="116" t="s">
        <v>2083</v>
      </c>
      <c r="G265" s="116" t="s">
        <v>2084</v>
      </c>
      <c r="H265" s="116" t="s">
        <v>63</v>
      </c>
      <c r="I265" s="116" t="s">
        <v>400</v>
      </c>
      <c r="J265" s="116" t="s">
        <v>401</v>
      </c>
      <c r="K265" s="116" t="s">
        <v>251</v>
      </c>
      <c r="L265" s="116" t="s">
        <v>163</v>
      </c>
      <c r="M265" s="116" t="s">
        <v>136</v>
      </c>
      <c r="N265" s="116" t="s">
        <v>130</v>
      </c>
      <c r="O265" s="116" t="s">
        <v>117</v>
      </c>
      <c r="P265" s="116" t="s">
        <v>117</v>
      </c>
      <c r="R265" s="116" t="s">
        <v>451</v>
      </c>
      <c r="U265" s="116" t="s">
        <v>1036</v>
      </c>
      <c r="V265" s="116" t="s">
        <v>1028</v>
      </c>
      <c r="X265" s="116" t="s">
        <v>2085</v>
      </c>
    </row>
    <row r="266">
      <c r="A266" s="154">
        <v>43689.40685208333</v>
      </c>
      <c r="B266" s="116" t="s">
        <v>2086</v>
      </c>
      <c r="C266" s="116" t="s">
        <v>2087</v>
      </c>
      <c r="D266" s="116" t="s">
        <v>2088</v>
      </c>
      <c r="E266" s="116" t="s">
        <v>2089</v>
      </c>
      <c r="F266" s="116" t="s">
        <v>418</v>
      </c>
      <c r="G266" s="116" t="s">
        <v>1077</v>
      </c>
      <c r="H266" s="116" t="s">
        <v>63</v>
      </c>
      <c r="I266" s="116" t="s">
        <v>400</v>
      </c>
      <c r="J266" s="116" t="s">
        <v>163</v>
      </c>
      <c r="K266" s="116" t="s">
        <v>401</v>
      </c>
      <c r="L266" s="116" t="s">
        <v>136</v>
      </c>
      <c r="M266" s="116" t="s">
        <v>251</v>
      </c>
      <c r="O266" s="116" t="s">
        <v>117</v>
      </c>
      <c r="R266" s="116" t="s">
        <v>451</v>
      </c>
      <c r="S266" s="116" t="s">
        <v>2090</v>
      </c>
      <c r="T266" s="116" t="s">
        <v>2091</v>
      </c>
      <c r="U266" s="116" t="s">
        <v>1097</v>
      </c>
      <c r="V266" s="116" t="s">
        <v>1028</v>
      </c>
      <c r="W266" s="116" t="s">
        <v>34</v>
      </c>
      <c r="X266" s="116" t="s">
        <v>2092</v>
      </c>
    </row>
    <row r="267">
      <c r="A267" s="154">
        <v>43690.258437881945</v>
      </c>
      <c r="B267" s="116" t="s">
        <v>2093</v>
      </c>
      <c r="C267" s="116" t="s">
        <v>2094</v>
      </c>
      <c r="E267" s="116" t="s">
        <v>2095</v>
      </c>
      <c r="F267" s="116" t="s">
        <v>1068</v>
      </c>
      <c r="G267" s="116" t="s">
        <v>1465</v>
      </c>
      <c r="H267" s="116" t="s">
        <v>63</v>
      </c>
      <c r="I267" s="116" t="s">
        <v>251</v>
      </c>
      <c r="J267" s="116" t="s">
        <v>400</v>
      </c>
      <c r="K267" s="116" t="s">
        <v>401</v>
      </c>
      <c r="L267" s="116" t="s">
        <v>136</v>
      </c>
      <c r="M267" s="116" t="s">
        <v>163</v>
      </c>
      <c r="O267" s="116" t="s">
        <v>130</v>
      </c>
      <c r="R267" s="116" t="s">
        <v>451</v>
      </c>
      <c r="S267" s="116" t="s">
        <v>2096</v>
      </c>
      <c r="T267" s="116" t="s">
        <v>2097</v>
      </c>
      <c r="U267" s="116" t="s">
        <v>1133</v>
      </c>
      <c r="V267" s="116" t="s">
        <v>1028</v>
      </c>
      <c r="X267" s="116" t="s">
        <v>2098</v>
      </c>
    </row>
    <row r="268">
      <c r="A268" s="154">
        <v>43691.59204373843</v>
      </c>
      <c r="B268" s="116" t="s">
        <v>2099</v>
      </c>
      <c r="C268" s="116" t="s">
        <v>2100</v>
      </c>
      <c r="D268" s="116" t="s">
        <v>2101</v>
      </c>
      <c r="E268" s="116" t="s">
        <v>2102</v>
      </c>
      <c r="F268" s="116" t="s">
        <v>529</v>
      </c>
      <c r="G268" s="116" t="s">
        <v>1022</v>
      </c>
      <c r="H268" s="116" t="s">
        <v>63</v>
      </c>
      <c r="I268" s="116" t="s">
        <v>400</v>
      </c>
      <c r="J268" s="116" t="s">
        <v>251</v>
      </c>
      <c r="K268" s="116" t="s">
        <v>401</v>
      </c>
      <c r="L268" s="116" t="s">
        <v>136</v>
      </c>
      <c r="M268" s="116" t="s">
        <v>163</v>
      </c>
      <c r="N268" s="116" t="s">
        <v>2103</v>
      </c>
      <c r="O268" s="116" t="s">
        <v>117</v>
      </c>
      <c r="P268" s="116" t="s">
        <v>1665</v>
      </c>
      <c r="R268" s="116" t="s">
        <v>451</v>
      </c>
      <c r="S268" s="116" t="s">
        <v>2104</v>
      </c>
      <c r="T268" s="116" t="s">
        <v>1665</v>
      </c>
      <c r="U268" s="116" t="s">
        <v>1027</v>
      </c>
      <c r="V268" s="116" t="s">
        <v>2105</v>
      </c>
      <c r="X268" s="116" t="s">
        <v>2106</v>
      </c>
    </row>
    <row r="269">
      <c r="A269" s="154">
        <v>43691.69954341435</v>
      </c>
      <c r="B269" s="116" t="s">
        <v>2107</v>
      </c>
      <c r="C269" s="116" t="s">
        <v>2108</v>
      </c>
      <c r="E269" s="116" t="s">
        <v>2109</v>
      </c>
      <c r="F269" s="116" t="s">
        <v>1068</v>
      </c>
      <c r="G269" s="116" t="s">
        <v>1101</v>
      </c>
      <c r="H269" s="116" t="s">
        <v>63</v>
      </c>
      <c r="I269" s="116" t="s">
        <v>401</v>
      </c>
      <c r="N269" s="116" t="s">
        <v>2110</v>
      </c>
      <c r="O269" s="116" t="s">
        <v>130</v>
      </c>
      <c r="R269" s="116" t="s">
        <v>442</v>
      </c>
      <c r="S269" s="116" t="s">
        <v>2111</v>
      </c>
      <c r="T269" s="116" t="s">
        <v>2112</v>
      </c>
      <c r="U269" s="116" t="s">
        <v>1027</v>
      </c>
      <c r="V269" s="116" t="s">
        <v>2113</v>
      </c>
      <c r="W269" s="116" t="s">
        <v>2114</v>
      </c>
      <c r="X269" s="116" t="s">
        <v>1888</v>
      </c>
    </row>
    <row r="270">
      <c r="A270" s="154">
        <v>43691.85581674769</v>
      </c>
      <c r="B270" s="116" t="s">
        <v>2115</v>
      </c>
      <c r="C270" s="116" t="s">
        <v>2116</v>
      </c>
      <c r="D270" s="116" t="s">
        <v>2117</v>
      </c>
      <c r="E270" s="116" t="s">
        <v>2118</v>
      </c>
      <c r="F270" s="116" t="s">
        <v>461</v>
      </c>
      <c r="G270" s="116" t="s">
        <v>1101</v>
      </c>
      <c r="H270" s="116" t="s">
        <v>63</v>
      </c>
      <c r="I270" s="116" t="s">
        <v>251</v>
      </c>
      <c r="J270" s="116" t="s">
        <v>163</v>
      </c>
      <c r="K270" s="116" t="s">
        <v>400</v>
      </c>
      <c r="L270" s="116" t="s">
        <v>401</v>
      </c>
      <c r="M270" s="116" t="s">
        <v>136</v>
      </c>
      <c r="N270" s="116" t="s">
        <v>130</v>
      </c>
      <c r="O270" s="116" t="s">
        <v>117</v>
      </c>
      <c r="P270" s="116" t="s">
        <v>117</v>
      </c>
      <c r="R270" s="116" t="s">
        <v>451</v>
      </c>
      <c r="S270" s="116" t="s">
        <v>2119</v>
      </c>
      <c r="T270" s="116" t="s">
        <v>2120</v>
      </c>
      <c r="U270" s="116" t="s">
        <v>1097</v>
      </c>
      <c r="V270" s="116" t="s">
        <v>1028</v>
      </c>
      <c r="W270" s="116" t="s">
        <v>34</v>
      </c>
      <c r="X270" s="116" t="s">
        <v>1687</v>
      </c>
    </row>
    <row r="271">
      <c r="A271" s="154">
        <v>43692.43983260417</v>
      </c>
      <c r="B271" s="116" t="s">
        <v>2121</v>
      </c>
      <c r="C271" s="116" t="s">
        <v>2122</v>
      </c>
      <c r="D271" s="116" t="s">
        <v>2123</v>
      </c>
      <c r="E271" s="116" t="s">
        <v>2124</v>
      </c>
      <c r="F271" s="116" t="s">
        <v>1021</v>
      </c>
      <c r="G271" s="116" t="s">
        <v>1637</v>
      </c>
      <c r="H271" s="116" t="s">
        <v>63</v>
      </c>
      <c r="I271" s="116" t="s">
        <v>251</v>
      </c>
      <c r="J271" s="116" t="s">
        <v>163</v>
      </c>
      <c r="K271" s="116" t="s">
        <v>401</v>
      </c>
      <c r="L271" s="116" t="s">
        <v>400</v>
      </c>
      <c r="M271" s="116" t="s">
        <v>136</v>
      </c>
      <c r="N271" s="116" t="s">
        <v>2125</v>
      </c>
      <c r="O271" s="116" t="s">
        <v>117</v>
      </c>
      <c r="P271" s="116" t="s">
        <v>2126</v>
      </c>
      <c r="R271" s="116" t="s">
        <v>451</v>
      </c>
      <c r="S271" s="116" t="s">
        <v>2127</v>
      </c>
      <c r="T271" s="116" t="s">
        <v>2128</v>
      </c>
      <c r="U271" s="116" t="s">
        <v>1027</v>
      </c>
      <c r="V271" s="116" t="s">
        <v>1091</v>
      </c>
      <c r="X271" s="116" t="s">
        <v>2129</v>
      </c>
    </row>
    <row r="272">
      <c r="A272" s="154">
        <v>43692.757643530094</v>
      </c>
      <c r="B272" s="116" t="s">
        <v>2130</v>
      </c>
      <c r="C272" s="116" t="s">
        <v>2131</v>
      </c>
      <c r="E272" s="116" t="s">
        <v>2132</v>
      </c>
      <c r="F272" s="116" t="s">
        <v>1068</v>
      </c>
      <c r="G272" s="116" t="s">
        <v>1101</v>
      </c>
      <c r="H272" s="116" t="s">
        <v>63</v>
      </c>
      <c r="I272" s="116" t="s">
        <v>400</v>
      </c>
      <c r="N272" s="116" t="s">
        <v>2133</v>
      </c>
      <c r="O272" s="116" t="s">
        <v>403</v>
      </c>
      <c r="P272" s="116" t="s">
        <v>2134</v>
      </c>
      <c r="R272" s="116" t="s">
        <v>442</v>
      </c>
      <c r="S272" s="116" t="s">
        <v>2135</v>
      </c>
      <c r="T272" s="116" t="s">
        <v>2136</v>
      </c>
      <c r="U272" s="116" t="s">
        <v>1036</v>
      </c>
      <c r="V272" s="116" t="s">
        <v>1028</v>
      </c>
      <c r="X272" s="116" t="s">
        <v>2137</v>
      </c>
    </row>
    <row r="273">
      <c r="A273" s="154">
        <v>43692.80813991898</v>
      </c>
      <c r="B273" s="116" t="s">
        <v>2138</v>
      </c>
      <c r="C273" s="116" t="s">
        <v>2139</v>
      </c>
      <c r="E273" s="116" t="s">
        <v>2140</v>
      </c>
      <c r="F273" s="116" t="s">
        <v>461</v>
      </c>
      <c r="G273" s="116" t="s">
        <v>1101</v>
      </c>
      <c r="H273" s="116" t="s">
        <v>63</v>
      </c>
      <c r="I273" s="116" t="s">
        <v>251</v>
      </c>
      <c r="J273" s="116" t="s">
        <v>163</v>
      </c>
      <c r="K273" s="116" t="s">
        <v>400</v>
      </c>
      <c r="L273" s="116" t="s">
        <v>401</v>
      </c>
      <c r="M273" s="116" t="s">
        <v>136</v>
      </c>
      <c r="O273" s="116" t="s">
        <v>117</v>
      </c>
      <c r="R273" s="116" t="s">
        <v>451</v>
      </c>
      <c r="U273" s="116" t="s">
        <v>1097</v>
      </c>
      <c r="V273" s="116" t="s">
        <v>1028</v>
      </c>
      <c r="W273" s="116" t="s">
        <v>2141</v>
      </c>
      <c r="X273" s="116" t="s">
        <v>1710</v>
      </c>
    </row>
    <row r="274">
      <c r="A274" s="154">
        <v>43692.94038061342</v>
      </c>
      <c r="B274" s="116" t="s">
        <v>2142</v>
      </c>
      <c r="C274" s="116" t="s">
        <v>2143</v>
      </c>
      <c r="E274" s="116" t="s">
        <v>2144</v>
      </c>
      <c r="F274" s="116" t="s">
        <v>431</v>
      </c>
      <c r="G274" s="116" t="s">
        <v>1101</v>
      </c>
      <c r="H274" s="116" t="s">
        <v>63</v>
      </c>
      <c r="I274" s="116" t="s">
        <v>136</v>
      </c>
      <c r="J274" s="116" t="s">
        <v>251</v>
      </c>
      <c r="K274" s="116" t="s">
        <v>400</v>
      </c>
      <c r="L274" s="116" t="s">
        <v>163</v>
      </c>
      <c r="M274" s="116" t="s">
        <v>401</v>
      </c>
      <c r="N274" s="116" t="s">
        <v>130</v>
      </c>
      <c r="O274" s="116" t="s">
        <v>403</v>
      </c>
      <c r="P274" s="116" t="s">
        <v>2145</v>
      </c>
      <c r="R274" s="116" t="s">
        <v>451</v>
      </c>
      <c r="U274" s="116" t="s">
        <v>1097</v>
      </c>
      <c r="V274" s="116" t="s">
        <v>1028</v>
      </c>
      <c r="W274" s="116" t="s">
        <v>2146</v>
      </c>
    </row>
    <row r="275">
      <c r="A275" s="154">
        <v>43693.343014768514</v>
      </c>
      <c r="B275" s="116" t="s">
        <v>2142</v>
      </c>
      <c r="C275" s="116" t="s">
        <v>2143</v>
      </c>
      <c r="E275" s="116" t="s">
        <v>2144</v>
      </c>
      <c r="F275" s="116" t="s">
        <v>431</v>
      </c>
      <c r="G275" s="116" t="s">
        <v>1101</v>
      </c>
      <c r="H275" s="116" t="s">
        <v>63</v>
      </c>
      <c r="I275" s="116" t="s">
        <v>136</v>
      </c>
      <c r="J275" s="116" t="s">
        <v>251</v>
      </c>
      <c r="K275" s="116" t="s">
        <v>400</v>
      </c>
      <c r="L275" s="116" t="s">
        <v>163</v>
      </c>
      <c r="M275" s="116" t="s">
        <v>401</v>
      </c>
      <c r="N275" s="116" t="s">
        <v>130</v>
      </c>
      <c r="O275" s="116" t="s">
        <v>403</v>
      </c>
      <c r="P275" s="116" t="s">
        <v>2145</v>
      </c>
      <c r="R275" s="116" t="s">
        <v>451</v>
      </c>
      <c r="U275" s="116" t="s">
        <v>1097</v>
      </c>
      <c r="V275" s="116" t="s">
        <v>1028</v>
      </c>
      <c r="W275" s="116" t="s">
        <v>2146</v>
      </c>
    </row>
    <row r="276">
      <c r="A276" s="154">
        <v>43693.391088738426</v>
      </c>
      <c r="B276" s="116" t="s">
        <v>2147</v>
      </c>
      <c r="C276" s="116" t="s">
        <v>2131</v>
      </c>
      <c r="D276" s="116" t="s">
        <v>2148</v>
      </c>
      <c r="E276" s="116" t="s">
        <v>2149</v>
      </c>
      <c r="F276" s="116" t="s">
        <v>1068</v>
      </c>
      <c r="G276" s="116" t="s">
        <v>1101</v>
      </c>
      <c r="H276" s="116" t="s">
        <v>63</v>
      </c>
      <c r="I276" s="116" t="s">
        <v>400</v>
      </c>
      <c r="N276" s="116" t="s">
        <v>2150</v>
      </c>
      <c r="O276" s="116" t="s">
        <v>130</v>
      </c>
      <c r="P276" s="116" t="s">
        <v>2151</v>
      </c>
      <c r="R276" s="116" t="s">
        <v>405</v>
      </c>
      <c r="S276" s="116" t="s">
        <v>2152</v>
      </c>
      <c r="T276" s="116" t="s">
        <v>2153</v>
      </c>
      <c r="U276" s="116" t="s">
        <v>1027</v>
      </c>
      <c r="V276" s="116" t="s">
        <v>1028</v>
      </c>
      <c r="W276" s="116" t="s">
        <v>34</v>
      </c>
      <c r="X276" s="116" t="s">
        <v>1677</v>
      </c>
    </row>
    <row r="277">
      <c r="A277" s="154">
        <v>43693.45771097222</v>
      </c>
      <c r="B277" s="116" t="s">
        <v>2154</v>
      </c>
      <c r="C277" s="116" t="s">
        <v>2155</v>
      </c>
      <c r="D277" s="116" t="s">
        <v>2156</v>
      </c>
      <c r="E277" s="116" t="s">
        <v>2157</v>
      </c>
      <c r="F277" s="116" t="s">
        <v>492</v>
      </c>
      <c r="G277" s="116" t="s">
        <v>1101</v>
      </c>
      <c r="H277" s="116" t="s">
        <v>63</v>
      </c>
      <c r="I277" s="116" t="s">
        <v>251</v>
      </c>
      <c r="J277" s="116" t="s">
        <v>400</v>
      </c>
      <c r="K277" s="116" t="s">
        <v>163</v>
      </c>
      <c r="N277" s="116" t="s">
        <v>2158</v>
      </c>
      <c r="O277" s="116" t="s">
        <v>403</v>
      </c>
      <c r="P277" s="116" t="s">
        <v>2159</v>
      </c>
      <c r="R277" s="116" t="s">
        <v>451</v>
      </c>
      <c r="S277" s="116" t="s">
        <v>2160</v>
      </c>
      <c r="T277" s="116" t="s">
        <v>2161</v>
      </c>
      <c r="U277" s="116" t="s">
        <v>1036</v>
      </c>
      <c r="V277" s="116" t="s">
        <v>1091</v>
      </c>
      <c r="W277" s="116" t="s">
        <v>1104</v>
      </c>
      <c r="X277" s="116" t="s">
        <v>1757</v>
      </c>
    </row>
    <row r="278">
      <c r="A278" s="154">
        <v>43693.47499200232</v>
      </c>
      <c r="B278" s="116" t="s">
        <v>2162</v>
      </c>
      <c r="C278" s="116" t="s">
        <v>2163</v>
      </c>
      <c r="E278" s="116" t="s">
        <v>2164</v>
      </c>
      <c r="F278" s="116" t="s">
        <v>431</v>
      </c>
      <c r="G278" s="116" t="s">
        <v>1101</v>
      </c>
      <c r="H278" s="116" t="s">
        <v>63</v>
      </c>
      <c r="I278" s="116" t="s">
        <v>163</v>
      </c>
      <c r="N278" s="116" t="s">
        <v>2165</v>
      </c>
      <c r="O278" s="116" t="s">
        <v>403</v>
      </c>
      <c r="P278" s="116" t="s">
        <v>2166</v>
      </c>
      <c r="R278" s="116" t="s">
        <v>451</v>
      </c>
      <c r="S278" s="116" t="s">
        <v>2167</v>
      </c>
      <c r="T278" s="116" t="s">
        <v>2168</v>
      </c>
      <c r="U278" s="116" t="s">
        <v>1766</v>
      </c>
      <c r="V278" s="116" t="s">
        <v>1028</v>
      </c>
      <c r="W278" s="116" t="s">
        <v>2169</v>
      </c>
      <c r="X278" s="116" t="s">
        <v>2170</v>
      </c>
    </row>
    <row r="279">
      <c r="A279" s="154">
        <v>43693.47666775463</v>
      </c>
      <c r="B279" s="116" t="s">
        <v>2142</v>
      </c>
      <c r="C279" s="116" t="s">
        <v>2171</v>
      </c>
      <c r="E279" s="116" t="s">
        <v>2144</v>
      </c>
      <c r="F279" s="116" t="s">
        <v>431</v>
      </c>
      <c r="G279" s="116" t="s">
        <v>1022</v>
      </c>
      <c r="H279" s="116" t="s">
        <v>63</v>
      </c>
      <c r="I279" s="116" t="s">
        <v>136</v>
      </c>
      <c r="J279" s="116" t="s">
        <v>251</v>
      </c>
      <c r="K279" s="116" t="s">
        <v>400</v>
      </c>
      <c r="L279" s="116" t="s">
        <v>163</v>
      </c>
      <c r="M279" s="116" t="s">
        <v>401</v>
      </c>
      <c r="N279" s="116" t="s">
        <v>2172</v>
      </c>
      <c r="O279" s="116" t="s">
        <v>117</v>
      </c>
      <c r="R279" s="116" t="s">
        <v>451</v>
      </c>
      <c r="U279" s="116" t="s">
        <v>1062</v>
      </c>
      <c r="V279" s="116" t="s">
        <v>1028</v>
      </c>
      <c r="W279" s="116" t="s">
        <v>2173</v>
      </c>
    </row>
    <row r="280">
      <c r="A280" s="154">
        <v>43693.871890752314</v>
      </c>
      <c r="B280" s="116" t="s">
        <v>2174</v>
      </c>
      <c r="C280" s="116" t="s">
        <v>1259</v>
      </c>
      <c r="D280" s="116" t="s">
        <v>2175</v>
      </c>
      <c r="E280" s="116" t="s">
        <v>2176</v>
      </c>
      <c r="F280" s="116" t="s">
        <v>418</v>
      </c>
      <c r="G280" s="116" t="s">
        <v>1101</v>
      </c>
      <c r="H280" s="116" t="s">
        <v>63</v>
      </c>
      <c r="I280" s="116" t="s">
        <v>251</v>
      </c>
      <c r="J280" s="116" t="s">
        <v>136</v>
      </c>
      <c r="K280" s="116" t="s">
        <v>401</v>
      </c>
      <c r="L280" s="116" t="s">
        <v>163</v>
      </c>
      <c r="M280" s="116" t="s">
        <v>400</v>
      </c>
      <c r="N280" s="116" t="s">
        <v>2177</v>
      </c>
      <c r="O280" s="116" t="s">
        <v>403</v>
      </c>
      <c r="P280" s="116" t="s">
        <v>2178</v>
      </c>
      <c r="R280" s="116" t="s">
        <v>405</v>
      </c>
      <c r="S280" s="116" t="s">
        <v>2179</v>
      </c>
      <c r="T280" s="116" t="s">
        <v>2180</v>
      </c>
      <c r="U280" s="116" t="s">
        <v>1036</v>
      </c>
      <c r="V280" s="116" t="s">
        <v>2181</v>
      </c>
      <c r="W280" s="116" t="s">
        <v>2182</v>
      </c>
      <c r="X280" s="116" t="s">
        <v>2183</v>
      </c>
    </row>
    <row r="281">
      <c r="A281" s="154">
        <v>43695.7210746875</v>
      </c>
      <c r="B281" s="116" t="s">
        <v>2184</v>
      </c>
      <c r="C281" s="116" t="s">
        <v>2185</v>
      </c>
      <c r="D281" s="116" t="s">
        <v>2186</v>
      </c>
      <c r="E281" s="116" t="s">
        <v>2187</v>
      </c>
      <c r="F281" s="116" t="s">
        <v>461</v>
      </c>
      <c r="G281" s="116" t="s">
        <v>1101</v>
      </c>
      <c r="H281" s="116" t="s">
        <v>63</v>
      </c>
      <c r="I281" s="116" t="s">
        <v>251</v>
      </c>
      <c r="J281" s="116" t="s">
        <v>400</v>
      </c>
      <c r="K281" s="116" t="s">
        <v>401</v>
      </c>
      <c r="L281" s="116" t="s">
        <v>163</v>
      </c>
      <c r="M281" s="116" t="s">
        <v>136</v>
      </c>
      <c r="N281" s="116" t="s">
        <v>2188</v>
      </c>
      <c r="O281" s="116" t="s">
        <v>403</v>
      </c>
      <c r="P281" s="116" t="s">
        <v>2189</v>
      </c>
      <c r="R281" s="116" t="s">
        <v>451</v>
      </c>
      <c r="S281" s="116" t="s">
        <v>2190</v>
      </c>
      <c r="T281" s="116" t="s">
        <v>2191</v>
      </c>
      <c r="U281" s="116" t="s">
        <v>2192</v>
      </c>
      <c r="V281" s="116" t="s">
        <v>1028</v>
      </c>
      <c r="X281" s="116" t="s">
        <v>2193</v>
      </c>
    </row>
    <row r="282">
      <c r="A282" s="154">
        <v>43696.33861744213</v>
      </c>
      <c r="B282" s="116" t="s">
        <v>2194</v>
      </c>
      <c r="C282" s="116" t="s">
        <v>2195</v>
      </c>
      <c r="D282" s="116" t="s">
        <v>2196</v>
      </c>
      <c r="E282" s="116" t="s">
        <v>2197</v>
      </c>
      <c r="F282" s="116" t="s">
        <v>418</v>
      </c>
      <c r="G282" s="116" t="s">
        <v>1101</v>
      </c>
      <c r="H282" s="116" t="s">
        <v>63</v>
      </c>
      <c r="I282" s="116" t="s">
        <v>401</v>
      </c>
      <c r="N282" s="116" t="s">
        <v>2198</v>
      </c>
      <c r="O282" s="116" t="s">
        <v>403</v>
      </c>
      <c r="P282" s="116" t="s">
        <v>2199</v>
      </c>
      <c r="R282" s="116" t="s">
        <v>405</v>
      </c>
      <c r="S282" s="116" t="s">
        <v>2200</v>
      </c>
      <c r="T282" s="116" t="s">
        <v>2201</v>
      </c>
      <c r="U282" s="116" t="s">
        <v>1062</v>
      </c>
      <c r="V282" s="116" t="s">
        <v>1249</v>
      </c>
      <c r="W282" s="116" t="s">
        <v>2202</v>
      </c>
      <c r="X282" s="116" t="s">
        <v>1677</v>
      </c>
    </row>
    <row r="283">
      <c r="A283" s="154">
        <v>43699.15815502315</v>
      </c>
      <c r="B283" s="116" t="s">
        <v>2203</v>
      </c>
      <c r="C283" s="116" t="s">
        <v>2204</v>
      </c>
      <c r="D283" s="116" t="s">
        <v>2205</v>
      </c>
      <c r="E283" s="116" t="s">
        <v>2206</v>
      </c>
      <c r="F283" s="116" t="s">
        <v>1068</v>
      </c>
      <c r="G283" s="116" t="s">
        <v>1049</v>
      </c>
      <c r="H283" s="116" t="s">
        <v>63</v>
      </c>
      <c r="I283" s="116" t="s">
        <v>401</v>
      </c>
      <c r="J283" s="116" t="s">
        <v>251</v>
      </c>
      <c r="K283" s="116" t="s">
        <v>400</v>
      </c>
      <c r="L283" s="116" t="s">
        <v>163</v>
      </c>
      <c r="M283" s="116" t="s">
        <v>136</v>
      </c>
      <c r="N283" s="116" t="s">
        <v>2207</v>
      </c>
      <c r="O283" s="116" t="s">
        <v>117</v>
      </c>
      <c r="R283" s="116" t="s">
        <v>451</v>
      </c>
      <c r="S283" s="116" t="s">
        <v>2208</v>
      </c>
      <c r="T283" s="116" t="s">
        <v>2209</v>
      </c>
      <c r="U283" s="116" t="s">
        <v>1097</v>
      </c>
      <c r="V283" s="116" t="s">
        <v>1091</v>
      </c>
      <c r="W283" s="116" t="s">
        <v>130</v>
      </c>
      <c r="X283" s="116" t="s">
        <v>1841</v>
      </c>
    </row>
    <row r="284">
      <c r="A284" s="154">
        <v>43699.4692784838</v>
      </c>
      <c r="B284" s="116" t="s">
        <v>2210</v>
      </c>
      <c r="C284" s="116" t="s">
        <v>2211</v>
      </c>
      <c r="D284" s="116" t="s">
        <v>2212</v>
      </c>
      <c r="E284" s="116" t="s">
        <v>2213</v>
      </c>
      <c r="F284" s="116" t="s">
        <v>1068</v>
      </c>
      <c r="G284" s="116" t="s">
        <v>1022</v>
      </c>
      <c r="H284" s="116" t="s">
        <v>63</v>
      </c>
      <c r="I284" s="116" t="s">
        <v>251</v>
      </c>
      <c r="J284" s="116" t="s">
        <v>400</v>
      </c>
      <c r="K284" s="116" t="s">
        <v>401</v>
      </c>
      <c r="N284" s="116" t="s">
        <v>2214</v>
      </c>
      <c r="O284" s="116" t="s">
        <v>403</v>
      </c>
      <c r="P284" s="116" t="s">
        <v>2215</v>
      </c>
      <c r="R284" s="116" t="s">
        <v>451</v>
      </c>
      <c r="S284" s="116" t="s">
        <v>2216</v>
      </c>
      <c r="T284" s="116" t="s">
        <v>2217</v>
      </c>
      <c r="U284" s="116" t="s">
        <v>1097</v>
      </c>
      <c r="V284" s="116" t="s">
        <v>1028</v>
      </c>
      <c r="X284" s="116" t="s">
        <v>2218</v>
      </c>
    </row>
    <row r="285">
      <c r="A285" s="154">
        <v>43701.87979853009</v>
      </c>
      <c r="B285" s="116" t="s">
        <v>2219</v>
      </c>
      <c r="C285" s="116" t="s">
        <v>2220</v>
      </c>
      <c r="D285" s="116" t="s">
        <v>2221</v>
      </c>
      <c r="E285" s="116" t="s">
        <v>2222</v>
      </c>
      <c r="F285" s="116" t="s">
        <v>431</v>
      </c>
      <c r="G285" s="116" t="s">
        <v>1219</v>
      </c>
      <c r="H285" s="116" t="s">
        <v>63</v>
      </c>
      <c r="I285" s="116" t="s">
        <v>251</v>
      </c>
      <c r="J285" s="116" t="s">
        <v>400</v>
      </c>
      <c r="N285" s="116" t="s">
        <v>2223</v>
      </c>
      <c r="O285" s="116" t="s">
        <v>403</v>
      </c>
      <c r="P285" s="116" t="s">
        <v>2224</v>
      </c>
      <c r="R285" s="116" t="s">
        <v>405</v>
      </c>
      <c r="S285" s="116" t="s">
        <v>2225</v>
      </c>
      <c r="T285" s="116" t="s">
        <v>2226</v>
      </c>
      <c r="U285" s="116" t="s">
        <v>1133</v>
      </c>
      <c r="V285" s="116" t="s">
        <v>1028</v>
      </c>
      <c r="W285" s="116" t="s">
        <v>1081</v>
      </c>
      <c r="X285" s="116" t="s">
        <v>1677</v>
      </c>
    </row>
    <row r="286">
      <c r="A286" s="154">
        <v>43703.24914248842</v>
      </c>
      <c r="B286" s="116" t="s">
        <v>2227</v>
      </c>
      <c r="C286" s="116" t="s">
        <v>2228</v>
      </c>
      <c r="E286" s="116" t="s">
        <v>2229</v>
      </c>
      <c r="F286" s="116" t="s">
        <v>447</v>
      </c>
      <c r="G286" s="116" t="s">
        <v>1465</v>
      </c>
      <c r="H286" s="116" t="s">
        <v>63</v>
      </c>
      <c r="I286" s="116" t="s">
        <v>400</v>
      </c>
      <c r="N286" s="116" t="s">
        <v>2230</v>
      </c>
      <c r="O286" s="116" t="s">
        <v>117</v>
      </c>
      <c r="R286" s="116" t="s">
        <v>405</v>
      </c>
      <c r="U286" s="116" t="s">
        <v>1036</v>
      </c>
      <c r="V286" s="116" t="s">
        <v>1028</v>
      </c>
      <c r="X286" s="116" t="s">
        <v>2231</v>
      </c>
    </row>
    <row r="287">
      <c r="A287" s="154">
        <v>43703.62807980324</v>
      </c>
      <c r="B287" s="116" t="s">
        <v>2232</v>
      </c>
      <c r="C287" s="116" t="s">
        <v>2233</v>
      </c>
      <c r="D287" s="116" t="s">
        <v>2234</v>
      </c>
      <c r="E287" s="116" t="s">
        <v>2235</v>
      </c>
      <c r="F287" s="116" t="s">
        <v>1409</v>
      </c>
      <c r="G287" s="116" t="s">
        <v>1058</v>
      </c>
      <c r="H287" s="116" t="s">
        <v>63</v>
      </c>
      <c r="I287" s="116" t="s">
        <v>400</v>
      </c>
      <c r="P287" s="116" t="s">
        <v>2236</v>
      </c>
      <c r="R287" s="116" t="s">
        <v>451</v>
      </c>
      <c r="S287" s="116" t="s">
        <v>2237</v>
      </c>
      <c r="T287" s="116" t="s">
        <v>2238</v>
      </c>
      <c r="U287" s="116" t="s">
        <v>1027</v>
      </c>
      <c r="V287" s="116" t="s">
        <v>2239</v>
      </c>
      <c r="X287" s="116" t="s">
        <v>2240</v>
      </c>
    </row>
    <row r="288">
      <c r="A288" s="154">
        <v>43705.80924916667</v>
      </c>
      <c r="B288" s="116" t="s">
        <v>2241</v>
      </c>
      <c r="C288" s="116" t="s">
        <v>2242</v>
      </c>
      <c r="D288" s="116" t="s">
        <v>2243</v>
      </c>
      <c r="E288" s="116" t="s">
        <v>2244</v>
      </c>
      <c r="F288" s="116" t="s">
        <v>461</v>
      </c>
      <c r="G288" s="116" t="s">
        <v>1022</v>
      </c>
      <c r="H288" s="116" t="s">
        <v>63</v>
      </c>
      <c r="I288" s="116" t="s">
        <v>251</v>
      </c>
      <c r="J288" s="116" t="s">
        <v>401</v>
      </c>
      <c r="K288" s="116" t="s">
        <v>400</v>
      </c>
      <c r="L288" s="116" t="s">
        <v>163</v>
      </c>
      <c r="M288" s="116" t="s">
        <v>136</v>
      </c>
      <c r="N288" s="116" t="s">
        <v>2245</v>
      </c>
      <c r="O288" s="116" t="s">
        <v>403</v>
      </c>
      <c r="R288" s="116" t="s">
        <v>405</v>
      </c>
      <c r="S288" s="116" t="s">
        <v>2246</v>
      </c>
      <c r="U288" s="116" t="s">
        <v>1097</v>
      </c>
      <c r="V288" s="116" t="s">
        <v>1150</v>
      </c>
      <c r="X288" s="116" t="s">
        <v>1757</v>
      </c>
    </row>
    <row r="289">
      <c r="A289" s="154">
        <v>43707.296979108796</v>
      </c>
      <c r="B289" s="116" t="s">
        <v>2247</v>
      </c>
      <c r="C289" s="116" t="s">
        <v>2248</v>
      </c>
      <c r="D289" s="116" t="s">
        <v>2249</v>
      </c>
      <c r="E289" s="116" t="s">
        <v>2250</v>
      </c>
      <c r="F289" s="116" t="s">
        <v>529</v>
      </c>
      <c r="G289" s="116" t="s">
        <v>1504</v>
      </c>
      <c r="H289" s="116" t="s">
        <v>63</v>
      </c>
      <c r="I289" s="116" t="s">
        <v>400</v>
      </c>
      <c r="J289" s="116" t="s">
        <v>251</v>
      </c>
      <c r="O289" s="116" t="s">
        <v>403</v>
      </c>
      <c r="P289" s="116" t="s">
        <v>20</v>
      </c>
      <c r="R289" s="116" t="s">
        <v>405</v>
      </c>
      <c r="S289" s="116" t="s">
        <v>2251</v>
      </c>
      <c r="T289" s="116" t="s">
        <v>2252</v>
      </c>
      <c r="U289" s="116" t="s">
        <v>1097</v>
      </c>
      <c r="V289" s="116" t="s">
        <v>1150</v>
      </c>
      <c r="X289" s="116" t="s">
        <v>2253</v>
      </c>
    </row>
    <row r="290">
      <c r="A290" s="154">
        <v>43707.808572685186</v>
      </c>
      <c r="B290" s="116" t="s">
        <v>2254</v>
      </c>
      <c r="C290" s="116" t="s">
        <v>2255</v>
      </c>
      <c r="D290" s="116" t="s">
        <v>2256</v>
      </c>
      <c r="E290" s="116" t="s">
        <v>2257</v>
      </c>
      <c r="F290" s="116" t="s">
        <v>1409</v>
      </c>
      <c r="G290" s="116" t="s">
        <v>1884</v>
      </c>
      <c r="H290" s="116" t="s">
        <v>63</v>
      </c>
      <c r="I290" s="116" t="s">
        <v>136</v>
      </c>
      <c r="J290" s="116" t="s">
        <v>163</v>
      </c>
      <c r="K290" s="116" t="s">
        <v>400</v>
      </c>
      <c r="L290" s="116" t="s">
        <v>401</v>
      </c>
      <c r="M290" s="116" t="s">
        <v>251</v>
      </c>
      <c r="O290" s="116" t="s">
        <v>130</v>
      </c>
      <c r="P290" s="116" t="s">
        <v>2258</v>
      </c>
      <c r="R290" s="116" t="s">
        <v>405</v>
      </c>
      <c r="S290" s="116" t="s">
        <v>2259</v>
      </c>
      <c r="T290" s="116" t="s">
        <v>2260</v>
      </c>
      <c r="U290" s="116" t="s">
        <v>1036</v>
      </c>
      <c r="V290" s="116" t="s">
        <v>1821</v>
      </c>
      <c r="X290" s="116" t="s">
        <v>1823</v>
      </c>
    </row>
    <row r="291">
      <c r="A291" s="154">
        <v>43711.08206508102</v>
      </c>
      <c r="B291" s="116" t="s">
        <v>2261</v>
      </c>
      <c r="C291" s="116" t="s">
        <v>860</v>
      </c>
      <c r="D291" s="116" t="s">
        <v>2262</v>
      </c>
      <c r="E291" s="116" t="s">
        <v>2263</v>
      </c>
      <c r="F291" s="116" t="s">
        <v>418</v>
      </c>
      <c r="G291" s="116" t="s">
        <v>1101</v>
      </c>
      <c r="H291" s="116" t="s">
        <v>63</v>
      </c>
      <c r="I291" s="116" t="s">
        <v>251</v>
      </c>
      <c r="J291" s="116" t="s">
        <v>136</v>
      </c>
      <c r="K291" s="116" t="s">
        <v>400</v>
      </c>
      <c r="L291" s="116" t="s">
        <v>163</v>
      </c>
      <c r="M291" s="116" t="s">
        <v>401</v>
      </c>
      <c r="N291" s="116" t="s">
        <v>2264</v>
      </c>
      <c r="O291" s="116" t="s">
        <v>403</v>
      </c>
      <c r="P291" s="116" t="s">
        <v>2265</v>
      </c>
      <c r="R291" s="116" t="s">
        <v>451</v>
      </c>
      <c r="S291" s="116" t="s">
        <v>2266</v>
      </c>
      <c r="T291" s="116" t="s">
        <v>2267</v>
      </c>
      <c r="U291" s="116" t="s">
        <v>1097</v>
      </c>
      <c r="V291" s="116" t="s">
        <v>1028</v>
      </c>
      <c r="W291" s="116" t="s">
        <v>717</v>
      </c>
      <c r="X291" s="116" t="s">
        <v>2268</v>
      </c>
    </row>
    <row r="292">
      <c r="A292" s="154">
        <v>43711.38992238426</v>
      </c>
      <c r="B292" s="116" t="s">
        <v>470</v>
      </c>
      <c r="C292" s="116" t="s">
        <v>471</v>
      </c>
      <c r="D292" s="116" t="s">
        <v>472</v>
      </c>
      <c r="E292" s="116" t="s">
        <v>473</v>
      </c>
      <c r="F292" s="116" t="s">
        <v>461</v>
      </c>
      <c r="G292" s="116" t="s">
        <v>474</v>
      </c>
      <c r="H292" s="116" t="s">
        <v>63</v>
      </c>
      <c r="I292" s="116" t="s">
        <v>251</v>
      </c>
      <c r="U292" s="116" t="s">
        <v>2269</v>
      </c>
      <c r="V292" s="116" t="s">
        <v>2269</v>
      </c>
    </row>
    <row r="293">
      <c r="A293" s="154">
        <v>43711.408003530094</v>
      </c>
      <c r="B293" s="116" t="s">
        <v>664</v>
      </c>
      <c r="C293" s="116" t="s">
        <v>665</v>
      </c>
      <c r="D293" s="116" t="s">
        <v>666</v>
      </c>
      <c r="E293" s="116" t="s">
        <v>667</v>
      </c>
      <c r="F293" s="116" t="s">
        <v>1068</v>
      </c>
      <c r="G293" s="116" t="s">
        <v>2269</v>
      </c>
      <c r="H293" s="116" t="s">
        <v>63</v>
      </c>
      <c r="I293" s="116" t="s">
        <v>400</v>
      </c>
      <c r="U293" s="116" t="s">
        <v>2269</v>
      </c>
      <c r="V293" s="116" t="s">
        <v>2269</v>
      </c>
    </row>
    <row r="294">
      <c r="A294" s="154">
        <v>43711.40908538194</v>
      </c>
      <c r="B294" s="116" t="s">
        <v>664</v>
      </c>
      <c r="C294" s="116" t="s">
        <v>665</v>
      </c>
      <c r="D294" s="116" t="s">
        <v>666</v>
      </c>
      <c r="E294" s="116" t="s">
        <v>667</v>
      </c>
      <c r="F294" s="116" t="s">
        <v>1068</v>
      </c>
      <c r="G294" s="116" t="s">
        <v>2269</v>
      </c>
      <c r="H294" s="116" t="s">
        <v>63</v>
      </c>
      <c r="I294" s="116" t="s">
        <v>251</v>
      </c>
      <c r="U294" s="116" t="s">
        <v>2269</v>
      </c>
      <c r="V294" s="116" t="s">
        <v>2269</v>
      </c>
    </row>
    <row r="295">
      <c r="A295" s="154">
        <v>43711.41408498843</v>
      </c>
      <c r="B295" s="116" t="s">
        <v>675</v>
      </c>
      <c r="C295" s="116" t="s">
        <v>676</v>
      </c>
      <c r="D295" s="116" t="s">
        <v>677</v>
      </c>
      <c r="E295" s="116" t="s">
        <v>678</v>
      </c>
      <c r="F295" s="116" t="s">
        <v>431</v>
      </c>
      <c r="G295" s="116" t="s">
        <v>2270</v>
      </c>
      <c r="H295" s="116" t="s">
        <v>63</v>
      </c>
      <c r="I295" s="116" t="s">
        <v>251</v>
      </c>
      <c r="U295" s="116" t="s">
        <v>2270</v>
      </c>
      <c r="V295" s="116" t="s">
        <v>2270</v>
      </c>
    </row>
    <row r="296">
      <c r="A296" s="154">
        <v>43711.41696469908</v>
      </c>
      <c r="B296" s="116" t="s">
        <v>2271</v>
      </c>
      <c r="C296" s="116" t="s">
        <v>754</v>
      </c>
      <c r="D296" s="116" t="s">
        <v>755</v>
      </c>
      <c r="E296" s="116" t="s">
        <v>756</v>
      </c>
      <c r="F296" s="116" t="s">
        <v>431</v>
      </c>
      <c r="G296" s="116" t="s">
        <v>2269</v>
      </c>
      <c r="H296" s="116" t="s">
        <v>63</v>
      </c>
      <c r="I296" s="116" t="s">
        <v>251</v>
      </c>
      <c r="U296" s="116" t="s">
        <v>2269</v>
      </c>
      <c r="V296" s="116" t="s">
        <v>2269</v>
      </c>
    </row>
    <row r="297">
      <c r="A297" s="154">
        <v>43711.42228459491</v>
      </c>
      <c r="B297" s="116" t="s">
        <v>909</v>
      </c>
      <c r="C297" s="116" t="s">
        <v>313</v>
      </c>
      <c r="D297" s="116" t="s">
        <v>771</v>
      </c>
      <c r="E297" s="116" t="s">
        <v>910</v>
      </c>
      <c r="F297" s="116" t="s">
        <v>492</v>
      </c>
      <c r="G297" s="116" t="s">
        <v>2270</v>
      </c>
      <c r="H297" s="116" t="s">
        <v>63</v>
      </c>
      <c r="I297" s="116" t="s">
        <v>251</v>
      </c>
      <c r="U297" s="116" t="s">
        <v>2270</v>
      </c>
      <c r="V297" s="116" t="s">
        <v>2270</v>
      </c>
    </row>
    <row r="298">
      <c r="A298" s="154">
        <v>43712.77477491898</v>
      </c>
      <c r="B298" s="116" t="s">
        <v>2272</v>
      </c>
      <c r="C298" s="116" t="s">
        <v>682</v>
      </c>
      <c r="E298" s="116" t="s">
        <v>2273</v>
      </c>
      <c r="F298" s="116" t="s">
        <v>1068</v>
      </c>
      <c r="G298" s="116" t="s">
        <v>1049</v>
      </c>
      <c r="H298" s="116" t="s">
        <v>63</v>
      </c>
      <c r="N298" s="116" t="s">
        <v>2274</v>
      </c>
      <c r="O298" s="116" t="s">
        <v>403</v>
      </c>
      <c r="P298" s="116" t="s">
        <v>2275</v>
      </c>
      <c r="R298" s="116" t="s">
        <v>442</v>
      </c>
      <c r="T298" s="116" t="s">
        <v>2276</v>
      </c>
      <c r="U298" s="116" t="s">
        <v>1062</v>
      </c>
      <c r="V298" s="116" t="s">
        <v>1028</v>
      </c>
      <c r="X298" s="116" t="s">
        <v>1687</v>
      </c>
    </row>
    <row r="299">
      <c r="A299" s="154">
        <v>43713.48872883102</v>
      </c>
      <c r="B299" s="116" t="s">
        <v>2277</v>
      </c>
      <c r="C299" s="116" t="s">
        <v>2278</v>
      </c>
      <c r="E299" s="116" t="s">
        <v>2279</v>
      </c>
      <c r="F299" s="116" t="s">
        <v>492</v>
      </c>
      <c r="G299" s="116" t="s">
        <v>1439</v>
      </c>
      <c r="H299" s="116" t="s">
        <v>63</v>
      </c>
      <c r="I299" s="116" t="s">
        <v>251</v>
      </c>
      <c r="J299" s="116" t="s">
        <v>401</v>
      </c>
      <c r="K299" s="116" t="s">
        <v>400</v>
      </c>
      <c r="N299" s="116" t="s">
        <v>2280</v>
      </c>
      <c r="O299" s="116" t="s">
        <v>403</v>
      </c>
      <c r="P299" s="116" t="s">
        <v>2281</v>
      </c>
      <c r="R299" s="116" t="s">
        <v>405</v>
      </c>
      <c r="S299" s="116" t="s">
        <v>2282</v>
      </c>
      <c r="T299" s="116" t="s">
        <v>2283</v>
      </c>
      <c r="U299" s="116" t="s">
        <v>1062</v>
      </c>
      <c r="V299" s="116" t="s">
        <v>1091</v>
      </c>
      <c r="W299" s="116" t="s">
        <v>1104</v>
      </c>
      <c r="X299" s="116" t="s">
        <v>1833</v>
      </c>
    </row>
    <row r="300">
      <c r="A300" s="154">
        <v>43714.55424548611</v>
      </c>
      <c r="B300" s="116" t="s">
        <v>2284</v>
      </c>
      <c r="C300" s="116" t="s">
        <v>2285</v>
      </c>
      <c r="D300" s="116" t="s">
        <v>2286</v>
      </c>
      <c r="E300" s="116" t="s">
        <v>2287</v>
      </c>
      <c r="F300" s="116" t="s">
        <v>1409</v>
      </c>
      <c r="G300" s="116" t="s">
        <v>2288</v>
      </c>
      <c r="H300" s="116" t="s">
        <v>63</v>
      </c>
      <c r="I300" s="116" t="s">
        <v>136</v>
      </c>
      <c r="J300" s="116" t="s">
        <v>400</v>
      </c>
      <c r="K300" s="116" t="s">
        <v>401</v>
      </c>
      <c r="L300" s="116" t="s">
        <v>163</v>
      </c>
      <c r="M300" s="116" t="s">
        <v>251</v>
      </c>
      <c r="N300" s="116" t="s">
        <v>2289</v>
      </c>
      <c r="O300" s="116" t="s">
        <v>117</v>
      </c>
      <c r="P300" s="116" t="s">
        <v>2290</v>
      </c>
      <c r="R300" s="116" t="s">
        <v>451</v>
      </c>
      <c r="S300" s="116" t="s">
        <v>2291</v>
      </c>
      <c r="T300" s="116" t="s">
        <v>2292</v>
      </c>
      <c r="U300" s="116" t="s">
        <v>1027</v>
      </c>
      <c r="V300" s="116" t="s">
        <v>1821</v>
      </c>
      <c r="X300" s="116" t="s">
        <v>1823</v>
      </c>
    </row>
    <row r="301">
      <c r="A301" s="154">
        <v>43714.701527233796</v>
      </c>
      <c r="B301" s="116" t="s">
        <v>2293</v>
      </c>
      <c r="C301" s="116" t="s">
        <v>2294</v>
      </c>
      <c r="D301" s="116" t="s">
        <v>2295</v>
      </c>
      <c r="E301" s="116" t="s">
        <v>2296</v>
      </c>
      <c r="F301" s="116" t="s">
        <v>461</v>
      </c>
      <c r="G301" s="116" t="s">
        <v>1101</v>
      </c>
      <c r="H301" s="116" t="s">
        <v>202</v>
      </c>
      <c r="N301" s="116" t="s">
        <v>2297</v>
      </c>
      <c r="O301" s="116" t="s">
        <v>403</v>
      </c>
      <c r="P301" s="116" t="s">
        <v>130</v>
      </c>
      <c r="R301" s="116" t="s">
        <v>405</v>
      </c>
      <c r="S301" s="116" t="s">
        <v>2298</v>
      </c>
      <c r="T301" s="116" t="s">
        <v>2299</v>
      </c>
      <c r="U301" s="116" t="s">
        <v>2300</v>
      </c>
      <c r="V301" s="116" t="s">
        <v>1028</v>
      </c>
      <c r="X301" s="116" t="s">
        <v>2301</v>
      </c>
    </row>
    <row r="302">
      <c r="A302" s="154">
        <v>43716.695717106486</v>
      </c>
      <c r="B302" s="116" t="s">
        <v>2302</v>
      </c>
      <c r="C302" s="116" t="s">
        <v>2303</v>
      </c>
      <c r="D302" s="116" t="s">
        <v>2304</v>
      </c>
      <c r="E302" s="116" t="s">
        <v>2305</v>
      </c>
      <c r="F302" s="116" t="s">
        <v>1409</v>
      </c>
      <c r="G302" s="116" t="s">
        <v>1884</v>
      </c>
      <c r="H302" s="116" t="s">
        <v>63</v>
      </c>
      <c r="I302" s="116" t="s">
        <v>136</v>
      </c>
      <c r="J302" s="116" t="s">
        <v>400</v>
      </c>
      <c r="K302" s="116" t="s">
        <v>251</v>
      </c>
      <c r="L302" s="116" t="s">
        <v>401</v>
      </c>
      <c r="M302" s="116" t="s">
        <v>163</v>
      </c>
      <c r="N302" s="116" t="s">
        <v>2306</v>
      </c>
      <c r="O302" s="116" t="s">
        <v>403</v>
      </c>
      <c r="P302" s="116" t="s">
        <v>2307</v>
      </c>
      <c r="R302" s="116" t="s">
        <v>405</v>
      </c>
      <c r="S302" s="116" t="s">
        <v>2308</v>
      </c>
      <c r="T302" s="116" t="s">
        <v>2309</v>
      </c>
      <c r="U302" s="116" t="s">
        <v>1097</v>
      </c>
      <c r="V302" s="116" t="s">
        <v>1821</v>
      </c>
      <c r="X302" s="116" t="s">
        <v>1823</v>
      </c>
    </row>
    <row r="303">
      <c r="A303" s="154">
        <v>43717.72172622685</v>
      </c>
      <c r="B303" s="116" t="s">
        <v>2310</v>
      </c>
      <c r="C303" s="116" t="s">
        <v>2311</v>
      </c>
      <c r="D303" s="116" t="s">
        <v>2312</v>
      </c>
      <c r="E303" s="116" t="s">
        <v>2313</v>
      </c>
      <c r="F303" s="116" t="s">
        <v>418</v>
      </c>
      <c r="G303" s="116" t="s">
        <v>2084</v>
      </c>
      <c r="H303" s="116" t="s">
        <v>63</v>
      </c>
      <c r="I303" s="116" t="s">
        <v>400</v>
      </c>
      <c r="J303" s="116" t="s">
        <v>251</v>
      </c>
      <c r="K303" s="116" t="s">
        <v>136</v>
      </c>
      <c r="L303" s="116" t="s">
        <v>163</v>
      </c>
      <c r="M303" s="116" t="s">
        <v>401</v>
      </c>
      <c r="O303" s="116" t="s">
        <v>117</v>
      </c>
      <c r="P303" s="116" t="s">
        <v>2314</v>
      </c>
      <c r="R303" s="116" t="s">
        <v>451</v>
      </c>
      <c r="S303" s="116" t="s">
        <v>2315</v>
      </c>
      <c r="T303" s="116" t="s">
        <v>2316</v>
      </c>
      <c r="U303" s="116" t="s">
        <v>1097</v>
      </c>
      <c r="V303" s="116" t="s">
        <v>1028</v>
      </c>
      <c r="X303" s="116" t="s">
        <v>1833</v>
      </c>
    </row>
    <row r="304">
      <c r="A304" s="154">
        <v>43717.77896462963</v>
      </c>
      <c r="B304" s="116" t="s">
        <v>2317</v>
      </c>
      <c r="C304" s="116" t="s">
        <v>2318</v>
      </c>
      <c r="E304" s="116" t="s">
        <v>2319</v>
      </c>
      <c r="F304" s="116" t="s">
        <v>701</v>
      </c>
      <c r="G304" s="116" t="s">
        <v>1101</v>
      </c>
      <c r="H304" s="116" t="s">
        <v>63</v>
      </c>
      <c r="I304" s="116" t="s">
        <v>251</v>
      </c>
      <c r="J304" s="116" t="s">
        <v>400</v>
      </c>
      <c r="K304" s="116" t="s">
        <v>136</v>
      </c>
      <c r="L304" s="116" t="s">
        <v>163</v>
      </c>
      <c r="M304" s="116" t="s">
        <v>401</v>
      </c>
      <c r="O304" s="116" t="s">
        <v>130</v>
      </c>
      <c r="P304" s="116" t="s">
        <v>1156</v>
      </c>
      <c r="R304" s="116" t="s">
        <v>451</v>
      </c>
      <c r="S304" s="116" t="s">
        <v>2320</v>
      </c>
      <c r="T304" s="116" t="s">
        <v>2321</v>
      </c>
      <c r="U304" s="116" t="s">
        <v>1292</v>
      </c>
      <c r="V304" s="116" t="s">
        <v>1091</v>
      </c>
      <c r="X304" s="116" t="s">
        <v>2322</v>
      </c>
    </row>
    <row r="305">
      <c r="A305" s="154">
        <v>43718.61678217593</v>
      </c>
      <c r="B305" s="116" t="s">
        <v>2323</v>
      </c>
      <c r="C305" s="116" t="s">
        <v>2324</v>
      </c>
      <c r="D305" s="116" t="s">
        <v>2325</v>
      </c>
      <c r="E305" s="116" t="s">
        <v>2326</v>
      </c>
      <c r="F305" s="116" t="s">
        <v>701</v>
      </c>
      <c r="G305" s="116" t="s">
        <v>2327</v>
      </c>
      <c r="H305" s="116" t="s">
        <v>63</v>
      </c>
      <c r="I305" s="116" t="s">
        <v>401</v>
      </c>
      <c r="J305" s="116" t="s">
        <v>163</v>
      </c>
      <c r="K305" s="116" t="s">
        <v>136</v>
      </c>
      <c r="L305" s="116" t="s">
        <v>251</v>
      </c>
      <c r="M305" s="116" t="s">
        <v>400</v>
      </c>
      <c r="N305" s="116" t="s">
        <v>130</v>
      </c>
      <c r="O305" s="116" t="s">
        <v>117</v>
      </c>
      <c r="R305" s="116" t="s">
        <v>451</v>
      </c>
      <c r="S305" s="116" t="s">
        <v>2328</v>
      </c>
      <c r="T305" s="116" t="s">
        <v>2329</v>
      </c>
      <c r="U305" s="116" t="s">
        <v>1950</v>
      </c>
      <c r="V305" s="116" t="s">
        <v>1293</v>
      </c>
      <c r="X305" s="116" t="s">
        <v>1677</v>
      </c>
    </row>
    <row r="306">
      <c r="A306" s="154">
        <v>43720.90226984954</v>
      </c>
      <c r="B306" s="116" t="s">
        <v>2330</v>
      </c>
      <c r="C306" s="116" t="s">
        <v>2331</v>
      </c>
      <c r="D306" s="116" t="s">
        <v>2332</v>
      </c>
      <c r="E306" s="116" t="s">
        <v>2333</v>
      </c>
      <c r="F306" s="116" t="s">
        <v>418</v>
      </c>
      <c r="G306" s="116" t="s">
        <v>1101</v>
      </c>
      <c r="H306" s="116" t="s">
        <v>63</v>
      </c>
      <c r="I306" s="116" t="s">
        <v>251</v>
      </c>
      <c r="J306" s="116" t="s">
        <v>163</v>
      </c>
      <c r="K306" s="116" t="s">
        <v>400</v>
      </c>
      <c r="L306" s="116" t="s">
        <v>401</v>
      </c>
      <c r="N306" s="116" t="s">
        <v>2334</v>
      </c>
      <c r="O306" s="116" t="s">
        <v>403</v>
      </c>
      <c r="P306" s="116" t="s">
        <v>2335</v>
      </c>
      <c r="R306" s="116" t="s">
        <v>405</v>
      </c>
      <c r="S306" s="116" t="s">
        <v>2336</v>
      </c>
      <c r="T306" s="116" t="s">
        <v>2337</v>
      </c>
      <c r="U306" s="116" t="s">
        <v>1292</v>
      </c>
      <c r="V306" s="116" t="s">
        <v>1150</v>
      </c>
      <c r="W306" s="116" t="s">
        <v>2338</v>
      </c>
      <c r="X306" s="116" t="s">
        <v>2339</v>
      </c>
    </row>
    <row r="307">
      <c r="A307" s="154">
        <v>43721.408467650464</v>
      </c>
      <c r="B307" s="116" t="s">
        <v>2340</v>
      </c>
      <c r="C307" s="116" t="s">
        <v>453</v>
      </c>
      <c r="D307" s="116" t="s">
        <v>2341</v>
      </c>
      <c r="E307" s="116" t="s">
        <v>2342</v>
      </c>
      <c r="F307" s="116" t="s">
        <v>2343</v>
      </c>
      <c r="G307" s="116" t="s">
        <v>1022</v>
      </c>
      <c r="H307" s="116" t="s">
        <v>63</v>
      </c>
      <c r="I307" s="116" t="s">
        <v>251</v>
      </c>
      <c r="J307" s="116" t="s">
        <v>400</v>
      </c>
      <c r="N307" s="116" t="s">
        <v>2344</v>
      </c>
      <c r="O307" s="116" t="s">
        <v>403</v>
      </c>
      <c r="R307" s="116" t="s">
        <v>405</v>
      </c>
      <c r="S307" s="116" t="s">
        <v>2345</v>
      </c>
      <c r="T307" s="116" t="s">
        <v>2346</v>
      </c>
      <c r="U307" s="116" t="s">
        <v>1062</v>
      </c>
      <c r="V307" s="116" t="s">
        <v>1028</v>
      </c>
      <c r="W307" s="116" t="s">
        <v>2347</v>
      </c>
      <c r="X307" s="116" t="s">
        <v>2348</v>
      </c>
    </row>
    <row r="308">
      <c r="A308" s="154">
        <v>43721.66220423611</v>
      </c>
      <c r="B308" s="116" t="s">
        <v>2349</v>
      </c>
      <c r="C308" s="116" t="s">
        <v>682</v>
      </c>
      <c r="D308" s="116" t="s">
        <v>2350</v>
      </c>
      <c r="E308" s="116" t="s">
        <v>2351</v>
      </c>
      <c r="F308" s="116" t="s">
        <v>1068</v>
      </c>
      <c r="G308" s="116" t="s">
        <v>1101</v>
      </c>
      <c r="H308" s="116" t="s">
        <v>63</v>
      </c>
      <c r="I308" s="116" t="s">
        <v>251</v>
      </c>
      <c r="N308" s="116" t="s">
        <v>2352</v>
      </c>
      <c r="O308" s="116" t="s">
        <v>130</v>
      </c>
      <c r="P308" s="116" t="s">
        <v>175</v>
      </c>
      <c r="R308" s="116" t="s">
        <v>442</v>
      </c>
      <c r="S308" s="116" t="s">
        <v>2353</v>
      </c>
      <c r="T308" s="116" t="s">
        <v>175</v>
      </c>
      <c r="U308" s="116" t="s">
        <v>1766</v>
      </c>
      <c r="V308" s="116" t="s">
        <v>1028</v>
      </c>
      <c r="X308" s="116" t="s">
        <v>1687</v>
      </c>
    </row>
    <row r="309">
      <c r="A309" s="154">
        <v>43724.55539652778</v>
      </c>
      <c r="B309" s="116" t="s">
        <v>2354</v>
      </c>
      <c r="C309" s="116" t="s">
        <v>2355</v>
      </c>
      <c r="D309" s="116" t="s">
        <v>2356</v>
      </c>
      <c r="E309" s="116" t="s">
        <v>2357</v>
      </c>
      <c r="F309" s="116" t="s">
        <v>2358</v>
      </c>
      <c r="G309" s="116" t="s">
        <v>1022</v>
      </c>
      <c r="H309" s="116" t="s">
        <v>63</v>
      </c>
      <c r="I309" s="116" t="s">
        <v>163</v>
      </c>
      <c r="J309" s="116" t="s">
        <v>251</v>
      </c>
      <c r="K309" s="116" t="s">
        <v>400</v>
      </c>
      <c r="L309" s="116" t="s">
        <v>401</v>
      </c>
      <c r="M309" s="116" t="s">
        <v>136</v>
      </c>
      <c r="N309" s="116" t="s">
        <v>2359</v>
      </c>
      <c r="O309" s="116" t="s">
        <v>117</v>
      </c>
      <c r="P309" s="116" t="s">
        <v>2360</v>
      </c>
      <c r="R309" s="116" t="s">
        <v>451</v>
      </c>
      <c r="S309" s="116" t="s">
        <v>2361</v>
      </c>
      <c r="T309" s="116" t="s">
        <v>717</v>
      </c>
      <c r="U309" s="116" t="s">
        <v>1133</v>
      </c>
      <c r="V309" s="116" t="s">
        <v>1028</v>
      </c>
      <c r="W309" s="116" t="s">
        <v>2362</v>
      </c>
      <c r="X309" s="116" t="s">
        <v>2363</v>
      </c>
    </row>
    <row r="310">
      <c r="A310" s="154">
        <v>43724.684086863424</v>
      </c>
      <c r="B310" s="116" t="s">
        <v>2364</v>
      </c>
      <c r="C310" s="116" t="s">
        <v>2365</v>
      </c>
      <c r="D310" s="116" t="s">
        <v>2366</v>
      </c>
      <c r="E310" s="116" t="s">
        <v>2367</v>
      </c>
      <c r="F310" s="116" t="s">
        <v>1409</v>
      </c>
      <c r="G310" s="116" t="s">
        <v>2368</v>
      </c>
      <c r="H310" s="116" t="s">
        <v>63</v>
      </c>
      <c r="I310" s="116" t="s">
        <v>251</v>
      </c>
      <c r="J310" s="116" t="s">
        <v>163</v>
      </c>
      <c r="K310" s="116" t="s">
        <v>401</v>
      </c>
      <c r="L310" s="116" t="s">
        <v>400</v>
      </c>
      <c r="M310" s="116" t="s">
        <v>136</v>
      </c>
      <c r="O310" s="116" t="s">
        <v>117</v>
      </c>
      <c r="P310" s="116" t="s">
        <v>691</v>
      </c>
      <c r="R310" s="116" t="s">
        <v>451</v>
      </c>
      <c r="S310" s="116" t="s">
        <v>2369</v>
      </c>
      <c r="T310" s="116" t="s">
        <v>2370</v>
      </c>
      <c r="U310" s="116" t="s">
        <v>1036</v>
      </c>
      <c r="V310" s="116" t="s">
        <v>1293</v>
      </c>
      <c r="X310" s="116" t="s">
        <v>2348</v>
      </c>
    </row>
    <row r="311">
      <c r="A311" s="154">
        <v>43725.59430077546</v>
      </c>
      <c r="B311" s="116" t="s">
        <v>2371</v>
      </c>
      <c r="C311" s="116" t="s">
        <v>2372</v>
      </c>
      <c r="D311" s="116" t="s">
        <v>2373</v>
      </c>
      <c r="E311" s="116" t="s">
        <v>2374</v>
      </c>
      <c r="F311" s="116" t="s">
        <v>2375</v>
      </c>
      <c r="G311" s="116" t="s">
        <v>2376</v>
      </c>
      <c r="H311" s="116" t="s">
        <v>202</v>
      </c>
      <c r="I311" s="116" t="s">
        <v>400</v>
      </c>
      <c r="J311" s="116" t="s">
        <v>251</v>
      </c>
      <c r="K311" s="116" t="s">
        <v>136</v>
      </c>
      <c r="L311" s="116" t="s">
        <v>163</v>
      </c>
      <c r="M311" s="116" t="s">
        <v>401</v>
      </c>
      <c r="O311" s="116" t="s">
        <v>117</v>
      </c>
      <c r="S311" s="116" t="s">
        <v>2377</v>
      </c>
      <c r="U311" s="116" t="s">
        <v>1097</v>
      </c>
      <c r="V311" s="116" t="s">
        <v>1091</v>
      </c>
      <c r="X311" s="116" t="s">
        <v>1833</v>
      </c>
    </row>
    <row r="312">
      <c r="A312" s="154">
        <v>43727.825285231476</v>
      </c>
      <c r="B312" s="116" t="s">
        <v>2378</v>
      </c>
      <c r="C312" s="116" t="s">
        <v>2379</v>
      </c>
      <c r="D312" s="116" t="s">
        <v>2380</v>
      </c>
      <c r="E312" s="116" t="s">
        <v>2381</v>
      </c>
      <c r="F312" s="116" t="s">
        <v>1762</v>
      </c>
      <c r="G312" s="116" t="s">
        <v>2382</v>
      </c>
      <c r="H312" s="116" t="s">
        <v>63</v>
      </c>
      <c r="I312" s="116" t="s">
        <v>401</v>
      </c>
      <c r="J312" s="116" t="s">
        <v>400</v>
      </c>
      <c r="K312" s="116" t="s">
        <v>251</v>
      </c>
      <c r="L312" s="116" t="s">
        <v>163</v>
      </c>
      <c r="M312" s="116" t="s">
        <v>136</v>
      </c>
      <c r="N312" s="116" t="s">
        <v>130</v>
      </c>
      <c r="O312" s="116" t="s">
        <v>117</v>
      </c>
      <c r="P312" s="116" t="s">
        <v>2383</v>
      </c>
      <c r="R312" s="116" t="s">
        <v>451</v>
      </c>
      <c r="S312" s="116" t="s">
        <v>2384</v>
      </c>
      <c r="T312" s="116" t="s">
        <v>2385</v>
      </c>
      <c r="U312" s="116" t="s">
        <v>1292</v>
      </c>
      <c r="V312" s="116" t="s">
        <v>1293</v>
      </c>
      <c r="W312" s="116" t="s">
        <v>34</v>
      </c>
      <c r="X312" s="116" t="s">
        <v>1677</v>
      </c>
    </row>
    <row r="313">
      <c r="A313" s="154">
        <v>43727.94947332176</v>
      </c>
      <c r="B313" s="116" t="s">
        <v>2386</v>
      </c>
      <c r="C313" s="116" t="s">
        <v>2387</v>
      </c>
      <c r="E313" s="116" t="s">
        <v>2388</v>
      </c>
      <c r="F313" s="116" t="s">
        <v>418</v>
      </c>
      <c r="G313" s="116" t="s">
        <v>2389</v>
      </c>
      <c r="H313" s="116" t="s">
        <v>63</v>
      </c>
      <c r="I313" s="116" t="s">
        <v>400</v>
      </c>
      <c r="J313" s="116" t="s">
        <v>251</v>
      </c>
      <c r="K313" s="116" t="s">
        <v>401</v>
      </c>
      <c r="L313" s="116" t="s">
        <v>163</v>
      </c>
      <c r="M313" s="116" t="s">
        <v>136</v>
      </c>
      <c r="O313" s="116" t="s">
        <v>130</v>
      </c>
      <c r="R313" s="116" t="s">
        <v>442</v>
      </c>
      <c r="S313" s="116" t="s">
        <v>2390</v>
      </c>
      <c r="T313" s="116" t="s">
        <v>2391</v>
      </c>
      <c r="U313" s="116" t="s">
        <v>1097</v>
      </c>
      <c r="V313" s="116" t="s">
        <v>1028</v>
      </c>
      <c r="W313" s="116" t="s">
        <v>2392</v>
      </c>
      <c r="X313" s="116" t="s">
        <v>1677</v>
      </c>
    </row>
    <row r="314">
      <c r="A314" s="154">
        <v>43731.70247251158</v>
      </c>
      <c r="B314" s="116" t="s">
        <v>2393</v>
      </c>
      <c r="C314" s="116" t="s">
        <v>2394</v>
      </c>
      <c r="D314" s="116" t="s">
        <v>2395</v>
      </c>
      <c r="E314" s="116" t="s">
        <v>2396</v>
      </c>
      <c r="F314" s="116" t="s">
        <v>2397</v>
      </c>
      <c r="G314" s="116" t="s">
        <v>2398</v>
      </c>
      <c r="H314" s="116" t="s">
        <v>63</v>
      </c>
      <c r="I314" s="116" t="s">
        <v>400</v>
      </c>
      <c r="J314" s="116" t="s">
        <v>401</v>
      </c>
      <c r="O314" s="116" t="s">
        <v>130</v>
      </c>
      <c r="P314" s="116" t="s">
        <v>2399</v>
      </c>
      <c r="R314" s="116" t="s">
        <v>451</v>
      </c>
      <c r="S314" s="116" t="s">
        <v>2400</v>
      </c>
      <c r="T314" s="116" t="s">
        <v>2401</v>
      </c>
      <c r="U314" s="116" t="s">
        <v>1097</v>
      </c>
      <c r="V314" s="116" t="s">
        <v>1293</v>
      </c>
      <c r="X314" s="116" t="s">
        <v>2402</v>
      </c>
    </row>
    <row r="315">
      <c r="A315" s="154">
        <v>43733.739980405095</v>
      </c>
      <c r="B315" s="116" t="s">
        <v>2403</v>
      </c>
      <c r="C315" s="116" t="s">
        <v>2404</v>
      </c>
      <c r="D315" s="116" t="s">
        <v>2405</v>
      </c>
      <c r="E315" s="116" t="s">
        <v>2406</v>
      </c>
      <c r="F315" s="116" t="s">
        <v>461</v>
      </c>
      <c r="G315" s="116" t="s">
        <v>2407</v>
      </c>
      <c r="H315" s="116" t="s">
        <v>63</v>
      </c>
      <c r="I315" s="116" t="s">
        <v>251</v>
      </c>
      <c r="J315" s="116" t="s">
        <v>400</v>
      </c>
      <c r="K315" s="116" t="s">
        <v>136</v>
      </c>
      <c r="L315" s="116" t="s">
        <v>401</v>
      </c>
      <c r="M315" s="116" t="s">
        <v>163</v>
      </c>
      <c r="N315" s="116" t="s">
        <v>2408</v>
      </c>
      <c r="O315" s="116" t="s">
        <v>403</v>
      </c>
      <c r="P315" s="116" t="s">
        <v>2409</v>
      </c>
      <c r="R315" s="116" t="s">
        <v>451</v>
      </c>
      <c r="S315" s="116" t="s">
        <v>2410</v>
      </c>
      <c r="T315" s="116" t="s">
        <v>2411</v>
      </c>
      <c r="U315" s="116" t="s">
        <v>1036</v>
      </c>
      <c r="V315" s="116" t="s">
        <v>1028</v>
      </c>
      <c r="X315" s="116" t="s">
        <v>2412</v>
      </c>
    </row>
    <row r="316">
      <c r="A316" s="154">
        <v>43734.34401487268</v>
      </c>
      <c r="B316" s="116" t="s">
        <v>2413</v>
      </c>
      <c r="C316" s="116" t="s">
        <v>2414</v>
      </c>
      <c r="D316" s="116" t="s">
        <v>2415</v>
      </c>
      <c r="E316" s="116" t="s">
        <v>2416</v>
      </c>
      <c r="F316" s="116" t="s">
        <v>1021</v>
      </c>
      <c r="G316" s="116" t="s">
        <v>2376</v>
      </c>
      <c r="H316" s="116" t="s">
        <v>63</v>
      </c>
      <c r="I316" s="116" t="s">
        <v>251</v>
      </c>
      <c r="J316" s="116" t="s">
        <v>400</v>
      </c>
      <c r="K316" s="116" t="s">
        <v>401</v>
      </c>
      <c r="L316" s="116" t="s">
        <v>163</v>
      </c>
      <c r="M316" s="116" t="s">
        <v>136</v>
      </c>
      <c r="O316" s="116" t="s">
        <v>130</v>
      </c>
      <c r="P316" s="116" t="s">
        <v>2417</v>
      </c>
      <c r="R316" s="116" t="s">
        <v>442</v>
      </c>
      <c r="T316" s="116" t="s">
        <v>2418</v>
      </c>
      <c r="U316" s="116" t="s">
        <v>1133</v>
      </c>
      <c r="V316" s="116" t="s">
        <v>1028</v>
      </c>
      <c r="X316" s="116" t="s">
        <v>2419</v>
      </c>
    </row>
    <row r="317">
      <c r="A317" s="154">
        <v>43734.38644290509</v>
      </c>
      <c r="B317" s="116" t="s">
        <v>2420</v>
      </c>
      <c r="C317" s="116" t="s">
        <v>714</v>
      </c>
      <c r="E317" s="116" t="s">
        <v>2421</v>
      </c>
      <c r="F317" s="116" t="s">
        <v>461</v>
      </c>
      <c r="G317" s="116" t="s">
        <v>1101</v>
      </c>
      <c r="H317" s="116" t="s">
        <v>202</v>
      </c>
      <c r="I317" s="116" t="s">
        <v>251</v>
      </c>
      <c r="J317" s="116" t="s">
        <v>401</v>
      </c>
      <c r="K317" s="116" t="s">
        <v>400</v>
      </c>
      <c r="L317" s="116" t="s">
        <v>163</v>
      </c>
      <c r="M317" s="116" t="s">
        <v>136</v>
      </c>
      <c r="O317" s="116" t="s">
        <v>130</v>
      </c>
      <c r="P317" s="116" t="s">
        <v>2422</v>
      </c>
      <c r="R317" s="116" t="s">
        <v>442</v>
      </c>
      <c r="S317" s="116" t="s">
        <v>2423</v>
      </c>
      <c r="T317" s="116" t="s">
        <v>2424</v>
      </c>
      <c r="U317" s="116" t="s">
        <v>1062</v>
      </c>
      <c r="V317" s="116" t="s">
        <v>1293</v>
      </c>
      <c r="X317" s="116" t="s">
        <v>1757</v>
      </c>
    </row>
    <row r="318">
      <c r="A318" s="154">
        <v>43735.7369703125</v>
      </c>
      <c r="B318" s="116" t="s">
        <v>2425</v>
      </c>
      <c r="C318" s="116" t="s">
        <v>2426</v>
      </c>
      <c r="D318" s="116" t="s">
        <v>2427</v>
      </c>
      <c r="E318" s="116" t="s">
        <v>2428</v>
      </c>
      <c r="F318" s="116" t="s">
        <v>1021</v>
      </c>
      <c r="G318" s="116" t="s">
        <v>2429</v>
      </c>
      <c r="H318" s="116" t="s">
        <v>63</v>
      </c>
      <c r="I318" s="116" t="s">
        <v>136</v>
      </c>
      <c r="J318" s="116" t="s">
        <v>251</v>
      </c>
      <c r="K318" s="116" t="s">
        <v>401</v>
      </c>
      <c r="L318" s="116" t="s">
        <v>400</v>
      </c>
      <c r="M318" s="116" t="s">
        <v>163</v>
      </c>
      <c r="N318" s="116" t="s">
        <v>2430</v>
      </c>
      <c r="O318" s="116" t="s">
        <v>403</v>
      </c>
      <c r="P318" s="116" t="s">
        <v>2431</v>
      </c>
      <c r="R318" s="116" t="s">
        <v>451</v>
      </c>
      <c r="S318" s="116" t="s">
        <v>2432</v>
      </c>
      <c r="T318" s="116" t="s">
        <v>2433</v>
      </c>
      <c r="U318" s="116" t="s">
        <v>1027</v>
      </c>
      <c r="V318" s="116" t="s">
        <v>1028</v>
      </c>
      <c r="X318" s="116" t="s">
        <v>2412</v>
      </c>
    </row>
    <row r="319">
      <c r="A319" s="154">
        <v>43736.418810243056</v>
      </c>
      <c r="B319" s="116" t="s">
        <v>2434</v>
      </c>
      <c r="C319" s="116" t="s">
        <v>2435</v>
      </c>
      <c r="D319" s="116" t="s">
        <v>2436</v>
      </c>
      <c r="E319" s="116" t="s">
        <v>2437</v>
      </c>
      <c r="F319" s="116" t="s">
        <v>431</v>
      </c>
      <c r="G319" s="116" t="s">
        <v>2438</v>
      </c>
      <c r="H319" s="116" t="s">
        <v>63</v>
      </c>
      <c r="I319" s="116" t="s">
        <v>251</v>
      </c>
      <c r="J319" s="116" t="s">
        <v>163</v>
      </c>
      <c r="K319" s="116" t="s">
        <v>400</v>
      </c>
      <c r="L319" s="116" t="s">
        <v>401</v>
      </c>
      <c r="M319" s="116" t="s">
        <v>136</v>
      </c>
      <c r="N319" s="116" t="s">
        <v>2439</v>
      </c>
      <c r="O319" s="116" t="s">
        <v>117</v>
      </c>
      <c r="P319" s="116" t="s">
        <v>2440</v>
      </c>
      <c r="R319" s="116" t="s">
        <v>451</v>
      </c>
      <c r="S319" s="116" t="s">
        <v>2441</v>
      </c>
      <c r="T319" s="116" t="s">
        <v>2442</v>
      </c>
      <c r="U319" s="116" t="s">
        <v>1062</v>
      </c>
      <c r="V319" s="116" t="s">
        <v>1028</v>
      </c>
      <c r="X319" s="116" t="s">
        <v>2443</v>
      </c>
    </row>
    <row r="320">
      <c r="A320" s="154">
        <v>43739.038227233796</v>
      </c>
      <c r="B320" s="116" t="s">
        <v>2444</v>
      </c>
      <c r="C320" s="116" t="s">
        <v>2445</v>
      </c>
      <c r="D320" s="116" t="s">
        <v>2446</v>
      </c>
      <c r="E320" s="116" t="s">
        <v>2447</v>
      </c>
      <c r="F320" s="116" t="s">
        <v>701</v>
      </c>
      <c r="G320" s="116" t="s">
        <v>1022</v>
      </c>
      <c r="H320" s="116" t="s">
        <v>63</v>
      </c>
      <c r="I320" s="116" t="s">
        <v>251</v>
      </c>
      <c r="J320" s="116" t="s">
        <v>400</v>
      </c>
      <c r="K320" s="116" t="s">
        <v>163</v>
      </c>
      <c r="O320" s="116" t="s">
        <v>130</v>
      </c>
      <c r="P320" s="116" t="s">
        <v>2448</v>
      </c>
      <c r="R320" s="116" t="s">
        <v>451</v>
      </c>
      <c r="S320" s="116" t="s">
        <v>2449</v>
      </c>
      <c r="U320" s="116" t="s">
        <v>1097</v>
      </c>
      <c r="V320" s="116" t="s">
        <v>1091</v>
      </c>
      <c r="X320" s="116" t="s">
        <v>2450</v>
      </c>
    </row>
    <row r="321">
      <c r="A321" s="154">
        <v>43739.38035712963</v>
      </c>
      <c r="B321" s="116" t="s">
        <v>1688</v>
      </c>
      <c r="C321" s="116" t="s">
        <v>2451</v>
      </c>
      <c r="D321" s="116" t="s">
        <v>2452</v>
      </c>
      <c r="E321" s="116" t="s">
        <v>1691</v>
      </c>
      <c r="F321" s="116" t="s">
        <v>431</v>
      </c>
      <c r="G321" s="116" t="s">
        <v>1022</v>
      </c>
      <c r="H321" s="116" t="s">
        <v>202</v>
      </c>
      <c r="I321" s="116" t="s">
        <v>136</v>
      </c>
      <c r="J321" s="116" t="s">
        <v>251</v>
      </c>
      <c r="K321" s="116" t="s">
        <v>401</v>
      </c>
      <c r="L321" s="116" t="s">
        <v>400</v>
      </c>
      <c r="M321" s="116" t="s">
        <v>163</v>
      </c>
      <c r="N321" s="116" t="s">
        <v>2453</v>
      </c>
      <c r="O321" s="116" t="s">
        <v>403</v>
      </c>
      <c r="P321" s="116" t="s">
        <v>2454</v>
      </c>
      <c r="R321" s="116" t="s">
        <v>451</v>
      </c>
      <c r="S321" s="116" t="s">
        <v>2455</v>
      </c>
      <c r="T321" s="116" t="s">
        <v>2456</v>
      </c>
      <c r="U321" s="116" t="s">
        <v>1027</v>
      </c>
      <c r="V321" s="116" t="s">
        <v>1028</v>
      </c>
      <c r="X321" s="116" t="s">
        <v>2457</v>
      </c>
    </row>
    <row r="322">
      <c r="A322" s="154">
        <v>43739.463473854164</v>
      </c>
      <c r="B322" s="116" t="s">
        <v>2458</v>
      </c>
      <c r="C322" s="116" t="s">
        <v>2404</v>
      </c>
      <c r="E322" s="116" t="s">
        <v>2459</v>
      </c>
      <c r="F322" s="116" t="s">
        <v>461</v>
      </c>
      <c r="G322" s="116" t="s">
        <v>1049</v>
      </c>
      <c r="H322" s="116" t="s">
        <v>202</v>
      </c>
      <c r="O322" s="116" t="s">
        <v>403</v>
      </c>
      <c r="P322" s="116" t="s">
        <v>2460</v>
      </c>
      <c r="R322" s="116" t="s">
        <v>405</v>
      </c>
      <c r="S322" s="116" t="s">
        <v>2461</v>
      </c>
      <c r="T322" s="116" t="s">
        <v>2411</v>
      </c>
      <c r="U322" s="116" t="s">
        <v>1036</v>
      </c>
      <c r="V322" s="116" t="s">
        <v>1028</v>
      </c>
      <c r="X322" s="116" t="s">
        <v>2462</v>
      </c>
    </row>
    <row r="323">
      <c r="A323" s="154">
        <v>43742.05410947917</v>
      </c>
      <c r="B323" s="116" t="s">
        <v>2463</v>
      </c>
      <c r="C323" s="116" t="s">
        <v>2464</v>
      </c>
      <c r="D323" s="116" t="s">
        <v>2465</v>
      </c>
      <c r="E323" s="116" t="s">
        <v>2466</v>
      </c>
      <c r="F323" s="116" t="s">
        <v>1762</v>
      </c>
      <c r="G323" s="116" t="s">
        <v>2467</v>
      </c>
      <c r="H323" s="116" t="s">
        <v>202</v>
      </c>
      <c r="I323" s="116" t="s">
        <v>400</v>
      </c>
      <c r="J323" s="116" t="s">
        <v>401</v>
      </c>
      <c r="K323" s="116" t="s">
        <v>251</v>
      </c>
      <c r="O323" s="116" t="s">
        <v>403</v>
      </c>
      <c r="R323" s="116" t="s">
        <v>405</v>
      </c>
      <c r="S323" s="116" t="s">
        <v>2468</v>
      </c>
      <c r="T323" s="116" t="s">
        <v>2469</v>
      </c>
      <c r="U323" s="116" t="s">
        <v>1062</v>
      </c>
      <c r="V323" s="116" t="s">
        <v>1091</v>
      </c>
      <c r="X323" s="116" t="s">
        <v>2412</v>
      </c>
    </row>
    <row r="324">
      <c r="A324" s="154">
        <v>43742.66885350694</v>
      </c>
      <c r="B324" s="116" t="s">
        <v>2470</v>
      </c>
      <c r="C324" s="116" t="s">
        <v>2471</v>
      </c>
      <c r="D324" s="116" t="s">
        <v>2472</v>
      </c>
      <c r="E324" s="116" t="s">
        <v>2473</v>
      </c>
      <c r="F324" s="116" t="s">
        <v>492</v>
      </c>
      <c r="G324" s="116" t="s">
        <v>2474</v>
      </c>
      <c r="H324" s="116" t="s">
        <v>63</v>
      </c>
      <c r="I324" s="116" t="s">
        <v>251</v>
      </c>
      <c r="J324" s="116" t="s">
        <v>401</v>
      </c>
      <c r="K324" s="116" t="s">
        <v>400</v>
      </c>
      <c r="L324" s="116" t="s">
        <v>136</v>
      </c>
      <c r="M324" s="116" t="s">
        <v>163</v>
      </c>
      <c r="N324" s="116" t="s">
        <v>2475</v>
      </c>
      <c r="O324" s="116" t="s">
        <v>130</v>
      </c>
      <c r="P324" s="116" t="s">
        <v>2265</v>
      </c>
      <c r="S324" s="116" t="s">
        <v>2476</v>
      </c>
      <c r="U324" s="116" t="s">
        <v>1062</v>
      </c>
      <c r="V324" s="116" t="s">
        <v>1091</v>
      </c>
      <c r="W324" s="116" t="s">
        <v>2477</v>
      </c>
      <c r="X324" s="116" t="s">
        <v>2478</v>
      </c>
    </row>
    <row r="325">
      <c r="A325" s="154">
        <v>43744.754777407405</v>
      </c>
      <c r="B325" s="116" t="s">
        <v>2479</v>
      </c>
      <c r="C325" s="116" t="s">
        <v>407</v>
      </c>
      <c r="D325" s="116" t="s">
        <v>2480</v>
      </c>
      <c r="E325" s="116" t="s">
        <v>2481</v>
      </c>
      <c r="F325" s="116" t="s">
        <v>2482</v>
      </c>
      <c r="G325" s="116" t="s">
        <v>2483</v>
      </c>
      <c r="H325" s="116" t="s">
        <v>202</v>
      </c>
      <c r="I325" s="116" t="s">
        <v>251</v>
      </c>
      <c r="J325" s="116" t="s">
        <v>400</v>
      </c>
      <c r="K325" s="116" t="s">
        <v>401</v>
      </c>
      <c r="N325" s="116" t="s">
        <v>2484</v>
      </c>
      <c r="O325" s="116" t="s">
        <v>403</v>
      </c>
      <c r="P325" s="116" t="s">
        <v>2485</v>
      </c>
      <c r="R325" s="116" t="s">
        <v>442</v>
      </c>
      <c r="S325" s="116" t="s">
        <v>2486</v>
      </c>
      <c r="T325" s="116" t="s">
        <v>2487</v>
      </c>
      <c r="U325" s="116" t="s">
        <v>1027</v>
      </c>
      <c r="V325" s="116" t="s">
        <v>1249</v>
      </c>
      <c r="W325" s="116" t="s">
        <v>2488</v>
      </c>
      <c r="X325" s="116" t="s">
        <v>2489</v>
      </c>
    </row>
    <row r="326">
      <c r="A326" s="154">
        <v>43745.651729861114</v>
      </c>
      <c r="B326" s="116" t="s">
        <v>2490</v>
      </c>
      <c r="C326" s="116" t="s">
        <v>2491</v>
      </c>
      <c r="D326" s="116" t="s">
        <v>2492</v>
      </c>
      <c r="E326" s="116" t="s">
        <v>2493</v>
      </c>
      <c r="F326" s="116" t="s">
        <v>431</v>
      </c>
      <c r="G326" s="116" t="s">
        <v>1219</v>
      </c>
      <c r="H326" s="116" t="s">
        <v>63</v>
      </c>
      <c r="I326" s="116" t="s">
        <v>251</v>
      </c>
      <c r="J326" s="116" t="s">
        <v>400</v>
      </c>
      <c r="K326" s="116" t="s">
        <v>163</v>
      </c>
      <c r="L326" s="116" t="s">
        <v>401</v>
      </c>
      <c r="O326" s="116" t="s">
        <v>403</v>
      </c>
      <c r="R326" s="116" t="s">
        <v>405</v>
      </c>
      <c r="S326" s="116" t="s">
        <v>2494</v>
      </c>
      <c r="T326" s="116" t="s">
        <v>2495</v>
      </c>
      <c r="U326" s="116" t="s">
        <v>1062</v>
      </c>
      <c r="V326" s="116" t="s">
        <v>1028</v>
      </c>
      <c r="W326" s="116" t="s">
        <v>2496</v>
      </c>
      <c r="X326" s="116" t="s">
        <v>1757</v>
      </c>
    </row>
    <row r="327">
      <c r="A327" s="154">
        <v>43746.86382482639</v>
      </c>
      <c r="B327" s="116" t="s">
        <v>2497</v>
      </c>
      <c r="C327" s="116" t="s">
        <v>2498</v>
      </c>
      <c r="D327" s="116" t="s">
        <v>2499</v>
      </c>
      <c r="E327" s="116" t="s">
        <v>2500</v>
      </c>
      <c r="F327" s="116" t="s">
        <v>418</v>
      </c>
      <c r="G327" s="116" t="s">
        <v>2084</v>
      </c>
      <c r="H327" s="116" t="s">
        <v>63</v>
      </c>
      <c r="I327" s="116" t="s">
        <v>251</v>
      </c>
      <c r="J327" s="116" t="s">
        <v>400</v>
      </c>
      <c r="K327" s="116" t="s">
        <v>163</v>
      </c>
      <c r="L327" s="116" t="s">
        <v>401</v>
      </c>
      <c r="N327" s="116" t="s">
        <v>2501</v>
      </c>
      <c r="O327" s="116" t="s">
        <v>403</v>
      </c>
      <c r="P327" s="116" t="s">
        <v>2502</v>
      </c>
      <c r="R327" s="116" t="s">
        <v>451</v>
      </c>
      <c r="S327" s="116" t="s">
        <v>2503</v>
      </c>
      <c r="T327" s="116" t="s">
        <v>717</v>
      </c>
      <c r="U327" s="116" t="s">
        <v>1062</v>
      </c>
      <c r="V327" s="116" t="s">
        <v>1091</v>
      </c>
      <c r="X327" s="116" t="s">
        <v>2504</v>
      </c>
    </row>
    <row r="328">
      <c r="A328" s="154">
        <v>43747.54224105324</v>
      </c>
      <c r="B328" s="116" t="s">
        <v>2505</v>
      </c>
      <c r="C328" s="116" t="s">
        <v>2506</v>
      </c>
      <c r="D328" s="116" t="s">
        <v>2507</v>
      </c>
      <c r="E328" s="116" t="s">
        <v>2508</v>
      </c>
      <c r="F328" s="116" t="s">
        <v>701</v>
      </c>
      <c r="G328" s="116" t="s">
        <v>2509</v>
      </c>
      <c r="H328" s="116" t="s">
        <v>63</v>
      </c>
      <c r="I328" s="116" t="s">
        <v>400</v>
      </c>
      <c r="J328" s="116" t="s">
        <v>251</v>
      </c>
      <c r="K328" s="116" t="s">
        <v>163</v>
      </c>
      <c r="L328" s="116" t="s">
        <v>401</v>
      </c>
      <c r="M328" s="116" t="s">
        <v>136</v>
      </c>
      <c r="N328" s="116" t="s">
        <v>2510</v>
      </c>
      <c r="O328" s="116" t="s">
        <v>403</v>
      </c>
      <c r="P328" s="116" t="s">
        <v>2511</v>
      </c>
      <c r="R328" s="116" t="s">
        <v>405</v>
      </c>
      <c r="S328" s="116" t="s">
        <v>2512</v>
      </c>
      <c r="T328" s="116" t="s">
        <v>2513</v>
      </c>
      <c r="U328" s="116" t="s">
        <v>1766</v>
      </c>
      <c r="V328" s="116" t="s">
        <v>1293</v>
      </c>
      <c r="X328" s="116" t="s">
        <v>1833</v>
      </c>
    </row>
    <row r="329">
      <c r="A329" s="154">
        <v>43749.681813414354</v>
      </c>
      <c r="B329" s="116" t="s">
        <v>2514</v>
      </c>
      <c r="C329" s="116" t="s">
        <v>2515</v>
      </c>
      <c r="D329" s="116" t="s">
        <v>2516</v>
      </c>
      <c r="E329" s="116" t="s">
        <v>2517</v>
      </c>
      <c r="F329" s="116" t="s">
        <v>492</v>
      </c>
      <c r="G329" s="116" t="s">
        <v>2518</v>
      </c>
      <c r="H329" s="116" t="s">
        <v>63</v>
      </c>
      <c r="I329" s="116" t="s">
        <v>251</v>
      </c>
      <c r="J329" s="116" t="s">
        <v>401</v>
      </c>
      <c r="K329" s="116" t="s">
        <v>400</v>
      </c>
      <c r="N329" s="116" t="s">
        <v>2519</v>
      </c>
      <c r="O329" s="116" t="s">
        <v>130</v>
      </c>
      <c r="R329" s="116" t="s">
        <v>405</v>
      </c>
      <c r="S329" s="116" t="s">
        <v>2520</v>
      </c>
      <c r="T329" s="116" t="s">
        <v>2521</v>
      </c>
      <c r="U329" s="116" t="s">
        <v>2522</v>
      </c>
      <c r="V329" s="116" t="s">
        <v>1091</v>
      </c>
      <c r="W329" s="116" t="s">
        <v>2523</v>
      </c>
      <c r="X329" s="116" t="s">
        <v>2524</v>
      </c>
    </row>
    <row r="330">
      <c r="A330" s="154">
        <v>43753.64100532407</v>
      </c>
      <c r="B330" s="116" t="s">
        <v>2525</v>
      </c>
      <c r="C330" s="116" t="s">
        <v>2526</v>
      </c>
      <c r="D330" s="116" t="s">
        <v>2527</v>
      </c>
      <c r="E330" s="116" t="s">
        <v>2528</v>
      </c>
      <c r="F330" s="116" t="s">
        <v>431</v>
      </c>
      <c r="G330" s="116" t="s">
        <v>1077</v>
      </c>
      <c r="H330" s="116" t="s">
        <v>63</v>
      </c>
      <c r="I330" s="116" t="s">
        <v>136</v>
      </c>
      <c r="J330" s="116" t="s">
        <v>401</v>
      </c>
      <c r="K330" s="116" t="s">
        <v>400</v>
      </c>
      <c r="L330" s="116" t="s">
        <v>163</v>
      </c>
      <c r="M330" s="116" t="s">
        <v>251</v>
      </c>
      <c r="N330" s="116" t="s">
        <v>2529</v>
      </c>
      <c r="O330" s="116" t="s">
        <v>403</v>
      </c>
      <c r="P330" s="116" t="s">
        <v>2530</v>
      </c>
      <c r="R330" s="116" t="s">
        <v>405</v>
      </c>
      <c r="S330" s="116" t="s">
        <v>2531</v>
      </c>
      <c r="T330" s="116" t="s">
        <v>2532</v>
      </c>
      <c r="U330" s="116" t="s">
        <v>1027</v>
      </c>
      <c r="V330" s="116" t="s">
        <v>1028</v>
      </c>
      <c r="W330" s="116" t="s">
        <v>2533</v>
      </c>
    </row>
    <row r="331">
      <c r="A331" s="154">
        <v>43755.53738363426</v>
      </c>
      <c r="B331" s="116" t="s">
        <v>2534</v>
      </c>
      <c r="C331" s="116" t="s">
        <v>2535</v>
      </c>
      <c r="D331" s="116" t="s">
        <v>2536</v>
      </c>
      <c r="E331" s="116" t="s">
        <v>2537</v>
      </c>
      <c r="F331" s="116" t="s">
        <v>1068</v>
      </c>
      <c r="G331" s="116" t="s">
        <v>2538</v>
      </c>
      <c r="H331" s="116" t="s">
        <v>63</v>
      </c>
      <c r="I331" s="116" t="s">
        <v>251</v>
      </c>
      <c r="J331" s="116" t="s">
        <v>400</v>
      </c>
      <c r="K331" s="116" t="s">
        <v>401</v>
      </c>
      <c r="L331" s="116" t="s">
        <v>136</v>
      </c>
      <c r="M331" s="116" t="s">
        <v>163</v>
      </c>
      <c r="N331" s="116" t="s">
        <v>2539</v>
      </c>
      <c r="O331" s="116" t="s">
        <v>403</v>
      </c>
      <c r="R331" s="116" t="s">
        <v>451</v>
      </c>
      <c r="S331" s="116" t="s">
        <v>2540</v>
      </c>
      <c r="T331" s="116" t="s">
        <v>2153</v>
      </c>
      <c r="U331" s="116" t="s">
        <v>1027</v>
      </c>
      <c r="V331" s="116" t="s">
        <v>1028</v>
      </c>
      <c r="X331" s="116" t="s">
        <v>2541</v>
      </c>
    </row>
    <row r="332">
      <c r="A332" s="154">
        <v>43755.58982958333</v>
      </c>
      <c r="B332" s="116" t="s">
        <v>2542</v>
      </c>
      <c r="C332" s="116" t="s">
        <v>2543</v>
      </c>
      <c r="E332" s="116" t="s">
        <v>2544</v>
      </c>
      <c r="F332" s="116" t="s">
        <v>1068</v>
      </c>
      <c r="G332" s="116" t="s">
        <v>2545</v>
      </c>
      <c r="H332" s="116" t="s">
        <v>202</v>
      </c>
      <c r="I332" s="116" t="s">
        <v>251</v>
      </c>
      <c r="J332" s="116" t="s">
        <v>400</v>
      </c>
      <c r="K332" s="116" t="s">
        <v>401</v>
      </c>
      <c r="L332" s="116" t="s">
        <v>136</v>
      </c>
      <c r="M332" s="116" t="s">
        <v>163</v>
      </c>
      <c r="N332" s="116" t="s">
        <v>2546</v>
      </c>
      <c r="O332" s="116" t="s">
        <v>117</v>
      </c>
      <c r="R332" s="116" t="s">
        <v>405</v>
      </c>
      <c r="S332" s="116" t="s">
        <v>2547</v>
      </c>
      <c r="T332" s="116" t="s">
        <v>2548</v>
      </c>
      <c r="U332" s="116" t="s">
        <v>1027</v>
      </c>
      <c r="V332" s="116" t="s">
        <v>1091</v>
      </c>
      <c r="X332" s="116" t="s">
        <v>2240</v>
      </c>
    </row>
    <row r="333">
      <c r="A333" s="154">
        <v>43755.77478533565</v>
      </c>
      <c r="B333" s="116" t="s">
        <v>2549</v>
      </c>
      <c r="C333" s="116" t="s">
        <v>2550</v>
      </c>
      <c r="E333" s="116" t="s">
        <v>2551</v>
      </c>
      <c r="F333" s="116" t="s">
        <v>1762</v>
      </c>
      <c r="G333" s="116" t="s">
        <v>2545</v>
      </c>
      <c r="H333" s="116" t="s">
        <v>63</v>
      </c>
      <c r="I333" s="116" t="s">
        <v>136</v>
      </c>
      <c r="J333" s="116" t="s">
        <v>400</v>
      </c>
      <c r="K333" s="116" t="s">
        <v>401</v>
      </c>
      <c r="L333" s="116" t="s">
        <v>163</v>
      </c>
      <c r="M333" s="116" t="s">
        <v>251</v>
      </c>
      <c r="N333" s="116" t="s">
        <v>2552</v>
      </c>
      <c r="O333" s="116" t="s">
        <v>403</v>
      </c>
      <c r="R333" s="116" t="s">
        <v>405</v>
      </c>
      <c r="U333" s="116" t="s">
        <v>1027</v>
      </c>
      <c r="V333" s="116" t="s">
        <v>1028</v>
      </c>
      <c r="X333" s="116" t="s">
        <v>1710</v>
      </c>
    </row>
    <row r="334">
      <c r="A334" s="154">
        <v>43756.68047160879</v>
      </c>
      <c r="B334" s="116" t="s">
        <v>2553</v>
      </c>
      <c r="C334" s="116" t="s">
        <v>2554</v>
      </c>
      <c r="E334" s="116" t="s">
        <v>2555</v>
      </c>
      <c r="F334" s="116" t="s">
        <v>418</v>
      </c>
      <c r="G334" s="116" t="s">
        <v>2556</v>
      </c>
      <c r="H334" s="116" t="s">
        <v>202</v>
      </c>
      <c r="I334" s="116" t="s">
        <v>400</v>
      </c>
      <c r="J334" s="116" t="s">
        <v>251</v>
      </c>
      <c r="K334" s="116" t="s">
        <v>401</v>
      </c>
      <c r="N334" s="116" t="s">
        <v>2557</v>
      </c>
      <c r="O334" s="116" t="s">
        <v>117</v>
      </c>
      <c r="R334" s="116" t="s">
        <v>442</v>
      </c>
      <c r="U334" s="116" t="s">
        <v>1027</v>
      </c>
      <c r="V334" s="116" t="s">
        <v>1091</v>
      </c>
    </row>
    <row r="335">
      <c r="A335" s="154">
        <v>43758.70282898148</v>
      </c>
      <c r="B335" s="116" t="s">
        <v>2558</v>
      </c>
      <c r="C335" s="116" t="s">
        <v>2559</v>
      </c>
      <c r="D335" s="116" t="s">
        <v>2560</v>
      </c>
      <c r="E335" s="116" t="s">
        <v>2561</v>
      </c>
      <c r="F335" s="116" t="s">
        <v>461</v>
      </c>
      <c r="G335" s="116" t="s">
        <v>1022</v>
      </c>
      <c r="H335" s="116" t="s">
        <v>63</v>
      </c>
      <c r="I335" s="116" t="s">
        <v>400</v>
      </c>
      <c r="J335" s="116" t="s">
        <v>251</v>
      </c>
      <c r="K335" s="116" t="s">
        <v>401</v>
      </c>
      <c r="L335" s="116" t="s">
        <v>136</v>
      </c>
      <c r="M335" s="116" t="s">
        <v>163</v>
      </c>
      <c r="N335" s="116" t="s">
        <v>2562</v>
      </c>
      <c r="O335" s="116" t="s">
        <v>403</v>
      </c>
      <c r="P335" s="116" t="s">
        <v>2563</v>
      </c>
      <c r="R335" s="116" t="s">
        <v>451</v>
      </c>
      <c r="S335" s="116" t="s">
        <v>2564</v>
      </c>
      <c r="T335" s="116" t="s">
        <v>242</v>
      </c>
      <c r="U335" s="116" t="s">
        <v>1292</v>
      </c>
      <c r="V335" s="116" t="s">
        <v>1028</v>
      </c>
      <c r="X335" s="116" t="s">
        <v>2565</v>
      </c>
    </row>
    <row r="336">
      <c r="A336" s="154">
        <v>43759.36184341436</v>
      </c>
      <c r="B336" s="116" t="s">
        <v>2566</v>
      </c>
      <c r="C336" s="116" t="s">
        <v>2567</v>
      </c>
      <c r="D336" s="116" t="s">
        <v>2568</v>
      </c>
      <c r="E336" s="116" t="s">
        <v>2569</v>
      </c>
      <c r="F336" s="116" t="s">
        <v>1021</v>
      </c>
      <c r="G336" s="116" t="s">
        <v>1022</v>
      </c>
      <c r="H336" s="116" t="s">
        <v>63</v>
      </c>
      <c r="I336" s="116" t="s">
        <v>136</v>
      </c>
      <c r="J336" s="116" t="s">
        <v>401</v>
      </c>
      <c r="K336" s="116" t="s">
        <v>163</v>
      </c>
      <c r="L336" s="116" t="s">
        <v>251</v>
      </c>
      <c r="M336" s="116" t="s">
        <v>400</v>
      </c>
      <c r="N336" s="116" t="s">
        <v>2570</v>
      </c>
      <c r="O336" s="116" t="s">
        <v>117</v>
      </c>
      <c r="P336" s="116" t="s">
        <v>2571</v>
      </c>
      <c r="R336" s="116" t="s">
        <v>451</v>
      </c>
      <c r="S336" s="116" t="s">
        <v>2572</v>
      </c>
      <c r="T336" s="116" t="s">
        <v>2573</v>
      </c>
      <c r="U336" s="116" t="s">
        <v>1027</v>
      </c>
      <c r="V336" s="116" t="s">
        <v>1028</v>
      </c>
    </row>
    <row r="337">
      <c r="A337" s="154">
        <v>43760.48148934028</v>
      </c>
      <c r="B337" s="116" t="s">
        <v>2574</v>
      </c>
      <c r="C337" s="116" t="s">
        <v>2394</v>
      </c>
      <c r="D337" s="116" t="s">
        <v>2575</v>
      </c>
      <c r="E337" s="116" t="s">
        <v>2576</v>
      </c>
      <c r="F337" s="116" t="s">
        <v>492</v>
      </c>
      <c r="G337" s="116" t="s">
        <v>1049</v>
      </c>
      <c r="H337" s="116" t="s">
        <v>63</v>
      </c>
      <c r="I337" s="116" t="s">
        <v>251</v>
      </c>
      <c r="J337" s="116" t="s">
        <v>400</v>
      </c>
      <c r="K337" s="116" t="s">
        <v>401</v>
      </c>
      <c r="L337" s="116" t="s">
        <v>163</v>
      </c>
      <c r="M337" s="116" t="s">
        <v>136</v>
      </c>
      <c r="N337" s="116" t="s">
        <v>2577</v>
      </c>
      <c r="O337" s="116" t="s">
        <v>403</v>
      </c>
      <c r="P337" s="116" t="s">
        <v>2578</v>
      </c>
      <c r="R337" s="116" t="s">
        <v>405</v>
      </c>
      <c r="S337" s="116" t="s">
        <v>2579</v>
      </c>
      <c r="T337" s="116" t="s">
        <v>2580</v>
      </c>
      <c r="U337" s="116" t="s">
        <v>1062</v>
      </c>
      <c r="V337" s="116" t="s">
        <v>1028</v>
      </c>
      <c r="W337" s="116" t="s">
        <v>2581</v>
      </c>
      <c r="X337" s="116" t="s">
        <v>1677</v>
      </c>
    </row>
    <row r="338">
      <c r="A338" s="154">
        <v>43761.40069155092</v>
      </c>
      <c r="B338" s="116" t="s">
        <v>2582</v>
      </c>
      <c r="C338" s="116" t="s">
        <v>1259</v>
      </c>
      <c r="D338" s="116" t="s">
        <v>2583</v>
      </c>
      <c r="E338" s="116" t="s">
        <v>2584</v>
      </c>
      <c r="F338" s="116" t="s">
        <v>2585</v>
      </c>
      <c r="G338" s="116" t="s">
        <v>1058</v>
      </c>
      <c r="H338" s="116" t="s">
        <v>63</v>
      </c>
      <c r="I338" s="116" t="s">
        <v>400</v>
      </c>
      <c r="J338" s="116" t="s">
        <v>251</v>
      </c>
      <c r="K338" s="116" t="s">
        <v>136</v>
      </c>
      <c r="N338" s="116" t="s">
        <v>2586</v>
      </c>
      <c r="O338" s="116" t="s">
        <v>403</v>
      </c>
      <c r="P338" s="116" t="s">
        <v>2587</v>
      </c>
      <c r="R338" s="116" t="s">
        <v>451</v>
      </c>
      <c r="S338" s="116" t="s">
        <v>2588</v>
      </c>
      <c r="T338" s="116" t="s">
        <v>2589</v>
      </c>
      <c r="U338" s="116" t="s">
        <v>1027</v>
      </c>
      <c r="V338" s="116" t="s">
        <v>1028</v>
      </c>
      <c r="X338" s="116" t="s">
        <v>1687</v>
      </c>
    </row>
    <row r="339">
      <c r="A339" s="154">
        <v>43761.512264895835</v>
      </c>
      <c r="B339" s="116" t="s">
        <v>2590</v>
      </c>
      <c r="C339" s="116" t="s">
        <v>2591</v>
      </c>
      <c r="D339" s="116" t="s">
        <v>2592</v>
      </c>
      <c r="E339" s="116" t="s">
        <v>2593</v>
      </c>
      <c r="F339" s="116" t="s">
        <v>492</v>
      </c>
      <c r="G339" s="116" t="s">
        <v>2084</v>
      </c>
      <c r="H339" s="116" t="s">
        <v>63</v>
      </c>
      <c r="I339" s="116" t="s">
        <v>251</v>
      </c>
      <c r="J339" s="116" t="s">
        <v>401</v>
      </c>
      <c r="K339" s="116" t="s">
        <v>136</v>
      </c>
      <c r="L339" s="116" t="s">
        <v>163</v>
      </c>
      <c r="M339" s="116" t="s">
        <v>400</v>
      </c>
      <c r="N339" s="116" t="s">
        <v>2594</v>
      </c>
      <c r="O339" s="116" t="s">
        <v>117</v>
      </c>
      <c r="S339" s="116" t="s">
        <v>2595</v>
      </c>
      <c r="T339" s="116" t="s">
        <v>2596</v>
      </c>
      <c r="U339" s="116" t="s">
        <v>2597</v>
      </c>
      <c r="V339" s="116" t="s">
        <v>1091</v>
      </c>
      <c r="X339" s="116" t="s">
        <v>2598</v>
      </c>
    </row>
    <row r="340">
      <c r="A340" s="154">
        <v>43762.71625583334</v>
      </c>
      <c r="B340" s="116" t="s">
        <v>2599</v>
      </c>
      <c r="C340" s="116" t="s">
        <v>2600</v>
      </c>
      <c r="D340" s="116" t="s">
        <v>2601</v>
      </c>
      <c r="E340" s="116" t="s">
        <v>2602</v>
      </c>
      <c r="F340" s="116" t="s">
        <v>461</v>
      </c>
      <c r="G340" s="116" t="s">
        <v>1101</v>
      </c>
      <c r="H340" s="116" t="s">
        <v>63</v>
      </c>
      <c r="I340" s="116" t="s">
        <v>251</v>
      </c>
      <c r="J340" s="116" t="s">
        <v>400</v>
      </c>
      <c r="K340" s="116" t="s">
        <v>401</v>
      </c>
      <c r="L340" s="116" t="s">
        <v>163</v>
      </c>
      <c r="M340" s="116" t="s">
        <v>136</v>
      </c>
      <c r="N340" s="116" t="s">
        <v>2603</v>
      </c>
      <c r="O340" s="116" t="s">
        <v>117</v>
      </c>
      <c r="P340" s="116" t="s">
        <v>2604</v>
      </c>
      <c r="R340" s="116" t="s">
        <v>442</v>
      </c>
      <c r="S340" s="116" t="s">
        <v>2605</v>
      </c>
      <c r="T340" s="116" t="s">
        <v>2606</v>
      </c>
      <c r="U340" s="116" t="s">
        <v>1766</v>
      </c>
      <c r="V340" s="116" t="s">
        <v>1028</v>
      </c>
      <c r="X340" s="116" t="s">
        <v>1677</v>
      </c>
    </row>
    <row r="341">
      <c r="A341" s="154">
        <v>43765.72616362269</v>
      </c>
      <c r="B341" s="116" t="s">
        <v>2607</v>
      </c>
      <c r="C341" s="116" t="s">
        <v>2608</v>
      </c>
      <c r="E341" s="116" t="s">
        <v>2609</v>
      </c>
      <c r="F341" s="116" t="s">
        <v>431</v>
      </c>
      <c r="G341" s="116" t="s">
        <v>1610</v>
      </c>
      <c r="H341" s="116" t="s">
        <v>63</v>
      </c>
      <c r="I341" s="116" t="s">
        <v>400</v>
      </c>
      <c r="J341" s="116" t="s">
        <v>251</v>
      </c>
      <c r="K341" s="116" t="s">
        <v>163</v>
      </c>
      <c r="L341" s="116" t="s">
        <v>401</v>
      </c>
      <c r="M341" s="116" t="s">
        <v>136</v>
      </c>
      <c r="N341" s="116" t="s">
        <v>2610</v>
      </c>
      <c r="O341" s="116" t="s">
        <v>117</v>
      </c>
      <c r="P341" s="116" t="s">
        <v>2611</v>
      </c>
      <c r="R341" s="116" t="s">
        <v>405</v>
      </c>
      <c r="S341" s="116" t="s">
        <v>2612</v>
      </c>
      <c r="T341" s="116" t="s">
        <v>2613</v>
      </c>
      <c r="U341" s="116" t="s">
        <v>1036</v>
      </c>
      <c r="V341" s="116" t="s">
        <v>1028</v>
      </c>
      <c r="W341" s="116" t="s">
        <v>1081</v>
      </c>
    </row>
    <row r="342">
      <c r="A342" s="154">
        <v>43766.53192383102</v>
      </c>
      <c r="B342" s="116" t="s">
        <v>2614</v>
      </c>
      <c r="C342" s="116" t="s">
        <v>2615</v>
      </c>
      <c r="E342" s="116" t="s">
        <v>2616</v>
      </c>
      <c r="F342" s="116" t="s">
        <v>418</v>
      </c>
      <c r="G342" s="116" t="s">
        <v>1049</v>
      </c>
      <c r="H342" s="116" t="s">
        <v>202</v>
      </c>
      <c r="I342" s="116" t="s">
        <v>2617</v>
      </c>
      <c r="J342" s="116" t="s">
        <v>401</v>
      </c>
      <c r="K342" s="116" t="s">
        <v>163</v>
      </c>
      <c r="L342" s="116" t="s">
        <v>136</v>
      </c>
      <c r="O342" s="116" t="s">
        <v>130</v>
      </c>
      <c r="R342" s="116" t="s">
        <v>442</v>
      </c>
      <c r="T342" s="116" t="s">
        <v>2618</v>
      </c>
      <c r="U342" s="116" t="s">
        <v>1766</v>
      </c>
      <c r="V342" s="116" t="s">
        <v>1249</v>
      </c>
      <c r="X342" s="116" t="s">
        <v>2619</v>
      </c>
    </row>
    <row r="343">
      <c r="A343" s="154">
        <v>43767.202232766205</v>
      </c>
      <c r="B343" s="116" t="s">
        <v>2620</v>
      </c>
      <c r="C343" s="116" t="s">
        <v>2621</v>
      </c>
      <c r="D343" s="116" t="s">
        <v>2622</v>
      </c>
      <c r="E343" s="116" t="s">
        <v>2623</v>
      </c>
      <c r="F343" s="116" t="s">
        <v>418</v>
      </c>
      <c r="G343" s="116" t="s">
        <v>1465</v>
      </c>
      <c r="H343" s="116" t="s">
        <v>202</v>
      </c>
      <c r="I343" s="116" t="s">
        <v>251</v>
      </c>
      <c r="J343" s="116" t="s">
        <v>163</v>
      </c>
      <c r="K343" s="116" t="s">
        <v>400</v>
      </c>
      <c r="N343" s="116" t="s">
        <v>2624</v>
      </c>
      <c r="O343" s="116" t="s">
        <v>403</v>
      </c>
      <c r="R343" s="116" t="s">
        <v>451</v>
      </c>
      <c r="S343" s="116" t="s">
        <v>2625</v>
      </c>
      <c r="T343" s="116" t="s">
        <v>2626</v>
      </c>
      <c r="U343" s="116" t="s">
        <v>1027</v>
      </c>
      <c r="V343" s="116" t="s">
        <v>1028</v>
      </c>
      <c r="X343" s="116" t="s">
        <v>2627</v>
      </c>
    </row>
    <row r="344">
      <c r="A344" s="154">
        <v>43767.624537407406</v>
      </c>
      <c r="B344" s="116" t="s">
        <v>2628</v>
      </c>
      <c r="C344" s="116" t="s">
        <v>2629</v>
      </c>
      <c r="D344" s="116" t="s">
        <v>2630</v>
      </c>
      <c r="E344" s="116" t="s">
        <v>2631</v>
      </c>
      <c r="F344" s="116" t="s">
        <v>461</v>
      </c>
      <c r="G344" s="116" t="s">
        <v>2632</v>
      </c>
      <c r="H344" s="116" t="s">
        <v>63</v>
      </c>
      <c r="I344" s="116" t="s">
        <v>400</v>
      </c>
      <c r="J344" s="116" t="s">
        <v>401</v>
      </c>
      <c r="N344" s="116" t="s">
        <v>2633</v>
      </c>
      <c r="O344" s="116" t="s">
        <v>130</v>
      </c>
      <c r="P344" s="116" t="s">
        <v>2634</v>
      </c>
      <c r="R344" s="116" t="s">
        <v>451</v>
      </c>
      <c r="S344" s="116" t="s">
        <v>2635</v>
      </c>
      <c r="T344" s="116" t="s">
        <v>2636</v>
      </c>
      <c r="U344" s="116" t="s">
        <v>1027</v>
      </c>
      <c r="V344" s="116" t="s">
        <v>1028</v>
      </c>
      <c r="X344" s="116" t="s">
        <v>1888</v>
      </c>
    </row>
    <row r="345">
      <c r="A345" s="154">
        <v>43769.5390624537</v>
      </c>
      <c r="B345" s="116" t="s">
        <v>1825</v>
      </c>
      <c r="C345" s="116" t="s">
        <v>1826</v>
      </c>
      <c r="D345" s="116" t="s">
        <v>2637</v>
      </c>
      <c r="E345" s="116" t="s">
        <v>1828</v>
      </c>
      <c r="F345" s="116" t="s">
        <v>418</v>
      </c>
      <c r="G345" s="116" t="s">
        <v>1219</v>
      </c>
      <c r="H345" s="116" t="s">
        <v>63</v>
      </c>
      <c r="I345" s="116" t="s">
        <v>251</v>
      </c>
      <c r="O345" s="116" t="s">
        <v>117</v>
      </c>
      <c r="R345" s="116" t="s">
        <v>451</v>
      </c>
      <c r="S345" s="116" t="s">
        <v>1829</v>
      </c>
      <c r="T345" s="116" t="s">
        <v>20</v>
      </c>
      <c r="U345" s="116" t="s">
        <v>1036</v>
      </c>
      <c r="V345" s="116" t="s">
        <v>1028</v>
      </c>
      <c r="X345" s="116" t="s">
        <v>1677</v>
      </c>
    </row>
    <row r="346">
      <c r="A346" s="154">
        <v>43769.889063877315</v>
      </c>
      <c r="B346" s="116" t="s">
        <v>2638</v>
      </c>
      <c r="C346" s="116" t="s">
        <v>2639</v>
      </c>
      <c r="E346" s="116" t="s">
        <v>2640</v>
      </c>
      <c r="F346" s="116" t="s">
        <v>529</v>
      </c>
      <c r="G346" s="116" t="s">
        <v>1101</v>
      </c>
      <c r="H346" s="116" t="s">
        <v>202</v>
      </c>
      <c r="O346" s="116" t="s">
        <v>130</v>
      </c>
      <c r="P346" s="116" t="s">
        <v>2641</v>
      </c>
      <c r="R346" s="116" t="s">
        <v>442</v>
      </c>
      <c r="S346" s="116" t="s">
        <v>2642</v>
      </c>
      <c r="T346" s="116" t="s">
        <v>2643</v>
      </c>
      <c r="U346" s="116" t="s">
        <v>1097</v>
      </c>
      <c r="V346" s="116" t="s">
        <v>1028</v>
      </c>
      <c r="X346" s="116" t="s">
        <v>2644</v>
      </c>
    </row>
    <row r="347">
      <c r="A347" s="154">
        <v>43772.945721909724</v>
      </c>
      <c r="B347" s="116" t="s">
        <v>2645</v>
      </c>
      <c r="C347" s="116" t="s">
        <v>2646</v>
      </c>
      <c r="E347" s="116" t="s">
        <v>2647</v>
      </c>
      <c r="F347" s="116" t="s">
        <v>431</v>
      </c>
      <c r="G347" s="116" t="s">
        <v>1049</v>
      </c>
      <c r="H347" s="116" t="s">
        <v>202</v>
      </c>
      <c r="I347" s="116" t="s">
        <v>251</v>
      </c>
      <c r="J347" s="116" t="s">
        <v>400</v>
      </c>
      <c r="K347" s="116" t="s">
        <v>136</v>
      </c>
      <c r="L347" s="116" t="s">
        <v>163</v>
      </c>
      <c r="M347" s="116" t="s">
        <v>401</v>
      </c>
      <c r="O347" s="116" t="s">
        <v>117</v>
      </c>
      <c r="R347" s="116" t="s">
        <v>451</v>
      </c>
      <c r="U347" s="116" t="s">
        <v>1027</v>
      </c>
      <c r="V347" s="116" t="s">
        <v>1091</v>
      </c>
      <c r="X347" s="116" t="s">
        <v>2648</v>
      </c>
    </row>
    <row r="348">
      <c r="A348" s="154">
        <v>43773.58556355324</v>
      </c>
      <c r="B348" s="116" t="s">
        <v>2649</v>
      </c>
      <c r="C348" s="116" t="s">
        <v>34</v>
      </c>
      <c r="D348" s="116" t="s">
        <v>2650</v>
      </c>
      <c r="E348" s="116" t="s">
        <v>2651</v>
      </c>
      <c r="F348" s="116" t="s">
        <v>431</v>
      </c>
      <c r="G348" s="116" t="s">
        <v>1049</v>
      </c>
      <c r="H348" s="116" t="s">
        <v>202</v>
      </c>
      <c r="I348" s="116" t="s">
        <v>401</v>
      </c>
      <c r="J348" s="116" t="s">
        <v>400</v>
      </c>
      <c r="K348" s="116" t="s">
        <v>251</v>
      </c>
      <c r="L348" s="116" t="s">
        <v>136</v>
      </c>
      <c r="M348" s="116" t="s">
        <v>163</v>
      </c>
      <c r="N348" s="116" t="s">
        <v>2652</v>
      </c>
      <c r="O348" s="116" t="s">
        <v>403</v>
      </c>
      <c r="P348" s="116" t="s">
        <v>2653</v>
      </c>
      <c r="R348" s="116" t="s">
        <v>405</v>
      </c>
      <c r="S348" s="116" t="s">
        <v>2654</v>
      </c>
      <c r="T348" s="116" t="s">
        <v>2655</v>
      </c>
      <c r="U348" s="116" t="s">
        <v>1133</v>
      </c>
      <c r="V348" s="116" t="s">
        <v>1028</v>
      </c>
      <c r="X348" s="116" t="s">
        <v>2656</v>
      </c>
    </row>
    <row r="349">
      <c r="A349" s="154">
        <v>43773.596221053245</v>
      </c>
      <c r="B349" s="116" t="s">
        <v>2657</v>
      </c>
      <c r="C349" s="116" t="s">
        <v>2658</v>
      </c>
      <c r="E349" s="116" t="s">
        <v>2659</v>
      </c>
      <c r="F349" s="116" t="s">
        <v>461</v>
      </c>
      <c r="G349" s="116" t="s">
        <v>1049</v>
      </c>
      <c r="H349" s="116" t="s">
        <v>63</v>
      </c>
      <c r="I349" s="116" t="s">
        <v>136</v>
      </c>
      <c r="J349" s="116" t="s">
        <v>251</v>
      </c>
      <c r="K349" s="116" t="s">
        <v>401</v>
      </c>
      <c r="O349" s="116" t="s">
        <v>403</v>
      </c>
      <c r="P349" s="116" t="s">
        <v>879</v>
      </c>
      <c r="R349" s="116" t="s">
        <v>405</v>
      </c>
      <c r="S349" s="116" t="s">
        <v>2660</v>
      </c>
      <c r="T349" s="116" t="s">
        <v>2661</v>
      </c>
      <c r="U349" s="116" t="s">
        <v>1036</v>
      </c>
      <c r="V349" s="116" t="s">
        <v>1091</v>
      </c>
      <c r="X349" s="116" t="s">
        <v>1687</v>
      </c>
    </row>
    <row r="350">
      <c r="A350" s="154">
        <v>43775.928431423614</v>
      </c>
      <c r="B350" s="116" t="s">
        <v>2662</v>
      </c>
      <c r="C350" s="116" t="s">
        <v>2663</v>
      </c>
      <c r="D350" s="116" t="s">
        <v>2664</v>
      </c>
      <c r="E350" s="116" t="s">
        <v>2665</v>
      </c>
      <c r="F350" s="116" t="s">
        <v>2666</v>
      </c>
      <c r="G350" s="116" t="s">
        <v>2667</v>
      </c>
      <c r="H350" s="116" t="s">
        <v>63</v>
      </c>
      <c r="I350" s="116" t="s">
        <v>163</v>
      </c>
      <c r="J350" s="116" t="s">
        <v>401</v>
      </c>
      <c r="K350" s="116" t="s">
        <v>400</v>
      </c>
      <c r="L350" s="116" t="s">
        <v>251</v>
      </c>
      <c r="M350" s="116" t="s">
        <v>136</v>
      </c>
      <c r="N350" s="116" t="s">
        <v>2668</v>
      </c>
      <c r="O350" s="116" t="s">
        <v>403</v>
      </c>
      <c r="S350" s="116" t="s">
        <v>2669</v>
      </c>
      <c r="T350" s="116" t="s">
        <v>2670</v>
      </c>
      <c r="U350" s="116" t="s">
        <v>1062</v>
      </c>
      <c r="V350" s="116" t="s">
        <v>1028</v>
      </c>
      <c r="X350" s="116" t="s">
        <v>2671</v>
      </c>
    </row>
    <row r="351">
      <c r="A351" s="154">
        <v>43776.037574699076</v>
      </c>
      <c r="B351" s="116" t="s">
        <v>2672</v>
      </c>
      <c r="C351" s="116" t="s">
        <v>2673</v>
      </c>
      <c r="E351" s="116" t="s">
        <v>2674</v>
      </c>
      <c r="F351" s="116" t="s">
        <v>701</v>
      </c>
      <c r="G351" s="116" t="s">
        <v>2675</v>
      </c>
      <c r="H351" s="116" t="s">
        <v>202</v>
      </c>
      <c r="O351" s="116" t="s">
        <v>117</v>
      </c>
      <c r="R351" s="116" t="s">
        <v>451</v>
      </c>
      <c r="S351" s="116" t="s">
        <v>2676</v>
      </c>
      <c r="U351" s="116" t="s">
        <v>1027</v>
      </c>
      <c r="V351" s="116" t="s">
        <v>1293</v>
      </c>
      <c r="X351" s="116" t="s">
        <v>2677</v>
      </c>
    </row>
    <row r="352">
      <c r="A352" s="154">
        <v>43776.55508767361</v>
      </c>
      <c r="B352" s="116" t="s">
        <v>2678</v>
      </c>
      <c r="C352" s="116" t="s">
        <v>2679</v>
      </c>
      <c r="D352" s="116" t="s">
        <v>2680</v>
      </c>
      <c r="E352" s="116" t="s">
        <v>2681</v>
      </c>
      <c r="F352" s="116" t="s">
        <v>431</v>
      </c>
      <c r="G352" s="116" t="s">
        <v>2682</v>
      </c>
      <c r="H352" s="116" t="s">
        <v>202</v>
      </c>
      <c r="O352" s="116" t="s">
        <v>403</v>
      </c>
      <c r="P352" s="116" t="s">
        <v>2683</v>
      </c>
      <c r="R352" s="116" t="s">
        <v>405</v>
      </c>
      <c r="S352" s="116" t="s">
        <v>2684</v>
      </c>
      <c r="T352" s="116" t="s">
        <v>2685</v>
      </c>
      <c r="U352" s="116" t="s">
        <v>1062</v>
      </c>
      <c r="V352" s="116" t="s">
        <v>1028</v>
      </c>
      <c r="X352" s="116" t="s">
        <v>2412</v>
      </c>
    </row>
    <row r="353">
      <c r="A353" s="154">
        <v>43777.21710978009</v>
      </c>
      <c r="B353" s="116" t="s">
        <v>2686</v>
      </c>
      <c r="C353" s="116" t="s">
        <v>2687</v>
      </c>
      <c r="D353" s="116" t="s">
        <v>2688</v>
      </c>
      <c r="E353" s="116" t="s">
        <v>2689</v>
      </c>
      <c r="F353" s="116" t="s">
        <v>431</v>
      </c>
      <c r="G353" s="116" t="s">
        <v>1049</v>
      </c>
      <c r="H353" s="116" t="s">
        <v>63</v>
      </c>
      <c r="I353" s="116" t="s">
        <v>251</v>
      </c>
      <c r="J353" s="116" t="s">
        <v>400</v>
      </c>
      <c r="K353" s="116" t="s">
        <v>401</v>
      </c>
      <c r="L353" s="116" t="s">
        <v>163</v>
      </c>
      <c r="M353" s="116" t="s">
        <v>136</v>
      </c>
      <c r="N353" s="116" t="s">
        <v>2690</v>
      </c>
      <c r="O353" s="116" t="s">
        <v>403</v>
      </c>
      <c r="P353" s="116" t="s">
        <v>2691</v>
      </c>
      <c r="R353" s="116" t="s">
        <v>442</v>
      </c>
      <c r="S353" s="116" t="s">
        <v>2692</v>
      </c>
      <c r="T353" s="116" t="s">
        <v>2693</v>
      </c>
      <c r="U353" s="116" t="s">
        <v>1036</v>
      </c>
      <c r="V353" s="116" t="s">
        <v>1028</v>
      </c>
      <c r="W353" s="116" t="s">
        <v>2694</v>
      </c>
      <c r="X353" s="116" t="s">
        <v>2695</v>
      </c>
    </row>
    <row r="354">
      <c r="A354" s="154">
        <v>43777.537821550926</v>
      </c>
      <c r="B354" s="116" t="s">
        <v>2696</v>
      </c>
      <c r="C354" s="116" t="s">
        <v>2697</v>
      </c>
      <c r="D354" s="116" t="s">
        <v>2698</v>
      </c>
      <c r="E354" s="116" t="s">
        <v>2699</v>
      </c>
      <c r="F354" s="116" t="s">
        <v>431</v>
      </c>
      <c r="G354" s="116" t="s">
        <v>2700</v>
      </c>
      <c r="H354" s="116" t="s">
        <v>63</v>
      </c>
      <c r="I354" s="116" t="s">
        <v>136</v>
      </c>
      <c r="O354" s="116" t="s">
        <v>130</v>
      </c>
      <c r="P354" s="116" t="s">
        <v>136</v>
      </c>
      <c r="R354" s="116" t="s">
        <v>405</v>
      </c>
      <c r="T354" s="116" t="s">
        <v>2701</v>
      </c>
      <c r="U354" s="116" t="s">
        <v>1036</v>
      </c>
      <c r="V354" s="116" t="s">
        <v>2702</v>
      </c>
      <c r="W354" s="116" t="s">
        <v>1081</v>
      </c>
      <c r="X354" s="116" t="s">
        <v>2703</v>
      </c>
    </row>
    <row r="355">
      <c r="A355" s="154">
        <v>43777.94741894676</v>
      </c>
      <c r="B355" s="116" t="s">
        <v>2704</v>
      </c>
      <c r="C355" s="116" t="s">
        <v>2705</v>
      </c>
      <c r="D355" s="116" t="s">
        <v>2706</v>
      </c>
      <c r="E355" s="116" t="s">
        <v>2707</v>
      </c>
      <c r="F355" s="116" t="s">
        <v>431</v>
      </c>
      <c r="G355" s="116" t="s">
        <v>1637</v>
      </c>
      <c r="H355" s="116" t="s">
        <v>202</v>
      </c>
      <c r="I355" s="116" t="s">
        <v>251</v>
      </c>
      <c r="J355" s="116" t="s">
        <v>400</v>
      </c>
      <c r="K355" s="116" t="s">
        <v>163</v>
      </c>
      <c r="L355" s="116" t="s">
        <v>401</v>
      </c>
      <c r="M355" s="116" t="s">
        <v>136</v>
      </c>
      <c r="N355" s="116" t="s">
        <v>2708</v>
      </c>
      <c r="O355" s="116" t="s">
        <v>403</v>
      </c>
      <c r="P355" s="116" t="s">
        <v>2709</v>
      </c>
      <c r="R355" s="116" t="s">
        <v>405</v>
      </c>
      <c r="S355" s="116" t="s">
        <v>2710</v>
      </c>
      <c r="T355" s="116" t="s">
        <v>2711</v>
      </c>
      <c r="U355" s="116" t="s">
        <v>1036</v>
      </c>
      <c r="V355" s="116" t="s">
        <v>1028</v>
      </c>
      <c r="W355" s="116" t="s">
        <v>2712</v>
      </c>
      <c r="X355" s="116" t="s">
        <v>2713</v>
      </c>
    </row>
    <row r="356">
      <c r="A356" s="154">
        <v>43778.843209189814</v>
      </c>
      <c r="B356" s="116" t="s">
        <v>2714</v>
      </c>
      <c r="C356" s="116" t="s">
        <v>436</v>
      </c>
      <c r="D356" s="116" t="s">
        <v>2715</v>
      </c>
      <c r="E356" s="116" t="s">
        <v>2716</v>
      </c>
      <c r="F356" s="116" t="s">
        <v>492</v>
      </c>
      <c r="G356" s="116" t="s">
        <v>2667</v>
      </c>
      <c r="H356" s="116" t="s">
        <v>63</v>
      </c>
      <c r="I356" s="116" t="s">
        <v>401</v>
      </c>
      <c r="J356" s="116" t="s">
        <v>400</v>
      </c>
      <c r="K356" s="116" t="s">
        <v>136</v>
      </c>
      <c r="L356" s="116" t="s">
        <v>251</v>
      </c>
      <c r="M356" s="116" t="s">
        <v>163</v>
      </c>
      <c r="O356" s="116" t="s">
        <v>130</v>
      </c>
      <c r="P356" s="116" t="s">
        <v>2717</v>
      </c>
      <c r="R356" s="116" t="s">
        <v>405</v>
      </c>
      <c r="S356" s="116" t="s">
        <v>2718</v>
      </c>
      <c r="T356" s="116" t="s">
        <v>2719</v>
      </c>
      <c r="U356" s="116" t="s">
        <v>1027</v>
      </c>
      <c r="V356" s="116" t="s">
        <v>1091</v>
      </c>
      <c r="W356" s="116" t="s">
        <v>1104</v>
      </c>
      <c r="X356" s="116" t="s">
        <v>1677</v>
      </c>
    </row>
    <row r="357">
      <c r="A357" s="154">
        <v>43779.014280324074</v>
      </c>
      <c r="B357" s="116" t="s">
        <v>2720</v>
      </c>
      <c r="C357" s="116" t="s">
        <v>2721</v>
      </c>
      <c r="D357" s="116" t="s">
        <v>2722</v>
      </c>
      <c r="E357" s="116" t="s">
        <v>2723</v>
      </c>
      <c r="F357" s="116" t="s">
        <v>418</v>
      </c>
      <c r="G357" s="116" t="s">
        <v>1610</v>
      </c>
      <c r="H357" s="116" t="s">
        <v>63</v>
      </c>
      <c r="I357" s="116" t="s">
        <v>251</v>
      </c>
      <c r="J357" s="116" t="s">
        <v>400</v>
      </c>
      <c r="K357" s="116" t="s">
        <v>136</v>
      </c>
      <c r="L357" s="116" t="s">
        <v>163</v>
      </c>
      <c r="M357" s="116" t="s">
        <v>401</v>
      </c>
      <c r="O357" s="116" t="s">
        <v>403</v>
      </c>
      <c r="P357" s="116" t="s">
        <v>2724</v>
      </c>
      <c r="R357" s="116" t="s">
        <v>451</v>
      </c>
      <c r="S357" s="116" t="s">
        <v>2725</v>
      </c>
      <c r="T357" s="116" t="s">
        <v>2726</v>
      </c>
      <c r="U357" s="116" t="s">
        <v>1097</v>
      </c>
      <c r="V357" s="116" t="s">
        <v>1028</v>
      </c>
      <c r="X357" s="116" t="s">
        <v>2727</v>
      </c>
    </row>
    <row r="358">
      <c r="A358" s="154">
        <v>43780.19700046296</v>
      </c>
      <c r="B358" s="116" t="s">
        <v>581</v>
      </c>
      <c r="C358" s="116" t="s">
        <v>2728</v>
      </c>
      <c r="D358" s="116" t="s">
        <v>2729</v>
      </c>
      <c r="E358" s="116" t="s">
        <v>584</v>
      </c>
      <c r="F358" s="116" t="s">
        <v>431</v>
      </c>
      <c r="G358" s="116" t="s">
        <v>2730</v>
      </c>
      <c r="H358" s="116" t="s">
        <v>63</v>
      </c>
      <c r="I358" s="116" t="s">
        <v>400</v>
      </c>
      <c r="J358" s="116" t="s">
        <v>251</v>
      </c>
      <c r="K358" s="116" t="s">
        <v>136</v>
      </c>
      <c r="L358" s="116" t="s">
        <v>401</v>
      </c>
      <c r="M358" s="116" t="s">
        <v>163</v>
      </c>
      <c r="N358" s="116" t="s">
        <v>2731</v>
      </c>
      <c r="O358" s="116" t="s">
        <v>117</v>
      </c>
      <c r="R358" s="116" t="s">
        <v>405</v>
      </c>
      <c r="S358" s="116" t="s">
        <v>2732</v>
      </c>
      <c r="T358" s="116" t="s">
        <v>2733</v>
      </c>
      <c r="U358" s="116" t="s">
        <v>1062</v>
      </c>
      <c r="V358" s="116" t="s">
        <v>1028</v>
      </c>
      <c r="W358" s="116" t="s">
        <v>2734</v>
      </c>
      <c r="X358" s="116" t="s">
        <v>2735</v>
      </c>
    </row>
    <row r="359">
      <c r="A359" s="154">
        <v>43780.37467388889</v>
      </c>
      <c r="B359" s="116" t="s">
        <v>2736</v>
      </c>
      <c r="C359" s="116" t="s">
        <v>2737</v>
      </c>
      <c r="E359" s="116" t="s">
        <v>2738</v>
      </c>
      <c r="F359" s="116" t="s">
        <v>2739</v>
      </c>
      <c r="G359" s="116" t="s">
        <v>2740</v>
      </c>
      <c r="H359" s="116" t="s">
        <v>63</v>
      </c>
      <c r="I359" s="116" t="s">
        <v>401</v>
      </c>
      <c r="J359" s="116" t="s">
        <v>251</v>
      </c>
      <c r="K359" s="116" t="s">
        <v>136</v>
      </c>
      <c r="L359" s="116" t="s">
        <v>400</v>
      </c>
      <c r="M359" s="116" t="s">
        <v>163</v>
      </c>
      <c r="N359" s="116" t="s">
        <v>2741</v>
      </c>
      <c r="O359" s="116" t="s">
        <v>117</v>
      </c>
      <c r="R359" s="116" t="s">
        <v>451</v>
      </c>
      <c r="S359" s="116" t="s">
        <v>2742</v>
      </c>
      <c r="U359" s="116" t="s">
        <v>1036</v>
      </c>
      <c r="V359" s="116" t="s">
        <v>1028</v>
      </c>
      <c r="X359" s="116" t="s">
        <v>2743</v>
      </c>
    </row>
    <row r="360">
      <c r="A360" s="154">
        <v>43782.56913421296</v>
      </c>
      <c r="B360" s="116" t="s">
        <v>2744</v>
      </c>
      <c r="C360" s="116" t="s">
        <v>2745</v>
      </c>
      <c r="D360" s="116" t="s">
        <v>2746</v>
      </c>
      <c r="E360" s="116" t="s">
        <v>2747</v>
      </c>
      <c r="F360" s="116" t="s">
        <v>529</v>
      </c>
      <c r="G360" s="116" t="s">
        <v>2748</v>
      </c>
      <c r="H360" s="116" t="s">
        <v>63</v>
      </c>
      <c r="I360" s="116" t="s">
        <v>400</v>
      </c>
      <c r="J360" s="116" t="s">
        <v>251</v>
      </c>
      <c r="K360" s="116" t="s">
        <v>163</v>
      </c>
      <c r="L360" s="116" t="s">
        <v>401</v>
      </c>
      <c r="M360" s="116" t="s">
        <v>136</v>
      </c>
      <c r="N360" s="116" t="s">
        <v>2749</v>
      </c>
      <c r="O360" s="116" t="s">
        <v>117</v>
      </c>
      <c r="P360" s="116" t="s">
        <v>2750</v>
      </c>
      <c r="R360" s="116" t="s">
        <v>451</v>
      </c>
      <c r="S360" s="116" t="s">
        <v>2751</v>
      </c>
      <c r="T360" s="116" t="s">
        <v>2752</v>
      </c>
      <c r="U360" s="116" t="s">
        <v>1062</v>
      </c>
      <c r="V360" s="116" t="s">
        <v>1150</v>
      </c>
      <c r="X360" s="116" t="s">
        <v>1677</v>
      </c>
    </row>
    <row r="361">
      <c r="A361" s="154">
        <v>43789.379284305556</v>
      </c>
      <c r="B361" s="116" t="s">
        <v>2753</v>
      </c>
      <c r="C361" s="116" t="s">
        <v>2754</v>
      </c>
      <c r="D361" s="116" t="s">
        <v>2755</v>
      </c>
      <c r="E361" s="116" t="s">
        <v>2756</v>
      </c>
      <c r="F361" s="116" t="s">
        <v>492</v>
      </c>
      <c r="G361" s="116" t="s">
        <v>2667</v>
      </c>
      <c r="H361" s="116" t="s">
        <v>63</v>
      </c>
      <c r="I361" s="116" t="s">
        <v>251</v>
      </c>
      <c r="J361" s="116" t="s">
        <v>401</v>
      </c>
      <c r="K361" s="116" t="s">
        <v>400</v>
      </c>
      <c r="L361" s="116" t="s">
        <v>163</v>
      </c>
      <c r="M361" s="116" t="s">
        <v>136</v>
      </c>
      <c r="N361" s="116" t="s">
        <v>463</v>
      </c>
      <c r="O361" s="116" t="s">
        <v>117</v>
      </c>
      <c r="P361" s="116" t="s">
        <v>242</v>
      </c>
      <c r="R361" s="116" t="s">
        <v>451</v>
      </c>
      <c r="S361" s="116" t="s">
        <v>2757</v>
      </c>
      <c r="T361" s="116" t="s">
        <v>2758</v>
      </c>
      <c r="U361" s="116" t="s">
        <v>1097</v>
      </c>
      <c r="V361" s="116" t="s">
        <v>1091</v>
      </c>
      <c r="W361" s="116" t="s">
        <v>1104</v>
      </c>
      <c r="X361" s="116" t="s">
        <v>2412</v>
      </c>
    </row>
    <row r="362">
      <c r="A362" s="154">
        <v>43789.561137233795</v>
      </c>
      <c r="B362" s="116" t="s">
        <v>2759</v>
      </c>
      <c r="C362" s="116" t="s">
        <v>1170</v>
      </c>
      <c r="E362" s="116" t="s">
        <v>2760</v>
      </c>
      <c r="F362" s="116" t="s">
        <v>701</v>
      </c>
      <c r="G362" s="116" t="s">
        <v>2761</v>
      </c>
      <c r="H362" s="116" t="s">
        <v>63</v>
      </c>
      <c r="I362" s="116" t="s">
        <v>251</v>
      </c>
      <c r="J362" s="116" t="s">
        <v>400</v>
      </c>
      <c r="K362" s="116" t="s">
        <v>401</v>
      </c>
      <c r="N362" s="116" t="s">
        <v>2762</v>
      </c>
      <c r="O362" s="116" t="s">
        <v>403</v>
      </c>
      <c r="P362" s="116" t="s">
        <v>34</v>
      </c>
      <c r="R362" s="116" t="s">
        <v>451</v>
      </c>
      <c r="S362" s="116" t="s">
        <v>2763</v>
      </c>
      <c r="U362" s="116" t="s">
        <v>1062</v>
      </c>
      <c r="V362" s="116" t="s">
        <v>1091</v>
      </c>
      <c r="X362" s="116" t="s">
        <v>1687</v>
      </c>
    </row>
    <row r="363">
      <c r="A363" s="154">
        <v>43790.71008880787</v>
      </c>
      <c r="B363" s="116" t="s">
        <v>2764</v>
      </c>
      <c r="C363" s="116" t="s">
        <v>2765</v>
      </c>
      <c r="D363" s="116" t="s">
        <v>2766</v>
      </c>
      <c r="E363" s="116" t="s">
        <v>2767</v>
      </c>
      <c r="F363" s="116" t="s">
        <v>701</v>
      </c>
      <c r="G363" s="116" t="s">
        <v>1022</v>
      </c>
      <c r="H363" s="116" t="s">
        <v>63</v>
      </c>
      <c r="I363" s="116" t="s">
        <v>251</v>
      </c>
      <c r="J363" s="116" t="s">
        <v>401</v>
      </c>
      <c r="K363" s="116" t="s">
        <v>400</v>
      </c>
      <c r="L363" s="116" t="s">
        <v>136</v>
      </c>
      <c r="M363" s="116" t="s">
        <v>163</v>
      </c>
      <c r="N363" s="116" t="s">
        <v>2768</v>
      </c>
      <c r="O363" s="116" t="s">
        <v>117</v>
      </c>
      <c r="R363" s="116" t="s">
        <v>451</v>
      </c>
      <c r="S363" s="116" t="s">
        <v>2769</v>
      </c>
      <c r="T363" s="116" t="s">
        <v>2145</v>
      </c>
      <c r="U363" s="116" t="s">
        <v>1097</v>
      </c>
      <c r="V363" s="116" t="s">
        <v>1150</v>
      </c>
    </row>
    <row r="364">
      <c r="A364" s="154">
        <v>43794.31350851852</v>
      </c>
      <c r="B364" s="116" t="s">
        <v>2770</v>
      </c>
      <c r="C364" s="116" t="s">
        <v>2771</v>
      </c>
      <c r="D364" s="116" t="s">
        <v>2772</v>
      </c>
      <c r="E364" s="116" t="s">
        <v>2773</v>
      </c>
      <c r="F364" s="116" t="s">
        <v>461</v>
      </c>
      <c r="G364" s="116" t="s">
        <v>1022</v>
      </c>
      <c r="H364" s="116" t="s">
        <v>63</v>
      </c>
      <c r="I364" s="116" t="s">
        <v>400</v>
      </c>
      <c r="J364" s="116" t="s">
        <v>251</v>
      </c>
      <c r="K364" s="116" t="s">
        <v>401</v>
      </c>
      <c r="L364" s="116" t="s">
        <v>163</v>
      </c>
      <c r="M364" s="116" t="s">
        <v>136</v>
      </c>
      <c r="N364" s="116" t="s">
        <v>2774</v>
      </c>
      <c r="O364" s="116" t="s">
        <v>117</v>
      </c>
      <c r="P364" s="116" t="s">
        <v>2775</v>
      </c>
      <c r="R364" s="116" t="s">
        <v>451</v>
      </c>
      <c r="S364" s="116" t="s">
        <v>2776</v>
      </c>
      <c r="T364" s="116" t="s">
        <v>2777</v>
      </c>
      <c r="U364" s="116" t="s">
        <v>1027</v>
      </c>
      <c r="V364" s="116" t="s">
        <v>1028</v>
      </c>
      <c r="X364" s="116" t="s">
        <v>2778</v>
      </c>
    </row>
    <row r="365">
      <c r="A365" s="154">
        <v>43795.466076805555</v>
      </c>
      <c r="B365" s="116" t="s">
        <v>2779</v>
      </c>
      <c r="C365" s="116" t="s">
        <v>860</v>
      </c>
      <c r="D365" s="116" t="s">
        <v>2780</v>
      </c>
      <c r="E365" s="116" t="s">
        <v>2781</v>
      </c>
      <c r="F365" s="116" t="s">
        <v>461</v>
      </c>
      <c r="G365" s="116" t="s">
        <v>1101</v>
      </c>
      <c r="H365" s="116" t="s">
        <v>63</v>
      </c>
      <c r="I365" s="116" t="s">
        <v>400</v>
      </c>
      <c r="J365" s="116" t="s">
        <v>251</v>
      </c>
      <c r="K365" s="116" t="s">
        <v>401</v>
      </c>
      <c r="L365" s="116" t="s">
        <v>163</v>
      </c>
      <c r="N365" s="116" t="s">
        <v>2782</v>
      </c>
      <c r="O365" s="116" t="s">
        <v>117</v>
      </c>
      <c r="P365" s="116" t="s">
        <v>1203</v>
      </c>
      <c r="R365" s="116" t="s">
        <v>405</v>
      </c>
      <c r="S365" s="116" t="s">
        <v>2783</v>
      </c>
      <c r="T365" s="116" t="s">
        <v>2784</v>
      </c>
      <c r="U365" s="116" t="s">
        <v>1036</v>
      </c>
      <c r="V365" s="116" t="s">
        <v>1028</v>
      </c>
      <c r="X365" s="116" t="s">
        <v>2363</v>
      </c>
    </row>
    <row r="366">
      <c r="A366" s="154">
        <v>43796.31597033565</v>
      </c>
      <c r="B366" s="116" t="s">
        <v>2785</v>
      </c>
      <c r="C366" s="116" t="s">
        <v>1671</v>
      </c>
      <c r="D366" s="116" t="s">
        <v>2786</v>
      </c>
      <c r="E366" s="116" t="s">
        <v>2787</v>
      </c>
      <c r="F366" s="116" t="s">
        <v>2788</v>
      </c>
      <c r="G366" s="116" t="s">
        <v>1664</v>
      </c>
      <c r="H366" s="116" t="s">
        <v>63</v>
      </c>
      <c r="I366" s="116" t="s">
        <v>136</v>
      </c>
      <c r="J366" s="116" t="s">
        <v>400</v>
      </c>
      <c r="K366" s="116" t="s">
        <v>401</v>
      </c>
      <c r="L366" s="116" t="s">
        <v>251</v>
      </c>
      <c r="M366" s="116" t="s">
        <v>163</v>
      </c>
      <c r="N366" s="116" t="s">
        <v>2789</v>
      </c>
      <c r="O366" s="116" t="s">
        <v>403</v>
      </c>
      <c r="P366" s="116" t="s">
        <v>2790</v>
      </c>
      <c r="R366" s="116" t="s">
        <v>451</v>
      </c>
      <c r="S366" s="116" t="s">
        <v>2791</v>
      </c>
      <c r="T366" s="116" t="s">
        <v>2792</v>
      </c>
      <c r="U366" s="116" t="s">
        <v>1097</v>
      </c>
      <c r="V366" s="116" t="s">
        <v>1028</v>
      </c>
      <c r="X366" s="116" t="s">
        <v>1677</v>
      </c>
    </row>
    <row r="367">
      <c r="A367" s="154">
        <v>43796.44863079861</v>
      </c>
      <c r="B367" s="116" t="s">
        <v>2793</v>
      </c>
      <c r="C367" s="116" t="s">
        <v>2794</v>
      </c>
      <c r="E367" s="116" t="s">
        <v>2795</v>
      </c>
      <c r="F367" s="116" t="s">
        <v>431</v>
      </c>
      <c r="G367" s="116" t="s">
        <v>1022</v>
      </c>
      <c r="H367" s="116" t="s">
        <v>63</v>
      </c>
      <c r="I367" s="116" t="s">
        <v>163</v>
      </c>
      <c r="J367" s="116" t="s">
        <v>251</v>
      </c>
      <c r="O367" s="116" t="s">
        <v>403</v>
      </c>
      <c r="R367" s="116" t="s">
        <v>405</v>
      </c>
      <c r="S367" s="116" t="s">
        <v>2796</v>
      </c>
      <c r="U367" s="116" t="s">
        <v>1062</v>
      </c>
      <c r="V367" s="116" t="s">
        <v>1028</v>
      </c>
      <c r="W367" s="116" t="s">
        <v>1081</v>
      </c>
      <c r="X367" s="116" t="s">
        <v>1677</v>
      </c>
    </row>
    <row r="368">
      <c r="A368" s="154">
        <v>43803.37856755787</v>
      </c>
      <c r="B368" s="116" t="s">
        <v>2797</v>
      </c>
      <c r="C368" s="116" t="s">
        <v>2798</v>
      </c>
      <c r="D368" s="116" t="s">
        <v>2799</v>
      </c>
      <c r="E368" s="116" t="s">
        <v>2800</v>
      </c>
      <c r="F368" s="116" t="s">
        <v>2801</v>
      </c>
      <c r="G368" s="116" t="s">
        <v>1610</v>
      </c>
      <c r="H368" s="116" t="s">
        <v>63</v>
      </c>
      <c r="I368" s="116" t="s">
        <v>401</v>
      </c>
      <c r="J368" s="116" t="s">
        <v>251</v>
      </c>
      <c r="K368" s="116" t="s">
        <v>400</v>
      </c>
      <c r="L368" s="116" t="s">
        <v>136</v>
      </c>
      <c r="M368" s="116" t="s">
        <v>163</v>
      </c>
      <c r="N368" s="116" t="s">
        <v>130</v>
      </c>
      <c r="O368" s="116" t="s">
        <v>117</v>
      </c>
      <c r="P368" s="116" t="s">
        <v>2802</v>
      </c>
      <c r="R368" s="116" t="s">
        <v>405</v>
      </c>
      <c r="S368" s="116" t="s">
        <v>2803</v>
      </c>
      <c r="T368" s="116" t="s">
        <v>2804</v>
      </c>
      <c r="U368" s="116" t="s">
        <v>1027</v>
      </c>
      <c r="V368" s="116" t="s">
        <v>2805</v>
      </c>
      <c r="W368" s="116" t="s">
        <v>2806</v>
      </c>
      <c r="X368" s="116" t="s">
        <v>2807</v>
      </c>
    </row>
    <row r="369">
      <c r="A369" s="154">
        <v>43809.80670207176</v>
      </c>
      <c r="B369" s="116" t="s">
        <v>2808</v>
      </c>
      <c r="C369" s="116" t="s">
        <v>665</v>
      </c>
      <c r="E369" s="116" t="s">
        <v>2809</v>
      </c>
      <c r="F369" s="116" t="s">
        <v>418</v>
      </c>
      <c r="G369" s="116" t="s">
        <v>1465</v>
      </c>
      <c r="H369" s="116" t="s">
        <v>202</v>
      </c>
      <c r="I369" s="116" t="s">
        <v>163</v>
      </c>
      <c r="N369" s="116" t="s">
        <v>2810</v>
      </c>
      <c r="O369" s="116" t="s">
        <v>403</v>
      </c>
      <c r="R369" s="116" t="s">
        <v>405</v>
      </c>
      <c r="T369" s="116" t="s">
        <v>2811</v>
      </c>
      <c r="U369" s="116" t="s">
        <v>1292</v>
      </c>
      <c r="V369" s="116" t="s">
        <v>1028</v>
      </c>
      <c r="W369" s="116" t="s">
        <v>2812</v>
      </c>
    </row>
    <row r="370">
      <c r="A370" s="154">
        <v>43810.62789938657</v>
      </c>
      <c r="B370" s="116" t="s">
        <v>2813</v>
      </c>
      <c r="C370" s="116" t="s">
        <v>2814</v>
      </c>
      <c r="D370" s="116" t="s">
        <v>2815</v>
      </c>
      <c r="E370" s="116" t="s">
        <v>2816</v>
      </c>
      <c r="F370" s="116" t="s">
        <v>492</v>
      </c>
      <c r="G370" s="116" t="s">
        <v>1049</v>
      </c>
      <c r="H370" s="116" t="s">
        <v>63</v>
      </c>
      <c r="I370" s="116" t="s">
        <v>400</v>
      </c>
      <c r="N370" s="116" t="s">
        <v>2817</v>
      </c>
      <c r="O370" s="116" t="s">
        <v>403</v>
      </c>
      <c r="P370" s="116" t="s">
        <v>2818</v>
      </c>
      <c r="R370" s="116" t="s">
        <v>405</v>
      </c>
      <c r="S370" s="116" t="s">
        <v>2819</v>
      </c>
      <c r="T370" s="116" t="s">
        <v>2820</v>
      </c>
      <c r="U370" s="116" t="s">
        <v>1036</v>
      </c>
      <c r="V370" s="116" t="s">
        <v>1091</v>
      </c>
      <c r="X370" s="116" t="s">
        <v>1677</v>
      </c>
    </row>
    <row r="371">
      <c r="A371" s="154">
        <v>43811.14995009259</v>
      </c>
      <c r="B371" s="116" t="s">
        <v>2821</v>
      </c>
      <c r="C371" s="116" t="s">
        <v>2822</v>
      </c>
      <c r="E371" s="116" t="s">
        <v>2823</v>
      </c>
      <c r="F371" s="116" t="s">
        <v>418</v>
      </c>
      <c r="G371" s="116" t="s">
        <v>1022</v>
      </c>
      <c r="H371" s="116" t="s">
        <v>63</v>
      </c>
      <c r="I371" s="116" t="s">
        <v>400</v>
      </c>
      <c r="J371" s="116" t="s">
        <v>251</v>
      </c>
      <c r="K371" s="116" t="s">
        <v>163</v>
      </c>
      <c r="L371" s="116" t="s">
        <v>136</v>
      </c>
      <c r="M371" s="116" t="s">
        <v>401</v>
      </c>
      <c r="O371" s="116" t="s">
        <v>403</v>
      </c>
      <c r="R371" s="116" t="s">
        <v>451</v>
      </c>
      <c r="T371" s="116" t="s">
        <v>2824</v>
      </c>
      <c r="U371" s="116" t="s">
        <v>1097</v>
      </c>
      <c r="V371" s="116" t="s">
        <v>1028</v>
      </c>
    </row>
    <row r="372">
      <c r="A372" s="154">
        <v>43811.796518055555</v>
      </c>
      <c r="B372" s="116" t="s">
        <v>2825</v>
      </c>
      <c r="C372" s="116" t="s">
        <v>665</v>
      </c>
      <c r="D372" s="116" t="s">
        <v>2826</v>
      </c>
      <c r="E372" s="116" t="s">
        <v>2827</v>
      </c>
      <c r="F372" s="116" t="s">
        <v>1068</v>
      </c>
      <c r="G372" s="116" t="s">
        <v>2376</v>
      </c>
      <c r="H372" s="116" t="s">
        <v>63</v>
      </c>
      <c r="I372" s="116" t="s">
        <v>163</v>
      </c>
      <c r="J372" s="116" t="s">
        <v>136</v>
      </c>
      <c r="P372" s="116" t="s">
        <v>2828</v>
      </c>
      <c r="R372" s="116" t="s">
        <v>405</v>
      </c>
      <c r="S372" s="116" t="s">
        <v>2829</v>
      </c>
      <c r="T372" s="116" t="s">
        <v>2830</v>
      </c>
      <c r="U372" s="116" t="s">
        <v>1097</v>
      </c>
      <c r="V372" s="116" t="s">
        <v>1091</v>
      </c>
      <c r="X372" s="116" t="s">
        <v>2831</v>
      </c>
    </row>
    <row r="373">
      <c r="A373" s="154">
        <v>43815.79704074074</v>
      </c>
      <c r="B373" s="116" t="s">
        <v>2832</v>
      </c>
      <c r="C373" s="116" t="s">
        <v>2833</v>
      </c>
      <c r="D373" s="116" t="s">
        <v>2834</v>
      </c>
      <c r="E373" s="116" t="s">
        <v>2835</v>
      </c>
      <c r="F373" s="116" t="s">
        <v>2836</v>
      </c>
      <c r="G373" s="116" t="s">
        <v>1049</v>
      </c>
      <c r="H373" s="116" t="s">
        <v>63</v>
      </c>
      <c r="I373" s="116" t="s">
        <v>136</v>
      </c>
      <c r="J373" s="116" t="s">
        <v>401</v>
      </c>
      <c r="K373" s="116" t="s">
        <v>251</v>
      </c>
      <c r="L373" s="116" t="s">
        <v>400</v>
      </c>
      <c r="M373" s="116" t="s">
        <v>163</v>
      </c>
      <c r="N373" s="116" t="s">
        <v>2837</v>
      </c>
      <c r="O373" s="116" t="s">
        <v>117</v>
      </c>
      <c r="R373" s="116" t="s">
        <v>405</v>
      </c>
      <c r="S373" s="116" t="s">
        <v>2838</v>
      </c>
      <c r="T373" s="116" t="s">
        <v>2839</v>
      </c>
      <c r="U373" s="116" t="s">
        <v>1097</v>
      </c>
      <c r="V373" s="116" t="s">
        <v>1293</v>
      </c>
      <c r="X373" s="116" t="s">
        <v>2677</v>
      </c>
    </row>
    <row r="374">
      <c r="A374" s="154">
        <v>43817.62045903935</v>
      </c>
      <c r="B374" s="116" t="s">
        <v>762</v>
      </c>
      <c r="C374" s="116" t="s">
        <v>2526</v>
      </c>
      <c r="D374" s="116" t="s">
        <v>2840</v>
      </c>
      <c r="E374" s="116" t="s">
        <v>2841</v>
      </c>
      <c r="F374" s="116" t="s">
        <v>431</v>
      </c>
      <c r="G374" s="116" t="s">
        <v>1219</v>
      </c>
      <c r="H374" s="116" t="s">
        <v>63</v>
      </c>
      <c r="I374" s="116" t="s">
        <v>400</v>
      </c>
      <c r="J374" s="116" t="s">
        <v>251</v>
      </c>
      <c r="K374" s="116" t="s">
        <v>401</v>
      </c>
      <c r="L374" s="116" t="s">
        <v>163</v>
      </c>
      <c r="M374" s="116" t="s">
        <v>136</v>
      </c>
      <c r="N374" s="116" t="s">
        <v>2842</v>
      </c>
      <c r="O374" s="116" t="s">
        <v>117</v>
      </c>
      <c r="R374" s="116" t="s">
        <v>451</v>
      </c>
      <c r="S374" s="116" t="s">
        <v>2843</v>
      </c>
      <c r="T374" s="116" t="s">
        <v>1685</v>
      </c>
      <c r="U374" s="116" t="s">
        <v>1036</v>
      </c>
      <c r="V374" s="116" t="s">
        <v>1028</v>
      </c>
      <c r="W374" s="116" t="s">
        <v>2844</v>
      </c>
      <c r="X374" s="116" t="s">
        <v>1677</v>
      </c>
    </row>
    <row r="375">
      <c r="A375" s="154">
        <v>43817.63383155093</v>
      </c>
      <c r="B375" s="116" t="s">
        <v>2845</v>
      </c>
      <c r="C375" s="116" t="s">
        <v>714</v>
      </c>
      <c r="D375" s="116" t="s">
        <v>2846</v>
      </c>
      <c r="E375" s="116" t="s">
        <v>2847</v>
      </c>
      <c r="F375" s="116" t="s">
        <v>701</v>
      </c>
      <c r="G375" s="116" t="s">
        <v>2407</v>
      </c>
      <c r="H375" s="116" t="s">
        <v>202</v>
      </c>
      <c r="I375" s="116" t="s">
        <v>251</v>
      </c>
      <c r="J375" s="116" t="s">
        <v>400</v>
      </c>
      <c r="K375" s="116" t="s">
        <v>136</v>
      </c>
      <c r="L375" s="116" t="s">
        <v>401</v>
      </c>
      <c r="M375" s="116" t="s">
        <v>163</v>
      </c>
      <c r="O375" s="116" t="s">
        <v>117</v>
      </c>
      <c r="P375" s="116" t="s">
        <v>2848</v>
      </c>
      <c r="R375" s="116" t="s">
        <v>451</v>
      </c>
      <c r="S375" s="116" t="s">
        <v>2849</v>
      </c>
      <c r="T375" s="116" t="s">
        <v>488</v>
      </c>
      <c r="U375" s="116" t="s">
        <v>1036</v>
      </c>
      <c r="V375" s="116" t="s">
        <v>1028</v>
      </c>
      <c r="X375" s="116" t="s">
        <v>2412</v>
      </c>
    </row>
    <row r="376">
      <c r="A376" s="154">
        <v>43818.519401909725</v>
      </c>
      <c r="B376" s="116" t="s">
        <v>2850</v>
      </c>
      <c r="C376" s="116" t="s">
        <v>2851</v>
      </c>
      <c r="D376" s="116" t="s">
        <v>2852</v>
      </c>
      <c r="E376" s="116" t="s">
        <v>2853</v>
      </c>
      <c r="F376" s="116" t="s">
        <v>492</v>
      </c>
      <c r="G376" s="116" t="s">
        <v>1101</v>
      </c>
      <c r="H376" s="116" t="s">
        <v>63</v>
      </c>
      <c r="I376" s="116" t="s">
        <v>400</v>
      </c>
      <c r="J376" s="116" t="s">
        <v>251</v>
      </c>
      <c r="K376" s="116" t="s">
        <v>401</v>
      </c>
      <c r="L376" s="116" t="s">
        <v>163</v>
      </c>
      <c r="M376" s="116" t="s">
        <v>136</v>
      </c>
      <c r="N376" s="116" t="s">
        <v>2008</v>
      </c>
      <c r="O376" s="116" t="s">
        <v>403</v>
      </c>
      <c r="P376" s="116" t="s">
        <v>2854</v>
      </c>
      <c r="R376" s="116" t="s">
        <v>405</v>
      </c>
      <c r="S376" s="116" t="s">
        <v>2855</v>
      </c>
      <c r="T376" s="116" t="s">
        <v>2856</v>
      </c>
      <c r="U376" s="116" t="s">
        <v>1097</v>
      </c>
      <c r="V376" s="116" t="s">
        <v>1091</v>
      </c>
      <c r="X376" s="116" t="s">
        <v>1677</v>
      </c>
    </row>
    <row r="377">
      <c r="A377" s="154">
        <v>43822.780956111106</v>
      </c>
      <c r="B377" s="116" t="s">
        <v>2857</v>
      </c>
      <c r="C377" s="116" t="s">
        <v>2559</v>
      </c>
      <c r="D377" s="116" t="s">
        <v>2858</v>
      </c>
      <c r="E377" s="116" t="s">
        <v>2859</v>
      </c>
      <c r="F377" s="116" t="s">
        <v>701</v>
      </c>
      <c r="G377" s="116" t="s">
        <v>1101</v>
      </c>
      <c r="H377" s="116" t="s">
        <v>63</v>
      </c>
      <c r="I377" s="116" t="s">
        <v>401</v>
      </c>
      <c r="J377" s="116" t="s">
        <v>400</v>
      </c>
      <c r="K377" s="116" t="s">
        <v>251</v>
      </c>
      <c r="L377" s="116" t="s">
        <v>163</v>
      </c>
      <c r="M377" s="116" t="s">
        <v>136</v>
      </c>
      <c r="N377" s="116" t="s">
        <v>130</v>
      </c>
      <c r="O377" s="116" t="s">
        <v>117</v>
      </c>
      <c r="P377" s="116" t="s">
        <v>2860</v>
      </c>
      <c r="R377" s="116" t="s">
        <v>451</v>
      </c>
      <c r="S377" s="116" t="s">
        <v>2861</v>
      </c>
      <c r="T377" s="116" t="s">
        <v>2862</v>
      </c>
      <c r="U377" s="116" t="s">
        <v>1097</v>
      </c>
      <c r="V377" s="116" t="s">
        <v>1293</v>
      </c>
      <c r="W377" s="116" t="s">
        <v>2863</v>
      </c>
      <c r="X377" s="116" t="s">
        <v>1812</v>
      </c>
    </row>
    <row r="378">
      <c r="A378" s="154">
        <v>43833.4417677662</v>
      </c>
      <c r="B378" s="116" t="s">
        <v>2864</v>
      </c>
      <c r="C378" s="116" t="s">
        <v>2865</v>
      </c>
      <c r="D378" s="116" t="s">
        <v>2866</v>
      </c>
      <c r="E378" s="116" t="s">
        <v>2867</v>
      </c>
      <c r="F378" s="116" t="s">
        <v>431</v>
      </c>
      <c r="G378" s="116" t="s">
        <v>2730</v>
      </c>
      <c r="H378" s="116" t="s">
        <v>63</v>
      </c>
      <c r="I378" s="116" t="s">
        <v>400</v>
      </c>
      <c r="J378" s="116" t="s">
        <v>136</v>
      </c>
      <c r="K378" s="116" t="s">
        <v>251</v>
      </c>
      <c r="L378" s="116" t="s">
        <v>163</v>
      </c>
      <c r="M378" s="116" t="s">
        <v>401</v>
      </c>
      <c r="N378" s="116" t="s">
        <v>2868</v>
      </c>
      <c r="O378" s="116" t="s">
        <v>117</v>
      </c>
      <c r="P378" s="116" t="s">
        <v>2869</v>
      </c>
      <c r="R378" s="116" t="s">
        <v>451</v>
      </c>
      <c r="S378" s="116" t="s">
        <v>2870</v>
      </c>
      <c r="T378" s="116" t="s">
        <v>2871</v>
      </c>
      <c r="U378" s="116" t="s">
        <v>1027</v>
      </c>
      <c r="V378" s="116" t="s">
        <v>1028</v>
      </c>
      <c r="W378" s="116" t="s">
        <v>2872</v>
      </c>
      <c r="X378" s="116" t="s">
        <v>2873</v>
      </c>
    </row>
    <row r="379">
      <c r="A379" s="154">
        <v>43833.71189856481</v>
      </c>
      <c r="B379" s="116" t="s">
        <v>845</v>
      </c>
      <c r="C379" s="116" t="s">
        <v>547</v>
      </c>
      <c r="D379" s="116" t="s">
        <v>547</v>
      </c>
      <c r="E379" s="116" t="s">
        <v>2874</v>
      </c>
      <c r="F379" s="116" t="s">
        <v>418</v>
      </c>
      <c r="G379" s="116" t="s">
        <v>1101</v>
      </c>
      <c r="H379" s="116" t="s">
        <v>63</v>
      </c>
      <c r="I379" s="116" t="s">
        <v>136</v>
      </c>
      <c r="J379" s="116" t="s">
        <v>400</v>
      </c>
      <c r="K379" s="116" t="s">
        <v>401</v>
      </c>
      <c r="L379" s="116" t="s">
        <v>251</v>
      </c>
      <c r="M379" s="116" t="s">
        <v>163</v>
      </c>
      <c r="N379" s="116" t="s">
        <v>2875</v>
      </c>
      <c r="O379" s="116" t="s">
        <v>117</v>
      </c>
      <c r="P379" s="116" t="s">
        <v>2876</v>
      </c>
      <c r="R379" s="116" t="s">
        <v>451</v>
      </c>
      <c r="S379" s="116" t="s">
        <v>2877</v>
      </c>
      <c r="T379" s="116" t="s">
        <v>2878</v>
      </c>
      <c r="U379" s="116" t="s">
        <v>1950</v>
      </c>
      <c r="V379" s="116" t="s">
        <v>1028</v>
      </c>
      <c r="W379" s="116" t="s">
        <v>2879</v>
      </c>
      <c r="X379" s="116" t="s">
        <v>1980</v>
      </c>
    </row>
    <row r="380">
      <c r="A380" s="154">
        <v>43836.64994055555</v>
      </c>
      <c r="B380" s="116" t="s">
        <v>2880</v>
      </c>
      <c r="C380" s="116" t="s">
        <v>1536</v>
      </c>
      <c r="D380" s="116" t="s">
        <v>2881</v>
      </c>
      <c r="E380" s="116" t="s">
        <v>2882</v>
      </c>
      <c r="F380" s="116" t="s">
        <v>431</v>
      </c>
      <c r="G380" s="116" t="s">
        <v>1022</v>
      </c>
      <c r="H380" s="116" t="s">
        <v>63</v>
      </c>
      <c r="I380" s="116" t="s">
        <v>163</v>
      </c>
      <c r="N380" s="116" t="s">
        <v>2883</v>
      </c>
      <c r="O380" s="116" t="s">
        <v>130</v>
      </c>
      <c r="P380" s="116" t="s">
        <v>2884</v>
      </c>
      <c r="R380" s="116" t="s">
        <v>405</v>
      </c>
      <c r="S380" s="116" t="s">
        <v>2885</v>
      </c>
      <c r="U380" s="116" t="s">
        <v>1036</v>
      </c>
      <c r="V380" s="116" t="s">
        <v>1028</v>
      </c>
      <c r="W380" s="116" t="s">
        <v>2886</v>
      </c>
      <c r="X380" s="116" t="s">
        <v>2412</v>
      </c>
    </row>
    <row r="381">
      <c r="A381" s="154">
        <v>43838.04942578704</v>
      </c>
      <c r="B381" s="116" t="s">
        <v>465</v>
      </c>
      <c r="C381" s="116" t="s">
        <v>466</v>
      </c>
      <c r="E381" s="116" t="s">
        <v>467</v>
      </c>
      <c r="F381" s="116" t="s">
        <v>2887</v>
      </c>
      <c r="G381" s="116" t="s">
        <v>1022</v>
      </c>
      <c r="H381" s="116" t="s">
        <v>63</v>
      </c>
      <c r="I381" s="116" t="s">
        <v>400</v>
      </c>
      <c r="J381" s="116" t="s">
        <v>401</v>
      </c>
      <c r="K381" s="116" t="s">
        <v>251</v>
      </c>
      <c r="L381" s="116" t="s">
        <v>163</v>
      </c>
      <c r="N381" s="116" t="s">
        <v>130</v>
      </c>
      <c r="O381" s="116" t="s">
        <v>403</v>
      </c>
      <c r="P381" s="116" t="s">
        <v>2888</v>
      </c>
      <c r="R381" s="116" t="s">
        <v>451</v>
      </c>
      <c r="S381" s="116" t="s">
        <v>2889</v>
      </c>
      <c r="T381" s="116" t="s">
        <v>2890</v>
      </c>
      <c r="U381" s="116" t="s">
        <v>1036</v>
      </c>
      <c r="V381" s="116" t="s">
        <v>1091</v>
      </c>
      <c r="W381" s="116" t="s">
        <v>2891</v>
      </c>
      <c r="X381" s="116" t="s">
        <v>2892</v>
      </c>
    </row>
    <row r="382">
      <c r="A382" s="154">
        <v>43838.591925925924</v>
      </c>
      <c r="B382" s="116" t="s">
        <v>2893</v>
      </c>
      <c r="C382" s="116" t="s">
        <v>2895</v>
      </c>
      <c r="D382" s="116" t="s">
        <v>2897</v>
      </c>
      <c r="E382" s="116" t="s">
        <v>2899</v>
      </c>
      <c r="F382" s="116" t="s">
        <v>461</v>
      </c>
      <c r="G382" s="116" t="s">
        <v>2903</v>
      </c>
      <c r="H382" s="116" t="s">
        <v>63</v>
      </c>
      <c r="I382" s="116" t="s">
        <v>251</v>
      </c>
      <c r="J382" s="116" t="s">
        <v>400</v>
      </c>
      <c r="N382" s="116" t="s">
        <v>2906</v>
      </c>
      <c r="O382" s="116" t="s">
        <v>403</v>
      </c>
      <c r="P382" s="116" t="s">
        <v>2907</v>
      </c>
      <c r="R382" s="116" t="s">
        <v>405</v>
      </c>
      <c r="S382" s="116" t="s">
        <v>2908</v>
      </c>
      <c r="T382" s="116" t="s">
        <v>2909</v>
      </c>
      <c r="U382" s="116" t="s">
        <v>1036</v>
      </c>
      <c r="V382" s="116" t="s">
        <v>1091</v>
      </c>
      <c r="X382" s="116" t="s">
        <v>1677</v>
      </c>
    </row>
    <row r="383">
      <c r="A383" s="154">
        <v>43840.35674295139</v>
      </c>
      <c r="B383" s="116" t="s">
        <v>2910</v>
      </c>
      <c r="C383" s="116" t="s">
        <v>2911</v>
      </c>
      <c r="D383" s="116" t="s">
        <v>2912</v>
      </c>
      <c r="E383" s="116" t="s">
        <v>2913</v>
      </c>
      <c r="F383" s="116" t="s">
        <v>461</v>
      </c>
      <c r="G383" s="116" t="s">
        <v>1101</v>
      </c>
      <c r="H383" s="116" t="s">
        <v>63</v>
      </c>
      <c r="I383" s="116" t="s">
        <v>400</v>
      </c>
      <c r="J383" s="116" t="s">
        <v>401</v>
      </c>
      <c r="K383" s="116" t="s">
        <v>251</v>
      </c>
      <c r="L383" s="116" t="s">
        <v>163</v>
      </c>
      <c r="M383" s="116" t="s">
        <v>136</v>
      </c>
      <c r="O383" s="116" t="s">
        <v>403</v>
      </c>
      <c r="P383" s="116" t="s">
        <v>2915</v>
      </c>
      <c r="R383" s="116" t="s">
        <v>451</v>
      </c>
      <c r="S383" s="116" t="s">
        <v>2916</v>
      </c>
      <c r="T383" s="116" t="s">
        <v>2917</v>
      </c>
      <c r="U383" s="116" t="s">
        <v>1062</v>
      </c>
      <c r="V383" s="116" t="s">
        <v>1091</v>
      </c>
      <c r="W383" s="116" t="s">
        <v>2919</v>
      </c>
      <c r="X383" s="116" t="s">
        <v>1677</v>
      </c>
    </row>
    <row r="384">
      <c r="A384" s="154">
        <v>43842.70257400463</v>
      </c>
      <c r="B384" s="116" t="s">
        <v>2920</v>
      </c>
      <c r="C384" s="116" t="s">
        <v>2921</v>
      </c>
      <c r="E384" s="116" t="s">
        <v>2922</v>
      </c>
      <c r="F384" s="116" t="s">
        <v>701</v>
      </c>
      <c r="G384" s="116" t="s">
        <v>1637</v>
      </c>
      <c r="H384" s="116" t="s">
        <v>202</v>
      </c>
      <c r="O384" s="116" t="s">
        <v>403</v>
      </c>
      <c r="P384" s="116" t="s">
        <v>1312</v>
      </c>
      <c r="R384" s="116" t="s">
        <v>451</v>
      </c>
      <c r="T384" s="116" t="s">
        <v>2924</v>
      </c>
      <c r="U384" s="116" t="s">
        <v>1097</v>
      </c>
      <c r="V384" s="116" t="s">
        <v>1091</v>
      </c>
      <c r="X384" s="116" t="s">
        <v>1687</v>
      </c>
    </row>
    <row r="385">
      <c r="A385" s="154">
        <v>43846.638648900465</v>
      </c>
      <c r="B385" s="116" t="s">
        <v>2926</v>
      </c>
      <c r="C385" s="116" t="s">
        <v>2927</v>
      </c>
      <c r="D385" s="116" t="s">
        <v>2928</v>
      </c>
      <c r="E385" s="116" t="s">
        <v>2929</v>
      </c>
      <c r="F385" s="116" t="s">
        <v>418</v>
      </c>
      <c r="G385" s="116" t="s">
        <v>2376</v>
      </c>
      <c r="H385" s="116" t="s">
        <v>202</v>
      </c>
      <c r="I385" s="116" t="s">
        <v>400</v>
      </c>
      <c r="J385" s="116" t="s">
        <v>251</v>
      </c>
      <c r="K385" s="116" t="s">
        <v>401</v>
      </c>
      <c r="L385" s="116" t="s">
        <v>163</v>
      </c>
      <c r="M385" s="116" t="s">
        <v>136</v>
      </c>
      <c r="N385" s="116" t="s">
        <v>1054</v>
      </c>
      <c r="O385" s="116" t="s">
        <v>117</v>
      </c>
      <c r="P385" s="116" t="s">
        <v>2931</v>
      </c>
      <c r="R385" s="116" t="s">
        <v>442</v>
      </c>
      <c r="S385" s="116" t="s">
        <v>2933</v>
      </c>
      <c r="T385" s="116" t="s">
        <v>2934</v>
      </c>
      <c r="U385" s="116" t="s">
        <v>1062</v>
      </c>
      <c r="V385" s="116" t="s">
        <v>1150</v>
      </c>
      <c r="X385" s="116" t="s">
        <v>1980</v>
      </c>
    </row>
    <row r="386">
      <c r="A386" s="154">
        <v>43846.63989085648</v>
      </c>
      <c r="B386" s="116" t="s">
        <v>1315</v>
      </c>
      <c r="C386" s="116" t="s">
        <v>2936</v>
      </c>
      <c r="D386" s="116" t="s">
        <v>2937</v>
      </c>
      <c r="E386" s="116" t="s">
        <v>1318</v>
      </c>
      <c r="F386" s="116" t="s">
        <v>492</v>
      </c>
      <c r="G386" s="116" t="s">
        <v>1219</v>
      </c>
      <c r="H386" s="116" t="s">
        <v>63</v>
      </c>
      <c r="I386" s="116" t="s">
        <v>400</v>
      </c>
      <c r="J386" s="116" t="s">
        <v>251</v>
      </c>
      <c r="K386" s="116" t="s">
        <v>401</v>
      </c>
      <c r="L386" s="116" t="s">
        <v>163</v>
      </c>
      <c r="M386" s="116" t="s">
        <v>136</v>
      </c>
      <c r="O386" s="116" t="s">
        <v>130</v>
      </c>
      <c r="P386" s="116" t="s">
        <v>310</v>
      </c>
      <c r="R386" s="116" t="s">
        <v>405</v>
      </c>
      <c r="S386" s="116" t="s">
        <v>2939</v>
      </c>
      <c r="T386" s="116" t="s">
        <v>2940</v>
      </c>
      <c r="U386" s="116" t="s">
        <v>1036</v>
      </c>
      <c r="V386" s="116" t="s">
        <v>1091</v>
      </c>
      <c r="X386" s="116" t="s">
        <v>1687</v>
      </c>
    </row>
    <row r="387">
      <c r="A387" s="154">
        <v>43846.65032980324</v>
      </c>
      <c r="B387" s="116" t="s">
        <v>2942</v>
      </c>
      <c r="C387" s="116" t="s">
        <v>2943</v>
      </c>
      <c r="D387" s="116" t="s">
        <v>2944</v>
      </c>
      <c r="E387" s="116" t="s">
        <v>2945</v>
      </c>
      <c r="F387" s="116" t="s">
        <v>492</v>
      </c>
      <c r="G387" s="116" t="s">
        <v>2632</v>
      </c>
      <c r="H387" s="116" t="s">
        <v>63</v>
      </c>
      <c r="I387" s="116" t="s">
        <v>400</v>
      </c>
      <c r="J387" s="116" t="s">
        <v>251</v>
      </c>
      <c r="K387" s="116" t="s">
        <v>136</v>
      </c>
      <c r="L387" s="116" t="s">
        <v>401</v>
      </c>
      <c r="M387" s="116" t="s">
        <v>163</v>
      </c>
      <c r="N387" s="116" t="s">
        <v>2946</v>
      </c>
      <c r="O387" s="116" t="s">
        <v>130</v>
      </c>
      <c r="R387" s="116" t="s">
        <v>451</v>
      </c>
      <c r="S387" s="116" t="s">
        <v>2947</v>
      </c>
      <c r="T387" s="116" t="s">
        <v>2948</v>
      </c>
      <c r="U387" s="116" t="s">
        <v>1062</v>
      </c>
      <c r="V387" s="116" t="s">
        <v>1091</v>
      </c>
      <c r="W387" s="116" t="s">
        <v>1104</v>
      </c>
      <c r="X387" s="116" t="s">
        <v>1888</v>
      </c>
    </row>
    <row r="388">
      <c r="A388" s="154">
        <v>43847.437877812496</v>
      </c>
      <c r="B388" s="116" t="s">
        <v>2770</v>
      </c>
      <c r="C388" s="116" t="s">
        <v>2771</v>
      </c>
      <c r="D388" s="116" t="s">
        <v>2772</v>
      </c>
      <c r="E388" s="116" t="s">
        <v>2773</v>
      </c>
      <c r="F388" s="116" t="s">
        <v>461</v>
      </c>
      <c r="G388" s="116" t="s">
        <v>1022</v>
      </c>
      <c r="H388" s="116" t="s">
        <v>63</v>
      </c>
      <c r="I388" s="116" t="s">
        <v>251</v>
      </c>
      <c r="N388" s="116" t="s">
        <v>2774</v>
      </c>
      <c r="O388" s="116" t="s">
        <v>117</v>
      </c>
      <c r="P388" s="116" t="s">
        <v>2775</v>
      </c>
      <c r="R388" s="116" t="s">
        <v>451</v>
      </c>
      <c r="S388" s="116" t="s">
        <v>2776</v>
      </c>
      <c r="T388" s="116" t="s">
        <v>2777</v>
      </c>
      <c r="U388" s="116" t="s">
        <v>1027</v>
      </c>
      <c r="V388" s="116" t="s">
        <v>1028</v>
      </c>
      <c r="X388" s="116" t="s">
        <v>2778</v>
      </c>
    </row>
    <row r="389">
      <c r="A389" s="154">
        <v>43847.669551747684</v>
      </c>
      <c r="B389" s="116" t="s">
        <v>2950</v>
      </c>
      <c r="C389" s="116" t="s">
        <v>704</v>
      </c>
      <c r="D389" s="116" t="s">
        <v>2951</v>
      </c>
      <c r="E389" s="116" t="s">
        <v>2952</v>
      </c>
      <c r="F389" s="116" t="s">
        <v>1068</v>
      </c>
      <c r="G389" s="116" t="s">
        <v>1101</v>
      </c>
      <c r="H389" s="116" t="s">
        <v>63</v>
      </c>
      <c r="I389" s="116" t="s">
        <v>400</v>
      </c>
      <c r="J389" s="116" t="s">
        <v>251</v>
      </c>
      <c r="N389" s="116" t="s">
        <v>2953</v>
      </c>
      <c r="O389" s="116" t="s">
        <v>130</v>
      </c>
      <c r="P389" s="116" t="s">
        <v>2954</v>
      </c>
      <c r="R389" s="116" t="s">
        <v>405</v>
      </c>
      <c r="S389" s="116" t="s">
        <v>2955</v>
      </c>
      <c r="T389" s="116" t="s">
        <v>2956</v>
      </c>
      <c r="U389" s="116" t="s">
        <v>1053</v>
      </c>
      <c r="V389" s="116" t="s">
        <v>2702</v>
      </c>
      <c r="W389" s="116" t="s">
        <v>717</v>
      </c>
      <c r="X389" s="116" t="s">
        <v>1687</v>
      </c>
    </row>
    <row r="390">
      <c r="A390" s="154">
        <v>43847.82158326389</v>
      </c>
      <c r="B390" s="116" t="s">
        <v>2957</v>
      </c>
      <c r="C390" s="116" t="s">
        <v>704</v>
      </c>
      <c r="E390" s="116" t="s">
        <v>2958</v>
      </c>
      <c r="F390" s="116" t="s">
        <v>1068</v>
      </c>
      <c r="G390" s="116" t="s">
        <v>1049</v>
      </c>
      <c r="H390" s="116" t="s">
        <v>63</v>
      </c>
      <c r="I390" s="116" t="s">
        <v>400</v>
      </c>
      <c r="J390" s="116" t="s">
        <v>251</v>
      </c>
      <c r="N390" s="116" t="s">
        <v>2959</v>
      </c>
      <c r="O390" s="116" t="s">
        <v>403</v>
      </c>
      <c r="P390" s="116" t="s">
        <v>2961</v>
      </c>
      <c r="R390" s="116" t="s">
        <v>405</v>
      </c>
      <c r="S390" s="116" t="s">
        <v>2962</v>
      </c>
      <c r="T390" s="116" t="s">
        <v>2956</v>
      </c>
      <c r="U390" s="116" t="s">
        <v>1133</v>
      </c>
      <c r="V390" s="116" t="s">
        <v>1091</v>
      </c>
      <c r="W390" s="116" t="s">
        <v>1104</v>
      </c>
      <c r="X390" s="116" t="s">
        <v>2301</v>
      </c>
    </row>
    <row r="391">
      <c r="A391" s="154">
        <v>43851.400375983794</v>
      </c>
      <c r="B391" s="116" t="s">
        <v>2964</v>
      </c>
      <c r="C391" s="116" t="s">
        <v>2965</v>
      </c>
      <c r="D391" s="116" t="s">
        <v>2966</v>
      </c>
      <c r="E391" s="116" t="s">
        <v>2967</v>
      </c>
      <c r="F391" s="116" t="s">
        <v>410</v>
      </c>
      <c r="G391" s="116" t="s">
        <v>1101</v>
      </c>
      <c r="H391" s="116" t="s">
        <v>202</v>
      </c>
      <c r="I391" s="116" t="s">
        <v>401</v>
      </c>
      <c r="J391" s="116" t="s">
        <v>136</v>
      </c>
      <c r="K391" s="116" t="s">
        <v>400</v>
      </c>
      <c r="L391" s="116" t="s">
        <v>251</v>
      </c>
      <c r="N391" s="116" t="s">
        <v>2968</v>
      </c>
      <c r="O391" s="116" t="s">
        <v>117</v>
      </c>
      <c r="P391" s="116" t="s">
        <v>2969</v>
      </c>
      <c r="R391" s="116" t="s">
        <v>405</v>
      </c>
      <c r="S391" s="116" t="s">
        <v>2970</v>
      </c>
      <c r="T391" s="116" t="s">
        <v>2971</v>
      </c>
      <c r="U391" s="116" t="s">
        <v>1027</v>
      </c>
      <c r="V391" s="116" t="s">
        <v>1150</v>
      </c>
      <c r="W391" s="116" t="s">
        <v>2972</v>
      </c>
      <c r="X391" s="116" t="s">
        <v>1677</v>
      </c>
    </row>
    <row r="392">
      <c r="A392" s="154">
        <v>43851.415571122685</v>
      </c>
      <c r="B392" s="116" t="s">
        <v>2964</v>
      </c>
      <c r="C392" s="116" t="s">
        <v>2965</v>
      </c>
      <c r="D392" s="116" t="s">
        <v>2966</v>
      </c>
      <c r="E392" s="116" t="s">
        <v>2967</v>
      </c>
      <c r="F392" s="116" t="s">
        <v>410</v>
      </c>
      <c r="G392" s="116" t="s">
        <v>1101</v>
      </c>
      <c r="H392" s="116" t="s">
        <v>202</v>
      </c>
      <c r="I392" s="116" t="s">
        <v>401</v>
      </c>
      <c r="J392" s="116" t="s">
        <v>136</v>
      </c>
      <c r="K392" s="116" t="s">
        <v>400</v>
      </c>
      <c r="L392" s="116" t="s">
        <v>251</v>
      </c>
      <c r="N392" s="116" t="s">
        <v>2968</v>
      </c>
      <c r="O392" s="116" t="s">
        <v>117</v>
      </c>
      <c r="P392" s="116" t="s">
        <v>2969</v>
      </c>
      <c r="R392" s="116" t="s">
        <v>405</v>
      </c>
      <c r="S392" s="116" t="s">
        <v>2970</v>
      </c>
      <c r="T392" s="116" t="s">
        <v>2971</v>
      </c>
      <c r="U392" s="116" t="s">
        <v>1027</v>
      </c>
      <c r="V392" s="116" t="s">
        <v>1150</v>
      </c>
      <c r="W392" s="116" t="s">
        <v>2972</v>
      </c>
      <c r="X392" s="116" t="s">
        <v>1677</v>
      </c>
    </row>
    <row r="393">
      <c r="A393" s="154">
        <v>43851.81640460648</v>
      </c>
      <c r="B393" s="116" t="s">
        <v>2973</v>
      </c>
      <c r="C393" s="116" t="s">
        <v>2974</v>
      </c>
      <c r="D393" s="116" t="s">
        <v>2975</v>
      </c>
      <c r="E393" s="116" t="s">
        <v>2977</v>
      </c>
      <c r="F393" s="116" t="s">
        <v>492</v>
      </c>
      <c r="G393" s="116" t="s">
        <v>1101</v>
      </c>
      <c r="H393" s="116" t="s">
        <v>63</v>
      </c>
      <c r="I393" s="116" t="s">
        <v>251</v>
      </c>
      <c r="J393" s="116" t="s">
        <v>401</v>
      </c>
      <c r="K393" s="116" t="s">
        <v>400</v>
      </c>
      <c r="L393" s="116" t="s">
        <v>163</v>
      </c>
      <c r="N393" s="116" t="s">
        <v>2978</v>
      </c>
      <c r="O393" s="116" t="s">
        <v>403</v>
      </c>
      <c r="P393" s="116" t="s">
        <v>2979</v>
      </c>
      <c r="R393" s="116" t="s">
        <v>442</v>
      </c>
      <c r="S393" s="116" t="s">
        <v>2980</v>
      </c>
      <c r="T393" s="116" t="s">
        <v>2979</v>
      </c>
      <c r="U393" s="116" t="s">
        <v>1766</v>
      </c>
      <c r="V393" s="116" t="s">
        <v>1091</v>
      </c>
      <c r="W393" s="116" t="s">
        <v>1104</v>
      </c>
      <c r="X393" s="116" t="s">
        <v>1888</v>
      </c>
    </row>
    <row r="394">
      <c r="A394" s="154">
        <v>43852.43157675926</v>
      </c>
      <c r="B394" s="116" t="s">
        <v>2981</v>
      </c>
      <c r="C394" s="116" t="s">
        <v>2982</v>
      </c>
      <c r="D394" s="116" t="s">
        <v>2983</v>
      </c>
      <c r="E394" s="116" t="s">
        <v>2984</v>
      </c>
      <c r="F394" s="116" t="s">
        <v>2985</v>
      </c>
      <c r="G394" s="116" t="s">
        <v>2986</v>
      </c>
      <c r="H394" s="116" t="s">
        <v>63</v>
      </c>
      <c r="I394" s="116" t="s">
        <v>400</v>
      </c>
      <c r="J394" s="116" t="s">
        <v>251</v>
      </c>
      <c r="K394" s="116" t="s">
        <v>136</v>
      </c>
      <c r="L394" s="116" t="s">
        <v>163</v>
      </c>
      <c r="M394" s="116" t="s">
        <v>401</v>
      </c>
      <c r="N394" s="116" t="s">
        <v>2987</v>
      </c>
      <c r="O394" s="116" t="s">
        <v>403</v>
      </c>
      <c r="S394" s="116" t="s">
        <v>2988</v>
      </c>
      <c r="T394" s="116" t="s">
        <v>2989</v>
      </c>
      <c r="U394" s="116" t="s">
        <v>1097</v>
      </c>
      <c r="V394" s="116" t="s">
        <v>1028</v>
      </c>
      <c r="X394" s="116" t="s">
        <v>2990</v>
      </c>
    </row>
    <row r="395">
      <c r="A395" s="154">
        <v>43852.75240540509</v>
      </c>
      <c r="B395" s="116" t="s">
        <v>2991</v>
      </c>
      <c r="C395" s="116" t="s">
        <v>2992</v>
      </c>
      <c r="E395" s="116" t="s">
        <v>2993</v>
      </c>
      <c r="F395" s="116" t="s">
        <v>461</v>
      </c>
      <c r="G395" s="116" t="s">
        <v>1022</v>
      </c>
      <c r="H395" s="116" t="s">
        <v>63</v>
      </c>
      <c r="I395" s="116" t="s">
        <v>400</v>
      </c>
      <c r="J395" s="116" t="s">
        <v>251</v>
      </c>
      <c r="N395" s="116" t="s">
        <v>2994</v>
      </c>
      <c r="O395" s="116" t="s">
        <v>117</v>
      </c>
      <c r="R395" s="116" t="s">
        <v>451</v>
      </c>
      <c r="S395" s="116" t="s">
        <v>2995</v>
      </c>
      <c r="U395" s="116" t="s">
        <v>1097</v>
      </c>
      <c r="V395" s="116" t="s">
        <v>1028</v>
      </c>
      <c r="X395" s="116" t="s">
        <v>2996</v>
      </c>
    </row>
    <row r="396">
      <c r="A396" s="154">
        <v>43853.673584606484</v>
      </c>
      <c r="B396" s="116" t="s">
        <v>2997</v>
      </c>
      <c r="C396" s="116" t="s">
        <v>267</v>
      </c>
      <c r="D396" s="116" t="s">
        <v>2998</v>
      </c>
      <c r="E396" s="116" t="s">
        <v>2999</v>
      </c>
      <c r="F396" s="116" t="s">
        <v>3000</v>
      </c>
      <c r="G396" s="116" t="s">
        <v>1101</v>
      </c>
      <c r="H396" s="116" t="s">
        <v>3001</v>
      </c>
      <c r="I396" s="116" t="s">
        <v>400</v>
      </c>
      <c r="J396" s="116" t="s">
        <v>401</v>
      </c>
      <c r="K396" s="116" t="s">
        <v>251</v>
      </c>
      <c r="L396" s="116" t="s">
        <v>136</v>
      </c>
      <c r="M396" s="116" t="s">
        <v>163</v>
      </c>
      <c r="N396" s="116" t="s">
        <v>130</v>
      </c>
      <c r="O396" s="116" t="s">
        <v>403</v>
      </c>
      <c r="P396" s="116" t="s">
        <v>3002</v>
      </c>
      <c r="R396" s="116" t="s">
        <v>451</v>
      </c>
      <c r="S396" s="116" t="s">
        <v>3003</v>
      </c>
      <c r="T396" s="116" t="s">
        <v>3004</v>
      </c>
      <c r="U396" s="116" t="s">
        <v>1062</v>
      </c>
      <c r="V396" s="116" t="s">
        <v>1293</v>
      </c>
      <c r="X396" s="116" t="s">
        <v>1980</v>
      </c>
    </row>
    <row r="397">
      <c r="A397" s="154">
        <v>43855.67079949074</v>
      </c>
      <c r="B397" s="116" t="s">
        <v>3006</v>
      </c>
      <c r="C397" s="116" t="s">
        <v>3007</v>
      </c>
      <c r="D397" s="116" t="s">
        <v>3008</v>
      </c>
      <c r="E397" s="116" t="s">
        <v>3009</v>
      </c>
      <c r="F397" s="116" t="s">
        <v>418</v>
      </c>
      <c r="G397" s="116" t="s">
        <v>1101</v>
      </c>
      <c r="H397" s="116" t="s">
        <v>3001</v>
      </c>
      <c r="I397" s="116" t="s">
        <v>136</v>
      </c>
      <c r="J397" s="116" t="s">
        <v>251</v>
      </c>
      <c r="K397" s="116" t="s">
        <v>163</v>
      </c>
      <c r="L397" s="116" t="s">
        <v>401</v>
      </c>
      <c r="M397" s="116" t="s">
        <v>400</v>
      </c>
      <c r="N397" s="116" t="s">
        <v>3010</v>
      </c>
      <c r="O397" s="116" t="s">
        <v>117</v>
      </c>
      <c r="P397" s="116" t="s">
        <v>3011</v>
      </c>
      <c r="R397" s="116" t="s">
        <v>451</v>
      </c>
      <c r="S397" s="116" t="s">
        <v>3012</v>
      </c>
      <c r="T397" s="116" t="s">
        <v>3014</v>
      </c>
      <c r="U397" s="116" t="s">
        <v>1133</v>
      </c>
      <c r="V397" s="116" t="s">
        <v>3015</v>
      </c>
      <c r="W397" s="116" t="s">
        <v>3016</v>
      </c>
      <c r="X397" s="116" t="s">
        <v>3017</v>
      </c>
    </row>
    <row r="398">
      <c r="A398" s="154">
        <v>43855.81422399306</v>
      </c>
      <c r="B398" s="116" t="s">
        <v>3018</v>
      </c>
      <c r="C398" s="116" t="s">
        <v>613</v>
      </c>
      <c r="D398" s="116" t="s">
        <v>3019</v>
      </c>
      <c r="E398" s="116" t="s">
        <v>3020</v>
      </c>
      <c r="F398" s="116" t="s">
        <v>431</v>
      </c>
      <c r="G398" s="116" t="s">
        <v>3021</v>
      </c>
      <c r="H398" s="116" t="s">
        <v>3022</v>
      </c>
      <c r="I398" s="116" t="s">
        <v>251</v>
      </c>
      <c r="J398" s="116" t="s">
        <v>400</v>
      </c>
      <c r="K398" s="116" t="s">
        <v>401</v>
      </c>
      <c r="L398" s="116" t="s">
        <v>163</v>
      </c>
      <c r="N398" s="116" t="s">
        <v>3024</v>
      </c>
      <c r="O398" s="116" t="s">
        <v>117</v>
      </c>
      <c r="P398" s="116" t="s">
        <v>3025</v>
      </c>
      <c r="R398" s="116" t="s">
        <v>405</v>
      </c>
      <c r="T398" s="116" t="s">
        <v>3026</v>
      </c>
      <c r="U398" s="116" t="s">
        <v>1027</v>
      </c>
      <c r="V398" s="116" t="s">
        <v>1028</v>
      </c>
      <c r="W398" s="116" t="s">
        <v>1081</v>
      </c>
      <c r="X398" s="116" t="s">
        <v>3027</v>
      </c>
    </row>
    <row r="399">
      <c r="A399" s="154">
        <v>43856.76751327547</v>
      </c>
      <c r="B399" s="116" t="s">
        <v>3028</v>
      </c>
      <c r="C399" s="116" t="s">
        <v>1170</v>
      </c>
      <c r="D399" s="116" t="s">
        <v>3029</v>
      </c>
      <c r="E399" s="116" t="s">
        <v>3030</v>
      </c>
      <c r="F399" s="116" t="s">
        <v>701</v>
      </c>
      <c r="G399" s="116" t="s">
        <v>1465</v>
      </c>
      <c r="H399" s="116" t="s">
        <v>3022</v>
      </c>
      <c r="I399" s="116" t="s">
        <v>251</v>
      </c>
      <c r="J399" s="116" t="s">
        <v>401</v>
      </c>
      <c r="K399" s="116" t="s">
        <v>400</v>
      </c>
      <c r="L399" s="116" t="s">
        <v>163</v>
      </c>
      <c r="M399" s="116" t="s">
        <v>136</v>
      </c>
      <c r="O399" s="116" t="s">
        <v>403</v>
      </c>
      <c r="R399" s="116" t="s">
        <v>451</v>
      </c>
      <c r="S399" s="116" t="s">
        <v>3032</v>
      </c>
      <c r="T399" s="116" t="s">
        <v>3033</v>
      </c>
      <c r="U399" s="116" t="s">
        <v>1133</v>
      </c>
      <c r="V399" s="116" t="s">
        <v>1293</v>
      </c>
      <c r="X399" s="116" t="s">
        <v>2677</v>
      </c>
    </row>
    <row r="400">
      <c r="A400" s="154">
        <v>43859.26483828704</v>
      </c>
      <c r="B400" s="116" t="s">
        <v>2317</v>
      </c>
      <c r="C400" s="116" t="s">
        <v>2318</v>
      </c>
      <c r="E400" s="116" t="s">
        <v>2319</v>
      </c>
      <c r="F400" s="116" t="s">
        <v>701</v>
      </c>
      <c r="G400" s="116" t="s">
        <v>1022</v>
      </c>
      <c r="H400" s="116" t="s">
        <v>3001</v>
      </c>
      <c r="I400" s="116" t="s">
        <v>400</v>
      </c>
      <c r="J400" s="116" t="s">
        <v>251</v>
      </c>
      <c r="K400" s="116" t="s">
        <v>136</v>
      </c>
      <c r="L400" s="116" t="s">
        <v>163</v>
      </c>
      <c r="M400" s="116" t="s">
        <v>401</v>
      </c>
      <c r="O400" s="116" t="s">
        <v>403</v>
      </c>
      <c r="P400" s="116" t="s">
        <v>3034</v>
      </c>
      <c r="R400" s="116" t="s">
        <v>451</v>
      </c>
      <c r="S400" s="116" t="s">
        <v>3035</v>
      </c>
      <c r="U400" s="116" t="s">
        <v>1027</v>
      </c>
      <c r="V400" s="116" t="s">
        <v>1091</v>
      </c>
      <c r="X400" s="116" t="s">
        <v>3036</v>
      </c>
    </row>
    <row r="401">
      <c r="A401" s="154">
        <v>43860.45192450231</v>
      </c>
      <c r="B401" s="116" t="s">
        <v>3037</v>
      </c>
      <c r="C401" s="116" t="s">
        <v>2771</v>
      </c>
      <c r="D401" s="116" t="s">
        <v>3038</v>
      </c>
      <c r="E401" s="116" t="s">
        <v>3039</v>
      </c>
      <c r="F401" s="116" t="s">
        <v>418</v>
      </c>
      <c r="G401" s="116" t="s">
        <v>1101</v>
      </c>
      <c r="H401" s="116" t="s">
        <v>3001</v>
      </c>
      <c r="I401" s="116" t="s">
        <v>251</v>
      </c>
      <c r="J401" s="116" t="s">
        <v>400</v>
      </c>
      <c r="K401" s="116" t="s">
        <v>401</v>
      </c>
      <c r="N401" s="116" t="s">
        <v>3041</v>
      </c>
      <c r="O401" s="116" t="s">
        <v>403</v>
      </c>
      <c r="P401" s="116" t="s">
        <v>3042</v>
      </c>
      <c r="R401" s="116" t="s">
        <v>405</v>
      </c>
      <c r="S401" s="116" t="s">
        <v>3043</v>
      </c>
      <c r="T401" s="116" t="s">
        <v>3044</v>
      </c>
      <c r="U401" s="116" t="s">
        <v>1027</v>
      </c>
      <c r="V401" s="116" t="s">
        <v>1028</v>
      </c>
      <c r="X401" s="116" t="s">
        <v>3045</v>
      </c>
    </row>
    <row r="402">
      <c r="A402" s="154">
        <v>43861.467030115746</v>
      </c>
      <c r="B402" s="116" t="s">
        <v>3047</v>
      </c>
      <c r="C402" s="116" t="s">
        <v>3048</v>
      </c>
      <c r="D402" s="116" t="s">
        <v>3049</v>
      </c>
      <c r="E402" s="116" t="s">
        <v>3050</v>
      </c>
      <c r="F402" s="116" t="s">
        <v>1021</v>
      </c>
      <c r="G402" s="116" t="s">
        <v>1465</v>
      </c>
      <c r="H402" s="116" t="s">
        <v>3001</v>
      </c>
      <c r="I402" s="116" t="s">
        <v>251</v>
      </c>
      <c r="J402" s="116" t="s">
        <v>400</v>
      </c>
      <c r="N402" s="116" t="s">
        <v>3052</v>
      </c>
      <c r="O402" s="116" t="s">
        <v>130</v>
      </c>
      <c r="R402" s="116" t="s">
        <v>442</v>
      </c>
      <c r="S402" s="116" t="s">
        <v>3053</v>
      </c>
      <c r="T402" s="116" t="s">
        <v>3054</v>
      </c>
      <c r="U402" s="116" t="s">
        <v>1027</v>
      </c>
      <c r="V402" s="116" t="s">
        <v>1091</v>
      </c>
      <c r="X402" s="116" t="s">
        <v>3056</v>
      </c>
    </row>
    <row r="403">
      <c r="A403" s="154">
        <v>43861.726854016204</v>
      </c>
      <c r="B403" s="116" t="s">
        <v>3057</v>
      </c>
      <c r="C403" s="116" t="s">
        <v>1170</v>
      </c>
      <c r="D403" s="116" t="s">
        <v>3058</v>
      </c>
      <c r="E403" s="116" t="s">
        <v>3059</v>
      </c>
      <c r="F403" s="116" t="s">
        <v>701</v>
      </c>
      <c r="G403" s="116" t="s">
        <v>1022</v>
      </c>
      <c r="H403" s="116" t="s">
        <v>3001</v>
      </c>
      <c r="I403" s="116" t="s">
        <v>400</v>
      </c>
      <c r="J403" s="116" t="s">
        <v>251</v>
      </c>
      <c r="K403" s="116" t="s">
        <v>136</v>
      </c>
      <c r="L403" s="116" t="s">
        <v>163</v>
      </c>
      <c r="M403" s="116" t="s">
        <v>401</v>
      </c>
      <c r="O403" s="116" t="s">
        <v>117</v>
      </c>
      <c r="R403" s="116" t="s">
        <v>451</v>
      </c>
      <c r="S403" s="116" t="s">
        <v>3060</v>
      </c>
      <c r="T403" s="116" t="s">
        <v>717</v>
      </c>
      <c r="U403" s="116" t="s">
        <v>1097</v>
      </c>
      <c r="V403" s="116" t="s">
        <v>1091</v>
      </c>
      <c r="X403" s="116" t="s">
        <v>2301</v>
      </c>
    </row>
    <row r="404">
      <c r="A404" s="154">
        <v>43864.262984016204</v>
      </c>
      <c r="B404" s="116" t="s">
        <v>3062</v>
      </c>
      <c r="C404" s="116" t="s">
        <v>3063</v>
      </c>
      <c r="E404" s="116" t="s">
        <v>3064</v>
      </c>
      <c r="F404" s="116" t="s">
        <v>461</v>
      </c>
      <c r="G404" s="116" t="s">
        <v>1022</v>
      </c>
      <c r="H404" s="116" t="s">
        <v>3022</v>
      </c>
      <c r="I404" s="116" t="s">
        <v>251</v>
      </c>
      <c r="J404" s="116" t="s">
        <v>163</v>
      </c>
      <c r="K404" s="116" t="s">
        <v>400</v>
      </c>
      <c r="N404" s="116" t="s">
        <v>3066</v>
      </c>
      <c r="O404" s="116" t="s">
        <v>117</v>
      </c>
      <c r="P404" s="116" t="s">
        <v>3067</v>
      </c>
      <c r="R404" s="116" t="s">
        <v>451</v>
      </c>
      <c r="T404" s="116" t="s">
        <v>3069</v>
      </c>
      <c r="U404" s="116" t="s">
        <v>1097</v>
      </c>
      <c r="V404" s="116" t="s">
        <v>1150</v>
      </c>
      <c r="X404" s="116" t="s">
        <v>3070</v>
      </c>
    </row>
    <row r="405">
      <c r="Y405" s="126"/>
    </row>
    <row r="406">
      <c r="Y406" s="126"/>
    </row>
    <row r="407">
      <c r="Y407" s="126"/>
    </row>
    <row r="408">
      <c r="Y408" s="126"/>
    </row>
    <row r="409">
      <c r="Y409" s="126"/>
    </row>
    <row r="410">
      <c r="Y410" s="126"/>
    </row>
    <row r="411">
      <c r="Y411" s="126"/>
    </row>
    <row r="412">
      <c r="Y412" s="126"/>
    </row>
    <row r="413">
      <c r="Y413" s="126"/>
    </row>
    <row r="414">
      <c r="Y414" s="126"/>
    </row>
    <row r="415">
      <c r="Y415" s="126"/>
    </row>
    <row r="416">
      <c r="Y416" s="126"/>
    </row>
    <row r="417">
      <c r="Y417" s="126"/>
    </row>
    <row r="418">
      <c r="Y418" s="126"/>
    </row>
    <row r="419">
      <c r="Y419" s="126"/>
    </row>
    <row r="420">
      <c r="Y420" s="126"/>
    </row>
    <row r="421">
      <c r="Y421" s="126"/>
    </row>
    <row r="422">
      <c r="Y422" s="126"/>
    </row>
    <row r="423">
      <c r="Y423" s="126"/>
    </row>
    <row r="424">
      <c r="Y424" s="126"/>
    </row>
    <row r="425">
      <c r="Y425" s="126"/>
    </row>
    <row r="426">
      <c r="Y426" s="126"/>
    </row>
    <row r="427">
      <c r="Y427" s="126"/>
    </row>
    <row r="428">
      <c r="Y428" s="126"/>
    </row>
    <row r="429">
      <c r="Y429" s="126"/>
    </row>
    <row r="430">
      <c r="Y430" s="126"/>
    </row>
    <row r="431">
      <c r="Y431" s="126"/>
    </row>
    <row r="432">
      <c r="Y432" s="126"/>
    </row>
    <row r="433">
      <c r="Y433" s="126"/>
    </row>
    <row r="434">
      <c r="Y434" s="126"/>
    </row>
    <row r="435">
      <c r="Y435" s="126"/>
    </row>
    <row r="436">
      <c r="Y436" s="126"/>
    </row>
    <row r="437">
      <c r="Y437" s="126"/>
    </row>
    <row r="438">
      <c r="Y438" s="126"/>
    </row>
    <row r="439">
      <c r="Y439" s="126"/>
    </row>
    <row r="440">
      <c r="Y440" s="126"/>
    </row>
    <row r="441">
      <c r="Y441" s="126"/>
    </row>
    <row r="442">
      <c r="Y442" s="126"/>
    </row>
    <row r="443">
      <c r="Y443" s="126"/>
    </row>
    <row r="444">
      <c r="Y444" s="126"/>
    </row>
    <row r="445">
      <c r="Y445" s="126"/>
    </row>
    <row r="446">
      <c r="Y446" s="126"/>
    </row>
    <row r="447">
      <c r="Y447" s="126"/>
    </row>
    <row r="448">
      <c r="Y448" s="126"/>
    </row>
    <row r="449">
      <c r="Y449" s="126"/>
    </row>
    <row r="450">
      <c r="Y450" s="126"/>
    </row>
    <row r="451">
      <c r="Y451" s="126"/>
    </row>
    <row r="452">
      <c r="Y452" s="126"/>
    </row>
    <row r="453">
      <c r="Y453" s="126"/>
    </row>
    <row r="454">
      <c r="Y454" s="126"/>
    </row>
    <row r="455">
      <c r="Y455" s="126"/>
    </row>
    <row r="456">
      <c r="Y456" s="126"/>
    </row>
    <row r="457">
      <c r="Y457" s="126"/>
    </row>
    <row r="458">
      <c r="Y458" s="126"/>
    </row>
    <row r="459">
      <c r="Y459" s="126"/>
    </row>
    <row r="460">
      <c r="Y460" s="126"/>
    </row>
    <row r="461">
      <c r="Y461" s="126"/>
    </row>
    <row r="462">
      <c r="Y462" s="126"/>
    </row>
    <row r="463">
      <c r="Y463" s="126"/>
    </row>
    <row r="464">
      <c r="Y464" s="126"/>
    </row>
    <row r="465">
      <c r="Y465" s="126"/>
    </row>
    <row r="466">
      <c r="Y466" s="126"/>
    </row>
    <row r="467">
      <c r="Y467" s="126"/>
    </row>
    <row r="468">
      <c r="Y468" s="126"/>
    </row>
    <row r="469">
      <c r="Y469" s="126"/>
    </row>
    <row r="470">
      <c r="Y470" s="126"/>
    </row>
    <row r="471">
      <c r="Y471" s="126"/>
    </row>
    <row r="472">
      <c r="Y472" s="126"/>
    </row>
    <row r="473">
      <c r="Y473" s="126"/>
    </row>
    <row r="474">
      <c r="Y474" s="126"/>
    </row>
    <row r="475">
      <c r="Y475" s="126"/>
    </row>
    <row r="476">
      <c r="Y476" s="126"/>
    </row>
    <row r="477">
      <c r="Y477" s="126"/>
    </row>
    <row r="478">
      <c r="Y478" s="126"/>
    </row>
    <row r="479">
      <c r="Y479" s="126"/>
    </row>
    <row r="480">
      <c r="Y480" s="126"/>
    </row>
    <row r="481">
      <c r="Y481" s="126"/>
    </row>
    <row r="482">
      <c r="Y482" s="126"/>
    </row>
    <row r="483">
      <c r="Y483" s="126"/>
    </row>
    <row r="484">
      <c r="Y484" s="126"/>
    </row>
    <row r="485">
      <c r="Y485" s="126"/>
    </row>
    <row r="486">
      <c r="Y486" s="126"/>
    </row>
    <row r="487">
      <c r="Y487" s="126"/>
    </row>
    <row r="488">
      <c r="Y488" s="126"/>
    </row>
    <row r="489">
      <c r="Y489" s="126"/>
    </row>
    <row r="490">
      <c r="Y490" s="126"/>
    </row>
    <row r="491">
      <c r="Y491" s="126"/>
    </row>
    <row r="492">
      <c r="Y492" s="126"/>
    </row>
    <row r="493">
      <c r="Y493" s="126"/>
    </row>
    <row r="494">
      <c r="Y494" s="126"/>
    </row>
    <row r="495">
      <c r="Y495" s="126"/>
    </row>
    <row r="496">
      <c r="Y496" s="126"/>
    </row>
    <row r="497">
      <c r="Y497" s="126"/>
    </row>
    <row r="498">
      <c r="Y498" s="126"/>
    </row>
    <row r="499">
      <c r="Y499" s="126"/>
    </row>
    <row r="500">
      <c r="Y500" s="126"/>
    </row>
    <row r="501">
      <c r="Y501" s="126"/>
    </row>
    <row r="502">
      <c r="Y502" s="126"/>
    </row>
    <row r="503">
      <c r="Y503" s="126"/>
    </row>
    <row r="504">
      <c r="Y504" s="126"/>
    </row>
    <row r="505">
      <c r="Y505" s="126"/>
    </row>
    <row r="506">
      <c r="Y506" s="126"/>
    </row>
    <row r="507">
      <c r="Y507" s="126"/>
    </row>
    <row r="508">
      <c r="Y508" s="126"/>
    </row>
    <row r="509">
      <c r="Y509" s="126"/>
    </row>
    <row r="510">
      <c r="Y510" s="126"/>
    </row>
    <row r="511">
      <c r="Y511" s="126"/>
    </row>
    <row r="512">
      <c r="Y512" s="126"/>
    </row>
    <row r="513">
      <c r="Y513" s="126"/>
    </row>
    <row r="514">
      <c r="Y514" s="126"/>
    </row>
    <row r="515">
      <c r="Y515" s="126"/>
    </row>
    <row r="516">
      <c r="Y516" s="126"/>
    </row>
    <row r="517">
      <c r="Y517" s="126"/>
    </row>
    <row r="518">
      <c r="Y518" s="126"/>
    </row>
    <row r="519">
      <c r="Y519" s="126"/>
    </row>
    <row r="520">
      <c r="Y520" s="126"/>
    </row>
    <row r="521">
      <c r="Y521" s="126"/>
    </row>
    <row r="522">
      <c r="Y522" s="126"/>
    </row>
    <row r="523">
      <c r="Y523" s="126"/>
    </row>
    <row r="524">
      <c r="Y524" s="126"/>
    </row>
    <row r="525">
      <c r="Y525" s="126"/>
    </row>
    <row r="526">
      <c r="Y526" s="126"/>
    </row>
    <row r="527">
      <c r="Y527" s="126"/>
    </row>
    <row r="528">
      <c r="Y528" s="126"/>
    </row>
    <row r="529">
      <c r="Y529" s="126"/>
    </row>
    <row r="530">
      <c r="Y530" s="126"/>
    </row>
    <row r="531">
      <c r="Y531" s="126"/>
    </row>
    <row r="532">
      <c r="Y532" s="126"/>
    </row>
    <row r="533">
      <c r="Y533" s="126"/>
    </row>
    <row r="534">
      <c r="Y534" s="126"/>
    </row>
    <row r="535">
      <c r="Y535" s="126"/>
    </row>
    <row r="536">
      <c r="Y536" s="126"/>
    </row>
    <row r="537">
      <c r="Y537" s="126"/>
    </row>
    <row r="538">
      <c r="Y538" s="126"/>
    </row>
    <row r="539">
      <c r="Y539" s="126"/>
    </row>
    <row r="540">
      <c r="Y540" s="126"/>
    </row>
    <row r="541">
      <c r="Y541" s="126"/>
    </row>
    <row r="542">
      <c r="Y542" s="126"/>
    </row>
    <row r="543">
      <c r="Y543" s="126"/>
    </row>
    <row r="544">
      <c r="Y544" s="126"/>
    </row>
    <row r="545">
      <c r="Y545" s="126"/>
    </row>
    <row r="546">
      <c r="Y546" s="126"/>
    </row>
    <row r="547">
      <c r="Y547" s="126"/>
    </row>
    <row r="548">
      <c r="Y548" s="126"/>
    </row>
    <row r="549">
      <c r="Y549" s="126"/>
    </row>
    <row r="550">
      <c r="Y550" s="126"/>
    </row>
    <row r="551">
      <c r="Y551" s="126"/>
    </row>
    <row r="552">
      <c r="Y552" s="126"/>
    </row>
    <row r="553">
      <c r="Y553" s="126"/>
    </row>
    <row r="554">
      <c r="Y554" s="126"/>
    </row>
    <row r="555">
      <c r="Y555" s="126"/>
    </row>
    <row r="556">
      <c r="Y556" s="126"/>
    </row>
    <row r="557">
      <c r="Y557" s="126"/>
    </row>
    <row r="558">
      <c r="Y558" s="126"/>
    </row>
    <row r="559">
      <c r="Y559" s="126"/>
    </row>
    <row r="560">
      <c r="Y560" s="126"/>
    </row>
    <row r="561">
      <c r="Y561" s="126"/>
    </row>
    <row r="562">
      <c r="Y562" s="126"/>
    </row>
    <row r="563">
      <c r="Y563" s="126"/>
    </row>
    <row r="564">
      <c r="Y564" s="126"/>
    </row>
    <row r="565">
      <c r="Y565" s="126"/>
    </row>
    <row r="566">
      <c r="Y566" s="126"/>
    </row>
    <row r="567">
      <c r="Y567" s="126"/>
    </row>
    <row r="568">
      <c r="Y568" s="126"/>
    </row>
    <row r="569">
      <c r="Y569" s="126"/>
    </row>
    <row r="570">
      <c r="Y570" s="126"/>
    </row>
    <row r="571">
      <c r="Y571" s="126"/>
    </row>
    <row r="572">
      <c r="Y572" s="126"/>
    </row>
    <row r="573">
      <c r="Y573" s="126"/>
    </row>
    <row r="574">
      <c r="Y574" s="126"/>
    </row>
    <row r="575">
      <c r="Y575" s="126"/>
    </row>
    <row r="576">
      <c r="Y576" s="126"/>
    </row>
    <row r="577">
      <c r="Y577" s="126"/>
    </row>
    <row r="578">
      <c r="Y578" s="126"/>
    </row>
    <row r="579">
      <c r="Y579" s="126"/>
    </row>
    <row r="580">
      <c r="Y580" s="126"/>
    </row>
    <row r="581">
      <c r="Y581" s="126"/>
    </row>
    <row r="582">
      <c r="Y582" s="126"/>
    </row>
    <row r="583">
      <c r="Y583" s="126"/>
    </row>
    <row r="584">
      <c r="Y584" s="126"/>
    </row>
    <row r="585">
      <c r="Y585" s="126"/>
    </row>
    <row r="586">
      <c r="Y586" s="126"/>
    </row>
    <row r="587">
      <c r="Y587" s="126"/>
    </row>
    <row r="588">
      <c r="Y588" s="126"/>
    </row>
    <row r="589">
      <c r="Y589" s="126"/>
    </row>
    <row r="590">
      <c r="Y590" s="126"/>
    </row>
    <row r="591">
      <c r="Y591" s="126"/>
    </row>
    <row r="592">
      <c r="Y592" s="126"/>
    </row>
    <row r="593">
      <c r="Y593" s="126"/>
    </row>
    <row r="594">
      <c r="Y594" s="126"/>
    </row>
    <row r="595">
      <c r="Y595" s="126"/>
    </row>
    <row r="596">
      <c r="Y596" s="126"/>
    </row>
    <row r="597">
      <c r="Y597" s="126"/>
    </row>
    <row r="598">
      <c r="Y598" s="126"/>
    </row>
    <row r="599">
      <c r="Y599" s="126"/>
    </row>
    <row r="600">
      <c r="Y600" s="126"/>
    </row>
    <row r="601">
      <c r="Y601" s="126"/>
    </row>
    <row r="602">
      <c r="Y602" s="126"/>
    </row>
    <row r="603">
      <c r="Y603" s="126"/>
    </row>
    <row r="604">
      <c r="Y604" s="126"/>
    </row>
    <row r="605">
      <c r="Y605" s="126"/>
    </row>
    <row r="606">
      <c r="Y606" s="126"/>
    </row>
    <row r="607">
      <c r="Y607" s="126"/>
    </row>
    <row r="608">
      <c r="Y608" s="126"/>
    </row>
    <row r="609">
      <c r="Y609" s="126"/>
    </row>
    <row r="610">
      <c r="Y610" s="126"/>
    </row>
    <row r="611">
      <c r="Y611" s="126"/>
    </row>
    <row r="612">
      <c r="Y612" s="126"/>
    </row>
    <row r="613">
      <c r="Y613" s="126"/>
    </row>
    <row r="614">
      <c r="Y614" s="126"/>
    </row>
    <row r="615">
      <c r="Y615" s="126"/>
    </row>
    <row r="616">
      <c r="Y616" s="126"/>
    </row>
    <row r="617">
      <c r="Y617" s="126"/>
    </row>
    <row r="618">
      <c r="Y618" s="126"/>
    </row>
    <row r="619">
      <c r="Y619" s="126"/>
    </row>
    <row r="620">
      <c r="Y620" s="126"/>
    </row>
    <row r="621">
      <c r="Y621" s="126"/>
    </row>
    <row r="622">
      <c r="Y622" s="126"/>
    </row>
    <row r="623">
      <c r="Y623" s="126"/>
    </row>
    <row r="624">
      <c r="Y624" s="126"/>
    </row>
    <row r="625">
      <c r="Y625" s="126"/>
    </row>
    <row r="626">
      <c r="Y626" s="126"/>
    </row>
    <row r="627">
      <c r="Y627" s="126"/>
    </row>
    <row r="628">
      <c r="Y628" s="126"/>
    </row>
    <row r="629">
      <c r="Y629" s="126"/>
    </row>
    <row r="630">
      <c r="Y630" s="126"/>
    </row>
    <row r="631">
      <c r="Y631" s="126"/>
    </row>
    <row r="632">
      <c r="Y632" s="126"/>
    </row>
    <row r="633">
      <c r="Y633" s="126"/>
    </row>
    <row r="634">
      <c r="Y634" s="126"/>
    </row>
    <row r="635">
      <c r="Y635" s="126"/>
    </row>
    <row r="636">
      <c r="Y636" s="126"/>
    </row>
    <row r="637">
      <c r="Y637" s="126"/>
    </row>
    <row r="638">
      <c r="Y638" s="126"/>
    </row>
    <row r="639">
      <c r="Y639" s="126"/>
    </row>
    <row r="640">
      <c r="Y640" s="126"/>
    </row>
    <row r="641">
      <c r="Y641" s="126"/>
    </row>
    <row r="642">
      <c r="Y642" s="126"/>
    </row>
    <row r="643">
      <c r="Y643" s="126"/>
    </row>
    <row r="644">
      <c r="Y644" s="126"/>
    </row>
    <row r="645">
      <c r="Y645" s="126"/>
    </row>
    <row r="646">
      <c r="Y646" s="126"/>
    </row>
    <row r="647">
      <c r="Y647" s="126"/>
    </row>
    <row r="648">
      <c r="Y648" s="126"/>
    </row>
    <row r="649">
      <c r="Y649" s="126"/>
    </row>
    <row r="650">
      <c r="Y650" s="126"/>
    </row>
    <row r="651">
      <c r="Y651" s="126"/>
    </row>
    <row r="652">
      <c r="Y652" s="126"/>
    </row>
    <row r="653">
      <c r="Y653" s="126"/>
    </row>
    <row r="654">
      <c r="Y654" s="126"/>
    </row>
    <row r="655">
      <c r="Y655" s="126"/>
    </row>
    <row r="656">
      <c r="Y656" s="126"/>
    </row>
    <row r="657">
      <c r="Y657" s="126"/>
    </row>
    <row r="658">
      <c r="Y658" s="126"/>
    </row>
    <row r="659">
      <c r="Y659" s="126"/>
    </row>
    <row r="660">
      <c r="Y660" s="126"/>
    </row>
    <row r="661">
      <c r="Y661" s="126"/>
    </row>
    <row r="662">
      <c r="Y662" s="126"/>
    </row>
    <row r="663">
      <c r="Y663" s="126"/>
    </row>
    <row r="664">
      <c r="Y664" s="126"/>
    </row>
    <row r="665">
      <c r="Y665" s="126"/>
    </row>
    <row r="666">
      <c r="Y666" s="126"/>
    </row>
    <row r="667">
      <c r="Y667" s="126"/>
    </row>
    <row r="668">
      <c r="Y668" s="126"/>
    </row>
    <row r="669">
      <c r="Y669" s="126"/>
    </row>
    <row r="670">
      <c r="Y670" s="126"/>
    </row>
    <row r="671">
      <c r="Y671" s="126"/>
    </row>
    <row r="672">
      <c r="Y672" s="126"/>
    </row>
    <row r="673">
      <c r="Y673" s="126"/>
    </row>
    <row r="674">
      <c r="Y674" s="126"/>
    </row>
    <row r="675">
      <c r="Y675" s="126"/>
    </row>
    <row r="676">
      <c r="Y676" s="126"/>
    </row>
    <row r="677">
      <c r="Y677" s="126"/>
    </row>
    <row r="678">
      <c r="Y678" s="126"/>
    </row>
    <row r="679">
      <c r="Y679" s="126"/>
    </row>
    <row r="680">
      <c r="Y680" s="126"/>
    </row>
    <row r="681">
      <c r="Y681" s="126"/>
    </row>
    <row r="682">
      <c r="Y682" s="126"/>
    </row>
    <row r="683">
      <c r="Y683" s="126"/>
    </row>
    <row r="684">
      <c r="Y684" s="126"/>
    </row>
    <row r="685">
      <c r="Y685" s="126"/>
    </row>
    <row r="686">
      <c r="Y686" s="126"/>
    </row>
    <row r="687">
      <c r="Y687" s="126"/>
    </row>
    <row r="688">
      <c r="Y688" s="126"/>
    </row>
    <row r="689">
      <c r="Y689" s="126"/>
    </row>
    <row r="690">
      <c r="Y690" s="126"/>
    </row>
    <row r="691">
      <c r="Y691" s="126"/>
    </row>
    <row r="692">
      <c r="Y692" s="126"/>
    </row>
    <row r="693">
      <c r="Y693" s="126"/>
    </row>
    <row r="694">
      <c r="Y694" s="126"/>
    </row>
    <row r="695">
      <c r="Y695" s="126"/>
    </row>
    <row r="696">
      <c r="Y696" s="126"/>
    </row>
    <row r="697">
      <c r="Y697" s="126"/>
    </row>
    <row r="698">
      <c r="Y698" s="126"/>
    </row>
    <row r="699">
      <c r="Y699" s="126"/>
    </row>
    <row r="700">
      <c r="Y700" s="126"/>
    </row>
    <row r="701">
      <c r="Y701" s="126"/>
    </row>
    <row r="702">
      <c r="Y702" s="126"/>
    </row>
    <row r="703">
      <c r="Y703" s="126"/>
    </row>
    <row r="704">
      <c r="Y704" s="126"/>
    </row>
    <row r="705">
      <c r="Y705" s="126"/>
    </row>
    <row r="706">
      <c r="Y706" s="126"/>
    </row>
    <row r="707">
      <c r="Y707" s="126"/>
    </row>
    <row r="708">
      <c r="Y708" s="126"/>
    </row>
    <row r="709">
      <c r="Y709" s="126"/>
    </row>
    <row r="710">
      <c r="Y710" s="126"/>
    </row>
    <row r="711">
      <c r="Y711" s="126"/>
    </row>
    <row r="712">
      <c r="Y712" s="126"/>
    </row>
    <row r="713">
      <c r="Y713" s="126"/>
    </row>
    <row r="714">
      <c r="Y714" s="126"/>
    </row>
    <row r="715">
      <c r="Y715" s="126"/>
    </row>
    <row r="716">
      <c r="Y716" s="126"/>
    </row>
    <row r="717">
      <c r="Y717" s="126"/>
    </row>
    <row r="718">
      <c r="Y718" s="126"/>
    </row>
    <row r="719">
      <c r="Y719" s="126"/>
    </row>
    <row r="720">
      <c r="Y720" s="126"/>
    </row>
    <row r="721">
      <c r="Y721" s="126"/>
    </row>
    <row r="722">
      <c r="Y722" s="126"/>
    </row>
    <row r="723">
      <c r="Y723" s="126"/>
    </row>
    <row r="724">
      <c r="Y724" s="126"/>
    </row>
    <row r="725">
      <c r="Y725" s="126"/>
    </row>
    <row r="726">
      <c r="Y726" s="126"/>
    </row>
    <row r="727">
      <c r="Y727" s="126"/>
    </row>
    <row r="728">
      <c r="Y728" s="126"/>
    </row>
    <row r="729">
      <c r="Y729" s="126"/>
    </row>
    <row r="730">
      <c r="Y730" s="126"/>
    </row>
    <row r="731">
      <c r="Y731" s="126"/>
    </row>
    <row r="732">
      <c r="Y732" s="126"/>
    </row>
    <row r="733">
      <c r="Y733" s="126"/>
    </row>
    <row r="734">
      <c r="Y734" s="126"/>
    </row>
    <row r="735">
      <c r="Y735" s="126"/>
    </row>
    <row r="736">
      <c r="Y736" s="126"/>
    </row>
    <row r="737">
      <c r="Y737" s="126"/>
    </row>
    <row r="738">
      <c r="Y738" s="126"/>
    </row>
    <row r="739">
      <c r="Y739" s="126"/>
    </row>
    <row r="740">
      <c r="Y740" s="126"/>
    </row>
    <row r="741">
      <c r="Y741" s="126"/>
    </row>
    <row r="742">
      <c r="Y742" s="126"/>
    </row>
    <row r="743">
      <c r="Y743" s="126"/>
    </row>
    <row r="744">
      <c r="Y744" s="126"/>
    </row>
    <row r="745">
      <c r="Y745" s="126"/>
    </row>
    <row r="746">
      <c r="Y746" s="126"/>
    </row>
    <row r="747">
      <c r="Y747" s="126"/>
    </row>
    <row r="748">
      <c r="Y748" s="126"/>
    </row>
    <row r="749">
      <c r="Y749" s="126"/>
    </row>
    <row r="750">
      <c r="Y750" s="126"/>
    </row>
    <row r="751">
      <c r="Y751" s="126"/>
    </row>
    <row r="752">
      <c r="Y752" s="126"/>
    </row>
    <row r="753">
      <c r="Y753" s="126"/>
    </row>
    <row r="754">
      <c r="Y754" s="126"/>
    </row>
    <row r="755">
      <c r="Y755" s="126"/>
    </row>
    <row r="756">
      <c r="Y756" s="126"/>
    </row>
    <row r="757">
      <c r="Y757" s="126"/>
    </row>
    <row r="758">
      <c r="Y758" s="126"/>
    </row>
    <row r="759">
      <c r="Y759" s="126"/>
    </row>
    <row r="760">
      <c r="Y760" s="126"/>
    </row>
    <row r="761">
      <c r="Y761" s="126"/>
    </row>
    <row r="762">
      <c r="Y762" s="126"/>
    </row>
    <row r="763">
      <c r="Y763" s="126"/>
    </row>
    <row r="764">
      <c r="Y764" s="126"/>
    </row>
    <row r="765">
      <c r="Y765" s="126"/>
    </row>
    <row r="766">
      <c r="Y766" s="126"/>
    </row>
    <row r="767">
      <c r="Y767" s="126"/>
    </row>
    <row r="768">
      <c r="Y768" s="126"/>
    </row>
    <row r="769">
      <c r="Y769" s="126"/>
    </row>
    <row r="770">
      <c r="Y770" s="126"/>
    </row>
    <row r="771">
      <c r="Y771" s="126"/>
    </row>
    <row r="772">
      <c r="Y772" s="126"/>
    </row>
    <row r="773">
      <c r="Y773" s="126"/>
    </row>
    <row r="774">
      <c r="Y774" s="126"/>
    </row>
    <row r="775">
      <c r="Y775" s="126"/>
    </row>
    <row r="776">
      <c r="Y776" s="126"/>
    </row>
    <row r="777">
      <c r="Y777" s="126"/>
    </row>
    <row r="778">
      <c r="Y778" s="126"/>
    </row>
    <row r="779">
      <c r="Y779" s="126"/>
    </row>
    <row r="780">
      <c r="Y780" s="126"/>
    </row>
    <row r="781">
      <c r="Y781" s="126"/>
    </row>
    <row r="782">
      <c r="Y782" s="126"/>
    </row>
    <row r="783">
      <c r="Y783" s="126"/>
    </row>
    <row r="784">
      <c r="Y784" s="126"/>
    </row>
    <row r="785">
      <c r="Y785" s="126"/>
    </row>
    <row r="786">
      <c r="Y786" s="126"/>
    </row>
    <row r="787">
      <c r="Y787" s="126"/>
    </row>
    <row r="788">
      <c r="Y788" s="126"/>
    </row>
    <row r="789">
      <c r="Y789" s="126"/>
    </row>
    <row r="790">
      <c r="Y790" s="126"/>
    </row>
    <row r="791">
      <c r="Y791" s="126"/>
    </row>
    <row r="792">
      <c r="Y792" s="126"/>
    </row>
    <row r="793">
      <c r="Y793" s="126"/>
    </row>
    <row r="794">
      <c r="Y794" s="126"/>
    </row>
    <row r="795">
      <c r="Y795" s="126"/>
    </row>
    <row r="796">
      <c r="Y796" s="126"/>
    </row>
    <row r="797">
      <c r="Y797" s="126"/>
    </row>
    <row r="798">
      <c r="Y798" s="126"/>
    </row>
    <row r="799">
      <c r="Y799" s="126"/>
    </row>
    <row r="800">
      <c r="Y800" s="126"/>
    </row>
    <row r="801">
      <c r="Y801" s="126"/>
    </row>
    <row r="802">
      <c r="Y802" s="126"/>
    </row>
    <row r="803">
      <c r="Y803" s="126"/>
    </row>
    <row r="804">
      <c r="Y804" s="126"/>
    </row>
    <row r="805">
      <c r="Y805" s="126"/>
    </row>
    <row r="806">
      <c r="Y806" s="126"/>
    </row>
    <row r="807">
      <c r="Y807" s="126"/>
    </row>
    <row r="808">
      <c r="Y808" s="126"/>
    </row>
    <row r="809">
      <c r="Y809" s="126"/>
    </row>
    <row r="810">
      <c r="Y810" s="126"/>
    </row>
    <row r="811">
      <c r="Y811" s="126"/>
    </row>
    <row r="812">
      <c r="Y812" s="126"/>
    </row>
    <row r="813">
      <c r="Y813" s="126"/>
    </row>
    <row r="814">
      <c r="Y814" s="126"/>
    </row>
    <row r="815">
      <c r="Y815" s="126"/>
    </row>
    <row r="816">
      <c r="Y816" s="126"/>
    </row>
    <row r="817">
      <c r="Y817" s="126"/>
    </row>
    <row r="818">
      <c r="Y818" s="126"/>
    </row>
    <row r="819">
      <c r="Y819" s="126"/>
    </row>
    <row r="820">
      <c r="Y820" s="126"/>
    </row>
    <row r="821">
      <c r="Y821" s="126"/>
    </row>
    <row r="822">
      <c r="Y822" s="126"/>
    </row>
    <row r="823">
      <c r="Y823" s="126"/>
    </row>
    <row r="824">
      <c r="Y824" s="126"/>
    </row>
    <row r="825">
      <c r="Y825" s="126"/>
    </row>
    <row r="826">
      <c r="Y826" s="126"/>
    </row>
    <row r="827">
      <c r="Y827" s="126"/>
    </row>
    <row r="828">
      <c r="Y828" s="126"/>
    </row>
    <row r="829">
      <c r="Y829" s="126"/>
    </row>
    <row r="830">
      <c r="Y830" s="126"/>
    </row>
    <row r="831">
      <c r="Y831" s="126"/>
    </row>
    <row r="832">
      <c r="Y832" s="126"/>
    </row>
    <row r="833">
      <c r="Y833" s="126"/>
    </row>
    <row r="834">
      <c r="Y834" s="126"/>
    </row>
    <row r="835">
      <c r="Y835" s="126"/>
    </row>
    <row r="836">
      <c r="Y836" s="126"/>
    </row>
    <row r="837">
      <c r="Y837" s="126"/>
    </row>
    <row r="838">
      <c r="Y838" s="126"/>
    </row>
    <row r="839">
      <c r="Y839" s="126"/>
    </row>
    <row r="840">
      <c r="Y840" s="126"/>
    </row>
    <row r="841">
      <c r="Y841" s="126"/>
    </row>
    <row r="842">
      <c r="Y842" s="126"/>
    </row>
    <row r="843">
      <c r="Y843" s="126"/>
    </row>
    <row r="844">
      <c r="Y844" s="126"/>
    </row>
    <row r="845">
      <c r="Y845" s="126"/>
    </row>
    <row r="846">
      <c r="Y846" s="126"/>
    </row>
    <row r="847">
      <c r="Y847" s="126"/>
    </row>
    <row r="848">
      <c r="Y848" s="126"/>
    </row>
    <row r="849">
      <c r="Y849" s="126"/>
    </row>
    <row r="850">
      <c r="Y850" s="126"/>
    </row>
    <row r="851">
      <c r="Y851" s="126"/>
    </row>
    <row r="852">
      <c r="Y852" s="126"/>
    </row>
    <row r="853">
      <c r="Y853" s="126"/>
    </row>
    <row r="854">
      <c r="Y854" s="126"/>
    </row>
    <row r="855">
      <c r="Y855" s="126"/>
    </row>
    <row r="856">
      <c r="Y856" s="126"/>
    </row>
    <row r="857">
      <c r="Y857" s="126"/>
    </row>
    <row r="858">
      <c r="Y858" s="126"/>
    </row>
    <row r="859">
      <c r="Y859" s="126"/>
    </row>
    <row r="860">
      <c r="Y860" s="126"/>
    </row>
    <row r="861">
      <c r="Y861" s="126"/>
    </row>
    <row r="862">
      <c r="Y862" s="126"/>
    </row>
    <row r="863">
      <c r="Y863" s="126"/>
    </row>
    <row r="864">
      <c r="Y864" s="126"/>
    </row>
    <row r="865">
      <c r="Y865" s="126"/>
    </row>
    <row r="866">
      <c r="Y866" s="126"/>
    </row>
    <row r="867">
      <c r="Y867" s="126"/>
    </row>
    <row r="868">
      <c r="Y868" s="126"/>
    </row>
    <row r="869">
      <c r="Y869" s="126"/>
    </row>
    <row r="870">
      <c r="Y870" s="126"/>
    </row>
    <row r="871">
      <c r="Y871" s="126"/>
    </row>
    <row r="872">
      <c r="Y872" s="126"/>
    </row>
    <row r="873">
      <c r="Y873" s="126"/>
    </row>
    <row r="874">
      <c r="Y874" s="126"/>
    </row>
    <row r="875">
      <c r="Y875" s="126"/>
    </row>
    <row r="876">
      <c r="Y876" s="126"/>
    </row>
    <row r="877">
      <c r="Y877" s="126"/>
    </row>
    <row r="878">
      <c r="Y878" s="126"/>
    </row>
    <row r="879">
      <c r="Y879" s="126"/>
    </row>
    <row r="880">
      <c r="Y880" s="126"/>
    </row>
    <row r="881">
      <c r="Y881" s="126"/>
    </row>
    <row r="882">
      <c r="Y882" s="126"/>
    </row>
    <row r="883">
      <c r="Y883" s="126"/>
    </row>
    <row r="884">
      <c r="Y884" s="126"/>
    </row>
    <row r="885">
      <c r="Y885" s="126"/>
    </row>
    <row r="886">
      <c r="Y886" s="126"/>
    </row>
    <row r="887">
      <c r="Y887" s="126"/>
    </row>
    <row r="888">
      <c r="Y888" s="126"/>
    </row>
    <row r="889">
      <c r="Y889" s="126"/>
    </row>
    <row r="890">
      <c r="Y890" s="126"/>
    </row>
    <row r="891">
      <c r="Y891" s="126"/>
    </row>
    <row r="892">
      <c r="Y892" s="126"/>
    </row>
    <row r="893">
      <c r="Y893" s="126"/>
    </row>
    <row r="894">
      <c r="Y894" s="126"/>
    </row>
    <row r="895">
      <c r="Y895" s="126"/>
    </row>
    <row r="896">
      <c r="Y896" s="126"/>
    </row>
    <row r="897">
      <c r="Y897" s="126"/>
    </row>
    <row r="898">
      <c r="Y898" s="126"/>
    </row>
    <row r="899">
      <c r="Y899" s="126"/>
    </row>
    <row r="900">
      <c r="Y900" s="126"/>
    </row>
    <row r="901">
      <c r="Y901" s="126"/>
    </row>
    <row r="902">
      <c r="Y902" s="126"/>
    </row>
    <row r="903">
      <c r="Y903" s="126"/>
    </row>
    <row r="904">
      <c r="Y904" s="126"/>
    </row>
    <row r="905">
      <c r="Y905" s="126"/>
    </row>
    <row r="906">
      <c r="Y906" s="126"/>
    </row>
    <row r="907">
      <c r="Y907" s="126"/>
    </row>
    <row r="908">
      <c r="Y908" s="126"/>
    </row>
    <row r="909">
      <c r="Y909" s="126"/>
    </row>
    <row r="910">
      <c r="Y910" s="126"/>
    </row>
    <row r="911">
      <c r="Y911" s="126"/>
    </row>
    <row r="912">
      <c r="Y912" s="126"/>
    </row>
    <row r="913">
      <c r="Y913" s="126"/>
    </row>
    <row r="914">
      <c r="Y914" s="126"/>
    </row>
    <row r="915">
      <c r="Y915" s="126"/>
    </row>
    <row r="916">
      <c r="Y916" s="126"/>
    </row>
    <row r="917">
      <c r="Y917" s="126"/>
    </row>
    <row r="918">
      <c r="Y918" s="126"/>
    </row>
    <row r="919">
      <c r="Y919" s="126"/>
    </row>
    <row r="920">
      <c r="Y920" s="126"/>
    </row>
    <row r="921">
      <c r="Y921" s="126"/>
    </row>
    <row r="922">
      <c r="Y922" s="126"/>
    </row>
    <row r="923">
      <c r="Y923" s="126"/>
    </row>
    <row r="924">
      <c r="Y924" s="126"/>
    </row>
    <row r="925">
      <c r="Y925" s="126"/>
    </row>
    <row r="926">
      <c r="Y926" s="126"/>
    </row>
    <row r="927">
      <c r="Y927" s="126"/>
    </row>
    <row r="928">
      <c r="Y928" s="126"/>
    </row>
    <row r="929">
      <c r="Y929" s="126"/>
    </row>
    <row r="930">
      <c r="Y930" s="126"/>
    </row>
    <row r="931">
      <c r="Y931" s="126"/>
    </row>
    <row r="932">
      <c r="Y932" s="126"/>
    </row>
    <row r="933">
      <c r="Y933" s="126"/>
    </row>
    <row r="934">
      <c r="Y934" s="126"/>
    </row>
    <row r="935">
      <c r="Y935" s="126"/>
    </row>
    <row r="936">
      <c r="Y936" s="126"/>
    </row>
    <row r="937">
      <c r="Y937" s="126"/>
    </row>
    <row r="938">
      <c r="Y938" s="126"/>
    </row>
    <row r="939">
      <c r="Y939" s="126"/>
    </row>
    <row r="940">
      <c r="Y940" s="126"/>
    </row>
    <row r="941">
      <c r="Y941" s="126"/>
    </row>
    <row r="942">
      <c r="Y942" s="126"/>
    </row>
    <row r="943">
      <c r="Y943" s="126"/>
    </row>
    <row r="944">
      <c r="Y944" s="126"/>
    </row>
    <row r="945">
      <c r="Y945" s="126"/>
    </row>
    <row r="946">
      <c r="Y946" s="126"/>
    </row>
    <row r="947">
      <c r="Y947" s="126"/>
    </row>
    <row r="948">
      <c r="Y948" s="126"/>
    </row>
    <row r="949">
      <c r="Y949" s="126"/>
    </row>
    <row r="950">
      <c r="Y950" s="126"/>
    </row>
    <row r="951">
      <c r="Y951" s="126"/>
    </row>
    <row r="952">
      <c r="Y952" s="126"/>
    </row>
    <row r="953">
      <c r="Y953" s="126"/>
    </row>
    <row r="954">
      <c r="Y954" s="126"/>
    </row>
    <row r="955">
      <c r="Y955" s="126"/>
    </row>
    <row r="956">
      <c r="Y956" s="126"/>
    </row>
    <row r="957">
      <c r="Y957" s="126"/>
    </row>
    <row r="958">
      <c r="Y958" s="126"/>
    </row>
    <row r="959">
      <c r="Y959" s="126"/>
    </row>
    <row r="960">
      <c r="Y960" s="126"/>
    </row>
    <row r="961">
      <c r="Y961" s="126"/>
    </row>
    <row r="962">
      <c r="Y962" s="126"/>
    </row>
    <row r="963">
      <c r="Y963" s="126"/>
    </row>
    <row r="964">
      <c r="Y964" s="126"/>
    </row>
    <row r="965">
      <c r="Y965" s="126"/>
    </row>
    <row r="966">
      <c r="Y966" s="126"/>
    </row>
    <row r="967">
      <c r="Y967" s="126"/>
    </row>
    <row r="968">
      <c r="Y968" s="126"/>
    </row>
    <row r="969">
      <c r="Y969" s="126"/>
    </row>
    <row r="970">
      <c r="Y970" s="126"/>
    </row>
    <row r="971">
      <c r="Y971" s="126"/>
    </row>
    <row r="972">
      <c r="Y972" s="126"/>
    </row>
    <row r="973">
      <c r="Y973" s="126"/>
    </row>
    <row r="974">
      <c r="Y974" s="126"/>
    </row>
    <row r="975">
      <c r="Y975" s="126"/>
    </row>
    <row r="976">
      <c r="Y976" s="126"/>
    </row>
    <row r="977">
      <c r="Y977" s="126"/>
    </row>
    <row r="978">
      <c r="Y978" s="126"/>
    </row>
    <row r="979">
      <c r="Y979" s="126"/>
    </row>
    <row r="980">
      <c r="Y980" s="126"/>
    </row>
    <row r="981">
      <c r="Y981" s="126"/>
    </row>
    <row r="982">
      <c r="Y982" s="126"/>
    </row>
    <row r="983">
      <c r="Y983" s="126"/>
    </row>
    <row r="984">
      <c r="Y984" s="126"/>
    </row>
    <row r="985">
      <c r="Y985" s="126"/>
    </row>
    <row r="986">
      <c r="Y986" s="126"/>
    </row>
    <row r="987">
      <c r="Y987" s="126"/>
    </row>
    <row r="988">
      <c r="Y988" s="126"/>
    </row>
    <row r="989">
      <c r="Y989" s="126"/>
    </row>
    <row r="990">
      <c r="Y990" s="126"/>
    </row>
    <row r="991">
      <c r="Y991" s="126"/>
    </row>
    <row r="992">
      <c r="Y992" s="126"/>
    </row>
    <row r="993">
      <c r="Y993" s="126"/>
    </row>
    <row r="994">
      <c r="Y994" s="126"/>
    </row>
    <row r="995">
      <c r="Y995" s="126"/>
    </row>
    <row r="996">
      <c r="Y996" s="126"/>
    </row>
    <row r="997">
      <c r="Y997" s="126"/>
    </row>
    <row r="998">
      <c r="Y998" s="126"/>
    </row>
    <row r="999">
      <c r="Y999" s="126"/>
    </row>
    <row r="1000">
      <c r="Y1000" s="126"/>
    </row>
    <row r="1001">
      <c r="Y1001" s="126"/>
    </row>
    <row r="1002">
      <c r="Y1002" s="126"/>
    </row>
    <row r="1003">
      <c r="Y1003" s="126"/>
    </row>
    <row r="1004">
      <c r="Y1004" s="126"/>
    </row>
    <row r="1005">
      <c r="Y1005" s="126"/>
    </row>
    <row r="1006">
      <c r="Y1006" s="126"/>
    </row>
    <row r="1007">
      <c r="Y1007" s="126"/>
    </row>
    <row r="1008">
      <c r="Y1008" s="126"/>
    </row>
    <row r="1009">
      <c r="Y1009" s="126"/>
    </row>
    <row r="1010">
      <c r="Y1010" s="126"/>
    </row>
    <row r="1011">
      <c r="Y1011" s="126"/>
    </row>
    <row r="1012">
      <c r="Y1012" s="126"/>
    </row>
    <row r="1013">
      <c r="Y1013" s="126"/>
    </row>
    <row r="1014">
      <c r="Y1014" s="126"/>
    </row>
    <row r="1015">
      <c r="Y1015" s="126"/>
    </row>
    <row r="1016">
      <c r="Y1016" s="126"/>
    </row>
    <row r="1017">
      <c r="Y1017" s="126"/>
    </row>
    <row r="1018">
      <c r="Y1018" s="126"/>
    </row>
    <row r="1019">
      <c r="Y1019" s="126"/>
    </row>
    <row r="1020">
      <c r="Y1020" s="126"/>
    </row>
    <row r="1021">
      <c r="Y1021" s="126"/>
    </row>
    <row r="1022">
      <c r="Y1022" s="126"/>
    </row>
    <row r="1023">
      <c r="Y1023" s="126"/>
    </row>
    <row r="1024">
      <c r="Y1024" s="126"/>
    </row>
    <row r="1025">
      <c r="Y1025" s="126"/>
    </row>
    <row r="1026">
      <c r="Y1026" s="126"/>
    </row>
    <row r="1027">
      <c r="Y1027" s="126"/>
    </row>
    <row r="1028">
      <c r="Y1028" s="126"/>
    </row>
    <row r="1029">
      <c r="Y1029" s="126"/>
    </row>
    <row r="1030">
      <c r="Y1030" s="126"/>
    </row>
    <row r="1031">
      <c r="Y1031" s="126"/>
    </row>
    <row r="1032">
      <c r="Y1032" s="126"/>
    </row>
    <row r="1033">
      <c r="Y1033" s="126"/>
    </row>
    <row r="1034">
      <c r="Y1034" s="126"/>
    </row>
    <row r="1035">
      <c r="Y1035" s="126"/>
    </row>
    <row r="1036">
      <c r="Y1036" s="126"/>
    </row>
    <row r="1037">
      <c r="Y1037" s="126"/>
    </row>
    <row r="1038">
      <c r="Y1038" s="126"/>
    </row>
    <row r="1039">
      <c r="Y1039" s="126"/>
    </row>
    <row r="1040">
      <c r="Y1040" s="126"/>
    </row>
    <row r="1041">
      <c r="Y1041" s="126"/>
    </row>
    <row r="1042">
      <c r="Y1042" s="126"/>
    </row>
    <row r="1043">
      <c r="Y1043" s="126"/>
    </row>
    <row r="1044">
      <c r="Y1044" s="126"/>
    </row>
    <row r="1045">
      <c r="Y1045" s="126"/>
    </row>
    <row r="1046">
      <c r="Y1046" s="126"/>
    </row>
    <row r="1047">
      <c r="Y1047" s="126"/>
    </row>
    <row r="1048">
      <c r="Y1048" s="126"/>
    </row>
    <row r="1049">
      <c r="Y1049" s="126"/>
    </row>
    <row r="1050">
      <c r="Y1050" s="126"/>
    </row>
    <row r="1051">
      <c r="Y1051" s="126"/>
    </row>
    <row r="1052">
      <c r="Y1052" s="126"/>
    </row>
    <row r="1053">
      <c r="Y1053" s="126"/>
    </row>
    <row r="1054">
      <c r="Y1054" s="126"/>
    </row>
    <row r="1055">
      <c r="Y1055" s="126"/>
    </row>
    <row r="1056">
      <c r="Y1056" s="126"/>
    </row>
    <row r="1057">
      <c r="Y1057" s="126"/>
    </row>
    <row r="1058">
      <c r="Y1058" s="126"/>
    </row>
    <row r="1059">
      <c r="Y1059" s="126"/>
    </row>
    <row r="1060">
      <c r="Y1060" s="126"/>
    </row>
    <row r="1061">
      <c r="Y1061" s="126"/>
    </row>
    <row r="1062">
      <c r="Y1062" s="126"/>
    </row>
    <row r="1063">
      <c r="Y1063" s="126"/>
    </row>
    <row r="1064">
      <c r="Y1064" s="126"/>
    </row>
    <row r="1065">
      <c r="Y1065" s="126"/>
    </row>
    <row r="1066">
      <c r="Y1066" s="126"/>
    </row>
    <row r="1067">
      <c r="Y1067" s="126"/>
    </row>
    <row r="1068">
      <c r="Y1068" s="126"/>
    </row>
    <row r="1069">
      <c r="Y1069" s="126"/>
    </row>
    <row r="1070">
      <c r="Y1070" s="126"/>
    </row>
    <row r="1071">
      <c r="Y1071" s="126"/>
    </row>
    <row r="1072">
      <c r="Y1072" s="126"/>
    </row>
    <row r="1073">
      <c r="Y1073" s="126"/>
    </row>
    <row r="1074">
      <c r="Y1074" s="126"/>
    </row>
    <row r="1075">
      <c r="Y1075" s="126"/>
    </row>
    <row r="1076">
      <c r="Y1076" s="126"/>
    </row>
    <row r="1077">
      <c r="Y1077" s="126"/>
    </row>
    <row r="1078">
      <c r="Y1078" s="126"/>
    </row>
    <row r="1079">
      <c r="Y1079" s="126"/>
    </row>
    <row r="1080">
      <c r="Y1080" s="126"/>
    </row>
    <row r="1081">
      <c r="Y1081" s="126"/>
    </row>
    <row r="1082">
      <c r="Y1082" s="126"/>
    </row>
    <row r="1083">
      <c r="Y1083" s="126"/>
    </row>
    <row r="1084">
      <c r="Y1084" s="126"/>
    </row>
    <row r="1085">
      <c r="Y1085" s="126"/>
    </row>
    <row r="1086">
      <c r="Y1086" s="126"/>
    </row>
    <row r="1087">
      <c r="Y1087" s="126"/>
    </row>
    <row r="1088">
      <c r="Y1088" s="126"/>
    </row>
    <row r="1089">
      <c r="Y1089" s="126"/>
    </row>
    <row r="1090">
      <c r="Y1090" s="126"/>
    </row>
    <row r="1091">
      <c r="Y1091" s="126"/>
    </row>
    <row r="1092">
      <c r="Y1092" s="126"/>
    </row>
    <row r="1093">
      <c r="Y1093" s="126"/>
    </row>
    <row r="1094">
      <c r="Y1094" s="126"/>
    </row>
    <row r="1095">
      <c r="Y1095" s="126"/>
    </row>
    <row r="1096">
      <c r="Y1096" s="126"/>
    </row>
    <row r="1097">
      <c r="Y1097" s="126"/>
    </row>
    <row r="1098">
      <c r="Y1098" s="126"/>
    </row>
    <row r="1099">
      <c r="Y1099" s="126"/>
    </row>
    <row r="1100">
      <c r="Y1100" s="126"/>
    </row>
    <row r="1101">
      <c r="Y1101" s="126"/>
    </row>
    <row r="1102">
      <c r="Y1102" s="126"/>
    </row>
    <row r="1103">
      <c r="Y1103" s="126"/>
    </row>
    <row r="1104">
      <c r="Y1104" s="126"/>
    </row>
    <row r="1105">
      <c r="Y1105" s="126"/>
    </row>
    <row r="1106">
      <c r="Y1106" s="126"/>
    </row>
    <row r="1107">
      <c r="Y1107" s="126"/>
    </row>
    <row r="1108">
      <c r="Y1108" s="126"/>
    </row>
    <row r="1109">
      <c r="Y1109" s="126"/>
    </row>
    <row r="1110">
      <c r="Y1110" s="126"/>
    </row>
    <row r="1111">
      <c r="Y1111" s="126"/>
    </row>
    <row r="1112">
      <c r="Y1112" s="126"/>
    </row>
    <row r="1113">
      <c r="Y1113" s="126"/>
    </row>
    <row r="1114">
      <c r="Y1114" s="126"/>
    </row>
    <row r="1115">
      <c r="Y1115" s="126"/>
    </row>
    <row r="1116">
      <c r="Y1116" s="126"/>
    </row>
    <row r="1117">
      <c r="Y1117" s="126"/>
    </row>
    <row r="1118">
      <c r="Y1118" s="126"/>
    </row>
    <row r="1119">
      <c r="Y1119" s="126"/>
    </row>
    <row r="1120">
      <c r="Y1120" s="126"/>
    </row>
    <row r="1121">
      <c r="Y1121" s="126"/>
    </row>
    <row r="1122">
      <c r="Y1122" s="126"/>
    </row>
    <row r="1123">
      <c r="Y1123" s="126"/>
    </row>
    <row r="1124">
      <c r="Y1124" s="126"/>
    </row>
    <row r="1125">
      <c r="Y1125" s="126"/>
    </row>
    <row r="1126">
      <c r="Y1126" s="126"/>
    </row>
    <row r="1127">
      <c r="Y1127" s="126"/>
    </row>
    <row r="1128">
      <c r="Y1128" s="126"/>
    </row>
    <row r="1129">
      <c r="Y1129" s="126"/>
    </row>
    <row r="1130">
      <c r="Y1130" s="126"/>
    </row>
    <row r="1131">
      <c r="Y1131" s="126"/>
    </row>
    <row r="1132">
      <c r="Y1132" s="126"/>
    </row>
    <row r="1133">
      <c r="Y1133" s="126"/>
    </row>
    <row r="1134">
      <c r="Y1134" s="126"/>
    </row>
    <row r="1135">
      <c r="Y1135" s="126"/>
    </row>
    <row r="1136">
      <c r="Y1136" s="126"/>
    </row>
    <row r="1137">
      <c r="Y1137" s="126"/>
    </row>
    <row r="1138">
      <c r="Y1138" s="126"/>
    </row>
    <row r="1139">
      <c r="Y1139" s="126"/>
    </row>
    <row r="1140">
      <c r="Y1140" s="126"/>
    </row>
    <row r="1141">
      <c r="Y1141" s="126"/>
    </row>
    <row r="1142">
      <c r="Y1142" s="126"/>
    </row>
    <row r="1143">
      <c r="Y1143" s="126"/>
    </row>
    <row r="1144">
      <c r="Y1144" s="126"/>
    </row>
    <row r="1145">
      <c r="Y1145" s="126"/>
    </row>
    <row r="1146">
      <c r="Y1146" s="126"/>
    </row>
    <row r="1147">
      <c r="Y1147" s="126"/>
    </row>
    <row r="1148">
      <c r="Y1148" s="126"/>
    </row>
    <row r="1149">
      <c r="Y1149" s="126"/>
    </row>
    <row r="1150">
      <c r="Y1150" s="126"/>
    </row>
    <row r="1151">
      <c r="Y1151" s="126"/>
    </row>
    <row r="1152">
      <c r="Y1152" s="126"/>
    </row>
    <row r="1153">
      <c r="Y1153" s="126"/>
    </row>
    <row r="1154">
      <c r="Y1154" s="126"/>
    </row>
    <row r="1155">
      <c r="Y1155" s="126"/>
    </row>
    <row r="1156">
      <c r="Y1156" s="126"/>
    </row>
    <row r="1157">
      <c r="Y1157" s="126"/>
    </row>
    <row r="1158">
      <c r="Y1158" s="126"/>
    </row>
    <row r="1159">
      <c r="Y1159" s="126"/>
    </row>
    <row r="1160">
      <c r="Y1160" s="126"/>
    </row>
    <row r="1161">
      <c r="Y1161" s="126"/>
    </row>
    <row r="1162">
      <c r="Y1162" s="126"/>
    </row>
    <row r="1163">
      <c r="Y1163" s="126"/>
    </row>
    <row r="1164">
      <c r="Y1164" s="126"/>
    </row>
    <row r="1165">
      <c r="Y1165" s="126"/>
    </row>
    <row r="1166">
      <c r="Y1166" s="126"/>
    </row>
    <row r="1167">
      <c r="Y1167" s="126"/>
    </row>
    <row r="1168">
      <c r="Y1168" s="126"/>
    </row>
    <row r="1169">
      <c r="Y1169" s="126"/>
    </row>
    <row r="1170">
      <c r="Y1170" s="126"/>
    </row>
    <row r="1171">
      <c r="Y1171" s="126"/>
    </row>
    <row r="1172">
      <c r="Y1172" s="126"/>
    </row>
    <row r="1173">
      <c r="Y1173" s="126"/>
    </row>
    <row r="1174">
      <c r="Y1174" s="126"/>
    </row>
    <row r="1175">
      <c r="Y1175" s="126"/>
    </row>
    <row r="1176">
      <c r="Y1176" s="126"/>
    </row>
    <row r="1177">
      <c r="Y1177" s="126"/>
    </row>
    <row r="1178">
      <c r="Y1178" s="126"/>
    </row>
    <row r="1179">
      <c r="Y1179" s="126"/>
    </row>
    <row r="1180">
      <c r="Y1180" s="126"/>
    </row>
    <row r="1181">
      <c r="Y1181" s="126"/>
    </row>
    <row r="1182">
      <c r="Y1182" s="126"/>
    </row>
    <row r="1183">
      <c r="Y1183" s="126"/>
    </row>
    <row r="1184">
      <c r="Y1184" s="126"/>
    </row>
    <row r="1185">
      <c r="Y1185" s="126"/>
    </row>
    <row r="1186">
      <c r="Y1186" s="126"/>
    </row>
    <row r="1187">
      <c r="Y1187" s="126"/>
    </row>
    <row r="1188">
      <c r="Y1188" s="126"/>
    </row>
    <row r="1189">
      <c r="Y1189" s="126"/>
    </row>
    <row r="1190">
      <c r="Y1190" s="126"/>
    </row>
    <row r="1191">
      <c r="Y1191" s="126"/>
    </row>
    <row r="1192">
      <c r="Y1192" s="126"/>
    </row>
    <row r="1193">
      <c r="Y1193" s="126"/>
    </row>
    <row r="1194">
      <c r="Y1194" s="126"/>
    </row>
    <row r="1195">
      <c r="Y1195" s="126"/>
    </row>
    <row r="1196">
      <c r="Y1196" s="126"/>
    </row>
    <row r="1197">
      <c r="Y1197" s="126"/>
    </row>
    <row r="1198">
      <c r="Y1198" s="126"/>
    </row>
    <row r="1199">
      <c r="Y1199" s="126"/>
    </row>
    <row r="1200">
      <c r="Y1200" s="126"/>
    </row>
    <row r="1201">
      <c r="Y1201" s="126"/>
    </row>
    <row r="1202">
      <c r="Y1202" s="126"/>
    </row>
    <row r="1203">
      <c r="Y1203" s="126"/>
    </row>
    <row r="1204">
      <c r="Y1204" s="126"/>
    </row>
    <row r="1205">
      <c r="Y1205" s="126"/>
    </row>
    <row r="1206">
      <c r="Y1206" s="126"/>
    </row>
    <row r="1207">
      <c r="Y1207" s="126"/>
    </row>
    <row r="1208">
      <c r="Y1208" s="126"/>
    </row>
    <row r="1209">
      <c r="Y1209" s="126"/>
    </row>
    <row r="1210">
      <c r="Y1210" s="126"/>
    </row>
    <row r="1211">
      <c r="Y1211" s="126"/>
    </row>
    <row r="1212">
      <c r="Y1212" s="126"/>
    </row>
    <row r="1213">
      <c r="Y1213" s="126"/>
    </row>
    <row r="1214">
      <c r="Y1214" s="126"/>
    </row>
    <row r="1215">
      <c r="Y1215" s="126"/>
    </row>
    <row r="1216">
      <c r="Y1216" s="126"/>
    </row>
    <row r="1217">
      <c r="Y1217" s="126"/>
    </row>
    <row r="1218">
      <c r="Y1218" s="126"/>
    </row>
    <row r="1219">
      <c r="Y1219" s="126"/>
    </row>
    <row r="1220">
      <c r="Y1220" s="126"/>
    </row>
    <row r="1221">
      <c r="Y1221" s="126"/>
    </row>
    <row r="1222">
      <c r="Y1222" s="126"/>
    </row>
    <row r="1223">
      <c r="Y1223" s="126"/>
    </row>
    <row r="1224">
      <c r="Y1224" s="126"/>
    </row>
    <row r="1225">
      <c r="Y1225" s="126"/>
    </row>
    <row r="1226">
      <c r="Y1226" s="126"/>
    </row>
    <row r="1227">
      <c r="Y1227" s="126"/>
    </row>
    <row r="1228">
      <c r="Y1228" s="126"/>
    </row>
    <row r="1229">
      <c r="Y1229" s="126"/>
    </row>
    <row r="1230">
      <c r="Y1230" s="126"/>
    </row>
    <row r="1231">
      <c r="Y1231" s="126"/>
    </row>
    <row r="1232">
      <c r="Y1232" s="126"/>
    </row>
    <row r="1233">
      <c r="Y1233" s="126"/>
    </row>
    <row r="1234">
      <c r="Y1234" s="126"/>
    </row>
    <row r="1235">
      <c r="Y1235" s="126"/>
    </row>
    <row r="1236">
      <c r="Y1236" s="126"/>
    </row>
    <row r="1237">
      <c r="Y1237" s="126"/>
    </row>
    <row r="1238">
      <c r="Y1238" s="126"/>
    </row>
    <row r="1239">
      <c r="Y1239" s="126"/>
    </row>
    <row r="1240">
      <c r="Y1240" s="126"/>
    </row>
    <row r="1241">
      <c r="Y1241" s="126"/>
    </row>
    <row r="1242">
      <c r="Y1242" s="126"/>
    </row>
    <row r="1243">
      <c r="Y1243" s="126"/>
    </row>
    <row r="1244">
      <c r="Y1244" s="126"/>
    </row>
    <row r="1245">
      <c r="Y1245" s="126"/>
    </row>
    <row r="1246">
      <c r="Y1246" s="126"/>
    </row>
    <row r="1247">
      <c r="Y1247" s="126"/>
    </row>
    <row r="1248">
      <c r="Y1248" s="126"/>
    </row>
    <row r="1249">
      <c r="Y1249" s="126"/>
    </row>
    <row r="1250">
      <c r="Y1250" s="126"/>
    </row>
    <row r="1251">
      <c r="Y1251" s="126"/>
    </row>
    <row r="1252">
      <c r="Y1252" s="126"/>
    </row>
    <row r="1253">
      <c r="Y1253" s="126"/>
    </row>
    <row r="1254">
      <c r="Y1254" s="126"/>
    </row>
    <row r="1255">
      <c r="Y1255" s="126"/>
    </row>
    <row r="1256">
      <c r="Y1256" s="126"/>
    </row>
    <row r="1257">
      <c r="Y1257" s="126"/>
    </row>
    <row r="1258">
      <c r="Y1258" s="126"/>
    </row>
    <row r="1259">
      <c r="Y1259" s="126"/>
    </row>
    <row r="1260">
      <c r="Y1260" s="126"/>
    </row>
    <row r="1261">
      <c r="Y1261" s="126"/>
    </row>
    <row r="1262">
      <c r="Y1262" s="126"/>
    </row>
    <row r="1263">
      <c r="Y1263" s="126"/>
    </row>
    <row r="1264">
      <c r="Y1264" s="126"/>
    </row>
    <row r="1265">
      <c r="Y1265" s="126"/>
    </row>
    <row r="1266">
      <c r="Y1266" s="126"/>
    </row>
    <row r="1267">
      <c r="Y1267" s="126"/>
    </row>
    <row r="1268">
      <c r="Y1268" s="126"/>
    </row>
    <row r="1269">
      <c r="Y1269" s="126"/>
    </row>
    <row r="1270">
      <c r="Y1270" s="126"/>
    </row>
    <row r="1271">
      <c r="Y1271" s="126"/>
    </row>
    <row r="1272">
      <c r="Y1272" s="126"/>
    </row>
    <row r="1273">
      <c r="Y1273" s="126"/>
    </row>
    <row r="1274">
      <c r="Y1274" s="126"/>
    </row>
    <row r="1275">
      <c r="Y1275" s="126"/>
    </row>
    <row r="1276">
      <c r="Y1276" s="126"/>
    </row>
    <row r="1277">
      <c r="Y1277" s="126"/>
    </row>
    <row r="1278">
      <c r="Y1278" s="126"/>
    </row>
    <row r="1279">
      <c r="Y1279" s="126"/>
    </row>
    <row r="1280">
      <c r="Y1280" s="126"/>
    </row>
    <row r="1281">
      <c r="Y1281" s="126"/>
    </row>
    <row r="1282">
      <c r="Y1282" s="126"/>
    </row>
    <row r="1283">
      <c r="Y1283" s="126"/>
    </row>
    <row r="1284">
      <c r="Y1284" s="126"/>
    </row>
    <row r="1285">
      <c r="Y1285" s="126"/>
    </row>
    <row r="1286">
      <c r="Y1286" s="126"/>
    </row>
    <row r="1287">
      <c r="Y1287" s="126"/>
    </row>
    <row r="1288">
      <c r="Y1288" s="126"/>
    </row>
    <row r="1289">
      <c r="Y1289" s="126"/>
    </row>
    <row r="1290">
      <c r="Y1290" s="126"/>
    </row>
    <row r="1291">
      <c r="Y1291" s="126"/>
    </row>
    <row r="1292">
      <c r="Y1292" s="126"/>
    </row>
    <row r="1293">
      <c r="Y1293" s="126"/>
    </row>
    <row r="1294">
      <c r="Y1294" s="126"/>
    </row>
    <row r="1295">
      <c r="Y1295" s="126"/>
    </row>
    <row r="1296">
      <c r="Y1296" s="126"/>
    </row>
    <row r="1297">
      <c r="Y1297" s="126"/>
    </row>
    <row r="1298">
      <c r="Y1298" s="126"/>
    </row>
    <row r="1299">
      <c r="Y1299" s="126"/>
    </row>
    <row r="1300">
      <c r="Y1300" s="126"/>
    </row>
    <row r="1301">
      <c r="Y1301" s="126"/>
    </row>
    <row r="1302">
      <c r="Y1302" s="126"/>
    </row>
    <row r="1303">
      <c r="Y1303" s="126"/>
    </row>
    <row r="1304">
      <c r="Y1304" s="126"/>
    </row>
    <row r="1305">
      <c r="Y1305" s="126"/>
    </row>
    <row r="1306">
      <c r="Y1306" s="126"/>
    </row>
    <row r="1307">
      <c r="Y1307" s="126"/>
    </row>
    <row r="1308">
      <c r="Y1308" s="126"/>
    </row>
    <row r="1309">
      <c r="Y1309" s="126"/>
    </row>
    <row r="1310">
      <c r="Y1310" s="126"/>
    </row>
    <row r="1311">
      <c r="Y1311" s="126"/>
    </row>
    <row r="1312">
      <c r="Y1312" s="126"/>
    </row>
    <row r="1313">
      <c r="Y1313" s="126"/>
    </row>
    <row r="1314">
      <c r="Y1314" s="126"/>
    </row>
    <row r="1315">
      <c r="Y1315" s="126"/>
    </row>
    <row r="1316">
      <c r="Y1316" s="126"/>
    </row>
    <row r="1317">
      <c r="Y1317" s="126"/>
    </row>
    <row r="1318">
      <c r="Y1318" s="126"/>
    </row>
    <row r="1319">
      <c r="Y1319" s="126"/>
    </row>
    <row r="1320">
      <c r="Y1320" s="126"/>
    </row>
    <row r="1321">
      <c r="Y1321" s="126"/>
    </row>
    <row r="1322">
      <c r="Y1322" s="126"/>
    </row>
    <row r="1323">
      <c r="Y1323" s="126"/>
    </row>
    <row r="1324">
      <c r="Y1324" s="126"/>
    </row>
    <row r="1325">
      <c r="Y1325" s="126"/>
    </row>
    <row r="1326">
      <c r="Y1326" s="126"/>
    </row>
    <row r="1327">
      <c r="Y1327" s="126"/>
    </row>
    <row r="1328">
      <c r="Y1328" s="126"/>
    </row>
    <row r="1329">
      <c r="Y1329" s="126"/>
    </row>
    <row r="1330">
      <c r="Y1330" s="126"/>
    </row>
    <row r="1331">
      <c r="Y1331" s="126"/>
    </row>
    <row r="1332">
      <c r="Y1332" s="126"/>
    </row>
    <row r="1333">
      <c r="Y1333" s="126"/>
    </row>
    <row r="1334">
      <c r="Y1334" s="126"/>
    </row>
    <row r="1335">
      <c r="Y1335" s="126"/>
    </row>
    <row r="1336">
      <c r="Y1336" s="126"/>
    </row>
    <row r="1337">
      <c r="Y1337" s="126"/>
    </row>
    <row r="1338">
      <c r="Y1338" s="126"/>
    </row>
    <row r="1339">
      <c r="Y1339" s="126"/>
    </row>
    <row r="1340">
      <c r="Y1340" s="126"/>
    </row>
    <row r="1341">
      <c r="Y1341" s="126"/>
    </row>
    <row r="1342">
      <c r="Y1342" s="126"/>
    </row>
    <row r="1343">
      <c r="Y1343" s="126"/>
    </row>
    <row r="1344">
      <c r="Y1344" s="126"/>
    </row>
    <row r="1345">
      <c r="Y1345" s="126"/>
    </row>
    <row r="1346">
      <c r="Y1346" s="126"/>
    </row>
    <row r="1347">
      <c r="Y1347" s="126"/>
    </row>
    <row r="1348">
      <c r="Y1348" s="126"/>
    </row>
    <row r="1349">
      <c r="Y1349" s="126"/>
    </row>
    <row r="1350">
      <c r="Y1350" s="126"/>
    </row>
    <row r="1351">
      <c r="Y1351" s="126"/>
    </row>
    <row r="1352">
      <c r="Y1352" s="126"/>
    </row>
    <row r="1353">
      <c r="Y1353" s="126"/>
    </row>
    <row r="1354">
      <c r="Y1354" s="126"/>
    </row>
    <row r="1355">
      <c r="Y1355" s="126"/>
    </row>
    <row r="1356">
      <c r="Y1356" s="126"/>
    </row>
    <row r="1357">
      <c r="Y1357" s="126"/>
    </row>
    <row r="1358">
      <c r="Y1358" s="126"/>
    </row>
    <row r="1359">
      <c r="Y1359" s="126"/>
    </row>
    <row r="1360">
      <c r="Y1360" s="126"/>
    </row>
    <row r="1361">
      <c r="Y1361" s="126"/>
    </row>
    <row r="1362">
      <c r="Y1362" s="126"/>
    </row>
    <row r="1363">
      <c r="Y1363" s="126"/>
    </row>
    <row r="1364">
      <c r="Y1364" s="126"/>
    </row>
    <row r="1365">
      <c r="Y1365" s="126"/>
    </row>
    <row r="1366">
      <c r="Y1366" s="126"/>
    </row>
    <row r="1367">
      <c r="Y1367" s="126"/>
    </row>
    <row r="1368">
      <c r="Y1368" s="126"/>
    </row>
    <row r="1369">
      <c r="Y1369" s="126"/>
    </row>
    <row r="1370">
      <c r="Y1370" s="126"/>
    </row>
    <row r="1371">
      <c r="Y1371" s="126"/>
    </row>
    <row r="1372">
      <c r="Y1372" s="126"/>
    </row>
    <row r="1373">
      <c r="Y1373" s="126"/>
    </row>
    <row r="1374">
      <c r="Y1374" s="126"/>
    </row>
    <row r="1375">
      <c r="Y1375" s="126"/>
    </row>
    <row r="1376">
      <c r="Y1376" s="126"/>
    </row>
    <row r="1377">
      <c r="Y1377" s="126"/>
    </row>
    <row r="1378">
      <c r="Y1378" s="126"/>
    </row>
    <row r="1379">
      <c r="Y1379" s="126"/>
    </row>
    <row r="1380">
      <c r="Y1380" s="126"/>
    </row>
    <row r="1381">
      <c r="Y1381" s="126"/>
    </row>
    <row r="1382">
      <c r="Y1382" s="126"/>
    </row>
    <row r="1383">
      <c r="Y1383" s="126"/>
    </row>
    <row r="1384">
      <c r="Y1384" s="126"/>
    </row>
    <row r="1385">
      <c r="Y1385" s="126"/>
    </row>
    <row r="1386">
      <c r="Y1386" s="126"/>
    </row>
    <row r="1387">
      <c r="Y1387" s="126"/>
    </row>
    <row r="1388">
      <c r="Y1388" s="126"/>
    </row>
    <row r="1389">
      <c r="Y1389" s="126"/>
    </row>
    <row r="1390">
      <c r="Y1390" s="126"/>
    </row>
    <row r="1391">
      <c r="Y1391" s="126"/>
    </row>
    <row r="1392">
      <c r="Y1392" s="126"/>
    </row>
    <row r="1393">
      <c r="Y1393" s="126"/>
    </row>
    <row r="1394">
      <c r="Y1394" s="126"/>
    </row>
    <row r="1395">
      <c r="Y1395" s="126"/>
    </row>
    <row r="1396">
      <c r="Y1396" s="126"/>
    </row>
    <row r="1397">
      <c r="Y1397" s="126"/>
    </row>
    <row r="1398">
      <c r="Y1398" s="126"/>
    </row>
    <row r="1399">
      <c r="Y1399" s="126"/>
    </row>
    <row r="1400">
      <c r="Y1400" s="126"/>
    </row>
    <row r="1401">
      <c r="Y1401" s="126"/>
    </row>
    <row r="1402">
      <c r="Y1402" s="126"/>
    </row>
    <row r="1403">
      <c r="Y1403" s="126"/>
    </row>
    <row r="1404">
      <c r="Y1404" s="126"/>
    </row>
  </sheetData>
  <conditionalFormatting sqref="B1:B1404">
    <cfRule type="expression" dxfId="1" priority="1">
      <formula>countif(B:B,B1)&gt;1</formula>
    </cfRule>
  </conditionalFormatting>
  <hyperlinks>
    <hyperlink r:id="rId1" ref="E80"/>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9.71"/>
    <col customWidth="1" min="2" max="16" width="21.57"/>
  </cols>
  <sheetData>
    <row r="1">
      <c r="A1" t="s">
        <v>58</v>
      </c>
      <c r="B1" s="116" t="s">
        <v>2894</v>
      </c>
      <c r="C1" s="116" t="s">
        <v>2896</v>
      </c>
      <c r="D1" s="116" t="s">
        <v>2898</v>
      </c>
      <c r="E1" s="116" t="s">
        <v>2900</v>
      </c>
      <c r="F1" s="116" t="s">
        <v>2901</v>
      </c>
      <c r="G1" s="116" t="s">
        <v>2902</v>
      </c>
      <c r="H1" s="116" t="s">
        <v>2904</v>
      </c>
      <c r="I1" s="116" t="s">
        <v>2905</v>
      </c>
      <c r="J1" s="116" t="s">
        <v>387</v>
      </c>
    </row>
    <row r="2">
      <c r="A2" s="154">
        <v>43446.62677905093</v>
      </c>
      <c r="B2" s="116" t="s">
        <v>117</v>
      </c>
      <c r="C2" s="116" t="s">
        <v>117</v>
      </c>
      <c r="D2" s="116" t="s">
        <v>117</v>
      </c>
      <c r="E2" s="116" t="s">
        <v>117</v>
      </c>
      <c r="F2" s="116" t="s">
        <v>117</v>
      </c>
      <c r="G2" s="116" t="s">
        <v>117</v>
      </c>
      <c r="H2" s="116" t="s">
        <v>562</v>
      </c>
      <c r="I2" s="155"/>
      <c r="J2" s="155"/>
    </row>
    <row r="3">
      <c r="A3" s="154">
        <v>43446.62907452547</v>
      </c>
      <c r="B3" s="116" t="s">
        <v>117</v>
      </c>
      <c r="C3" s="116" t="s">
        <v>117</v>
      </c>
      <c r="D3" s="116" t="s">
        <v>117</v>
      </c>
      <c r="E3" s="116" t="s">
        <v>117</v>
      </c>
      <c r="F3" s="116" t="s">
        <v>117</v>
      </c>
      <c r="G3" s="116" t="s">
        <v>117</v>
      </c>
      <c r="H3" s="116" t="s">
        <v>2914</v>
      </c>
      <c r="I3" s="155"/>
      <c r="J3" s="155"/>
    </row>
    <row r="4">
      <c r="A4" s="154">
        <v>43446.631300532405</v>
      </c>
      <c r="B4" s="116" t="s">
        <v>117</v>
      </c>
      <c r="C4" s="116" t="s">
        <v>117</v>
      </c>
      <c r="D4" s="116" t="s">
        <v>117</v>
      </c>
      <c r="E4" s="116" t="s">
        <v>117</v>
      </c>
      <c r="F4" s="116" t="s">
        <v>117</v>
      </c>
      <c r="G4" s="116" t="s">
        <v>117</v>
      </c>
      <c r="H4" s="116" t="s">
        <v>2918</v>
      </c>
      <c r="I4" s="155"/>
      <c r="J4" s="155"/>
    </row>
    <row r="5">
      <c r="A5" s="154">
        <v>43446.63245420139</v>
      </c>
      <c r="B5" s="116" t="s">
        <v>117</v>
      </c>
      <c r="C5" s="116" t="s">
        <v>117</v>
      </c>
      <c r="D5" s="116" t="s">
        <v>117</v>
      </c>
      <c r="E5" s="116" t="s">
        <v>117</v>
      </c>
      <c r="F5" s="116" t="s">
        <v>117</v>
      </c>
      <c r="G5" s="116" t="s">
        <v>117</v>
      </c>
      <c r="H5" s="116" t="s">
        <v>2923</v>
      </c>
      <c r="I5" s="155"/>
      <c r="J5" s="155"/>
    </row>
    <row r="6">
      <c r="A6" s="154">
        <v>43446.63413777778</v>
      </c>
      <c r="B6" s="116" t="s">
        <v>117</v>
      </c>
      <c r="C6" s="116" t="s">
        <v>117</v>
      </c>
      <c r="D6" s="116" t="s">
        <v>117</v>
      </c>
      <c r="E6" s="116" t="s">
        <v>117</v>
      </c>
      <c r="F6" s="116" t="s">
        <v>117</v>
      </c>
      <c r="G6" s="116" t="s">
        <v>117</v>
      </c>
      <c r="H6" s="116" t="s">
        <v>2925</v>
      </c>
      <c r="I6" s="155"/>
      <c r="J6" s="155"/>
    </row>
    <row r="7">
      <c r="A7" s="154">
        <v>43446.63591109954</v>
      </c>
      <c r="B7" s="116" t="s">
        <v>117</v>
      </c>
      <c r="C7" s="116" t="s">
        <v>117</v>
      </c>
      <c r="D7" s="116" t="s">
        <v>117</v>
      </c>
      <c r="E7" s="116" t="s">
        <v>117</v>
      </c>
      <c r="F7" s="116" t="s">
        <v>117</v>
      </c>
      <c r="G7" s="116" t="s">
        <v>117</v>
      </c>
      <c r="H7" s="116" t="s">
        <v>2930</v>
      </c>
      <c r="I7" s="155"/>
      <c r="J7" s="155"/>
    </row>
    <row r="8">
      <c r="A8" s="154">
        <v>43446.63707864583</v>
      </c>
      <c r="B8" s="116" t="s">
        <v>117</v>
      </c>
      <c r="C8" s="116" t="s">
        <v>117</v>
      </c>
      <c r="D8" s="116" t="s">
        <v>117</v>
      </c>
      <c r="E8" s="116" t="s">
        <v>117</v>
      </c>
      <c r="F8" s="116" t="s">
        <v>117</v>
      </c>
      <c r="G8" s="116" t="s">
        <v>117</v>
      </c>
      <c r="H8" s="116" t="s">
        <v>2932</v>
      </c>
      <c r="I8" s="155"/>
      <c r="J8" s="155"/>
    </row>
    <row r="9">
      <c r="A9" s="154">
        <v>43446.69779826389</v>
      </c>
      <c r="B9" s="116" t="s">
        <v>117</v>
      </c>
      <c r="C9" s="116" t="s">
        <v>117</v>
      </c>
      <c r="D9" s="116" t="s">
        <v>117</v>
      </c>
      <c r="E9" s="116" t="s">
        <v>117</v>
      </c>
      <c r="F9" s="116" t="s">
        <v>117</v>
      </c>
      <c r="G9" s="116" t="s">
        <v>117</v>
      </c>
      <c r="H9" s="116" t="s">
        <v>2935</v>
      </c>
      <c r="I9" s="155"/>
      <c r="J9" s="155"/>
    </row>
    <row r="10">
      <c r="A10" s="154">
        <v>43446.699898125</v>
      </c>
      <c r="B10" s="116" t="s">
        <v>117</v>
      </c>
      <c r="C10" s="116" t="s">
        <v>117</v>
      </c>
      <c r="D10" s="116" t="s">
        <v>117</v>
      </c>
      <c r="E10" s="116" t="s">
        <v>117</v>
      </c>
      <c r="F10" s="116" t="s">
        <v>117</v>
      </c>
      <c r="G10" s="116" t="s">
        <v>117</v>
      </c>
      <c r="H10" s="116" t="s">
        <v>2938</v>
      </c>
      <c r="I10" s="155"/>
      <c r="J10" s="155"/>
    </row>
    <row r="11">
      <c r="A11" s="154">
        <v>43447.669400300925</v>
      </c>
      <c r="B11" s="116" t="s">
        <v>117</v>
      </c>
      <c r="C11" s="116" t="s">
        <v>117</v>
      </c>
      <c r="D11" s="116" t="s">
        <v>117</v>
      </c>
      <c r="E11" s="116" t="s">
        <v>117</v>
      </c>
      <c r="F11" s="116" t="s">
        <v>117</v>
      </c>
      <c r="G11" s="116" t="s">
        <v>117</v>
      </c>
      <c r="H11" s="116" t="s">
        <v>2941</v>
      </c>
      <c r="I11" s="155"/>
      <c r="J11" s="155"/>
    </row>
    <row r="12">
      <c r="A12" s="154">
        <v>43447.69257778935</v>
      </c>
      <c r="B12" s="116" t="s">
        <v>117</v>
      </c>
      <c r="C12" s="116" t="s">
        <v>117</v>
      </c>
      <c r="D12" s="116" t="s">
        <v>117</v>
      </c>
      <c r="E12" s="116" t="s">
        <v>117</v>
      </c>
      <c r="F12" s="116" t="s">
        <v>117</v>
      </c>
      <c r="G12" s="116" t="s">
        <v>117</v>
      </c>
      <c r="H12" s="116" t="s">
        <v>117</v>
      </c>
      <c r="I12" s="155"/>
      <c r="J12" s="155"/>
    </row>
    <row r="13">
      <c r="A13" s="154">
        <v>43452.59458203704</v>
      </c>
      <c r="B13" s="116" t="s">
        <v>117</v>
      </c>
      <c r="C13" s="116" t="s">
        <v>117</v>
      </c>
      <c r="D13" s="116" t="s">
        <v>117</v>
      </c>
      <c r="E13" s="116" t="s">
        <v>117</v>
      </c>
      <c r="F13" s="116" t="s">
        <v>117</v>
      </c>
      <c r="G13" s="116" t="s">
        <v>117</v>
      </c>
      <c r="H13" s="116" t="s">
        <v>435</v>
      </c>
    </row>
    <row r="14">
      <c r="A14" s="154">
        <v>43452.654316064814</v>
      </c>
      <c r="B14" s="116" t="s">
        <v>117</v>
      </c>
      <c r="C14" s="116" t="s">
        <v>117</v>
      </c>
      <c r="D14" s="116" t="s">
        <v>117</v>
      </c>
      <c r="E14" s="116" t="s">
        <v>117</v>
      </c>
      <c r="F14" s="116" t="s">
        <v>117</v>
      </c>
      <c r="G14" s="116" t="s">
        <v>117</v>
      </c>
      <c r="H14" s="116" t="s">
        <v>509</v>
      </c>
    </row>
    <row r="15">
      <c r="A15" s="154">
        <v>43452.76578810185</v>
      </c>
      <c r="B15" s="116" t="s">
        <v>117</v>
      </c>
      <c r="C15" s="116" t="s">
        <v>117</v>
      </c>
      <c r="D15" s="116" t="s">
        <v>117</v>
      </c>
      <c r="E15" s="116" t="s">
        <v>117</v>
      </c>
      <c r="F15" s="116" t="s">
        <v>117</v>
      </c>
      <c r="G15" s="116" t="s">
        <v>117</v>
      </c>
      <c r="H15" s="116" t="s">
        <v>643</v>
      </c>
    </row>
    <row r="16">
      <c r="A16" s="154">
        <v>43452.87377723379</v>
      </c>
      <c r="B16" s="116" t="s">
        <v>117</v>
      </c>
      <c r="C16" s="116" t="s">
        <v>130</v>
      </c>
      <c r="D16" s="116" t="s">
        <v>117</v>
      </c>
      <c r="E16" s="116" t="s">
        <v>117</v>
      </c>
      <c r="F16" s="116" t="s">
        <v>117</v>
      </c>
      <c r="G16" s="116" t="s">
        <v>117</v>
      </c>
      <c r="H16" s="116" t="s">
        <v>2949</v>
      </c>
    </row>
    <row r="17">
      <c r="A17" s="154">
        <v>43578.71138594908</v>
      </c>
      <c r="B17" s="116" t="s">
        <v>117</v>
      </c>
      <c r="C17" s="116" t="s">
        <v>117</v>
      </c>
      <c r="D17" s="116" t="s">
        <v>117</v>
      </c>
      <c r="E17" s="116" t="s">
        <v>117</v>
      </c>
      <c r="F17" s="116" t="s">
        <v>117</v>
      </c>
      <c r="G17" s="116" t="s">
        <v>117</v>
      </c>
      <c r="H17" s="116" t="s">
        <v>421</v>
      </c>
    </row>
    <row r="18">
      <c r="A18" s="154">
        <v>43578.711775324075</v>
      </c>
      <c r="B18" s="116" t="s">
        <v>117</v>
      </c>
      <c r="C18" s="116" t="s">
        <v>117</v>
      </c>
      <c r="D18" s="116" t="s">
        <v>117</v>
      </c>
      <c r="E18" s="116" t="s">
        <v>117</v>
      </c>
      <c r="F18" s="116" t="s">
        <v>117</v>
      </c>
      <c r="G18" s="116" t="s">
        <v>117</v>
      </c>
      <c r="H18" s="116" t="s">
        <v>470</v>
      </c>
    </row>
    <row r="19">
      <c r="A19" s="154">
        <v>43578.732538738426</v>
      </c>
      <c r="B19" s="116" t="s">
        <v>117</v>
      </c>
      <c r="C19" s="116" t="s">
        <v>117</v>
      </c>
      <c r="D19" s="116" t="s">
        <v>117</v>
      </c>
      <c r="E19" s="116" t="s">
        <v>117</v>
      </c>
      <c r="F19" s="116" t="s">
        <v>117</v>
      </c>
      <c r="G19" s="116" t="s">
        <v>117</v>
      </c>
      <c r="H19" s="116" t="s">
        <v>489</v>
      </c>
    </row>
    <row r="20">
      <c r="A20" s="154">
        <v>43578.76346618056</v>
      </c>
      <c r="B20" s="116" t="s">
        <v>117</v>
      </c>
      <c r="C20" s="116" t="s">
        <v>117</v>
      </c>
      <c r="D20" s="116" t="s">
        <v>117</v>
      </c>
      <c r="E20" s="116" t="s">
        <v>117</v>
      </c>
      <c r="F20" s="116" t="s">
        <v>117</v>
      </c>
      <c r="G20" s="116" t="s">
        <v>117</v>
      </c>
      <c r="H20" s="116" t="s">
        <v>2960</v>
      </c>
    </row>
    <row r="21">
      <c r="A21" s="154">
        <v>43585.552765138884</v>
      </c>
      <c r="B21" s="116" t="s">
        <v>117</v>
      </c>
      <c r="C21" s="116" t="s">
        <v>117</v>
      </c>
      <c r="D21" s="116" t="s">
        <v>117</v>
      </c>
      <c r="E21" s="116" t="s">
        <v>117</v>
      </c>
      <c r="F21" s="116" t="s">
        <v>117</v>
      </c>
      <c r="G21" s="116" t="s">
        <v>117</v>
      </c>
      <c r="H21" s="116" t="s">
        <v>2963</v>
      </c>
    </row>
    <row r="22">
      <c r="A22" s="154">
        <v>43585.65788024306</v>
      </c>
      <c r="B22" s="116" t="s">
        <v>117</v>
      </c>
      <c r="C22" s="116" t="s">
        <v>117</v>
      </c>
      <c r="D22" s="116" t="s">
        <v>117</v>
      </c>
      <c r="E22" s="116" t="s">
        <v>117</v>
      </c>
      <c r="F22" s="116" t="s">
        <v>117</v>
      </c>
      <c r="G22" s="116" t="s">
        <v>117</v>
      </c>
      <c r="H22" s="116" t="s">
        <v>1098</v>
      </c>
    </row>
    <row r="23">
      <c r="A23" s="154">
        <v>43586.584147789355</v>
      </c>
      <c r="B23" s="116" t="s">
        <v>117</v>
      </c>
      <c r="C23" s="116" t="s">
        <v>117</v>
      </c>
      <c r="D23" s="116" t="s">
        <v>117</v>
      </c>
      <c r="E23" s="116" t="s">
        <v>117</v>
      </c>
      <c r="F23" s="116" t="s">
        <v>117</v>
      </c>
      <c r="G23" s="116" t="s">
        <v>117</v>
      </c>
      <c r="H23" s="116" t="s">
        <v>1343</v>
      </c>
    </row>
    <row r="24">
      <c r="A24" s="154">
        <v>43587.16917846065</v>
      </c>
      <c r="B24" s="116" t="s">
        <v>117</v>
      </c>
      <c r="C24" s="116" t="s">
        <v>117</v>
      </c>
      <c r="D24" s="116" t="s">
        <v>117</v>
      </c>
      <c r="E24" s="116" t="s">
        <v>117</v>
      </c>
      <c r="F24" s="116" t="s">
        <v>117</v>
      </c>
      <c r="G24" s="116" t="s">
        <v>117</v>
      </c>
      <c r="H24" s="116" t="s">
        <v>503</v>
      </c>
    </row>
    <row r="25">
      <c r="A25" s="154">
        <v>43588.377019328706</v>
      </c>
      <c r="B25" s="116" t="s">
        <v>117</v>
      </c>
      <c r="C25" s="116" t="s">
        <v>117</v>
      </c>
      <c r="D25" s="116" t="s">
        <v>117</v>
      </c>
      <c r="E25" s="116" t="s">
        <v>117</v>
      </c>
      <c r="F25" s="116" t="s">
        <v>117</v>
      </c>
      <c r="G25" s="116" t="s">
        <v>117</v>
      </c>
      <c r="H25" s="116" t="s">
        <v>1482</v>
      </c>
    </row>
    <row r="26">
      <c r="A26" s="154">
        <v>43588.417145810185</v>
      </c>
      <c r="B26" s="116" t="s">
        <v>117</v>
      </c>
      <c r="C26" s="116" t="s">
        <v>117</v>
      </c>
      <c r="D26" s="116" t="s">
        <v>117</v>
      </c>
      <c r="E26" s="116" t="s">
        <v>117</v>
      </c>
      <c r="F26" s="116" t="s">
        <v>117</v>
      </c>
      <c r="G26" s="116" t="s">
        <v>117</v>
      </c>
      <c r="H26" s="116" t="s">
        <v>470</v>
      </c>
    </row>
    <row r="27">
      <c r="A27" s="154">
        <v>43592.48856376157</v>
      </c>
      <c r="B27" s="116" t="s">
        <v>117</v>
      </c>
      <c r="C27" s="116" t="s">
        <v>117</v>
      </c>
      <c r="D27" s="116" t="s">
        <v>117</v>
      </c>
      <c r="E27" s="116" t="s">
        <v>117</v>
      </c>
      <c r="F27" s="116" t="s">
        <v>117</v>
      </c>
      <c r="G27" s="116" t="s">
        <v>117</v>
      </c>
      <c r="H27" s="116" t="s">
        <v>2976</v>
      </c>
    </row>
    <row r="28">
      <c r="A28" s="154">
        <v>43609.62103260416</v>
      </c>
      <c r="B28" s="116" t="s">
        <v>117</v>
      </c>
      <c r="C28" s="116" t="s">
        <v>117</v>
      </c>
      <c r="D28" s="116" t="s">
        <v>117</v>
      </c>
      <c r="E28" s="116" t="s">
        <v>117</v>
      </c>
      <c r="F28" s="116" t="s">
        <v>117</v>
      </c>
      <c r="G28" s="116" t="s">
        <v>117</v>
      </c>
      <c r="H28" s="116" t="s">
        <v>592</v>
      </c>
    </row>
    <row r="29">
      <c r="A29" s="154">
        <v>43616.689492060184</v>
      </c>
      <c r="B29" s="116" t="s">
        <v>117</v>
      </c>
      <c r="C29" s="116" t="s">
        <v>117</v>
      </c>
      <c r="D29" s="116" t="s">
        <v>117</v>
      </c>
      <c r="E29" s="116" t="s">
        <v>117</v>
      </c>
      <c r="F29" s="116" t="s">
        <v>117</v>
      </c>
      <c r="G29" s="116" t="s">
        <v>117</v>
      </c>
      <c r="H29" s="116" t="s">
        <v>1328</v>
      </c>
    </row>
    <row r="30">
      <c r="A30" s="154">
        <v>43619.8697678125</v>
      </c>
      <c r="B30" s="116" t="s">
        <v>117</v>
      </c>
      <c r="C30" s="116" t="s">
        <v>117</v>
      </c>
      <c r="D30" s="116" t="s">
        <v>117</v>
      </c>
      <c r="E30" s="116" t="s">
        <v>117</v>
      </c>
      <c r="F30" s="116" t="s">
        <v>117</v>
      </c>
      <c r="G30" s="116" t="s">
        <v>117</v>
      </c>
      <c r="H30" s="116" t="s">
        <v>1234</v>
      </c>
    </row>
    <row r="31">
      <c r="A31" s="154">
        <v>43619.96142047454</v>
      </c>
      <c r="B31" s="116" t="s">
        <v>117</v>
      </c>
      <c r="C31" s="116" t="s">
        <v>117</v>
      </c>
      <c r="D31" s="116" t="s">
        <v>117</v>
      </c>
      <c r="E31" s="116" t="s">
        <v>117</v>
      </c>
      <c r="F31" s="116" t="s">
        <v>117</v>
      </c>
      <c r="G31" s="116" t="s">
        <v>117</v>
      </c>
      <c r="H31" s="116" t="s">
        <v>1064</v>
      </c>
    </row>
    <row r="32">
      <c r="A32" s="154">
        <v>43670.14370570602</v>
      </c>
      <c r="B32" s="116" t="s">
        <v>117</v>
      </c>
      <c r="C32" s="116" t="s">
        <v>117</v>
      </c>
      <c r="D32" s="116" t="s">
        <v>117</v>
      </c>
      <c r="E32" s="116" t="s">
        <v>117</v>
      </c>
      <c r="F32" s="116" t="s">
        <v>117</v>
      </c>
      <c r="G32" s="116" t="s">
        <v>117</v>
      </c>
      <c r="H32" s="116" t="s">
        <v>1711</v>
      </c>
    </row>
    <row r="33">
      <c r="A33" s="154">
        <v>43692.67830410879</v>
      </c>
      <c r="B33" s="116" t="s">
        <v>117</v>
      </c>
      <c r="C33" s="116" t="s">
        <v>117</v>
      </c>
      <c r="D33" s="116" t="s">
        <v>117</v>
      </c>
      <c r="E33" s="116" t="s">
        <v>117</v>
      </c>
      <c r="F33" s="116" t="s">
        <v>117</v>
      </c>
      <c r="G33" s="116" t="s">
        <v>117</v>
      </c>
      <c r="H33" s="116" t="s">
        <v>1951</v>
      </c>
    </row>
    <row r="34">
      <c r="A34" s="154">
        <v>43692.69786398148</v>
      </c>
      <c r="B34" s="116" t="s">
        <v>117</v>
      </c>
      <c r="C34" s="116" t="s">
        <v>117</v>
      </c>
      <c r="D34" s="116" t="s">
        <v>117</v>
      </c>
      <c r="E34" s="116" t="s">
        <v>117</v>
      </c>
      <c r="F34" s="116" t="s">
        <v>117</v>
      </c>
      <c r="G34" s="116" t="s">
        <v>117</v>
      </c>
      <c r="H34" s="116" t="s">
        <v>1872</v>
      </c>
    </row>
    <row r="35">
      <c r="A35" s="154">
        <v>43692.701648738424</v>
      </c>
      <c r="B35" s="116" t="s">
        <v>117</v>
      </c>
      <c r="C35" s="116" t="s">
        <v>117</v>
      </c>
      <c r="D35" s="116" t="s">
        <v>117</v>
      </c>
      <c r="E35" s="116" t="s">
        <v>117</v>
      </c>
      <c r="F35" s="116" t="s">
        <v>117</v>
      </c>
      <c r="G35" s="116" t="s">
        <v>117</v>
      </c>
      <c r="H35" s="116" t="s">
        <v>1621</v>
      </c>
    </row>
    <row r="36">
      <c r="A36" s="154">
        <v>43692.75934019676</v>
      </c>
      <c r="B36" s="116" t="s">
        <v>117</v>
      </c>
      <c r="C36" s="116" t="s">
        <v>117</v>
      </c>
      <c r="D36" s="116" t="s">
        <v>117</v>
      </c>
      <c r="E36" s="116" t="s">
        <v>117</v>
      </c>
      <c r="F36" s="116" t="s">
        <v>117</v>
      </c>
      <c r="G36" s="116" t="s">
        <v>117</v>
      </c>
      <c r="H36" s="116" t="s">
        <v>2130</v>
      </c>
    </row>
    <row r="37">
      <c r="A37" s="154">
        <v>43693.35946533565</v>
      </c>
      <c r="B37" s="116" t="s">
        <v>117</v>
      </c>
      <c r="C37" s="116" t="s">
        <v>117</v>
      </c>
      <c r="D37" s="116" t="s">
        <v>117</v>
      </c>
      <c r="E37" s="116" t="s">
        <v>117</v>
      </c>
      <c r="F37" s="116" t="s">
        <v>117</v>
      </c>
      <c r="G37" s="116" t="s">
        <v>117</v>
      </c>
      <c r="H37" s="116" t="s">
        <v>3005</v>
      </c>
    </row>
    <row r="38">
      <c r="A38" s="154">
        <v>43693.37116692129</v>
      </c>
      <c r="B38" s="116" t="s">
        <v>117</v>
      </c>
      <c r="C38" s="116" t="s">
        <v>117</v>
      </c>
      <c r="D38" s="116" t="s">
        <v>117</v>
      </c>
      <c r="E38" s="116" t="s">
        <v>117</v>
      </c>
      <c r="F38" s="116" t="s">
        <v>117</v>
      </c>
      <c r="G38" s="116" t="s">
        <v>117</v>
      </c>
      <c r="H38" s="116" t="s">
        <v>1941</v>
      </c>
    </row>
    <row r="39">
      <c r="A39" s="154">
        <v>43693.51040568287</v>
      </c>
      <c r="B39" s="116" t="s">
        <v>117</v>
      </c>
      <c r="C39" s="116" t="s">
        <v>117</v>
      </c>
      <c r="D39" s="116" t="s">
        <v>117</v>
      </c>
      <c r="E39" s="116" t="s">
        <v>117</v>
      </c>
      <c r="F39" s="116" t="s">
        <v>117</v>
      </c>
      <c r="G39" s="116" t="s">
        <v>117</v>
      </c>
      <c r="H39" s="116" t="s">
        <v>3013</v>
      </c>
    </row>
    <row r="40">
      <c r="A40" s="154">
        <v>43693.5191621875</v>
      </c>
      <c r="B40" s="116" t="s">
        <v>117</v>
      </c>
      <c r="C40" s="116" t="s">
        <v>117</v>
      </c>
      <c r="D40" s="116" t="s">
        <v>117</v>
      </c>
      <c r="E40" s="116" t="s">
        <v>117</v>
      </c>
      <c r="F40" s="116" t="s">
        <v>117</v>
      </c>
      <c r="G40" s="116" t="s">
        <v>117</v>
      </c>
      <c r="H40" s="116" t="s">
        <v>1702</v>
      </c>
    </row>
    <row r="41">
      <c r="A41" s="154">
        <v>43727.487001898146</v>
      </c>
      <c r="B41" s="116" t="s">
        <v>117</v>
      </c>
      <c r="C41" s="116" t="s">
        <v>117</v>
      </c>
      <c r="D41" s="116" t="s">
        <v>117</v>
      </c>
      <c r="E41" s="116" t="s">
        <v>117</v>
      </c>
      <c r="F41" s="116" t="s">
        <v>117</v>
      </c>
      <c r="G41" s="116" t="s">
        <v>117</v>
      </c>
      <c r="H41" s="116" t="s">
        <v>3023</v>
      </c>
    </row>
    <row r="42">
      <c r="A42" s="154">
        <v>43755.64912555556</v>
      </c>
      <c r="B42" s="116" t="s">
        <v>117</v>
      </c>
      <c r="C42" s="116" t="s">
        <v>117</v>
      </c>
      <c r="D42" s="116" t="s">
        <v>117</v>
      </c>
      <c r="E42" s="116" t="s">
        <v>117</v>
      </c>
      <c r="F42" s="116" t="s">
        <v>117</v>
      </c>
      <c r="G42" s="116" t="s">
        <v>117</v>
      </c>
      <c r="H42" s="116" t="s">
        <v>1382</v>
      </c>
    </row>
    <row r="43">
      <c r="A43" s="154">
        <v>43846.68129896991</v>
      </c>
      <c r="B43" s="116" t="s">
        <v>117</v>
      </c>
      <c r="C43" s="116" t="s">
        <v>117</v>
      </c>
      <c r="D43" s="116" t="s">
        <v>117</v>
      </c>
      <c r="E43" s="116" t="s">
        <v>117</v>
      </c>
      <c r="F43" s="116" t="s">
        <v>117</v>
      </c>
      <c r="G43" s="116" t="s">
        <v>117</v>
      </c>
      <c r="H43" s="116" t="s">
        <v>3031</v>
      </c>
    </row>
    <row r="44">
      <c r="A44" s="154">
        <v>43846.772450578705</v>
      </c>
      <c r="B44" s="116" t="s">
        <v>117</v>
      </c>
      <c r="C44" s="116" t="s">
        <v>117</v>
      </c>
      <c r="D44" s="116" t="s">
        <v>117</v>
      </c>
      <c r="E44" s="116" t="s">
        <v>117</v>
      </c>
      <c r="F44" s="116" t="s">
        <v>117</v>
      </c>
      <c r="G44" s="116" t="s">
        <v>117</v>
      </c>
      <c r="H44" s="116" t="s">
        <v>290</v>
      </c>
    </row>
    <row r="45">
      <c r="A45" s="154">
        <v>43846.796634791666</v>
      </c>
      <c r="B45" s="116" t="s">
        <v>117</v>
      </c>
      <c r="C45" s="116" t="s">
        <v>117</v>
      </c>
      <c r="D45" s="116" t="s">
        <v>117</v>
      </c>
      <c r="E45" s="116" t="s">
        <v>117</v>
      </c>
      <c r="F45" s="116" t="s">
        <v>117</v>
      </c>
      <c r="G45" s="116" t="s">
        <v>117</v>
      </c>
      <c r="H45" s="116" t="s">
        <v>2950</v>
      </c>
    </row>
    <row r="46">
      <c r="A46" s="154">
        <v>43847.25339388889</v>
      </c>
      <c r="B46" s="116" t="s">
        <v>117</v>
      </c>
      <c r="C46" s="116" t="s">
        <v>117</v>
      </c>
      <c r="D46" s="116" t="s">
        <v>117</v>
      </c>
      <c r="E46" s="116" t="s">
        <v>117</v>
      </c>
      <c r="F46" s="116" t="s">
        <v>117</v>
      </c>
      <c r="G46" s="116" t="s">
        <v>117</v>
      </c>
      <c r="H46" s="116" t="s">
        <v>2770</v>
      </c>
    </row>
    <row r="47">
      <c r="A47" s="154">
        <v>43847.32013474537</v>
      </c>
      <c r="B47" s="116" t="s">
        <v>117</v>
      </c>
      <c r="C47" s="116" t="s">
        <v>117</v>
      </c>
      <c r="D47" s="116" t="s">
        <v>117</v>
      </c>
      <c r="E47" s="116" t="s">
        <v>117</v>
      </c>
      <c r="F47" s="116" t="s">
        <v>117</v>
      </c>
      <c r="G47" s="116" t="s">
        <v>117</v>
      </c>
      <c r="H47" s="116" t="s">
        <v>2850</v>
      </c>
    </row>
    <row r="48">
      <c r="A48" s="154">
        <v>43847.50849502315</v>
      </c>
      <c r="B48" s="116" t="s">
        <v>117</v>
      </c>
      <c r="C48" s="116" t="s">
        <v>117</v>
      </c>
      <c r="D48" s="116" t="s">
        <v>117</v>
      </c>
      <c r="E48" s="116" t="s">
        <v>117</v>
      </c>
      <c r="F48" s="116" t="s">
        <v>117</v>
      </c>
      <c r="G48" s="116" t="s">
        <v>117</v>
      </c>
      <c r="H48" s="116" t="s">
        <v>3040</v>
      </c>
    </row>
    <row r="49">
      <c r="A49" s="154">
        <v>43847.67273668981</v>
      </c>
      <c r="B49" s="116" t="s">
        <v>117</v>
      </c>
      <c r="C49" s="116" t="s">
        <v>117</v>
      </c>
      <c r="D49" s="116" t="s">
        <v>117</v>
      </c>
      <c r="E49" s="116" t="s">
        <v>117</v>
      </c>
      <c r="F49" s="116" t="s">
        <v>117</v>
      </c>
      <c r="G49" s="116" t="s">
        <v>117</v>
      </c>
      <c r="H49" s="116" t="s">
        <v>1315</v>
      </c>
    </row>
    <row r="50">
      <c r="A50" s="154">
        <v>43847.82472682871</v>
      </c>
      <c r="B50" s="116" t="s">
        <v>117</v>
      </c>
      <c r="C50" s="116" t="s">
        <v>117</v>
      </c>
      <c r="D50" s="116" t="s">
        <v>117</v>
      </c>
      <c r="E50" s="116" t="s">
        <v>117</v>
      </c>
      <c r="F50" s="116" t="s">
        <v>117</v>
      </c>
      <c r="G50" s="116" t="s">
        <v>117</v>
      </c>
      <c r="H50" s="116" t="s">
        <v>3046</v>
      </c>
    </row>
    <row r="51">
      <c r="A51" s="154">
        <v>43849.53606846065</v>
      </c>
      <c r="B51" s="116" t="s">
        <v>117</v>
      </c>
      <c r="C51" s="116" t="s">
        <v>117</v>
      </c>
      <c r="D51" s="116" t="s">
        <v>117</v>
      </c>
      <c r="E51" s="116" t="s">
        <v>117</v>
      </c>
      <c r="F51" s="116" t="s">
        <v>117</v>
      </c>
      <c r="G51" s="116" t="s">
        <v>117</v>
      </c>
      <c r="H51" s="116" t="s">
        <v>3051</v>
      </c>
    </row>
    <row r="52">
      <c r="A52" s="154">
        <v>43849.85318614583</v>
      </c>
      <c r="B52" s="116" t="s">
        <v>117</v>
      </c>
      <c r="C52" s="116" t="s">
        <v>117</v>
      </c>
      <c r="D52" s="116" t="s">
        <v>117</v>
      </c>
      <c r="E52" s="116" t="s">
        <v>117</v>
      </c>
      <c r="F52" s="116" t="s">
        <v>117</v>
      </c>
      <c r="G52" s="116" t="s">
        <v>117</v>
      </c>
      <c r="H52" s="116" t="s">
        <v>3055</v>
      </c>
    </row>
    <row r="53">
      <c r="A53" s="154">
        <v>43851.3275359375</v>
      </c>
      <c r="B53" s="116" t="s">
        <v>117</v>
      </c>
      <c r="C53" s="116" t="s">
        <v>117</v>
      </c>
      <c r="D53" s="116" t="s">
        <v>117</v>
      </c>
      <c r="E53" s="116" t="s">
        <v>117</v>
      </c>
      <c r="F53" s="116" t="s">
        <v>117</v>
      </c>
      <c r="G53" s="116" t="s">
        <v>117</v>
      </c>
      <c r="H53" s="116" t="s">
        <v>2744</v>
      </c>
    </row>
    <row r="54">
      <c r="A54" s="154">
        <v>43851.33091240741</v>
      </c>
      <c r="B54" s="116" t="s">
        <v>117</v>
      </c>
      <c r="C54" s="116" t="s">
        <v>117</v>
      </c>
      <c r="D54" s="116" t="s">
        <v>117</v>
      </c>
      <c r="E54" s="116" t="s">
        <v>117</v>
      </c>
      <c r="F54" s="116" t="s">
        <v>130</v>
      </c>
      <c r="G54" s="116" t="s">
        <v>117</v>
      </c>
      <c r="H54" s="116" t="s">
        <v>3061</v>
      </c>
    </row>
    <row r="55">
      <c r="A55" s="154">
        <v>43852.54922920139</v>
      </c>
      <c r="B55" s="116" t="s">
        <v>117</v>
      </c>
      <c r="C55" s="116" t="s">
        <v>117</v>
      </c>
      <c r="D55" s="116" t="s">
        <v>117</v>
      </c>
      <c r="E55" s="116" t="s">
        <v>117</v>
      </c>
      <c r="F55" s="116" t="s">
        <v>117</v>
      </c>
      <c r="G55" s="116" t="s">
        <v>117</v>
      </c>
      <c r="H55" s="116" t="s">
        <v>3065</v>
      </c>
    </row>
    <row r="56">
      <c r="A56" s="154">
        <v>43853.19108815972</v>
      </c>
      <c r="B56" s="116" t="s">
        <v>117</v>
      </c>
      <c r="C56" s="116" t="s">
        <v>117</v>
      </c>
      <c r="D56" s="116" t="s">
        <v>117</v>
      </c>
      <c r="E56" s="116" t="s">
        <v>117</v>
      </c>
      <c r="F56" s="116" t="s">
        <v>117</v>
      </c>
      <c r="G56" s="116" t="s">
        <v>117</v>
      </c>
      <c r="H56" s="116" t="s">
        <v>3068</v>
      </c>
    </row>
    <row r="57">
      <c r="A57" s="154">
        <v>43853.48103869213</v>
      </c>
      <c r="B57" s="116" t="s">
        <v>117</v>
      </c>
      <c r="C57" s="116" t="s">
        <v>117</v>
      </c>
      <c r="D57" s="116" t="s">
        <v>117</v>
      </c>
      <c r="E57" s="116" t="s">
        <v>117</v>
      </c>
      <c r="F57" s="116" t="s">
        <v>117</v>
      </c>
      <c r="G57" s="116" t="s">
        <v>117</v>
      </c>
      <c r="H57" s="116" t="s">
        <v>3071</v>
      </c>
    </row>
    <row r="58">
      <c r="A58" s="154">
        <v>43858.20131579861</v>
      </c>
      <c r="B58" s="116" t="s">
        <v>117</v>
      </c>
      <c r="C58" s="116" t="s">
        <v>117</v>
      </c>
      <c r="D58" s="116" t="s">
        <v>117</v>
      </c>
      <c r="E58" s="116" t="s">
        <v>117</v>
      </c>
      <c r="F58" s="116" t="s">
        <v>117</v>
      </c>
      <c r="G58" s="116" t="s">
        <v>117</v>
      </c>
      <c r="H58" s="116" t="s">
        <v>3072</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1" width="21.57"/>
  </cols>
  <sheetData>
    <row r="1">
      <c r="A1" t="s">
        <v>58</v>
      </c>
      <c r="B1" s="116" t="s">
        <v>3073</v>
      </c>
      <c r="C1" s="116" t="s">
        <v>3074</v>
      </c>
      <c r="D1" s="116" t="s">
        <v>3075</v>
      </c>
      <c r="E1" s="116" t="s">
        <v>3076</v>
      </c>
    </row>
    <row r="2">
      <c r="A2" s="154">
        <v>43454.33938903935</v>
      </c>
      <c r="B2" s="116" t="s">
        <v>117</v>
      </c>
      <c r="C2" s="116" t="s">
        <v>117</v>
      </c>
      <c r="D2" s="116" t="s">
        <v>675</v>
      </c>
      <c r="E2" s="116" t="s">
        <v>3077</v>
      </c>
    </row>
    <row r="3">
      <c r="A3" s="154">
        <v>43454.46055502315</v>
      </c>
      <c r="B3" s="116" t="s">
        <v>117</v>
      </c>
      <c r="C3" s="116" t="s">
        <v>117</v>
      </c>
      <c r="D3" s="116" t="s">
        <v>658</v>
      </c>
      <c r="E3" s="116" t="s">
        <v>3077</v>
      </c>
    </row>
    <row r="4">
      <c r="A4" s="154">
        <v>43458.5481325463</v>
      </c>
      <c r="B4" s="116" t="s">
        <v>117</v>
      </c>
      <c r="C4" s="116" t="s">
        <v>117</v>
      </c>
      <c r="D4" s="116" t="s">
        <v>664</v>
      </c>
      <c r="E4" s="173" t="s">
        <v>3078</v>
      </c>
    </row>
    <row r="5">
      <c r="A5" s="154">
        <v>43468.989018900465</v>
      </c>
      <c r="B5" s="116" t="s">
        <v>117</v>
      </c>
      <c r="C5" s="116" t="s">
        <v>117</v>
      </c>
      <c r="D5" s="116" t="s">
        <v>669</v>
      </c>
      <c r="E5" s="173" t="s">
        <v>3079</v>
      </c>
    </row>
    <row r="6">
      <c r="A6" s="154">
        <v>43473.42547134259</v>
      </c>
      <c r="B6" s="116" t="s">
        <v>117</v>
      </c>
      <c r="C6" s="116" t="s">
        <v>117</v>
      </c>
      <c r="D6" s="116" t="s">
        <v>649</v>
      </c>
      <c r="E6" s="173" t="s">
        <v>3080</v>
      </c>
    </row>
    <row r="7">
      <c r="A7" s="154">
        <v>43473.49965528936</v>
      </c>
      <c r="B7" s="116" t="s">
        <v>117</v>
      </c>
      <c r="C7" s="116" t="s">
        <v>117</v>
      </c>
      <c r="D7" s="116" t="s">
        <v>3081</v>
      </c>
      <c r="E7" s="173" t="s">
        <v>3080</v>
      </c>
    </row>
    <row r="8">
      <c r="A8" s="154">
        <v>43504.566812812496</v>
      </c>
      <c r="B8" s="116" t="s">
        <v>117</v>
      </c>
      <c r="C8" s="116" t="s">
        <v>117</v>
      </c>
      <c r="D8" s="116" t="s">
        <v>3082</v>
      </c>
      <c r="E8" s="173" t="s">
        <v>3083</v>
      </c>
    </row>
    <row r="9">
      <c r="A9" s="154">
        <v>43584.51845253472</v>
      </c>
      <c r="B9" s="116" t="s">
        <v>117</v>
      </c>
      <c r="C9" s="116" t="s">
        <v>117</v>
      </c>
      <c r="D9" s="116" t="s">
        <v>1309</v>
      </c>
      <c r="E9" s="173" t="s">
        <v>3084</v>
      </c>
    </row>
    <row r="10">
      <c r="A10" s="154">
        <v>43585.55783424768</v>
      </c>
      <c r="B10" s="116" t="s">
        <v>117</v>
      </c>
      <c r="C10" s="116" t="s">
        <v>117</v>
      </c>
      <c r="D10" s="116" t="s">
        <v>3085</v>
      </c>
      <c r="E10" s="173" t="s">
        <v>3086</v>
      </c>
    </row>
    <row r="11">
      <c r="A11" s="154">
        <v>43593.54579412037</v>
      </c>
      <c r="B11" s="116" t="s">
        <v>117</v>
      </c>
      <c r="C11" s="116" t="s">
        <v>117</v>
      </c>
      <c r="D11" s="116" t="s">
        <v>845</v>
      </c>
      <c r="E11" s="173" t="s">
        <v>3087</v>
      </c>
    </row>
    <row r="12">
      <c r="A12" s="154">
        <v>43718.44045336806</v>
      </c>
      <c r="B12" s="116" t="s">
        <v>117</v>
      </c>
      <c r="C12" s="116" t="s">
        <v>117</v>
      </c>
      <c r="D12" s="116" t="s">
        <v>2162</v>
      </c>
      <c r="E12" s="173" t="s">
        <v>3088</v>
      </c>
    </row>
    <row r="13">
      <c r="A13" s="154">
        <v>43718.478234016206</v>
      </c>
      <c r="B13" s="116" t="s">
        <v>117</v>
      </c>
      <c r="C13" s="116" t="s">
        <v>117</v>
      </c>
      <c r="D13" s="116" t="s">
        <v>1941</v>
      </c>
      <c r="E13" s="173" t="s">
        <v>3089</v>
      </c>
    </row>
    <row r="14">
      <c r="A14" s="154">
        <v>43718.692504942126</v>
      </c>
      <c r="B14" s="116" t="s">
        <v>117</v>
      </c>
      <c r="C14" s="116" t="s">
        <v>117</v>
      </c>
      <c r="D14" s="116" t="s">
        <v>1670</v>
      </c>
      <c r="E14" s="173" t="s">
        <v>3088</v>
      </c>
    </row>
    <row r="15">
      <c r="A15" s="154">
        <v>43719.357022303244</v>
      </c>
      <c r="B15" s="116" t="s">
        <v>117</v>
      </c>
      <c r="C15" s="116" t="s">
        <v>117</v>
      </c>
      <c r="D15" s="116" t="s">
        <v>3005</v>
      </c>
      <c r="E15" s="173" t="s">
        <v>3090</v>
      </c>
    </row>
    <row r="16">
      <c r="A16" s="154">
        <v>43731.4109152662</v>
      </c>
      <c r="B16" s="116" t="s">
        <v>117</v>
      </c>
      <c r="C16" s="116" t="s">
        <v>117</v>
      </c>
      <c r="D16" s="116" t="s">
        <v>3013</v>
      </c>
      <c r="E16" s="173" t="s">
        <v>3091</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21.57"/>
    <col customWidth="1" hidden="1" min="4" max="5" width="21.57"/>
    <col customWidth="1" min="6" max="15" width="21.57"/>
  </cols>
  <sheetData>
    <row r="1">
      <c r="A1" t="s">
        <v>58</v>
      </c>
      <c r="B1" s="116" t="s">
        <v>3092</v>
      </c>
      <c r="C1" s="116" t="s">
        <v>3093</v>
      </c>
      <c r="F1" s="116" t="s">
        <v>3094</v>
      </c>
      <c r="G1" s="116" t="s">
        <v>3095</v>
      </c>
      <c r="H1" s="116" t="s">
        <v>3096</v>
      </c>
      <c r="I1" s="116" t="s">
        <v>3097</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9.86"/>
    <col customWidth="1" min="3" max="8" width="26.57"/>
  </cols>
  <sheetData>
    <row r="1">
      <c r="A1" s="174" t="s">
        <v>3098</v>
      </c>
      <c r="B1" s="174" t="s">
        <v>3099</v>
      </c>
      <c r="C1" s="175" t="s">
        <v>19</v>
      </c>
      <c r="D1" s="175" t="s">
        <v>400</v>
      </c>
      <c r="E1" s="175" t="s">
        <v>251</v>
      </c>
      <c r="F1" s="175" t="s">
        <v>163</v>
      </c>
      <c r="G1" s="175" t="s">
        <v>136</v>
      </c>
      <c r="H1" s="176" t="s">
        <v>202</v>
      </c>
      <c r="I1" s="55"/>
      <c r="J1" s="55"/>
      <c r="K1" s="55"/>
      <c r="L1" s="55"/>
      <c r="M1" s="55"/>
      <c r="N1" s="55"/>
      <c r="O1" s="55"/>
      <c r="P1" s="55"/>
      <c r="Q1" s="55"/>
      <c r="R1" s="55"/>
      <c r="S1" s="55"/>
      <c r="T1" s="55"/>
      <c r="U1" s="55"/>
      <c r="V1" s="55"/>
      <c r="W1" s="55"/>
      <c r="X1" s="55"/>
      <c r="Y1" s="55"/>
      <c r="Z1" s="55"/>
      <c r="AA1" s="55"/>
      <c r="AB1" s="55"/>
      <c r="AC1" s="55"/>
    </row>
    <row r="2">
      <c r="A2" s="174" t="s">
        <v>3100</v>
      </c>
      <c r="B2" s="177" t="s">
        <v>2712</v>
      </c>
      <c r="C2" s="178" t="s">
        <v>3101</v>
      </c>
      <c r="D2" s="178" t="s">
        <v>3101</v>
      </c>
      <c r="E2" s="178" t="s">
        <v>3101</v>
      </c>
      <c r="F2" s="178" t="s">
        <v>3101</v>
      </c>
      <c r="G2" s="178" t="s">
        <v>3101</v>
      </c>
      <c r="H2" s="179" t="s">
        <v>3101</v>
      </c>
      <c r="I2" s="55"/>
      <c r="J2" s="55"/>
      <c r="K2" s="55"/>
      <c r="L2" s="55"/>
      <c r="M2" s="55"/>
      <c r="N2" s="55"/>
      <c r="O2" s="55"/>
      <c r="P2" s="55"/>
      <c r="Q2" s="55"/>
      <c r="R2" s="55"/>
      <c r="S2" s="55"/>
      <c r="T2" s="55"/>
      <c r="U2" s="55"/>
      <c r="V2" s="55"/>
      <c r="W2" s="55"/>
      <c r="X2" s="55"/>
      <c r="Y2" s="55"/>
      <c r="Z2" s="55"/>
      <c r="AA2" s="55"/>
      <c r="AB2" s="55"/>
      <c r="AC2" s="55"/>
    </row>
    <row r="3">
      <c r="A3" s="174" t="s">
        <v>3102</v>
      </c>
      <c r="B3" s="180" t="s">
        <v>3103</v>
      </c>
      <c r="C3" s="178"/>
      <c r="D3" s="178"/>
      <c r="E3" s="178"/>
      <c r="F3" s="178"/>
      <c r="G3" s="178"/>
      <c r="H3" s="179" t="s">
        <v>3104</v>
      </c>
      <c r="I3" s="55"/>
      <c r="J3" s="55"/>
      <c r="K3" s="55"/>
      <c r="L3" s="55"/>
      <c r="M3" s="55"/>
      <c r="N3" s="55"/>
      <c r="O3" s="55"/>
      <c r="P3" s="55"/>
      <c r="Q3" s="55"/>
      <c r="R3" s="55"/>
      <c r="S3" s="55"/>
      <c r="T3" s="55"/>
      <c r="U3" s="55"/>
      <c r="V3" s="55"/>
      <c r="W3" s="55"/>
      <c r="X3" s="55"/>
      <c r="Y3" s="55"/>
      <c r="Z3" s="55"/>
      <c r="AA3" s="55"/>
      <c r="AB3" s="55"/>
      <c r="AC3" s="55"/>
    </row>
    <row r="4">
      <c r="A4" s="174" t="s">
        <v>3105</v>
      </c>
      <c r="B4" s="180" t="s">
        <v>3106</v>
      </c>
      <c r="C4" s="178"/>
      <c r="D4" s="178"/>
      <c r="E4" s="178"/>
      <c r="F4" s="178"/>
      <c r="G4" s="178"/>
      <c r="H4" s="179" t="s">
        <v>70</v>
      </c>
      <c r="I4" s="55"/>
      <c r="J4" s="55"/>
      <c r="K4" s="55"/>
      <c r="L4" s="55"/>
      <c r="M4" s="55"/>
      <c r="N4" s="55"/>
      <c r="O4" s="55"/>
      <c r="P4" s="55"/>
      <c r="Q4" s="55"/>
      <c r="R4" s="55"/>
      <c r="S4" s="55"/>
      <c r="T4" s="55"/>
      <c r="U4" s="55"/>
      <c r="V4" s="55"/>
      <c r="W4" s="55"/>
      <c r="X4" s="55"/>
      <c r="Y4" s="55"/>
      <c r="Z4" s="55"/>
      <c r="AA4" s="55"/>
      <c r="AB4" s="55"/>
      <c r="AC4" s="55"/>
    </row>
    <row r="5">
      <c r="A5" s="174" t="s">
        <v>3107</v>
      </c>
      <c r="B5" s="177" t="s">
        <v>3108</v>
      </c>
      <c r="C5" s="178"/>
      <c r="D5" s="178"/>
      <c r="E5" s="178"/>
      <c r="F5" s="178"/>
      <c r="G5" s="178"/>
      <c r="H5" s="179" t="s">
        <v>70</v>
      </c>
      <c r="I5" s="55"/>
      <c r="J5" s="55"/>
      <c r="K5" s="55"/>
      <c r="L5" s="55"/>
      <c r="M5" s="55"/>
      <c r="N5" s="55"/>
      <c r="O5" s="55"/>
      <c r="P5" s="55"/>
      <c r="Q5" s="55"/>
      <c r="R5" s="55"/>
      <c r="S5" s="55"/>
      <c r="T5" s="55"/>
      <c r="U5" s="55"/>
      <c r="V5" s="55"/>
      <c r="W5" s="55"/>
      <c r="X5" s="55"/>
      <c r="Y5" s="55"/>
      <c r="Z5" s="55"/>
      <c r="AA5" s="55"/>
      <c r="AB5" s="55"/>
      <c r="AC5" s="55"/>
    </row>
    <row r="6">
      <c r="A6" s="174" t="s">
        <v>3109</v>
      </c>
      <c r="B6" s="177" t="s">
        <v>3110</v>
      </c>
      <c r="C6" s="178"/>
      <c r="D6" s="178"/>
      <c r="E6" s="178"/>
      <c r="F6" s="178"/>
      <c r="G6" s="178"/>
      <c r="H6" s="179" t="s">
        <v>70</v>
      </c>
      <c r="I6" s="55"/>
      <c r="J6" s="55"/>
      <c r="K6" s="55"/>
      <c r="L6" s="55"/>
      <c r="M6" s="55"/>
      <c r="N6" s="55"/>
      <c r="O6" s="55"/>
      <c r="P6" s="55"/>
      <c r="Q6" s="55"/>
      <c r="R6" s="55"/>
      <c r="S6" s="55"/>
      <c r="T6" s="55"/>
      <c r="U6" s="55"/>
      <c r="V6" s="55"/>
      <c r="W6" s="55"/>
      <c r="X6" s="55"/>
      <c r="Y6" s="55"/>
      <c r="Z6" s="55"/>
      <c r="AA6" s="55"/>
      <c r="AB6" s="55"/>
      <c r="AC6" s="55"/>
    </row>
    <row r="7">
      <c r="A7" s="174" t="s">
        <v>3111</v>
      </c>
      <c r="B7" s="177" t="s">
        <v>3110</v>
      </c>
      <c r="C7" s="178"/>
      <c r="D7" s="178"/>
      <c r="E7" s="178"/>
      <c r="F7" s="178"/>
      <c r="G7" s="178"/>
      <c r="H7" s="179" t="s">
        <v>70</v>
      </c>
      <c r="I7" s="55"/>
      <c r="J7" s="55"/>
      <c r="K7" s="55"/>
      <c r="L7" s="55"/>
      <c r="M7" s="55"/>
      <c r="N7" s="55"/>
      <c r="O7" s="55"/>
      <c r="P7" s="55"/>
      <c r="Q7" s="55"/>
      <c r="R7" s="55"/>
      <c r="S7" s="55"/>
      <c r="T7" s="55"/>
      <c r="U7" s="55"/>
      <c r="V7" s="55"/>
      <c r="W7" s="55"/>
      <c r="X7" s="55"/>
      <c r="Y7" s="55"/>
      <c r="Z7" s="55"/>
      <c r="AA7" s="55"/>
      <c r="AB7" s="55"/>
      <c r="AC7" s="55"/>
    </row>
    <row r="8">
      <c r="A8" s="51"/>
      <c r="B8" s="51"/>
      <c r="C8" s="48"/>
      <c r="D8" s="48"/>
      <c r="E8" s="48"/>
      <c r="F8" s="48"/>
      <c r="G8" s="55"/>
      <c r="H8" s="181"/>
      <c r="I8" s="55"/>
      <c r="J8" s="55"/>
      <c r="K8" s="55"/>
      <c r="L8" s="55"/>
      <c r="M8" s="55"/>
      <c r="N8" s="55"/>
      <c r="O8" s="55"/>
      <c r="P8" s="55"/>
      <c r="Q8" s="55"/>
      <c r="R8" s="55"/>
      <c r="S8" s="55"/>
      <c r="T8" s="55"/>
      <c r="U8" s="55"/>
      <c r="V8" s="55"/>
      <c r="W8" s="55"/>
      <c r="X8" s="55"/>
      <c r="Y8" s="55"/>
      <c r="Z8" s="55"/>
      <c r="AA8" s="55"/>
      <c r="AB8" s="55"/>
      <c r="AC8" s="55"/>
    </row>
    <row r="9">
      <c r="A9" s="53"/>
      <c r="B9" s="53"/>
      <c r="C9" s="55"/>
      <c r="D9" s="55"/>
      <c r="E9" s="55"/>
      <c r="F9" s="55"/>
      <c r="G9" s="55"/>
      <c r="H9" s="181"/>
      <c r="I9" s="55"/>
      <c r="J9" s="55"/>
      <c r="K9" s="55"/>
      <c r="L9" s="55"/>
      <c r="M9" s="55"/>
      <c r="N9" s="55"/>
      <c r="O9" s="55"/>
      <c r="P9" s="55"/>
      <c r="Q9" s="55"/>
      <c r="R9" s="55"/>
      <c r="S9" s="55"/>
      <c r="T9" s="55"/>
      <c r="U9" s="55"/>
      <c r="V9" s="55"/>
      <c r="W9" s="55"/>
      <c r="X9" s="55"/>
      <c r="Y9" s="55"/>
      <c r="Z9" s="55"/>
      <c r="AA9" s="55"/>
      <c r="AB9" s="55"/>
      <c r="AC9" s="55"/>
    </row>
    <row r="10">
      <c r="A10" s="53"/>
      <c r="B10" s="53"/>
      <c r="C10" s="55"/>
      <c r="D10" s="55"/>
      <c r="E10" s="55"/>
      <c r="F10" s="55"/>
      <c r="G10" s="55"/>
      <c r="H10" s="181"/>
      <c r="I10" s="55"/>
      <c r="J10" s="55"/>
      <c r="K10" s="55"/>
      <c r="L10" s="55"/>
      <c r="M10" s="55"/>
      <c r="N10" s="55"/>
      <c r="O10" s="55"/>
      <c r="P10" s="55"/>
      <c r="Q10" s="55"/>
      <c r="R10" s="55"/>
      <c r="S10" s="55"/>
      <c r="T10" s="55"/>
      <c r="U10" s="55"/>
      <c r="V10" s="55"/>
      <c r="W10" s="55"/>
      <c r="X10" s="55"/>
      <c r="Y10" s="55"/>
      <c r="Z10" s="55"/>
      <c r="AA10" s="55"/>
      <c r="AB10" s="55"/>
      <c r="AC10" s="55"/>
    </row>
    <row r="11">
      <c r="A11" s="53"/>
      <c r="B11" s="53"/>
      <c r="C11" s="55"/>
      <c r="D11" s="55"/>
      <c r="E11" s="55"/>
      <c r="F11" s="55"/>
      <c r="G11" s="55"/>
      <c r="H11" s="181"/>
      <c r="I11" s="55"/>
      <c r="J11" s="55"/>
      <c r="K11" s="55"/>
      <c r="L11" s="55"/>
      <c r="M11" s="55"/>
      <c r="N11" s="55"/>
      <c r="O11" s="55"/>
      <c r="P11" s="55"/>
      <c r="Q11" s="55"/>
      <c r="R11" s="55"/>
      <c r="S11" s="55"/>
      <c r="T11" s="55"/>
      <c r="U11" s="55"/>
      <c r="V11" s="55"/>
      <c r="W11" s="55"/>
      <c r="X11" s="55"/>
      <c r="Y11" s="55"/>
      <c r="Z11" s="55"/>
      <c r="AA11" s="55"/>
      <c r="AB11" s="55"/>
      <c r="AC11" s="55"/>
    </row>
    <row r="12">
      <c r="A12" s="53"/>
      <c r="B12" s="53"/>
      <c r="C12" s="55"/>
      <c r="D12" s="55"/>
      <c r="E12" s="55"/>
      <c r="F12" s="55"/>
      <c r="G12" s="55"/>
      <c r="H12" s="181"/>
      <c r="I12" s="55"/>
      <c r="J12" s="55"/>
      <c r="K12" s="55"/>
      <c r="L12" s="55"/>
      <c r="M12" s="55"/>
      <c r="N12" s="55"/>
      <c r="O12" s="55"/>
      <c r="P12" s="55"/>
      <c r="Q12" s="55"/>
      <c r="R12" s="55"/>
      <c r="S12" s="55"/>
      <c r="T12" s="55"/>
      <c r="U12" s="55"/>
      <c r="V12" s="55"/>
      <c r="W12" s="55"/>
      <c r="X12" s="55"/>
      <c r="Y12" s="55"/>
      <c r="Z12" s="55"/>
      <c r="AA12" s="55"/>
      <c r="AB12" s="55"/>
      <c r="AC12" s="55"/>
    </row>
    <row r="13">
      <c r="A13" s="53"/>
      <c r="B13" s="53"/>
      <c r="C13" s="55"/>
      <c r="D13" s="55"/>
      <c r="E13" s="55"/>
      <c r="F13" s="55"/>
      <c r="G13" s="55"/>
      <c r="H13" s="181"/>
      <c r="I13" s="55"/>
      <c r="J13" s="55"/>
      <c r="K13" s="55"/>
      <c r="L13" s="55"/>
      <c r="M13" s="55"/>
      <c r="N13" s="55"/>
      <c r="O13" s="55"/>
      <c r="P13" s="55"/>
      <c r="Q13" s="55"/>
      <c r="R13" s="55"/>
      <c r="S13" s="55"/>
      <c r="T13" s="55"/>
      <c r="U13" s="55"/>
      <c r="V13" s="55"/>
      <c r="W13" s="55"/>
      <c r="X13" s="55"/>
      <c r="Y13" s="55"/>
      <c r="Z13" s="55"/>
      <c r="AA13" s="55"/>
      <c r="AB13" s="55"/>
      <c r="AC13" s="55"/>
    </row>
    <row r="14">
      <c r="A14" s="53"/>
      <c r="B14" s="53"/>
      <c r="C14" s="55"/>
      <c r="D14" s="55"/>
      <c r="E14" s="55"/>
      <c r="F14" s="55"/>
      <c r="G14" s="55"/>
      <c r="H14" s="181"/>
      <c r="I14" s="55"/>
      <c r="J14" s="55"/>
      <c r="K14" s="55"/>
      <c r="L14" s="55"/>
      <c r="M14" s="55"/>
      <c r="N14" s="55"/>
      <c r="O14" s="55"/>
      <c r="P14" s="55"/>
      <c r="Q14" s="55"/>
      <c r="R14" s="55"/>
      <c r="S14" s="55"/>
      <c r="T14" s="55"/>
      <c r="U14" s="55"/>
      <c r="V14" s="55"/>
      <c r="W14" s="55"/>
      <c r="X14" s="55"/>
      <c r="Y14" s="55"/>
      <c r="Z14" s="55"/>
      <c r="AA14" s="55"/>
      <c r="AB14" s="55"/>
      <c r="AC14" s="55"/>
    </row>
    <row r="15">
      <c r="A15" s="53"/>
      <c r="B15" s="53"/>
      <c r="C15" s="55"/>
      <c r="D15" s="55"/>
      <c r="E15" s="55"/>
      <c r="F15" s="55"/>
      <c r="G15" s="55"/>
      <c r="H15" s="181"/>
      <c r="I15" s="55"/>
      <c r="J15" s="55"/>
      <c r="K15" s="55"/>
      <c r="L15" s="55"/>
      <c r="M15" s="55"/>
      <c r="N15" s="55"/>
      <c r="O15" s="55"/>
      <c r="P15" s="55"/>
      <c r="Q15" s="55"/>
      <c r="R15" s="55"/>
      <c r="S15" s="55"/>
      <c r="T15" s="55"/>
      <c r="U15" s="55"/>
      <c r="V15" s="55"/>
      <c r="W15" s="55"/>
      <c r="X15" s="55"/>
      <c r="Y15" s="55"/>
      <c r="Z15" s="55"/>
      <c r="AA15" s="55"/>
      <c r="AB15" s="55"/>
      <c r="AC15" s="55"/>
    </row>
    <row r="16">
      <c r="A16" s="53"/>
      <c r="B16" s="53"/>
      <c r="C16" s="55"/>
      <c r="D16" s="55"/>
      <c r="E16" s="55"/>
      <c r="F16" s="55"/>
      <c r="G16" s="55"/>
      <c r="H16" s="181"/>
      <c r="I16" s="55"/>
      <c r="J16" s="55"/>
      <c r="K16" s="55"/>
      <c r="L16" s="55"/>
      <c r="M16" s="55"/>
      <c r="N16" s="55"/>
      <c r="O16" s="55"/>
      <c r="P16" s="55"/>
      <c r="Q16" s="55"/>
      <c r="R16" s="55"/>
      <c r="S16" s="55"/>
      <c r="T16" s="55"/>
      <c r="U16" s="55"/>
      <c r="V16" s="55"/>
      <c r="W16" s="55"/>
      <c r="X16" s="55"/>
      <c r="Y16" s="55"/>
      <c r="Z16" s="55"/>
      <c r="AA16" s="55"/>
      <c r="AB16" s="55"/>
      <c r="AC16" s="55"/>
    </row>
    <row r="17">
      <c r="A17" s="53"/>
      <c r="B17" s="53"/>
      <c r="C17" s="55"/>
      <c r="D17" s="55"/>
      <c r="E17" s="55"/>
      <c r="F17" s="55"/>
      <c r="G17" s="55"/>
      <c r="H17" s="181"/>
      <c r="I17" s="55"/>
      <c r="J17" s="55"/>
      <c r="K17" s="55"/>
      <c r="L17" s="55"/>
      <c r="M17" s="55"/>
      <c r="N17" s="55"/>
      <c r="O17" s="55"/>
      <c r="P17" s="55"/>
      <c r="Q17" s="55"/>
      <c r="R17" s="55"/>
      <c r="S17" s="55"/>
      <c r="T17" s="55"/>
      <c r="U17" s="55"/>
      <c r="V17" s="55"/>
      <c r="W17" s="55"/>
      <c r="X17" s="55"/>
      <c r="Y17" s="55"/>
      <c r="Z17" s="55"/>
      <c r="AA17" s="55"/>
      <c r="AB17" s="55"/>
      <c r="AC17" s="55"/>
    </row>
    <row r="18">
      <c r="A18" s="53"/>
      <c r="B18" s="53"/>
      <c r="C18" s="55"/>
      <c r="D18" s="55"/>
      <c r="E18" s="55"/>
      <c r="F18" s="55"/>
      <c r="G18" s="55"/>
      <c r="H18" s="181"/>
      <c r="I18" s="55"/>
      <c r="J18" s="55"/>
      <c r="K18" s="55"/>
      <c r="L18" s="55"/>
      <c r="M18" s="55"/>
      <c r="N18" s="55"/>
      <c r="O18" s="55"/>
      <c r="P18" s="55"/>
      <c r="Q18" s="55"/>
      <c r="R18" s="55"/>
      <c r="S18" s="55"/>
      <c r="T18" s="55"/>
      <c r="U18" s="55"/>
      <c r="V18" s="55"/>
      <c r="W18" s="55"/>
      <c r="X18" s="55"/>
      <c r="Y18" s="55"/>
      <c r="Z18" s="55"/>
      <c r="AA18" s="55"/>
      <c r="AB18" s="55"/>
      <c r="AC18" s="55"/>
    </row>
    <row r="19">
      <c r="A19" s="53"/>
      <c r="B19" s="53"/>
      <c r="C19" s="55"/>
      <c r="D19" s="55"/>
      <c r="E19" s="55"/>
      <c r="F19" s="55"/>
      <c r="G19" s="55"/>
      <c r="H19" s="181"/>
      <c r="I19" s="55"/>
      <c r="J19" s="55"/>
      <c r="K19" s="55"/>
      <c r="L19" s="55"/>
      <c r="M19" s="55"/>
      <c r="N19" s="55"/>
      <c r="O19" s="55"/>
      <c r="P19" s="55"/>
      <c r="Q19" s="55"/>
      <c r="R19" s="55"/>
      <c r="S19" s="55"/>
      <c r="T19" s="55"/>
      <c r="U19" s="55"/>
      <c r="V19" s="55"/>
      <c r="W19" s="55"/>
      <c r="X19" s="55"/>
      <c r="Y19" s="55"/>
      <c r="Z19" s="55"/>
      <c r="AA19" s="55"/>
      <c r="AB19" s="55"/>
      <c r="AC19" s="55"/>
    </row>
    <row r="20">
      <c r="A20" s="53"/>
      <c r="B20" s="53"/>
      <c r="C20" s="55"/>
      <c r="D20" s="55"/>
      <c r="E20" s="55"/>
      <c r="F20" s="55"/>
      <c r="G20" s="55"/>
      <c r="H20" s="181"/>
      <c r="I20" s="55"/>
      <c r="J20" s="55"/>
      <c r="K20" s="55"/>
      <c r="L20" s="55"/>
      <c r="M20" s="55"/>
      <c r="N20" s="55"/>
      <c r="O20" s="55"/>
      <c r="P20" s="55"/>
      <c r="Q20" s="55"/>
      <c r="R20" s="55"/>
      <c r="S20" s="55"/>
      <c r="T20" s="55"/>
      <c r="U20" s="55"/>
      <c r="V20" s="55"/>
      <c r="W20" s="55"/>
      <c r="X20" s="55"/>
      <c r="Y20" s="55"/>
      <c r="Z20" s="55"/>
      <c r="AA20" s="55"/>
      <c r="AB20" s="55"/>
      <c r="AC20" s="55"/>
    </row>
    <row r="21">
      <c r="A21" s="53"/>
      <c r="B21" s="53"/>
      <c r="C21" s="55"/>
      <c r="D21" s="55"/>
      <c r="E21" s="55"/>
      <c r="F21" s="55"/>
      <c r="G21" s="55"/>
      <c r="H21" s="181"/>
      <c r="I21" s="55"/>
      <c r="J21" s="55"/>
      <c r="K21" s="55"/>
      <c r="L21" s="55"/>
      <c r="M21" s="55"/>
      <c r="N21" s="55"/>
      <c r="O21" s="55"/>
      <c r="P21" s="55"/>
      <c r="Q21" s="55"/>
      <c r="R21" s="55"/>
      <c r="S21" s="55"/>
      <c r="T21" s="55"/>
      <c r="U21" s="55"/>
      <c r="V21" s="55"/>
      <c r="W21" s="55"/>
      <c r="X21" s="55"/>
      <c r="Y21" s="55"/>
      <c r="Z21" s="55"/>
      <c r="AA21" s="55"/>
      <c r="AB21" s="55"/>
      <c r="AC21" s="55"/>
    </row>
    <row r="22">
      <c r="A22" s="53"/>
      <c r="B22" s="53"/>
      <c r="C22" s="55"/>
      <c r="D22" s="55"/>
      <c r="E22" s="55"/>
      <c r="F22" s="55"/>
      <c r="G22" s="55"/>
      <c r="H22" s="181"/>
      <c r="I22" s="55"/>
      <c r="J22" s="55"/>
      <c r="K22" s="55"/>
      <c r="L22" s="55"/>
      <c r="M22" s="55"/>
      <c r="N22" s="55"/>
      <c r="O22" s="55"/>
      <c r="P22" s="55"/>
      <c r="Q22" s="55"/>
      <c r="R22" s="55"/>
      <c r="S22" s="55"/>
      <c r="T22" s="55"/>
      <c r="U22" s="55"/>
      <c r="V22" s="55"/>
      <c r="W22" s="55"/>
      <c r="X22" s="55"/>
      <c r="Y22" s="55"/>
      <c r="Z22" s="55"/>
      <c r="AA22" s="55"/>
      <c r="AB22" s="55"/>
      <c r="AC22" s="55"/>
    </row>
    <row r="23">
      <c r="A23" s="53"/>
      <c r="B23" s="53"/>
      <c r="C23" s="55"/>
      <c r="D23" s="55"/>
      <c r="E23" s="55"/>
      <c r="F23" s="55"/>
      <c r="G23" s="55"/>
      <c r="H23" s="181"/>
      <c r="I23" s="55"/>
      <c r="J23" s="55"/>
      <c r="K23" s="55"/>
      <c r="L23" s="55"/>
      <c r="M23" s="55"/>
      <c r="N23" s="55"/>
      <c r="O23" s="55"/>
      <c r="P23" s="55"/>
      <c r="Q23" s="55"/>
      <c r="R23" s="55"/>
      <c r="S23" s="55"/>
      <c r="T23" s="55"/>
      <c r="U23" s="55"/>
      <c r="V23" s="55"/>
      <c r="W23" s="55"/>
      <c r="X23" s="55"/>
      <c r="Y23" s="55"/>
      <c r="Z23" s="55"/>
      <c r="AA23" s="55"/>
      <c r="AB23" s="55"/>
      <c r="AC23" s="55"/>
    </row>
    <row r="24">
      <c r="A24" s="53"/>
      <c r="B24" s="53"/>
      <c r="C24" s="55"/>
      <c r="D24" s="55"/>
      <c r="E24" s="55"/>
      <c r="F24" s="55"/>
      <c r="G24" s="55"/>
      <c r="H24" s="181"/>
      <c r="I24" s="55"/>
      <c r="J24" s="55"/>
      <c r="K24" s="55"/>
      <c r="L24" s="55"/>
      <c r="M24" s="55"/>
      <c r="N24" s="55"/>
      <c r="O24" s="55"/>
      <c r="P24" s="55"/>
      <c r="Q24" s="55"/>
      <c r="R24" s="55"/>
      <c r="S24" s="55"/>
      <c r="T24" s="55"/>
      <c r="U24" s="55"/>
      <c r="V24" s="55"/>
      <c r="W24" s="55"/>
      <c r="X24" s="55"/>
      <c r="Y24" s="55"/>
      <c r="Z24" s="55"/>
      <c r="AA24" s="55"/>
      <c r="AB24" s="55"/>
      <c r="AC24" s="55"/>
    </row>
    <row r="25">
      <c r="A25" s="53"/>
      <c r="B25" s="53"/>
      <c r="C25" s="55"/>
      <c r="D25" s="55"/>
      <c r="E25" s="55"/>
      <c r="F25" s="55"/>
      <c r="G25" s="55"/>
      <c r="H25" s="181"/>
      <c r="I25" s="55"/>
      <c r="J25" s="55"/>
      <c r="K25" s="55"/>
      <c r="L25" s="55"/>
      <c r="M25" s="55"/>
      <c r="N25" s="55"/>
      <c r="O25" s="55"/>
      <c r="P25" s="55"/>
      <c r="Q25" s="55"/>
      <c r="R25" s="55"/>
      <c r="S25" s="55"/>
      <c r="T25" s="55"/>
      <c r="U25" s="55"/>
      <c r="V25" s="55"/>
      <c r="W25" s="55"/>
      <c r="X25" s="55"/>
      <c r="Y25" s="55"/>
      <c r="Z25" s="55"/>
      <c r="AA25" s="55"/>
      <c r="AB25" s="55"/>
      <c r="AC25" s="55"/>
    </row>
    <row r="26">
      <c r="A26" s="53"/>
      <c r="B26" s="53"/>
      <c r="C26" s="55"/>
      <c r="D26" s="55"/>
      <c r="E26" s="55"/>
      <c r="F26" s="55"/>
      <c r="G26" s="55"/>
      <c r="H26" s="181"/>
      <c r="I26" s="55"/>
      <c r="J26" s="55"/>
      <c r="K26" s="55"/>
      <c r="L26" s="55"/>
      <c r="M26" s="55"/>
      <c r="N26" s="55"/>
      <c r="O26" s="55"/>
      <c r="P26" s="55"/>
      <c r="Q26" s="55"/>
      <c r="R26" s="55"/>
      <c r="S26" s="55"/>
      <c r="T26" s="55"/>
      <c r="U26" s="55"/>
      <c r="V26" s="55"/>
      <c r="W26" s="55"/>
      <c r="X26" s="55"/>
      <c r="Y26" s="55"/>
      <c r="Z26" s="55"/>
      <c r="AA26" s="55"/>
      <c r="AB26" s="55"/>
      <c r="AC26" s="55"/>
    </row>
    <row r="27">
      <c r="A27" s="53"/>
      <c r="B27" s="53"/>
      <c r="C27" s="55"/>
      <c r="D27" s="55"/>
      <c r="E27" s="55"/>
      <c r="F27" s="55"/>
      <c r="G27" s="55"/>
      <c r="H27" s="181"/>
      <c r="I27" s="55"/>
      <c r="J27" s="55"/>
      <c r="K27" s="55"/>
      <c r="L27" s="55"/>
      <c r="M27" s="55"/>
      <c r="N27" s="55"/>
      <c r="O27" s="55"/>
      <c r="P27" s="55"/>
      <c r="Q27" s="55"/>
      <c r="R27" s="55"/>
      <c r="S27" s="55"/>
      <c r="T27" s="55"/>
      <c r="U27" s="55"/>
      <c r="V27" s="55"/>
      <c r="W27" s="55"/>
      <c r="X27" s="55"/>
      <c r="Y27" s="55"/>
      <c r="Z27" s="55"/>
      <c r="AA27" s="55"/>
      <c r="AB27" s="55"/>
      <c r="AC27" s="55"/>
    </row>
    <row r="28">
      <c r="A28" s="53"/>
      <c r="B28" s="53"/>
      <c r="C28" s="55"/>
      <c r="D28" s="55"/>
      <c r="E28" s="55"/>
      <c r="F28" s="55"/>
      <c r="G28" s="55"/>
      <c r="H28" s="181"/>
      <c r="I28" s="55"/>
      <c r="J28" s="55"/>
      <c r="K28" s="55"/>
      <c r="L28" s="55"/>
      <c r="M28" s="55"/>
      <c r="N28" s="55"/>
      <c r="O28" s="55"/>
      <c r="P28" s="55"/>
      <c r="Q28" s="55"/>
      <c r="R28" s="55"/>
      <c r="S28" s="55"/>
      <c r="T28" s="55"/>
      <c r="U28" s="55"/>
      <c r="V28" s="55"/>
      <c r="W28" s="55"/>
      <c r="X28" s="55"/>
      <c r="Y28" s="55"/>
      <c r="Z28" s="55"/>
      <c r="AA28" s="55"/>
      <c r="AB28" s="55"/>
      <c r="AC28" s="55"/>
    </row>
    <row r="29">
      <c r="A29" s="53"/>
      <c r="B29" s="53"/>
      <c r="C29" s="55"/>
      <c r="D29" s="55"/>
      <c r="E29" s="55"/>
      <c r="F29" s="55"/>
      <c r="G29" s="55"/>
      <c r="H29" s="181"/>
      <c r="I29" s="55"/>
      <c r="J29" s="55"/>
      <c r="K29" s="55"/>
      <c r="L29" s="55"/>
      <c r="M29" s="55"/>
      <c r="N29" s="55"/>
      <c r="O29" s="55"/>
      <c r="P29" s="55"/>
      <c r="Q29" s="55"/>
      <c r="R29" s="55"/>
      <c r="S29" s="55"/>
      <c r="T29" s="55"/>
      <c r="U29" s="55"/>
      <c r="V29" s="55"/>
      <c r="W29" s="55"/>
      <c r="X29" s="55"/>
      <c r="Y29" s="55"/>
      <c r="Z29" s="55"/>
      <c r="AA29" s="55"/>
      <c r="AB29" s="55"/>
      <c r="AC29" s="55"/>
    </row>
    <row r="30">
      <c r="A30" s="53"/>
      <c r="B30" s="53"/>
      <c r="C30" s="55"/>
      <c r="D30" s="55"/>
      <c r="E30" s="55"/>
      <c r="F30" s="55"/>
      <c r="G30" s="55"/>
      <c r="H30" s="181"/>
      <c r="I30" s="55"/>
      <c r="J30" s="55"/>
      <c r="K30" s="55"/>
      <c r="L30" s="55"/>
      <c r="M30" s="55"/>
      <c r="N30" s="55"/>
      <c r="O30" s="55"/>
      <c r="P30" s="55"/>
      <c r="Q30" s="55"/>
      <c r="R30" s="55"/>
      <c r="S30" s="55"/>
      <c r="T30" s="55"/>
      <c r="U30" s="55"/>
      <c r="V30" s="55"/>
      <c r="W30" s="55"/>
      <c r="X30" s="55"/>
      <c r="Y30" s="55"/>
      <c r="Z30" s="55"/>
      <c r="AA30" s="55"/>
      <c r="AB30" s="55"/>
      <c r="AC30" s="55"/>
    </row>
    <row r="31">
      <c r="A31" s="53"/>
      <c r="B31" s="53"/>
      <c r="C31" s="55"/>
      <c r="D31" s="55"/>
      <c r="E31" s="55"/>
      <c r="F31" s="55"/>
      <c r="G31" s="55"/>
      <c r="H31" s="181"/>
      <c r="I31" s="55"/>
      <c r="J31" s="55"/>
      <c r="K31" s="55"/>
      <c r="L31" s="55"/>
      <c r="M31" s="55"/>
      <c r="N31" s="55"/>
      <c r="O31" s="55"/>
      <c r="P31" s="55"/>
      <c r="Q31" s="55"/>
      <c r="R31" s="55"/>
      <c r="S31" s="55"/>
      <c r="T31" s="55"/>
      <c r="U31" s="55"/>
      <c r="V31" s="55"/>
      <c r="W31" s="55"/>
      <c r="X31" s="55"/>
      <c r="Y31" s="55"/>
      <c r="Z31" s="55"/>
      <c r="AA31" s="55"/>
      <c r="AB31" s="55"/>
      <c r="AC31" s="55"/>
    </row>
    <row r="32">
      <c r="A32" s="53"/>
      <c r="B32" s="53"/>
      <c r="C32" s="55"/>
      <c r="D32" s="55"/>
      <c r="E32" s="55"/>
      <c r="F32" s="55"/>
      <c r="G32" s="55"/>
      <c r="H32" s="181"/>
      <c r="I32" s="55"/>
      <c r="J32" s="55"/>
      <c r="K32" s="55"/>
      <c r="L32" s="55"/>
      <c r="M32" s="55"/>
      <c r="N32" s="55"/>
      <c r="O32" s="55"/>
      <c r="P32" s="55"/>
      <c r="Q32" s="55"/>
      <c r="R32" s="55"/>
      <c r="S32" s="55"/>
      <c r="T32" s="55"/>
      <c r="U32" s="55"/>
      <c r="V32" s="55"/>
      <c r="W32" s="55"/>
      <c r="X32" s="55"/>
      <c r="Y32" s="55"/>
      <c r="Z32" s="55"/>
      <c r="AA32" s="55"/>
      <c r="AB32" s="55"/>
      <c r="AC32" s="55"/>
    </row>
    <row r="33">
      <c r="A33" s="53"/>
      <c r="B33" s="53"/>
      <c r="C33" s="55"/>
      <c r="D33" s="55"/>
      <c r="E33" s="55"/>
      <c r="F33" s="55"/>
      <c r="G33" s="55"/>
      <c r="H33" s="181"/>
      <c r="I33" s="55"/>
      <c r="J33" s="55"/>
      <c r="K33" s="55"/>
      <c r="L33" s="55"/>
      <c r="M33" s="55"/>
      <c r="N33" s="55"/>
      <c r="O33" s="55"/>
      <c r="P33" s="55"/>
      <c r="Q33" s="55"/>
      <c r="R33" s="55"/>
      <c r="S33" s="55"/>
      <c r="T33" s="55"/>
      <c r="U33" s="55"/>
      <c r="V33" s="55"/>
      <c r="W33" s="55"/>
      <c r="X33" s="55"/>
      <c r="Y33" s="55"/>
      <c r="Z33" s="55"/>
      <c r="AA33" s="55"/>
      <c r="AB33" s="55"/>
      <c r="AC33" s="55"/>
    </row>
    <row r="34">
      <c r="A34" s="53"/>
      <c r="B34" s="53"/>
      <c r="C34" s="55"/>
      <c r="D34" s="55"/>
      <c r="E34" s="55"/>
      <c r="F34" s="55"/>
      <c r="G34" s="55"/>
      <c r="H34" s="181"/>
      <c r="I34" s="55"/>
      <c r="J34" s="55"/>
      <c r="K34" s="55"/>
      <c r="L34" s="55"/>
      <c r="M34" s="55"/>
      <c r="N34" s="55"/>
      <c r="O34" s="55"/>
      <c r="P34" s="55"/>
      <c r="Q34" s="55"/>
      <c r="R34" s="55"/>
      <c r="S34" s="55"/>
      <c r="T34" s="55"/>
      <c r="U34" s="55"/>
      <c r="V34" s="55"/>
      <c r="W34" s="55"/>
      <c r="X34" s="55"/>
      <c r="Y34" s="55"/>
      <c r="Z34" s="55"/>
      <c r="AA34" s="55"/>
      <c r="AB34" s="55"/>
      <c r="AC34" s="55"/>
    </row>
    <row r="35">
      <c r="A35" s="53"/>
      <c r="B35" s="53"/>
      <c r="C35" s="55"/>
      <c r="D35" s="55"/>
      <c r="E35" s="55"/>
      <c r="F35" s="55"/>
      <c r="G35" s="55"/>
      <c r="H35" s="181"/>
      <c r="I35" s="55"/>
      <c r="J35" s="55"/>
      <c r="K35" s="55"/>
      <c r="L35" s="55"/>
      <c r="M35" s="55"/>
      <c r="N35" s="55"/>
      <c r="O35" s="55"/>
      <c r="P35" s="55"/>
      <c r="Q35" s="55"/>
      <c r="R35" s="55"/>
      <c r="S35" s="55"/>
      <c r="T35" s="55"/>
      <c r="U35" s="55"/>
      <c r="V35" s="55"/>
      <c r="W35" s="55"/>
      <c r="X35" s="55"/>
      <c r="Y35" s="55"/>
      <c r="Z35" s="55"/>
      <c r="AA35" s="55"/>
      <c r="AB35" s="55"/>
      <c r="AC35" s="55"/>
    </row>
    <row r="36">
      <c r="A36" s="53"/>
      <c r="B36" s="53"/>
      <c r="C36" s="55"/>
      <c r="D36" s="55"/>
      <c r="E36" s="55"/>
      <c r="F36" s="55"/>
      <c r="G36" s="55"/>
      <c r="H36" s="181"/>
      <c r="I36" s="55"/>
      <c r="J36" s="55"/>
      <c r="K36" s="55"/>
      <c r="L36" s="55"/>
      <c r="M36" s="55"/>
      <c r="N36" s="55"/>
      <c r="O36" s="55"/>
      <c r="P36" s="55"/>
      <c r="Q36" s="55"/>
      <c r="R36" s="55"/>
      <c r="S36" s="55"/>
      <c r="T36" s="55"/>
      <c r="U36" s="55"/>
      <c r="V36" s="55"/>
      <c r="W36" s="55"/>
      <c r="X36" s="55"/>
      <c r="Y36" s="55"/>
      <c r="Z36" s="55"/>
      <c r="AA36" s="55"/>
      <c r="AB36" s="55"/>
      <c r="AC36" s="55"/>
    </row>
    <row r="37">
      <c r="A37" s="53"/>
      <c r="B37" s="53"/>
      <c r="C37" s="55"/>
      <c r="D37" s="55"/>
      <c r="E37" s="55"/>
      <c r="F37" s="55"/>
      <c r="G37" s="55"/>
      <c r="H37" s="181"/>
      <c r="I37" s="55"/>
      <c r="J37" s="55"/>
      <c r="K37" s="55"/>
      <c r="L37" s="55"/>
      <c r="M37" s="55"/>
      <c r="N37" s="55"/>
      <c r="O37" s="55"/>
      <c r="P37" s="55"/>
      <c r="Q37" s="55"/>
      <c r="R37" s="55"/>
      <c r="S37" s="55"/>
      <c r="T37" s="55"/>
      <c r="U37" s="55"/>
      <c r="V37" s="55"/>
      <c r="W37" s="55"/>
      <c r="X37" s="55"/>
      <c r="Y37" s="55"/>
      <c r="Z37" s="55"/>
      <c r="AA37" s="55"/>
      <c r="AB37" s="55"/>
      <c r="AC37" s="55"/>
    </row>
    <row r="38">
      <c r="A38" s="53"/>
      <c r="B38" s="53"/>
      <c r="C38" s="55"/>
      <c r="D38" s="55"/>
      <c r="E38" s="55"/>
      <c r="F38" s="55"/>
      <c r="G38" s="55"/>
      <c r="H38" s="181"/>
      <c r="I38" s="55"/>
      <c r="J38" s="55"/>
      <c r="K38" s="55"/>
      <c r="L38" s="55"/>
      <c r="M38" s="55"/>
      <c r="N38" s="55"/>
      <c r="O38" s="55"/>
      <c r="P38" s="55"/>
      <c r="Q38" s="55"/>
      <c r="R38" s="55"/>
      <c r="S38" s="55"/>
      <c r="T38" s="55"/>
      <c r="U38" s="55"/>
      <c r="V38" s="55"/>
      <c r="W38" s="55"/>
      <c r="X38" s="55"/>
      <c r="Y38" s="55"/>
      <c r="Z38" s="55"/>
      <c r="AA38" s="55"/>
      <c r="AB38" s="55"/>
      <c r="AC38" s="55"/>
    </row>
    <row r="39">
      <c r="A39" s="53"/>
      <c r="B39" s="53"/>
      <c r="C39" s="55"/>
      <c r="D39" s="55"/>
      <c r="E39" s="55"/>
      <c r="F39" s="55"/>
      <c r="G39" s="55"/>
      <c r="H39" s="181"/>
      <c r="I39" s="55"/>
      <c r="J39" s="55"/>
      <c r="K39" s="55"/>
      <c r="L39" s="55"/>
      <c r="M39" s="55"/>
      <c r="N39" s="55"/>
      <c r="O39" s="55"/>
      <c r="P39" s="55"/>
      <c r="Q39" s="55"/>
      <c r="R39" s="55"/>
      <c r="S39" s="55"/>
      <c r="T39" s="55"/>
      <c r="U39" s="55"/>
      <c r="V39" s="55"/>
      <c r="W39" s="55"/>
      <c r="X39" s="55"/>
      <c r="Y39" s="55"/>
      <c r="Z39" s="55"/>
      <c r="AA39" s="55"/>
      <c r="AB39" s="55"/>
      <c r="AC39" s="55"/>
    </row>
    <row r="40">
      <c r="A40" s="53"/>
      <c r="B40" s="53"/>
      <c r="C40" s="55"/>
      <c r="D40" s="55"/>
      <c r="E40" s="55"/>
      <c r="F40" s="55"/>
      <c r="G40" s="55"/>
      <c r="H40" s="181"/>
      <c r="I40" s="55"/>
      <c r="J40" s="55"/>
      <c r="K40" s="55"/>
      <c r="L40" s="55"/>
      <c r="M40" s="55"/>
      <c r="N40" s="55"/>
      <c r="O40" s="55"/>
      <c r="P40" s="55"/>
      <c r="Q40" s="55"/>
      <c r="R40" s="55"/>
      <c r="S40" s="55"/>
      <c r="T40" s="55"/>
      <c r="U40" s="55"/>
      <c r="V40" s="55"/>
      <c r="W40" s="55"/>
      <c r="X40" s="55"/>
      <c r="Y40" s="55"/>
      <c r="Z40" s="55"/>
      <c r="AA40" s="55"/>
      <c r="AB40" s="55"/>
      <c r="AC40" s="55"/>
    </row>
    <row r="41">
      <c r="A41" s="53"/>
      <c r="B41" s="53"/>
      <c r="C41" s="55"/>
      <c r="D41" s="55"/>
      <c r="E41" s="55"/>
      <c r="F41" s="55"/>
      <c r="G41" s="55"/>
      <c r="H41" s="181"/>
      <c r="I41" s="55"/>
      <c r="J41" s="55"/>
      <c r="K41" s="55"/>
      <c r="L41" s="55"/>
      <c r="M41" s="55"/>
      <c r="N41" s="55"/>
      <c r="O41" s="55"/>
      <c r="P41" s="55"/>
      <c r="Q41" s="55"/>
      <c r="R41" s="55"/>
      <c r="S41" s="55"/>
      <c r="T41" s="55"/>
      <c r="U41" s="55"/>
      <c r="V41" s="55"/>
      <c r="W41" s="55"/>
      <c r="X41" s="55"/>
      <c r="Y41" s="55"/>
      <c r="Z41" s="55"/>
      <c r="AA41" s="55"/>
      <c r="AB41" s="55"/>
      <c r="AC41" s="55"/>
    </row>
    <row r="42">
      <c r="A42" s="53"/>
      <c r="B42" s="53"/>
      <c r="C42" s="55"/>
      <c r="D42" s="55"/>
      <c r="E42" s="55"/>
      <c r="F42" s="55"/>
      <c r="G42" s="55"/>
      <c r="H42" s="181"/>
      <c r="I42" s="55"/>
      <c r="J42" s="55"/>
      <c r="K42" s="55"/>
      <c r="L42" s="55"/>
      <c r="M42" s="55"/>
      <c r="N42" s="55"/>
      <c r="O42" s="55"/>
      <c r="P42" s="55"/>
      <c r="Q42" s="55"/>
      <c r="R42" s="55"/>
      <c r="S42" s="55"/>
      <c r="T42" s="55"/>
      <c r="U42" s="55"/>
      <c r="V42" s="55"/>
      <c r="W42" s="55"/>
      <c r="X42" s="55"/>
      <c r="Y42" s="55"/>
      <c r="Z42" s="55"/>
      <c r="AA42" s="55"/>
      <c r="AB42" s="55"/>
      <c r="AC42" s="55"/>
    </row>
    <row r="43">
      <c r="A43" s="53"/>
      <c r="B43" s="53"/>
      <c r="C43" s="55"/>
      <c r="D43" s="55"/>
      <c r="E43" s="55"/>
      <c r="F43" s="55"/>
      <c r="G43" s="55"/>
      <c r="H43" s="181"/>
      <c r="I43" s="55"/>
      <c r="J43" s="55"/>
      <c r="K43" s="55"/>
      <c r="L43" s="55"/>
      <c r="M43" s="55"/>
      <c r="N43" s="55"/>
      <c r="O43" s="55"/>
      <c r="P43" s="55"/>
      <c r="Q43" s="55"/>
      <c r="R43" s="55"/>
      <c r="S43" s="55"/>
      <c r="T43" s="55"/>
      <c r="U43" s="55"/>
      <c r="V43" s="55"/>
      <c r="W43" s="55"/>
      <c r="X43" s="55"/>
      <c r="Y43" s="55"/>
      <c r="Z43" s="55"/>
      <c r="AA43" s="55"/>
      <c r="AB43" s="55"/>
      <c r="AC43" s="55"/>
    </row>
    <row r="44">
      <c r="A44" s="53"/>
      <c r="B44" s="53"/>
      <c r="C44" s="55"/>
      <c r="D44" s="55"/>
      <c r="E44" s="55"/>
      <c r="F44" s="55"/>
      <c r="G44" s="55"/>
      <c r="H44" s="181"/>
      <c r="I44" s="55"/>
      <c r="J44" s="55"/>
      <c r="K44" s="55"/>
      <c r="L44" s="55"/>
      <c r="M44" s="55"/>
      <c r="N44" s="55"/>
      <c r="O44" s="55"/>
      <c r="P44" s="55"/>
      <c r="Q44" s="55"/>
      <c r="R44" s="55"/>
      <c r="S44" s="55"/>
      <c r="T44" s="55"/>
      <c r="U44" s="55"/>
      <c r="V44" s="55"/>
      <c r="W44" s="55"/>
      <c r="X44" s="55"/>
      <c r="Y44" s="55"/>
      <c r="Z44" s="55"/>
      <c r="AA44" s="55"/>
      <c r="AB44" s="55"/>
      <c r="AC44" s="55"/>
    </row>
    <row r="45">
      <c r="A45" s="53"/>
      <c r="B45" s="53"/>
      <c r="C45" s="55"/>
      <c r="D45" s="55"/>
      <c r="E45" s="55"/>
      <c r="F45" s="55"/>
      <c r="G45" s="55"/>
      <c r="H45" s="181"/>
      <c r="I45" s="55"/>
      <c r="J45" s="55"/>
      <c r="K45" s="55"/>
      <c r="L45" s="55"/>
      <c r="M45" s="55"/>
      <c r="N45" s="55"/>
      <c r="O45" s="55"/>
      <c r="P45" s="55"/>
      <c r="Q45" s="55"/>
      <c r="R45" s="55"/>
      <c r="S45" s="55"/>
      <c r="T45" s="55"/>
      <c r="U45" s="55"/>
      <c r="V45" s="55"/>
      <c r="W45" s="55"/>
      <c r="X45" s="55"/>
      <c r="Y45" s="55"/>
      <c r="Z45" s="55"/>
      <c r="AA45" s="55"/>
      <c r="AB45" s="55"/>
      <c r="AC45" s="55"/>
    </row>
    <row r="46">
      <c r="A46" s="53"/>
      <c r="B46" s="53"/>
      <c r="C46" s="55"/>
      <c r="D46" s="55"/>
      <c r="E46" s="55"/>
      <c r="F46" s="55"/>
      <c r="G46" s="55"/>
      <c r="H46" s="181"/>
      <c r="I46" s="55"/>
      <c r="J46" s="55"/>
      <c r="K46" s="55"/>
      <c r="L46" s="55"/>
      <c r="M46" s="55"/>
      <c r="N46" s="55"/>
      <c r="O46" s="55"/>
      <c r="P46" s="55"/>
      <c r="Q46" s="55"/>
      <c r="R46" s="55"/>
      <c r="S46" s="55"/>
      <c r="T46" s="55"/>
      <c r="U46" s="55"/>
      <c r="V46" s="55"/>
      <c r="W46" s="55"/>
      <c r="X46" s="55"/>
      <c r="Y46" s="55"/>
      <c r="Z46" s="55"/>
      <c r="AA46" s="55"/>
      <c r="AB46" s="55"/>
      <c r="AC46" s="55"/>
    </row>
    <row r="47">
      <c r="A47" s="53"/>
      <c r="B47" s="53"/>
      <c r="C47" s="55"/>
      <c r="D47" s="55"/>
      <c r="E47" s="55"/>
      <c r="F47" s="55"/>
      <c r="G47" s="55"/>
      <c r="H47" s="181"/>
      <c r="I47" s="55"/>
      <c r="J47" s="55"/>
      <c r="K47" s="55"/>
      <c r="L47" s="55"/>
      <c r="M47" s="55"/>
      <c r="N47" s="55"/>
      <c r="O47" s="55"/>
      <c r="P47" s="55"/>
      <c r="Q47" s="55"/>
      <c r="R47" s="55"/>
      <c r="S47" s="55"/>
      <c r="T47" s="55"/>
      <c r="U47" s="55"/>
      <c r="V47" s="55"/>
      <c r="W47" s="55"/>
      <c r="X47" s="55"/>
      <c r="Y47" s="55"/>
      <c r="Z47" s="55"/>
      <c r="AA47" s="55"/>
      <c r="AB47" s="55"/>
      <c r="AC47" s="55"/>
    </row>
    <row r="48">
      <c r="A48" s="53"/>
      <c r="B48" s="53"/>
      <c r="C48" s="55"/>
      <c r="D48" s="55"/>
      <c r="E48" s="55"/>
      <c r="F48" s="55"/>
      <c r="G48" s="55"/>
      <c r="H48" s="181"/>
      <c r="I48" s="55"/>
      <c r="J48" s="55"/>
      <c r="K48" s="55"/>
      <c r="L48" s="55"/>
      <c r="M48" s="55"/>
      <c r="N48" s="55"/>
      <c r="O48" s="55"/>
      <c r="P48" s="55"/>
      <c r="Q48" s="55"/>
      <c r="R48" s="55"/>
      <c r="S48" s="55"/>
      <c r="T48" s="55"/>
      <c r="U48" s="55"/>
      <c r="V48" s="55"/>
      <c r="W48" s="55"/>
      <c r="X48" s="55"/>
      <c r="Y48" s="55"/>
      <c r="Z48" s="55"/>
      <c r="AA48" s="55"/>
      <c r="AB48" s="55"/>
      <c r="AC48" s="55"/>
    </row>
    <row r="49">
      <c r="A49" s="53"/>
      <c r="B49" s="53"/>
      <c r="C49" s="55"/>
      <c r="D49" s="55"/>
      <c r="E49" s="55"/>
      <c r="F49" s="55"/>
      <c r="G49" s="55"/>
      <c r="H49" s="181"/>
      <c r="I49" s="55"/>
      <c r="J49" s="55"/>
      <c r="K49" s="55"/>
      <c r="L49" s="55"/>
      <c r="M49" s="55"/>
      <c r="N49" s="55"/>
      <c r="O49" s="55"/>
      <c r="P49" s="55"/>
      <c r="Q49" s="55"/>
      <c r="R49" s="55"/>
      <c r="S49" s="55"/>
      <c r="T49" s="55"/>
      <c r="U49" s="55"/>
      <c r="V49" s="55"/>
      <c r="W49" s="55"/>
      <c r="X49" s="55"/>
      <c r="Y49" s="55"/>
      <c r="Z49" s="55"/>
      <c r="AA49" s="55"/>
      <c r="AB49" s="55"/>
      <c r="AC49" s="55"/>
    </row>
    <row r="50">
      <c r="A50" s="53"/>
      <c r="B50" s="53"/>
      <c r="C50" s="55"/>
      <c r="D50" s="55"/>
      <c r="E50" s="55"/>
      <c r="F50" s="55"/>
      <c r="G50" s="55"/>
      <c r="H50" s="181"/>
      <c r="I50" s="55"/>
      <c r="J50" s="55"/>
      <c r="K50" s="55"/>
      <c r="L50" s="55"/>
      <c r="M50" s="55"/>
      <c r="N50" s="55"/>
      <c r="O50" s="55"/>
      <c r="P50" s="55"/>
      <c r="Q50" s="55"/>
      <c r="R50" s="55"/>
      <c r="S50" s="55"/>
      <c r="T50" s="55"/>
      <c r="U50" s="55"/>
      <c r="V50" s="55"/>
      <c r="W50" s="55"/>
      <c r="X50" s="55"/>
      <c r="Y50" s="55"/>
      <c r="Z50" s="55"/>
      <c r="AA50" s="55"/>
      <c r="AB50" s="55"/>
      <c r="AC50" s="55"/>
    </row>
    <row r="51">
      <c r="A51" s="53"/>
      <c r="B51" s="53"/>
      <c r="C51" s="55"/>
      <c r="D51" s="55"/>
      <c r="E51" s="55"/>
      <c r="F51" s="55"/>
      <c r="G51" s="55"/>
      <c r="H51" s="181"/>
      <c r="I51" s="55"/>
      <c r="J51" s="55"/>
      <c r="K51" s="55"/>
      <c r="L51" s="55"/>
      <c r="M51" s="55"/>
      <c r="N51" s="55"/>
      <c r="O51" s="55"/>
      <c r="P51" s="55"/>
      <c r="Q51" s="55"/>
      <c r="R51" s="55"/>
      <c r="S51" s="55"/>
      <c r="T51" s="55"/>
      <c r="U51" s="55"/>
      <c r="V51" s="55"/>
      <c r="W51" s="55"/>
      <c r="X51" s="55"/>
      <c r="Y51" s="55"/>
      <c r="Z51" s="55"/>
      <c r="AA51" s="55"/>
      <c r="AB51" s="55"/>
      <c r="AC51" s="55"/>
    </row>
    <row r="52">
      <c r="A52" s="53"/>
      <c r="B52" s="53"/>
      <c r="C52" s="55"/>
      <c r="D52" s="55"/>
      <c r="E52" s="55"/>
      <c r="F52" s="55"/>
      <c r="G52" s="55"/>
      <c r="H52" s="181"/>
      <c r="I52" s="55"/>
      <c r="J52" s="55"/>
      <c r="K52" s="55"/>
      <c r="L52" s="55"/>
      <c r="M52" s="55"/>
      <c r="N52" s="55"/>
      <c r="O52" s="55"/>
      <c r="P52" s="55"/>
      <c r="Q52" s="55"/>
      <c r="R52" s="55"/>
      <c r="S52" s="55"/>
      <c r="T52" s="55"/>
      <c r="U52" s="55"/>
      <c r="V52" s="55"/>
      <c r="W52" s="55"/>
      <c r="X52" s="55"/>
      <c r="Y52" s="55"/>
      <c r="Z52" s="55"/>
      <c r="AA52" s="55"/>
      <c r="AB52" s="55"/>
      <c r="AC52" s="55"/>
    </row>
    <row r="53">
      <c r="A53" s="53"/>
      <c r="B53" s="53"/>
      <c r="C53" s="55"/>
      <c r="D53" s="55"/>
      <c r="E53" s="55"/>
      <c r="F53" s="55"/>
      <c r="G53" s="55"/>
      <c r="H53" s="181"/>
      <c r="I53" s="55"/>
      <c r="J53" s="55"/>
      <c r="K53" s="55"/>
      <c r="L53" s="55"/>
      <c r="M53" s="55"/>
      <c r="N53" s="55"/>
      <c r="O53" s="55"/>
      <c r="P53" s="55"/>
      <c r="Q53" s="55"/>
      <c r="R53" s="55"/>
      <c r="S53" s="55"/>
      <c r="T53" s="55"/>
      <c r="U53" s="55"/>
      <c r="V53" s="55"/>
      <c r="W53" s="55"/>
      <c r="X53" s="55"/>
      <c r="Y53" s="55"/>
      <c r="Z53" s="55"/>
      <c r="AA53" s="55"/>
      <c r="AB53" s="55"/>
      <c r="AC53" s="55"/>
    </row>
    <row r="54">
      <c r="A54" s="53"/>
      <c r="B54" s="53"/>
      <c r="C54" s="55"/>
      <c r="D54" s="55"/>
      <c r="E54" s="55"/>
      <c r="F54" s="55"/>
      <c r="G54" s="55"/>
      <c r="H54" s="181"/>
      <c r="I54" s="55"/>
      <c r="J54" s="55"/>
      <c r="K54" s="55"/>
      <c r="L54" s="55"/>
      <c r="M54" s="55"/>
      <c r="N54" s="55"/>
      <c r="O54" s="55"/>
      <c r="P54" s="55"/>
      <c r="Q54" s="55"/>
      <c r="R54" s="55"/>
      <c r="S54" s="55"/>
      <c r="T54" s="55"/>
      <c r="U54" s="55"/>
      <c r="V54" s="55"/>
      <c r="W54" s="55"/>
      <c r="X54" s="55"/>
      <c r="Y54" s="55"/>
      <c r="Z54" s="55"/>
      <c r="AA54" s="55"/>
      <c r="AB54" s="55"/>
      <c r="AC54" s="55"/>
    </row>
    <row r="55">
      <c r="A55" s="53"/>
      <c r="B55" s="53"/>
      <c r="C55" s="55"/>
      <c r="D55" s="55"/>
      <c r="E55" s="55"/>
      <c r="F55" s="55"/>
      <c r="G55" s="55"/>
      <c r="H55" s="181"/>
      <c r="I55" s="55"/>
      <c r="J55" s="55"/>
      <c r="K55" s="55"/>
      <c r="L55" s="55"/>
      <c r="M55" s="55"/>
      <c r="N55" s="55"/>
      <c r="O55" s="55"/>
      <c r="P55" s="55"/>
      <c r="Q55" s="55"/>
      <c r="R55" s="55"/>
      <c r="S55" s="55"/>
      <c r="T55" s="55"/>
      <c r="U55" s="55"/>
      <c r="V55" s="55"/>
      <c r="W55" s="55"/>
      <c r="X55" s="55"/>
      <c r="Y55" s="55"/>
      <c r="Z55" s="55"/>
      <c r="AA55" s="55"/>
      <c r="AB55" s="55"/>
      <c r="AC55" s="55"/>
    </row>
    <row r="56">
      <c r="A56" s="53"/>
      <c r="B56" s="53"/>
      <c r="C56" s="55"/>
      <c r="D56" s="55"/>
      <c r="E56" s="55"/>
      <c r="F56" s="55"/>
      <c r="G56" s="55"/>
      <c r="H56" s="181"/>
      <c r="I56" s="55"/>
      <c r="J56" s="55"/>
      <c r="K56" s="55"/>
      <c r="L56" s="55"/>
      <c r="M56" s="55"/>
      <c r="N56" s="55"/>
      <c r="O56" s="55"/>
      <c r="P56" s="55"/>
      <c r="Q56" s="55"/>
      <c r="R56" s="55"/>
      <c r="S56" s="55"/>
      <c r="T56" s="55"/>
      <c r="U56" s="55"/>
      <c r="V56" s="55"/>
      <c r="W56" s="55"/>
      <c r="X56" s="55"/>
      <c r="Y56" s="55"/>
      <c r="Z56" s="55"/>
      <c r="AA56" s="55"/>
      <c r="AB56" s="55"/>
      <c r="AC56" s="55"/>
    </row>
    <row r="57">
      <c r="A57" s="53"/>
      <c r="B57" s="53"/>
      <c r="C57" s="55"/>
      <c r="D57" s="55"/>
      <c r="E57" s="55"/>
      <c r="F57" s="55"/>
      <c r="G57" s="55"/>
      <c r="H57" s="181"/>
      <c r="I57" s="55"/>
      <c r="J57" s="55"/>
      <c r="K57" s="55"/>
      <c r="L57" s="55"/>
      <c r="M57" s="55"/>
      <c r="N57" s="55"/>
      <c r="O57" s="55"/>
      <c r="P57" s="55"/>
      <c r="Q57" s="55"/>
      <c r="R57" s="55"/>
      <c r="S57" s="55"/>
      <c r="T57" s="55"/>
      <c r="U57" s="55"/>
      <c r="V57" s="55"/>
      <c r="W57" s="55"/>
      <c r="X57" s="55"/>
      <c r="Y57" s="55"/>
      <c r="Z57" s="55"/>
      <c r="AA57" s="55"/>
      <c r="AB57" s="55"/>
      <c r="AC57" s="55"/>
    </row>
    <row r="58">
      <c r="A58" s="53"/>
      <c r="B58" s="53"/>
      <c r="C58" s="55"/>
      <c r="D58" s="55"/>
      <c r="E58" s="55"/>
      <c r="F58" s="55"/>
      <c r="G58" s="55"/>
      <c r="H58" s="181"/>
      <c r="I58" s="55"/>
      <c r="J58" s="55"/>
      <c r="K58" s="55"/>
      <c r="L58" s="55"/>
      <c r="M58" s="55"/>
      <c r="N58" s="55"/>
      <c r="O58" s="55"/>
      <c r="P58" s="55"/>
      <c r="Q58" s="55"/>
      <c r="R58" s="55"/>
      <c r="S58" s="55"/>
      <c r="T58" s="55"/>
      <c r="U58" s="55"/>
      <c r="V58" s="55"/>
      <c r="W58" s="55"/>
      <c r="X58" s="55"/>
      <c r="Y58" s="55"/>
      <c r="Z58" s="55"/>
      <c r="AA58" s="55"/>
      <c r="AB58" s="55"/>
      <c r="AC58" s="55"/>
    </row>
    <row r="59">
      <c r="A59" s="53"/>
      <c r="B59" s="53"/>
      <c r="C59" s="55"/>
      <c r="D59" s="55"/>
      <c r="E59" s="55"/>
      <c r="F59" s="55"/>
      <c r="G59" s="55"/>
      <c r="H59" s="181"/>
      <c r="I59" s="55"/>
      <c r="J59" s="55"/>
      <c r="K59" s="55"/>
      <c r="L59" s="55"/>
      <c r="M59" s="55"/>
      <c r="N59" s="55"/>
      <c r="O59" s="55"/>
      <c r="P59" s="55"/>
      <c r="Q59" s="55"/>
      <c r="R59" s="55"/>
      <c r="S59" s="55"/>
      <c r="T59" s="55"/>
      <c r="U59" s="55"/>
      <c r="V59" s="55"/>
      <c r="W59" s="55"/>
      <c r="X59" s="55"/>
      <c r="Y59" s="55"/>
      <c r="Z59" s="55"/>
      <c r="AA59" s="55"/>
      <c r="AB59" s="55"/>
      <c r="AC59" s="55"/>
    </row>
    <row r="60">
      <c r="A60" s="53"/>
      <c r="B60" s="53"/>
      <c r="C60" s="55"/>
      <c r="D60" s="55"/>
      <c r="E60" s="55"/>
      <c r="F60" s="55"/>
      <c r="G60" s="55"/>
      <c r="H60" s="181"/>
      <c r="I60" s="55"/>
      <c r="J60" s="55"/>
      <c r="K60" s="55"/>
      <c r="L60" s="55"/>
      <c r="M60" s="55"/>
      <c r="N60" s="55"/>
      <c r="O60" s="55"/>
      <c r="P60" s="55"/>
      <c r="Q60" s="55"/>
      <c r="R60" s="55"/>
      <c r="S60" s="55"/>
      <c r="T60" s="55"/>
      <c r="U60" s="55"/>
      <c r="V60" s="55"/>
      <c r="W60" s="55"/>
      <c r="X60" s="55"/>
      <c r="Y60" s="55"/>
      <c r="Z60" s="55"/>
      <c r="AA60" s="55"/>
      <c r="AB60" s="55"/>
      <c r="AC60" s="55"/>
    </row>
    <row r="61">
      <c r="A61" s="53"/>
      <c r="B61" s="53"/>
      <c r="C61" s="55"/>
      <c r="D61" s="55"/>
      <c r="E61" s="55"/>
      <c r="F61" s="55"/>
      <c r="G61" s="55"/>
      <c r="H61" s="181"/>
      <c r="I61" s="55"/>
      <c r="J61" s="55"/>
      <c r="K61" s="55"/>
      <c r="L61" s="55"/>
      <c r="M61" s="55"/>
      <c r="N61" s="55"/>
      <c r="O61" s="55"/>
      <c r="P61" s="55"/>
      <c r="Q61" s="55"/>
      <c r="R61" s="55"/>
      <c r="S61" s="55"/>
      <c r="T61" s="55"/>
      <c r="U61" s="55"/>
      <c r="V61" s="55"/>
      <c r="W61" s="55"/>
      <c r="X61" s="55"/>
      <c r="Y61" s="55"/>
      <c r="Z61" s="55"/>
      <c r="AA61" s="55"/>
      <c r="AB61" s="55"/>
      <c r="AC61" s="55"/>
    </row>
    <row r="62">
      <c r="A62" s="53"/>
      <c r="B62" s="53"/>
      <c r="C62" s="55"/>
      <c r="D62" s="55"/>
      <c r="E62" s="55"/>
      <c r="F62" s="55"/>
      <c r="G62" s="55"/>
      <c r="H62" s="181"/>
      <c r="I62" s="55"/>
      <c r="J62" s="55"/>
      <c r="K62" s="55"/>
      <c r="L62" s="55"/>
      <c r="M62" s="55"/>
      <c r="N62" s="55"/>
      <c r="O62" s="55"/>
      <c r="P62" s="55"/>
      <c r="Q62" s="55"/>
      <c r="R62" s="55"/>
      <c r="S62" s="55"/>
      <c r="T62" s="55"/>
      <c r="U62" s="55"/>
      <c r="V62" s="55"/>
      <c r="W62" s="55"/>
      <c r="X62" s="55"/>
      <c r="Y62" s="55"/>
      <c r="Z62" s="55"/>
      <c r="AA62" s="55"/>
      <c r="AB62" s="55"/>
      <c r="AC62" s="55"/>
    </row>
    <row r="63">
      <c r="A63" s="53"/>
      <c r="B63" s="53"/>
      <c r="C63" s="55"/>
      <c r="D63" s="55"/>
      <c r="E63" s="55"/>
      <c r="F63" s="55"/>
      <c r="G63" s="55"/>
      <c r="H63" s="181"/>
      <c r="I63" s="55"/>
      <c r="J63" s="55"/>
      <c r="K63" s="55"/>
      <c r="L63" s="55"/>
      <c r="M63" s="55"/>
      <c r="N63" s="55"/>
      <c r="O63" s="55"/>
      <c r="P63" s="55"/>
      <c r="Q63" s="55"/>
      <c r="R63" s="55"/>
      <c r="S63" s="55"/>
      <c r="T63" s="55"/>
      <c r="U63" s="55"/>
      <c r="V63" s="55"/>
      <c r="W63" s="55"/>
      <c r="X63" s="55"/>
      <c r="Y63" s="55"/>
      <c r="Z63" s="55"/>
      <c r="AA63" s="55"/>
      <c r="AB63" s="55"/>
      <c r="AC63" s="55"/>
    </row>
    <row r="64">
      <c r="A64" s="53"/>
      <c r="B64" s="53"/>
      <c r="C64" s="55"/>
      <c r="D64" s="55"/>
      <c r="E64" s="55"/>
      <c r="F64" s="55"/>
      <c r="G64" s="55"/>
      <c r="H64" s="181"/>
      <c r="I64" s="55"/>
      <c r="J64" s="55"/>
      <c r="K64" s="55"/>
      <c r="L64" s="55"/>
      <c r="M64" s="55"/>
      <c r="N64" s="55"/>
      <c r="O64" s="55"/>
      <c r="P64" s="55"/>
      <c r="Q64" s="55"/>
      <c r="R64" s="55"/>
      <c r="S64" s="55"/>
      <c r="T64" s="55"/>
      <c r="U64" s="55"/>
      <c r="V64" s="55"/>
      <c r="W64" s="55"/>
      <c r="X64" s="55"/>
      <c r="Y64" s="55"/>
      <c r="Z64" s="55"/>
      <c r="AA64" s="55"/>
      <c r="AB64" s="55"/>
      <c r="AC64" s="55"/>
    </row>
    <row r="65">
      <c r="A65" s="53"/>
      <c r="B65" s="53"/>
      <c r="C65" s="55"/>
      <c r="D65" s="55"/>
      <c r="E65" s="55"/>
      <c r="F65" s="55"/>
      <c r="G65" s="55"/>
      <c r="H65" s="181"/>
      <c r="I65" s="55"/>
      <c r="J65" s="55"/>
      <c r="K65" s="55"/>
      <c r="L65" s="55"/>
      <c r="M65" s="55"/>
      <c r="N65" s="55"/>
      <c r="O65" s="55"/>
      <c r="P65" s="55"/>
      <c r="Q65" s="55"/>
      <c r="R65" s="55"/>
      <c r="S65" s="55"/>
      <c r="T65" s="55"/>
      <c r="U65" s="55"/>
      <c r="V65" s="55"/>
      <c r="W65" s="55"/>
      <c r="X65" s="55"/>
      <c r="Y65" s="55"/>
      <c r="Z65" s="55"/>
      <c r="AA65" s="55"/>
      <c r="AB65" s="55"/>
      <c r="AC65" s="55"/>
    </row>
    <row r="66">
      <c r="A66" s="53"/>
      <c r="B66" s="53"/>
      <c r="C66" s="55"/>
      <c r="D66" s="55"/>
      <c r="E66" s="55"/>
      <c r="F66" s="55"/>
      <c r="G66" s="55"/>
      <c r="H66" s="181"/>
      <c r="I66" s="55"/>
      <c r="J66" s="55"/>
      <c r="K66" s="55"/>
      <c r="L66" s="55"/>
      <c r="M66" s="55"/>
      <c r="N66" s="55"/>
      <c r="O66" s="55"/>
      <c r="P66" s="55"/>
      <c r="Q66" s="55"/>
      <c r="R66" s="55"/>
      <c r="S66" s="55"/>
      <c r="T66" s="55"/>
      <c r="U66" s="55"/>
      <c r="V66" s="55"/>
      <c r="W66" s="55"/>
      <c r="X66" s="55"/>
      <c r="Y66" s="55"/>
      <c r="Z66" s="55"/>
      <c r="AA66" s="55"/>
      <c r="AB66" s="55"/>
      <c r="AC66" s="55"/>
    </row>
    <row r="67">
      <c r="A67" s="53"/>
      <c r="B67" s="53"/>
      <c r="C67" s="55"/>
      <c r="D67" s="55"/>
      <c r="E67" s="55"/>
      <c r="F67" s="55"/>
      <c r="G67" s="55"/>
      <c r="H67" s="181"/>
      <c r="I67" s="55"/>
      <c r="J67" s="55"/>
      <c r="K67" s="55"/>
      <c r="L67" s="55"/>
      <c r="M67" s="55"/>
      <c r="N67" s="55"/>
      <c r="O67" s="55"/>
      <c r="P67" s="55"/>
      <c r="Q67" s="55"/>
      <c r="R67" s="55"/>
      <c r="S67" s="55"/>
      <c r="T67" s="55"/>
      <c r="U67" s="55"/>
      <c r="V67" s="55"/>
      <c r="W67" s="55"/>
      <c r="X67" s="55"/>
      <c r="Y67" s="55"/>
      <c r="Z67" s="55"/>
      <c r="AA67" s="55"/>
      <c r="AB67" s="55"/>
      <c r="AC67" s="55"/>
    </row>
    <row r="68">
      <c r="A68" s="53"/>
      <c r="B68" s="53"/>
      <c r="C68" s="55"/>
      <c r="D68" s="55"/>
      <c r="E68" s="55"/>
      <c r="F68" s="55"/>
      <c r="G68" s="55"/>
      <c r="H68" s="181"/>
      <c r="I68" s="55"/>
      <c r="J68" s="55"/>
      <c r="K68" s="55"/>
      <c r="L68" s="55"/>
      <c r="M68" s="55"/>
      <c r="N68" s="55"/>
      <c r="O68" s="55"/>
      <c r="P68" s="55"/>
      <c r="Q68" s="55"/>
      <c r="R68" s="55"/>
      <c r="S68" s="55"/>
      <c r="T68" s="55"/>
      <c r="U68" s="55"/>
      <c r="V68" s="55"/>
      <c r="W68" s="55"/>
      <c r="X68" s="55"/>
      <c r="Y68" s="55"/>
      <c r="Z68" s="55"/>
      <c r="AA68" s="55"/>
      <c r="AB68" s="55"/>
      <c r="AC68" s="55"/>
    </row>
    <row r="69">
      <c r="A69" s="53"/>
      <c r="B69" s="53"/>
      <c r="C69" s="55"/>
      <c r="D69" s="55"/>
      <c r="E69" s="55"/>
      <c r="F69" s="55"/>
      <c r="G69" s="55"/>
      <c r="H69" s="181"/>
      <c r="I69" s="55"/>
      <c r="J69" s="55"/>
      <c r="K69" s="55"/>
      <c r="L69" s="55"/>
      <c r="M69" s="55"/>
      <c r="N69" s="55"/>
      <c r="O69" s="55"/>
      <c r="P69" s="55"/>
      <c r="Q69" s="55"/>
      <c r="R69" s="55"/>
      <c r="S69" s="55"/>
      <c r="T69" s="55"/>
      <c r="U69" s="55"/>
      <c r="V69" s="55"/>
      <c r="W69" s="55"/>
      <c r="X69" s="55"/>
      <c r="Y69" s="55"/>
      <c r="Z69" s="55"/>
      <c r="AA69" s="55"/>
      <c r="AB69" s="55"/>
      <c r="AC69" s="55"/>
    </row>
    <row r="70">
      <c r="A70" s="53"/>
      <c r="B70" s="53"/>
      <c r="C70" s="55"/>
      <c r="D70" s="55"/>
      <c r="E70" s="55"/>
      <c r="F70" s="55"/>
      <c r="G70" s="55"/>
      <c r="H70" s="181"/>
      <c r="I70" s="55"/>
      <c r="J70" s="55"/>
      <c r="K70" s="55"/>
      <c r="L70" s="55"/>
      <c r="M70" s="55"/>
      <c r="N70" s="55"/>
      <c r="O70" s="55"/>
      <c r="P70" s="55"/>
      <c r="Q70" s="55"/>
      <c r="R70" s="55"/>
      <c r="S70" s="55"/>
      <c r="T70" s="55"/>
      <c r="U70" s="55"/>
      <c r="V70" s="55"/>
      <c r="W70" s="55"/>
      <c r="X70" s="55"/>
      <c r="Y70" s="55"/>
      <c r="Z70" s="55"/>
      <c r="AA70" s="55"/>
      <c r="AB70" s="55"/>
      <c r="AC70" s="55"/>
    </row>
    <row r="71">
      <c r="A71" s="53"/>
      <c r="B71" s="53"/>
      <c r="C71" s="55"/>
      <c r="D71" s="55"/>
      <c r="E71" s="55"/>
      <c r="F71" s="55"/>
      <c r="G71" s="55"/>
      <c r="H71" s="181"/>
      <c r="I71" s="55"/>
      <c r="J71" s="55"/>
      <c r="K71" s="55"/>
      <c r="L71" s="55"/>
      <c r="M71" s="55"/>
      <c r="N71" s="55"/>
      <c r="O71" s="55"/>
      <c r="P71" s="55"/>
      <c r="Q71" s="55"/>
      <c r="R71" s="55"/>
      <c r="S71" s="55"/>
      <c r="T71" s="55"/>
      <c r="U71" s="55"/>
      <c r="V71" s="55"/>
      <c r="W71" s="55"/>
      <c r="X71" s="55"/>
      <c r="Y71" s="55"/>
      <c r="Z71" s="55"/>
      <c r="AA71" s="55"/>
      <c r="AB71" s="55"/>
      <c r="AC71" s="55"/>
    </row>
    <row r="72">
      <c r="A72" s="53"/>
      <c r="B72" s="53"/>
      <c r="C72" s="55"/>
      <c r="D72" s="55"/>
      <c r="E72" s="55"/>
      <c r="F72" s="55"/>
      <c r="G72" s="55"/>
      <c r="H72" s="181"/>
      <c r="I72" s="55"/>
      <c r="J72" s="55"/>
      <c r="K72" s="55"/>
      <c r="L72" s="55"/>
      <c r="M72" s="55"/>
      <c r="N72" s="55"/>
      <c r="O72" s="55"/>
      <c r="P72" s="55"/>
      <c r="Q72" s="55"/>
      <c r="R72" s="55"/>
      <c r="S72" s="55"/>
      <c r="T72" s="55"/>
      <c r="U72" s="55"/>
      <c r="V72" s="55"/>
      <c r="W72" s="55"/>
      <c r="X72" s="55"/>
      <c r="Y72" s="55"/>
      <c r="Z72" s="55"/>
      <c r="AA72" s="55"/>
      <c r="AB72" s="55"/>
      <c r="AC72" s="55"/>
    </row>
    <row r="73">
      <c r="A73" s="53"/>
      <c r="B73" s="53"/>
      <c r="C73" s="55"/>
      <c r="D73" s="55"/>
      <c r="E73" s="55"/>
      <c r="F73" s="55"/>
      <c r="G73" s="55"/>
      <c r="H73" s="181"/>
      <c r="I73" s="55"/>
      <c r="J73" s="55"/>
      <c r="K73" s="55"/>
      <c r="L73" s="55"/>
      <c r="M73" s="55"/>
      <c r="N73" s="55"/>
      <c r="O73" s="55"/>
      <c r="P73" s="55"/>
      <c r="Q73" s="55"/>
      <c r="R73" s="55"/>
      <c r="S73" s="55"/>
      <c r="T73" s="55"/>
      <c r="U73" s="55"/>
      <c r="V73" s="55"/>
      <c r="W73" s="55"/>
      <c r="X73" s="55"/>
      <c r="Y73" s="55"/>
      <c r="Z73" s="55"/>
      <c r="AA73" s="55"/>
      <c r="AB73" s="55"/>
      <c r="AC73" s="55"/>
    </row>
    <row r="74">
      <c r="A74" s="53"/>
      <c r="B74" s="53"/>
      <c r="C74" s="55"/>
      <c r="D74" s="55"/>
      <c r="E74" s="55"/>
      <c r="F74" s="55"/>
      <c r="G74" s="55"/>
      <c r="H74" s="181"/>
      <c r="I74" s="55"/>
      <c r="J74" s="55"/>
      <c r="K74" s="55"/>
      <c r="L74" s="55"/>
      <c r="M74" s="55"/>
      <c r="N74" s="55"/>
      <c r="O74" s="55"/>
      <c r="P74" s="55"/>
      <c r="Q74" s="55"/>
      <c r="R74" s="55"/>
      <c r="S74" s="55"/>
      <c r="T74" s="55"/>
      <c r="U74" s="55"/>
      <c r="V74" s="55"/>
      <c r="W74" s="55"/>
      <c r="X74" s="55"/>
      <c r="Y74" s="55"/>
      <c r="Z74" s="55"/>
      <c r="AA74" s="55"/>
      <c r="AB74" s="55"/>
      <c r="AC74" s="55"/>
    </row>
    <row r="75">
      <c r="A75" s="53"/>
      <c r="B75" s="53"/>
      <c r="C75" s="55"/>
      <c r="D75" s="55"/>
      <c r="E75" s="55"/>
      <c r="F75" s="55"/>
      <c r="G75" s="55"/>
      <c r="H75" s="181"/>
      <c r="I75" s="55"/>
      <c r="J75" s="55"/>
      <c r="K75" s="55"/>
      <c r="L75" s="55"/>
      <c r="M75" s="55"/>
      <c r="N75" s="55"/>
      <c r="O75" s="55"/>
      <c r="P75" s="55"/>
      <c r="Q75" s="55"/>
      <c r="R75" s="55"/>
      <c r="S75" s="55"/>
      <c r="T75" s="55"/>
      <c r="U75" s="55"/>
      <c r="V75" s="55"/>
      <c r="W75" s="55"/>
      <c r="X75" s="55"/>
      <c r="Y75" s="55"/>
      <c r="Z75" s="55"/>
      <c r="AA75" s="55"/>
      <c r="AB75" s="55"/>
      <c r="AC75" s="55"/>
    </row>
    <row r="76">
      <c r="A76" s="53"/>
      <c r="B76" s="53"/>
      <c r="C76" s="55"/>
      <c r="D76" s="55"/>
      <c r="E76" s="55"/>
      <c r="F76" s="55"/>
      <c r="G76" s="55"/>
      <c r="H76" s="181"/>
      <c r="I76" s="55"/>
      <c r="J76" s="55"/>
      <c r="K76" s="55"/>
      <c r="L76" s="55"/>
      <c r="M76" s="55"/>
      <c r="N76" s="55"/>
      <c r="O76" s="55"/>
      <c r="P76" s="55"/>
      <c r="Q76" s="55"/>
      <c r="R76" s="55"/>
      <c r="S76" s="55"/>
      <c r="T76" s="55"/>
      <c r="U76" s="55"/>
      <c r="V76" s="55"/>
      <c r="W76" s="55"/>
      <c r="X76" s="55"/>
      <c r="Y76" s="55"/>
      <c r="Z76" s="55"/>
      <c r="AA76" s="55"/>
      <c r="AB76" s="55"/>
      <c r="AC76" s="55"/>
    </row>
    <row r="77">
      <c r="A77" s="53"/>
      <c r="B77" s="53"/>
      <c r="C77" s="55"/>
      <c r="D77" s="55"/>
      <c r="E77" s="55"/>
      <c r="F77" s="55"/>
      <c r="G77" s="55"/>
      <c r="H77" s="181"/>
      <c r="I77" s="55"/>
      <c r="J77" s="55"/>
      <c r="K77" s="55"/>
      <c r="L77" s="55"/>
      <c r="M77" s="55"/>
      <c r="N77" s="55"/>
      <c r="O77" s="55"/>
      <c r="P77" s="55"/>
      <c r="Q77" s="55"/>
      <c r="R77" s="55"/>
      <c r="S77" s="55"/>
      <c r="T77" s="55"/>
      <c r="U77" s="55"/>
      <c r="V77" s="55"/>
      <c r="W77" s="55"/>
      <c r="X77" s="55"/>
      <c r="Y77" s="55"/>
      <c r="Z77" s="55"/>
      <c r="AA77" s="55"/>
      <c r="AB77" s="55"/>
      <c r="AC77" s="55"/>
    </row>
    <row r="78">
      <c r="A78" s="53"/>
      <c r="B78" s="53"/>
      <c r="C78" s="55"/>
      <c r="D78" s="55"/>
      <c r="E78" s="55"/>
      <c r="F78" s="55"/>
      <c r="G78" s="55"/>
      <c r="H78" s="181"/>
      <c r="I78" s="55"/>
      <c r="J78" s="55"/>
      <c r="K78" s="55"/>
      <c r="L78" s="55"/>
      <c r="M78" s="55"/>
      <c r="N78" s="55"/>
      <c r="O78" s="55"/>
      <c r="P78" s="55"/>
      <c r="Q78" s="55"/>
      <c r="R78" s="55"/>
      <c r="S78" s="55"/>
      <c r="T78" s="55"/>
      <c r="U78" s="55"/>
      <c r="V78" s="55"/>
      <c r="W78" s="55"/>
      <c r="X78" s="55"/>
      <c r="Y78" s="55"/>
      <c r="Z78" s="55"/>
      <c r="AA78" s="55"/>
      <c r="AB78" s="55"/>
      <c r="AC78" s="55"/>
    </row>
    <row r="79">
      <c r="A79" s="53"/>
      <c r="B79" s="53"/>
      <c r="C79" s="55"/>
      <c r="D79" s="55"/>
      <c r="E79" s="55"/>
      <c r="F79" s="55"/>
      <c r="G79" s="55"/>
      <c r="H79" s="181"/>
      <c r="I79" s="55"/>
      <c r="J79" s="55"/>
      <c r="K79" s="55"/>
      <c r="L79" s="55"/>
      <c r="M79" s="55"/>
      <c r="N79" s="55"/>
      <c r="O79" s="55"/>
      <c r="P79" s="55"/>
      <c r="Q79" s="55"/>
      <c r="R79" s="55"/>
      <c r="S79" s="55"/>
      <c r="T79" s="55"/>
      <c r="U79" s="55"/>
      <c r="V79" s="55"/>
      <c r="W79" s="55"/>
      <c r="X79" s="55"/>
      <c r="Y79" s="55"/>
      <c r="Z79" s="55"/>
      <c r="AA79" s="55"/>
      <c r="AB79" s="55"/>
      <c r="AC79" s="55"/>
    </row>
    <row r="80">
      <c r="A80" s="53"/>
      <c r="B80" s="53"/>
      <c r="C80" s="55"/>
      <c r="D80" s="55"/>
      <c r="E80" s="55"/>
      <c r="F80" s="55"/>
      <c r="G80" s="55"/>
      <c r="H80" s="181"/>
      <c r="I80" s="55"/>
      <c r="J80" s="55"/>
      <c r="K80" s="55"/>
      <c r="L80" s="55"/>
      <c r="M80" s="55"/>
      <c r="N80" s="55"/>
      <c r="O80" s="55"/>
      <c r="P80" s="55"/>
      <c r="Q80" s="55"/>
      <c r="R80" s="55"/>
      <c r="S80" s="55"/>
      <c r="T80" s="55"/>
      <c r="U80" s="55"/>
      <c r="V80" s="55"/>
      <c r="W80" s="55"/>
      <c r="X80" s="55"/>
      <c r="Y80" s="55"/>
      <c r="Z80" s="55"/>
      <c r="AA80" s="55"/>
      <c r="AB80" s="55"/>
      <c r="AC80" s="55"/>
    </row>
    <row r="81">
      <c r="A81" s="53"/>
      <c r="B81" s="53"/>
      <c r="C81" s="55"/>
      <c r="D81" s="55"/>
      <c r="E81" s="55"/>
      <c r="F81" s="55"/>
      <c r="G81" s="55"/>
      <c r="H81" s="181"/>
      <c r="I81" s="55"/>
      <c r="J81" s="55"/>
      <c r="K81" s="55"/>
      <c r="L81" s="55"/>
      <c r="M81" s="55"/>
      <c r="N81" s="55"/>
      <c r="O81" s="55"/>
      <c r="P81" s="55"/>
      <c r="Q81" s="55"/>
      <c r="R81" s="55"/>
      <c r="S81" s="55"/>
      <c r="T81" s="55"/>
      <c r="U81" s="55"/>
      <c r="V81" s="55"/>
      <c r="W81" s="55"/>
      <c r="X81" s="55"/>
      <c r="Y81" s="55"/>
      <c r="Z81" s="55"/>
      <c r="AA81" s="55"/>
      <c r="AB81" s="55"/>
      <c r="AC81" s="55"/>
    </row>
    <row r="82">
      <c r="A82" s="53"/>
      <c r="B82" s="53"/>
      <c r="C82" s="55"/>
      <c r="D82" s="55"/>
      <c r="E82" s="55"/>
      <c r="F82" s="55"/>
      <c r="G82" s="55"/>
      <c r="H82" s="181"/>
      <c r="I82" s="55"/>
      <c r="J82" s="55"/>
      <c r="K82" s="55"/>
      <c r="L82" s="55"/>
      <c r="M82" s="55"/>
      <c r="N82" s="55"/>
      <c r="O82" s="55"/>
      <c r="P82" s="55"/>
      <c r="Q82" s="55"/>
      <c r="R82" s="55"/>
      <c r="S82" s="55"/>
      <c r="T82" s="55"/>
      <c r="U82" s="55"/>
      <c r="V82" s="55"/>
      <c r="W82" s="55"/>
      <c r="X82" s="55"/>
      <c r="Y82" s="55"/>
      <c r="Z82" s="55"/>
      <c r="AA82" s="55"/>
      <c r="AB82" s="55"/>
      <c r="AC82" s="55"/>
    </row>
    <row r="83">
      <c r="A83" s="53"/>
      <c r="B83" s="53"/>
      <c r="C83" s="55"/>
      <c r="D83" s="55"/>
      <c r="E83" s="55"/>
      <c r="F83" s="55"/>
      <c r="G83" s="55"/>
      <c r="H83" s="181"/>
      <c r="I83" s="55"/>
      <c r="J83" s="55"/>
      <c r="K83" s="55"/>
      <c r="L83" s="55"/>
      <c r="M83" s="55"/>
      <c r="N83" s="55"/>
      <c r="O83" s="55"/>
      <c r="P83" s="55"/>
      <c r="Q83" s="55"/>
      <c r="R83" s="55"/>
      <c r="S83" s="55"/>
      <c r="T83" s="55"/>
      <c r="U83" s="55"/>
      <c r="V83" s="55"/>
      <c r="W83" s="55"/>
      <c r="X83" s="55"/>
      <c r="Y83" s="55"/>
      <c r="Z83" s="55"/>
      <c r="AA83" s="55"/>
      <c r="AB83" s="55"/>
      <c r="AC83" s="55"/>
    </row>
    <row r="84">
      <c r="A84" s="53"/>
      <c r="B84" s="53"/>
      <c r="C84" s="55"/>
      <c r="D84" s="55"/>
      <c r="E84" s="55"/>
      <c r="F84" s="55"/>
      <c r="G84" s="55"/>
      <c r="H84" s="181"/>
      <c r="I84" s="55"/>
      <c r="J84" s="55"/>
      <c r="K84" s="55"/>
      <c r="L84" s="55"/>
      <c r="M84" s="55"/>
      <c r="N84" s="55"/>
      <c r="O84" s="55"/>
      <c r="P84" s="55"/>
      <c r="Q84" s="55"/>
      <c r="R84" s="55"/>
      <c r="S84" s="55"/>
      <c r="T84" s="55"/>
      <c r="U84" s="55"/>
      <c r="V84" s="55"/>
      <c r="W84" s="55"/>
      <c r="X84" s="55"/>
      <c r="Y84" s="55"/>
      <c r="Z84" s="55"/>
      <c r="AA84" s="55"/>
      <c r="AB84" s="55"/>
      <c r="AC84" s="55"/>
    </row>
    <row r="85">
      <c r="A85" s="53"/>
      <c r="B85" s="53"/>
      <c r="C85" s="55"/>
      <c r="D85" s="55"/>
      <c r="E85" s="55"/>
      <c r="F85" s="55"/>
      <c r="G85" s="55"/>
      <c r="H85" s="181"/>
      <c r="I85" s="55"/>
      <c r="J85" s="55"/>
      <c r="K85" s="55"/>
      <c r="L85" s="55"/>
      <c r="M85" s="55"/>
      <c r="N85" s="55"/>
      <c r="O85" s="55"/>
      <c r="P85" s="55"/>
      <c r="Q85" s="55"/>
      <c r="R85" s="55"/>
      <c r="S85" s="55"/>
      <c r="T85" s="55"/>
      <c r="U85" s="55"/>
      <c r="V85" s="55"/>
      <c r="W85" s="55"/>
      <c r="X85" s="55"/>
      <c r="Y85" s="55"/>
      <c r="Z85" s="55"/>
      <c r="AA85" s="55"/>
      <c r="AB85" s="55"/>
      <c r="AC85" s="55"/>
    </row>
    <row r="86">
      <c r="A86" s="53"/>
      <c r="B86" s="53"/>
      <c r="C86" s="55"/>
      <c r="D86" s="55"/>
      <c r="E86" s="55"/>
      <c r="F86" s="55"/>
      <c r="G86" s="55"/>
      <c r="H86" s="181"/>
      <c r="I86" s="55"/>
      <c r="J86" s="55"/>
      <c r="K86" s="55"/>
      <c r="L86" s="55"/>
      <c r="M86" s="55"/>
      <c r="N86" s="55"/>
      <c r="O86" s="55"/>
      <c r="P86" s="55"/>
      <c r="Q86" s="55"/>
      <c r="R86" s="55"/>
      <c r="S86" s="55"/>
      <c r="T86" s="55"/>
      <c r="U86" s="55"/>
      <c r="V86" s="55"/>
      <c r="W86" s="55"/>
      <c r="X86" s="55"/>
      <c r="Y86" s="55"/>
      <c r="Z86" s="55"/>
      <c r="AA86" s="55"/>
      <c r="AB86" s="55"/>
      <c r="AC86" s="55"/>
    </row>
    <row r="87">
      <c r="A87" s="53"/>
      <c r="B87" s="53"/>
      <c r="C87" s="55"/>
      <c r="D87" s="55"/>
      <c r="E87" s="55"/>
      <c r="F87" s="55"/>
      <c r="G87" s="55"/>
      <c r="H87" s="181"/>
      <c r="I87" s="55"/>
      <c r="J87" s="55"/>
      <c r="K87" s="55"/>
      <c r="L87" s="55"/>
      <c r="M87" s="55"/>
      <c r="N87" s="55"/>
      <c r="O87" s="55"/>
      <c r="P87" s="55"/>
      <c r="Q87" s="55"/>
      <c r="R87" s="55"/>
      <c r="S87" s="55"/>
      <c r="T87" s="55"/>
      <c r="U87" s="55"/>
      <c r="V87" s="55"/>
      <c r="W87" s="55"/>
      <c r="X87" s="55"/>
      <c r="Y87" s="55"/>
      <c r="Z87" s="55"/>
      <c r="AA87" s="55"/>
      <c r="AB87" s="55"/>
      <c r="AC87" s="55"/>
    </row>
    <row r="88">
      <c r="A88" s="53"/>
      <c r="B88" s="53"/>
      <c r="C88" s="55"/>
      <c r="D88" s="55"/>
      <c r="E88" s="55"/>
      <c r="F88" s="55"/>
      <c r="G88" s="55"/>
      <c r="H88" s="181"/>
      <c r="I88" s="55"/>
      <c r="J88" s="55"/>
      <c r="K88" s="55"/>
      <c r="L88" s="55"/>
      <c r="M88" s="55"/>
      <c r="N88" s="55"/>
      <c r="O88" s="55"/>
      <c r="P88" s="55"/>
      <c r="Q88" s="55"/>
      <c r="R88" s="55"/>
      <c r="S88" s="55"/>
      <c r="T88" s="55"/>
      <c r="U88" s="55"/>
      <c r="V88" s="55"/>
      <c r="W88" s="55"/>
      <c r="X88" s="55"/>
      <c r="Y88" s="55"/>
      <c r="Z88" s="55"/>
      <c r="AA88" s="55"/>
      <c r="AB88" s="55"/>
      <c r="AC88" s="55"/>
    </row>
    <row r="89">
      <c r="A89" s="53"/>
      <c r="B89" s="53"/>
      <c r="C89" s="55"/>
      <c r="D89" s="55"/>
      <c r="E89" s="55"/>
      <c r="F89" s="55"/>
      <c r="G89" s="55"/>
      <c r="H89" s="181"/>
      <c r="I89" s="55"/>
      <c r="J89" s="55"/>
      <c r="K89" s="55"/>
      <c r="L89" s="55"/>
      <c r="M89" s="55"/>
      <c r="N89" s="55"/>
      <c r="O89" s="55"/>
      <c r="P89" s="55"/>
      <c r="Q89" s="55"/>
      <c r="R89" s="55"/>
      <c r="S89" s="55"/>
      <c r="T89" s="55"/>
      <c r="U89" s="55"/>
      <c r="V89" s="55"/>
      <c r="W89" s="55"/>
      <c r="X89" s="55"/>
      <c r="Y89" s="55"/>
      <c r="Z89" s="55"/>
      <c r="AA89" s="55"/>
      <c r="AB89" s="55"/>
      <c r="AC89" s="55"/>
    </row>
    <row r="90">
      <c r="A90" s="53"/>
      <c r="B90" s="53"/>
      <c r="C90" s="55"/>
      <c r="D90" s="55"/>
      <c r="E90" s="55"/>
      <c r="F90" s="55"/>
      <c r="G90" s="55"/>
      <c r="H90" s="181"/>
      <c r="I90" s="55"/>
      <c r="J90" s="55"/>
      <c r="K90" s="55"/>
      <c r="L90" s="55"/>
      <c r="M90" s="55"/>
      <c r="N90" s="55"/>
      <c r="O90" s="55"/>
      <c r="P90" s="55"/>
      <c r="Q90" s="55"/>
      <c r="R90" s="55"/>
      <c r="S90" s="55"/>
      <c r="T90" s="55"/>
      <c r="U90" s="55"/>
      <c r="V90" s="55"/>
      <c r="W90" s="55"/>
      <c r="X90" s="55"/>
      <c r="Y90" s="55"/>
      <c r="Z90" s="55"/>
      <c r="AA90" s="55"/>
      <c r="AB90" s="55"/>
      <c r="AC90" s="55"/>
    </row>
    <row r="91">
      <c r="A91" s="53"/>
      <c r="B91" s="53"/>
      <c r="C91" s="55"/>
      <c r="D91" s="55"/>
      <c r="E91" s="55"/>
      <c r="F91" s="55"/>
      <c r="G91" s="55"/>
      <c r="H91" s="181"/>
      <c r="I91" s="55"/>
      <c r="J91" s="55"/>
      <c r="K91" s="55"/>
      <c r="L91" s="55"/>
      <c r="M91" s="55"/>
      <c r="N91" s="55"/>
      <c r="O91" s="55"/>
      <c r="P91" s="55"/>
      <c r="Q91" s="55"/>
      <c r="R91" s="55"/>
      <c r="S91" s="55"/>
      <c r="T91" s="55"/>
      <c r="U91" s="55"/>
      <c r="V91" s="55"/>
      <c r="W91" s="55"/>
      <c r="X91" s="55"/>
      <c r="Y91" s="55"/>
      <c r="Z91" s="55"/>
      <c r="AA91" s="55"/>
      <c r="AB91" s="55"/>
      <c r="AC91" s="55"/>
    </row>
    <row r="92">
      <c r="A92" s="53"/>
      <c r="B92" s="53"/>
      <c r="C92" s="55"/>
      <c r="D92" s="55"/>
      <c r="E92" s="55"/>
      <c r="F92" s="55"/>
      <c r="G92" s="55"/>
      <c r="H92" s="181"/>
      <c r="I92" s="55"/>
      <c r="J92" s="55"/>
      <c r="K92" s="55"/>
      <c r="L92" s="55"/>
      <c r="M92" s="55"/>
      <c r="N92" s="55"/>
      <c r="O92" s="55"/>
      <c r="P92" s="55"/>
      <c r="Q92" s="55"/>
      <c r="R92" s="55"/>
      <c r="S92" s="55"/>
      <c r="T92" s="55"/>
      <c r="U92" s="55"/>
      <c r="V92" s="55"/>
      <c r="W92" s="55"/>
      <c r="X92" s="55"/>
      <c r="Y92" s="55"/>
      <c r="Z92" s="55"/>
      <c r="AA92" s="55"/>
      <c r="AB92" s="55"/>
      <c r="AC92" s="55"/>
    </row>
    <row r="93">
      <c r="A93" s="53"/>
      <c r="B93" s="53"/>
      <c r="C93" s="55"/>
      <c r="D93" s="55"/>
      <c r="E93" s="55"/>
      <c r="F93" s="55"/>
      <c r="G93" s="55"/>
      <c r="H93" s="181"/>
      <c r="I93" s="55"/>
      <c r="J93" s="55"/>
      <c r="K93" s="55"/>
      <c r="L93" s="55"/>
      <c r="M93" s="55"/>
      <c r="N93" s="55"/>
      <c r="O93" s="55"/>
      <c r="P93" s="55"/>
      <c r="Q93" s="55"/>
      <c r="R93" s="55"/>
      <c r="S93" s="55"/>
      <c r="T93" s="55"/>
      <c r="U93" s="55"/>
      <c r="V93" s="55"/>
      <c r="W93" s="55"/>
      <c r="X93" s="55"/>
      <c r="Y93" s="55"/>
      <c r="Z93" s="55"/>
      <c r="AA93" s="55"/>
      <c r="AB93" s="55"/>
      <c r="AC93" s="55"/>
    </row>
    <row r="94">
      <c r="A94" s="53"/>
      <c r="B94" s="53"/>
      <c r="C94" s="55"/>
      <c r="D94" s="55"/>
      <c r="E94" s="55"/>
      <c r="F94" s="55"/>
      <c r="G94" s="55"/>
      <c r="H94" s="181"/>
      <c r="I94" s="55"/>
      <c r="J94" s="55"/>
      <c r="K94" s="55"/>
      <c r="L94" s="55"/>
      <c r="M94" s="55"/>
      <c r="N94" s="55"/>
      <c r="O94" s="55"/>
      <c r="P94" s="55"/>
      <c r="Q94" s="55"/>
      <c r="R94" s="55"/>
      <c r="S94" s="55"/>
      <c r="T94" s="55"/>
      <c r="U94" s="55"/>
      <c r="V94" s="55"/>
      <c r="W94" s="55"/>
      <c r="X94" s="55"/>
      <c r="Y94" s="55"/>
      <c r="Z94" s="55"/>
      <c r="AA94" s="55"/>
      <c r="AB94" s="55"/>
      <c r="AC94" s="55"/>
    </row>
    <row r="95">
      <c r="A95" s="53"/>
      <c r="B95" s="53"/>
      <c r="C95" s="55"/>
      <c r="D95" s="55"/>
      <c r="E95" s="55"/>
      <c r="F95" s="55"/>
      <c r="G95" s="55"/>
      <c r="H95" s="181"/>
      <c r="I95" s="55"/>
      <c r="J95" s="55"/>
      <c r="K95" s="55"/>
      <c r="L95" s="55"/>
      <c r="M95" s="55"/>
      <c r="N95" s="55"/>
      <c r="O95" s="55"/>
      <c r="P95" s="55"/>
      <c r="Q95" s="55"/>
      <c r="R95" s="55"/>
      <c r="S95" s="55"/>
      <c r="T95" s="55"/>
      <c r="U95" s="55"/>
      <c r="V95" s="55"/>
      <c r="W95" s="55"/>
      <c r="X95" s="55"/>
      <c r="Y95" s="55"/>
      <c r="Z95" s="55"/>
      <c r="AA95" s="55"/>
      <c r="AB95" s="55"/>
      <c r="AC95" s="55"/>
    </row>
    <row r="96">
      <c r="A96" s="53"/>
      <c r="B96" s="53"/>
      <c r="C96" s="55"/>
      <c r="D96" s="55"/>
      <c r="E96" s="55"/>
      <c r="F96" s="55"/>
      <c r="G96" s="55"/>
      <c r="H96" s="181"/>
      <c r="I96" s="55"/>
      <c r="J96" s="55"/>
      <c r="K96" s="55"/>
      <c r="L96" s="55"/>
      <c r="M96" s="55"/>
      <c r="N96" s="55"/>
      <c r="O96" s="55"/>
      <c r="P96" s="55"/>
      <c r="Q96" s="55"/>
      <c r="R96" s="55"/>
      <c r="S96" s="55"/>
      <c r="T96" s="55"/>
      <c r="U96" s="55"/>
      <c r="V96" s="55"/>
      <c r="W96" s="55"/>
      <c r="X96" s="55"/>
      <c r="Y96" s="55"/>
      <c r="Z96" s="55"/>
      <c r="AA96" s="55"/>
      <c r="AB96" s="55"/>
      <c r="AC96" s="55"/>
    </row>
    <row r="97">
      <c r="A97" s="53"/>
      <c r="B97" s="53"/>
      <c r="C97" s="55"/>
      <c r="D97" s="55"/>
      <c r="E97" s="55"/>
      <c r="F97" s="55"/>
      <c r="G97" s="55"/>
      <c r="H97" s="181"/>
      <c r="I97" s="55"/>
      <c r="J97" s="55"/>
      <c r="K97" s="55"/>
      <c r="L97" s="55"/>
      <c r="M97" s="55"/>
      <c r="N97" s="55"/>
      <c r="O97" s="55"/>
      <c r="P97" s="55"/>
      <c r="Q97" s="55"/>
      <c r="R97" s="55"/>
      <c r="S97" s="55"/>
      <c r="T97" s="55"/>
      <c r="U97" s="55"/>
      <c r="V97" s="55"/>
      <c r="W97" s="55"/>
      <c r="X97" s="55"/>
      <c r="Y97" s="55"/>
      <c r="Z97" s="55"/>
      <c r="AA97" s="55"/>
      <c r="AB97" s="55"/>
      <c r="AC97" s="55"/>
    </row>
    <row r="98">
      <c r="A98" s="53"/>
      <c r="B98" s="53"/>
      <c r="C98" s="55"/>
      <c r="D98" s="55"/>
      <c r="E98" s="55"/>
      <c r="F98" s="55"/>
      <c r="G98" s="55"/>
      <c r="H98" s="181"/>
      <c r="I98" s="55"/>
      <c r="J98" s="55"/>
      <c r="K98" s="55"/>
      <c r="L98" s="55"/>
      <c r="M98" s="55"/>
      <c r="N98" s="55"/>
      <c r="O98" s="55"/>
      <c r="P98" s="55"/>
      <c r="Q98" s="55"/>
      <c r="R98" s="55"/>
      <c r="S98" s="55"/>
      <c r="T98" s="55"/>
      <c r="U98" s="55"/>
      <c r="V98" s="55"/>
      <c r="W98" s="55"/>
      <c r="X98" s="55"/>
      <c r="Y98" s="55"/>
      <c r="Z98" s="55"/>
      <c r="AA98" s="55"/>
      <c r="AB98" s="55"/>
      <c r="AC98" s="55"/>
    </row>
    <row r="99">
      <c r="A99" s="53"/>
      <c r="B99" s="53"/>
      <c r="C99" s="55"/>
      <c r="D99" s="55"/>
      <c r="E99" s="55"/>
      <c r="F99" s="55"/>
      <c r="G99" s="55"/>
      <c r="H99" s="181"/>
      <c r="I99" s="55"/>
      <c r="J99" s="55"/>
      <c r="K99" s="55"/>
      <c r="L99" s="55"/>
      <c r="M99" s="55"/>
      <c r="N99" s="55"/>
      <c r="O99" s="55"/>
      <c r="P99" s="55"/>
      <c r="Q99" s="55"/>
      <c r="R99" s="55"/>
      <c r="S99" s="55"/>
      <c r="T99" s="55"/>
      <c r="U99" s="55"/>
      <c r="V99" s="55"/>
      <c r="W99" s="55"/>
      <c r="X99" s="55"/>
      <c r="Y99" s="55"/>
      <c r="Z99" s="55"/>
      <c r="AA99" s="55"/>
      <c r="AB99" s="55"/>
      <c r="AC99" s="55"/>
    </row>
    <row r="100">
      <c r="A100" s="53"/>
      <c r="B100" s="53"/>
      <c r="C100" s="55"/>
      <c r="D100" s="55"/>
      <c r="E100" s="55"/>
      <c r="F100" s="55"/>
      <c r="G100" s="55"/>
      <c r="H100" s="181"/>
      <c r="I100" s="55"/>
      <c r="J100" s="55"/>
      <c r="K100" s="55"/>
      <c r="L100" s="55"/>
      <c r="M100" s="55"/>
      <c r="N100" s="55"/>
      <c r="O100" s="55"/>
      <c r="P100" s="55"/>
      <c r="Q100" s="55"/>
      <c r="R100" s="55"/>
      <c r="S100" s="55"/>
      <c r="T100" s="55"/>
      <c r="U100" s="55"/>
      <c r="V100" s="55"/>
      <c r="W100" s="55"/>
      <c r="X100" s="55"/>
      <c r="Y100" s="55"/>
      <c r="Z100" s="55"/>
      <c r="AA100" s="55"/>
      <c r="AB100" s="55"/>
      <c r="AC100" s="55"/>
    </row>
    <row r="101">
      <c r="A101" s="53"/>
      <c r="B101" s="53"/>
      <c r="C101" s="55"/>
      <c r="D101" s="55"/>
      <c r="E101" s="55"/>
      <c r="F101" s="55"/>
      <c r="G101" s="55"/>
      <c r="H101" s="181"/>
      <c r="I101" s="55"/>
      <c r="J101" s="55"/>
      <c r="K101" s="55"/>
      <c r="L101" s="55"/>
      <c r="M101" s="55"/>
      <c r="N101" s="55"/>
      <c r="O101" s="55"/>
      <c r="P101" s="55"/>
      <c r="Q101" s="55"/>
      <c r="R101" s="55"/>
      <c r="S101" s="55"/>
      <c r="T101" s="55"/>
      <c r="U101" s="55"/>
      <c r="V101" s="55"/>
      <c r="W101" s="55"/>
      <c r="X101" s="55"/>
      <c r="Y101" s="55"/>
      <c r="Z101" s="55"/>
      <c r="AA101" s="55"/>
      <c r="AB101" s="55"/>
      <c r="AC101" s="55"/>
    </row>
    <row r="102">
      <c r="A102" s="53"/>
      <c r="B102" s="53"/>
      <c r="C102" s="55"/>
      <c r="D102" s="55"/>
      <c r="E102" s="55"/>
      <c r="F102" s="55"/>
      <c r="G102" s="55"/>
      <c r="H102" s="181"/>
      <c r="I102" s="55"/>
      <c r="J102" s="55"/>
      <c r="K102" s="55"/>
      <c r="L102" s="55"/>
      <c r="M102" s="55"/>
      <c r="N102" s="55"/>
      <c r="O102" s="55"/>
      <c r="P102" s="55"/>
      <c r="Q102" s="55"/>
      <c r="R102" s="55"/>
      <c r="S102" s="55"/>
      <c r="T102" s="55"/>
      <c r="U102" s="55"/>
      <c r="V102" s="55"/>
      <c r="W102" s="55"/>
      <c r="X102" s="55"/>
      <c r="Y102" s="55"/>
      <c r="Z102" s="55"/>
      <c r="AA102" s="55"/>
      <c r="AB102" s="55"/>
      <c r="AC102" s="55"/>
    </row>
    <row r="103">
      <c r="A103" s="53"/>
      <c r="B103" s="53"/>
      <c r="C103" s="55"/>
      <c r="D103" s="55"/>
      <c r="E103" s="55"/>
      <c r="F103" s="55"/>
      <c r="G103" s="55"/>
      <c r="H103" s="181"/>
      <c r="I103" s="55"/>
      <c r="J103" s="55"/>
      <c r="K103" s="55"/>
      <c r="L103" s="55"/>
      <c r="M103" s="55"/>
      <c r="N103" s="55"/>
      <c r="O103" s="55"/>
      <c r="P103" s="55"/>
      <c r="Q103" s="55"/>
      <c r="R103" s="55"/>
      <c r="S103" s="55"/>
      <c r="T103" s="55"/>
      <c r="U103" s="55"/>
      <c r="V103" s="55"/>
      <c r="W103" s="55"/>
      <c r="X103" s="55"/>
      <c r="Y103" s="55"/>
      <c r="Z103" s="55"/>
      <c r="AA103" s="55"/>
      <c r="AB103" s="55"/>
      <c r="AC103" s="55"/>
    </row>
    <row r="104">
      <c r="A104" s="53"/>
      <c r="B104" s="53"/>
      <c r="C104" s="55"/>
      <c r="D104" s="55"/>
      <c r="E104" s="55"/>
      <c r="F104" s="55"/>
      <c r="G104" s="55"/>
      <c r="H104" s="181"/>
      <c r="I104" s="55"/>
      <c r="J104" s="55"/>
      <c r="K104" s="55"/>
      <c r="L104" s="55"/>
      <c r="M104" s="55"/>
      <c r="N104" s="55"/>
      <c r="O104" s="55"/>
      <c r="P104" s="55"/>
      <c r="Q104" s="55"/>
      <c r="R104" s="55"/>
      <c r="S104" s="55"/>
      <c r="T104" s="55"/>
      <c r="U104" s="55"/>
      <c r="V104" s="55"/>
      <c r="W104" s="55"/>
      <c r="X104" s="55"/>
      <c r="Y104" s="55"/>
      <c r="Z104" s="55"/>
      <c r="AA104" s="55"/>
      <c r="AB104" s="55"/>
      <c r="AC104" s="55"/>
    </row>
    <row r="105">
      <c r="A105" s="53"/>
      <c r="B105" s="53"/>
      <c r="C105" s="55"/>
      <c r="D105" s="55"/>
      <c r="E105" s="55"/>
      <c r="F105" s="55"/>
      <c r="G105" s="55"/>
      <c r="H105" s="181"/>
      <c r="I105" s="55"/>
      <c r="J105" s="55"/>
      <c r="K105" s="55"/>
      <c r="L105" s="55"/>
      <c r="M105" s="55"/>
      <c r="N105" s="55"/>
      <c r="O105" s="55"/>
      <c r="P105" s="55"/>
      <c r="Q105" s="55"/>
      <c r="R105" s="55"/>
      <c r="S105" s="55"/>
      <c r="T105" s="55"/>
      <c r="U105" s="55"/>
      <c r="V105" s="55"/>
      <c r="W105" s="55"/>
      <c r="X105" s="55"/>
      <c r="Y105" s="55"/>
      <c r="Z105" s="55"/>
      <c r="AA105" s="55"/>
      <c r="AB105" s="55"/>
      <c r="AC105" s="55"/>
    </row>
    <row r="106">
      <c r="A106" s="53"/>
      <c r="B106" s="53"/>
      <c r="C106" s="55"/>
      <c r="D106" s="55"/>
      <c r="E106" s="55"/>
      <c r="F106" s="55"/>
      <c r="G106" s="55"/>
      <c r="H106" s="181"/>
      <c r="I106" s="55"/>
      <c r="J106" s="55"/>
      <c r="K106" s="55"/>
      <c r="L106" s="55"/>
      <c r="M106" s="55"/>
      <c r="N106" s="55"/>
      <c r="O106" s="55"/>
      <c r="P106" s="55"/>
      <c r="Q106" s="55"/>
      <c r="R106" s="55"/>
      <c r="S106" s="55"/>
      <c r="T106" s="55"/>
      <c r="U106" s="55"/>
      <c r="V106" s="55"/>
      <c r="W106" s="55"/>
      <c r="X106" s="55"/>
      <c r="Y106" s="55"/>
      <c r="Z106" s="55"/>
      <c r="AA106" s="55"/>
      <c r="AB106" s="55"/>
      <c r="AC106" s="55"/>
    </row>
    <row r="107">
      <c r="A107" s="53"/>
      <c r="B107" s="53"/>
      <c r="C107" s="55"/>
      <c r="D107" s="55"/>
      <c r="E107" s="55"/>
      <c r="F107" s="55"/>
      <c r="G107" s="55"/>
      <c r="H107" s="181"/>
      <c r="I107" s="55"/>
      <c r="J107" s="55"/>
      <c r="K107" s="55"/>
      <c r="L107" s="55"/>
      <c r="M107" s="55"/>
      <c r="N107" s="55"/>
      <c r="O107" s="55"/>
      <c r="P107" s="55"/>
      <c r="Q107" s="55"/>
      <c r="R107" s="55"/>
      <c r="S107" s="55"/>
      <c r="T107" s="55"/>
      <c r="U107" s="55"/>
      <c r="V107" s="55"/>
      <c r="W107" s="55"/>
      <c r="X107" s="55"/>
      <c r="Y107" s="55"/>
      <c r="Z107" s="55"/>
      <c r="AA107" s="55"/>
      <c r="AB107" s="55"/>
      <c r="AC107" s="55"/>
    </row>
    <row r="108">
      <c r="A108" s="53"/>
      <c r="B108" s="53"/>
      <c r="C108" s="55"/>
      <c r="D108" s="55"/>
      <c r="E108" s="55"/>
      <c r="F108" s="55"/>
      <c r="G108" s="55"/>
      <c r="H108" s="181"/>
      <c r="I108" s="55"/>
      <c r="J108" s="55"/>
      <c r="K108" s="55"/>
      <c r="L108" s="55"/>
      <c r="M108" s="55"/>
      <c r="N108" s="55"/>
      <c r="O108" s="55"/>
      <c r="P108" s="55"/>
      <c r="Q108" s="55"/>
      <c r="R108" s="55"/>
      <c r="S108" s="55"/>
      <c r="T108" s="55"/>
      <c r="U108" s="55"/>
      <c r="V108" s="55"/>
      <c r="W108" s="55"/>
      <c r="X108" s="55"/>
      <c r="Y108" s="55"/>
      <c r="Z108" s="55"/>
      <c r="AA108" s="55"/>
      <c r="AB108" s="55"/>
      <c r="AC108" s="55"/>
    </row>
    <row r="109">
      <c r="A109" s="53"/>
      <c r="B109" s="53"/>
      <c r="C109" s="55"/>
      <c r="D109" s="55"/>
      <c r="E109" s="55"/>
      <c r="F109" s="55"/>
      <c r="G109" s="55"/>
      <c r="H109" s="181"/>
      <c r="I109" s="55"/>
      <c r="J109" s="55"/>
      <c r="K109" s="55"/>
      <c r="L109" s="55"/>
      <c r="M109" s="55"/>
      <c r="N109" s="55"/>
      <c r="O109" s="55"/>
      <c r="P109" s="55"/>
      <c r="Q109" s="55"/>
      <c r="R109" s="55"/>
      <c r="S109" s="55"/>
      <c r="T109" s="55"/>
      <c r="U109" s="55"/>
      <c r="V109" s="55"/>
      <c r="W109" s="55"/>
      <c r="X109" s="55"/>
      <c r="Y109" s="55"/>
      <c r="Z109" s="55"/>
      <c r="AA109" s="55"/>
      <c r="AB109" s="55"/>
      <c r="AC109" s="55"/>
    </row>
    <row r="110">
      <c r="A110" s="53"/>
      <c r="B110" s="53"/>
      <c r="C110" s="55"/>
      <c r="D110" s="55"/>
      <c r="E110" s="55"/>
      <c r="F110" s="55"/>
      <c r="G110" s="55"/>
      <c r="H110" s="181"/>
      <c r="I110" s="55"/>
      <c r="J110" s="55"/>
      <c r="K110" s="55"/>
      <c r="L110" s="55"/>
      <c r="M110" s="55"/>
      <c r="N110" s="55"/>
      <c r="O110" s="55"/>
      <c r="P110" s="55"/>
      <c r="Q110" s="55"/>
      <c r="R110" s="55"/>
      <c r="S110" s="55"/>
      <c r="T110" s="55"/>
      <c r="U110" s="55"/>
      <c r="V110" s="55"/>
      <c r="W110" s="55"/>
      <c r="X110" s="55"/>
      <c r="Y110" s="55"/>
      <c r="Z110" s="55"/>
      <c r="AA110" s="55"/>
      <c r="AB110" s="55"/>
      <c r="AC110" s="55"/>
    </row>
    <row r="111">
      <c r="A111" s="53"/>
      <c r="B111" s="53"/>
      <c r="C111" s="55"/>
      <c r="D111" s="55"/>
      <c r="E111" s="55"/>
      <c r="F111" s="55"/>
      <c r="G111" s="55"/>
      <c r="H111" s="181"/>
      <c r="I111" s="55"/>
      <c r="J111" s="55"/>
      <c r="K111" s="55"/>
      <c r="L111" s="55"/>
      <c r="M111" s="55"/>
      <c r="N111" s="55"/>
      <c r="O111" s="55"/>
      <c r="P111" s="55"/>
      <c r="Q111" s="55"/>
      <c r="R111" s="55"/>
      <c r="S111" s="55"/>
      <c r="T111" s="55"/>
      <c r="U111" s="55"/>
      <c r="V111" s="55"/>
      <c r="W111" s="55"/>
      <c r="X111" s="55"/>
      <c r="Y111" s="55"/>
      <c r="Z111" s="55"/>
      <c r="AA111" s="55"/>
      <c r="AB111" s="55"/>
      <c r="AC111" s="55"/>
    </row>
    <row r="112">
      <c r="A112" s="53"/>
      <c r="B112" s="53"/>
      <c r="C112" s="55"/>
      <c r="D112" s="55"/>
      <c r="E112" s="55"/>
      <c r="F112" s="55"/>
      <c r="G112" s="55"/>
      <c r="H112" s="181"/>
      <c r="I112" s="55"/>
      <c r="J112" s="55"/>
      <c r="K112" s="55"/>
      <c r="L112" s="55"/>
      <c r="M112" s="55"/>
      <c r="N112" s="55"/>
      <c r="O112" s="55"/>
      <c r="P112" s="55"/>
      <c r="Q112" s="55"/>
      <c r="R112" s="55"/>
      <c r="S112" s="55"/>
      <c r="T112" s="55"/>
      <c r="U112" s="55"/>
      <c r="V112" s="55"/>
      <c r="W112" s="55"/>
      <c r="X112" s="55"/>
      <c r="Y112" s="55"/>
      <c r="Z112" s="55"/>
      <c r="AA112" s="55"/>
      <c r="AB112" s="55"/>
      <c r="AC112" s="55"/>
    </row>
    <row r="113">
      <c r="A113" s="53"/>
      <c r="B113" s="53"/>
      <c r="C113" s="55"/>
      <c r="D113" s="55"/>
      <c r="E113" s="55"/>
      <c r="F113" s="55"/>
      <c r="G113" s="55"/>
      <c r="H113" s="181"/>
      <c r="I113" s="55"/>
      <c r="J113" s="55"/>
      <c r="K113" s="55"/>
      <c r="L113" s="55"/>
      <c r="M113" s="55"/>
      <c r="N113" s="55"/>
      <c r="O113" s="55"/>
      <c r="P113" s="55"/>
      <c r="Q113" s="55"/>
      <c r="R113" s="55"/>
      <c r="S113" s="55"/>
      <c r="T113" s="55"/>
      <c r="U113" s="55"/>
      <c r="V113" s="55"/>
      <c r="W113" s="55"/>
      <c r="X113" s="55"/>
      <c r="Y113" s="55"/>
      <c r="Z113" s="55"/>
      <c r="AA113" s="55"/>
      <c r="AB113" s="55"/>
      <c r="AC113" s="55"/>
    </row>
    <row r="114">
      <c r="A114" s="53"/>
      <c r="B114" s="53"/>
      <c r="C114" s="55"/>
      <c r="D114" s="55"/>
      <c r="E114" s="55"/>
      <c r="F114" s="55"/>
      <c r="G114" s="55"/>
      <c r="H114" s="181"/>
      <c r="I114" s="55"/>
      <c r="J114" s="55"/>
      <c r="K114" s="55"/>
      <c r="L114" s="55"/>
      <c r="M114" s="55"/>
      <c r="N114" s="55"/>
      <c r="O114" s="55"/>
      <c r="P114" s="55"/>
      <c r="Q114" s="55"/>
      <c r="R114" s="55"/>
      <c r="S114" s="55"/>
      <c r="T114" s="55"/>
      <c r="U114" s="55"/>
      <c r="V114" s="55"/>
      <c r="W114" s="55"/>
      <c r="X114" s="55"/>
      <c r="Y114" s="55"/>
      <c r="Z114" s="55"/>
      <c r="AA114" s="55"/>
      <c r="AB114" s="55"/>
      <c r="AC114" s="55"/>
    </row>
    <row r="115">
      <c r="A115" s="53"/>
      <c r="B115" s="53"/>
      <c r="C115" s="55"/>
      <c r="D115" s="55"/>
      <c r="E115" s="55"/>
      <c r="F115" s="55"/>
      <c r="G115" s="55"/>
      <c r="H115" s="181"/>
      <c r="I115" s="55"/>
      <c r="J115" s="55"/>
      <c r="K115" s="55"/>
      <c r="L115" s="55"/>
      <c r="M115" s="55"/>
      <c r="N115" s="55"/>
      <c r="O115" s="55"/>
      <c r="P115" s="55"/>
      <c r="Q115" s="55"/>
      <c r="R115" s="55"/>
      <c r="S115" s="55"/>
      <c r="T115" s="55"/>
      <c r="U115" s="55"/>
      <c r="V115" s="55"/>
      <c r="W115" s="55"/>
      <c r="X115" s="55"/>
      <c r="Y115" s="55"/>
      <c r="Z115" s="55"/>
      <c r="AA115" s="55"/>
      <c r="AB115" s="55"/>
      <c r="AC115" s="55"/>
    </row>
    <row r="116">
      <c r="A116" s="53"/>
      <c r="B116" s="53"/>
      <c r="C116" s="55"/>
      <c r="D116" s="55"/>
      <c r="E116" s="55"/>
      <c r="F116" s="55"/>
      <c r="G116" s="55"/>
      <c r="H116" s="181"/>
      <c r="I116" s="55"/>
      <c r="J116" s="55"/>
      <c r="K116" s="55"/>
      <c r="L116" s="55"/>
      <c r="M116" s="55"/>
      <c r="N116" s="55"/>
      <c r="O116" s="55"/>
      <c r="P116" s="55"/>
      <c r="Q116" s="55"/>
      <c r="R116" s="55"/>
      <c r="S116" s="55"/>
      <c r="T116" s="55"/>
      <c r="U116" s="55"/>
      <c r="V116" s="55"/>
      <c r="W116" s="55"/>
      <c r="X116" s="55"/>
      <c r="Y116" s="55"/>
      <c r="Z116" s="55"/>
      <c r="AA116" s="55"/>
      <c r="AB116" s="55"/>
      <c r="AC116" s="55"/>
    </row>
    <row r="117">
      <c r="A117" s="53"/>
      <c r="B117" s="53"/>
      <c r="C117" s="55"/>
      <c r="D117" s="55"/>
      <c r="E117" s="55"/>
      <c r="F117" s="55"/>
      <c r="G117" s="55"/>
      <c r="H117" s="181"/>
      <c r="I117" s="55"/>
      <c r="J117" s="55"/>
      <c r="K117" s="55"/>
      <c r="L117" s="55"/>
      <c r="M117" s="55"/>
      <c r="N117" s="55"/>
      <c r="O117" s="55"/>
      <c r="P117" s="55"/>
      <c r="Q117" s="55"/>
      <c r="R117" s="55"/>
      <c r="S117" s="55"/>
      <c r="T117" s="55"/>
      <c r="U117" s="55"/>
      <c r="V117" s="55"/>
      <c r="W117" s="55"/>
      <c r="X117" s="55"/>
      <c r="Y117" s="55"/>
      <c r="Z117" s="55"/>
      <c r="AA117" s="55"/>
      <c r="AB117" s="55"/>
      <c r="AC117" s="55"/>
    </row>
    <row r="118">
      <c r="A118" s="53"/>
      <c r="B118" s="53"/>
      <c r="C118" s="55"/>
      <c r="D118" s="55"/>
      <c r="E118" s="55"/>
      <c r="F118" s="55"/>
      <c r="G118" s="55"/>
      <c r="H118" s="181"/>
      <c r="I118" s="55"/>
      <c r="J118" s="55"/>
      <c r="K118" s="55"/>
      <c r="L118" s="55"/>
      <c r="M118" s="55"/>
      <c r="N118" s="55"/>
      <c r="O118" s="55"/>
      <c r="P118" s="55"/>
      <c r="Q118" s="55"/>
      <c r="R118" s="55"/>
      <c r="S118" s="55"/>
      <c r="T118" s="55"/>
      <c r="U118" s="55"/>
      <c r="V118" s="55"/>
      <c r="W118" s="55"/>
      <c r="X118" s="55"/>
      <c r="Y118" s="55"/>
      <c r="Z118" s="55"/>
      <c r="AA118" s="55"/>
      <c r="AB118" s="55"/>
      <c r="AC118" s="55"/>
    </row>
    <row r="119">
      <c r="A119" s="53"/>
      <c r="B119" s="53"/>
      <c r="C119" s="55"/>
      <c r="D119" s="55"/>
      <c r="E119" s="55"/>
      <c r="F119" s="55"/>
      <c r="G119" s="55"/>
      <c r="H119" s="181"/>
      <c r="I119" s="55"/>
      <c r="J119" s="55"/>
      <c r="K119" s="55"/>
      <c r="L119" s="55"/>
      <c r="M119" s="55"/>
      <c r="N119" s="55"/>
      <c r="O119" s="55"/>
      <c r="P119" s="55"/>
      <c r="Q119" s="55"/>
      <c r="R119" s="55"/>
      <c r="S119" s="55"/>
      <c r="T119" s="55"/>
      <c r="U119" s="55"/>
      <c r="V119" s="55"/>
      <c r="W119" s="55"/>
      <c r="X119" s="55"/>
      <c r="Y119" s="55"/>
      <c r="Z119" s="55"/>
      <c r="AA119" s="55"/>
      <c r="AB119" s="55"/>
      <c r="AC119" s="55"/>
    </row>
    <row r="120">
      <c r="A120" s="53"/>
      <c r="B120" s="53"/>
      <c r="C120" s="55"/>
      <c r="D120" s="55"/>
      <c r="E120" s="55"/>
      <c r="F120" s="55"/>
      <c r="G120" s="55"/>
      <c r="H120" s="181"/>
      <c r="I120" s="55"/>
      <c r="J120" s="55"/>
      <c r="K120" s="55"/>
      <c r="L120" s="55"/>
      <c r="M120" s="55"/>
      <c r="N120" s="55"/>
      <c r="O120" s="55"/>
      <c r="P120" s="55"/>
      <c r="Q120" s="55"/>
      <c r="R120" s="55"/>
      <c r="S120" s="55"/>
      <c r="T120" s="55"/>
      <c r="U120" s="55"/>
      <c r="V120" s="55"/>
      <c r="W120" s="55"/>
      <c r="X120" s="55"/>
      <c r="Y120" s="55"/>
      <c r="Z120" s="55"/>
      <c r="AA120" s="55"/>
      <c r="AB120" s="55"/>
      <c r="AC120" s="55"/>
    </row>
    <row r="121">
      <c r="A121" s="53"/>
      <c r="B121" s="53"/>
      <c r="C121" s="55"/>
      <c r="D121" s="55"/>
      <c r="E121" s="55"/>
      <c r="F121" s="55"/>
      <c r="G121" s="55"/>
      <c r="H121" s="181"/>
      <c r="I121" s="55"/>
      <c r="J121" s="55"/>
      <c r="K121" s="55"/>
      <c r="L121" s="55"/>
      <c r="M121" s="55"/>
      <c r="N121" s="55"/>
      <c r="O121" s="55"/>
      <c r="P121" s="55"/>
      <c r="Q121" s="55"/>
      <c r="R121" s="55"/>
      <c r="S121" s="55"/>
      <c r="T121" s="55"/>
      <c r="U121" s="55"/>
      <c r="V121" s="55"/>
      <c r="W121" s="55"/>
      <c r="X121" s="55"/>
      <c r="Y121" s="55"/>
      <c r="Z121" s="55"/>
      <c r="AA121" s="55"/>
      <c r="AB121" s="55"/>
      <c r="AC121" s="55"/>
    </row>
    <row r="122">
      <c r="A122" s="53"/>
      <c r="B122" s="53"/>
      <c r="C122" s="55"/>
      <c r="D122" s="55"/>
      <c r="E122" s="55"/>
      <c r="F122" s="55"/>
      <c r="G122" s="55"/>
      <c r="H122" s="181"/>
      <c r="I122" s="55"/>
      <c r="J122" s="55"/>
      <c r="K122" s="55"/>
      <c r="L122" s="55"/>
      <c r="M122" s="55"/>
      <c r="N122" s="55"/>
      <c r="O122" s="55"/>
      <c r="P122" s="55"/>
      <c r="Q122" s="55"/>
      <c r="R122" s="55"/>
      <c r="S122" s="55"/>
      <c r="T122" s="55"/>
      <c r="U122" s="55"/>
      <c r="V122" s="55"/>
      <c r="W122" s="55"/>
      <c r="X122" s="55"/>
      <c r="Y122" s="55"/>
      <c r="Z122" s="55"/>
      <c r="AA122" s="55"/>
      <c r="AB122" s="55"/>
      <c r="AC122" s="55"/>
    </row>
    <row r="123">
      <c r="A123" s="53"/>
      <c r="B123" s="53"/>
      <c r="C123" s="55"/>
      <c r="D123" s="55"/>
      <c r="E123" s="55"/>
      <c r="F123" s="55"/>
      <c r="G123" s="55"/>
      <c r="H123" s="181"/>
      <c r="I123" s="55"/>
      <c r="J123" s="55"/>
      <c r="K123" s="55"/>
      <c r="L123" s="55"/>
      <c r="M123" s="55"/>
      <c r="N123" s="55"/>
      <c r="O123" s="55"/>
      <c r="P123" s="55"/>
      <c r="Q123" s="55"/>
      <c r="R123" s="55"/>
      <c r="S123" s="55"/>
      <c r="T123" s="55"/>
      <c r="U123" s="55"/>
      <c r="V123" s="55"/>
      <c r="W123" s="55"/>
      <c r="X123" s="55"/>
      <c r="Y123" s="55"/>
      <c r="Z123" s="55"/>
      <c r="AA123" s="55"/>
      <c r="AB123" s="55"/>
      <c r="AC123" s="55"/>
    </row>
    <row r="124">
      <c r="A124" s="53"/>
      <c r="B124" s="53"/>
      <c r="C124" s="55"/>
      <c r="D124" s="55"/>
      <c r="E124" s="55"/>
      <c r="F124" s="55"/>
      <c r="G124" s="55"/>
      <c r="H124" s="181"/>
      <c r="I124" s="55"/>
      <c r="J124" s="55"/>
      <c r="K124" s="55"/>
      <c r="L124" s="55"/>
      <c r="M124" s="55"/>
      <c r="N124" s="55"/>
      <c r="O124" s="55"/>
      <c r="P124" s="55"/>
      <c r="Q124" s="55"/>
      <c r="R124" s="55"/>
      <c r="S124" s="55"/>
      <c r="T124" s="55"/>
      <c r="U124" s="55"/>
      <c r="V124" s="55"/>
      <c r="W124" s="55"/>
      <c r="X124" s="55"/>
      <c r="Y124" s="55"/>
      <c r="Z124" s="55"/>
      <c r="AA124" s="55"/>
      <c r="AB124" s="55"/>
      <c r="AC124" s="55"/>
    </row>
    <row r="125">
      <c r="A125" s="53"/>
      <c r="B125" s="53"/>
      <c r="C125" s="55"/>
      <c r="D125" s="55"/>
      <c r="E125" s="55"/>
      <c r="F125" s="55"/>
      <c r="G125" s="55"/>
      <c r="H125" s="181"/>
      <c r="I125" s="55"/>
      <c r="J125" s="55"/>
      <c r="K125" s="55"/>
      <c r="L125" s="55"/>
      <c r="M125" s="55"/>
      <c r="N125" s="55"/>
      <c r="O125" s="55"/>
      <c r="P125" s="55"/>
      <c r="Q125" s="55"/>
      <c r="R125" s="55"/>
      <c r="S125" s="55"/>
      <c r="T125" s="55"/>
      <c r="U125" s="55"/>
      <c r="V125" s="55"/>
      <c r="W125" s="55"/>
      <c r="X125" s="55"/>
      <c r="Y125" s="55"/>
      <c r="Z125" s="55"/>
      <c r="AA125" s="55"/>
      <c r="AB125" s="55"/>
      <c r="AC125" s="55"/>
    </row>
    <row r="126">
      <c r="A126" s="53"/>
      <c r="B126" s="53"/>
      <c r="C126" s="55"/>
      <c r="D126" s="55"/>
      <c r="E126" s="55"/>
      <c r="F126" s="55"/>
      <c r="G126" s="55"/>
      <c r="H126" s="181"/>
      <c r="I126" s="55"/>
      <c r="J126" s="55"/>
      <c r="K126" s="55"/>
      <c r="L126" s="55"/>
      <c r="M126" s="55"/>
      <c r="N126" s="55"/>
      <c r="O126" s="55"/>
      <c r="P126" s="55"/>
      <c r="Q126" s="55"/>
      <c r="R126" s="55"/>
      <c r="S126" s="55"/>
      <c r="T126" s="55"/>
      <c r="U126" s="55"/>
      <c r="V126" s="55"/>
      <c r="W126" s="55"/>
      <c r="X126" s="55"/>
      <c r="Y126" s="55"/>
      <c r="Z126" s="55"/>
      <c r="AA126" s="55"/>
      <c r="AB126" s="55"/>
      <c r="AC126" s="55"/>
    </row>
    <row r="127">
      <c r="A127" s="53"/>
      <c r="B127" s="53"/>
      <c r="C127" s="55"/>
      <c r="D127" s="55"/>
      <c r="E127" s="55"/>
      <c r="F127" s="55"/>
      <c r="G127" s="55"/>
      <c r="H127" s="181"/>
      <c r="I127" s="55"/>
      <c r="J127" s="55"/>
      <c r="K127" s="55"/>
      <c r="L127" s="55"/>
      <c r="M127" s="55"/>
      <c r="N127" s="55"/>
      <c r="O127" s="55"/>
      <c r="P127" s="55"/>
      <c r="Q127" s="55"/>
      <c r="R127" s="55"/>
      <c r="S127" s="55"/>
      <c r="T127" s="55"/>
      <c r="U127" s="55"/>
      <c r="V127" s="55"/>
      <c r="W127" s="55"/>
      <c r="X127" s="55"/>
      <c r="Y127" s="55"/>
      <c r="Z127" s="55"/>
      <c r="AA127" s="55"/>
      <c r="AB127" s="55"/>
      <c r="AC127" s="55"/>
    </row>
    <row r="128">
      <c r="A128" s="53"/>
      <c r="B128" s="53"/>
      <c r="C128" s="55"/>
      <c r="D128" s="55"/>
      <c r="E128" s="55"/>
      <c r="F128" s="55"/>
      <c r="G128" s="55"/>
      <c r="H128" s="181"/>
      <c r="I128" s="55"/>
      <c r="J128" s="55"/>
      <c r="K128" s="55"/>
      <c r="L128" s="55"/>
      <c r="M128" s="55"/>
      <c r="N128" s="55"/>
      <c r="O128" s="55"/>
      <c r="P128" s="55"/>
      <c r="Q128" s="55"/>
      <c r="R128" s="55"/>
      <c r="S128" s="55"/>
      <c r="T128" s="55"/>
      <c r="U128" s="55"/>
      <c r="V128" s="55"/>
      <c r="W128" s="55"/>
      <c r="X128" s="55"/>
      <c r="Y128" s="55"/>
      <c r="Z128" s="55"/>
      <c r="AA128" s="55"/>
      <c r="AB128" s="55"/>
      <c r="AC128" s="55"/>
    </row>
    <row r="129">
      <c r="A129" s="53"/>
      <c r="B129" s="53"/>
      <c r="C129" s="55"/>
      <c r="D129" s="55"/>
      <c r="E129" s="55"/>
      <c r="F129" s="55"/>
      <c r="G129" s="55"/>
      <c r="H129" s="181"/>
      <c r="I129" s="55"/>
      <c r="J129" s="55"/>
      <c r="K129" s="55"/>
      <c r="L129" s="55"/>
      <c r="M129" s="55"/>
      <c r="N129" s="55"/>
      <c r="O129" s="55"/>
      <c r="P129" s="55"/>
      <c r="Q129" s="55"/>
      <c r="R129" s="55"/>
      <c r="S129" s="55"/>
      <c r="T129" s="55"/>
      <c r="U129" s="55"/>
      <c r="V129" s="55"/>
      <c r="W129" s="55"/>
      <c r="X129" s="55"/>
      <c r="Y129" s="55"/>
      <c r="Z129" s="55"/>
      <c r="AA129" s="55"/>
      <c r="AB129" s="55"/>
      <c r="AC129" s="55"/>
    </row>
    <row r="130">
      <c r="A130" s="53"/>
      <c r="B130" s="53"/>
      <c r="C130" s="55"/>
      <c r="D130" s="55"/>
      <c r="E130" s="55"/>
      <c r="F130" s="55"/>
      <c r="G130" s="55"/>
      <c r="H130" s="181"/>
      <c r="I130" s="55"/>
      <c r="J130" s="55"/>
      <c r="K130" s="55"/>
      <c r="L130" s="55"/>
      <c r="M130" s="55"/>
      <c r="N130" s="55"/>
      <c r="O130" s="55"/>
      <c r="P130" s="55"/>
      <c r="Q130" s="55"/>
      <c r="R130" s="55"/>
      <c r="S130" s="55"/>
      <c r="T130" s="55"/>
      <c r="U130" s="55"/>
      <c r="V130" s="55"/>
      <c r="W130" s="55"/>
      <c r="X130" s="55"/>
      <c r="Y130" s="55"/>
      <c r="Z130" s="55"/>
      <c r="AA130" s="55"/>
      <c r="AB130" s="55"/>
      <c r="AC130" s="55"/>
    </row>
    <row r="131">
      <c r="A131" s="53"/>
      <c r="B131" s="53"/>
      <c r="C131" s="55"/>
      <c r="D131" s="55"/>
      <c r="E131" s="55"/>
      <c r="F131" s="55"/>
      <c r="G131" s="55"/>
      <c r="H131" s="181"/>
      <c r="I131" s="55"/>
      <c r="J131" s="55"/>
      <c r="K131" s="55"/>
      <c r="L131" s="55"/>
      <c r="M131" s="55"/>
      <c r="N131" s="55"/>
      <c r="O131" s="55"/>
      <c r="P131" s="55"/>
      <c r="Q131" s="55"/>
      <c r="R131" s="55"/>
      <c r="S131" s="55"/>
      <c r="T131" s="55"/>
      <c r="U131" s="55"/>
      <c r="V131" s="55"/>
      <c r="W131" s="55"/>
      <c r="X131" s="55"/>
      <c r="Y131" s="55"/>
      <c r="Z131" s="55"/>
      <c r="AA131" s="55"/>
      <c r="AB131" s="55"/>
      <c r="AC131" s="55"/>
    </row>
    <row r="132">
      <c r="A132" s="53"/>
      <c r="B132" s="53"/>
      <c r="C132" s="55"/>
      <c r="D132" s="55"/>
      <c r="E132" s="55"/>
      <c r="F132" s="55"/>
      <c r="G132" s="55"/>
      <c r="H132" s="181"/>
      <c r="I132" s="55"/>
      <c r="J132" s="55"/>
      <c r="K132" s="55"/>
      <c r="L132" s="55"/>
      <c r="M132" s="55"/>
      <c r="N132" s="55"/>
      <c r="O132" s="55"/>
      <c r="P132" s="55"/>
      <c r="Q132" s="55"/>
      <c r="R132" s="55"/>
      <c r="S132" s="55"/>
      <c r="T132" s="55"/>
      <c r="U132" s="55"/>
      <c r="V132" s="55"/>
      <c r="W132" s="55"/>
      <c r="X132" s="55"/>
      <c r="Y132" s="55"/>
      <c r="Z132" s="55"/>
      <c r="AA132" s="55"/>
      <c r="AB132" s="55"/>
      <c r="AC132" s="55"/>
    </row>
    <row r="133">
      <c r="A133" s="53"/>
      <c r="B133" s="53"/>
      <c r="C133" s="55"/>
      <c r="D133" s="55"/>
      <c r="E133" s="55"/>
      <c r="F133" s="55"/>
      <c r="G133" s="55"/>
      <c r="H133" s="181"/>
      <c r="I133" s="55"/>
      <c r="J133" s="55"/>
      <c r="K133" s="55"/>
      <c r="L133" s="55"/>
      <c r="M133" s="55"/>
      <c r="N133" s="55"/>
      <c r="O133" s="55"/>
      <c r="P133" s="55"/>
      <c r="Q133" s="55"/>
      <c r="R133" s="55"/>
      <c r="S133" s="55"/>
      <c r="T133" s="55"/>
      <c r="U133" s="55"/>
      <c r="V133" s="55"/>
      <c r="W133" s="55"/>
      <c r="X133" s="55"/>
      <c r="Y133" s="55"/>
      <c r="Z133" s="55"/>
      <c r="AA133" s="55"/>
      <c r="AB133" s="55"/>
      <c r="AC133" s="55"/>
    </row>
    <row r="134">
      <c r="A134" s="53"/>
      <c r="B134" s="53"/>
      <c r="C134" s="55"/>
      <c r="D134" s="55"/>
      <c r="E134" s="55"/>
      <c r="F134" s="55"/>
      <c r="G134" s="55"/>
      <c r="H134" s="181"/>
      <c r="I134" s="55"/>
      <c r="J134" s="55"/>
      <c r="K134" s="55"/>
      <c r="L134" s="55"/>
      <c r="M134" s="55"/>
      <c r="N134" s="55"/>
      <c r="O134" s="55"/>
      <c r="P134" s="55"/>
      <c r="Q134" s="55"/>
      <c r="R134" s="55"/>
      <c r="S134" s="55"/>
      <c r="T134" s="55"/>
      <c r="U134" s="55"/>
      <c r="V134" s="55"/>
      <c r="W134" s="55"/>
      <c r="X134" s="55"/>
      <c r="Y134" s="55"/>
      <c r="Z134" s="55"/>
      <c r="AA134" s="55"/>
      <c r="AB134" s="55"/>
      <c r="AC134" s="55"/>
    </row>
    <row r="135">
      <c r="A135" s="53"/>
      <c r="B135" s="53"/>
      <c r="C135" s="55"/>
      <c r="D135" s="55"/>
      <c r="E135" s="55"/>
      <c r="F135" s="55"/>
      <c r="G135" s="55"/>
      <c r="H135" s="181"/>
      <c r="I135" s="55"/>
      <c r="J135" s="55"/>
      <c r="K135" s="55"/>
      <c r="L135" s="55"/>
      <c r="M135" s="55"/>
      <c r="N135" s="55"/>
      <c r="O135" s="55"/>
      <c r="P135" s="55"/>
      <c r="Q135" s="55"/>
      <c r="R135" s="55"/>
      <c r="S135" s="55"/>
      <c r="T135" s="55"/>
      <c r="U135" s="55"/>
      <c r="V135" s="55"/>
      <c r="W135" s="55"/>
      <c r="X135" s="55"/>
      <c r="Y135" s="55"/>
      <c r="Z135" s="55"/>
      <c r="AA135" s="55"/>
      <c r="AB135" s="55"/>
      <c r="AC135" s="55"/>
    </row>
    <row r="136">
      <c r="A136" s="53"/>
      <c r="B136" s="53"/>
      <c r="C136" s="55"/>
      <c r="D136" s="55"/>
      <c r="E136" s="55"/>
      <c r="F136" s="55"/>
      <c r="G136" s="55"/>
      <c r="H136" s="181"/>
      <c r="I136" s="55"/>
      <c r="J136" s="55"/>
      <c r="K136" s="55"/>
      <c r="L136" s="55"/>
      <c r="M136" s="55"/>
      <c r="N136" s="55"/>
      <c r="O136" s="55"/>
      <c r="P136" s="55"/>
      <c r="Q136" s="55"/>
      <c r="R136" s="55"/>
      <c r="S136" s="55"/>
      <c r="T136" s="55"/>
      <c r="U136" s="55"/>
      <c r="V136" s="55"/>
      <c r="W136" s="55"/>
      <c r="X136" s="55"/>
      <c r="Y136" s="55"/>
      <c r="Z136" s="55"/>
      <c r="AA136" s="55"/>
      <c r="AB136" s="55"/>
      <c r="AC136" s="55"/>
    </row>
    <row r="137">
      <c r="A137" s="53"/>
      <c r="B137" s="53"/>
      <c r="C137" s="55"/>
      <c r="D137" s="55"/>
      <c r="E137" s="55"/>
      <c r="F137" s="55"/>
      <c r="G137" s="55"/>
      <c r="H137" s="181"/>
      <c r="I137" s="55"/>
      <c r="J137" s="55"/>
      <c r="K137" s="55"/>
      <c r="L137" s="55"/>
      <c r="M137" s="55"/>
      <c r="N137" s="55"/>
      <c r="O137" s="55"/>
      <c r="P137" s="55"/>
      <c r="Q137" s="55"/>
      <c r="R137" s="55"/>
      <c r="S137" s="55"/>
      <c r="T137" s="55"/>
      <c r="U137" s="55"/>
      <c r="V137" s="55"/>
      <c r="W137" s="55"/>
      <c r="X137" s="55"/>
      <c r="Y137" s="55"/>
      <c r="Z137" s="55"/>
      <c r="AA137" s="55"/>
      <c r="AB137" s="55"/>
      <c r="AC137" s="55"/>
    </row>
    <row r="138">
      <c r="A138" s="53"/>
      <c r="B138" s="53"/>
      <c r="C138" s="55"/>
      <c r="D138" s="55"/>
      <c r="E138" s="55"/>
      <c r="F138" s="55"/>
      <c r="G138" s="55"/>
      <c r="H138" s="181"/>
      <c r="I138" s="55"/>
      <c r="J138" s="55"/>
      <c r="K138" s="55"/>
      <c r="L138" s="55"/>
      <c r="M138" s="55"/>
      <c r="N138" s="55"/>
      <c r="O138" s="55"/>
      <c r="P138" s="55"/>
      <c r="Q138" s="55"/>
      <c r="R138" s="55"/>
      <c r="S138" s="55"/>
      <c r="T138" s="55"/>
      <c r="U138" s="55"/>
      <c r="V138" s="55"/>
      <c r="W138" s="55"/>
      <c r="X138" s="55"/>
      <c r="Y138" s="55"/>
      <c r="Z138" s="55"/>
      <c r="AA138" s="55"/>
      <c r="AB138" s="55"/>
      <c r="AC138" s="55"/>
    </row>
    <row r="139">
      <c r="A139" s="53"/>
      <c r="B139" s="53"/>
      <c r="C139" s="55"/>
      <c r="D139" s="55"/>
      <c r="E139" s="55"/>
      <c r="F139" s="55"/>
      <c r="G139" s="55"/>
      <c r="H139" s="181"/>
      <c r="I139" s="55"/>
      <c r="J139" s="55"/>
      <c r="K139" s="55"/>
      <c r="L139" s="55"/>
      <c r="M139" s="55"/>
      <c r="N139" s="55"/>
      <c r="O139" s="55"/>
      <c r="P139" s="55"/>
      <c r="Q139" s="55"/>
      <c r="R139" s="55"/>
      <c r="S139" s="55"/>
      <c r="T139" s="55"/>
      <c r="U139" s="55"/>
      <c r="V139" s="55"/>
      <c r="W139" s="55"/>
      <c r="X139" s="55"/>
      <c r="Y139" s="55"/>
      <c r="Z139" s="55"/>
      <c r="AA139" s="55"/>
      <c r="AB139" s="55"/>
      <c r="AC139" s="55"/>
    </row>
    <row r="140">
      <c r="A140" s="53"/>
      <c r="B140" s="53"/>
      <c r="C140" s="55"/>
      <c r="D140" s="55"/>
      <c r="E140" s="55"/>
      <c r="F140" s="55"/>
      <c r="G140" s="55"/>
      <c r="H140" s="181"/>
      <c r="I140" s="55"/>
      <c r="J140" s="55"/>
      <c r="K140" s="55"/>
      <c r="L140" s="55"/>
      <c r="M140" s="55"/>
      <c r="N140" s="55"/>
      <c r="O140" s="55"/>
      <c r="P140" s="55"/>
      <c r="Q140" s="55"/>
      <c r="R140" s="55"/>
      <c r="S140" s="55"/>
      <c r="T140" s="55"/>
      <c r="U140" s="55"/>
      <c r="V140" s="55"/>
      <c r="W140" s="55"/>
      <c r="X140" s="55"/>
      <c r="Y140" s="55"/>
      <c r="Z140" s="55"/>
      <c r="AA140" s="55"/>
      <c r="AB140" s="55"/>
      <c r="AC140" s="55"/>
    </row>
    <row r="141">
      <c r="A141" s="53"/>
      <c r="B141" s="53"/>
      <c r="C141" s="55"/>
      <c r="D141" s="55"/>
      <c r="E141" s="55"/>
      <c r="F141" s="55"/>
      <c r="G141" s="55"/>
      <c r="H141" s="181"/>
      <c r="I141" s="55"/>
      <c r="J141" s="55"/>
      <c r="K141" s="55"/>
      <c r="L141" s="55"/>
      <c r="M141" s="55"/>
      <c r="N141" s="55"/>
      <c r="O141" s="55"/>
      <c r="P141" s="55"/>
      <c r="Q141" s="55"/>
      <c r="R141" s="55"/>
      <c r="S141" s="55"/>
      <c r="T141" s="55"/>
      <c r="U141" s="55"/>
      <c r="V141" s="55"/>
      <c r="W141" s="55"/>
      <c r="X141" s="55"/>
      <c r="Y141" s="55"/>
      <c r="Z141" s="55"/>
      <c r="AA141" s="55"/>
      <c r="AB141" s="55"/>
      <c r="AC141" s="55"/>
    </row>
    <row r="142">
      <c r="A142" s="53"/>
      <c r="B142" s="53"/>
      <c r="C142" s="55"/>
      <c r="D142" s="55"/>
      <c r="E142" s="55"/>
      <c r="F142" s="55"/>
      <c r="G142" s="55"/>
      <c r="H142" s="181"/>
      <c r="I142" s="55"/>
      <c r="J142" s="55"/>
      <c r="K142" s="55"/>
      <c r="L142" s="55"/>
      <c r="M142" s="55"/>
      <c r="N142" s="55"/>
      <c r="O142" s="55"/>
      <c r="P142" s="55"/>
      <c r="Q142" s="55"/>
      <c r="R142" s="55"/>
      <c r="S142" s="55"/>
      <c r="T142" s="55"/>
      <c r="U142" s="55"/>
      <c r="V142" s="55"/>
      <c r="W142" s="55"/>
      <c r="X142" s="55"/>
      <c r="Y142" s="55"/>
      <c r="Z142" s="55"/>
      <c r="AA142" s="55"/>
      <c r="AB142" s="55"/>
      <c r="AC142" s="55"/>
    </row>
    <row r="143">
      <c r="A143" s="53"/>
      <c r="B143" s="53"/>
      <c r="C143" s="55"/>
      <c r="D143" s="55"/>
      <c r="E143" s="55"/>
      <c r="F143" s="55"/>
      <c r="G143" s="55"/>
      <c r="H143" s="181"/>
      <c r="I143" s="55"/>
      <c r="J143" s="55"/>
      <c r="K143" s="55"/>
      <c r="L143" s="55"/>
      <c r="M143" s="55"/>
      <c r="N143" s="55"/>
      <c r="O143" s="55"/>
      <c r="P143" s="55"/>
      <c r="Q143" s="55"/>
      <c r="R143" s="55"/>
      <c r="S143" s="55"/>
      <c r="T143" s="55"/>
      <c r="U143" s="55"/>
      <c r="V143" s="55"/>
      <c r="W143" s="55"/>
      <c r="X143" s="55"/>
      <c r="Y143" s="55"/>
      <c r="Z143" s="55"/>
      <c r="AA143" s="55"/>
      <c r="AB143" s="55"/>
      <c r="AC143" s="55"/>
    </row>
    <row r="144">
      <c r="A144" s="53"/>
      <c r="B144" s="53"/>
      <c r="C144" s="55"/>
      <c r="D144" s="55"/>
      <c r="E144" s="55"/>
      <c r="F144" s="55"/>
      <c r="G144" s="55"/>
      <c r="H144" s="181"/>
      <c r="I144" s="55"/>
      <c r="J144" s="55"/>
      <c r="K144" s="55"/>
      <c r="L144" s="55"/>
      <c r="M144" s="55"/>
      <c r="N144" s="55"/>
      <c r="O144" s="55"/>
      <c r="P144" s="55"/>
      <c r="Q144" s="55"/>
      <c r="R144" s="55"/>
      <c r="S144" s="55"/>
      <c r="T144" s="55"/>
      <c r="U144" s="55"/>
      <c r="V144" s="55"/>
      <c r="W144" s="55"/>
      <c r="X144" s="55"/>
      <c r="Y144" s="55"/>
      <c r="Z144" s="55"/>
      <c r="AA144" s="55"/>
      <c r="AB144" s="55"/>
      <c r="AC144" s="55"/>
    </row>
    <row r="145">
      <c r="A145" s="53"/>
      <c r="B145" s="53"/>
      <c r="C145" s="55"/>
      <c r="D145" s="55"/>
      <c r="E145" s="55"/>
      <c r="F145" s="55"/>
      <c r="G145" s="55"/>
      <c r="H145" s="181"/>
      <c r="I145" s="55"/>
      <c r="J145" s="55"/>
      <c r="K145" s="55"/>
      <c r="L145" s="55"/>
      <c r="M145" s="55"/>
      <c r="N145" s="55"/>
      <c r="O145" s="55"/>
      <c r="P145" s="55"/>
      <c r="Q145" s="55"/>
      <c r="R145" s="55"/>
      <c r="S145" s="55"/>
      <c r="T145" s="55"/>
      <c r="U145" s="55"/>
      <c r="V145" s="55"/>
      <c r="W145" s="55"/>
      <c r="X145" s="55"/>
      <c r="Y145" s="55"/>
      <c r="Z145" s="55"/>
      <c r="AA145" s="55"/>
      <c r="AB145" s="55"/>
      <c r="AC145" s="55"/>
    </row>
    <row r="146">
      <c r="A146" s="53"/>
      <c r="B146" s="53"/>
      <c r="C146" s="55"/>
      <c r="D146" s="55"/>
      <c r="E146" s="55"/>
      <c r="F146" s="55"/>
      <c r="G146" s="55"/>
      <c r="H146" s="181"/>
      <c r="I146" s="55"/>
      <c r="J146" s="55"/>
      <c r="K146" s="55"/>
      <c r="L146" s="55"/>
      <c r="M146" s="55"/>
      <c r="N146" s="55"/>
      <c r="O146" s="55"/>
      <c r="P146" s="55"/>
      <c r="Q146" s="55"/>
      <c r="R146" s="55"/>
      <c r="S146" s="55"/>
      <c r="T146" s="55"/>
      <c r="U146" s="55"/>
      <c r="V146" s="55"/>
      <c r="W146" s="55"/>
      <c r="X146" s="55"/>
      <c r="Y146" s="55"/>
      <c r="Z146" s="55"/>
      <c r="AA146" s="55"/>
      <c r="AB146" s="55"/>
      <c r="AC146" s="55"/>
    </row>
    <row r="147">
      <c r="A147" s="53"/>
      <c r="B147" s="53"/>
      <c r="C147" s="55"/>
      <c r="D147" s="55"/>
      <c r="E147" s="55"/>
      <c r="F147" s="55"/>
      <c r="G147" s="55"/>
      <c r="H147" s="181"/>
      <c r="I147" s="55"/>
      <c r="J147" s="55"/>
      <c r="K147" s="55"/>
      <c r="L147" s="55"/>
      <c r="M147" s="55"/>
      <c r="N147" s="55"/>
      <c r="O147" s="55"/>
      <c r="P147" s="55"/>
      <c r="Q147" s="55"/>
      <c r="R147" s="55"/>
      <c r="S147" s="55"/>
      <c r="T147" s="55"/>
      <c r="U147" s="55"/>
      <c r="V147" s="55"/>
      <c r="W147" s="55"/>
      <c r="X147" s="55"/>
      <c r="Y147" s="55"/>
      <c r="Z147" s="55"/>
      <c r="AA147" s="55"/>
      <c r="AB147" s="55"/>
      <c r="AC147" s="55"/>
    </row>
    <row r="148">
      <c r="A148" s="53"/>
      <c r="B148" s="53"/>
      <c r="C148" s="55"/>
      <c r="D148" s="55"/>
      <c r="E148" s="55"/>
      <c r="F148" s="55"/>
      <c r="G148" s="55"/>
      <c r="H148" s="181"/>
      <c r="I148" s="55"/>
      <c r="J148" s="55"/>
      <c r="K148" s="55"/>
      <c r="L148" s="55"/>
      <c r="M148" s="55"/>
      <c r="N148" s="55"/>
      <c r="O148" s="55"/>
      <c r="P148" s="55"/>
      <c r="Q148" s="55"/>
      <c r="R148" s="55"/>
      <c r="S148" s="55"/>
      <c r="T148" s="55"/>
      <c r="U148" s="55"/>
      <c r="V148" s="55"/>
      <c r="W148" s="55"/>
      <c r="X148" s="55"/>
      <c r="Y148" s="55"/>
      <c r="Z148" s="55"/>
      <c r="AA148" s="55"/>
      <c r="AB148" s="55"/>
      <c r="AC148" s="55"/>
    </row>
    <row r="149">
      <c r="A149" s="53"/>
      <c r="B149" s="53"/>
      <c r="C149" s="55"/>
      <c r="D149" s="55"/>
      <c r="E149" s="55"/>
      <c r="F149" s="55"/>
      <c r="G149" s="55"/>
      <c r="H149" s="181"/>
      <c r="I149" s="55"/>
      <c r="J149" s="55"/>
      <c r="K149" s="55"/>
      <c r="L149" s="55"/>
      <c r="M149" s="55"/>
      <c r="N149" s="55"/>
      <c r="O149" s="55"/>
      <c r="P149" s="55"/>
      <c r="Q149" s="55"/>
      <c r="R149" s="55"/>
      <c r="S149" s="55"/>
      <c r="T149" s="55"/>
      <c r="U149" s="55"/>
      <c r="V149" s="55"/>
      <c r="W149" s="55"/>
      <c r="X149" s="55"/>
      <c r="Y149" s="55"/>
      <c r="Z149" s="55"/>
      <c r="AA149" s="55"/>
      <c r="AB149" s="55"/>
      <c r="AC149" s="55"/>
    </row>
    <row r="150">
      <c r="A150" s="53"/>
      <c r="B150" s="53"/>
      <c r="C150" s="55"/>
      <c r="D150" s="55"/>
      <c r="E150" s="55"/>
      <c r="F150" s="55"/>
      <c r="G150" s="55"/>
      <c r="H150" s="181"/>
      <c r="I150" s="55"/>
      <c r="J150" s="55"/>
      <c r="K150" s="55"/>
      <c r="L150" s="55"/>
      <c r="M150" s="55"/>
      <c r="N150" s="55"/>
      <c r="O150" s="55"/>
      <c r="P150" s="55"/>
      <c r="Q150" s="55"/>
      <c r="R150" s="55"/>
      <c r="S150" s="55"/>
      <c r="T150" s="55"/>
      <c r="U150" s="55"/>
      <c r="V150" s="55"/>
      <c r="W150" s="55"/>
      <c r="X150" s="55"/>
      <c r="Y150" s="55"/>
      <c r="Z150" s="55"/>
      <c r="AA150" s="55"/>
      <c r="AB150" s="55"/>
      <c r="AC150" s="55"/>
    </row>
    <row r="151">
      <c r="A151" s="53"/>
      <c r="B151" s="53"/>
      <c r="C151" s="55"/>
      <c r="D151" s="55"/>
      <c r="E151" s="55"/>
      <c r="F151" s="55"/>
      <c r="G151" s="55"/>
      <c r="H151" s="181"/>
      <c r="I151" s="55"/>
      <c r="J151" s="55"/>
      <c r="K151" s="55"/>
      <c r="L151" s="55"/>
      <c r="M151" s="55"/>
      <c r="N151" s="55"/>
      <c r="O151" s="55"/>
      <c r="P151" s="55"/>
      <c r="Q151" s="55"/>
      <c r="R151" s="55"/>
      <c r="S151" s="55"/>
      <c r="T151" s="55"/>
      <c r="U151" s="55"/>
      <c r="V151" s="55"/>
      <c r="W151" s="55"/>
      <c r="X151" s="55"/>
      <c r="Y151" s="55"/>
      <c r="Z151" s="55"/>
      <c r="AA151" s="55"/>
      <c r="AB151" s="55"/>
      <c r="AC151" s="55"/>
    </row>
    <row r="152">
      <c r="A152" s="53"/>
      <c r="B152" s="53"/>
      <c r="C152" s="55"/>
      <c r="D152" s="55"/>
      <c r="E152" s="55"/>
      <c r="F152" s="55"/>
      <c r="G152" s="55"/>
      <c r="H152" s="181"/>
      <c r="I152" s="55"/>
      <c r="J152" s="55"/>
      <c r="K152" s="55"/>
      <c r="L152" s="55"/>
      <c r="M152" s="55"/>
      <c r="N152" s="55"/>
      <c r="O152" s="55"/>
      <c r="P152" s="55"/>
      <c r="Q152" s="55"/>
      <c r="R152" s="55"/>
      <c r="S152" s="55"/>
      <c r="T152" s="55"/>
      <c r="U152" s="55"/>
      <c r="V152" s="55"/>
      <c r="W152" s="55"/>
      <c r="X152" s="55"/>
      <c r="Y152" s="55"/>
      <c r="Z152" s="55"/>
      <c r="AA152" s="55"/>
      <c r="AB152" s="55"/>
      <c r="AC152" s="55"/>
    </row>
    <row r="153">
      <c r="A153" s="53"/>
      <c r="B153" s="53"/>
      <c r="C153" s="55"/>
      <c r="D153" s="55"/>
      <c r="E153" s="55"/>
      <c r="F153" s="55"/>
      <c r="G153" s="55"/>
      <c r="H153" s="181"/>
      <c r="I153" s="55"/>
      <c r="J153" s="55"/>
      <c r="K153" s="55"/>
      <c r="L153" s="55"/>
      <c r="M153" s="55"/>
      <c r="N153" s="55"/>
      <c r="O153" s="55"/>
      <c r="P153" s="55"/>
      <c r="Q153" s="55"/>
      <c r="R153" s="55"/>
      <c r="S153" s="55"/>
      <c r="T153" s="55"/>
      <c r="U153" s="55"/>
      <c r="V153" s="55"/>
      <c r="W153" s="55"/>
      <c r="X153" s="55"/>
      <c r="Y153" s="55"/>
      <c r="Z153" s="55"/>
      <c r="AA153" s="55"/>
      <c r="AB153" s="55"/>
      <c r="AC153" s="55"/>
    </row>
    <row r="154">
      <c r="A154" s="53"/>
      <c r="B154" s="53"/>
      <c r="C154" s="55"/>
      <c r="D154" s="55"/>
      <c r="E154" s="55"/>
      <c r="F154" s="55"/>
      <c r="G154" s="55"/>
      <c r="H154" s="181"/>
      <c r="I154" s="55"/>
      <c r="J154" s="55"/>
      <c r="K154" s="55"/>
      <c r="L154" s="55"/>
      <c r="M154" s="55"/>
      <c r="N154" s="55"/>
      <c r="O154" s="55"/>
      <c r="P154" s="55"/>
      <c r="Q154" s="55"/>
      <c r="R154" s="55"/>
      <c r="S154" s="55"/>
      <c r="T154" s="55"/>
      <c r="U154" s="55"/>
      <c r="V154" s="55"/>
      <c r="W154" s="55"/>
      <c r="X154" s="55"/>
      <c r="Y154" s="55"/>
      <c r="Z154" s="55"/>
      <c r="AA154" s="55"/>
      <c r="AB154" s="55"/>
      <c r="AC154" s="55"/>
    </row>
    <row r="155">
      <c r="A155" s="53"/>
      <c r="B155" s="53"/>
      <c r="C155" s="55"/>
      <c r="D155" s="55"/>
      <c r="E155" s="55"/>
      <c r="F155" s="55"/>
      <c r="G155" s="55"/>
      <c r="H155" s="181"/>
      <c r="I155" s="55"/>
      <c r="J155" s="55"/>
      <c r="K155" s="55"/>
      <c r="L155" s="55"/>
      <c r="M155" s="55"/>
      <c r="N155" s="55"/>
      <c r="O155" s="55"/>
      <c r="P155" s="55"/>
      <c r="Q155" s="55"/>
      <c r="R155" s="55"/>
      <c r="S155" s="55"/>
      <c r="T155" s="55"/>
      <c r="U155" s="55"/>
      <c r="V155" s="55"/>
      <c r="W155" s="55"/>
      <c r="X155" s="55"/>
      <c r="Y155" s="55"/>
      <c r="Z155" s="55"/>
      <c r="AA155" s="55"/>
      <c r="AB155" s="55"/>
      <c r="AC155" s="55"/>
    </row>
    <row r="156">
      <c r="A156" s="53"/>
      <c r="B156" s="53"/>
      <c r="C156" s="55"/>
      <c r="D156" s="55"/>
      <c r="E156" s="55"/>
      <c r="F156" s="55"/>
      <c r="G156" s="55"/>
      <c r="H156" s="181"/>
      <c r="I156" s="55"/>
      <c r="J156" s="55"/>
      <c r="K156" s="55"/>
      <c r="L156" s="55"/>
      <c r="M156" s="55"/>
      <c r="N156" s="55"/>
      <c r="O156" s="55"/>
      <c r="P156" s="55"/>
      <c r="Q156" s="55"/>
      <c r="R156" s="55"/>
      <c r="S156" s="55"/>
      <c r="T156" s="55"/>
      <c r="U156" s="55"/>
      <c r="V156" s="55"/>
      <c r="W156" s="55"/>
      <c r="X156" s="55"/>
      <c r="Y156" s="55"/>
      <c r="Z156" s="55"/>
      <c r="AA156" s="55"/>
      <c r="AB156" s="55"/>
      <c r="AC156" s="55"/>
    </row>
    <row r="157">
      <c r="A157" s="53"/>
      <c r="B157" s="53"/>
      <c r="C157" s="55"/>
      <c r="D157" s="55"/>
      <c r="E157" s="55"/>
      <c r="F157" s="55"/>
      <c r="G157" s="55"/>
      <c r="H157" s="181"/>
      <c r="I157" s="55"/>
      <c r="J157" s="55"/>
      <c r="K157" s="55"/>
      <c r="L157" s="55"/>
      <c r="M157" s="55"/>
      <c r="N157" s="55"/>
      <c r="O157" s="55"/>
      <c r="P157" s="55"/>
      <c r="Q157" s="55"/>
      <c r="R157" s="55"/>
      <c r="S157" s="55"/>
      <c r="T157" s="55"/>
      <c r="U157" s="55"/>
      <c r="V157" s="55"/>
      <c r="W157" s="55"/>
      <c r="X157" s="55"/>
      <c r="Y157" s="55"/>
      <c r="Z157" s="55"/>
      <c r="AA157" s="55"/>
      <c r="AB157" s="55"/>
      <c r="AC157" s="55"/>
    </row>
    <row r="158">
      <c r="A158" s="53"/>
      <c r="B158" s="53"/>
      <c r="C158" s="55"/>
      <c r="D158" s="55"/>
      <c r="E158" s="55"/>
      <c r="F158" s="55"/>
      <c r="G158" s="55"/>
      <c r="H158" s="181"/>
      <c r="I158" s="55"/>
      <c r="J158" s="55"/>
      <c r="K158" s="55"/>
      <c r="L158" s="55"/>
      <c r="M158" s="55"/>
      <c r="N158" s="55"/>
      <c r="O158" s="55"/>
      <c r="P158" s="55"/>
      <c r="Q158" s="55"/>
      <c r="R158" s="55"/>
      <c r="S158" s="55"/>
      <c r="T158" s="55"/>
      <c r="U158" s="55"/>
      <c r="V158" s="55"/>
      <c r="W158" s="55"/>
      <c r="X158" s="55"/>
      <c r="Y158" s="55"/>
      <c r="Z158" s="55"/>
      <c r="AA158" s="55"/>
      <c r="AB158" s="55"/>
      <c r="AC158" s="55"/>
    </row>
    <row r="159">
      <c r="A159" s="53"/>
      <c r="B159" s="53"/>
      <c r="C159" s="55"/>
      <c r="D159" s="55"/>
      <c r="E159" s="55"/>
      <c r="F159" s="55"/>
      <c r="G159" s="55"/>
      <c r="H159" s="181"/>
      <c r="I159" s="55"/>
      <c r="J159" s="55"/>
      <c r="K159" s="55"/>
      <c r="L159" s="55"/>
      <c r="M159" s="55"/>
      <c r="N159" s="55"/>
      <c r="O159" s="55"/>
      <c r="P159" s="55"/>
      <c r="Q159" s="55"/>
      <c r="R159" s="55"/>
      <c r="S159" s="55"/>
      <c r="T159" s="55"/>
      <c r="U159" s="55"/>
      <c r="V159" s="55"/>
      <c r="W159" s="55"/>
      <c r="X159" s="55"/>
      <c r="Y159" s="55"/>
      <c r="Z159" s="55"/>
      <c r="AA159" s="55"/>
      <c r="AB159" s="55"/>
      <c r="AC159" s="55"/>
    </row>
    <row r="160">
      <c r="A160" s="53"/>
      <c r="B160" s="53"/>
      <c r="C160" s="55"/>
      <c r="D160" s="55"/>
      <c r="E160" s="55"/>
      <c r="F160" s="55"/>
      <c r="G160" s="55"/>
      <c r="H160" s="181"/>
      <c r="I160" s="55"/>
      <c r="J160" s="55"/>
      <c r="K160" s="55"/>
      <c r="L160" s="55"/>
      <c r="M160" s="55"/>
      <c r="N160" s="55"/>
      <c r="O160" s="55"/>
      <c r="P160" s="55"/>
      <c r="Q160" s="55"/>
      <c r="R160" s="55"/>
      <c r="S160" s="55"/>
      <c r="T160" s="55"/>
      <c r="U160" s="55"/>
      <c r="V160" s="55"/>
      <c r="W160" s="55"/>
      <c r="X160" s="55"/>
      <c r="Y160" s="55"/>
      <c r="Z160" s="55"/>
      <c r="AA160" s="55"/>
      <c r="AB160" s="55"/>
      <c r="AC160" s="55"/>
    </row>
    <row r="161">
      <c r="A161" s="53"/>
      <c r="B161" s="53"/>
      <c r="C161" s="55"/>
      <c r="D161" s="55"/>
      <c r="E161" s="55"/>
      <c r="F161" s="55"/>
      <c r="G161" s="55"/>
      <c r="H161" s="181"/>
      <c r="I161" s="55"/>
      <c r="J161" s="55"/>
      <c r="K161" s="55"/>
      <c r="L161" s="55"/>
      <c r="M161" s="55"/>
      <c r="N161" s="55"/>
      <c r="O161" s="55"/>
      <c r="P161" s="55"/>
      <c r="Q161" s="55"/>
      <c r="R161" s="55"/>
      <c r="S161" s="55"/>
      <c r="T161" s="55"/>
      <c r="U161" s="55"/>
      <c r="V161" s="55"/>
      <c r="W161" s="55"/>
      <c r="X161" s="55"/>
      <c r="Y161" s="55"/>
      <c r="Z161" s="55"/>
      <c r="AA161" s="55"/>
      <c r="AB161" s="55"/>
      <c r="AC161" s="55"/>
    </row>
    <row r="162">
      <c r="A162" s="53"/>
      <c r="B162" s="53"/>
      <c r="C162" s="55"/>
      <c r="D162" s="55"/>
      <c r="E162" s="55"/>
      <c r="F162" s="55"/>
      <c r="G162" s="55"/>
      <c r="H162" s="181"/>
      <c r="I162" s="55"/>
      <c r="J162" s="55"/>
      <c r="K162" s="55"/>
      <c r="L162" s="55"/>
      <c r="M162" s="55"/>
      <c r="N162" s="55"/>
      <c r="O162" s="55"/>
      <c r="P162" s="55"/>
      <c r="Q162" s="55"/>
      <c r="R162" s="55"/>
      <c r="S162" s="55"/>
      <c r="T162" s="55"/>
      <c r="U162" s="55"/>
      <c r="V162" s="55"/>
      <c r="W162" s="55"/>
      <c r="X162" s="55"/>
      <c r="Y162" s="55"/>
      <c r="Z162" s="55"/>
      <c r="AA162" s="55"/>
      <c r="AB162" s="55"/>
      <c r="AC162" s="55"/>
    </row>
    <row r="163">
      <c r="A163" s="53"/>
      <c r="B163" s="53"/>
      <c r="C163" s="55"/>
      <c r="D163" s="55"/>
      <c r="E163" s="55"/>
      <c r="F163" s="55"/>
      <c r="G163" s="55"/>
      <c r="H163" s="181"/>
      <c r="I163" s="55"/>
      <c r="J163" s="55"/>
      <c r="K163" s="55"/>
      <c r="L163" s="55"/>
      <c r="M163" s="55"/>
      <c r="N163" s="55"/>
      <c r="O163" s="55"/>
      <c r="P163" s="55"/>
      <c r="Q163" s="55"/>
      <c r="R163" s="55"/>
      <c r="S163" s="55"/>
      <c r="T163" s="55"/>
      <c r="U163" s="55"/>
      <c r="V163" s="55"/>
      <c r="W163" s="55"/>
      <c r="X163" s="55"/>
      <c r="Y163" s="55"/>
      <c r="Z163" s="55"/>
      <c r="AA163" s="55"/>
      <c r="AB163" s="55"/>
      <c r="AC163" s="55"/>
    </row>
    <row r="164">
      <c r="A164" s="53"/>
      <c r="B164" s="53"/>
      <c r="C164" s="55"/>
      <c r="D164" s="55"/>
      <c r="E164" s="55"/>
      <c r="F164" s="55"/>
      <c r="G164" s="55"/>
      <c r="H164" s="181"/>
      <c r="I164" s="55"/>
      <c r="J164" s="55"/>
      <c r="K164" s="55"/>
      <c r="L164" s="55"/>
      <c r="M164" s="55"/>
      <c r="N164" s="55"/>
      <c r="O164" s="55"/>
      <c r="P164" s="55"/>
      <c r="Q164" s="55"/>
      <c r="R164" s="55"/>
      <c r="S164" s="55"/>
      <c r="T164" s="55"/>
      <c r="U164" s="55"/>
      <c r="V164" s="55"/>
      <c r="W164" s="55"/>
      <c r="X164" s="55"/>
      <c r="Y164" s="55"/>
      <c r="Z164" s="55"/>
      <c r="AA164" s="55"/>
      <c r="AB164" s="55"/>
      <c r="AC164" s="55"/>
    </row>
    <row r="165">
      <c r="A165" s="53"/>
      <c r="B165" s="53"/>
      <c r="C165" s="55"/>
      <c r="D165" s="55"/>
      <c r="E165" s="55"/>
      <c r="F165" s="55"/>
      <c r="G165" s="55"/>
      <c r="H165" s="181"/>
      <c r="I165" s="55"/>
      <c r="J165" s="55"/>
      <c r="K165" s="55"/>
      <c r="L165" s="55"/>
      <c r="M165" s="55"/>
      <c r="N165" s="55"/>
      <c r="O165" s="55"/>
      <c r="P165" s="55"/>
      <c r="Q165" s="55"/>
      <c r="R165" s="55"/>
      <c r="S165" s="55"/>
      <c r="T165" s="55"/>
      <c r="U165" s="55"/>
      <c r="V165" s="55"/>
      <c r="W165" s="55"/>
      <c r="X165" s="55"/>
      <c r="Y165" s="55"/>
      <c r="Z165" s="55"/>
      <c r="AA165" s="55"/>
      <c r="AB165" s="55"/>
      <c r="AC165" s="55"/>
    </row>
    <row r="166">
      <c r="A166" s="53"/>
      <c r="B166" s="53"/>
      <c r="C166" s="55"/>
      <c r="D166" s="55"/>
      <c r="E166" s="55"/>
      <c r="F166" s="55"/>
      <c r="G166" s="55"/>
      <c r="H166" s="181"/>
      <c r="I166" s="55"/>
      <c r="J166" s="55"/>
      <c r="K166" s="55"/>
      <c r="L166" s="55"/>
      <c r="M166" s="55"/>
      <c r="N166" s="55"/>
      <c r="O166" s="55"/>
      <c r="P166" s="55"/>
      <c r="Q166" s="55"/>
      <c r="R166" s="55"/>
      <c r="S166" s="55"/>
      <c r="T166" s="55"/>
      <c r="U166" s="55"/>
      <c r="V166" s="55"/>
      <c r="W166" s="55"/>
      <c r="X166" s="55"/>
      <c r="Y166" s="55"/>
      <c r="Z166" s="55"/>
      <c r="AA166" s="55"/>
      <c r="AB166" s="55"/>
      <c r="AC166" s="55"/>
    </row>
    <row r="167">
      <c r="A167" s="53"/>
      <c r="B167" s="53"/>
      <c r="C167" s="55"/>
      <c r="D167" s="55"/>
      <c r="E167" s="55"/>
      <c r="F167" s="55"/>
      <c r="G167" s="55"/>
      <c r="H167" s="181"/>
      <c r="I167" s="55"/>
      <c r="J167" s="55"/>
      <c r="K167" s="55"/>
      <c r="L167" s="55"/>
      <c r="M167" s="55"/>
      <c r="N167" s="55"/>
      <c r="O167" s="55"/>
      <c r="P167" s="55"/>
      <c r="Q167" s="55"/>
      <c r="R167" s="55"/>
      <c r="S167" s="55"/>
      <c r="T167" s="55"/>
      <c r="U167" s="55"/>
      <c r="V167" s="55"/>
      <c r="W167" s="55"/>
      <c r="X167" s="55"/>
      <c r="Y167" s="55"/>
      <c r="Z167" s="55"/>
      <c r="AA167" s="55"/>
      <c r="AB167" s="55"/>
      <c r="AC167" s="55"/>
    </row>
    <row r="168">
      <c r="A168" s="53"/>
      <c r="B168" s="53"/>
      <c r="C168" s="55"/>
      <c r="D168" s="55"/>
      <c r="E168" s="55"/>
      <c r="F168" s="55"/>
      <c r="G168" s="55"/>
      <c r="H168" s="181"/>
      <c r="I168" s="55"/>
      <c r="J168" s="55"/>
      <c r="K168" s="55"/>
      <c r="L168" s="55"/>
      <c r="M168" s="55"/>
      <c r="N168" s="55"/>
      <c r="O168" s="55"/>
      <c r="P168" s="55"/>
      <c r="Q168" s="55"/>
      <c r="R168" s="55"/>
      <c r="S168" s="55"/>
      <c r="T168" s="55"/>
      <c r="U168" s="55"/>
      <c r="V168" s="55"/>
      <c r="W168" s="55"/>
      <c r="X168" s="55"/>
      <c r="Y168" s="55"/>
      <c r="Z168" s="55"/>
      <c r="AA168" s="55"/>
      <c r="AB168" s="55"/>
      <c r="AC168" s="55"/>
    </row>
    <row r="169">
      <c r="A169" s="53"/>
      <c r="B169" s="53"/>
      <c r="C169" s="55"/>
      <c r="D169" s="55"/>
      <c r="E169" s="55"/>
      <c r="F169" s="55"/>
      <c r="G169" s="55"/>
      <c r="H169" s="181"/>
      <c r="I169" s="55"/>
      <c r="J169" s="55"/>
      <c r="K169" s="55"/>
      <c r="L169" s="55"/>
      <c r="M169" s="55"/>
      <c r="N169" s="55"/>
      <c r="O169" s="55"/>
      <c r="P169" s="55"/>
      <c r="Q169" s="55"/>
      <c r="R169" s="55"/>
      <c r="S169" s="55"/>
      <c r="T169" s="55"/>
      <c r="U169" s="55"/>
      <c r="V169" s="55"/>
      <c r="W169" s="55"/>
      <c r="X169" s="55"/>
      <c r="Y169" s="55"/>
      <c r="Z169" s="55"/>
      <c r="AA169" s="55"/>
      <c r="AB169" s="55"/>
      <c r="AC169" s="55"/>
    </row>
    <row r="170">
      <c r="A170" s="53"/>
      <c r="B170" s="53"/>
      <c r="C170" s="55"/>
      <c r="D170" s="55"/>
      <c r="E170" s="55"/>
      <c r="F170" s="55"/>
      <c r="G170" s="55"/>
      <c r="H170" s="181"/>
      <c r="I170" s="55"/>
      <c r="J170" s="55"/>
      <c r="K170" s="55"/>
      <c r="L170" s="55"/>
      <c r="M170" s="55"/>
      <c r="N170" s="55"/>
      <c r="O170" s="55"/>
      <c r="P170" s="55"/>
      <c r="Q170" s="55"/>
      <c r="R170" s="55"/>
      <c r="S170" s="55"/>
      <c r="T170" s="55"/>
      <c r="U170" s="55"/>
      <c r="V170" s="55"/>
      <c r="W170" s="55"/>
      <c r="X170" s="55"/>
      <c r="Y170" s="55"/>
      <c r="Z170" s="55"/>
      <c r="AA170" s="55"/>
      <c r="AB170" s="55"/>
      <c r="AC170" s="55"/>
    </row>
    <row r="171">
      <c r="A171" s="53"/>
      <c r="B171" s="53"/>
      <c r="C171" s="55"/>
      <c r="D171" s="55"/>
      <c r="E171" s="55"/>
      <c r="F171" s="55"/>
      <c r="G171" s="55"/>
      <c r="H171" s="181"/>
      <c r="I171" s="55"/>
      <c r="J171" s="55"/>
      <c r="K171" s="55"/>
      <c r="L171" s="55"/>
      <c r="M171" s="55"/>
      <c r="N171" s="55"/>
      <c r="O171" s="55"/>
      <c r="P171" s="55"/>
      <c r="Q171" s="55"/>
      <c r="R171" s="55"/>
      <c r="S171" s="55"/>
      <c r="T171" s="55"/>
      <c r="U171" s="55"/>
      <c r="V171" s="55"/>
      <c r="W171" s="55"/>
      <c r="X171" s="55"/>
      <c r="Y171" s="55"/>
      <c r="Z171" s="55"/>
      <c r="AA171" s="55"/>
      <c r="AB171" s="55"/>
      <c r="AC171" s="55"/>
    </row>
    <row r="172">
      <c r="A172" s="53"/>
      <c r="B172" s="53"/>
      <c r="C172" s="55"/>
      <c r="D172" s="55"/>
      <c r="E172" s="55"/>
      <c r="F172" s="55"/>
      <c r="G172" s="55"/>
      <c r="H172" s="181"/>
      <c r="I172" s="55"/>
      <c r="J172" s="55"/>
      <c r="K172" s="55"/>
      <c r="L172" s="55"/>
      <c r="M172" s="55"/>
      <c r="N172" s="55"/>
      <c r="O172" s="55"/>
      <c r="P172" s="55"/>
      <c r="Q172" s="55"/>
      <c r="R172" s="55"/>
      <c r="S172" s="55"/>
      <c r="T172" s="55"/>
      <c r="U172" s="55"/>
      <c r="V172" s="55"/>
      <c r="W172" s="55"/>
      <c r="X172" s="55"/>
      <c r="Y172" s="55"/>
      <c r="Z172" s="55"/>
      <c r="AA172" s="55"/>
      <c r="AB172" s="55"/>
      <c r="AC172" s="55"/>
    </row>
    <row r="173">
      <c r="A173" s="53"/>
      <c r="B173" s="53"/>
      <c r="C173" s="55"/>
      <c r="D173" s="55"/>
      <c r="E173" s="55"/>
      <c r="F173" s="55"/>
      <c r="G173" s="55"/>
      <c r="H173" s="181"/>
      <c r="I173" s="55"/>
      <c r="J173" s="55"/>
      <c r="K173" s="55"/>
      <c r="L173" s="55"/>
      <c r="M173" s="55"/>
      <c r="N173" s="55"/>
      <c r="O173" s="55"/>
      <c r="P173" s="55"/>
      <c r="Q173" s="55"/>
      <c r="R173" s="55"/>
      <c r="S173" s="55"/>
      <c r="T173" s="55"/>
      <c r="U173" s="55"/>
      <c r="V173" s="55"/>
      <c r="W173" s="55"/>
      <c r="X173" s="55"/>
      <c r="Y173" s="55"/>
      <c r="Z173" s="55"/>
      <c r="AA173" s="55"/>
      <c r="AB173" s="55"/>
      <c r="AC173" s="55"/>
    </row>
    <row r="174">
      <c r="A174" s="53"/>
      <c r="B174" s="53"/>
      <c r="C174" s="55"/>
      <c r="D174" s="55"/>
      <c r="E174" s="55"/>
      <c r="F174" s="55"/>
      <c r="G174" s="55"/>
      <c r="H174" s="181"/>
      <c r="I174" s="55"/>
      <c r="J174" s="55"/>
      <c r="K174" s="55"/>
      <c r="L174" s="55"/>
      <c r="M174" s="55"/>
      <c r="N174" s="55"/>
      <c r="O174" s="55"/>
      <c r="P174" s="55"/>
      <c r="Q174" s="55"/>
      <c r="R174" s="55"/>
      <c r="S174" s="55"/>
      <c r="T174" s="55"/>
      <c r="U174" s="55"/>
      <c r="V174" s="55"/>
      <c r="W174" s="55"/>
      <c r="X174" s="55"/>
      <c r="Y174" s="55"/>
      <c r="Z174" s="55"/>
      <c r="AA174" s="55"/>
      <c r="AB174" s="55"/>
      <c r="AC174" s="55"/>
    </row>
    <row r="175">
      <c r="A175" s="53"/>
      <c r="B175" s="53"/>
      <c r="C175" s="55"/>
      <c r="D175" s="55"/>
      <c r="E175" s="55"/>
      <c r="F175" s="55"/>
      <c r="G175" s="55"/>
      <c r="H175" s="181"/>
      <c r="I175" s="55"/>
      <c r="J175" s="55"/>
      <c r="K175" s="55"/>
      <c r="L175" s="55"/>
      <c r="M175" s="55"/>
      <c r="N175" s="55"/>
      <c r="O175" s="55"/>
      <c r="P175" s="55"/>
      <c r="Q175" s="55"/>
      <c r="R175" s="55"/>
      <c r="S175" s="55"/>
      <c r="T175" s="55"/>
      <c r="U175" s="55"/>
      <c r="V175" s="55"/>
      <c r="W175" s="55"/>
      <c r="X175" s="55"/>
      <c r="Y175" s="55"/>
      <c r="Z175" s="55"/>
      <c r="AA175" s="55"/>
      <c r="AB175" s="55"/>
      <c r="AC175" s="55"/>
    </row>
    <row r="176">
      <c r="A176" s="53"/>
      <c r="B176" s="53"/>
      <c r="C176" s="55"/>
      <c r="D176" s="55"/>
      <c r="E176" s="55"/>
      <c r="F176" s="55"/>
      <c r="G176" s="55"/>
      <c r="H176" s="181"/>
      <c r="I176" s="55"/>
      <c r="J176" s="55"/>
      <c r="K176" s="55"/>
      <c r="L176" s="55"/>
      <c r="M176" s="55"/>
      <c r="N176" s="55"/>
      <c r="O176" s="55"/>
      <c r="P176" s="55"/>
      <c r="Q176" s="55"/>
      <c r="R176" s="55"/>
      <c r="S176" s="55"/>
      <c r="T176" s="55"/>
      <c r="U176" s="55"/>
      <c r="V176" s="55"/>
      <c r="W176" s="55"/>
      <c r="X176" s="55"/>
      <c r="Y176" s="55"/>
      <c r="Z176" s="55"/>
      <c r="AA176" s="55"/>
      <c r="AB176" s="55"/>
      <c r="AC176" s="55"/>
    </row>
    <row r="177">
      <c r="A177" s="53"/>
      <c r="B177" s="53"/>
      <c r="C177" s="55"/>
      <c r="D177" s="55"/>
      <c r="E177" s="55"/>
      <c r="F177" s="55"/>
      <c r="G177" s="55"/>
      <c r="H177" s="181"/>
      <c r="I177" s="55"/>
      <c r="J177" s="55"/>
      <c r="K177" s="55"/>
      <c r="L177" s="55"/>
      <c r="M177" s="55"/>
      <c r="N177" s="55"/>
      <c r="O177" s="55"/>
      <c r="P177" s="55"/>
      <c r="Q177" s="55"/>
      <c r="R177" s="55"/>
      <c r="S177" s="55"/>
      <c r="T177" s="55"/>
      <c r="U177" s="55"/>
      <c r="V177" s="55"/>
      <c r="W177" s="55"/>
      <c r="X177" s="55"/>
      <c r="Y177" s="55"/>
      <c r="Z177" s="55"/>
      <c r="AA177" s="55"/>
      <c r="AB177" s="55"/>
      <c r="AC177" s="55"/>
    </row>
    <row r="178">
      <c r="A178" s="53"/>
      <c r="B178" s="53"/>
      <c r="C178" s="55"/>
      <c r="D178" s="55"/>
      <c r="E178" s="55"/>
      <c r="F178" s="55"/>
      <c r="G178" s="55"/>
      <c r="H178" s="181"/>
      <c r="I178" s="55"/>
      <c r="J178" s="55"/>
      <c r="K178" s="55"/>
      <c r="L178" s="55"/>
      <c r="M178" s="55"/>
      <c r="N178" s="55"/>
      <c r="O178" s="55"/>
      <c r="P178" s="55"/>
      <c r="Q178" s="55"/>
      <c r="R178" s="55"/>
      <c r="S178" s="55"/>
      <c r="T178" s="55"/>
      <c r="U178" s="55"/>
      <c r="V178" s="55"/>
      <c r="W178" s="55"/>
      <c r="X178" s="55"/>
      <c r="Y178" s="55"/>
      <c r="Z178" s="55"/>
      <c r="AA178" s="55"/>
      <c r="AB178" s="55"/>
      <c r="AC178" s="55"/>
    </row>
    <row r="179">
      <c r="A179" s="53"/>
      <c r="B179" s="53"/>
      <c r="C179" s="55"/>
      <c r="D179" s="55"/>
      <c r="E179" s="55"/>
      <c r="F179" s="55"/>
      <c r="G179" s="55"/>
      <c r="H179" s="181"/>
      <c r="I179" s="55"/>
      <c r="J179" s="55"/>
      <c r="K179" s="55"/>
      <c r="L179" s="55"/>
      <c r="M179" s="55"/>
      <c r="N179" s="55"/>
      <c r="O179" s="55"/>
      <c r="P179" s="55"/>
      <c r="Q179" s="55"/>
      <c r="R179" s="55"/>
      <c r="S179" s="55"/>
      <c r="T179" s="55"/>
      <c r="U179" s="55"/>
      <c r="V179" s="55"/>
      <c r="W179" s="55"/>
      <c r="X179" s="55"/>
      <c r="Y179" s="55"/>
      <c r="Z179" s="55"/>
      <c r="AA179" s="55"/>
      <c r="AB179" s="55"/>
      <c r="AC179" s="55"/>
    </row>
    <row r="180">
      <c r="A180" s="53"/>
      <c r="B180" s="53"/>
      <c r="C180" s="55"/>
      <c r="D180" s="55"/>
      <c r="E180" s="55"/>
      <c r="F180" s="55"/>
      <c r="G180" s="55"/>
      <c r="H180" s="181"/>
      <c r="I180" s="55"/>
      <c r="J180" s="55"/>
      <c r="K180" s="55"/>
      <c r="L180" s="55"/>
      <c r="M180" s="55"/>
      <c r="N180" s="55"/>
      <c r="O180" s="55"/>
      <c r="P180" s="55"/>
      <c r="Q180" s="55"/>
      <c r="R180" s="55"/>
      <c r="S180" s="55"/>
      <c r="T180" s="55"/>
      <c r="U180" s="55"/>
      <c r="V180" s="55"/>
      <c r="W180" s="55"/>
      <c r="X180" s="55"/>
      <c r="Y180" s="55"/>
      <c r="Z180" s="55"/>
      <c r="AA180" s="55"/>
      <c r="AB180" s="55"/>
      <c r="AC180" s="55"/>
    </row>
    <row r="181">
      <c r="A181" s="53"/>
      <c r="B181" s="53"/>
      <c r="C181" s="55"/>
      <c r="D181" s="55"/>
      <c r="E181" s="55"/>
      <c r="F181" s="55"/>
      <c r="G181" s="55"/>
      <c r="H181" s="181"/>
      <c r="I181" s="55"/>
      <c r="J181" s="55"/>
      <c r="K181" s="55"/>
      <c r="L181" s="55"/>
      <c r="M181" s="55"/>
      <c r="N181" s="55"/>
      <c r="O181" s="55"/>
      <c r="P181" s="55"/>
      <c r="Q181" s="55"/>
      <c r="R181" s="55"/>
      <c r="S181" s="55"/>
      <c r="T181" s="55"/>
      <c r="U181" s="55"/>
      <c r="V181" s="55"/>
      <c r="W181" s="55"/>
      <c r="X181" s="55"/>
      <c r="Y181" s="55"/>
      <c r="Z181" s="55"/>
      <c r="AA181" s="55"/>
      <c r="AB181" s="55"/>
      <c r="AC181" s="55"/>
    </row>
    <row r="182">
      <c r="A182" s="53"/>
      <c r="B182" s="53"/>
      <c r="C182" s="55"/>
      <c r="D182" s="55"/>
      <c r="E182" s="55"/>
      <c r="F182" s="55"/>
      <c r="G182" s="55"/>
      <c r="H182" s="181"/>
      <c r="I182" s="55"/>
      <c r="J182" s="55"/>
      <c r="K182" s="55"/>
      <c r="L182" s="55"/>
      <c r="M182" s="55"/>
      <c r="N182" s="55"/>
      <c r="O182" s="55"/>
      <c r="P182" s="55"/>
      <c r="Q182" s="55"/>
      <c r="R182" s="55"/>
      <c r="S182" s="55"/>
      <c r="T182" s="55"/>
      <c r="U182" s="55"/>
      <c r="V182" s="55"/>
      <c r="W182" s="55"/>
      <c r="X182" s="55"/>
      <c r="Y182" s="55"/>
      <c r="Z182" s="55"/>
      <c r="AA182" s="55"/>
      <c r="AB182" s="55"/>
      <c r="AC182" s="55"/>
    </row>
    <row r="183">
      <c r="A183" s="53"/>
      <c r="B183" s="53"/>
      <c r="C183" s="55"/>
      <c r="D183" s="55"/>
      <c r="E183" s="55"/>
      <c r="F183" s="55"/>
      <c r="G183" s="55"/>
      <c r="H183" s="181"/>
      <c r="I183" s="55"/>
      <c r="J183" s="55"/>
      <c r="K183" s="55"/>
      <c r="L183" s="55"/>
      <c r="M183" s="55"/>
      <c r="N183" s="55"/>
      <c r="O183" s="55"/>
      <c r="P183" s="55"/>
      <c r="Q183" s="55"/>
      <c r="R183" s="55"/>
      <c r="S183" s="55"/>
      <c r="T183" s="55"/>
      <c r="U183" s="55"/>
      <c r="V183" s="55"/>
      <c r="W183" s="55"/>
      <c r="X183" s="55"/>
      <c r="Y183" s="55"/>
      <c r="Z183" s="55"/>
      <c r="AA183" s="55"/>
      <c r="AB183" s="55"/>
      <c r="AC183" s="55"/>
    </row>
    <row r="184">
      <c r="A184" s="53"/>
      <c r="B184" s="53"/>
      <c r="C184" s="55"/>
      <c r="D184" s="55"/>
      <c r="E184" s="55"/>
      <c r="F184" s="55"/>
      <c r="G184" s="55"/>
      <c r="H184" s="181"/>
      <c r="I184" s="55"/>
      <c r="J184" s="55"/>
      <c r="K184" s="55"/>
      <c r="L184" s="55"/>
      <c r="M184" s="55"/>
      <c r="N184" s="55"/>
      <c r="O184" s="55"/>
      <c r="P184" s="55"/>
      <c r="Q184" s="55"/>
      <c r="R184" s="55"/>
      <c r="S184" s="55"/>
      <c r="T184" s="55"/>
      <c r="U184" s="55"/>
      <c r="V184" s="55"/>
      <c r="W184" s="55"/>
      <c r="X184" s="55"/>
      <c r="Y184" s="55"/>
      <c r="Z184" s="55"/>
      <c r="AA184" s="55"/>
      <c r="AB184" s="55"/>
      <c r="AC184" s="55"/>
    </row>
    <row r="185">
      <c r="A185" s="53"/>
      <c r="B185" s="53"/>
      <c r="C185" s="55"/>
      <c r="D185" s="55"/>
      <c r="E185" s="55"/>
      <c r="F185" s="55"/>
      <c r="G185" s="55"/>
      <c r="H185" s="181"/>
      <c r="I185" s="55"/>
      <c r="J185" s="55"/>
      <c r="K185" s="55"/>
      <c r="L185" s="55"/>
      <c r="M185" s="55"/>
      <c r="N185" s="55"/>
      <c r="O185" s="55"/>
      <c r="P185" s="55"/>
      <c r="Q185" s="55"/>
      <c r="R185" s="55"/>
      <c r="S185" s="55"/>
      <c r="T185" s="55"/>
      <c r="U185" s="55"/>
      <c r="V185" s="55"/>
      <c r="W185" s="55"/>
      <c r="X185" s="55"/>
      <c r="Y185" s="55"/>
      <c r="Z185" s="55"/>
      <c r="AA185" s="55"/>
      <c r="AB185" s="55"/>
      <c r="AC185" s="55"/>
    </row>
    <row r="186">
      <c r="A186" s="53"/>
      <c r="B186" s="53"/>
      <c r="C186" s="55"/>
      <c r="D186" s="55"/>
      <c r="E186" s="55"/>
      <c r="F186" s="55"/>
      <c r="G186" s="55"/>
      <c r="H186" s="181"/>
      <c r="I186" s="55"/>
      <c r="J186" s="55"/>
      <c r="K186" s="55"/>
      <c r="L186" s="55"/>
      <c r="M186" s="55"/>
      <c r="N186" s="55"/>
      <c r="O186" s="55"/>
      <c r="P186" s="55"/>
      <c r="Q186" s="55"/>
      <c r="R186" s="55"/>
      <c r="S186" s="55"/>
      <c r="T186" s="55"/>
      <c r="U186" s="55"/>
      <c r="V186" s="55"/>
      <c r="W186" s="55"/>
      <c r="X186" s="55"/>
      <c r="Y186" s="55"/>
      <c r="Z186" s="55"/>
      <c r="AA186" s="55"/>
      <c r="AB186" s="55"/>
      <c r="AC186" s="55"/>
    </row>
    <row r="187">
      <c r="A187" s="53"/>
      <c r="B187" s="53"/>
      <c r="C187" s="55"/>
      <c r="D187" s="55"/>
      <c r="E187" s="55"/>
      <c r="F187" s="55"/>
      <c r="G187" s="55"/>
      <c r="H187" s="181"/>
      <c r="I187" s="55"/>
      <c r="J187" s="55"/>
      <c r="K187" s="55"/>
      <c r="L187" s="55"/>
      <c r="M187" s="55"/>
      <c r="N187" s="55"/>
      <c r="O187" s="55"/>
      <c r="P187" s="55"/>
      <c r="Q187" s="55"/>
      <c r="R187" s="55"/>
      <c r="S187" s="55"/>
      <c r="T187" s="55"/>
      <c r="U187" s="55"/>
      <c r="V187" s="55"/>
      <c r="W187" s="55"/>
      <c r="X187" s="55"/>
      <c r="Y187" s="55"/>
      <c r="Z187" s="55"/>
      <c r="AA187" s="55"/>
      <c r="AB187" s="55"/>
      <c r="AC187" s="55"/>
    </row>
    <row r="188">
      <c r="A188" s="53"/>
      <c r="B188" s="53"/>
      <c r="C188" s="55"/>
      <c r="D188" s="55"/>
      <c r="E188" s="55"/>
      <c r="F188" s="55"/>
      <c r="G188" s="55"/>
      <c r="H188" s="181"/>
      <c r="I188" s="55"/>
      <c r="J188" s="55"/>
      <c r="K188" s="55"/>
      <c r="L188" s="55"/>
      <c r="M188" s="55"/>
      <c r="N188" s="55"/>
      <c r="O188" s="55"/>
      <c r="P188" s="55"/>
      <c r="Q188" s="55"/>
      <c r="R188" s="55"/>
      <c r="S188" s="55"/>
      <c r="T188" s="55"/>
      <c r="U188" s="55"/>
      <c r="V188" s="55"/>
      <c r="W188" s="55"/>
      <c r="X188" s="55"/>
      <c r="Y188" s="55"/>
      <c r="Z188" s="55"/>
      <c r="AA188" s="55"/>
      <c r="AB188" s="55"/>
      <c r="AC188" s="55"/>
    </row>
    <row r="189">
      <c r="A189" s="53"/>
      <c r="B189" s="53"/>
      <c r="C189" s="55"/>
      <c r="D189" s="55"/>
      <c r="E189" s="55"/>
      <c r="F189" s="55"/>
      <c r="G189" s="55"/>
      <c r="H189" s="181"/>
      <c r="I189" s="55"/>
      <c r="J189" s="55"/>
      <c r="K189" s="55"/>
      <c r="L189" s="55"/>
      <c r="M189" s="55"/>
      <c r="N189" s="55"/>
      <c r="O189" s="55"/>
      <c r="P189" s="55"/>
      <c r="Q189" s="55"/>
      <c r="R189" s="55"/>
      <c r="S189" s="55"/>
      <c r="T189" s="55"/>
      <c r="U189" s="55"/>
      <c r="V189" s="55"/>
      <c r="W189" s="55"/>
      <c r="X189" s="55"/>
      <c r="Y189" s="55"/>
      <c r="Z189" s="55"/>
      <c r="AA189" s="55"/>
      <c r="AB189" s="55"/>
      <c r="AC189" s="55"/>
    </row>
    <row r="190">
      <c r="A190" s="53"/>
      <c r="B190" s="53"/>
      <c r="C190" s="55"/>
      <c r="D190" s="55"/>
      <c r="E190" s="55"/>
      <c r="F190" s="55"/>
      <c r="G190" s="55"/>
      <c r="H190" s="181"/>
      <c r="I190" s="55"/>
      <c r="J190" s="55"/>
      <c r="K190" s="55"/>
      <c r="L190" s="55"/>
      <c r="M190" s="55"/>
      <c r="N190" s="55"/>
      <c r="O190" s="55"/>
      <c r="P190" s="55"/>
      <c r="Q190" s="55"/>
      <c r="R190" s="55"/>
      <c r="S190" s="55"/>
      <c r="T190" s="55"/>
      <c r="U190" s="55"/>
      <c r="V190" s="55"/>
      <c r="W190" s="55"/>
      <c r="X190" s="55"/>
      <c r="Y190" s="55"/>
      <c r="Z190" s="55"/>
      <c r="AA190" s="55"/>
      <c r="AB190" s="55"/>
      <c r="AC190" s="55"/>
    </row>
    <row r="191">
      <c r="A191" s="53"/>
      <c r="B191" s="53"/>
      <c r="C191" s="55"/>
      <c r="D191" s="55"/>
      <c r="E191" s="55"/>
      <c r="F191" s="55"/>
      <c r="G191" s="55"/>
      <c r="H191" s="181"/>
      <c r="I191" s="55"/>
      <c r="J191" s="55"/>
      <c r="K191" s="55"/>
      <c r="L191" s="55"/>
      <c r="M191" s="55"/>
      <c r="N191" s="55"/>
      <c r="O191" s="55"/>
      <c r="P191" s="55"/>
      <c r="Q191" s="55"/>
      <c r="R191" s="55"/>
      <c r="S191" s="55"/>
      <c r="T191" s="55"/>
      <c r="U191" s="55"/>
      <c r="V191" s="55"/>
      <c r="W191" s="55"/>
      <c r="X191" s="55"/>
      <c r="Y191" s="55"/>
      <c r="Z191" s="55"/>
      <c r="AA191" s="55"/>
      <c r="AB191" s="55"/>
      <c r="AC191" s="55"/>
    </row>
    <row r="192">
      <c r="A192" s="53"/>
      <c r="B192" s="53"/>
      <c r="C192" s="55"/>
      <c r="D192" s="55"/>
      <c r="E192" s="55"/>
      <c r="F192" s="55"/>
      <c r="G192" s="55"/>
      <c r="H192" s="181"/>
      <c r="I192" s="55"/>
      <c r="J192" s="55"/>
      <c r="K192" s="55"/>
      <c r="L192" s="55"/>
      <c r="M192" s="55"/>
      <c r="N192" s="55"/>
      <c r="O192" s="55"/>
      <c r="P192" s="55"/>
      <c r="Q192" s="55"/>
      <c r="R192" s="55"/>
      <c r="S192" s="55"/>
      <c r="T192" s="55"/>
      <c r="U192" s="55"/>
      <c r="V192" s="55"/>
      <c r="W192" s="55"/>
      <c r="X192" s="55"/>
      <c r="Y192" s="55"/>
      <c r="Z192" s="55"/>
      <c r="AA192" s="55"/>
      <c r="AB192" s="55"/>
      <c r="AC192" s="55"/>
    </row>
    <row r="193">
      <c r="A193" s="53"/>
      <c r="B193" s="53"/>
      <c r="C193" s="55"/>
      <c r="D193" s="55"/>
      <c r="E193" s="55"/>
      <c r="F193" s="55"/>
      <c r="G193" s="55"/>
      <c r="H193" s="181"/>
      <c r="I193" s="55"/>
      <c r="J193" s="55"/>
      <c r="K193" s="55"/>
      <c r="L193" s="55"/>
      <c r="M193" s="55"/>
      <c r="N193" s="55"/>
      <c r="O193" s="55"/>
      <c r="P193" s="55"/>
      <c r="Q193" s="55"/>
      <c r="R193" s="55"/>
      <c r="S193" s="55"/>
      <c r="T193" s="55"/>
      <c r="U193" s="55"/>
      <c r="V193" s="55"/>
      <c r="W193" s="55"/>
      <c r="X193" s="55"/>
      <c r="Y193" s="55"/>
      <c r="Z193" s="55"/>
      <c r="AA193" s="55"/>
      <c r="AB193" s="55"/>
      <c r="AC193" s="55"/>
    </row>
    <row r="194">
      <c r="A194" s="53"/>
      <c r="B194" s="53"/>
      <c r="C194" s="55"/>
      <c r="D194" s="55"/>
      <c r="E194" s="55"/>
      <c r="F194" s="55"/>
      <c r="G194" s="55"/>
      <c r="H194" s="181"/>
      <c r="I194" s="55"/>
      <c r="J194" s="55"/>
      <c r="K194" s="55"/>
      <c r="L194" s="55"/>
      <c r="M194" s="55"/>
      <c r="N194" s="55"/>
      <c r="O194" s="55"/>
      <c r="P194" s="55"/>
      <c r="Q194" s="55"/>
      <c r="R194" s="55"/>
      <c r="S194" s="55"/>
      <c r="T194" s="55"/>
      <c r="U194" s="55"/>
      <c r="V194" s="55"/>
      <c r="W194" s="55"/>
      <c r="X194" s="55"/>
      <c r="Y194" s="55"/>
      <c r="Z194" s="55"/>
      <c r="AA194" s="55"/>
      <c r="AB194" s="55"/>
      <c r="AC194" s="55"/>
    </row>
    <row r="195">
      <c r="A195" s="53"/>
      <c r="B195" s="53"/>
      <c r="C195" s="55"/>
      <c r="D195" s="55"/>
      <c r="E195" s="55"/>
      <c r="F195" s="55"/>
      <c r="G195" s="55"/>
      <c r="H195" s="181"/>
      <c r="I195" s="55"/>
      <c r="J195" s="55"/>
      <c r="K195" s="55"/>
      <c r="L195" s="55"/>
      <c r="M195" s="55"/>
      <c r="N195" s="55"/>
      <c r="O195" s="55"/>
      <c r="P195" s="55"/>
      <c r="Q195" s="55"/>
      <c r="R195" s="55"/>
      <c r="S195" s="55"/>
      <c r="T195" s="55"/>
      <c r="U195" s="55"/>
      <c r="V195" s="55"/>
      <c r="W195" s="55"/>
      <c r="X195" s="55"/>
      <c r="Y195" s="55"/>
      <c r="Z195" s="55"/>
      <c r="AA195" s="55"/>
      <c r="AB195" s="55"/>
      <c r="AC195" s="55"/>
    </row>
    <row r="196">
      <c r="A196" s="53"/>
      <c r="B196" s="53"/>
      <c r="C196" s="55"/>
      <c r="D196" s="55"/>
      <c r="E196" s="55"/>
      <c r="F196" s="55"/>
      <c r="G196" s="55"/>
      <c r="H196" s="181"/>
      <c r="I196" s="55"/>
      <c r="J196" s="55"/>
      <c r="K196" s="55"/>
      <c r="L196" s="55"/>
      <c r="M196" s="55"/>
      <c r="N196" s="55"/>
      <c r="O196" s="55"/>
      <c r="P196" s="55"/>
      <c r="Q196" s="55"/>
      <c r="R196" s="55"/>
      <c r="S196" s="55"/>
      <c r="T196" s="55"/>
      <c r="U196" s="55"/>
      <c r="V196" s="55"/>
      <c r="W196" s="55"/>
      <c r="X196" s="55"/>
      <c r="Y196" s="55"/>
      <c r="Z196" s="55"/>
      <c r="AA196" s="55"/>
      <c r="AB196" s="55"/>
      <c r="AC196" s="55"/>
    </row>
    <row r="197">
      <c r="A197" s="53"/>
      <c r="B197" s="53"/>
      <c r="C197" s="55"/>
      <c r="D197" s="55"/>
      <c r="E197" s="55"/>
      <c r="F197" s="55"/>
      <c r="G197" s="55"/>
      <c r="H197" s="181"/>
      <c r="I197" s="55"/>
      <c r="J197" s="55"/>
      <c r="K197" s="55"/>
      <c r="L197" s="55"/>
      <c r="M197" s="55"/>
      <c r="N197" s="55"/>
      <c r="O197" s="55"/>
      <c r="P197" s="55"/>
      <c r="Q197" s="55"/>
      <c r="R197" s="55"/>
      <c r="S197" s="55"/>
      <c r="T197" s="55"/>
      <c r="U197" s="55"/>
      <c r="V197" s="55"/>
      <c r="W197" s="55"/>
      <c r="X197" s="55"/>
      <c r="Y197" s="55"/>
      <c r="Z197" s="55"/>
      <c r="AA197" s="55"/>
      <c r="AB197" s="55"/>
      <c r="AC197" s="55"/>
    </row>
    <row r="198">
      <c r="A198" s="53"/>
      <c r="B198" s="53"/>
      <c r="C198" s="55"/>
      <c r="D198" s="55"/>
      <c r="E198" s="55"/>
      <c r="F198" s="55"/>
      <c r="G198" s="55"/>
      <c r="H198" s="181"/>
      <c r="I198" s="55"/>
      <c r="J198" s="55"/>
      <c r="K198" s="55"/>
      <c r="L198" s="55"/>
      <c r="M198" s="55"/>
      <c r="N198" s="55"/>
      <c r="O198" s="55"/>
      <c r="P198" s="55"/>
      <c r="Q198" s="55"/>
      <c r="R198" s="55"/>
      <c r="S198" s="55"/>
      <c r="T198" s="55"/>
      <c r="U198" s="55"/>
      <c r="V198" s="55"/>
      <c r="W198" s="55"/>
      <c r="X198" s="55"/>
      <c r="Y198" s="55"/>
      <c r="Z198" s="55"/>
      <c r="AA198" s="55"/>
      <c r="AB198" s="55"/>
      <c r="AC198" s="55"/>
    </row>
    <row r="199">
      <c r="A199" s="53"/>
      <c r="B199" s="53"/>
      <c r="C199" s="55"/>
      <c r="D199" s="55"/>
      <c r="E199" s="55"/>
      <c r="F199" s="55"/>
      <c r="G199" s="55"/>
      <c r="H199" s="181"/>
      <c r="I199" s="55"/>
      <c r="J199" s="55"/>
      <c r="K199" s="55"/>
      <c r="L199" s="55"/>
      <c r="M199" s="55"/>
      <c r="N199" s="55"/>
      <c r="O199" s="55"/>
      <c r="P199" s="55"/>
      <c r="Q199" s="55"/>
      <c r="R199" s="55"/>
      <c r="S199" s="55"/>
      <c r="T199" s="55"/>
      <c r="U199" s="55"/>
      <c r="V199" s="55"/>
      <c r="W199" s="55"/>
      <c r="X199" s="55"/>
      <c r="Y199" s="55"/>
      <c r="Z199" s="55"/>
      <c r="AA199" s="55"/>
      <c r="AB199" s="55"/>
      <c r="AC199" s="55"/>
    </row>
    <row r="200">
      <c r="A200" s="53"/>
      <c r="B200" s="53"/>
      <c r="C200" s="55"/>
      <c r="D200" s="55"/>
      <c r="E200" s="55"/>
      <c r="F200" s="55"/>
      <c r="G200" s="55"/>
      <c r="H200" s="181"/>
      <c r="I200" s="55"/>
      <c r="J200" s="55"/>
      <c r="K200" s="55"/>
      <c r="L200" s="55"/>
      <c r="M200" s="55"/>
      <c r="N200" s="55"/>
      <c r="O200" s="55"/>
      <c r="P200" s="55"/>
      <c r="Q200" s="55"/>
      <c r="R200" s="55"/>
      <c r="S200" s="55"/>
      <c r="T200" s="55"/>
      <c r="U200" s="55"/>
      <c r="V200" s="55"/>
      <c r="W200" s="55"/>
      <c r="X200" s="55"/>
      <c r="Y200" s="55"/>
      <c r="Z200" s="55"/>
      <c r="AA200" s="55"/>
      <c r="AB200" s="55"/>
      <c r="AC200" s="55"/>
    </row>
    <row r="201">
      <c r="A201" s="53"/>
      <c r="B201" s="53"/>
      <c r="C201" s="55"/>
      <c r="D201" s="55"/>
      <c r="E201" s="55"/>
      <c r="F201" s="55"/>
      <c r="G201" s="55"/>
      <c r="H201" s="181"/>
      <c r="I201" s="55"/>
      <c r="J201" s="55"/>
      <c r="K201" s="55"/>
      <c r="L201" s="55"/>
      <c r="M201" s="55"/>
      <c r="N201" s="55"/>
      <c r="O201" s="55"/>
      <c r="P201" s="55"/>
      <c r="Q201" s="55"/>
      <c r="R201" s="55"/>
      <c r="S201" s="55"/>
      <c r="T201" s="55"/>
      <c r="U201" s="55"/>
      <c r="V201" s="55"/>
      <c r="W201" s="55"/>
      <c r="X201" s="55"/>
      <c r="Y201" s="55"/>
      <c r="Z201" s="55"/>
      <c r="AA201" s="55"/>
      <c r="AB201" s="55"/>
      <c r="AC201" s="55"/>
    </row>
    <row r="202">
      <c r="A202" s="53"/>
      <c r="B202" s="53"/>
      <c r="C202" s="55"/>
      <c r="D202" s="55"/>
      <c r="E202" s="55"/>
      <c r="F202" s="55"/>
      <c r="G202" s="55"/>
      <c r="H202" s="181"/>
      <c r="I202" s="55"/>
      <c r="J202" s="55"/>
      <c r="K202" s="55"/>
      <c r="L202" s="55"/>
      <c r="M202" s="55"/>
      <c r="N202" s="55"/>
      <c r="O202" s="55"/>
      <c r="P202" s="55"/>
      <c r="Q202" s="55"/>
      <c r="R202" s="55"/>
      <c r="S202" s="55"/>
      <c r="T202" s="55"/>
      <c r="U202" s="55"/>
      <c r="V202" s="55"/>
      <c r="W202" s="55"/>
      <c r="X202" s="55"/>
      <c r="Y202" s="55"/>
      <c r="Z202" s="55"/>
      <c r="AA202" s="55"/>
      <c r="AB202" s="55"/>
      <c r="AC202" s="55"/>
    </row>
    <row r="203">
      <c r="A203" s="53"/>
      <c r="B203" s="53"/>
      <c r="C203" s="55"/>
      <c r="D203" s="55"/>
      <c r="E203" s="55"/>
      <c r="F203" s="55"/>
      <c r="G203" s="55"/>
      <c r="H203" s="181"/>
      <c r="I203" s="55"/>
      <c r="J203" s="55"/>
      <c r="K203" s="55"/>
      <c r="L203" s="55"/>
      <c r="M203" s="55"/>
      <c r="N203" s="55"/>
      <c r="O203" s="55"/>
      <c r="P203" s="55"/>
      <c r="Q203" s="55"/>
      <c r="R203" s="55"/>
      <c r="S203" s="55"/>
      <c r="T203" s="55"/>
      <c r="U203" s="55"/>
      <c r="V203" s="55"/>
      <c r="W203" s="55"/>
      <c r="X203" s="55"/>
      <c r="Y203" s="55"/>
      <c r="Z203" s="55"/>
      <c r="AA203" s="55"/>
      <c r="AB203" s="55"/>
      <c r="AC203" s="55"/>
    </row>
    <row r="204">
      <c r="A204" s="53"/>
      <c r="B204" s="53"/>
      <c r="C204" s="55"/>
      <c r="D204" s="55"/>
      <c r="E204" s="55"/>
      <c r="F204" s="55"/>
      <c r="G204" s="55"/>
      <c r="H204" s="181"/>
      <c r="I204" s="55"/>
      <c r="J204" s="55"/>
      <c r="K204" s="55"/>
      <c r="L204" s="55"/>
      <c r="M204" s="55"/>
      <c r="N204" s="55"/>
      <c r="O204" s="55"/>
      <c r="P204" s="55"/>
      <c r="Q204" s="55"/>
      <c r="R204" s="55"/>
      <c r="S204" s="55"/>
      <c r="T204" s="55"/>
      <c r="U204" s="55"/>
      <c r="V204" s="55"/>
      <c r="W204" s="55"/>
      <c r="X204" s="55"/>
      <c r="Y204" s="55"/>
      <c r="Z204" s="55"/>
      <c r="AA204" s="55"/>
      <c r="AB204" s="55"/>
      <c r="AC204" s="55"/>
    </row>
    <row r="205">
      <c r="A205" s="53"/>
      <c r="B205" s="53"/>
      <c r="C205" s="55"/>
      <c r="D205" s="55"/>
      <c r="E205" s="55"/>
      <c r="F205" s="55"/>
      <c r="G205" s="55"/>
      <c r="H205" s="181"/>
      <c r="I205" s="55"/>
      <c r="J205" s="55"/>
      <c r="K205" s="55"/>
      <c r="L205" s="55"/>
      <c r="M205" s="55"/>
      <c r="N205" s="55"/>
      <c r="O205" s="55"/>
      <c r="P205" s="55"/>
      <c r="Q205" s="55"/>
      <c r="R205" s="55"/>
      <c r="S205" s="55"/>
      <c r="T205" s="55"/>
      <c r="U205" s="55"/>
      <c r="V205" s="55"/>
      <c r="W205" s="55"/>
      <c r="X205" s="55"/>
      <c r="Y205" s="55"/>
      <c r="Z205" s="55"/>
      <c r="AA205" s="55"/>
      <c r="AB205" s="55"/>
      <c r="AC205" s="55"/>
    </row>
    <row r="206">
      <c r="A206" s="53"/>
      <c r="B206" s="53"/>
      <c r="C206" s="55"/>
      <c r="D206" s="55"/>
      <c r="E206" s="55"/>
      <c r="F206" s="55"/>
      <c r="G206" s="55"/>
      <c r="H206" s="181"/>
      <c r="I206" s="55"/>
      <c r="J206" s="55"/>
      <c r="K206" s="55"/>
      <c r="L206" s="55"/>
      <c r="M206" s="55"/>
      <c r="N206" s="55"/>
      <c r="O206" s="55"/>
      <c r="P206" s="55"/>
      <c r="Q206" s="55"/>
      <c r="R206" s="55"/>
      <c r="S206" s="55"/>
      <c r="T206" s="55"/>
      <c r="U206" s="55"/>
      <c r="V206" s="55"/>
      <c r="W206" s="55"/>
      <c r="X206" s="55"/>
      <c r="Y206" s="55"/>
      <c r="Z206" s="55"/>
      <c r="AA206" s="55"/>
      <c r="AB206" s="55"/>
      <c r="AC206" s="55"/>
    </row>
    <row r="207">
      <c r="A207" s="53"/>
      <c r="B207" s="53"/>
      <c r="C207" s="55"/>
      <c r="D207" s="55"/>
      <c r="E207" s="55"/>
      <c r="F207" s="55"/>
      <c r="G207" s="55"/>
      <c r="H207" s="181"/>
      <c r="I207" s="55"/>
      <c r="J207" s="55"/>
      <c r="K207" s="55"/>
      <c r="L207" s="55"/>
      <c r="M207" s="55"/>
      <c r="N207" s="55"/>
      <c r="O207" s="55"/>
      <c r="P207" s="55"/>
      <c r="Q207" s="55"/>
      <c r="R207" s="55"/>
      <c r="S207" s="55"/>
      <c r="T207" s="55"/>
      <c r="U207" s="55"/>
      <c r="V207" s="55"/>
      <c r="W207" s="55"/>
      <c r="X207" s="55"/>
      <c r="Y207" s="55"/>
      <c r="Z207" s="55"/>
      <c r="AA207" s="55"/>
      <c r="AB207" s="55"/>
      <c r="AC207" s="55"/>
    </row>
    <row r="208">
      <c r="A208" s="53"/>
      <c r="B208" s="53"/>
      <c r="C208" s="55"/>
      <c r="D208" s="55"/>
      <c r="E208" s="55"/>
      <c r="F208" s="55"/>
      <c r="G208" s="55"/>
      <c r="H208" s="181"/>
      <c r="I208" s="55"/>
      <c r="J208" s="55"/>
      <c r="K208" s="55"/>
      <c r="L208" s="55"/>
      <c r="M208" s="55"/>
      <c r="N208" s="55"/>
      <c r="O208" s="55"/>
      <c r="P208" s="55"/>
      <c r="Q208" s="55"/>
      <c r="R208" s="55"/>
      <c r="S208" s="55"/>
      <c r="T208" s="55"/>
      <c r="U208" s="55"/>
      <c r="V208" s="55"/>
      <c r="W208" s="55"/>
      <c r="X208" s="55"/>
      <c r="Y208" s="55"/>
      <c r="Z208" s="55"/>
      <c r="AA208" s="55"/>
      <c r="AB208" s="55"/>
      <c r="AC208" s="55"/>
    </row>
    <row r="209">
      <c r="A209" s="53"/>
      <c r="B209" s="53"/>
      <c r="C209" s="55"/>
      <c r="D209" s="55"/>
      <c r="E209" s="55"/>
      <c r="F209" s="55"/>
      <c r="G209" s="55"/>
      <c r="H209" s="181"/>
      <c r="I209" s="55"/>
      <c r="J209" s="55"/>
      <c r="K209" s="55"/>
      <c r="L209" s="55"/>
      <c r="M209" s="55"/>
      <c r="N209" s="55"/>
      <c r="O209" s="55"/>
      <c r="P209" s="55"/>
      <c r="Q209" s="55"/>
      <c r="R209" s="55"/>
      <c r="S209" s="55"/>
      <c r="T209" s="55"/>
      <c r="U209" s="55"/>
      <c r="V209" s="55"/>
      <c r="W209" s="55"/>
      <c r="X209" s="55"/>
      <c r="Y209" s="55"/>
      <c r="Z209" s="55"/>
      <c r="AA209" s="55"/>
      <c r="AB209" s="55"/>
      <c r="AC209" s="55"/>
    </row>
    <row r="210">
      <c r="A210" s="53"/>
      <c r="B210" s="53"/>
      <c r="C210" s="55"/>
      <c r="D210" s="55"/>
      <c r="E210" s="55"/>
      <c r="F210" s="55"/>
      <c r="G210" s="55"/>
      <c r="H210" s="181"/>
      <c r="I210" s="55"/>
      <c r="J210" s="55"/>
      <c r="K210" s="55"/>
      <c r="L210" s="55"/>
      <c r="M210" s="55"/>
      <c r="N210" s="55"/>
      <c r="O210" s="55"/>
      <c r="P210" s="55"/>
      <c r="Q210" s="55"/>
      <c r="R210" s="55"/>
      <c r="S210" s="55"/>
      <c r="T210" s="55"/>
      <c r="U210" s="55"/>
      <c r="V210" s="55"/>
      <c r="W210" s="55"/>
      <c r="X210" s="55"/>
      <c r="Y210" s="55"/>
      <c r="Z210" s="55"/>
      <c r="AA210" s="55"/>
      <c r="AB210" s="55"/>
      <c r="AC210" s="55"/>
    </row>
    <row r="211">
      <c r="A211" s="53"/>
      <c r="B211" s="53"/>
      <c r="C211" s="55"/>
      <c r="D211" s="55"/>
      <c r="E211" s="55"/>
      <c r="F211" s="55"/>
      <c r="G211" s="55"/>
      <c r="H211" s="181"/>
      <c r="I211" s="55"/>
      <c r="J211" s="55"/>
      <c r="K211" s="55"/>
      <c r="L211" s="55"/>
      <c r="M211" s="55"/>
      <c r="N211" s="55"/>
      <c r="O211" s="55"/>
      <c r="P211" s="55"/>
      <c r="Q211" s="55"/>
      <c r="R211" s="55"/>
      <c r="S211" s="55"/>
      <c r="T211" s="55"/>
      <c r="U211" s="55"/>
      <c r="V211" s="55"/>
      <c r="W211" s="55"/>
      <c r="X211" s="55"/>
      <c r="Y211" s="55"/>
      <c r="Z211" s="55"/>
      <c r="AA211" s="55"/>
      <c r="AB211" s="55"/>
      <c r="AC211" s="55"/>
    </row>
    <row r="212">
      <c r="A212" s="53"/>
      <c r="B212" s="53"/>
      <c r="C212" s="55"/>
      <c r="D212" s="55"/>
      <c r="E212" s="55"/>
      <c r="F212" s="55"/>
      <c r="G212" s="55"/>
      <c r="H212" s="181"/>
      <c r="I212" s="55"/>
      <c r="J212" s="55"/>
      <c r="K212" s="55"/>
      <c r="L212" s="55"/>
      <c r="M212" s="55"/>
      <c r="N212" s="55"/>
      <c r="O212" s="55"/>
      <c r="P212" s="55"/>
      <c r="Q212" s="55"/>
      <c r="R212" s="55"/>
      <c r="S212" s="55"/>
      <c r="T212" s="55"/>
      <c r="U212" s="55"/>
      <c r="V212" s="55"/>
      <c r="W212" s="55"/>
      <c r="X212" s="55"/>
      <c r="Y212" s="55"/>
      <c r="Z212" s="55"/>
      <c r="AA212" s="55"/>
      <c r="AB212" s="55"/>
      <c r="AC212" s="55"/>
    </row>
    <row r="213">
      <c r="A213" s="53"/>
      <c r="B213" s="53"/>
      <c r="C213" s="55"/>
      <c r="D213" s="55"/>
      <c r="E213" s="55"/>
      <c r="F213" s="55"/>
      <c r="G213" s="55"/>
      <c r="H213" s="181"/>
      <c r="I213" s="55"/>
      <c r="J213" s="55"/>
      <c r="K213" s="55"/>
      <c r="L213" s="55"/>
      <c r="M213" s="55"/>
      <c r="N213" s="55"/>
      <c r="O213" s="55"/>
      <c r="P213" s="55"/>
      <c r="Q213" s="55"/>
      <c r="R213" s="55"/>
      <c r="S213" s="55"/>
      <c r="T213" s="55"/>
      <c r="U213" s="55"/>
      <c r="V213" s="55"/>
      <c r="W213" s="55"/>
      <c r="X213" s="55"/>
      <c r="Y213" s="55"/>
      <c r="Z213" s="55"/>
      <c r="AA213" s="55"/>
      <c r="AB213" s="55"/>
      <c r="AC213" s="55"/>
    </row>
    <row r="214">
      <c r="A214" s="53"/>
      <c r="B214" s="53"/>
      <c r="C214" s="55"/>
      <c r="D214" s="55"/>
      <c r="E214" s="55"/>
      <c r="F214" s="55"/>
      <c r="G214" s="55"/>
      <c r="H214" s="181"/>
      <c r="I214" s="55"/>
      <c r="J214" s="55"/>
      <c r="K214" s="55"/>
      <c r="L214" s="55"/>
      <c r="M214" s="55"/>
      <c r="N214" s="55"/>
      <c r="O214" s="55"/>
      <c r="P214" s="55"/>
      <c r="Q214" s="55"/>
      <c r="R214" s="55"/>
      <c r="S214" s="55"/>
      <c r="T214" s="55"/>
      <c r="U214" s="55"/>
      <c r="V214" s="55"/>
      <c r="W214" s="55"/>
      <c r="X214" s="55"/>
      <c r="Y214" s="55"/>
      <c r="Z214" s="55"/>
      <c r="AA214" s="55"/>
      <c r="AB214" s="55"/>
      <c r="AC214" s="55"/>
    </row>
    <row r="215">
      <c r="A215" s="53"/>
      <c r="B215" s="53"/>
      <c r="C215" s="55"/>
      <c r="D215" s="55"/>
      <c r="E215" s="55"/>
      <c r="F215" s="55"/>
      <c r="G215" s="55"/>
      <c r="H215" s="181"/>
      <c r="I215" s="55"/>
      <c r="J215" s="55"/>
      <c r="K215" s="55"/>
      <c r="L215" s="55"/>
      <c r="M215" s="55"/>
      <c r="N215" s="55"/>
      <c r="O215" s="55"/>
      <c r="P215" s="55"/>
      <c r="Q215" s="55"/>
      <c r="R215" s="55"/>
      <c r="S215" s="55"/>
      <c r="T215" s="55"/>
      <c r="U215" s="55"/>
      <c r="V215" s="55"/>
      <c r="W215" s="55"/>
      <c r="X215" s="55"/>
      <c r="Y215" s="55"/>
      <c r="Z215" s="55"/>
      <c r="AA215" s="55"/>
      <c r="AB215" s="55"/>
      <c r="AC215" s="55"/>
    </row>
    <row r="216">
      <c r="A216" s="53"/>
      <c r="B216" s="53"/>
      <c r="C216" s="55"/>
      <c r="D216" s="55"/>
      <c r="E216" s="55"/>
      <c r="F216" s="55"/>
      <c r="G216" s="55"/>
      <c r="H216" s="181"/>
      <c r="I216" s="55"/>
      <c r="J216" s="55"/>
      <c r="K216" s="55"/>
      <c r="L216" s="55"/>
      <c r="M216" s="55"/>
      <c r="N216" s="55"/>
      <c r="O216" s="55"/>
      <c r="P216" s="55"/>
      <c r="Q216" s="55"/>
      <c r="R216" s="55"/>
      <c r="S216" s="55"/>
      <c r="T216" s="55"/>
      <c r="U216" s="55"/>
      <c r="V216" s="55"/>
      <c r="W216" s="55"/>
      <c r="X216" s="55"/>
      <c r="Y216" s="55"/>
      <c r="Z216" s="55"/>
      <c r="AA216" s="55"/>
      <c r="AB216" s="55"/>
      <c r="AC216" s="55"/>
    </row>
    <row r="217">
      <c r="A217" s="53"/>
      <c r="B217" s="53"/>
      <c r="C217" s="55"/>
      <c r="D217" s="55"/>
      <c r="E217" s="55"/>
      <c r="F217" s="55"/>
      <c r="G217" s="55"/>
      <c r="H217" s="181"/>
      <c r="I217" s="55"/>
      <c r="J217" s="55"/>
      <c r="K217" s="55"/>
      <c r="L217" s="55"/>
      <c r="M217" s="55"/>
      <c r="N217" s="55"/>
      <c r="O217" s="55"/>
      <c r="P217" s="55"/>
      <c r="Q217" s="55"/>
      <c r="R217" s="55"/>
      <c r="S217" s="55"/>
      <c r="T217" s="55"/>
      <c r="U217" s="55"/>
      <c r="V217" s="55"/>
      <c r="W217" s="55"/>
      <c r="X217" s="55"/>
      <c r="Y217" s="55"/>
      <c r="Z217" s="55"/>
      <c r="AA217" s="55"/>
      <c r="AB217" s="55"/>
      <c r="AC217" s="55"/>
    </row>
    <row r="218">
      <c r="A218" s="53"/>
      <c r="B218" s="53"/>
      <c r="C218" s="55"/>
      <c r="D218" s="55"/>
      <c r="E218" s="55"/>
      <c r="F218" s="55"/>
      <c r="G218" s="55"/>
      <c r="H218" s="181"/>
      <c r="I218" s="55"/>
      <c r="J218" s="55"/>
      <c r="K218" s="55"/>
      <c r="L218" s="55"/>
      <c r="M218" s="55"/>
      <c r="N218" s="55"/>
      <c r="O218" s="55"/>
      <c r="P218" s="55"/>
      <c r="Q218" s="55"/>
      <c r="R218" s="55"/>
      <c r="S218" s="55"/>
      <c r="T218" s="55"/>
      <c r="U218" s="55"/>
      <c r="V218" s="55"/>
      <c r="W218" s="55"/>
      <c r="X218" s="55"/>
      <c r="Y218" s="55"/>
      <c r="Z218" s="55"/>
      <c r="AA218" s="55"/>
      <c r="AB218" s="55"/>
      <c r="AC218" s="55"/>
    </row>
    <row r="219">
      <c r="A219" s="53"/>
      <c r="B219" s="53"/>
      <c r="C219" s="55"/>
      <c r="D219" s="55"/>
      <c r="E219" s="55"/>
      <c r="F219" s="55"/>
      <c r="G219" s="55"/>
      <c r="H219" s="181"/>
      <c r="I219" s="55"/>
      <c r="J219" s="55"/>
      <c r="K219" s="55"/>
      <c r="L219" s="55"/>
      <c r="M219" s="55"/>
      <c r="N219" s="55"/>
      <c r="O219" s="55"/>
      <c r="P219" s="55"/>
      <c r="Q219" s="55"/>
      <c r="R219" s="55"/>
      <c r="S219" s="55"/>
      <c r="T219" s="55"/>
      <c r="U219" s="55"/>
      <c r="V219" s="55"/>
      <c r="W219" s="55"/>
      <c r="X219" s="55"/>
      <c r="Y219" s="55"/>
      <c r="Z219" s="55"/>
      <c r="AA219" s="55"/>
      <c r="AB219" s="55"/>
      <c r="AC219" s="55"/>
    </row>
    <row r="220">
      <c r="A220" s="53"/>
      <c r="B220" s="53"/>
      <c r="C220" s="55"/>
      <c r="D220" s="55"/>
      <c r="E220" s="55"/>
      <c r="F220" s="55"/>
      <c r="G220" s="55"/>
      <c r="H220" s="181"/>
      <c r="I220" s="55"/>
      <c r="J220" s="55"/>
      <c r="K220" s="55"/>
      <c r="L220" s="55"/>
      <c r="M220" s="55"/>
      <c r="N220" s="55"/>
      <c r="O220" s="55"/>
      <c r="P220" s="55"/>
      <c r="Q220" s="55"/>
      <c r="R220" s="55"/>
      <c r="S220" s="55"/>
      <c r="T220" s="55"/>
      <c r="U220" s="55"/>
      <c r="V220" s="55"/>
      <c r="W220" s="55"/>
      <c r="X220" s="55"/>
      <c r="Y220" s="55"/>
      <c r="Z220" s="55"/>
      <c r="AA220" s="55"/>
      <c r="AB220" s="55"/>
      <c r="AC220" s="55"/>
    </row>
    <row r="221">
      <c r="A221" s="53"/>
      <c r="B221" s="53"/>
      <c r="C221" s="55"/>
      <c r="D221" s="55"/>
      <c r="E221" s="55"/>
      <c r="F221" s="55"/>
      <c r="G221" s="55"/>
      <c r="H221" s="181"/>
      <c r="I221" s="55"/>
      <c r="J221" s="55"/>
      <c r="K221" s="55"/>
      <c r="L221" s="55"/>
      <c r="M221" s="55"/>
      <c r="N221" s="55"/>
      <c r="O221" s="55"/>
      <c r="P221" s="55"/>
      <c r="Q221" s="55"/>
      <c r="R221" s="55"/>
      <c r="S221" s="55"/>
      <c r="T221" s="55"/>
      <c r="U221" s="55"/>
      <c r="V221" s="55"/>
      <c r="W221" s="55"/>
      <c r="X221" s="55"/>
      <c r="Y221" s="55"/>
      <c r="Z221" s="55"/>
      <c r="AA221" s="55"/>
      <c r="AB221" s="55"/>
      <c r="AC221" s="55"/>
    </row>
    <row r="222">
      <c r="A222" s="53"/>
      <c r="B222" s="53"/>
      <c r="C222" s="55"/>
      <c r="D222" s="55"/>
      <c r="E222" s="55"/>
      <c r="F222" s="55"/>
      <c r="G222" s="55"/>
      <c r="H222" s="181"/>
      <c r="I222" s="55"/>
      <c r="J222" s="55"/>
      <c r="K222" s="55"/>
      <c r="L222" s="55"/>
      <c r="M222" s="55"/>
      <c r="N222" s="55"/>
      <c r="O222" s="55"/>
      <c r="P222" s="55"/>
      <c r="Q222" s="55"/>
      <c r="R222" s="55"/>
      <c r="S222" s="55"/>
      <c r="T222" s="55"/>
      <c r="U222" s="55"/>
      <c r="V222" s="55"/>
      <c r="W222" s="55"/>
      <c r="X222" s="55"/>
      <c r="Y222" s="55"/>
      <c r="Z222" s="55"/>
      <c r="AA222" s="55"/>
      <c r="AB222" s="55"/>
      <c r="AC222" s="55"/>
    </row>
    <row r="223">
      <c r="A223" s="53"/>
      <c r="B223" s="53"/>
      <c r="C223" s="55"/>
      <c r="D223" s="55"/>
      <c r="E223" s="55"/>
      <c r="F223" s="55"/>
      <c r="G223" s="55"/>
      <c r="H223" s="181"/>
      <c r="I223" s="55"/>
      <c r="J223" s="55"/>
      <c r="K223" s="55"/>
      <c r="L223" s="55"/>
      <c r="M223" s="55"/>
      <c r="N223" s="55"/>
      <c r="O223" s="55"/>
      <c r="P223" s="55"/>
      <c r="Q223" s="55"/>
      <c r="R223" s="55"/>
      <c r="S223" s="55"/>
      <c r="T223" s="55"/>
      <c r="U223" s="55"/>
      <c r="V223" s="55"/>
      <c r="W223" s="55"/>
      <c r="X223" s="55"/>
      <c r="Y223" s="55"/>
      <c r="Z223" s="55"/>
      <c r="AA223" s="55"/>
      <c r="AB223" s="55"/>
      <c r="AC223" s="55"/>
    </row>
    <row r="224">
      <c r="A224" s="53"/>
      <c r="B224" s="53"/>
      <c r="C224" s="55"/>
      <c r="D224" s="55"/>
      <c r="E224" s="55"/>
      <c r="F224" s="55"/>
      <c r="G224" s="55"/>
      <c r="H224" s="181"/>
      <c r="I224" s="55"/>
      <c r="J224" s="55"/>
      <c r="K224" s="55"/>
      <c r="L224" s="55"/>
      <c r="M224" s="55"/>
      <c r="N224" s="55"/>
      <c r="O224" s="55"/>
      <c r="P224" s="55"/>
      <c r="Q224" s="55"/>
      <c r="R224" s="55"/>
      <c r="S224" s="55"/>
      <c r="T224" s="55"/>
      <c r="U224" s="55"/>
      <c r="V224" s="55"/>
      <c r="W224" s="55"/>
      <c r="X224" s="55"/>
      <c r="Y224" s="55"/>
      <c r="Z224" s="55"/>
      <c r="AA224" s="55"/>
      <c r="AB224" s="55"/>
      <c r="AC224" s="55"/>
    </row>
    <row r="225">
      <c r="A225" s="53"/>
      <c r="B225" s="53"/>
      <c r="C225" s="55"/>
      <c r="D225" s="55"/>
      <c r="E225" s="55"/>
      <c r="F225" s="55"/>
      <c r="G225" s="55"/>
      <c r="H225" s="181"/>
      <c r="I225" s="55"/>
      <c r="J225" s="55"/>
      <c r="K225" s="55"/>
      <c r="L225" s="55"/>
      <c r="M225" s="55"/>
      <c r="N225" s="55"/>
      <c r="O225" s="55"/>
      <c r="P225" s="55"/>
      <c r="Q225" s="55"/>
      <c r="R225" s="55"/>
      <c r="S225" s="55"/>
      <c r="T225" s="55"/>
      <c r="U225" s="55"/>
      <c r="V225" s="55"/>
      <c r="W225" s="55"/>
      <c r="X225" s="55"/>
      <c r="Y225" s="55"/>
      <c r="Z225" s="55"/>
      <c r="AA225" s="55"/>
      <c r="AB225" s="55"/>
      <c r="AC225" s="55"/>
    </row>
    <row r="226">
      <c r="A226" s="53"/>
      <c r="B226" s="53"/>
      <c r="C226" s="55"/>
      <c r="D226" s="55"/>
      <c r="E226" s="55"/>
      <c r="F226" s="55"/>
      <c r="G226" s="55"/>
      <c r="H226" s="181"/>
      <c r="I226" s="55"/>
      <c r="J226" s="55"/>
      <c r="K226" s="55"/>
      <c r="L226" s="55"/>
      <c r="M226" s="55"/>
      <c r="N226" s="55"/>
      <c r="O226" s="55"/>
      <c r="P226" s="55"/>
      <c r="Q226" s="55"/>
      <c r="R226" s="55"/>
      <c r="S226" s="55"/>
      <c r="T226" s="55"/>
      <c r="U226" s="55"/>
      <c r="V226" s="55"/>
      <c r="W226" s="55"/>
      <c r="X226" s="55"/>
      <c r="Y226" s="55"/>
      <c r="Z226" s="55"/>
      <c r="AA226" s="55"/>
      <c r="AB226" s="55"/>
      <c r="AC226" s="55"/>
    </row>
    <row r="227">
      <c r="A227" s="53"/>
      <c r="B227" s="53"/>
      <c r="C227" s="55"/>
      <c r="D227" s="55"/>
      <c r="E227" s="55"/>
      <c r="F227" s="55"/>
      <c r="G227" s="55"/>
      <c r="H227" s="181"/>
      <c r="I227" s="55"/>
      <c r="J227" s="55"/>
      <c r="K227" s="55"/>
      <c r="L227" s="55"/>
      <c r="M227" s="55"/>
      <c r="N227" s="55"/>
      <c r="O227" s="55"/>
      <c r="P227" s="55"/>
      <c r="Q227" s="55"/>
      <c r="R227" s="55"/>
      <c r="S227" s="55"/>
      <c r="T227" s="55"/>
      <c r="U227" s="55"/>
      <c r="V227" s="55"/>
      <c r="W227" s="55"/>
      <c r="X227" s="55"/>
      <c r="Y227" s="55"/>
      <c r="Z227" s="55"/>
      <c r="AA227" s="55"/>
      <c r="AB227" s="55"/>
      <c r="AC227" s="55"/>
    </row>
    <row r="228">
      <c r="A228" s="53"/>
      <c r="B228" s="53"/>
      <c r="C228" s="55"/>
      <c r="D228" s="55"/>
      <c r="E228" s="55"/>
      <c r="F228" s="55"/>
      <c r="G228" s="55"/>
      <c r="H228" s="181"/>
      <c r="I228" s="55"/>
      <c r="J228" s="55"/>
      <c r="K228" s="55"/>
      <c r="L228" s="55"/>
      <c r="M228" s="55"/>
      <c r="N228" s="55"/>
      <c r="O228" s="55"/>
      <c r="P228" s="55"/>
      <c r="Q228" s="55"/>
      <c r="R228" s="55"/>
      <c r="S228" s="55"/>
      <c r="T228" s="55"/>
      <c r="U228" s="55"/>
      <c r="V228" s="55"/>
      <c r="W228" s="55"/>
      <c r="X228" s="55"/>
      <c r="Y228" s="55"/>
      <c r="Z228" s="55"/>
      <c r="AA228" s="55"/>
      <c r="AB228" s="55"/>
      <c r="AC228" s="55"/>
    </row>
    <row r="229">
      <c r="A229" s="53"/>
      <c r="B229" s="53"/>
      <c r="C229" s="55"/>
      <c r="D229" s="55"/>
      <c r="E229" s="55"/>
      <c r="F229" s="55"/>
      <c r="G229" s="55"/>
      <c r="H229" s="181"/>
      <c r="I229" s="55"/>
      <c r="J229" s="55"/>
      <c r="K229" s="55"/>
      <c r="L229" s="55"/>
      <c r="M229" s="55"/>
      <c r="N229" s="55"/>
      <c r="O229" s="55"/>
      <c r="P229" s="55"/>
      <c r="Q229" s="55"/>
      <c r="R229" s="55"/>
      <c r="S229" s="55"/>
      <c r="T229" s="55"/>
      <c r="U229" s="55"/>
      <c r="V229" s="55"/>
      <c r="W229" s="55"/>
      <c r="X229" s="55"/>
      <c r="Y229" s="55"/>
      <c r="Z229" s="55"/>
      <c r="AA229" s="55"/>
      <c r="AB229" s="55"/>
      <c r="AC229" s="55"/>
    </row>
    <row r="230">
      <c r="A230" s="53"/>
      <c r="B230" s="53"/>
      <c r="C230" s="55"/>
      <c r="D230" s="55"/>
      <c r="E230" s="55"/>
      <c r="F230" s="55"/>
      <c r="G230" s="55"/>
      <c r="H230" s="181"/>
      <c r="I230" s="55"/>
      <c r="J230" s="55"/>
      <c r="K230" s="55"/>
      <c r="L230" s="55"/>
      <c r="M230" s="55"/>
      <c r="N230" s="55"/>
      <c r="O230" s="55"/>
      <c r="P230" s="55"/>
      <c r="Q230" s="55"/>
      <c r="R230" s="55"/>
      <c r="S230" s="55"/>
      <c r="T230" s="55"/>
      <c r="U230" s="55"/>
      <c r="V230" s="55"/>
      <c r="W230" s="55"/>
      <c r="X230" s="55"/>
      <c r="Y230" s="55"/>
      <c r="Z230" s="55"/>
      <c r="AA230" s="55"/>
      <c r="AB230" s="55"/>
      <c r="AC230" s="55"/>
    </row>
    <row r="231">
      <c r="A231" s="53"/>
      <c r="B231" s="53"/>
      <c r="C231" s="55"/>
      <c r="D231" s="55"/>
      <c r="E231" s="55"/>
      <c r="F231" s="55"/>
      <c r="G231" s="55"/>
      <c r="H231" s="181"/>
      <c r="I231" s="55"/>
      <c r="J231" s="55"/>
      <c r="K231" s="55"/>
      <c r="L231" s="55"/>
      <c r="M231" s="55"/>
      <c r="N231" s="55"/>
      <c r="O231" s="55"/>
      <c r="P231" s="55"/>
      <c r="Q231" s="55"/>
      <c r="R231" s="55"/>
      <c r="S231" s="55"/>
      <c r="T231" s="55"/>
      <c r="U231" s="55"/>
      <c r="V231" s="55"/>
      <c r="W231" s="55"/>
      <c r="X231" s="55"/>
      <c r="Y231" s="55"/>
      <c r="Z231" s="55"/>
      <c r="AA231" s="55"/>
      <c r="AB231" s="55"/>
      <c r="AC231" s="55"/>
    </row>
    <row r="232">
      <c r="A232" s="53"/>
      <c r="B232" s="53"/>
      <c r="C232" s="55"/>
      <c r="D232" s="55"/>
      <c r="E232" s="55"/>
      <c r="F232" s="55"/>
      <c r="G232" s="55"/>
      <c r="H232" s="181"/>
      <c r="I232" s="55"/>
      <c r="J232" s="55"/>
      <c r="K232" s="55"/>
      <c r="L232" s="55"/>
      <c r="M232" s="55"/>
      <c r="N232" s="55"/>
      <c r="O232" s="55"/>
      <c r="P232" s="55"/>
      <c r="Q232" s="55"/>
      <c r="R232" s="55"/>
      <c r="S232" s="55"/>
      <c r="T232" s="55"/>
      <c r="U232" s="55"/>
      <c r="V232" s="55"/>
      <c r="W232" s="55"/>
      <c r="X232" s="55"/>
      <c r="Y232" s="55"/>
      <c r="Z232" s="55"/>
      <c r="AA232" s="55"/>
      <c r="AB232" s="55"/>
      <c r="AC232" s="55"/>
    </row>
    <row r="233">
      <c r="A233" s="53"/>
      <c r="B233" s="53"/>
      <c r="C233" s="55"/>
      <c r="D233" s="55"/>
      <c r="E233" s="55"/>
      <c r="F233" s="55"/>
      <c r="G233" s="55"/>
      <c r="H233" s="181"/>
      <c r="I233" s="55"/>
      <c r="J233" s="55"/>
      <c r="K233" s="55"/>
      <c r="L233" s="55"/>
      <c r="M233" s="55"/>
      <c r="N233" s="55"/>
      <c r="O233" s="55"/>
      <c r="P233" s="55"/>
      <c r="Q233" s="55"/>
      <c r="R233" s="55"/>
      <c r="S233" s="55"/>
      <c r="T233" s="55"/>
      <c r="U233" s="55"/>
      <c r="V233" s="55"/>
      <c r="W233" s="55"/>
      <c r="X233" s="55"/>
      <c r="Y233" s="55"/>
      <c r="Z233" s="55"/>
      <c r="AA233" s="55"/>
      <c r="AB233" s="55"/>
      <c r="AC233" s="55"/>
    </row>
    <row r="234">
      <c r="A234" s="53"/>
      <c r="B234" s="53"/>
      <c r="C234" s="55"/>
      <c r="D234" s="55"/>
      <c r="E234" s="55"/>
      <c r="F234" s="55"/>
      <c r="G234" s="55"/>
      <c r="H234" s="181"/>
      <c r="I234" s="55"/>
      <c r="J234" s="55"/>
      <c r="K234" s="55"/>
      <c r="L234" s="55"/>
      <c r="M234" s="55"/>
      <c r="N234" s="55"/>
      <c r="O234" s="55"/>
      <c r="P234" s="55"/>
      <c r="Q234" s="55"/>
      <c r="R234" s="55"/>
      <c r="S234" s="55"/>
      <c r="T234" s="55"/>
      <c r="U234" s="55"/>
      <c r="V234" s="55"/>
      <c r="W234" s="55"/>
      <c r="X234" s="55"/>
      <c r="Y234" s="55"/>
      <c r="Z234" s="55"/>
      <c r="AA234" s="55"/>
      <c r="AB234" s="55"/>
      <c r="AC234" s="55"/>
    </row>
    <row r="235">
      <c r="A235" s="53"/>
      <c r="B235" s="53"/>
      <c r="C235" s="55"/>
      <c r="D235" s="55"/>
      <c r="E235" s="55"/>
      <c r="F235" s="55"/>
      <c r="G235" s="55"/>
      <c r="H235" s="181"/>
      <c r="I235" s="55"/>
      <c r="J235" s="55"/>
      <c r="K235" s="55"/>
      <c r="L235" s="55"/>
      <c r="M235" s="55"/>
      <c r="N235" s="55"/>
      <c r="O235" s="55"/>
      <c r="P235" s="55"/>
      <c r="Q235" s="55"/>
      <c r="R235" s="55"/>
      <c r="S235" s="55"/>
      <c r="T235" s="55"/>
      <c r="U235" s="55"/>
      <c r="V235" s="55"/>
      <c r="W235" s="55"/>
      <c r="X235" s="55"/>
      <c r="Y235" s="55"/>
      <c r="Z235" s="55"/>
      <c r="AA235" s="55"/>
      <c r="AB235" s="55"/>
      <c r="AC235" s="55"/>
    </row>
    <row r="236">
      <c r="A236" s="53"/>
      <c r="B236" s="53"/>
      <c r="C236" s="55"/>
      <c r="D236" s="55"/>
      <c r="E236" s="55"/>
      <c r="F236" s="55"/>
      <c r="G236" s="55"/>
      <c r="H236" s="181"/>
      <c r="I236" s="55"/>
      <c r="J236" s="55"/>
      <c r="K236" s="55"/>
      <c r="L236" s="55"/>
      <c r="M236" s="55"/>
      <c r="N236" s="55"/>
      <c r="O236" s="55"/>
      <c r="P236" s="55"/>
      <c r="Q236" s="55"/>
      <c r="R236" s="55"/>
      <c r="S236" s="55"/>
      <c r="T236" s="55"/>
      <c r="U236" s="55"/>
      <c r="V236" s="55"/>
      <c r="W236" s="55"/>
      <c r="X236" s="55"/>
      <c r="Y236" s="55"/>
      <c r="Z236" s="55"/>
      <c r="AA236" s="55"/>
      <c r="AB236" s="55"/>
      <c r="AC236" s="55"/>
    </row>
    <row r="237">
      <c r="A237" s="53"/>
      <c r="B237" s="53"/>
      <c r="C237" s="55"/>
      <c r="D237" s="55"/>
      <c r="E237" s="55"/>
      <c r="F237" s="55"/>
      <c r="G237" s="55"/>
      <c r="H237" s="181"/>
      <c r="I237" s="55"/>
      <c r="J237" s="55"/>
      <c r="K237" s="55"/>
      <c r="L237" s="55"/>
      <c r="M237" s="55"/>
      <c r="N237" s="55"/>
      <c r="O237" s="55"/>
      <c r="P237" s="55"/>
      <c r="Q237" s="55"/>
      <c r="R237" s="55"/>
      <c r="S237" s="55"/>
      <c r="T237" s="55"/>
      <c r="U237" s="55"/>
      <c r="V237" s="55"/>
      <c r="W237" s="55"/>
      <c r="X237" s="55"/>
      <c r="Y237" s="55"/>
      <c r="Z237" s="55"/>
      <c r="AA237" s="55"/>
      <c r="AB237" s="55"/>
      <c r="AC237" s="55"/>
    </row>
    <row r="238">
      <c r="A238" s="53"/>
      <c r="B238" s="53"/>
      <c r="C238" s="55"/>
      <c r="D238" s="55"/>
      <c r="E238" s="55"/>
      <c r="F238" s="55"/>
      <c r="G238" s="55"/>
      <c r="H238" s="181"/>
      <c r="I238" s="55"/>
      <c r="J238" s="55"/>
      <c r="K238" s="55"/>
      <c r="L238" s="55"/>
      <c r="M238" s="55"/>
      <c r="N238" s="55"/>
      <c r="O238" s="55"/>
      <c r="P238" s="55"/>
      <c r="Q238" s="55"/>
      <c r="R238" s="55"/>
      <c r="S238" s="55"/>
      <c r="T238" s="55"/>
      <c r="U238" s="55"/>
      <c r="V238" s="55"/>
      <c r="W238" s="55"/>
      <c r="X238" s="55"/>
      <c r="Y238" s="55"/>
      <c r="Z238" s="55"/>
      <c r="AA238" s="55"/>
      <c r="AB238" s="55"/>
      <c r="AC238" s="55"/>
    </row>
    <row r="239">
      <c r="A239" s="53"/>
      <c r="B239" s="53"/>
      <c r="C239" s="55"/>
      <c r="D239" s="55"/>
      <c r="E239" s="55"/>
      <c r="F239" s="55"/>
      <c r="G239" s="55"/>
      <c r="H239" s="181"/>
      <c r="I239" s="55"/>
      <c r="J239" s="55"/>
      <c r="K239" s="55"/>
      <c r="L239" s="55"/>
      <c r="M239" s="55"/>
      <c r="N239" s="55"/>
      <c r="O239" s="55"/>
      <c r="P239" s="55"/>
      <c r="Q239" s="55"/>
      <c r="R239" s="55"/>
      <c r="S239" s="55"/>
      <c r="T239" s="55"/>
      <c r="U239" s="55"/>
      <c r="V239" s="55"/>
      <c r="W239" s="55"/>
      <c r="X239" s="55"/>
      <c r="Y239" s="55"/>
      <c r="Z239" s="55"/>
      <c r="AA239" s="55"/>
      <c r="AB239" s="55"/>
      <c r="AC239" s="55"/>
    </row>
    <row r="240">
      <c r="A240" s="53"/>
      <c r="B240" s="53"/>
      <c r="C240" s="55"/>
      <c r="D240" s="55"/>
      <c r="E240" s="55"/>
      <c r="F240" s="55"/>
      <c r="G240" s="55"/>
      <c r="H240" s="181"/>
      <c r="I240" s="55"/>
      <c r="J240" s="55"/>
      <c r="K240" s="55"/>
      <c r="L240" s="55"/>
      <c r="M240" s="55"/>
      <c r="N240" s="55"/>
      <c r="O240" s="55"/>
      <c r="P240" s="55"/>
      <c r="Q240" s="55"/>
      <c r="R240" s="55"/>
      <c r="S240" s="55"/>
      <c r="T240" s="55"/>
      <c r="U240" s="55"/>
      <c r="V240" s="55"/>
      <c r="W240" s="55"/>
      <c r="X240" s="55"/>
      <c r="Y240" s="55"/>
      <c r="Z240" s="55"/>
      <c r="AA240" s="55"/>
      <c r="AB240" s="55"/>
      <c r="AC240" s="55"/>
    </row>
    <row r="241">
      <c r="A241" s="53"/>
      <c r="B241" s="53"/>
      <c r="C241" s="55"/>
      <c r="D241" s="55"/>
      <c r="E241" s="55"/>
      <c r="F241" s="55"/>
      <c r="G241" s="55"/>
      <c r="H241" s="181"/>
      <c r="I241" s="55"/>
      <c r="J241" s="55"/>
      <c r="K241" s="55"/>
      <c r="L241" s="55"/>
      <c r="M241" s="55"/>
      <c r="N241" s="55"/>
      <c r="O241" s="55"/>
      <c r="P241" s="55"/>
      <c r="Q241" s="55"/>
      <c r="R241" s="55"/>
      <c r="S241" s="55"/>
      <c r="T241" s="55"/>
      <c r="U241" s="55"/>
      <c r="V241" s="55"/>
      <c r="W241" s="55"/>
      <c r="X241" s="55"/>
      <c r="Y241" s="55"/>
      <c r="Z241" s="55"/>
      <c r="AA241" s="55"/>
      <c r="AB241" s="55"/>
      <c r="AC241" s="55"/>
    </row>
    <row r="242">
      <c r="A242" s="53"/>
      <c r="B242" s="53"/>
      <c r="C242" s="55"/>
      <c r="D242" s="55"/>
      <c r="E242" s="55"/>
      <c r="F242" s="55"/>
      <c r="G242" s="55"/>
      <c r="H242" s="181"/>
      <c r="I242" s="55"/>
      <c r="J242" s="55"/>
      <c r="K242" s="55"/>
      <c r="L242" s="55"/>
      <c r="M242" s="55"/>
      <c r="N242" s="55"/>
      <c r="O242" s="55"/>
      <c r="P242" s="55"/>
      <c r="Q242" s="55"/>
      <c r="R242" s="55"/>
      <c r="S242" s="55"/>
      <c r="T242" s="55"/>
      <c r="U242" s="55"/>
      <c r="V242" s="55"/>
      <c r="W242" s="55"/>
      <c r="X242" s="55"/>
      <c r="Y242" s="55"/>
      <c r="Z242" s="55"/>
      <c r="AA242" s="55"/>
      <c r="AB242" s="55"/>
      <c r="AC242" s="55"/>
    </row>
    <row r="243">
      <c r="A243" s="53"/>
      <c r="B243" s="53"/>
      <c r="C243" s="55"/>
      <c r="D243" s="55"/>
      <c r="E243" s="55"/>
      <c r="F243" s="55"/>
      <c r="G243" s="55"/>
      <c r="H243" s="181"/>
      <c r="I243" s="55"/>
      <c r="J243" s="55"/>
      <c r="K243" s="55"/>
      <c r="L243" s="55"/>
      <c r="M243" s="55"/>
      <c r="N243" s="55"/>
      <c r="O243" s="55"/>
      <c r="P243" s="55"/>
      <c r="Q243" s="55"/>
      <c r="R243" s="55"/>
      <c r="S243" s="55"/>
      <c r="T243" s="55"/>
      <c r="U243" s="55"/>
      <c r="V243" s="55"/>
      <c r="W243" s="55"/>
      <c r="X243" s="55"/>
      <c r="Y243" s="55"/>
      <c r="Z243" s="55"/>
      <c r="AA243" s="55"/>
      <c r="AB243" s="55"/>
      <c r="AC243" s="55"/>
    </row>
    <row r="244">
      <c r="A244" s="53"/>
      <c r="B244" s="53"/>
      <c r="C244" s="55"/>
      <c r="D244" s="55"/>
      <c r="E244" s="55"/>
      <c r="F244" s="55"/>
      <c r="G244" s="55"/>
      <c r="H244" s="181"/>
      <c r="I244" s="55"/>
      <c r="J244" s="55"/>
      <c r="K244" s="55"/>
      <c r="L244" s="55"/>
      <c r="M244" s="55"/>
      <c r="N244" s="55"/>
      <c r="O244" s="55"/>
      <c r="P244" s="55"/>
      <c r="Q244" s="55"/>
      <c r="R244" s="55"/>
      <c r="S244" s="55"/>
      <c r="T244" s="55"/>
      <c r="U244" s="55"/>
      <c r="V244" s="55"/>
      <c r="W244" s="55"/>
      <c r="X244" s="55"/>
      <c r="Y244" s="55"/>
      <c r="Z244" s="55"/>
      <c r="AA244" s="55"/>
      <c r="AB244" s="55"/>
      <c r="AC244" s="55"/>
    </row>
    <row r="245">
      <c r="A245" s="53"/>
      <c r="B245" s="53"/>
      <c r="C245" s="55"/>
      <c r="D245" s="55"/>
      <c r="E245" s="55"/>
      <c r="F245" s="55"/>
      <c r="G245" s="55"/>
      <c r="H245" s="181"/>
      <c r="I245" s="55"/>
      <c r="J245" s="55"/>
      <c r="K245" s="55"/>
      <c r="L245" s="55"/>
      <c r="M245" s="55"/>
      <c r="N245" s="55"/>
      <c r="O245" s="55"/>
      <c r="P245" s="55"/>
      <c r="Q245" s="55"/>
      <c r="R245" s="55"/>
      <c r="S245" s="55"/>
      <c r="T245" s="55"/>
      <c r="U245" s="55"/>
      <c r="V245" s="55"/>
      <c r="W245" s="55"/>
      <c r="X245" s="55"/>
      <c r="Y245" s="55"/>
      <c r="Z245" s="55"/>
      <c r="AA245" s="55"/>
      <c r="AB245" s="55"/>
      <c r="AC245" s="55"/>
    </row>
    <row r="246">
      <c r="A246" s="53"/>
      <c r="B246" s="53"/>
      <c r="C246" s="55"/>
      <c r="D246" s="55"/>
      <c r="E246" s="55"/>
      <c r="F246" s="55"/>
      <c r="G246" s="55"/>
      <c r="H246" s="181"/>
      <c r="I246" s="55"/>
      <c r="J246" s="55"/>
      <c r="K246" s="55"/>
      <c r="L246" s="55"/>
      <c r="M246" s="55"/>
      <c r="N246" s="55"/>
      <c r="O246" s="55"/>
      <c r="P246" s="55"/>
      <c r="Q246" s="55"/>
      <c r="R246" s="55"/>
      <c r="S246" s="55"/>
      <c r="T246" s="55"/>
      <c r="U246" s="55"/>
      <c r="V246" s="55"/>
      <c r="W246" s="55"/>
      <c r="X246" s="55"/>
      <c r="Y246" s="55"/>
      <c r="Z246" s="55"/>
      <c r="AA246" s="55"/>
      <c r="AB246" s="55"/>
      <c r="AC246" s="55"/>
    </row>
    <row r="247">
      <c r="A247" s="53"/>
      <c r="B247" s="53"/>
      <c r="C247" s="55"/>
      <c r="D247" s="55"/>
      <c r="E247" s="55"/>
      <c r="F247" s="55"/>
      <c r="G247" s="55"/>
      <c r="H247" s="181"/>
      <c r="I247" s="55"/>
      <c r="J247" s="55"/>
      <c r="K247" s="55"/>
      <c r="L247" s="55"/>
      <c r="M247" s="55"/>
      <c r="N247" s="55"/>
      <c r="O247" s="55"/>
      <c r="P247" s="55"/>
      <c r="Q247" s="55"/>
      <c r="R247" s="55"/>
      <c r="S247" s="55"/>
      <c r="T247" s="55"/>
      <c r="U247" s="55"/>
      <c r="V247" s="55"/>
      <c r="W247" s="55"/>
      <c r="X247" s="55"/>
      <c r="Y247" s="55"/>
      <c r="Z247" s="55"/>
      <c r="AA247" s="55"/>
      <c r="AB247" s="55"/>
      <c r="AC247" s="55"/>
    </row>
    <row r="248">
      <c r="A248" s="53"/>
      <c r="B248" s="53"/>
      <c r="C248" s="55"/>
      <c r="D248" s="55"/>
      <c r="E248" s="55"/>
      <c r="F248" s="55"/>
      <c r="G248" s="55"/>
      <c r="H248" s="181"/>
      <c r="I248" s="55"/>
      <c r="J248" s="55"/>
      <c r="K248" s="55"/>
      <c r="L248" s="55"/>
      <c r="M248" s="55"/>
      <c r="N248" s="55"/>
      <c r="O248" s="55"/>
      <c r="P248" s="55"/>
      <c r="Q248" s="55"/>
      <c r="R248" s="55"/>
      <c r="S248" s="55"/>
      <c r="T248" s="55"/>
      <c r="U248" s="55"/>
      <c r="V248" s="55"/>
      <c r="W248" s="55"/>
      <c r="X248" s="55"/>
      <c r="Y248" s="55"/>
      <c r="Z248" s="55"/>
      <c r="AA248" s="55"/>
      <c r="AB248" s="55"/>
      <c r="AC248" s="55"/>
    </row>
    <row r="249">
      <c r="A249" s="53"/>
      <c r="B249" s="53"/>
      <c r="C249" s="55"/>
      <c r="D249" s="55"/>
      <c r="E249" s="55"/>
      <c r="F249" s="55"/>
      <c r="G249" s="55"/>
      <c r="H249" s="181"/>
      <c r="I249" s="55"/>
      <c r="J249" s="55"/>
      <c r="K249" s="55"/>
      <c r="L249" s="55"/>
      <c r="M249" s="55"/>
      <c r="N249" s="55"/>
      <c r="O249" s="55"/>
      <c r="P249" s="55"/>
      <c r="Q249" s="55"/>
      <c r="R249" s="55"/>
      <c r="S249" s="55"/>
      <c r="T249" s="55"/>
      <c r="U249" s="55"/>
      <c r="V249" s="55"/>
      <c r="W249" s="55"/>
      <c r="X249" s="55"/>
      <c r="Y249" s="55"/>
      <c r="Z249" s="55"/>
      <c r="AA249" s="55"/>
      <c r="AB249" s="55"/>
      <c r="AC249" s="55"/>
    </row>
    <row r="250">
      <c r="A250" s="53"/>
      <c r="B250" s="53"/>
      <c r="C250" s="55"/>
      <c r="D250" s="55"/>
      <c r="E250" s="55"/>
      <c r="F250" s="55"/>
      <c r="G250" s="55"/>
      <c r="H250" s="181"/>
      <c r="I250" s="55"/>
      <c r="J250" s="55"/>
      <c r="K250" s="55"/>
      <c r="L250" s="55"/>
      <c r="M250" s="55"/>
      <c r="N250" s="55"/>
      <c r="O250" s="55"/>
      <c r="P250" s="55"/>
      <c r="Q250" s="55"/>
      <c r="R250" s="55"/>
      <c r="S250" s="55"/>
      <c r="T250" s="55"/>
      <c r="U250" s="55"/>
      <c r="V250" s="55"/>
      <c r="W250" s="55"/>
      <c r="X250" s="55"/>
      <c r="Y250" s="55"/>
      <c r="Z250" s="55"/>
      <c r="AA250" s="55"/>
      <c r="AB250" s="55"/>
      <c r="AC250" s="55"/>
    </row>
    <row r="251">
      <c r="A251" s="53"/>
      <c r="B251" s="53"/>
      <c r="C251" s="55"/>
      <c r="D251" s="55"/>
      <c r="E251" s="55"/>
      <c r="F251" s="55"/>
      <c r="G251" s="55"/>
      <c r="H251" s="181"/>
      <c r="I251" s="55"/>
      <c r="J251" s="55"/>
      <c r="K251" s="55"/>
      <c r="L251" s="55"/>
      <c r="M251" s="55"/>
      <c r="N251" s="55"/>
      <c r="O251" s="55"/>
      <c r="P251" s="55"/>
      <c r="Q251" s="55"/>
      <c r="R251" s="55"/>
      <c r="S251" s="55"/>
      <c r="T251" s="55"/>
      <c r="U251" s="55"/>
      <c r="V251" s="55"/>
      <c r="W251" s="55"/>
      <c r="X251" s="55"/>
      <c r="Y251" s="55"/>
      <c r="Z251" s="55"/>
      <c r="AA251" s="55"/>
      <c r="AB251" s="55"/>
      <c r="AC251" s="55"/>
    </row>
    <row r="252">
      <c r="A252" s="53"/>
      <c r="B252" s="53"/>
      <c r="C252" s="55"/>
      <c r="D252" s="55"/>
      <c r="E252" s="55"/>
      <c r="F252" s="55"/>
      <c r="G252" s="55"/>
      <c r="H252" s="181"/>
      <c r="I252" s="55"/>
      <c r="J252" s="55"/>
      <c r="K252" s="55"/>
      <c r="L252" s="55"/>
      <c r="M252" s="55"/>
      <c r="N252" s="55"/>
      <c r="O252" s="55"/>
      <c r="P252" s="55"/>
      <c r="Q252" s="55"/>
      <c r="R252" s="55"/>
      <c r="S252" s="55"/>
      <c r="T252" s="55"/>
      <c r="U252" s="55"/>
      <c r="V252" s="55"/>
      <c r="W252" s="55"/>
      <c r="X252" s="55"/>
      <c r="Y252" s="55"/>
      <c r="Z252" s="55"/>
      <c r="AA252" s="55"/>
      <c r="AB252" s="55"/>
      <c r="AC252" s="55"/>
    </row>
    <row r="253">
      <c r="A253" s="53"/>
      <c r="B253" s="53"/>
      <c r="C253" s="55"/>
      <c r="D253" s="55"/>
      <c r="E253" s="55"/>
      <c r="F253" s="55"/>
      <c r="G253" s="55"/>
      <c r="H253" s="181"/>
      <c r="I253" s="55"/>
      <c r="J253" s="55"/>
      <c r="K253" s="55"/>
      <c r="L253" s="55"/>
      <c r="M253" s="55"/>
      <c r="N253" s="55"/>
      <c r="O253" s="55"/>
      <c r="P253" s="55"/>
      <c r="Q253" s="55"/>
      <c r="R253" s="55"/>
      <c r="S253" s="55"/>
      <c r="T253" s="55"/>
      <c r="U253" s="55"/>
      <c r="V253" s="55"/>
      <c r="W253" s="55"/>
      <c r="X253" s="55"/>
      <c r="Y253" s="55"/>
      <c r="Z253" s="55"/>
      <c r="AA253" s="55"/>
      <c r="AB253" s="55"/>
      <c r="AC253" s="55"/>
    </row>
    <row r="254">
      <c r="A254" s="53"/>
      <c r="B254" s="53"/>
      <c r="C254" s="55"/>
      <c r="D254" s="55"/>
      <c r="E254" s="55"/>
      <c r="F254" s="55"/>
      <c r="G254" s="55"/>
      <c r="H254" s="181"/>
      <c r="I254" s="55"/>
      <c r="J254" s="55"/>
      <c r="K254" s="55"/>
      <c r="L254" s="55"/>
      <c r="M254" s="55"/>
      <c r="N254" s="55"/>
      <c r="O254" s="55"/>
      <c r="P254" s="55"/>
      <c r="Q254" s="55"/>
      <c r="R254" s="55"/>
      <c r="S254" s="55"/>
      <c r="T254" s="55"/>
      <c r="U254" s="55"/>
      <c r="V254" s="55"/>
      <c r="W254" s="55"/>
      <c r="X254" s="55"/>
      <c r="Y254" s="55"/>
      <c r="Z254" s="55"/>
      <c r="AA254" s="55"/>
      <c r="AB254" s="55"/>
      <c r="AC254" s="55"/>
    </row>
    <row r="255">
      <c r="A255" s="53"/>
      <c r="B255" s="53"/>
      <c r="C255" s="55"/>
      <c r="D255" s="55"/>
      <c r="E255" s="55"/>
      <c r="F255" s="55"/>
      <c r="G255" s="55"/>
      <c r="H255" s="181"/>
      <c r="I255" s="55"/>
      <c r="J255" s="55"/>
      <c r="K255" s="55"/>
      <c r="L255" s="55"/>
      <c r="M255" s="55"/>
      <c r="N255" s="55"/>
      <c r="O255" s="55"/>
      <c r="P255" s="55"/>
      <c r="Q255" s="55"/>
      <c r="R255" s="55"/>
      <c r="S255" s="55"/>
      <c r="T255" s="55"/>
      <c r="U255" s="55"/>
      <c r="V255" s="55"/>
      <c r="W255" s="55"/>
      <c r="X255" s="55"/>
      <c r="Y255" s="55"/>
      <c r="Z255" s="55"/>
      <c r="AA255" s="55"/>
      <c r="AB255" s="55"/>
      <c r="AC255" s="55"/>
    </row>
    <row r="256">
      <c r="A256" s="53"/>
      <c r="B256" s="53"/>
      <c r="C256" s="55"/>
      <c r="D256" s="55"/>
      <c r="E256" s="55"/>
      <c r="F256" s="55"/>
      <c r="G256" s="55"/>
      <c r="H256" s="181"/>
      <c r="I256" s="55"/>
      <c r="J256" s="55"/>
      <c r="K256" s="55"/>
      <c r="L256" s="55"/>
      <c r="M256" s="55"/>
      <c r="N256" s="55"/>
      <c r="O256" s="55"/>
      <c r="P256" s="55"/>
      <c r="Q256" s="55"/>
      <c r="R256" s="55"/>
      <c r="S256" s="55"/>
      <c r="T256" s="55"/>
      <c r="U256" s="55"/>
      <c r="V256" s="55"/>
      <c r="W256" s="55"/>
      <c r="X256" s="55"/>
      <c r="Y256" s="55"/>
      <c r="Z256" s="55"/>
      <c r="AA256" s="55"/>
      <c r="AB256" s="55"/>
      <c r="AC256" s="55"/>
    </row>
    <row r="257">
      <c r="A257" s="53"/>
      <c r="B257" s="53"/>
      <c r="C257" s="55"/>
      <c r="D257" s="55"/>
      <c r="E257" s="55"/>
      <c r="F257" s="55"/>
      <c r="G257" s="55"/>
      <c r="H257" s="181"/>
      <c r="I257" s="55"/>
      <c r="J257" s="55"/>
      <c r="K257" s="55"/>
      <c r="L257" s="55"/>
      <c r="M257" s="55"/>
      <c r="N257" s="55"/>
      <c r="O257" s="55"/>
      <c r="P257" s="55"/>
      <c r="Q257" s="55"/>
      <c r="R257" s="55"/>
      <c r="S257" s="55"/>
      <c r="T257" s="55"/>
      <c r="U257" s="55"/>
      <c r="V257" s="55"/>
      <c r="W257" s="55"/>
      <c r="X257" s="55"/>
      <c r="Y257" s="55"/>
      <c r="Z257" s="55"/>
      <c r="AA257" s="55"/>
      <c r="AB257" s="55"/>
      <c r="AC257" s="55"/>
    </row>
    <row r="258">
      <c r="A258" s="53"/>
      <c r="B258" s="53"/>
      <c r="C258" s="55"/>
      <c r="D258" s="55"/>
      <c r="E258" s="55"/>
      <c r="F258" s="55"/>
      <c r="G258" s="55"/>
      <c r="H258" s="181"/>
      <c r="I258" s="55"/>
      <c r="J258" s="55"/>
      <c r="K258" s="55"/>
      <c r="L258" s="55"/>
      <c r="M258" s="55"/>
      <c r="N258" s="55"/>
      <c r="O258" s="55"/>
      <c r="P258" s="55"/>
      <c r="Q258" s="55"/>
      <c r="R258" s="55"/>
      <c r="S258" s="55"/>
      <c r="T258" s="55"/>
      <c r="U258" s="55"/>
      <c r="V258" s="55"/>
      <c r="W258" s="55"/>
      <c r="X258" s="55"/>
      <c r="Y258" s="55"/>
      <c r="Z258" s="55"/>
      <c r="AA258" s="55"/>
      <c r="AB258" s="55"/>
      <c r="AC258" s="55"/>
    </row>
    <row r="259">
      <c r="A259" s="53"/>
      <c r="B259" s="53"/>
      <c r="C259" s="55"/>
      <c r="D259" s="55"/>
      <c r="E259" s="55"/>
      <c r="F259" s="55"/>
      <c r="G259" s="55"/>
      <c r="H259" s="181"/>
      <c r="I259" s="55"/>
      <c r="J259" s="55"/>
      <c r="K259" s="55"/>
      <c r="L259" s="55"/>
      <c r="M259" s="55"/>
      <c r="N259" s="55"/>
      <c r="O259" s="55"/>
      <c r="P259" s="55"/>
      <c r="Q259" s="55"/>
      <c r="R259" s="55"/>
      <c r="S259" s="55"/>
      <c r="T259" s="55"/>
      <c r="U259" s="55"/>
      <c r="V259" s="55"/>
      <c r="W259" s="55"/>
      <c r="X259" s="55"/>
      <c r="Y259" s="55"/>
      <c r="Z259" s="55"/>
      <c r="AA259" s="55"/>
      <c r="AB259" s="55"/>
      <c r="AC259" s="55"/>
    </row>
    <row r="260">
      <c r="A260" s="53"/>
      <c r="B260" s="53"/>
      <c r="C260" s="55"/>
      <c r="D260" s="55"/>
      <c r="E260" s="55"/>
      <c r="F260" s="55"/>
      <c r="G260" s="55"/>
      <c r="H260" s="181"/>
      <c r="I260" s="55"/>
      <c r="J260" s="55"/>
      <c r="K260" s="55"/>
      <c r="L260" s="55"/>
      <c r="M260" s="55"/>
      <c r="N260" s="55"/>
      <c r="O260" s="55"/>
      <c r="P260" s="55"/>
      <c r="Q260" s="55"/>
      <c r="R260" s="55"/>
      <c r="S260" s="55"/>
      <c r="T260" s="55"/>
      <c r="U260" s="55"/>
      <c r="V260" s="55"/>
      <c r="W260" s="55"/>
      <c r="X260" s="55"/>
      <c r="Y260" s="55"/>
      <c r="Z260" s="55"/>
      <c r="AA260" s="55"/>
      <c r="AB260" s="55"/>
      <c r="AC260" s="55"/>
    </row>
    <row r="261">
      <c r="A261" s="53"/>
      <c r="B261" s="53"/>
      <c r="C261" s="55"/>
      <c r="D261" s="55"/>
      <c r="E261" s="55"/>
      <c r="F261" s="55"/>
      <c r="G261" s="55"/>
      <c r="H261" s="181"/>
      <c r="I261" s="55"/>
      <c r="J261" s="55"/>
      <c r="K261" s="55"/>
      <c r="L261" s="55"/>
      <c r="M261" s="55"/>
      <c r="N261" s="55"/>
      <c r="O261" s="55"/>
      <c r="P261" s="55"/>
      <c r="Q261" s="55"/>
      <c r="R261" s="55"/>
      <c r="S261" s="55"/>
      <c r="T261" s="55"/>
      <c r="U261" s="55"/>
      <c r="V261" s="55"/>
      <c r="W261" s="55"/>
      <c r="X261" s="55"/>
      <c r="Y261" s="55"/>
      <c r="Z261" s="55"/>
      <c r="AA261" s="55"/>
      <c r="AB261" s="55"/>
      <c r="AC261" s="55"/>
    </row>
    <row r="262">
      <c r="A262" s="53"/>
      <c r="B262" s="53"/>
      <c r="C262" s="55"/>
      <c r="D262" s="55"/>
      <c r="E262" s="55"/>
      <c r="F262" s="55"/>
      <c r="G262" s="55"/>
      <c r="H262" s="181"/>
      <c r="I262" s="55"/>
      <c r="J262" s="55"/>
      <c r="K262" s="55"/>
      <c r="L262" s="55"/>
      <c r="M262" s="55"/>
      <c r="N262" s="55"/>
      <c r="O262" s="55"/>
      <c r="P262" s="55"/>
      <c r="Q262" s="55"/>
      <c r="R262" s="55"/>
      <c r="S262" s="55"/>
      <c r="T262" s="55"/>
      <c r="U262" s="55"/>
      <c r="V262" s="55"/>
      <c r="W262" s="55"/>
      <c r="X262" s="55"/>
      <c r="Y262" s="55"/>
      <c r="Z262" s="55"/>
      <c r="AA262" s="55"/>
      <c r="AB262" s="55"/>
      <c r="AC262" s="55"/>
    </row>
    <row r="263">
      <c r="A263" s="53"/>
      <c r="B263" s="53"/>
      <c r="C263" s="55"/>
      <c r="D263" s="55"/>
      <c r="E263" s="55"/>
      <c r="F263" s="55"/>
      <c r="G263" s="55"/>
      <c r="H263" s="181"/>
      <c r="I263" s="55"/>
      <c r="J263" s="55"/>
      <c r="K263" s="55"/>
      <c r="L263" s="55"/>
      <c r="M263" s="55"/>
      <c r="N263" s="55"/>
      <c r="O263" s="55"/>
      <c r="P263" s="55"/>
      <c r="Q263" s="55"/>
      <c r="R263" s="55"/>
      <c r="S263" s="55"/>
      <c r="T263" s="55"/>
      <c r="U263" s="55"/>
      <c r="V263" s="55"/>
      <c r="W263" s="55"/>
      <c r="X263" s="55"/>
      <c r="Y263" s="55"/>
      <c r="Z263" s="55"/>
      <c r="AA263" s="55"/>
      <c r="AB263" s="55"/>
      <c r="AC263" s="55"/>
    </row>
    <row r="264">
      <c r="A264" s="53"/>
      <c r="B264" s="53"/>
      <c r="C264" s="55"/>
      <c r="D264" s="55"/>
      <c r="E264" s="55"/>
      <c r="F264" s="55"/>
      <c r="G264" s="55"/>
      <c r="H264" s="181"/>
      <c r="I264" s="55"/>
      <c r="J264" s="55"/>
      <c r="K264" s="55"/>
      <c r="L264" s="55"/>
      <c r="M264" s="55"/>
      <c r="N264" s="55"/>
      <c r="O264" s="55"/>
      <c r="P264" s="55"/>
      <c r="Q264" s="55"/>
      <c r="R264" s="55"/>
      <c r="S264" s="55"/>
      <c r="T264" s="55"/>
      <c r="U264" s="55"/>
      <c r="V264" s="55"/>
      <c r="W264" s="55"/>
      <c r="X264" s="55"/>
      <c r="Y264" s="55"/>
      <c r="Z264" s="55"/>
      <c r="AA264" s="55"/>
      <c r="AB264" s="55"/>
      <c r="AC264" s="55"/>
    </row>
    <row r="265">
      <c r="A265" s="53"/>
      <c r="B265" s="53"/>
      <c r="C265" s="55"/>
      <c r="D265" s="55"/>
      <c r="E265" s="55"/>
      <c r="F265" s="55"/>
      <c r="G265" s="55"/>
      <c r="H265" s="181"/>
      <c r="I265" s="55"/>
      <c r="J265" s="55"/>
      <c r="K265" s="55"/>
      <c r="L265" s="55"/>
      <c r="M265" s="55"/>
      <c r="N265" s="55"/>
      <c r="O265" s="55"/>
      <c r="P265" s="55"/>
      <c r="Q265" s="55"/>
      <c r="R265" s="55"/>
      <c r="S265" s="55"/>
      <c r="T265" s="55"/>
      <c r="U265" s="55"/>
      <c r="V265" s="55"/>
      <c r="W265" s="55"/>
      <c r="X265" s="55"/>
      <c r="Y265" s="55"/>
      <c r="Z265" s="55"/>
      <c r="AA265" s="55"/>
      <c r="AB265" s="55"/>
      <c r="AC265" s="55"/>
    </row>
    <row r="266">
      <c r="A266" s="53"/>
      <c r="B266" s="53"/>
      <c r="C266" s="55"/>
      <c r="D266" s="55"/>
      <c r="E266" s="55"/>
      <c r="F266" s="55"/>
      <c r="G266" s="55"/>
      <c r="H266" s="181"/>
      <c r="I266" s="55"/>
      <c r="J266" s="55"/>
      <c r="K266" s="55"/>
      <c r="L266" s="55"/>
      <c r="M266" s="55"/>
      <c r="N266" s="55"/>
      <c r="O266" s="55"/>
      <c r="P266" s="55"/>
      <c r="Q266" s="55"/>
      <c r="R266" s="55"/>
      <c r="S266" s="55"/>
      <c r="T266" s="55"/>
      <c r="U266" s="55"/>
      <c r="V266" s="55"/>
      <c r="W266" s="55"/>
      <c r="X266" s="55"/>
      <c r="Y266" s="55"/>
      <c r="Z266" s="55"/>
      <c r="AA266" s="55"/>
      <c r="AB266" s="55"/>
      <c r="AC266" s="55"/>
    </row>
    <row r="267">
      <c r="A267" s="53"/>
      <c r="B267" s="53"/>
      <c r="C267" s="55"/>
      <c r="D267" s="55"/>
      <c r="E267" s="55"/>
      <c r="F267" s="55"/>
      <c r="G267" s="55"/>
      <c r="H267" s="181"/>
      <c r="I267" s="55"/>
      <c r="J267" s="55"/>
      <c r="K267" s="55"/>
      <c r="L267" s="55"/>
      <c r="M267" s="55"/>
      <c r="N267" s="55"/>
      <c r="O267" s="55"/>
      <c r="P267" s="55"/>
      <c r="Q267" s="55"/>
      <c r="R267" s="55"/>
      <c r="S267" s="55"/>
      <c r="T267" s="55"/>
      <c r="U267" s="55"/>
      <c r="V267" s="55"/>
      <c r="W267" s="55"/>
      <c r="X267" s="55"/>
      <c r="Y267" s="55"/>
      <c r="Z267" s="55"/>
      <c r="AA267" s="55"/>
      <c r="AB267" s="55"/>
      <c r="AC267" s="55"/>
    </row>
    <row r="268">
      <c r="A268" s="53"/>
      <c r="B268" s="53"/>
      <c r="C268" s="55"/>
      <c r="D268" s="55"/>
      <c r="E268" s="55"/>
      <c r="F268" s="55"/>
      <c r="G268" s="55"/>
      <c r="H268" s="181"/>
      <c r="I268" s="55"/>
      <c r="J268" s="55"/>
      <c r="K268" s="55"/>
      <c r="L268" s="55"/>
      <c r="M268" s="55"/>
      <c r="N268" s="55"/>
      <c r="O268" s="55"/>
      <c r="P268" s="55"/>
      <c r="Q268" s="55"/>
      <c r="R268" s="55"/>
      <c r="S268" s="55"/>
      <c r="T268" s="55"/>
      <c r="U268" s="55"/>
      <c r="V268" s="55"/>
      <c r="W268" s="55"/>
      <c r="X268" s="55"/>
      <c r="Y268" s="55"/>
      <c r="Z268" s="55"/>
      <c r="AA268" s="55"/>
      <c r="AB268" s="55"/>
      <c r="AC268" s="55"/>
    </row>
    <row r="269">
      <c r="A269" s="53"/>
      <c r="B269" s="53"/>
      <c r="C269" s="55"/>
      <c r="D269" s="55"/>
      <c r="E269" s="55"/>
      <c r="F269" s="55"/>
      <c r="G269" s="55"/>
      <c r="H269" s="181"/>
      <c r="I269" s="55"/>
      <c r="J269" s="55"/>
      <c r="K269" s="55"/>
      <c r="L269" s="55"/>
      <c r="M269" s="55"/>
      <c r="N269" s="55"/>
      <c r="O269" s="55"/>
      <c r="P269" s="55"/>
      <c r="Q269" s="55"/>
      <c r="R269" s="55"/>
      <c r="S269" s="55"/>
      <c r="T269" s="55"/>
      <c r="U269" s="55"/>
      <c r="V269" s="55"/>
      <c r="W269" s="55"/>
      <c r="X269" s="55"/>
      <c r="Y269" s="55"/>
      <c r="Z269" s="55"/>
      <c r="AA269" s="55"/>
      <c r="AB269" s="55"/>
      <c r="AC269" s="55"/>
    </row>
    <row r="270">
      <c r="A270" s="53"/>
      <c r="B270" s="53"/>
      <c r="C270" s="55"/>
      <c r="D270" s="55"/>
      <c r="E270" s="55"/>
      <c r="F270" s="55"/>
      <c r="G270" s="55"/>
      <c r="H270" s="181"/>
      <c r="I270" s="55"/>
      <c r="J270" s="55"/>
      <c r="K270" s="55"/>
      <c r="L270" s="55"/>
      <c r="M270" s="55"/>
      <c r="N270" s="55"/>
      <c r="O270" s="55"/>
      <c r="P270" s="55"/>
      <c r="Q270" s="55"/>
      <c r="R270" s="55"/>
      <c r="S270" s="55"/>
      <c r="T270" s="55"/>
      <c r="U270" s="55"/>
      <c r="V270" s="55"/>
      <c r="W270" s="55"/>
      <c r="X270" s="55"/>
      <c r="Y270" s="55"/>
      <c r="Z270" s="55"/>
      <c r="AA270" s="55"/>
      <c r="AB270" s="55"/>
      <c r="AC270" s="55"/>
    </row>
    <row r="271">
      <c r="A271" s="53"/>
      <c r="B271" s="53"/>
      <c r="C271" s="55"/>
      <c r="D271" s="55"/>
      <c r="E271" s="55"/>
      <c r="F271" s="55"/>
      <c r="G271" s="55"/>
      <c r="H271" s="181"/>
      <c r="I271" s="55"/>
      <c r="J271" s="55"/>
      <c r="K271" s="55"/>
      <c r="L271" s="55"/>
      <c r="M271" s="55"/>
      <c r="N271" s="55"/>
      <c r="O271" s="55"/>
      <c r="P271" s="55"/>
      <c r="Q271" s="55"/>
      <c r="R271" s="55"/>
      <c r="S271" s="55"/>
      <c r="T271" s="55"/>
      <c r="U271" s="55"/>
      <c r="V271" s="55"/>
      <c r="W271" s="55"/>
      <c r="X271" s="55"/>
      <c r="Y271" s="55"/>
      <c r="Z271" s="55"/>
      <c r="AA271" s="55"/>
      <c r="AB271" s="55"/>
      <c r="AC271" s="55"/>
    </row>
    <row r="272">
      <c r="A272" s="53"/>
      <c r="B272" s="53"/>
      <c r="C272" s="55"/>
      <c r="D272" s="55"/>
      <c r="E272" s="55"/>
      <c r="F272" s="55"/>
      <c r="G272" s="55"/>
      <c r="H272" s="181"/>
      <c r="I272" s="55"/>
      <c r="J272" s="55"/>
      <c r="K272" s="55"/>
      <c r="L272" s="55"/>
      <c r="M272" s="55"/>
      <c r="N272" s="55"/>
      <c r="O272" s="55"/>
      <c r="P272" s="55"/>
      <c r="Q272" s="55"/>
      <c r="R272" s="55"/>
      <c r="S272" s="55"/>
      <c r="T272" s="55"/>
      <c r="U272" s="55"/>
      <c r="V272" s="55"/>
      <c r="W272" s="55"/>
      <c r="X272" s="55"/>
      <c r="Y272" s="55"/>
      <c r="Z272" s="55"/>
      <c r="AA272" s="55"/>
      <c r="AB272" s="55"/>
      <c r="AC272" s="55"/>
    </row>
    <row r="273">
      <c r="A273" s="53"/>
      <c r="B273" s="53"/>
      <c r="C273" s="55"/>
      <c r="D273" s="55"/>
      <c r="E273" s="55"/>
      <c r="F273" s="55"/>
      <c r="G273" s="55"/>
      <c r="H273" s="181"/>
      <c r="I273" s="55"/>
      <c r="J273" s="55"/>
      <c r="K273" s="55"/>
      <c r="L273" s="55"/>
      <c r="M273" s="55"/>
      <c r="N273" s="55"/>
      <c r="O273" s="55"/>
      <c r="P273" s="55"/>
      <c r="Q273" s="55"/>
      <c r="R273" s="55"/>
      <c r="S273" s="55"/>
      <c r="T273" s="55"/>
      <c r="U273" s="55"/>
      <c r="V273" s="55"/>
      <c r="W273" s="55"/>
      <c r="X273" s="55"/>
      <c r="Y273" s="55"/>
      <c r="Z273" s="55"/>
      <c r="AA273" s="55"/>
      <c r="AB273" s="55"/>
      <c r="AC273" s="55"/>
    </row>
    <row r="274">
      <c r="A274" s="53"/>
      <c r="B274" s="53"/>
      <c r="C274" s="55"/>
      <c r="D274" s="55"/>
      <c r="E274" s="55"/>
      <c r="F274" s="55"/>
      <c r="G274" s="55"/>
      <c r="H274" s="181"/>
      <c r="I274" s="55"/>
      <c r="J274" s="55"/>
      <c r="K274" s="55"/>
      <c r="L274" s="55"/>
      <c r="M274" s="55"/>
      <c r="N274" s="55"/>
      <c r="O274" s="55"/>
      <c r="P274" s="55"/>
      <c r="Q274" s="55"/>
      <c r="R274" s="55"/>
      <c r="S274" s="55"/>
      <c r="T274" s="55"/>
      <c r="U274" s="55"/>
      <c r="V274" s="55"/>
      <c r="W274" s="55"/>
      <c r="X274" s="55"/>
      <c r="Y274" s="55"/>
      <c r="Z274" s="55"/>
      <c r="AA274" s="55"/>
      <c r="AB274" s="55"/>
      <c r="AC274" s="55"/>
    </row>
    <row r="275">
      <c r="A275" s="53"/>
      <c r="B275" s="53"/>
      <c r="C275" s="55"/>
      <c r="D275" s="55"/>
      <c r="E275" s="55"/>
      <c r="F275" s="55"/>
      <c r="G275" s="55"/>
      <c r="H275" s="181"/>
      <c r="I275" s="55"/>
      <c r="J275" s="55"/>
      <c r="K275" s="55"/>
      <c r="L275" s="55"/>
      <c r="M275" s="55"/>
      <c r="N275" s="55"/>
      <c r="O275" s="55"/>
      <c r="P275" s="55"/>
      <c r="Q275" s="55"/>
      <c r="R275" s="55"/>
      <c r="S275" s="55"/>
      <c r="T275" s="55"/>
      <c r="U275" s="55"/>
      <c r="V275" s="55"/>
      <c r="W275" s="55"/>
      <c r="X275" s="55"/>
      <c r="Y275" s="55"/>
      <c r="Z275" s="55"/>
      <c r="AA275" s="55"/>
      <c r="AB275" s="55"/>
      <c r="AC275" s="55"/>
    </row>
    <row r="276">
      <c r="A276" s="53"/>
      <c r="B276" s="53"/>
      <c r="C276" s="55"/>
      <c r="D276" s="55"/>
      <c r="E276" s="55"/>
      <c r="F276" s="55"/>
      <c r="G276" s="55"/>
      <c r="H276" s="181"/>
      <c r="I276" s="55"/>
      <c r="J276" s="55"/>
      <c r="K276" s="55"/>
      <c r="L276" s="55"/>
      <c r="M276" s="55"/>
      <c r="N276" s="55"/>
      <c r="O276" s="55"/>
      <c r="P276" s="55"/>
      <c r="Q276" s="55"/>
      <c r="R276" s="55"/>
      <c r="S276" s="55"/>
      <c r="T276" s="55"/>
      <c r="U276" s="55"/>
      <c r="V276" s="55"/>
      <c r="W276" s="55"/>
      <c r="X276" s="55"/>
      <c r="Y276" s="55"/>
      <c r="Z276" s="55"/>
      <c r="AA276" s="55"/>
      <c r="AB276" s="55"/>
      <c r="AC276" s="55"/>
    </row>
    <row r="277">
      <c r="A277" s="53"/>
      <c r="B277" s="53"/>
      <c r="C277" s="55"/>
      <c r="D277" s="55"/>
      <c r="E277" s="55"/>
      <c r="F277" s="55"/>
      <c r="G277" s="55"/>
      <c r="H277" s="181"/>
      <c r="I277" s="55"/>
      <c r="J277" s="55"/>
      <c r="K277" s="55"/>
      <c r="L277" s="55"/>
      <c r="M277" s="55"/>
      <c r="N277" s="55"/>
      <c r="O277" s="55"/>
      <c r="P277" s="55"/>
      <c r="Q277" s="55"/>
      <c r="R277" s="55"/>
      <c r="S277" s="55"/>
      <c r="T277" s="55"/>
      <c r="U277" s="55"/>
      <c r="V277" s="55"/>
      <c r="W277" s="55"/>
      <c r="X277" s="55"/>
      <c r="Y277" s="55"/>
      <c r="Z277" s="55"/>
      <c r="AA277" s="55"/>
      <c r="AB277" s="55"/>
      <c r="AC277" s="55"/>
    </row>
    <row r="278">
      <c r="A278" s="53"/>
      <c r="B278" s="53"/>
      <c r="C278" s="55"/>
      <c r="D278" s="55"/>
      <c r="E278" s="55"/>
      <c r="F278" s="55"/>
      <c r="G278" s="55"/>
      <c r="H278" s="181"/>
      <c r="I278" s="55"/>
      <c r="J278" s="55"/>
      <c r="K278" s="55"/>
      <c r="L278" s="55"/>
      <c r="M278" s="55"/>
      <c r="N278" s="55"/>
      <c r="O278" s="55"/>
      <c r="P278" s="55"/>
      <c r="Q278" s="55"/>
      <c r="R278" s="55"/>
      <c r="S278" s="55"/>
      <c r="T278" s="55"/>
      <c r="U278" s="55"/>
      <c r="V278" s="55"/>
      <c r="W278" s="55"/>
      <c r="X278" s="55"/>
      <c r="Y278" s="55"/>
      <c r="Z278" s="55"/>
      <c r="AA278" s="55"/>
      <c r="AB278" s="55"/>
      <c r="AC278" s="55"/>
    </row>
    <row r="279">
      <c r="A279" s="53"/>
      <c r="B279" s="53"/>
      <c r="C279" s="55"/>
      <c r="D279" s="55"/>
      <c r="E279" s="55"/>
      <c r="F279" s="55"/>
      <c r="G279" s="55"/>
      <c r="H279" s="181"/>
      <c r="I279" s="55"/>
      <c r="J279" s="55"/>
      <c r="K279" s="55"/>
      <c r="L279" s="55"/>
      <c r="M279" s="55"/>
      <c r="N279" s="55"/>
      <c r="O279" s="55"/>
      <c r="P279" s="55"/>
      <c r="Q279" s="55"/>
      <c r="R279" s="55"/>
      <c r="S279" s="55"/>
      <c r="T279" s="55"/>
      <c r="U279" s="55"/>
      <c r="V279" s="55"/>
      <c r="W279" s="55"/>
      <c r="X279" s="55"/>
      <c r="Y279" s="55"/>
      <c r="Z279" s="55"/>
      <c r="AA279" s="55"/>
      <c r="AB279" s="55"/>
      <c r="AC279" s="55"/>
    </row>
    <row r="280">
      <c r="A280" s="53"/>
      <c r="B280" s="53"/>
      <c r="C280" s="55"/>
      <c r="D280" s="55"/>
      <c r="E280" s="55"/>
      <c r="F280" s="55"/>
      <c r="G280" s="55"/>
      <c r="H280" s="181"/>
      <c r="I280" s="55"/>
      <c r="J280" s="55"/>
      <c r="K280" s="55"/>
      <c r="L280" s="55"/>
      <c r="M280" s="55"/>
      <c r="N280" s="55"/>
      <c r="O280" s="55"/>
      <c r="P280" s="55"/>
      <c r="Q280" s="55"/>
      <c r="R280" s="55"/>
      <c r="S280" s="55"/>
      <c r="T280" s="55"/>
      <c r="U280" s="55"/>
      <c r="V280" s="55"/>
      <c r="W280" s="55"/>
      <c r="X280" s="55"/>
      <c r="Y280" s="55"/>
      <c r="Z280" s="55"/>
      <c r="AA280" s="55"/>
      <c r="AB280" s="55"/>
      <c r="AC280" s="55"/>
    </row>
    <row r="281">
      <c r="A281" s="53"/>
      <c r="B281" s="53"/>
      <c r="C281" s="55"/>
      <c r="D281" s="55"/>
      <c r="E281" s="55"/>
      <c r="F281" s="55"/>
      <c r="G281" s="55"/>
      <c r="H281" s="181"/>
      <c r="I281" s="55"/>
      <c r="J281" s="55"/>
      <c r="K281" s="55"/>
      <c r="L281" s="55"/>
      <c r="M281" s="55"/>
      <c r="N281" s="55"/>
      <c r="O281" s="55"/>
      <c r="P281" s="55"/>
      <c r="Q281" s="55"/>
      <c r="R281" s="55"/>
      <c r="S281" s="55"/>
      <c r="T281" s="55"/>
      <c r="U281" s="55"/>
      <c r="V281" s="55"/>
      <c r="W281" s="55"/>
      <c r="X281" s="55"/>
      <c r="Y281" s="55"/>
      <c r="Z281" s="55"/>
      <c r="AA281" s="55"/>
      <c r="AB281" s="55"/>
      <c r="AC281" s="55"/>
    </row>
    <row r="282">
      <c r="A282" s="53"/>
      <c r="B282" s="53"/>
      <c r="C282" s="55"/>
      <c r="D282" s="55"/>
      <c r="E282" s="55"/>
      <c r="F282" s="55"/>
      <c r="G282" s="55"/>
      <c r="H282" s="181"/>
      <c r="I282" s="55"/>
      <c r="J282" s="55"/>
      <c r="K282" s="55"/>
      <c r="L282" s="55"/>
      <c r="M282" s="55"/>
      <c r="N282" s="55"/>
      <c r="O282" s="55"/>
      <c r="P282" s="55"/>
      <c r="Q282" s="55"/>
      <c r="R282" s="55"/>
      <c r="S282" s="55"/>
      <c r="T282" s="55"/>
      <c r="U282" s="55"/>
      <c r="V282" s="55"/>
      <c r="W282" s="55"/>
      <c r="X282" s="55"/>
      <c r="Y282" s="55"/>
      <c r="Z282" s="55"/>
      <c r="AA282" s="55"/>
      <c r="AB282" s="55"/>
      <c r="AC282" s="55"/>
    </row>
    <row r="283">
      <c r="A283" s="53"/>
      <c r="B283" s="53"/>
      <c r="C283" s="55"/>
      <c r="D283" s="55"/>
      <c r="E283" s="55"/>
      <c r="F283" s="55"/>
      <c r="G283" s="55"/>
      <c r="H283" s="181"/>
      <c r="I283" s="55"/>
      <c r="J283" s="55"/>
      <c r="K283" s="55"/>
      <c r="L283" s="55"/>
      <c r="M283" s="55"/>
      <c r="N283" s="55"/>
      <c r="O283" s="55"/>
      <c r="P283" s="55"/>
      <c r="Q283" s="55"/>
      <c r="R283" s="55"/>
      <c r="S283" s="55"/>
      <c r="T283" s="55"/>
      <c r="U283" s="55"/>
      <c r="V283" s="55"/>
      <c r="W283" s="55"/>
      <c r="X283" s="55"/>
      <c r="Y283" s="55"/>
      <c r="Z283" s="55"/>
      <c r="AA283" s="55"/>
      <c r="AB283" s="55"/>
      <c r="AC283" s="55"/>
    </row>
    <row r="284">
      <c r="A284" s="53"/>
      <c r="B284" s="53"/>
      <c r="C284" s="55"/>
      <c r="D284" s="55"/>
      <c r="E284" s="55"/>
      <c r="F284" s="55"/>
      <c r="G284" s="55"/>
      <c r="H284" s="181"/>
      <c r="I284" s="55"/>
      <c r="J284" s="55"/>
      <c r="K284" s="55"/>
      <c r="L284" s="55"/>
      <c r="M284" s="55"/>
      <c r="N284" s="55"/>
      <c r="O284" s="55"/>
      <c r="P284" s="55"/>
      <c r="Q284" s="55"/>
      <c r="R284" s="55"/>
      <c r="S284" s="55"/>
      <c r="T284" s="55"/>
      <c r="U284" s="55"/>
      <c r="V284" s="55"/>
      <c r="W284" s="55"/>
      <c r="X284" s="55"/>
      <c r="Y284" s="55"/>
      <c r="Z284" s="55"/>
      <c r="AA284" s="55"/>
      <c r="AB284" s="55"/>
      <c r="AC284" s="55"/>
    </row>
    <row r="285">
      <c r="A285" s="53"/>
      <c r="B285" s="53"/>
      <c r="C285" s="55"/>
      <c r="D285" s="55"/>
      <c r="E285" s="55"/>
      <c r="F285" s="55"/>
      <c r="G285" s="55"/>
      <c r="H285" s="181"/>
      <c r="I285" s="55"/>
      <c r="J285" s="55"/>
      <c r="K285" s="55"/>
      <c r="L285" s="55"/>
      <c r="M285" s="55"/>
      <c r="N285" s="55"/>
      <c r="O285" s="55"/>
      <c r="P285" s="55"/>
      <c r="Q285" s="55"/>
      <c r="R285" s="55"/>
      <c r="S285" s="55"/>
      <c r="T285" s="55"/>
      <c r="U285" s="55"/>
      <c r="V285" s="55"/>
      <c r="W285" s="55"/>
      <c r="X285" s="55"/>
      <c r="Y285" s="55"/>
      <c r="Z285" s="55"/>
      <c r="AA285" s="55"/>
      <c r="AB285" s="55"/>
      <c r="AC285" s="55"/>
    </row>
    <row r="286">
      <c r="A286" s="53"/>
      <c r="B286" s="53"/>
      <c r="C286" s="55"/>
      <c r="D286" s="55"/>
      <c r="E286" s="55"/>
      <c r="F286" s="55"/>
      <c r="G286" s="55"/>
      <c r="H286" s="181"/>
      <c r="I286" s="55"/>
      <c r="J286" s="55"/>
      <c r="K286" s="55"/>
      <c r="L286" s="55"/>
      <c r="M286" s="55"/>
      <c r="N286" s="55"/>
      <c r="O286" s="55"/>
      <c r="P286" s="55"/>
      <c r="Q286" s="55"/>
      <c r="R286" s="55"/>
      <c r="S286" s="55"/>
      <c r="T286" s="55"/>
      <c r="U286" s="55"/>
      <c r="V286" s="55"/>
      <c r="W286" s="55"/>
      <c r="X286" s="55"/>
      <c r="Y286" s="55"/>
      <c r="Z286" s="55"/>
      <c r="AA286" s="55"/>
      <c r="AB286" s="55"/>
      <c r="AC286" s="55"/>
    </row>
    <row r="287">
      <c r="A287" s="53"/>
      <c r="B287" s="53"/>
      <c r="C287" s="55"/>
      <c r="D287" s="55"/>
      <c r="E287" s="55"/>
      <c r="F287" s="55"/>
      <c r="G287" s="55"/>
      <c r="H287" s="181"/>
      <c r="I287" s="55"/>
      <c r="J287" s="55"/>
      <c r="K287" s="55"/>
      <c r="L287" s="55"/>
      <c r="M287" s="55"/>
      <c r="N287" s="55"/>
      <c r="O287" s="55"/>
      <c r="P287" s="55"/>
      <c r="Q287" s="55"/>
      <c r="R287" s="55"/>
      <c r="S287" s="55"/>
      <c r="T287" s="55"/>
      <c r="U287" s="55"/>
      <c r="V287" s="55"/>
      <c r="W287" s="55"/>
      <c r="X287" s="55"/>
      <c r="Y287" s="55"/>
      <c r="Z287" s="55"/>
      <c r="AA287" s="55"/>
      <c r="AB287" s="55"/>
      <c r="AC287" s="55"/>
    </row>
    <row r="288">
      <c r="A288" s="53"/>
      <c r="B288" s="53"/>
      <c r="C288" s="55"/>
      <c r="D288" s="55"/>
      <c r="E288" s="55"/>
      <c r="F288" s="55"/>
      <c r="G288" s="55"/>
      <c r="H288" s="181"/>
      <c r="I288" s="55"/>
      <c r="J288" s="55"/>
      <c r="K288" s="55"/>
      <c r="L288" s="55"/>
      <c r="M288" s="55"/>
      <c r="N288" s="55"/>
      <c r="O288" s="55"/>
      <c r="P288" s="55"/>
      <c r="Q288" s="55"/>
      <c r="R288" s="55"/>
      <c r="S288" s="55"/>
      <c r="T288" s="55"/>
      <c r="U288" s="55"/>
      <c r="V288" s="55"/>
      <c r="W288" s="55"/>
      <c r="X288" s="55"/>
      <c r="Y288" s="55"/>
      <c r="Z288" s="55"/>
      <c r="AA288" s="55"/>
      <c r="AB288" s="55"/>
      <c r="AC288" s="55"/>
    </row>
    <row r="289">
      <c r="A289" s="53"/>
      <c r="B289" s="53"/>
      <c r="C289" s="55"/>
      <c r="D289" s="55"/>
      <c r="E289" s="55"/>
      <c r="F289" s="55"/>
      <c r="G289" s="55"/>
      <c r="H289" s="181"/>
      <c r="I289" s="55"/>
      <c r="J289" s="55"/>
      <c r="K289" s="55"/>
      <c r="L289" s="55"/>
      <c r="M289" s="55"/>
      <c r="N289" s="55"/>
      <c r="O289" s="55"/>
      <c r="P289" s="55"/>
      <c r="Q289" s="55"/>
      <c r="R289" s="55"/>
      <c r="S289" s="55"/>
      <c r="T289" s="55"/>
      <c r="U289" s="55"/>
      <c r="V289" s="55"/>
      <c r="W289" s="55"/>
      <c r="X289" s="55"/>
      <c r="Y289" s="55"/>
      <c r="Z289" s="55"/>
      <c r="AA289" s="55"/>
      <c r="AB289" s="55"/>
      <c r="AC289" s="55"/>
    </row>
    <row r="290">
      <c r="A290" s="53"/>
      <c r="B290" s="53"/>
      <c r="C290" s="55"/>
      <c r="D290" s="55"/>
      <c r="E290" s="55"/>
      <c r="F290" s="55"/>
      <c r="G290" s="55"/>
      <c r="H290" s="181"/>
      <c r="I290" s="55"/>
      <c r="J290" s="55"/>
      <c r="K290" s="55"/>
      <c r="L290" s="55"/>
      <c r="M290" s="55"/>
      <c r="N290" s="55"/>
      <c r="O290" s="55"/>
      <c r="P290" s="55"/>
      <c r="Q290" s="55"/>
      <c r="R290" s="55"/>
      <c r="S290" s="55"/>
      <c r="T290" s="55"/>
      <c r="U290" s="55"/>
      <c r="V290" s="55"/>
      <c r="W290" s="55"/>
      <c r="X290" s="55"/>
      <c r="Y290" s="55"/>
      <c r="Z290" s="55"/>
      <c r="AA290" s="55"/>
      <c r="AB290" s="55"/>
      <c r="AC290" s="55"/>
    </row>
    <row r="291">
      <c r="A291" s="53"/>
      <c r="B291" s="53"/>
      <c r="C291" s="55"/>
      <c r="D291" s="55"/>
      <c r="E291" s="55"/>
      <c r="F291" s="55"/>
      <c r="G291" s="55"/>
      <c r="H291" s="181"/>
      <c r="I291" s="55"/>
      <c r="J291" s="55"/>
      <c r="K291" s="55"/>
      <c r="L291" s="55"/>
      <c r="M291" s="55"/>
      <c r="N291" s="55"/>
      <c r="O291" s="55"/>
      <c r="P291" s="55"/>
      <c r="Q291" s="55"/>
      <c r="R291" s="55"/>
      <c r="S291" s="55"/>
      <c r="T291" s="55"/>
      <c r="U291" s="55"/>
      <c r="V291" s="55"/>
      <c r="W291" s="55"/>
      <c r="X291" s="55"/>
      <c r="Y291" s="55"/>
      <c r="Z291" s="55"/>
      <c r="AA291" s="55"/>
      <c r="AB291" s="55"/>
      <c r="AC291" s="55"/>
    </row>
    <row r="292">
      <c r="A292" s="53"/>
      <c r="B292" s="53"/>
      <c r="C292" s="55"/>
      <c r="D292" s="55"/>
      <c r="E292" s="55"/>
      <c r="F292" s="55"/>
      <c r="G292" s="55"/>
      <c r="H292" s="181"/>
      <c r="I292" s="55"/>
      <c r="J292" s="55"/>
      <c r="K292" s="55"/>
      <c r="L292" s="55"/>
      <c r="M292" s="55"/>
      <c r="N292" s="55"/>
      <c r="O292" s="55"/>
      <c r="P292" s="55"/>
      <c r="Q292" s="55"/>
      <c r="R292" s="55"/>
      <c r="S292" s="55"/>
      <c r="T292" s="55"/>
      <c r="U292" s="55"/>
      <c r="V292" s="55"/>
      <c r="W292" s="55"/>
      <c r="X292" s="55"/>
      <c r="Y292" s="55"/>
      <c r="Z292" s="55"/>
      <c r="AA292" s="55"/>
      <c r="AB292" s="55"/>
      <c r="AC292" s="55"/>
    </row>
    <row r="293">
      <c r="A293" s="53"/>
      <c r="B293" s="53"/>
      <c r="C293" s="55"/>
      <c r="D293" s="55"/>
      <c r="E293" s="55"/>
      <c r="F293" s="55"/>
      <c r="G293" s="55"/>
      <c r="H293" s="181"/>
      <c r="I293" s="55"/>
      <c r="J293" s="55"/>
      <c r="K293" s="55"/>
      <c r="L293" s="55"/>
      <c r="M293" s="55"/>
      <c r="N293" s="55"/>
      <c r="O293" s="55"/>
      <c r="P293" s="55"/>
      <c r="Q293" s="55"/>
      <c r="R293" s="55"/>
      <c r="S293" s="55"/>
      <c r="T293" s="55"/>
      <c r="U293" s="55"/>
      <c r="V293" s="55"/>
      <c r="W293" s="55"/>
      <c r="X293" s="55"/>
      <c r="Y293" s="55"/>
      <c r="Z293" s="55"/>
      <c r="AA293" s="55"/>
      <c r="AB293" s="55"/>
      <c r="AC293" s="55"/>
    </row>
    <row r="294">
      <c r="A294" s="53"/>
      <c r="B294" s="53"/>
      <c r="C294" s="55"/>
      <c r="D294" s="55"/>
      <c r="E294" s="55"/>
      <c r="F294" s="55"/>
      <c r="G294" s="55"/>
      <c r="H294" s="181"/>
      <c r="I294" s="55"/>
      <c r="J294" s="55"/>
      <c r="K294" s="55"/>
      <c r="L294" s="55"/>
      <c r="M294" s="55"/>
      <c r="N294" s="55"/>
      <c r="O294" s="55"/>
      <c r="P294" s="55"/>
      <c r="Q294" s="55"/>
      <c r="R294" s="55"/>
      <c r="S294" s="55"/>
      <c r="T294" s="55"/>
      <c r="U294" s="55"/>
      <c r="V294" s="55"/>
      <c r="W294" s="55"/>
      <c r="X294" s="55"/>
      <c r="Y294" s="55"/>
      <c r="Z294" s="55"/>
      <c r="AA294" s="55"/>
      <c r="AB294" s="55"/>
      <c r="AC294" s="55"/>
    </row>
    <row r="295">
      <c r="A295" s="53"/>
      <c r="B295" s="53"/>
      <c r="C295" s="55"/>
      <c r="D295" s="55"/>
      <c r="E295" s="55"/>
      <c r="F295" s="55"/>
      <c r="G295" s="55"/>
      <c r="H295" s="181"/>
      <c r="I295" s="55"/>
      <c r="J295" s="55"/>
      <c r="K295" s="55"/>
      <c r="L295" s="55"/>
      <c r="M295" s="55"/>
      <c r="N295" s="55"/>
      <c r="O295" s="55"/>
      <c r="P295" s="55"/>
      <c r="Q295" s="55"/>
      <c r="R295" s="55"/>
      <c r="S295" s="55"/>
      <c r="T295" s="55"/>
      <c r="U295" s="55"/>
      <c r="V295" s="55"/>
      <c r="W295" s="55"/>
      <c r="X295" s="55"/>
      <c r="Y295" s="55"/>
      <c r="Z295" s="55"/>
      <c r="AA295" s="55"/>
      <c r="AB295" s="55"/>
      <c r="AC295" s="55"/>
    </row>
    <row r="296">
      <c r="A296" s="53"/>
      <c r="B296" s="53"/>
      <c r="C296" s="55"/>
      <c r="D296" s="55"/>
      <c r="E296" s="55"/>
      <c r="F296" s="55"/>
      <c r="G296" s="55"/>
      <c r="H296" s="181"/>
      <c r="I296" s="55"/>
      <c r="J296" s="55"/>
      <c r="K296" s="55"/>
      <c r="L296" s="55"/>
      <c r="M296" s="55"/>
      <c r="N296" s="55"/>
      <c r="O296" s="55"/>
      <c r="P296" s="55"/>
      <c r="Q296" s="55"/>
      <c r="R296" s="55"/>
      <c r="S296" s="55"/>
      <c r="T296" s="55"/>
      <c r="U296" s="55"/>
      <c r="V296" s="55"/>
      <c r="W296" s="55"/>
      <c r="X296" s="55"/>
      <c r="Y296" s="55"/>
      <c r="Z296" s="55"/>
      <c r="AA296" s="55"/>
      <c r="AB296" s="55"/>
      <c r="AC296" s="55"/>
    </row>
    <row r="297">
      <c r="A297" s="53"/>
      <c r="B297" s="53"/>
      <c r="C297" s="55"/>
      <c r="D297" s="55"/>
      <c r="E297" s="55"/>
      <c r="F297" s="55"/>
      <c r="G297" s="55"/>
      <c r="H297" s="181"/>
      <c r="I297" s="55"/>
      <c r="J297" s="55"/>
      <c r="K297" s="55"/>
      <c r="L297" s="55"/>
      <c r="M297" s="55"/>
      <c r="N297" s="55"/>
      <c r="O297" s="55"/>
      <c r="P297" s="55"/>
      <c r="Q297" s="55"/>
      <c r="R297" s="55"/>
      <c r="S297" s="55"/>
      <c r="T297" s="55"/>
      <c r="U297" s="55"/>
      <c r="V297" s="55"/>
      <c r="W297" s="55"/>
      <c r="X297" s="55"/>
      <c r="Y297" s="55"/>
      <c r="Z297" s="55"/>
      <c r="AA297" s="55"/>
      <c r="AB297" s="55"/>
      <c r="AC297" s="55"/>
    </row>
    <row r="298">
      <c r="A298" s="53"/>
      <c r="B298" s="53"/>
      <c r="C298" s="55"/>
      <c r="D298" s="55"/>
      <c r="E298" s="55"/>
      <c r="F298" s="55"/>
      <c r="G298" s="55"/>
      <c r="H298" s="181"/>
      <c r="I298" s="55"/>
      <c r="J298" s="55"/>
      <c r="K298" s="55"/>
      <c r="L298" s="55"/>
      <c r="M298" s="55"/>
      <c r="N298" s="55"/>
      <c r="O298" s="55"/>
      <c r="P298" s="55"/>
      <c r="Q298" s="55"/>
      <c r="R298" s="55"/>
      <c r="S298" s="55"/>
      <c r="T298" s="55"/>
      <c r="U298" s="55"/>
      <c r="V298" s="55"/>
      <c r="W298" s="55"/>
      <c r="X298" s="55"/>
      <c r="Y298" s="55"/>
      <c r="Z298" s="55"/>
      <c r="AA298" s="55"/>
      <c r="AB298" s="55"/>
      <c r="AC298" s="55"/>
    </row>
    <row r="299">
      <c r="A299" s="53"/>
      <c r="B299" s="53"/>
      <c r="C299" s="55"/>
      <c r="D299" s="55"/>
      <c r="E299" s="55"/>
      <c r="F299" s="55"/>
      <c r="G299" s="55"/>
      <c r="H299" s="181"/>
      <c r="I299" s="55"/>
      <c r="J299" s="55"/>
      <c r="K299" s="55"/>
      <c r="L299" s="55"/>
      <c r="M299" s="55"/>
      <c r="N299" s="55"/>
      <c r="O299" s="55"/>
      <c r="P299" s="55"/>
      <c r="Q299" s="55"/>
      <c r="R299" s="55"/>
      <c r="S299" s="55"/>
      <c r="T299" s="55"/>
      <c r="U299" s="55"/>
      <c r="V299" s="55"/>
      <c r="W299" s="55"/>
      <c r="X299" s="55"/>
      <c r="Y299" s="55"/>
      <c r="Z299" s="55"/>
      <c r="AA299" s="55"/>
      <c r="AB299" s="55"/>
      <c r="AC299" s="55"/>
    </row>
    <row r="300">
      <c r="A300" s="53"/>
      <c r="B300" s="53"/>
      <c r="C300" s="55"/>
      <c r="D300" s="55"/>
      <c r="E300" s="55"/>
      <c r="F300" s="55"/>
      <c r="G300" s="55"/>
      <c r="H300" s="181"/>
      <c r="I300" s="55"/>
      <c r="J300" s="55"/>
      <c r="K300" s="55"/>
      <c r="L300" s="55"/>
      <c r="M300" s="55"/>
      <c r="N300" s="55"/>
      <c r="O300" s="55"/>
      <c r="P300" s="55"/>
      <c r="Q300" s="55"/>
      <c r="R300" s="55"/>
      <c r="S300" s="55"/>
      <c r="T300" s="55"/>
      <c r="U300" s="55"/>
      <c r="V300" s="55"/>
      <c r="W300" s="55"/>
      <c r="X300" s="55"/>
      <c r="Y300" s="55"/>
      <c r="Z300" s="55"/>
      <c r="AA300" s="55"/>
      <c r="AB300" s="55"/>
      <c r="AC300" s="55"/>
    </row>
    <row r="301">
      <c r="A301" s="53"/>
      <c r="B301" s="53"/>
      <c r="C301" s="55"/>
      <c r="D301" s="55"/>
      <c r="E301" s="55"/>
      <c r="F301" s="55"/>
      <c r="G301" s="55"/>
      <c r="H301" s="181"/>
      <c r="I301" s="55"/>
      <c r="J301" s="55"/>
      <c r="K301" s="55"/>
      <c r="L301" s="55"/>
      <c r="M301" s="55"/>
      <c r="N301" s="55"/>
      <c r="O301" s="55"/>
      <c r="P301" s="55"/>
      <c r="Q301" s="55"/>
      <c r="R301" s="55"/>
      <c r="S301" s="55"/>
      <c r="T301" s="55"/>
      <c r="U301" s="55"/>
      <c r="V301" s="55"/>
      <c r="W301" s="55"/>
      <c r="X301" s="55"/>
      <c r="Y301" s="55"/>
      <c r="Z301" s="55"/>
      <c r="AA301" s="55"/>
      <c r="AB301" s="55"/>
      <c r="AC301" s="55"/>
    </row>
    <row r="302">
      <c r="A302" s="53"/>
      <c r="B302" s="53"/>
      <c r="C302" s="55"/>
      <c r="D302" s="55"/>
      <c r="E302" s="55"/>
      <c r="F302" s="55"/>
      <c r="G302" s="55"/>
      <c r="H302" s="181"/>
      <c r="I302" s="55"/>
      <c r="J302" s="55"/>
      <c r="K302" s="55"/>
      <c r="L302" s="55"/>
      <c r="M302" s="55"/>
      <c r="N302" s="55"/>
      <c r="O302" s="55"/>
      <c r="P302" s="55"/>
      <c r="Q302" s="55"/>
      <c r="R302" s="55"/>
      <c r="S302" s="55"/>
      <c r="T302" s="55"/>
      <c r="U302" s="55"/>
      <c r="V302" s="55"/>
      <c r="W302" s="55"/>
      <c r="X302" s="55"/>
      <c r="Y302" s="55"/>
      <c r="Z302" s="55"/>
      <c r="AA302" s="55"/>
      <c r="AB302" s="55"/>
      <c r="AC302" s="55"/>
    </row>
    <row r="303">
      <c r="A303" s="53"/>
      <c r="B303" s="53"/>
      <c r="C303" s="55"/>
      <c r="D303" s="55"/>
      <c r="E303" s="55"/>
      <c r="F303" s="55"/>
      <c r="G303" s="55"/>
      <c r="H303" s="181"/>
      <c r="I303" s="55"/>
      <c r="J303" s="55"/>
      <c r="K303" s="55"/>
      <c r="L303" s="55"/>
      <c r="M303" s="55"/>
      <c r="N303" s="55"/>
      <c r="O303" s="55"/>
      <c r="P303" s="55"/>
      <c r="Q303" s="55"/>
      <c r="R303" s="55"/>
      <c r="S303" s="55"/>
      <c r="T303" s="55"/>
      <c r="U303" s="55"/>
      <c r="V303" s="55"/>
      <c r="W303" s="55"/>
      <c r="X303" s="55"/>
      <c r="Y303" s="55"/>
      <c r="Z303" s="55"/>
      <c r="AA303" s="55"/>
      <c r="AB303" s="55"/>
      <c r="AC303" s="55"/>
    </row>
    <row r="304">
      <c r="A304" s="53"/>
      <c r="B304" s="53"/>
      <c r="C304" s="55"/>
      <c r="D304" s="55"/>
      <c r="E304" s="55"/>
      <c r="F304" s="55"/>
      <c r="G304" s="55"/>
      <c r="H304" s="181"/>
      <c r="I304" s="55"/>
      <c r="J304" s="55"/>
      <c r="K304" s="55"/>
      <c r="L304" s="55"/>
      <c r="M304" s="55"/>
      <c r="N304" s="55"/>
      <c r="O304" s="55"/>
      <c r="P304" s="55"/>
      <c r="Q304" s="55"/>
      <c r="R304" s="55"/>
      <c r="S304" s="55"/>
      <c r="T304" s="55"/>
      <c r="U304" s="55"/>
      <c r="V304" s="55"/>
      <c r="W304" s="55"/>
      <c r="X304" s="55"/>
      <c r="Y304" s="55"/>
      <c r="Z304" s="55"/>
      <c r="AA304" s="55"/>
      <c r="AB304" s="55"/>
      <c r="AC304" s="55"/>
    </row>
    <row r="305">
      <c r="A305" s="53"/>
      <c r="B305" s="53"/>
      <c r="C305" s="55"/>
      <c r="D305" s="55"/>
      <c r="E305" s="55"/>
      <c r="F305" s="55"/>
      <c r="G305" s="55"/>
      <c r="H305" s="181"/>
      <c r="I305" s="55"/>
      <c r="J305" s="55"/>
      <c r="K305" s="55"/>
      <c r="L305" s="55"/>
      <c r="M305" s="55"/>
      <c r="N305" s="55"/>
      <c r="O305" s="55"/>
      <c r="P305" s="55"/>
      <c r="Q305" s="55"/>
      <c r="R305" s="55"/>
      <c r="S305" s="55"/>
      <c r="T305" s="55"/>
      <c r="U305" s="55"/>
      <c r="V305" s="55"/>
      <c r="W305" s="55"/>
      <c r="X305" s="55"/>
      <c r="Y305" s="55"/>
      <c r="Z305" s="55"/>
      <c r="AA305" s="55"/>
      <c r="AB305" s="55"/>
      <c r="AC305" s="55"/>
    </row>
    <row r="306">
      <c r="A306" s="53"/>
      <c r="B306" s="53"/>
      <c r="C306" s="55"/>
      <c r="D306" s="55"/>
      <c r="E306" s="55"/>
      <c r="F306" s="55"/>
      <c r="G306" s="55"/>
      <c r="H306" s="181"/>
      <c r="I306" s="55"/>
      <c r="J306" s="55"/>
      <c r="K306" s="55"/>
      <c r="L306" s="55"/>
      <c r="M306" s="55"/>
      <c r="N306" s="55"/>
      <c r="O306" s="55"/>
      <c r="P306" s="55"/>
      <c r="Q306" s="55"/>
      <c r="R306" s="55"/>
      <c r="S306" s="55"/>
      <c r="T306" s="55"/>
      <c r="U306" s="55"/>
      <c r="V306" s="55"/>
      <c r="W306" s="55"/>
      <c r="X306" s="55"/>
      <c r="Y306" s="55"/>
      <c r="Z306" s="55"/>
      <c r="AA306" s="55"/>
      <c r="AB306" s="55"/>
      <c r="AC306" s="55"/>
    </row>
    <row r="307">
      <c r="A307" s="53"/>
      <c r="B307" s="53"/>
      <c r="C307" s="55"/>
      <c r="D307" s="55"/>
      <c r="E307" s="55"/>
      <c r="F307" s="55"/>
      <c r="G307" s="55"/>
      <c r="H307" s="181"/>
      <c r="I307" s="55"/>
      <c r="J307" s="55"/>
      <c r="K307" s="55"/>
      <c r="L307" s="55"/>
      <c r="M307" s="55"/>
      <c r="N307" s="55"/>
      <c r="O307" s="55"/>
      <c r="P307" s="55"/>
      <c r="Q307" s="55"/>
      <c r="R307" s="55"/>
      <c r="S307" s="55"/>
      <c r="T307" s="55"/>
      <c r="U307" s="55"/>
      <c r="V307" s="55"/>
      <c r="W307" s="55"/>
      <c r="X307" s="55"/>
      <c r="Y307" s="55"/>
      <c r="Z307" s="55"/>
      <c r="AA307" s="55"/>
      <c r="AB307" s="55"/>
      <c r="AC307" s="55"/>
    </row>
    <row r="308">
      <c r="A308" s="53"/>
      <c r="B308" s="53"/>
      <c r="C308" s="55"/>
      <c r="D308" s="55"/>
      <c r="E308" s="55"/>
      <c r="F308" s="55"/>
      <c r="G308" s="55"/>
      <c r="H308" s="181"/>
      <c r="I308" s="55"/>
      <c r="J308" s="55"/>
      <c r="K308" s="55"/>
      <c r="L308" s="55"/>
      <c r="M308" s="55"/>
      <c r="N308" s="55"/>
      <c r="O308" s="55"/>
      <c r="P308" s="55"/>
      <c r="Q308" s="55"/>
      <c r="R308" s="55"/>
      <c r="S308" s="55"/>
      <c r="T308" s="55"/>
      <c r="U308" s="55"/>
      <c r="V308" s="55"/>
      <c r="W308" s="55"/>
      <c r="X308" s="55"/>
      <c r="Y308" s="55"/>
      <c r="Z308" s="55"/>
      <c r="AA308" s="55"/>
      <c r="AB308" s="55"/>
      <c r="AC308" s="55"/>
    </row>
    <row r="309">
      <c r="A309" s="53"/>
      <c r="B309" s="53"/>
      <c r="C309" s="55"/>
      <c r="D309" s="55"/>
      <c r="E309" s="55"/>
      <c r="F309" s="55"/>
      <c r="G309" s="55"/>
      <c r="H309" s="181"/>
      <c r="I309" s="55"/>
      <c r="J309" s="55"/>
      <c r="K309" s="55"/>
      <c r="L309" s="55"/>
      <c r="M309" s="55"/>
      <c r="N309" s="55"/>
      <c r="O309" s="55"/>
      <c r="P309" s="55"/>
      <c r="Q309" s="55"/>
      <c r="R309" s="55"/>
      <c r="S309" s="55"/>
      <c r="T309" s="55"/>
      <c r="U309" s="55"/>
      <c r="V309" s="55"/>
      <c r="W309" s="55"/>
      <c r="X309" s="55"/>
      <c r="Y309" s="55"/>
      <c r="Z309" s="55"/>
      <c r="AA309" s="55"/>
      <c r="AB309" s="55"/>
      <c r="AC309" s="55"/>
    </row>
    <row r="310">
      <c r="A310" s="53"/>
      <c r="B310" s="53"/>
      <c r="C310" s="55"/>
      <c r="D310" s="55"/>
      <c r="E310" s="55"/>
      <c r="F310" s="55"/>
      <c r="G310" s="55"/>
      <c r="H310" s="181"/>
      <c r="I310" s="55"/>
      <c r="J310" s="55"/>
      <c r="K310" s="55"/>
      <c r="L310" s="55"/>
      <c r="M310" s="55"/>
      <c r="N310" s="55"/>
      <c r="O310" s="55"/>
      <c r="P310" s="55"/>
      <c r="Q310" s="55"/>
      <c r="R310" s="55"/>
      <c r="S310" s="55"/>
      <c r="T310" s="55"/>
      <c r="U310" s="55"/>
      <c r="V310" s="55"/>
      <c r="W310" s="55"/>
      <c r="X310" s="55"/>
      <c r="Y310" s="55"/>
      <c r="Z310" s="55"/>
      <c r="AA310" s="55"/>
      <c r="AB310" s="55"/>
      <c r="AC310" s="55"/>
    </row>
    <row r="311">
      <c r="A311" s="53"/>
      <c r="B311" s="53"/>
      <c r="C311" s="55"/>
      <c r="D311" s="55"/>
      <c r="E311" s="55"/>
      <c r="F311" s="55"/>
      <c r="G311" s="55"/>
      <c r="H311" s="181"/>
      <c r="I311" s="55"/>
      <c r="J311" s="55"/>
      <c r="K311" s="55"/>
      <c r="L311" s="55"/>
      <c r="M311" s="55"/>
      <c r="N311" s="55"/>
      <c r="O311" s="55"/>
      <c r="P311" s="55"/>
      <c r="Q311" s="55"/>
      <c r="R311" s="55"/>
      <c r="S311" s="55"/>
      <c r="T311" s="55"/>
      <c r="U311" s="55"/>
      <c r="V311" s="55"/>
      <c r="W311" s="55"/>
      <c r="X311" s="55"/>
      <c r="Y311" s="55"/>
      <c r="Z311" s="55"/>
      <c r="AA311" s="55"/>
      <c r="AB311" s="55"/>
      <c r="AC311" s="55"/>
    </row>
    <row r="312">
      <c r="A312" s="53"/>
      <c r="B312" s="53"/>
      <c r="C312" s="55"/>
      <c r="D312" s="55"/>
      <c r="E312" s="55"/>
      <c r="F312" s="55"/>
      <c r="G312" s="55"/>
      <c r="H312" s="181"/>
      <c r="I312" s="55"/>
      <c r="J312" s="55"/>
      <c r="K312" s="55"/>
      <c r="L312" s="55"/>
      <c r="M312" s="55"/>
      <c r="N312" s="55"/>
      <c r="O312" s="55"/>
      <c r="P312" s="55"/>
      <c r="Q312" s="55"/>
      <c r="R312" s="55"/>
      <c r="S312" s="55"/>
      <c r="T312" s="55"/>
      <c r="U312" s="55"/>
      <c r="V312" s="55"/>
      <c r="W312" s="55"/>
      <c r="X312" s="55"/>
      <c r="Y312" s="55"/>
      <c r="Z312" s="55"/>
      <c r="AA312" s="55"/>
      <c r="AB312" s="55"/>
      <c r="AC312" s="55"/>
    </row>
    <row r="313">
      <c r="A313" s="53"/>
      <c r="B313" s="53"/>
      <c r="C313" s="55"/>
      <c r="D313" s="55"/>
      <c r="E313" s="55"/>
      <c r="F313" s="55"/>
      <c r="G313" s="55"/>
      <c r="H313" s="181"/>
      <c r="I313" s="55"/>
      <c r="J313" s="55"/>
      <c r="K313" s="55"/>
      <c r="L313" s="55"/>
      <c r="M313" s="55"/>
      <c r="N313" s="55"/>
      <c r="O313" s="55"/>
      <c r="P313" s="55"/>
      <c r="Q313" s="55"/>
      <c r="R313" s="55"/>
      <c r="S313" s="55"/>
      <c r="T313" s="55"/>
      <c r="U313" s="55"/>
      <c r="V313" s="55"/>
      <c r="W313" s="55"/>
      <c r="X313" s="55"/>
      <c r="Y313" s="55"/>
      <c r="Z313" s="55"/>
      <c r="AA313" s="55"/>
      <c r="AB313" s="55"/>
      <c r="AC313" s="55"/>
    </row>
    <row r="314">
      <c r="A314" s="53"/>
      <c r="B314" s="53"/>
      <c r="C314" s="55"/>
      <c r="D314" s="55"/>
      <c r="E314" s="55"/>
      <c r="F314" s="55"/>
      <c r="G314" s="55"/>
      <c r="H314" s="181"/>
      <c r="I314" s="55"/>
      <c r="J314" s="55"/>
      <c r="K314" s="55"/>
      <c r="L314" s="55"/>
      <c r="M314" s="55"/>
      <c r="N314" s="55"/>
      <c r="O314" s="55"/>
      <c r="P314" s="55"/>
      <c r="Q314" s="55"/>
      <c r="R314" s="55"/>
      <c r="S314" s="55"/>
      <c r="T314" s="55"/>
      <c r="U314" s="55"/>
      <c r="V314" s="55"/>
      <c r="W314" s="55"/>
      <c r="X314" s="55"/>
      <c r="Y314" s="55"/>
      <c r="Z314" s="55"/>
      <c r="AA314" s="55"/>
      <c r="AB314" s="55"/>
      <c r="AC314" s="55"/>
    </row>
    <row r="315">
      <c r="A315" s="53"/>
      <c r="B315" s="53"/>
      <c r="C315" s="55"/>
      <c r="D315" s="55"/>
      <c r="E315" s="55"/>
      <c r="F315" s="55"/>
      <c r="G315" s="55"/>
      <c r="H315" s="181"/>
      <c r="I315" s="55"/>
      <c r="J315" s="55"/>
      <c r="K315" s="55"/>
      <c r="L315" s="55"/>
      <c r="M315" s="55"/>
      <c r="N315" s="55"/>
      <c r="O315" s="55"/>
      <c r="P315" s="55"/>
      <c r="Q315" s="55"/>
      <c r="R315" s="55"/>
      <c r="S315" s="55"/>
      <c r="T315" s="55"/>
      <c r="U315" s="55"/>
      <c r="V315" s="55"/>
      <c r="W315" s="55"/>
      <c r="X315" s="55"/>
      <c r="Y315" s="55"/>
      <c r="Z315" s="55"/>
      <c r="AA315" s="55"/>
      <c r="AB315" s="55"/>
      <c r="AC315" s="55"/>
    </row>
    <row r="316">
      <c r="A316" s="53"/>
      <c r="B316" s="53"/>
      <c r="C316" s="55"/>
      <c r="D316" s="55"/>
      <c r="E316" s="55"/>
      <c r="F316" s="55"/>
      <c r="G316" s="55"/>
      <c r="H316" s="181"/>
      <c r="I316" s="55"/>
      <c r="J316" s="55"/>
      <c r="K316" s="55"/>
      <c r="L316" s="55"/>
      <c r="M316" s="55"/>
      <c r="N316" s="55"/>
      <c r="O316" s="55"/>
      <c r="P316" s="55"/>
      <c r="Q316" s="55"/>
      <c r="R316" s="55"/>
      <c r="S316" s="55"/>
      <c r="T316" s="55"/>
      <c r="U316" s="55"/>
      <c r="V316" s="55"/>
      <c r="W316" s="55"/>
      <c r="X316" s="55"/>
      <c r="Y316" s="55"/>
      <c r="Z316" s="55"/>
      <c r="AA316" s="55"/>
      <c r="AB316" s="55"/>
      <c r="AC316" s="55"/>
    </row>
    <row r="317">
      <c r="A317" s="53"/>
      <c r="B317" s="53"/>
      <c r="C317" s="55"/>
      <c r="D317" s="55"/>
      <c r="E317" s="55"/>
      <c r="F317" s="55"/>
      <c r="G317" s="55"/>
      <c r="H317" s="181"/>
      <c r="I317" s="55"/>
      <c r="J317" s="55"/>
      <c r="K317" s="55"/>
      <c r="L317" s="55"/>
      <c r="M317" s="55"/>
      <c r="N317" s="55"/>
      <c r="O317" s="55"/>
      <c r="P317" s="55"/>
      <c r="Q317" s="55"/>
      <c r="R317" s="55"/>
      <c r="S317" s="55"/>
      <c r="T317" s="55"/>
      <c r="U317" s="55"/>
      <c r="V317" s="55"/>
      <c r="W317" s="55"/>
      <c r="X317" s="55"/>
      <c r="Y317" s="55"/>
      <c r="Z317" s="55"/>
      <c r="AA317" s="55"/>
      <c r="AB317" s="55"/>
      <c r="AC317" s="55"/>
    </row>
    <row r="318">
      <c r="A318" s="53"/>
      <c r="B318" s="53"/>
      <c r="C318" s="55"/>
      <c r="D318" s="55"/>
      <c r="E318" s="55"/>
      <c r="F318" s="55"/>
      <c r="G318" s="55"/>
      <c r="H318" s="181"/>
      <c r="I318" s="55"/>
      <c r="J318" s="55"/>
      <c r="K318" s="55"/>
      <c r="L318" s="55"/>
      <c r="M318" s="55"/>
      <c r="N318" s="55"/>
      <c r="O318" s="55"/>
      <c r="P318" s="55"/>
      <c r="Q318" s="55"/>
      <c r="R318" s="55"/>
      <c r="S318" s="55"/>
      <c r="T318" s="55"/>
      <c r="U318" s="55"/>
      <c r="V318" s="55"/>
      <c r="W318" s="55"/>
      <c r="X318" s="55"/>
      <c r="Y318" s="55"/>
      <c r="Z318" s="55"/>
      <c r="AA318" s="55"/>
      <c r="AB318" s="55"/>
      <c r="AC318" s="55"/>
    </row>
    <row r="319">
      <c r="A319" s="53"/>
      <c r="B319" s="53"/>
      <c r="C319" s="55"/>
      <c r="D319" s="55"/>
      <c r="E319" s="55"/>
      <c r="F319" s="55"/>
      <c r="G319" s="55"/>
      <c r="H319" s="181"/>
      <c r="I319" s="55"/>
      <c r="J319" s="55"/>
      <c r="K319" s="55"/>
      <c r="L319" s="55"/>
      <c r="M319" s="55"/>
      <c r="N319" s="55"/>
      <c r="O319" s="55"/>
      <c r="P319" s="55"/>
      <c r="Q319" s="55"/>
      <c r="R319" s="55"/>
      <c r="S319" s="55"/>
      <c r="T319" s="55"/>
      <c r="U319" s="55"/>
      <c r="V319" s="55"/>
      <c r="W319" s="55"/>
      <c r="X319" s="55"/>
      <c r="Y319" s="55"/>
      <c r="Z319" s="55"/>
      <c r="AA319" s="55"/>
      <c r="AB319" s="55"/>
      <c r="AC319" s="55"/>
    </row>
    <row r="320">
      <c r="A320" s="53"/>
      <c r="B320" s="53"/>
      <c r="C320" s="55"/>
      <c r="D320" s="55"/>
      <c r="E320" s="55"/>
      <c r="F320" s="55"/>
      <c r="G320" s="55"/>
      <c r="H320" s="181"/>
      <c r="I320" s="55"/>
      <c r="J320" s="55"/>
      <c r="K320" s="55"/>
      <c r="L320" s="55"/>
      <c r="M320" s="55"/>
      <c r="N320" s="55"/>
      <c r="O320" s="55"/>
      <c r="P320" s="55"/>
      <c r="Q320" s="55"/>
      <c r="R320" s="55"/>
      <c r="S320" s="55"/>
      <c r="T320" s="55"/>
      <c r="U320" s="55"/>
      <c r="V320" s="55"/>
      <c r="W320" s="55"/>
      <c r="X320" s="55"/>
      <c r="Y320" s="55"/>
      <c r="Z320" s="55"/>
      <c r="AA320" s="55"/>
      <c r="AB320" s="55"/>
      <c r="AC320" s="55"/>
    </row>
    <row r="321">
      <c r="A321" s="53"/>
      <c r="B321" s="53"/>
      <c r="C321" s="55"/>
      <c r="D321" s="55"/>
      <c r="E321" s="55"/>
      <c r="F321" s="55"/>
      <c r="G321" s="55"/>
      <c r="H321" s="181"/>
      <c r="I321" s="55"/>
      <c r="J321" s="55"/>
      <c r="K321" s="55"/>
      <c r="L321" s="55"/>
      <c r="M321" s="55"/>
      <c r="N321" s="55"/>
      <c r="O321" s="55"/>
      <c r="P321" s="55"/>
      <c r="Q321" s="55"/>
      <c r="R321" s="55"/>
      <c r="S321" s="55"/>
      <c r="T321" s="55"/>
      <c r="U321" s="55"/>
      <c r="V321" s="55"/>
      <c r="W321" s="55"/>
      <c r="X321" s="55"/>
      <c r="Y321" s="55"/>
      <c r="Z321" s="55"/>
      <c r="AA321" s="55"/>
      <c r="AB321" s="55"/>
      <c r="AC321" s="55"/>
    </row>
    <row r="322">
      <c r="A322" s="53"/>
      <c r="B322" s="53"/>
      <c r="C322" s="55"/>
      <c r="D322" s="55"/>
      <c r="E322" s="55"/>
      <c r="F322" s="55"/>
      <c r="G322" s="55"/>
      <c r="H322" s="181"/>
      <c r="I322" s="55"/>
      <c r="J322" s="55"/>
      <c r="K322" s="55"/>
      <c r="L322" s="55"/>
      <c r="M322" s="55"/>
      <c r="N322" s="55"/>
      <c r="O322" s="55"/>
      <c r="P322" s="55"/>
      <c r="Q322" s="55"/>
      <c r="R322" s="55"/>
      <c r="S322" s="55"/>
      <c r="T322" s="55"/>
      <c r="U322" s="55"/>
      <c r="V322" s="55"/>
      <c r="W322" s="55"/>
      <c r="X322" s="55"/>
      <c r="Y322" s="55"/>
      <c r="Z322" s="55"/>
      <c r="AA322" s="55"/>
      <c r="AB322" s="55"/>
      <c r="AC322" s="55"/>
    </row>
    <row r="323">
      <c r="A323" s="53"/>
      <c r="B323" s="53"/>
      <c r="C323" s="55"/>
      <c r="D323" s="55"/>
      <c r="E323" s="55"/>
      <c r="F323" s="55"/>
      <c r="G323" s="55"/>
      <c r="H323" s="181"/>
      <c r="I323" s="55"/>
      <c r="J323" s="55"/>
      <c r="K323" s="55"/>
      <c r="L323" s="55"/>
      <c r="M323" s="55"/>
      <c r="N323" s="55"/>
      <c r="O323" s="55"/>
      <c r="P323" s="55"/>
      <c r="Q323" s="55"/>
      <c r="R323" s="55"/>
      <c r="S323" s="55"/>
      <c r="T323" s="55"/>
      <c r="U323" s="55"/>
      <c r="V323" s="55"/>
      <c r="W323" s="55"/>
      <c r="X323" s="55"/>
      <c r="Y323" s="55"/>
      <c r="Z323" s="55"/>
      <c r="AA323" s="55"/>
      <c r="AB323" s="55"/>
      <c r="AC323" s="55"/>
    </row>
    <row r="324">
      <c r="A324" s="53"/>
      <c r="B324" s="53"/>
      <c r="C324" s="55"/>
      <c r="D324" s="55"/>
      <c r="E324" s="55"/>
      <c r="F324" s="55"/>
      <c r="G324" s="55"/>
      <c r="H324" s="181"/>
      <c r="I324" s="55"/>
      <c r="J324" s="55"/>
      <c r="K324" s="55"/>
      <c r="L324" s="55"/>
      <c r="M324" s="55"/>
      <c r="N324" s="55"/>
      <c r="O324" s="55"/>
      <c r="P324" s="55"/>
      <c r="Q324" s="55"/>
      <c r="R324" s="55"/>
      <c r="S324" s="55"/>
      <c r="T324" s="55"/>
      <c r="U324" s="55"/>
      <c r="V324" s="55"/>
      <c r="W324" s="55"/>
      <c r="X324" s="55"/>
      <c r="Y324" s="55"/>
      <c r="Z324" s="55"/>
      <c r="AA324" s="55"/>
      <c r="AB324" s="55"/>
      <c r="AC324" s="55"/>
    </row>
    <row r="325">
      <c r="A325" s="53"/>
      <c r="B325" s="53"/>
      <c r="C325" s="55"/>
      <c r="D325" s="55"/>
      <c r="E325" s="55"/>
      <c r="F325" s="55"/>
      <c r="G325" s="55"/>
      <c r="H325" s="181"/>
      <c r="I325" s="55"/>
      <c r="J325" s="55"/>
      <c r="K325" s="55"/>
      <c r="L325" s="55"/>
      <c r="M325" s="55"/>
      <c r="N325" s="55"/>
      <c r="O325" s="55"/>
      <c r="P325" s="55"/>
      <c r="Q325" s="55"/>
      <c r="R325" s="55"/>
      <c r="S325" s="55"/>
      <c r="T325" s="55"/>
      <c r="U325" s="55"/>
      <c r="V325" s="55"/>
      <c r="W325" s="55"/>
      <c r="X325" s="55"/>
      <c r="Y325" s="55"/>
      <c r="Z325" s="55"/>
      <c r="AA325" s="55"/>
      <c r="AB325" s="55"/>
      <c r="AC325" s="55"/>
    </row>
    <row r="326">
      <c r="A326" s="53"/>
      <c r="B326" s="53"/>
      <c r="C326" s="55"/>
      <c r="D326" s="55"/>
      <c r="E326" s="55"/>
      <c r="F326" s="55"/>
      <c r="G326" s="55"/>
      <c r="H326" s="181"/>
      <c r="I326" s="55"/>
      <c r="J326" s="55"/>
      <c r="K326" s="55"/>
      <c r="L326" s="55"/>
      <c r="M326" s="55"/>
      <c r="N326" s="55"/>
      <c r="O326" s="55"/>
      <c r="P326" s="55"/>
      <c r="Q326" s="55"/>
      <c r="R326" s="55"/>
      <c r="S326" s="55"/>
      <c r="T326" s="55"/>
      <c r="U326" s="55"/>
      <c r="V326" s="55"/>
      <c r="W326" s="55"/>
      <c r="X326" s="55"/>
      <c r="Y326" s="55"/>
      <c r="Z326" s="55"/>
      <c r="AA326" s="55"/>
      <c r="AB326" s="55"/>
      <c r="AC326" s="55"/>
    </row>
    <row r="327">
      <c r="A327" s="53"/>
      <c r="B327" s="53"/>
      <c r="C327" s="55"/>
      <c r="D327" s="55"/>
      <c r="E327" s="55"/>
      <c r="F327" s="55"/>
      <c r="G327" s="55"/>
      <c r="H327" s="181"/>
      <c r="I327" s="55"/>
      <c r="J327" s="55"/>
      <c r="K327" s="55"/>
      <c r="L327" s="55"/>
      <c r="M327" s="55"/>
      <c r="N327" s="55"/>
      <c r="O327" s="55"/>
      <c r="P327" s="55"/>
      <c r="Q327" s="55"/>
      <c r="R327" s="55"/>
      <c r="S327" s="55"/>
      <c r="T327" s="55"/>
      <c r="U327" s="55"/>
      <c r="V327" s="55"/>
      <c r="W327" s="55"/>
      <c r="X327" s="55"/>
      <c r="Y327" s="55"/>
      <c r="Z327" s="55"/>
      <c r="AA327" s="55"/>
      <c r="AB327" s="55"/>
      <c r="AC327" s="55"/>
    </row>
    <row r="328">
      <c r="A328" s="53"/>
      <c r="B328" s="53"/>
      <c r="C328" s="55"/>
      <c r="D328" s="55"/>
      <c r="E328" s="55"/>
      <c r="F328" s="55"/>
      <c r="G328" s="55"/>
      <c r="H328" s="181"/>
      <c r="I328" s="55"/>
      <c r="J328" s="55"/>
      <c r="K328" s="55"/>
      <c r="L328" s="55"/>
      <c r="M328" s="55"/>
      <c r="N328" s="55"/>
      <c r="O328" s="55"/>
      <c r="P328" s="55"/>
      <c r="Q328" s="55"/>
      <c r="R328" s="55"/>
      <c r="S328" s="55"/>
      <c r="T328" s="55"/>
      <c r="U328" s="55"/>
      <c r="V328" s="55"/>
      <c r="W328" s="55"/>
      <c r="X328" s="55"/>
      <c r="Y328" s="55"/>
      <c r="Z328" s="55"/>
      <c r="AA328" s="55"/>
      <c r="AB328" s="55"/>
      <c r="AC328" s="55"/>
    </row>
    <row r="329">
      <c r="A329" s="53"/>
      <c r="B329" s="53"/>
      <c r="C329" s="55"/>
      <c r="D329" s="55"/>
      <c r="E329" s="55"/>
      <c r="F329" s="55"/>
      <c r="G329" s="55"/>
      <c r="H329" s="181"/>
      <c r="I329" s="55"/>
      <c r="J329" s="55"/>
      <c r="K329" s="55"/>
      <c r="L329" s="55"/>
      <c r="M329" s="55"/>
      <c r="N329" s="55"/>
      <c r="O329" s="55"/>
      <c r="P329" s="55"/>
      <c r="Q329" s="55"/>
      <c r="R329" s="55"/>
      <c r="S329" s="55"/>
      <c r="T329" s="55"/>
      <c r="U329" s="55"/>
      <c r="V329" s="55"/>
      <c r="W329" s="55"/>
      <c r="X329" s="55"/>
      <c r="Y329" s="55"/>
      <c r="Z329" s="55"/>
      <c r="AA329" s="55"/>
      <c r="AB329" s="55"/>
      <c r="AC329" s="55"/>
    </row>
    <row r="330">
      <c r="A330" s="53"/>
      <c r="B330" s="53"/>
      <c r="C330" s="55"/>
      <c r="D330" s="55"/>
      <c r="E330" s="55"/>
      <c r="F330" s="55"/>
      <c r="G330" s="55"/>
      <c r="H330" s="181"/>
      <c r="I330" s="55"/>
      <c r="J330" s="55"/>
      <c r="K330" s="55"/>
      <c r="L330" s="55"/>
      <c r="M330" s="55"/>
      <c r="N330" s="55"/>
      <c r="O330" s="55"/>
      <c r="P330" s="55"/>
      <c r="Q330" s="55"/>
      <c r="R330" s="55"/>
      <c r="S330" s="55"/>
      <c r="T330" s="55"/>
      <c r="U330" s="55"/>
      <c r="V330" s="55"/>
      <c r="W330" s="55"/>
      <c r="X330" s="55"/>
      <c r="Y330" s="55"/>
      <c r="Z330" s="55"/>
      <c r="AA330" s="55"/>
      <c r="AB330" s="55"/>
      <c r="AC330" s="55"/>
    </row>
    <row r="331">
      <c r="A331" s="53"/>
      <c r="B331" s="53"/>
      <c r="C331" s="55"/>
      <c r="D331" s="55"/>
      <c r="E331" s="55"/>
      <c r="F331" s="55"/>
      <c r="G331" s="55"/>
      <c r="H331" s="181"/>
      <c r="I331" s="55"/>
      <c r="J331" s="55"/>
      <c r="K331" s="55"/>
      <c r="L331" s="55"/>
      <c r="M331" s="55"/>
      <c r="N331" s="55"/>
      <c r="O331" s="55"/>
      <c r="P331" s="55"/>
      <c r="Q331" s="55"/>
      <c r="R331" s="55"/>
      <c r="S331" s="55"/>
      <c r="T331" s="55"/>
      <c r="U331" s="55"/>
      <c r="V331" s="55"/>
      <c r="W331" s="55"/>
      <c r="X331" s="55"/>
      <c r="Y331" s="55"/>
      <c r="Z331" s="55"/>
      <c r="AA331" s="55"/>
      <c r="AB331" s="55"/>
      <c r="AC331" s="55"/>
    </row>
    <row r="332">
      <c r="A332" s="53"/>
      <c r="B332" s="53"/>
      <c r="C332" s="55"/>
      <c r="D332" s="55"/>
      <c r="E332" s="55"/>
      <c r="F332" s="55"/>
      <c r="G332" s="55"/>
      <c r="H332" s="181"/>
      <c r="I332" s="55"/>
      <c r="J332" s="55"/>
      <c r="K332" s="55"/>
      <c r="L332" s="55"/>
      <c r="M332" s="55"/>
      <c r="N332" s="55"/>
      <c r="O332" s="55"/>
      <c r="P332" s="55"/>
      <c r="Q332" s="55"/>
      <c r="R332" s="55"/>
      <c r="S332" s="55"/>
      <c r="T332" s="55"/>
      <c r="U332" s="55"/>
      <c r="V332" s="55"/>
      <c r="W332" s="55"/>
      <c r="X332" s="55"/>
      <c r="Y332" s="55"/>
      <c r="Z332" s="55"/>
      <c r="AA332" s="55"/>
      <c r="AB332" s="55"/>
      <c r="AC332" s="55"/>
    </row>
    <row r="333">
      <c r="A333" s="53"/>
      <c r="B333" s="53"/>
      <c r="C333" s="55"/>
      <c r="D333" s="55"/>
      <c r="E333" s="55"/>
      <c r="F333" s="55"/>
      <c r="G333" s="55"/>
      <c r="H333" s="181"/>
      <c r="I333" s="55"/>
      <c r="J333" s="55"/>
      <c r="K333" s="55"/>
      <c r="L333" s="55"/>
      <c r="M333" s="55"/>
      <c r="N333" s="55"/>
      <c r="O333" s="55"/>
      <c r="P333" s="55"/>
      <c r="Q333" s="55"/>
      <c r="R333" s="55"/>
      <c r="S333" s="55"/>
      <c r="T333" s="55"/>
      <c r="U333" s="55"/>
      <c r="V333" s="55"/>
      <c r="W333" s="55"/>
      <c r="X333" s="55"/>
      <c r="Y333" s="55"/>
      <c r="Z333" s="55"/>
      <c r="AA333" s="55"/>
      <c r="AB333" s="55"/>
      <c r="AC333" s="55"/>
    </row>
    <row r="334">
      <c r="A334" s="53"/>
      <c r="B334" s="53"/>
      <c r="C334" s="55"/>
      <c r="D334" s="55"/>
      <c r="E334" s="55"/>
      <c r="F334" s="55"/>
      <c r="G334" s="55"/>
      <c r="H334" s="181"/>
      <c r="I334" s="55"/>
      <c r="J334" s="55"/>
      <c r="K334" s="55"/>
      <c r="L334" s="55"/>
      <c r="M334" s="55"/>
      <c r="N334" s="55"/>
      <c r="O334" s="55"/>
      <c r="P334" s="55"/>
      <c r="Q334" s="55"/>
      <c r="R334" s="55"/>
      <c r="S334" s="55"/>
      <c r="T334" s="55"/>
      <c r="U334" s="55"/>
      <c r="V334" s="55"/>
      <c r="W334" s="55"/>
      <c r="X334" s="55"/>
      <c r="Y334" s="55"/>
      <c r="Z334" s="55"/>
      <c r="AA334" s="55"/>
      <c r="AB334" s="55"/>
      <c r="AC334" s="55"/>
    </row>
    <row r="335">
      <c r="A335" s="53"/>
      <c r="B335" s="53"/>
      <c r="C335" s="55"/>
      <c r="D335" s="55"/>
      <c r="E335" s="55"/>
      <c r="F335" s="55"/>
      <c r="G335" s="55"/>
      <c r="H335" s="181"/>
      <c r="I335" s="55"/>
      <c r="J335" s="55"/>
      <c r="K335" s="55"/>
      <c r="L335" s="55"/>
      <c r="M335" s="55"/>
      <c r="N335" s="55"/>
      <c r="O335" s="55"/>
      <c r="P335" s="55"/>
      <c r="Q335" s="55"/>
      <c r="R335" s="55"/>
      <c r="S335" s="55"/>
      <c r="T335" s="55"/>
      <c r="U335" s="55"/>
      <c r="V335" s="55"/>
      <c r="W335" s="55"/>
      <c r="X335" s="55"/>
      <c r="Y335" s="55"/>
      <c r="Z335" s="55"/>
      <c r="AA335" s="55"/>
      <c r="AB335" s="55"/>
      <c r="AC335" s="55"/>
    </row>
    <row r="336">
      <c r="A336" s="53"/>
      <c r="B336" s="53"/>
      <c r="C336" s="55"/>
      <c r="D336" s="55"/>
      <c r="E336" s="55"/>
      <c r="F336" s="55"/>
      <c r="G336" s="55"/>
      <c r="H336" s="181"/>
      <c r="I336" s="55"/>
      <c r="J336" s="55"/>
      <c r="K336" s="55"/>
      <c r="L336" s="55"/>
      <c r="M336" s="55"/>
      <c r="N336" s="55"/>
      <c r="O336" s="55"/>
      <c r="P336" s="55"/>
      <c r="Q336" s="55"/>
      <c r="R336" s="55"/>
      <c r="S336" s="55"/>
      <c r="T336" s="55"/>
      <c r="U336" s="55"/>
      <c r="V336" s="55"/>
      <c r="W336" s="55"/>
      <c r="X336" s="55"/>
      <c r="Y336" s="55"/>
      <c r="Z336" s="55"/>
      <c r="AA336" s="55"/>
      <c r="AB336" s="55"/>
      <c r="AC336" s="55"/>
    </row>
    <row r="337">
      <c r="A337" s="53"/>
      <c r="B337" s="53"/>
      <c r="C337" s="55"/>
      <c r="D337" s="55"/>
      <c r="E337" s="55"/>
      <c r="F337" s="55"/>
      <c r="G337" s="55"/>
      <c r="H337" s="181"/>
      <c r="I337" s="55"/>
      <c r="J337" s="55"/>
      <c r="K337" s="55"/>
      <c r="L337" s="55"/>
      <c r="M337" s="55"/>
      <c r="N337" s="55"/>
      <c r="O337" s="55"/>
      <c r="P337" s="55"/>
      <c r="Q337" s="55"/>
      <c r="R337" s="55"/>
      <c r="S337" s="55"/>
      <c r="T337" s="55"/>
      <c r="U337" s="55"/>
      <c r="V337" s="55"/>
      <c r="W337" s="55"/>
      <c r="X337" s="55"/>
      <c r="Y337" s="55"/>
      <c r="Z337" s="55"/>
      <c r="AA337" s="55"/>
      <c r="AB337" s="55"/>
      <c r="AC337" s="55"/>
    </row>
    <row r="338">
      <c r="A338" s="53"/>
      <c r="B338" s="53"/>
      <c r="C338" s="55"/>
      <c r="D338" s="55"/>
      <c r="E338" s="55"/>
      <c r="F338" s="55"/>
      <c r="G338" s="55"/>
      <c r="H338" s="181"/>
      <c r="I338" s="55"/>
      <c r="J338" s="55"/>
      <c r="K338" s="55"/>
      <c r="L338" s="55"/>
      <c r="M338" s="55"/>
      <c r="N338" s="55"/>
      <c r="O338" s="55"/>
      <c r="P338" s="55"/>
      <c r="Q338" s="55"/>
      <c r="R338" s="55"/>
      <c r="S338" s="55"/>
      <c r="T338" s="55"/>
      <c r="U338" s="55"/>
      <c r="V338" s="55"/>
      <c r="W338" s="55"/>
      <c r="X338" s="55"/>
      <c r="Y338" s="55"/>
      <c r="Z338" s="55"/>
      <c r="AA338" s="55"/>
      <c r="AB338" s="55"/>
      <c r="AC338" s="55"/>
    </row>
    <row r="339">
      <c r="A339" s="53"/>
      <c r="B339" s="53"/>
      <c r="C339" s="55"/>
      <c r="D339" s="55"/>
      <c r="E339" s="55"/>
      <c r="F339" s="55"/>
      <c r="G339" s="55"/>
      <c r="H339" s="181"/>
      <c r="I339" s="55"/>
      <c r="J339" s="55"/>
      <c r="K339" s="55"/>
      <c r="L339" s="55"/>
      <c r="M339" s="55"/>
      <c r="N339" s="55"/>
      <c r="O339" s="55"/>
      <c r="P339" s="55"/>
      <c r="Q339" s="55"/>
      <c r="R339" s="55"/>
      <c r="S339" s="55"/>
      <c r="T339" s="55"/>
      <c r="U339" s="55"/>
      <c r="V339" s="55"/>
      <c r="W339" s="55"/>
      <c r="X339" s="55"/>
      <c r="Y339" s="55"/>
      <c r="Z339" s="55"/>
      <c r="AA339" s="55"/>
      <c r="AB339" s="55"/>
      <c r="AC339" s="55"/>
    </row>
    <row r="340">
      <c r="A340" s="53"/>
      <c r="B340" s="53"/>
      <c r="C340" s="55"/>
      <c r="D340" s="55"/>
      <c r="E340" s="55"/>
      <c r="F340" s="55"/>
      <c r="G340" s="55"/>
      <c r="H340" s="181"/>
      <c r="I340" s="55"/>
      <c r="J340" s="55"/>
      <c r="K340" s="55"/>
      <c r="L340" s="55"/>
      <c r="M340" s="55"/>
      <c r="N340" s="55"/>
      <c r="O340" s="55"/>
      <c r="P340" s="55"/>
      <c r="Q340" s="55"/>
      <c r="R340" s="55"/>
      <c r="S340" s="55"/>
      <c r="T340" s="55"/>
      <c r="U340" s="55"/>
      <c r="V340" s="55"/>
      <c r="W340" s="55"/>
      <c r="X340" s="55"/>
      <c r="Y340" s="55"/>
      <c r="Z340" s="55"/>
      <c r="AA340" s="55"/>
      <c r="AB340" s="55"/>
      <c r="AC340" s="55"/>
    </row>
    <row r="341">
      <c r="A341" s="53"/>
      <c r="B341" s="53"/>
      <c r="C341" s="55"/>
      <c r="D341" s="55"/>
      <c r="E341" s="55"/>
      <c r="F341" s="55"/>
      <c r="G341" s="55"/>
      <c r="H341" s="181"/>
      <c r="I341" s="55"/>
      <c r="J341" s="55"/>
      <c r="K341" s="55"/>
      <c r="L341" s="55"/>
      <c r="M341" s="55"/>
      <c r="N341" s="55"/>
      <c r="O341" s="55"/>
      <c r="P341" s="55"/>
      <c r="Q341" s="55"/>
      <c r="R341" s="55"/>
      <c r="S341" s="55"/>
      <c r="T341" s="55"/>
      <c r="U341" s="55"/>
      <c r="V341" s="55"/>
      <c r="W341" s="55"/>
      <c r="X341" s="55"/>
      <c r="Y341" s="55"/>
      <c r="Z341" s="55"/>
      <c r="AA341" s="55"/>
      <c r="AB341" s="55"/>
      <c r="AC341" s="55"/>
    </row>
    <row r="342">
      <c r="A342" s="53"/>
      <c r="B342" s="53"/>
      <c r="C342" s="55"/>
      <c r="D342" s="55"/>
      <c r="E342" s="55"/>
      <c r="F342" s="55"/>
      <c r="G342" s="55"/>
      <c r="H342" s="181"/>
      <c r="I342" s="55"/>
      <c r="J342" s="55"/>
      <c r="K342" s="55"/>
      <c r="L342" s="55"/>
      <c r="M342" s="55"/>
      <c r="N342" s="55"/>
      <c r="O342" s="55"/>
      <c r="P342" s="55"/>
      <c r="Q342" s="55"/>
      <c r="R342" s="55"/>
      <c r="S342" s="55"/>
      <c r="T342" s="55"/>
      <c r="U342" s="55"/>
      <c r="V342" s="55"/>
      <c r="W342" s="55"/>
      <c r="X342" s="55"/>
      <c r="Y342" s="55"/>
      <c r="Z342" s="55"/>
      <c r="AA342" s="55"/>
      <c r="AB342" s="55"/>
      <c r="AC342" s="55"/>
    </row>
    <row r="343">
      <c r="A343" s="53"/>
      <c r="B343" s="53"/>
      <c r="C343" s="55"/>
      <c r="D343" s="55"/>
      <c r="E343" s="55"/>
      <c r="F343" s="55"/>
      <c r="G343" s="55"/>
      <c r="H343" s="181"/>
      <c r="I343" s="55"/>
      <c r="J343" s="55"/>
      <c r="K343" s="55"/>
      <c r="L343" s="55"/>
      <c r="M343" s="55"/>
      <c r="N343" s="55"/>
      <c r="O343" s="55"/>
      <c r="P343" s="55"/>
      <c r="Q343" s="55"/>
      <c r="R343" s="55"/>
      <c r="S343" s="55"/>
      <c r="T343" s="55"/>
      <c r="U343" s="55"/>
      <c r="V343" s="55"/>
      <c r="W343" s="55"/>
      <c r="X343" s="55"/>
      <c r="Y343" s="55"/>
      <c r="Z343" s="55"/>
      <c r="AA343" s="55"/>
      <c r="AB343" s="55"/>
      <c r="AC343" s="55"/>
    </row>
    <row r="344">
      <c r="A344" s="53"/>
      <c r="B344" s="53"/>
      <c r="C344" s="55"/>
      <c r="D344" s="55"/>
      <c r="E344" s="55"/>
      <c r="F344" s="55"/>
      <c r="G344" s="55"/>
      <c r="H344" s="181"/>
      <c r="I344" s="55"/>
      <c r="J344" s="55"/>
      <c r="K344" s="55"/>
      <c r="L344" s="55"/>
      <c r="M344" s="55"/>
      <c r="N344" s="55"/>
      <c r="O344" s="55"/>
      <c r="P344" s="55"/>
      <c r="Q344" s="55"/>
      <c r="R344" s="55"/>
      <c r="S344" s="55"/>
      <c r="T344" s="55"/>
      <c r="U344" s="55"/>
      <c r="V344" s="55"/>
      <c r="W344" s="55"/>
      <c r="X344" s="55"/>
      <c r="Y344" s="55"/>
      <c r="Z344" s="55"/>
      <c r="AA344" s="55"/>
      <c r="AB344" s="55"/>
      <c r="AC344" s="55"/>
    </row>
    <row r="345">
      <c r="A345" s="53"/>
      <c r="B345" s="53"/>
      <c r="C345" s="55"/>
      <c r="D345" s="55"/>
      <c r="E345" s="55"/>
      <c r="F345" s="55"/>
      <c r="G345" s="55"/>
      <c r="H345" s="181"/>
      <c r="I345" s="55"/>
      <c r="J345" s="55"/>
      <c r="K345" s="55"/>
      <c r="L345" s="55"/>
      <c r="M345" s="55"/>
      <c r="N345" s="55"/>
      <c r="O345" s="55"/>
      <c r="P345" s="55"/>
      <c r="Q345" s="55"/>
      <c r="R345" s="55"/>
      <c r="S345" s="55"/>
      <c r="T345" s="55"/>
      <c r="U345" s="55"/>
      <c r="V345" s="55"/>
      <c r="W345" s="55"/>
      <c r="X345" s="55"/>
      <c r="Y345" s="55"/>
      <c r="Z345" s="55"/>
      <c r="AA345" s="55"/>
      <c r="AB345" s="55"/>
      <c r="AC345" s="55"/>
    </row>
    <row r="346">
      <c r="A346" s="53"/>
      <c r="B346" s="53"/>
      <c r="C346" s="55"/>
      <c r="D346" s="55"/>
      <c r="E346" s="55"/>
      <c r="F346" s="55"/>
      <c r="G346" s="55"/>
      <c r="H346" s="181"/>
      <c r="I346" s="55"/>
      <c r="J346" s="55"/>
      <c r="K346" s="55"/>
      <c r="L346" s="55"/>
      <c r="M346" s="55"/>
      <c r="N346" s="55"/>
      <c r="O346" s="55"/>
      <c r="P346" s="55"/>
      <c r="Q346" s="55"/>
      <c r="R346" s="55"/>
      <c r="S346" s="55"/>
      <c r="T346" s="55"/>
      <c r="U346" s="55"/>
      <c r="V346" s="55"/>
      <c r="W346" s="55"/>
      <c r="X346" s="55"/>
      <c r="Y346" s="55"/>
      <c r="Z346" s="55"/>
      <c r="AA346" s="55"/>
      <c r="AB346" s="55"/>
      <c r="AC346" s="55"/>
    </row>
    <row r="347">
      <c r="A347" s="53"/>
      <c r="B347" s="53"/>
      <c r="C347" s="55"/>
      <c r="D347" s="55"/>
      <c r="E347" s="55"/>
      <c r="F347" s="55"/>
      <c r="G347" s="55"/>
      <c r="H347" s="181"/>
      <c r="I347" s="55"/>
      <c r="J347" s="55"/>
      <c r="K347" s="55"/>
      <c r="L347" s="55"/>
      <c r="M347" s="55"/>
      <c r="N347" s="55"/>
      <c r="O347" s="55"/>
      <c r="P347" s="55"/>
      <c r="Q347" s="55"/>
      <c r="R347" s="55"/>
      <c r="S347" s="55"/>
      <c r="T347" s="55"/>
      <c r="U347" s="55"/>
      <c r="V347" s="55"/>
      <c r="W347" s="55"/>
      <c r="X347" s="55"/>
      <c r="Y347" s="55"/>
      <c r="Z347" s="55"/>
      <c r="AA347" s="55"/>
      <c r="AB347" s="55"/>
      <c r="AC347" s="55"/>
    </row>
    <row r="348">
      <c r="A348" s="53"/>
      <c r="B348" s="53"/>
      <c r="C348" s="55"/>
      <c r="D348" s="55"/>
      <c r="E348" s="55"/>
      <c r="F348" s="55"/>
      <c r="G348" s="55"/>
      <c r="H348" s="181"/>
      <c r="I348" s="55"/>
      <c r="J348" s="55"/>
      <c r="K348" s="55"/>
      <c r="L348" s="55"/>
      <c r="M348" s="55"/>
      <c r="N348" s="55"/>
      <c r="O348" s="55"/>
      <c r="P348" s="55"/>
      <c r="Q348" s="55"/>
      <c r="R348" s="55"/>
      <c r="S348" s="55"/>
      <c r="T348" s="55"/>
      <c r="U348" s="55"/>
      <c r="V348" s="55"/>
      <c r="W348" s="55"/>
      <c r="X348" s="55"/>
      <c r="Y348" s="55"/>
      <c r="Z348" s="55"/>
      <c r="AA348" s="55"/>
      <c r="AB348" s="55"/>
      <c r="AC348" s="55"/>
    </row>
    <row r="349">
      <c r="A349" s="53"/>
      <c r="B349" s="53"/>
      <c r="C349" s="55"/>
      <c r="D349" s="55"/>
      <c r="E349" s="55"/>
      <c r="F349" s="55"/>
      <c r="G349" s="55"/>
      <c r="H349" s="181"/>
      <c r="I349" s="55"/>
      <c r="J349" s="55"/>
      <c r="K349" s="55"/>
      <c r="L349" s="55"/>
      <c r="M349" s="55"/>
      <c r="N349" s="55"/>
      <c r="O349" s="55"/>
      <c r="P349" s="55"/>
      <c r="Q349" s="55"/>
      <c r="R349" s="55"/>
      <c r="S349" s="55"/>
      <c r="T349" s="55"/>
      <c r="U349" s="55"/>
      <c r="V349" s="55"/>
      <c r="W349" s="55"/>
      <c r="X349" s="55"/>
      <c r="Y349" s="55"/>
      <c r="Z349" s="55"/>
      <c r="AA349" s="55"/>
      <c r="AB349" s="55"/>
      <c r="AC349" s="55"/>
    </row>
    <row r="350">
      <c r="A350" s="53"/>
      <c r="B350" s="53"/>
      <c r="C350" s="55"/>
      <c r="D350" s="55"/>
      <c r="E350" s="55"/>
      <c r="F350" s="55"/>
      <c r="G350" s="55"/>
      <c r="H350" s="181"/>
      <c r="I350" s="55"/>
      <c r="J350" s="55"/>
      <c r="K350" s="55"/>
      <c r="L350" s="55"/>
      <c r="M350" s="55"/>
      <c r="N350" s="55"/>
      <c r="O350" s="55"/>
      <c r="P350" s="55"/>
      <c r="Q350" s="55"/>
      <c r="R350" s="55"/>
      <c r="S350" s="55"/>
      <c r="T350" s="55"/>
      <c r="U350" s="55"/>
      <c r="V350" s="55"/>
      <c r="W350" s="55"/>
      <c r="X350" s="55"/>
      <c r="Y350" s="55"/>
      <c r="Z350" s="55"/>
      <c r="AA350" s="55"/>
      <c r="AB350" s="55"/>
      <c r="AC350" s="55"/>
    </row>
    <row r="351">
      <c r="A351" s="53"/>
      <c r="B351" s="53"/>
      <c r="C351" s="55"/>
      <c r="D351" s="55"/>
      <c r="E351" s="55"/>
      <c r="F351" s="55"/>
      <c r="G351" s="55"/>
      <c r="H351" s="181"/>
      <c r="I351" s="55"/>
      <c r="J351" s="55"/>
      <c r="K351" s="55"/>
      <c r="L351" s="55"/>
      <c r="M351" s="55"/>
      <c r="N351" s="55"/>
      <c r="O351" s="55"/>
      <c r="P351" s="55"/>
      <c r="Q351" s="55"/>
      <c r="R351" s="55"/>
      <c r="S351" s="55"/>
      <c r="T351" s="55"/>
      <c r="U351" s="55"/>
      <c r="V351" s="55"/>
      <c r="W351" s="55"/>
      <c r="X351" s="55"/>
      <c r="Y351" s="55"/>
      <c r="Z351" s="55"/>
      <c r="AA351" s="55"/>
      <c r="AB351" s="55"/>
      <c r="AC351" s="55"/>
    </row>
    <row r="352">
      <c r="A352" s="53"/>
      <c r="B352" s="53"/>
      <c r="C352" s="55"/>
      <c r="D352" s="55"/>
      <c r="E352" s="55"/>
      <c r="F352" s="55"/>
      <c r="G352" s="55"/>
      <c r="H352" s="181"/>
      <c r="I352" s="55"/>
      <c r="J352" s="55"/>
      <c r="K352" s="55"/>
      <c r="L352" s="55"/>
      <c r="M352" s="55"/>
      <c r="N352" s="55"/>
      <c r="O352" s="55"/>
      <c r="P352" s="55"/>
      <c r="Q352" s="55"/>
      <c r="R352" s="55"/>
      <c r="S352" s="55"/>
      <c r="T352" s="55"/>
      <c r="U352" s="55"/>
      <c r="V352" s="55"/>
      <c r="W352" s="55"/>
      <c r="X352" s="55"/>
      <c r="Y352" s="55"/>
      <c r="Z352" s="55"/>
      <c r="AA352" s="55"/>
      <c r="AB352" s="55"/>
      <c r="AC352" s="55"/>
    </row>
    <row r="353">
      <c r="A353" s="53"/>
      <c r="B353" s="53"/>
      <c r="C353" s="55"/>
      <c r="D353" s="55"/>
      <c r="E353" s="55"/>
      <c r="F353" s="55"/>
      <c r="G353" s="55"/>
      <c r="H353" s="181"/>
      <c r="I353" s="55"/>
      <c r="J353" s="55"/>
      <c r="K353" s="55"/>
      <c r="L353" s="55"/>
      <c r="M353" s="55"/>
      <c r="N353" s="55"/>
      <c r="O353" s="55"/>
      <c r="P353" s="55"/>
      <c r="Q353" s="55"/>
      <c r="R353" s="55"/>
      <c r="S353" s="55"/>
      <c r="T353" s="55"/>
      <c r="U353" s="55"/>
      <c r="V353" s="55"/>
      <c r="W353" s="55"/>
      <c r="X353" s="55"/>
      <c r="Y353" s="55"/>
      <c r="Z353" s="55"/>
      <c r="AA353" s="55"/>
      <c r="AB353" s="55"/>
      <c r="AC353" s="55"/>
    </row>
    <row r="354">
      <c r="A354" s="53"/>
      <c r="B354" s="53"/>
      <c r="C354" s="55"/>
      <c r="D354" s="55"/>
      <c r="E354" s="55"/>
      <c r="F354" s="55"/>
      <c r="G354" s="55"/>
      <c r="H354" s="181"/>
      <c r="I354" s="55"/>
      <c r="J354" s="55"/>
      <c r="K354" s="55"/>
      <c r="L354" s="55"/>
      <c r="M354" s="55"/>
      <c r="N354" s="55"/>
      <c r="O354" s="55"/>
      <c r="P354" s="55"/>
      <c r="Q354" s="55"/>
      <c r="R354" s="55"/>
      <c r="S354" s="55"/>
      <c r="T354" s="55"/>
      <c r="U354" s="55"/>
      <c r="V354" s="55"/>
      <c r="W354" s="55"/>
      <c r="X354" s="55"/>
      <c r="Y354" s="55"/>
      <c r="Z354" s="55"/>
      <c r="AA354" s="55"/>
      <c r="AB354" s="55"/>
      <c r="AC354" s="55"/>
    </row>
    <row r="355">
      <c r="A355" s="53"/>
      <c r="B355" s="53"/>
      <c r="C355" s="55"/>
      <c r="D355" s="55"/>
      <c r="E355" s="55"/>
      <c r="F355" s="55"/>
      <c r="G355" s="55"/>
      <c r="H355" s="181"/>
      <c r="I355" s="55"/>
      <c r="J355" s="55"/>
      <c r="K355" s="55"/>
      <c r="L355" s="55"/>
      <c r="M355" s="55"/>
      <c r="N355" s="55"/>
      <c r="O355" s="55"/>
      <c r="P355" s="55"/>
      <c r="Q355" s="55"/>
      <c r="R355" s="55"/>
      <c r="S355" s="55"/>
      <c r="T355" s="55"/>
      <c r="U355" s="55"/>
      <c r="V355" s="55"/>
      <c r="W355" s="55"/>
      <c r="X355" s="55"/>
      <c r="Y355" s="55"/>
      <c r="Z355" s="55"/>
      <c r="AA355" s="55"/>
      <c r="AB355" s="55"/>
      <c r="AC355" s="55"/>
    </row>
    <row r="356">
      <c r="A356" s="53"/>
      <c r="B356" s="53"/>
      <c r="C356" s="55"/>
      <c r="D356" s="55"/>
      <c r="E356" s="55"/>
      <c r="F356" s="55"/>
      <c r="G356" s="55"/>
      <c r="H356" s="181"/>
      <c r="I356" s="55"/>
      <c r="J356" s="55"/>
      <c r="K356" s="55"/>
      <c r="L356" s="55"/>
      <c r="M356" s="55"/>
      <c r="N356" s="55"/>
      <c r="O356" s="55"/>
      <c r="P356" s="55"/>
      <c r="Q356" s="55"/>
      <c r="R356" s="55"/>
      <c r="S356" s="55"/>
      <c r="T356" s="55"/>
      <c r="U356" s="55"/>
      <c r="V356" s="55"/>
      <c r="W356" s="55"/>
      <c r="X356" s="55"/>
      <c r="Y356" s="55"/>
      <c r="Z356" s="55"/>
      <c r="AA356" s="55"/>
      <c r="AB356" s="55"/>
      <c r="AC356" s="55"/>
    </row>
    <row r="357">
      <c r="A357" s="53"/>
      <c r="B357" s="53"/>
      <c r="C357" s="55"/>
      <c r="D357" s="55"/>
      <c r="E357" s="55"/>
      <c r="F357" s="55"/>
      <c r="G357" s="55"/>
      <c r="H357" s="181"/>
      <c r="I357" s="55"/>
      <c r="J357" s="55"/>
      <c r="K357" s="55"/>
      <c r="L357" s="55"/>
      <c r="M357" s="55"/>
      <c r="N357" s="55"/>
      <c r="O357" s="55"/>
      <c r="P357" s="55"/>
      <c r="Q357" s="55"/>
      <c r="R357" s="55"/>
      <c r="S357" s="55"/>
      <c r="T357" s="55"/>
      <c r="U357" s="55"/>
      <c r="V357" s="55"/>
      <c r="W357" s="55"/>
      <c r="X357" s="55"/>
      <c r="Y357" s="55"/>
      <c r="Z357" s="55"/>
      <c r="AA357" s="55"/>
      <c r="AB357" s="55"/>
      <c r="AC357" s="55"/>
    </row>
    <row r="358">
      <c r="A358" s="53"/>
      <c r="B358" s="53"/>
      <c r="C358" s="55"/>
      <c r="D358" s="55"/>
      <c r="E358" s="55"/>
      <c r="F358" s="55"/>
      <c r="G358" s="55"/>
      <c r="H358" s="181"/>
      <c r="I358" s="55"/>
      <c r="J358" s="55"/>
      <c r="K358" s="55"/>
      <c r="L358" s="55"/>
      <c r="M358" s="55"/>
      <c r="N358" s="55"/>
      <c r="O358" s="55"/>
      <c r="P358" s="55"/>
      <c r="Q358" s="55"/>
      <c r="R358" s="55"/>
      <c r="S358" s="55"/>
      <c r="T358" s="55"/>
      <c r="U358" s="55"/>
      <c r="V358" s="55"/>
      <c r="W358" s="55"/>
      <c r="X358" s="55"/>
      <c r="Y358" s="55"/>
      <c r="Z358" s="55"/>
      <c r="AA358" s="55"/>
      <c r="AB358" s="55"/>
      <c r="AC358" s="55"/>
    </row>
    <row r="359">
      <c r="A359" s="53"/>
      <c r="B359" s="53"/>
      <c r="C359" s="55"/>
      <c r="D359" s="55"/>
      <c r="E359" s="55"/>
      <c r="F359" s="55"/>
      <c r="G359" s="55"/>
      <c r="H359" s="181"/>
      <c r="I359" s="55"/>
      <c r="J359" s="55"/>
      <c r="K359" s="55"/>
      <c r="L359" s="55"/>
      <c r="M359" s="55"/>
      <c r="N359" s="55"/>
      <c r="O359" s="55"/>
      <c r="P359" s="55"/>
      <c r="Q359" s="55"/>
      <c r="R359" s="55"/>
      <c r="S359" s="55"/>
      <c r="T359" s="55"/>
      <c r="U359" s="55"/>
      <c r="V359" s="55"/>
      <c r="W359" s="55"/>
      <c r="X359" s="55"/>
      <c r="Y359" s="55"/>
      <c r="Z359" s="55"/>
      <c r="AA359" s="55"/>
      <c r="AB359" s="55"/>
      <c r="AC359" s="55"/>
    </row>
    <row r="360">
      <c r="A360" s="53"/>
      <c r="B360" s="53"/>
      <c r="C360" s="55"/>
      <c r="D360" s="55"/>
      <c r="E360" s="55"/>
      <c r="F360" s="55"/>
      <c r="G360" s="55"/>
      <c r="H360" s="181"/>
      <c r="I360" s="55"/>
      <c r="J360" s="55"/>
      <c r="K360" s="55"/>
      <c r="L360" s="55"/>
      <c r="M360" s="55"/>
      <c r="N360" s="55"/>
      <c r="O360" s="55"/>
      <c r="P360" s="55"/>
      <c r="Q360" s="55"/>
      <c r="R360" s="55"/>
      <c r="S360" s="55"/>
      <c r="T360" s="55"/>
      <c r="U360" s="55"/>
      <c r="V360" s="55"/>
      <c r="W360" s="55"/>
      <c r="X360" s="55"/>
      <c r="Y360" s="55"/>
      <c r="Z360" s="55"/>
      <c r="AA360" s="55"/>
      <c r="AB360" s="55"/>
      <c r="AC360" s="55"/>
    </row>
    <row r="361">
      <c r="A361" s="53"/>
      <c r="B361" s="53"/>
      <c r="C361" s="55"/>
      <c r="D361" s="55"/>
      <c r="E361" s="55"/>
      <c r="F361" s="55"/>
      <c r="G361" s="55"/>
      <c r="H361" s="181"/>
      <c r="I361" s="55"/>
      <c r="J361" s="55"/>
      <c r="K361" s="55"/>
      <c r="L361" s="55"/>
      <c r="M361" s="55"/>
      <c r="N361" s="55"/>
      <c r="O361" s="55"/>
      <c r="P361" s="55"/>
      <c r="Q361" s="55"/>
      <c r="R361" s="55"/>
      <c r="S361" s="55"/>
      <c r="T361" s="55"/>
      <c r="U361" s="55"/>
      <c r="V361" s="55"/>
      <c r="W361" s="55"/>
      <c r="X361" s="55"/>
      <c r="Y361" s="55"/>
      <c r="Z361" s="55"/>
      <c r="AA361" s="55"/>
      <c r="AB361" s="55"/>
      <c r="AC361" s="55"/>
    </row>
    <row r="362">
      <c r="A362" s="53"/>
      <c r="B362" s="53"/>
      <c r="C362" s="55"/>
      <c r="D362" s="55"/>
      <c r="E362" s="55"/>
      <c r="F362" s="55"/>
      <c r="G362" s="55"/>
      <c r="H362" s="181"/>
      <c r="I362" s="55"/>
      <c r="J362" s="55"/>
      <c r="K362" s="55"/>
      <c r="L362" s="55"/>
      <c r="M362" s="55"/>
      <c r="N362" s="55"/>
      <c r="O362" s="55"/>
      <c r="P362" s="55"/>
      <c r="Q362" s="55"/>
      <c r="R362" s="55"/>
      <c r="S362" s="55"/>
      <c r="T362" s="55"/>
      <c r="U362" s="55"/>
      <c r="V362" s="55"/>
      <c r="W362" s="55"/>
      <c r="X362" s="55"/>
      <c r="Y362" s="55"/>
      <c r="Z362" s="55"/>
      <c r="AA362" s="55"/>
      <c r="AB362" s="55"/>
      <c r="AC362" s="55"/>
    </row>
    <row r="363">
      <c r="A363" s="53"/>
      <c r="B363" s="53"/>
      <c r="C363" s="55"/>
      <c r="D363" s="55"/>
      <c r="E363" s="55"/>
      <c r="F363" s="55"/>
      <c r="G363" s="55"/>
      <c r="H363" s="181"/>
      <c r="I363" s="55"/>
      <c r="J363" s="55"/>
      <c r="K363" s="55"/>
      <c r="L363" s="55"/>
      <c r="M363" s="55"/>
      <c r="N363" s="55"/>
      <c r="O363" s="55"/>
      <c r="P363" s="55"/>
      <c r="Q363" s="55"/>
      <c r="R363" s="55"/>
      <c r="S363" s="55"/>
      <c r="T363" s="55"/>
      <c r="U363" s="55"/>
      <c r="V363" s="55"/>
      <c r="W363" s="55"/>
      <c r="X363" s="55"/>
      <c r="Y363" s="55"/>
      <c r="Z363" s="55"/>
      <c r="AA363" s="55"/>
      <c r="AB363" s="55"/>
      <c r="AC363" s="55"/>
    </row>
    <row r="364">
      <c r="A364" s="53"/>
      <c r="B364" s="53"/>
      <c r="C364" s="55"/>
      <c r="D364" s="55"/>
      <c r="E364" s="55"/>
      <c r="F364" s="55"/>
      <c r="G364" s="55"/>
      <c r="H364" s="181"/>
      <c r="I364" s="55"/>
      <c r="J364" s="55"/>
      <c r="K364" s="55"/>
      <c r="L364" s="55"/>
      <c r="M364" s="55"/>
      <c r="N364" s="55"/>
      <c r="O364" s="55"/>
      <c r="P364" s="55"/>
      <c r="Q364" s="55"/>
      <c r="R364" s="55"/>
      <c r="S364" s="55"/>
      <c r="T364" s="55"/>
      <c r="U364" s="55"/>
      <c r="V364" s="55"/>
      <c r="W364" s="55"/>
      <c r="X364" s="55"/>
      <c r="Y364" s="55"/>
      <c r="Z364" s="55"/>
      <c r="AA364" s="55"/>
      <c r="AB364" s="55"/>
      <c r="AC364" s="55"/>
    </row>
    <row r="365">
      <c r="A365" s="53"/>
      <c r="B365" s="53"/>
      <c r="C365" s="55"/>
      <c r="D365" s="55"/>
      <c r="E365" s="55"/>
      <c r="F365" s="55"/>
      <c r="G365" s="55"/>
      <c r="H365" s="181"/>
      <c r="I365" s="55"/>
      <c r="J365" s="55"/>
      <c r="K365" s="55"/>
      <c r="L365" s="55"/>
      <c r="M365" s="55"/>
      <c r="N365" s="55"/>
      <c r="O365" s="55"/>
      <c r="P365" s="55"/>
      <c r="Q365" s="55"/>
      <c r="R365" s="55"/>
      <c r="S365" s="55"/>
      <c r="T365" s="55"/>
      <c r="U365" s="55"/>
      <c r="V365" s="55"/>
      <c r="W365" s="55"/>
      <c r="X365" s="55"/>
      <c r="Y365" s="55"/>
      <c r="Z365" s="55"/>
      <c r="AA365" s="55"/>
      <c r="AB365" s="55"/>
      <c r="AC365" s="55"/>
    </row>
    <row r="366">
      <c r="A366" s="53"/>
      <c r="B366" s="53"/>
      <c r="C366" s="55"/>
      <c r="D366" s="55"/>
      <c r="E366" s="55"/>
      <c r="F366" s="55"/>
      <c r="G366" s="55"/>
      <c r="H366" s="181"/>
      <c r="I366" s="55"/>
      <c r="J366" s="55"/>
      <c r="K366" s="55"/>
      <c r="L366" s="55"/>
      <c r="M366" s="55"/>
      <c r="N366" s="55"/>
      <c r="O366" s="55"/>
      <c r="P366" s="55"/>
      <c r="Q366" s="55"/>
      <c r="R366" s="55"/>
      <c r="S366" s="55"/>
      <c r="T366" s="55"/>
      <c r="U366" s="55"/>
      <c r="V366" s="55"/>
      <c r="W366" s="55"/>
      <c r="X366" s="55"/>
      <c r="Y366" s="55"/>
      <c r="Z366" s="55"/>
      <c r="AA366" s="55"/>
      <c r="AB366" s="55"/>
      <c r="AC366" s="55"/>
    </row>
    <row r="367">
      <c r="A367" s="53"/>
      <c r="B367" s="53"/>
      <c r="C367" s="55"/>
      <c r="D367" s="55"/>
      <c r="E367" s="55"/>
      <c r="F367" s="55"/>
      <c r="G367" s="55"/>
      <c r="H367" s="181"/>
      <c r="I367" s="55"/>
      <c r="J367" s="55"/>
      <c r="K367" s="55"/>
      <c r="L367" s="55"/>
      <c r="M367" s="55"/>
      <c r="N367" s="55"/>
      <c r="O367" s="55"/>
      <c r="P367" s="55"/>
      <c r="Q367" s="55"/>
      <c r="R367" s="55"/>
      <c r="S367" s="55"/>
      <c r="T367" s="55"/>
      <c r="U367" s="55"/>
      <c r="V367" s="55"/>
      <c r="W367" s="55"/>
      <c r="X367" s="55"/>
      <c r="Y367" s="55"/>
      <c r="Z367" s="55"/>
      <c r="AA367" s="55"/>
      <c r="AB367" s="55"/>
      <c r="AC367" s="55"/>
    </row>
    <row r="368">
      <c r="A368" s="53"/>
      <c r="B368" s="53"/>
      <c r="C368" s="55"/>
      <c r="D368" s="55"/>
      <c r="E368" s="55"/>
      <c r="F368" s="55"/>
      <c r="G368" s="55"/>
      <c r="H368" s="181"/>
      <c r="I368" s="55"/>
      <c r="J368" s="55"/>
      <c r="K368" s="55"/>
      <c r="L368" s="55"/>
      <c r="M368" s="55"/>
      <c r="N368" s="55"/>
      <c r="O368" s="55"/>
      <c r="P368" s="55"/>
      <c r="Q368" s="55"/>
      <c r="R368" s="55"/>
      <c r="S368" s="55"/>
      <c r="T368" s="55"/>
      <c r="U368" s="55"/>
      <c r="V368" s="55"/>
      <c r="W368" s="55"/>
      <c r="X368" s="55"/>
      <c r="Y368" s="55"/>
      <c r="Z368" s="55"/>
      <c r="AA368" s="55"/>
      <c r="AB368" s="55"/>
      <c r="AC368" s="55"/>
    </row>
    <row r="369">
      <c r="A369" s="53"/>
      <c r="B369" s="53"/>
      <c r="C369" s="55"/>
      <c r="D369" s="55"/>
      <c r="E369" s="55"/>
      <c r="F369" s="55"/>
      <c r="G369" s="55"/>
      <c r="H369" s="181"/>
      <c r="I369" s="55"/>
      <c r="J369" s="55"/>
      <c r="K369" s="55"/>
      <c r="L369" s="55"/>
      <c r="M369" s="55"/>
      <c r="N369" s="55"/>
      <c r="O369" s="55"/>
      <c r="P369" s="55"/>
      <c r="Q369" s="55"/>
      <c r="R369" s="55"/>
      <c r="S369" s="55"/>
      <c r="T369" s="55"/>
      <c r="U369" s="55"/>
      <c r="V369" s="55"/>
      <c r="W369" s="55"/>
      <c r="X369" s="55"/>
      <c r="Y369" s="55"/>
      <c r="Z369" s="55"/>
      <c r="AA369" s="55"/>
      <c r="AB369" s="55"/>
      <c r="AC369" s="55"/>
    </row>
    <row r="370">
      <c r="A370" s="53"/>
      <c r="B370" s="53"/>
      <c r="C370" s="55"/>
      <c r="D370" s="55"/>
      <c r="E370" s="55"/>
      <c r="F370" s="55"/>
      <c r="G370" s="55"/>
      <c r="H370" s="181"/>
      <c r="I370" s="55"/>
      <c r="J370" s="55"/>
      <c r="K370" s="55"/>
      <c r="L370" s="55"/>
      <c r="M370" s="55"/>
      <c r="N370" s="55"/>
      <c r="O370" s="55"/>
      <c r="P370" s="55"/>
      <c r="Q370" s="55"/>
      <c r="R370" s="55"/>
      <c r="S370" s="55"/>
      <c r="T370" s="55"/>
      <c r="U370" s="55"/>
      <c r="V370" s="55"/>
      <c r="W370" s="55"/>
      <c r="X370" s="55"/>
      <c r="Y370" s="55"/>
      <c r="Z370" s="55"/>
      <c r="AA370" s="55"/>
      <c r="AB370" s="55"/>
      <c r="AC370" s="55"/>
    </row>
    <row r="371">
      <c r="A371" s="53"/>
      <c r="B371" s="53"/>
      <c r="C371" s="55"/>
      <c r="D371" s="55"/>
      <c r="E371" s="55"/>
      <c r="F371" s="55"/>
      <c r="G371" s="55"/>
      <c r="H371" s="181"/>
      <c r="I371" s="55"/>
      <c r="J371" s="55"/>
      <c r="K371" s="55"/>
      <c r="L371" s="55"/>
      <c r="M371" s="55"/>
      <c r="N371" s="55"/>
      <c r="O371" s="55"/>
      <c r="P371" s="55"/>
      <c r="Q371" s="55"/>
      <c r="R371" s="55"/>
      <c r="S371" s="55"/>
      <c r="T371" s="55"/>
      <c r="U371" s="55"/>
      <c r="V371" s="55"/>
      <c r="W371" s="55"/>
      <c r="X371" s="55"/>
      <c r="Y371" s="55"/>
      <c r="Z371" s="55"/>
      <c r="AA371" s="55"/>
      <c r="AB371" s="55"/>
      <c r="AC371" s="55"/>
    </row>
    <row r="372">
      <c r="A372" s="53"/>
      <c r="B372" s="53"/>
      <c r="C372" s="55"/>
      <c r="D372" s="55"/>
      <c r="E372" s="55"/>
      <c r="F372" s="55"/>
      <c r="G372" s="55"/>
      <c r="H372" s="181"/>
      <c r="I372" s="55"/>
      <c r="J372" s="55"/>
      <c r="K372" s="55"/>
      <c r="L372" s="55"/>
      <c r="M372" s="55"/>
      <c r="N372" s="55"/>
      <c r="O372" s="55"/>
      <c r="P372" s="55"/>
      <c r="Q372" s="55"/>
      <c r="R372" s="55"/>
      <c r="S372" s="55"/>
      <c r="T372" s="55"/>
      <c r="U372" s="55"/>
      <c r="V372" s="55"/>
      <c r="W372" s="55"/>
      <c r="X372" s="55"/>
      <c r="Y372" s="55"/>
      <c r="Z372" s="55"/>
      <c r="AA372" s="55"/>
      <c r="AB372" s="55"/>
      <c r="AC372" s="55"/>
    </row>
    <row r="373">
      <c r="A373" s="53"/>
      <c r="B373" s="53"/>
      <c r="C373" s="55"/>
      <c r="D373" s="55"/>
      <c r="E373" s="55"/>
      <c r="F373" s="55"/>
      <c r="G373" s="55"/>
      <c r="H373" s="181"/>
      <c r="I373" s="55"/>
      <c r="J373" s="55"/>
      <c r="K373" s="55"/>
      <c r="L373" s="55"/>
      <c r="M373" s="55"/>
      <c r="N373" s="55"/>
      <c r="O373" s="55"/>
      <c r="P373" s="55"/>
      <c r="Q373" s="55"/>
      <c r="R373" s="55"/>
      <c r="S373" s="55"/>
      <c r="T373" s="55"/>
      <c r="U373" s="55"/>
      <c r="V373" s="55"/>
      <c r="W373" s="55"/>
      <c r="X373" s="55"/>
      <c r="Y373" s="55"/>
      <c r="Z373" s="55"/>
      <c r="AA373" s="55"/>
      <c r="AB373" s="55"/>
      <c r="AC373" s="55"/>
    </row>
    <row r="374">
      <c r="A374" s="53"/>
      <c r="B374" s="53"/>
      <c r="C374" s="55"/>
      <c r="D374" s="55"/>
      <c r="E374" s="55"/>
      <c r="F374" s="55"/>
      <c r="G374" s="55"/>
      <c r="H374" s="181"/>
      <c r="I374" s="55"/>
      <c r="J374" s="55"/>
      <c r="K374" s="55"/>
      <c r="L374" s="55"/>
      <c r="M374" s="55"/>
      <c r="N374" s="55"/>
      <c r="O374" s="55"/>
      <c r="P374" s="55"/>
      <c r="Q374" s="55"/>
      <c r="R374" s="55"/>
      <c r="S374" s="55"/>
      <c r="T374" s="55"/>
      <c r="U374" s="55"/>
      <c r="V374" s="55"/>
      <c r="W374" s="55"/>
      <c r="X374" s="55"/>
      <c r="Y374" s="55"/>
      <c r="Z374" s="55"/>
      <c r="AA374" s="55"/>
      <c r="AB374" s="55"/>
      <c r="AC374" s="55"/>
    </row>
    <row r="375">
      <c r="A375" s="53"/>
      <c r="B375" s="53"/>
      <c r="C375" s="55"/>
      <c r="D375" s="55"/>
      <c r="E375" s="55"/>
      <c r="F375" s="55"/>
      <c r="G375" s="55"/>
      <c r="H375" s="181"/>
      <c r="I375" s="55"/>
      <c r="J375" s="55"/>
      <c r="K375" s="55"/>
      <c r="L375" s="55"/>
      <c r="M375" s="55"/>
      <c r="N375" s="55"/>
      <c r="O375" s="55"/>
      <c r="P375" s="55"/>
      <c r="Q375" s="55"/>
      <c r="R375" s="55"/>
      <c r="S375" s="55"/>
      <c r="T375" s="55"/>
      <c r="U375" s="55"/>
      <c r="V375" s="55"/>
      <c r="W375" s="55"/>
      <c r="X375" s="55"/>
      <c r="Y375" s="55"/>
      <c r="Z375" s="55"/>
      <c r="AA375" s="55"/>
      <c r="AB375" s="55"/>
      <c r="AC375" s="55"/>
    </row>
    <row r="376">
      <c r="A376" s="53"/>
      <c r="B376" s="53"/>
      <c r="C376" s="55"/>
      <c r="D376" s="55"/>
      <c r="E376" s="55"/>
      <c r="F376" s="55"/>
      <c r="G376" s="55"/>
      <c r="H376" s="181"/>
      <c r="I376" s="55"/>
      <c r="J376" s="55"/>
      <c r="K376" s="55"/>
      <c r="L376" s="55"/>
      <c r="M376" s="55"/>
      <c r="N376" s="55"/>
      <c r="O376" s="55"/>
      <c r="P376" s="55"/>
      <c r="Q376" s="55"/>
      <c r="R376" s="55"/>
      <c r="S376" s="55"/>
      <c r="T376" s="55"/>
      <c r="U376" s="55"/>
      <c r="V376" s="55"/>
      <c r="W376" s="55"/>
      <c r="X376" s="55"/>
      <c r="Y376" s="55"/>
      <c r="Z376" s="55"/>
      <c r="AA376" s="55"/>
      <c r="AB376" s="55"/>
      <c r="AC376" s="55"/>
    </row>
    <row r="377">
      <c r="A377" s="53"/>
      <c r="B377" s="53"/>
      <c r="C377" s="55"/>
      <c r="D377" s="55"/>
      <c r="E377" s="55"/>
      <c r="F377" s="55"/>
      <c r="G377" s="55"/>
      <c r="H377" s="181"/>
      <c r="I377" s="55"/>
      <c r="J377" s="55"/>
      <c r="K377" s="55"/>
      <c r="L377" s="55"/>
      <c r="M377" s="55"/>
      <c r="N377" s="55"/>
      <c r="O377" s="55"/>
      <c r="P377" s="55"/>
      <c r="Q377" s="55"/>
      <c r="R377" s="55"/>
      <c r="S377" s="55"/>
      <c r="T377" s="55"/>
      <c r="U377" s="55"/>
      <c r="V377" s="55"/>
      <c r="W377" s="55"/>
      <c r="X377" s="55"/>
      <c r="Y377" s="55"/>
      <c r="Z377" s="55"/>
      <c r="AA377" s="55"/>
      <c r="AB377" s="55"/>
      <c r="AC377" s="55"/>
    </row>
    <row r="378">
      <c r="A378" s="53"/>
      <c r="B378" s="53"/>
      <c r="C378" s="55"/>
      <c r="D378" s="55"/>
      <c r="E378" s="55"/>
      <c r="F378" s="55"/>
      <c r="G378" s="55"/>
      <c r="H378" s="181"/>
      <c r="I378" s="55"/>
      <c r="J378" s="55"/>
      <c r="K378" s="55"/>
      <c r="L378" s="55"/>
      <c r="M378" s="55"/>
      <c r="N378" s="55"/>
      <c r="O378" s="55"/>
      <c r="P378" s="55"/>
      <c r="Q378" s="55"/>
      <c r="R378" s="55"/>
      <c r="S378" s="55"/>
      <c r="T378" s="55"/>
      <c r="U378" s="55"/>
      <c r="V378" s="55"/>
      <c r="W378" s="55"/>
      <c r="X378" s="55"/>
      <c r="Y378" s="55"/>
      <c r="Z378" s="55"/>
      <c r="AA378" s="55"/>
      <c r="AB378" s="55"/>
      <c r="AC378" s="55"/>
    </row>
    <row r="379">
      <c r="A379" s="53"/>
      <c r="B379" s="53"/>
      <c r="C379" s="55"/>
      <c r="D379" s="55"/>
      <c r="E379" s="55"/>
      <c r="F379" s="55"/>
      <c r="G379" s="55"/>
      <c r="H379" s="181"/>
      <c r="I379" s="55"/>
      <c r="J379" s="55"/>
      <c r="K379" s="55"/>
      <c r="L379" s="55"/>
      <c r="M379" s="55"/>
      <c r="N379" s="55"/>
      <c r="O379" s="55"/>
      <c r="P379" s="55"/>
      <c r="Q379" s="55"/>
      <c r="R379" s="55"/>
      <c r="S379" s="55"/>
      <c r="T379" s="55"/>
      <c r="U379" s="55"/>
      <c r="V379" s="55"/>
      <c r="W379" s="55"/>
      <c r="X379" s="55"/>
      <c r="Y379" s="55"/>
      <c r="Z379" s="55"/>
      <c r="AA379" s="55"/>
      <c r="AB379" s="55"/>
      <c r="AC379" s="55"/>
    </row>
    <row r="380">
      <c r="A380" s="53"/>
      <c r="B380" s="53"/>
      <c r="C380" s="55"/>
      <c r="D380" s="55"/>
      <c r="E380" s="55"/>
      <c r="F380" s="55"/>
      <c r="G380" s="55"/>
      <c r="H380" s="181"/>
      <c r="I380" s="55"/>
      <c r="J380" s="55"/>
      <c r="K380" s="55"/>
      <c r="L380" s="55"/>
      <c r="M380" s="55"/>
      <c r="N380" s="55"/>
      <c r="O380" s="55"/>
      <c r="P380" s="55"/>
      <c r="Q380" s="55"/>
      <c r="R380" s="55"/>
      <c r="S380" s="55"/>
      <c r="T380" s="55"/>
      <c r="U380" s="55"/>
      <c r="V380" s="55"/>
      <c r="W380" s="55"/>
      <c r="X380" s="55"/>
      <c r="Y380" s="55"/>
      <c r="Z380" s="55"/>
      <c r="AA380" s="55"/>
      <c r="AB380" s="55"/>
      <c r="AC380" s="55"/>
    </row>
    <row r="381">
      <c r="A381" s="53"/>
      <c r="B381" s="53"/>
      <c r="C381" s="55"/>
      <c r="D381" s="55"/>
      <c r="E381" s="55"/>
      <c r="F381" s="55"/>
      <c r="G381" s="55"/>
      <c r="H381" s="181"/>
      <c r="I381" s="55"/>
      <c r="J381" s="55"/>
      <c r="K381" s="55"/>
      <c r="L381" s="55"/>
      <c r="M381" s="55"/>
      <c r="N381" s="55"/>
      <c r="O381" s="55"/>
      <c r="P381" s="55"/>
      <c r="Q381" s="55"/>
      <c r="R381" s="55"/>
      <c r="S381" s="55"/>
      <c r="T381" s="55"/>
      <c r="U381" s="55"/>
      <c r="V381" s="55"/>
      <c r="W381" s="55"/>
      <c r="X381" s="55"/>
      <c r="Y381" s="55"/>
      <c r="Z381" s="55"/>
      <c r="AA381" s="55"/>
      <c r="AB381" s="55"/>
      <c r="AC381" s="55"/>
    </row>
    <row r="382">
      <c r="A382" s="53"/>
      <c r="B382" s="53"/>
      <c r="C382" s="55"/>
      <c r="D382" s="55"/>
      <c r="E382" s="55"/>
      <c r="F382" s="55"/>
      <c r="G382" s="55"/>
      <c r="H382" s="181"/>
      <c r="I382" s="55"/>
      <c r="J382" s="55"/>
      <c r="K382" s="55"/>
      <c r="L382" s="55"/>
      <c r="M382" s="55"/>
      <c r="N382" s="55"/>
      <c r="O382" s="55"/>
      <c r="P382" s="55"/>
      <c r="Q382" s="55"/>
      <c r="R382" s="55"/>
      <c r="S382" s="55"/>
      <c r="T382" s="55"/>
      <c r="U382" s="55"/>
      <c r="V382" s="55"/>
      <c r="W382" s="55"/>
      <c r="X382" s="55"/>
      <c r="Y382" s="55"/>
      <c r="Z382" s="55"/>
      <c r="AA382" s="55"/>
      <c r="AB382" s="55"/>
      <c r="AC382" s="55"/>
    </row>
    <row r="383">
      <c r="A383" s="53"/>
      <c r="B383" s="53"/>
      <c r="C383" s="55"/>
      <c r="D383" s="55"/>
      <c r="E383" s="55"/>
      <c r="F383" s="55"/>
      <c r="G383" s="55"/>
      <c r="H383" s="181"/>
      <c r="I383" s="55"/>
      <c r="J383" s="55"/>
      <c r="K383" s="55"/>
      <c r="L383" s="55"/>
      <c r="M383" s="55"/>
      <c r="N383" s="55"/>
      <c r="O383" s="55"/>
      <c r="P383" s="55"/>
      <c r="Q383" s="55"/>
      <c r="R383" s="55"/>
      <c r="S383" s="55"/>
      <c r="T383" s="55"/>
      <c r="U383" s="55"/>
      <c r="V383" s="55"/>
      <c r="W383" s="55"/>
      <c r="X383" s="55"/>
      <c r="Y383" s="55"/>
      <c r="Z383" s="55"/>
      <c r="AA383" s="55"/>
      <c r="AB383" s="55"/>
      <c r="AC383" s="55"/>
    </row>
    <row r="384">
      <c r="A384" s="53"/>
      <c r="B384" s="53"/>
      <c r="C384" s="55"/>
      <c r="D384" s="55"/>
      <c r="E384" s="55"/>
      <c r="F384" s="55"/>
      <c r="G384" s="55"/>
      <c r="H384" s="181"/>
      <c r="I384" s="55"/>
      <c r="J384" s="55"/>
      <c r="K384" s="55"/>
      <c r="L384" s="55"/>
      <c r="M384" s="55"/>
      <c r="N384" s="55"/>
      <c r="O384" s="55"/>
      <c r="P384" s="55"/>
      <c r="Q384" s="55"/>
      <c r="R384" s="55"/>
      <c r="S384" s="55"/>
      <c r="T384" s="55"/>
      <c r="U384" s="55"/>
      <c r="V384" s="55"/>
      <c r="W384" s="55"/>
      <c r="X384" s="55"/>
      <c r="Y384" s="55"/>
      <c r="Z384" s="55"/>
      <c r="AA384" s="55"/>
      <c r="AB384" s="55"/>
      <c r="AC384" s="55"/>
    </row>
    <row r="385">
      <c r="A385" s="53"/>
      <c r="B385" s="53"/>
      <c r="C385" s="55"/>
      <c r="D385" s="55"/>
      <c r="E385" s="55"/>
      <c r="F385" s="55"/>
      <c r="G385" s="55"/>
      <c r="H385" s="181"/>
      <c r="I385" s="55"/>
      <c r="J385" s="55"/>
      <c r="K385" s="55"/>
      <c r="L385" s="55"/>
      <c r="M385" s="55"/>
      <c r="N385" s="55"/>
      <c r="O385" s="55"/>
      <c r="P385" s="55"/>
      <c r="Q385" s="55"/>
      <c r="R385" s="55"/>
      <c r="S385" s="55"/>
      <c r="T385" s="55"/>
      <c r="U385" s="55"/>
      <c r="V385" s="55"/>
      <c r="W385" s="55"/>
      <c r="X385" s="55"/>
      <c r="Y385" s="55"/>
      <c r="Z385" s="55"/>
      <c r="AA385" s="55"/>
      <c r="AB385" s="55"/>
      <c r="AC385" s="55"/>
    </row>
    <row r="386">
      <c r="A386" s="53"/>
      <c r="B386" s="53"/>
      <c r="C386" s="55"/>
      <c r="D386" s="55"/>
      <c r="E386" s="55"/>
      <c r="F386" s="55"/>
      <c r="G386" s="55"/>
      <c r="H386" s="181"/>
      <c r="I386" s="55"/>
      <c r="J386" s="55"/>
      <c r="K386" s="55"/>
      <c r="L386" s="55"/>
      <c r="M386" s="55"/>
      <c r="N386" s="55"/>
      <c r="O386" s="55"/>
      <c r="P386" s="55"/>
      <c r="Q386" s="55"/>
      <c r="R386" s="55"/>
      <c r="S386" s="55"/>
      <c r="T386" s="55"/>
      <c r="U386" s="55"/>
      <c r="V386" s="55"/>
      <c r="W386" s="55"/>
      <c r="X386" s="55"/>
      <c r="Y386" s="55"/>
      <c r="Z386" s="55"/>
      <c r="AA386" s="55"/>
      <c r="AB386" s="55"/>
      <c r="AC386" s="55"/>
    </row>
    <row r="387">
      <c r="A387" s="53"/>
      <c r="B387" s="53"/>
      <c r="C387" s="55"/>
      <c r="D387" s="55"/>
      <c r="E387" s="55"/>
      <c r="F387" s="55"/>
      <c r="G387" s="55"/>
      <c r="H387" s="181"/>
      <c r="I387" s="55"/>
      <c r="J387" s="55"/>
      <c r="K387" s="55"/>
      <c r="L387" s="55"/>
      <c r="M387" s="55"/>
      <c r="N387" s="55"/>
      <c r="O387" s="55"/>
      <c r="P387" s="55"/>
      <c r="Q387" s="55"/>
      <c r="R387" s="55"/>
      <c r="S387" s="55"/>
      <c r="T387" s="55"/>
      <c r="U387" s="55"/>
      <c r="V387" s="55"/>
      <c r="W387" s="55"/>
      <c r="X387" s="55"/>
      <c r="Y387" s="55"/>
      <c r="Z387" s="55"/>
      <c r="AA387" s="55"/>
      <c r="AB387" s="55"/>
      <c r="AC387" s="55"/>
    </row>
    <row r="388">
      <c r="A388" s="53"/>
      <c r="B388" s="53"/>
      <c r="C388" s="55"/>
      <c r="D388" s="55"/>
      <c r="E388" s="55"/>
      <c r="F388" s="55"/>
      <c r="G388" s="55"/>
      <c r="H388" s="181"/>
      <c r="I388" s="55"/>
      <c r="J388" s="55"/>
      <c r="K388" s="55"/>
      <c r="L388" s="55"/>
      <c r="M388" s="55"/>
      <c r="N388" s="55"/>
      <c r="O388" s="55"/>
      <c r="P388" s="55"/>
      <c r="Q388" s="55"/>
      <c r="R388" s="55"/>
      <c r="S388" s="55"/>
      <c r="T388" s="55"/>
      <c r="U388" s="55"/>
      <c r="V388" s="55"/>
      <c r="W388" s="55"/>
      <c r="X388" s="55"/>
      <c r="Y388" s="55"/>
      <c r="Z388" s="55"/>
      <c r="AA388" s="55"/>
      <c r="AB388" s="55"/>
      <c r="AC388" s="55"/>
    </row>
    <row r="389">
      <c r="A389" s="53"/>
      <c r="B389" s="53"/>
      <c r="C389" s="55"/>
      <c r="D389" s="55"/>
      <c r="E389" s="55"/>
      <c r="F389" s="55"/>
      <c r="G389" s="55"/>
      <c r="H389" s="181"/>
      <c r="I389" s="55"/>
      <c r="J389" s="55"/>
      <c r="K389" s="55"/>
      <c r="L389" s="55"/>
      <c r="M389" s="55"/>
      <c r="N389" s="55"/>
      <c r="O389" s="55"/>
      <c r="P389" s="55"/>
      <c r="Q389" s="55"/>
      <c r="R389" s="55"/>
      <c r="S389" s="55"/>
      <c r="T389" s="55"/>
      <c r="U389" s="55"/>
      <c r="V389" s="55"/>
      <c r="W389" s="55"/>
      <c r="X389" s="55"/>
      <c r="Y389" s="55"/>
      <c r="Z389" s="55"/>
      <c r="AA389" s="55"/>
      <c r="AB389" s="55"/>
      <c r="AC389" s="55"/>
    </row>
    <row r="390">
      <c r="A390" s="53"/>
      <c r="B390" s="53"/>
      <c r="C390" s="55"/>
      <c r="D390" s="55"/>
      <c r="E390" s="55"/>
      <c r="F390" s="55"/>
      <c r="G390" s="55"/>
      <c r="H390" s="181"/>
      <c r="I390" s="55"/>
      <c r="J390" s="55"/>
      <c r="K390" s="55"/>
      <c r="L390" s="55"/>
      <c r="M390" s="55"/>
      <c r="N390" s="55"/>
      <c r="O390" s="55"/>
      <c r="P390" s="55"/>
      <c r="Q390" s="55"/>
      <c r="R390" s="55"/>
      <c r="S390" s="55"/>
      <c r="T390" s="55"/>
      <c r="U390" s="55"/>
      <c r="V390" s="55"/>
      <c r="W390" s="55"/>
      <c r="X390" s="55"/>
      <c r="Y390" s="55"/>
      <c r="Z390" s="55"/>
      <c r="AA390" s="55"/>
      <c r="AB390" s="55"/>
      <c r="AC390" s="55"/>
    </row>
    <row r="391">
      <c r="A391" s="53"/>
      <c r="B391" s="53"/>
      <c r="C391" s="55"/>
      <c r="D391" s="55"/>
      <c r="E391" s="55"/>
      <c r="F391" s="55"/>
      <c r="G391" s="55"/>
      <c r="H391" s="181"/>
      <c r="I391" s="55"/>
      <c r="J391" s="55"/>
      <c r="K391" s="55"/>
      <c r="L391" s="55"/>
      <c r="M391" s="55"/>
      <c r="N391" s="55"/>
      <c r="O391" s="55"/>
      <c r="P391" s="55"/>
      <c r="Q391" s="55"/>
      <c r="R391" s="55"/>
      <c r="S391" s="55"/>
      <c r="T391" s="55"/>
      <c r="U391" s="55"/>
      <c r="V391" s="55"/>
      <c r="W391" s="55"/>
      <c r="X391" s="55"/>
      <c r="Y391" s="55"/>
      <c r="Z391" s="55"/>
      <c r="AA391" s="55"/>
      <c r="AB391" s="55"/>
      <c r="AC391" s="55"/>
    </row>
    <row r="392">
      <c r="A392" s="53"/>
      <c r="B392" s="53"/>
      <c r="C392" s="55"/>
      <c r="D392" s="55"/>
      <c r="E392" s="55"/>
      <c r="F392" s="55"/>
      <c r="G392" s="55"/>
      <c r="H392" s="181"/>
      <c r="I392" s="55"/>
      <c r="J392" s="55"/>
      <c r="K392" s="55"/>
      <c r="L392" s="55"/>
      <c r="M392" s="55"/>
      <c r="N392" s="55"/>
      <c r="O392" s="55"/>
      <c r="P392" s="55"/>
      <c r="Q392" s="55"/>
      <c r="R392" s="55"/>
      <c r="S392" s="55"/>
      <c r="T392" s="55"/>
      <c r="U392" s="55"/>
      <c r="V392" s="55"/>
      <c r="W392" s="55"/>
      <c r="X392" s="55"/>
      <c r="Y392" s="55"/>
      <c r="Z392" s="55"/>
      <c r="AA392" s="55"/>
      <c r="AB392" s="55"/>
      <c r="AC392" s="55"/>
    </row>
    <row r="393">
      <c r="A393" s="53"/>
      <c r="B393" s="53"/>
      <c r="C393" s="55"/>
      <c r="D393" s="55"/>
      <c r="E393" s="55"/>
      <c r="F393" s="55"/>
      <c r="G393" s="55"/>
      <c r="H393" s="181"/>
      <c r="I393" s="55"/>
      <c r="J393" s="55"/>
      <c r="K393" s="55"/>
      <c r="L393" s="55"/>
      <c r="M393" s="55"/>
      <c r="N393" s="55"/>
      <c r="O393" s="55"/>
      <c r="P393" s="55"/>
      <c r="Q393" s="55"/>
      <c r="R393" s="55"/>
      <c r="S393" s="55"/>
      <c r="T393" s="55"/>
      <c r="U393" s="55"/>
      <c r="V393" s="55"/>
      <c r="W393" s="55"/>
      <c r="X393" s="55"/>
      <c r="Y393" s="55"/>
      <c r="Z393" s="55"/>
      <c r="AA393" s="55"/>
      <c r="AB393" s="55"/>
      <c r="AC393" s="55"/>
    </row>
    <row r="394">
      <c r="A394" s="53"/>
      <c r="B394" s="53"/>
      <c r="C394" s="55"/>
      <c r="D394" s="55"/>
      <c r="E394" s="55"/>
      <c r="F394" s="55"/>
      <c r="G394" s="55"/>
      <c r="H394" s="181"/>
      <c r="I394" s="55"/>
      <c r="J394" s="55"/>
      <c r="K394" s="55"/>
      <c r="L394" s="55"/>
      <c r="M394" s="55"/>
      <c r="N394" s="55"/>
      <c r="O394" s="55"/>
      <c r="P394" s="55"/>
      <c r="Q394" s="55"/>
      <c r="R394" s="55"/>
      <c r="S394" s="55"/>
      <c r="T394" s="55"/>
      <c r="U394" s="55"/>
      <c r="V394" s="55"/>
      <c r="W394" s="55"/>
      <c r="X394" s="55"/>
      <c r="Y394" s="55"/>
      <c r="Z394" s="55"/>
      <c r="AA394" s="55"/>
      <c r="AB394" s="55"/>
      <c r="AC394" s="55"/>
    </row>
    <row r="395">
      <c r="A395" s="53"/>
      <c r="B395" s="53"/>
      <c r="C395" s="55"/>
      <c r="D395" s="55"/>
      <c r="E395" s="55"/>
      <c r="F395" s="55"/>
      <c r="G395" s="55"/>
      <c r="H395" s="181"/>
      <c r="I395" s="55"/>
      <c r="J395" s="55"/>
      <c r="K395" s="55"/>
      <c r="L395" s="55"/>
      <c r="M395" s="55"/>
      <c r="N395" s="55"/>
      <c r="O395" s="55"/>
      <c r="P395" s="55"/>
      <c r="Q395" s="55"/>
      <c r="R395" s="55"/>
      <c r="S395" s="55"/>
      <c r="T395" s="55"/>
      <c r="U395" s="55"/>
      <c r="V395" s="55"/>
      <c r="W395" s="55"/>
      <c r="X395" s="55"/>
      <c r="Y395" s="55"/>
      <c r="Z395" s="55"/>
      <c r="AA395" s="55"/>
      <c r="AB395" s="55"/>
      <c r="AC395" s="55"/>
    </row>
    <row r="396">
      <c r="A396" s="53"/>
      <c r="B396" s="53"/>
      <c r="C396" s="55"/>
      <c r="D396" s="55"/>
      <c r="E396" s="55"/>
      <c r="F396" s="55"/>
      <c r="G396" s="55"/>
      <c r="H396" s="181"/>
      <c r="I396" s="55"/>
      <c r="J396" s="55"/>
      <c r="K396" s="55"/>
      <c r="L396" s="55"/>
      <c r="M396" s="55"/>
      <c r="N396" s="55"/>
      <c r="O396" s="55"/>
      <c r="P396" s="55"/>
      <c r="Q396" s="55"/>
      <c r="R396" s="55"/>
      <c r="S396" s="55"/>
      <c r="T396" s="55"/>
      <c r="U396" s="55"/>
      <c r="V396" s="55"/>
      <c r="W396" s="55"/>
      <c r="X396" s="55"/>
      <c r="Y396" s="55"/>
      <c r="Z396" s="55"/>
      <c r="AA396" s="55"/>
      <c r="AB396" s="55"/>
      <c r="AC396" s="55"/>
    </row>
    <row r="397">
      <c r="A397" s="53"/>
      <c r="B397" s="53"/>
      <c r="C397" s="55"/>
      <c r="D397" s="55"/>
      <c r="E397" s="55"/>
      <c r="F397" s="55"/>
      <c r="G397" s="55"/>
      <c r="H397" s="181"/>
      <c r="I397" s="55"/>
      <c r="J397" s="55"/>
      <c r="K397" s="55"/>
      <c r="L397" s="55"/>
      <c r="M397" s="55"/>
      <c r="N397" s="55"/>
      <c r="O397" s="55"/>
      <c r="P397" s="55"/>
      <c r="Q397" s="55"/>
      <c r="R397" s="55"/>
      <c r="S397" s="55"/>
      <c r="T397" s="55"/>
      <c r="U397" s="55"/>
      <c r="V397" s="55"/>
      <c r="W397" s="55"/>
      <c r="X397" s="55"/>
      <c r="Y397" s="55"/>
      <c r="Z397" s="55"/>
      <c r="AA397" s="55"/>
      <c r="AB397" s="55"/>
      <c r="AC397" s="55"/>
    </row>
    <row r="398">
      <c r="A398" s="53"/>
      <c r="B398" s="53"/>
      <c r="C398" s="55"/>
      <c r="D398" s="55"/>
      <c r="E398" s="55"/>
      <c r="F398" s="55"/>
      <c r="G398" s="55"/>
      <c r="H398" s="181"/>
      <c r="I398" s="55"/>
      <c r="J398" s="55"/>
      <c r="K398" s="55"/>
      <c r="L398" s="55"/>
      <c r="M398" s="55"/>
      <c r="N398" s="55"/>
      <c r="O398" s="55"/>
      <c r="P398" s="55"/>
      <c r="Q398" s="55"/>
      <c r="R398" s="55"/>
      <c r="S398" s="55"/>
      <c r="T398" s="55"/>
      <c r="U398" s="55"/>
      <c r="V398" s="55"/>
      <c r="W398" s="55"/>
      <c r="X398" s="55"/>
      <c r="Y398" s="55"/>
      <c r="Z398" s="55"/>
      <c r="AA398" s="55"/>
      <c r="AB398" s="55"/>
      <c r="AC398" s="55"/>
    </row>
    <row r="399">
      <c r="A399" s="53"/>
      <c r="B399" s="53"/>
      <c r="C399" s="55"/>
      <c r="D399" s="55"/>
      <c r="E399" s="55"/>
      <c r="F399" s="55"/>
      <c r="G399" s="55"/>
      <c r="H399" s="181"/>
      <c r="I399" s="55"/>
      <c r="J399" s="55"/>
      <c r="K399" s="55"/>
      <c r="L399" s="55"/>
      <c r="M399" s="55"/>
      <c r="N399" s="55"/>
      <c r="O399" s="55"/>
      <c r="P399" s="55"/>
      <c r="Q399" s="55"/>
      <c r="R399" s="55"/>
      <c r="S399" s="55"/>
      <c r="T399" s="55"/>
      <c r="U399" s="55"/>
      <c r="V399" s="55"/>
      <c r="W399" s="55"/>
      <c r="X399" s="55"/>
      <c r="Y399" s="55"/>
      <c r="Z399" s="55"/>
      <c r="AA399" s="55"/>
      <c r="AB399" s="55"/>
      <c r="AC399" s="55"/>
    </row>
    <row r="400">
      <c r="A400" s="53"/>
      <c r="B400" s="53"/>
      <c r="C400" s="55"/>
      <c r="D400" s="55"/>
      <c r="E400" s="55"/>
      <c r="F400" s="55"/>
      <c r="G400" s="55"/>
      <c r="H400" s="181"/>
      <c r="I400" s="55"/>
      <c r="J400" s="55"/>
      <c r="K400" s="55"/>
      <c r="L400" s="55"/>
      <c r="M400" s="55"/>
      <c r="N400" s="55"/>
      <c r="O400" s="55"/>
      <c r="P400" s="55"/>
      <c r="Q400" s="55"/>
      <c r="R400" s="55"/>
      <c r="S400" s="55"/>
      <c r="T400" s="55"/>
      <c r="U400" s="55"/>
      <c r="V400" s="55"/>
      <c r="W400" s="55"/>
      <c r="X400" s="55"/>
      <c r="Y400" s="55"/>
      <c r="Z400" s="55"/>
      <c r="AA400" s="55"/>
      <c r="AB400" s="55"/>
      <c r="AC400" s="55"/>
    </row>
    <row r="401">
      <c r="A401" s="53"/>
      <c r="B401" s="53"/>
      <c r="C401" s="55"/>
      <c r="D401" s="55"/>
      <c r="E401" s="55"/>
      <c r="F401" s="55"/>
      <c r="G401" s="55"/>
      <c r="H401" s="181"/>
      <c r="I401" s="55"/>
      <c r="J401" s="55"/>
      <c r="K401" s="55"/>
      <c r="L401" s="55"/>
      <c r="M401" s="55"/>
      <c r="N401" s="55"/>
      <c r="O401" s="55"/>
      <c r="P401" s="55"/>
      <c r="Q401" s="55"/>
      <c r="R401" s="55"/>
      <c r="S401" s="55"/>
      <c r="T401" s="55"/>
      <c r="U401" s="55"/>
      <c r="V401" s="55"/>
      <c r="W401" s="55"/>
      <c r="X401" s="55"/>
      <c r="Y401" s="55"/>
      <c r="Z401" s="55"/>
      <c r="AA401" s="55"/>
      <c r="AB401" s="55"/>
      <c r="AC401" s="55"/>
    </row>
    <row r="402">
      <c r="A402" s="53"/>
      <c r="B402" s="53"/>
      <c r="C402" s="55"/>
      <c r="D402" s="55"/>
      <c r="E402" s="55"/>
      <c r="F402" s="55"/>
      <c r="G402" s="55"/>
      <c r="H402" s="181"/>
      <c r="I402" s="55"/>
      <c r="J402" s="55"/>
      <c r="K402" s="55"/>
      <c r="L402" s="55"/>
      <c r="M402" s="55"/>
      <c r="N402" s="55"/>
      <c r="O402" s="55"/>
      <c r="P402" s="55"/>
      <c r="Q402" s="55"/>
      <c r="R402" s="55"/>
      <c r="S402" s="55"/>
      <c r="T402" s="55"/>
      <c r="U402" s="55"/>
      <c r="V402" s="55"/>
      <c r="W402" s="55"/>
      <c r="X402" s="55"/>
      <c r="Y402" s="55"/>
      <c r="Z402" s="55"/>
      <c r="AA402" s="55"/>
      <c r="AB402" s="55"/>
      <c r="AC402" s="55"/>
    </row>
    <row r="403">
      <c r="A403" s="53"/>
      <c r="B403" s="53"/>
      <c r="C403" s="55"/>
      <c r="D403" s="55"/>
      <c r="E403" s="55"/>
      <c r="F403" s="55"/>
      <c r="G403" s="55"/>
      <c r="H403" s="181"/>
      <c r="I403" s="55"/>
      <c r="J403" s="55"/>
      <c r="K403" s="55"/>
      <c r="L403" s="55"/>
      <c r="M403" s="55"/>
      <c r="N403" s="55"/>
      <c r="O403" s="55"/>
      <c r="P403" s="55"/>
      <c r="Q403" s="55"/>
      <c r="R403" s="55"/>
      <c r="S403" s="55"/>
      <c r="T403" s="55"/>
      <c r="U403" s="55"/>
      <c r="V403" s="55"/>
      <c r="W403" s="55"/>
      <c r="X403" s="55"/>
      <c r="Y403" s="55"/>
      <c r="Z403" s="55"/>
      <c r="AA403" s="55"/>
      <c r="AB403" s="55"/>
      <c r="AC403" s="55"/>
    </row>
    <row r="404">
      <c r="A404" s="53"/>
      <c r="B404" s="53"/>
      <c r="C404" s="55"/>
      <c r="D404" s="55"/>
      <c r="E404" s="55"/>
      <c r="F404" s="55"/>
      <c r="G404" s="55"/>
      <c r="H404" s="181"/>
      <c r="I404" s="55"/>
      <c r="J404" s="55"/>
      <c r="K404" s="55"/>
      <c r="L404" s="55"/>
      <c r="M404" s="55"/>
      <c r="N404" s="55"/>
      <c r="O404" s="55"/>
      <c r="P404" s="55"/>
      <c r="Q404" s="55"/>
      <c r="R404" s="55"/>
      <c r="S404" s="55"/>
      <c r="T404" s="55"/>
      <c r="U404" s="55"/>
      <c r="V404" s="55"/>
      <c r="W404" s="55"/>
      <c r="X404" s="55"/>
      <c r="Y404" s="55"/>
      <c r="Z404" s="55"/>
      <c r="AA404" s="55"/>
      <c r="AB404" s="55"/>
      <c r="AC404" s="55"/>
    </row>
    <row r="405">
      <c r="A405" s="53"/>
      <c r="B405" s="53"/>
      <c r="C405" s="55"/>
      <c r="D405" s="55"/>
      <c r="E405" s="55"/>
      <c r="F405" s="55"/>
      <c r="G405" s="55"/>
      <c r="H405" s="181"/>
      <c r="I405" s="55"/>
      <c r="J405" s="55"/>
      <c r="K405" s="55"/>
      <c r="L405" s="55"/>
      <c r="M405" s="55"/>
      <c r="N405" s="55"/>
      <c r="O405" s="55"/>
      <c r="P405" s="55"/>
      <c r="Q405" s="55"/>
      <c r="R405" s="55"/>
      <c r="S405" s="55"/>
      <c r="T405" s="55"/>
      <c r="U405" s="55"/>
      <c r="V405" s="55"/>
      <c r="W405" s="55"/>
      <c r="X405" s="55"/>
      <c r="Y405" s="55"/>
      <c r="Z405" s="55"/>
      <c r="AA405" s="55"/>
      <c r="AB405" s="55"/>
      <c r="AC405" s="55"/>
    </row>
    <row r="406">
      <c r="A406" s="53"/>
      <c r="B406" s="53"/>
      <c r="C406" s="55"/>
      <c r="D406" s="55"/>
      <c r="E406" s="55"/>
      <c r="F406" s="55"/>
      <c r="G406" s="55"/>
      <c r="H406" s="181"/>
      <c r="I406" s="55"/>
      <c r="J406" s="55"/>
      <c r="K406" s="55"/>
      <c r="L406" s="55"/>
      <c r="M406" s="55"/>
      <c r="N406" s="55"/>
      <c r="O406" s="55"/>
      <c r="P406" s="55"/>
      <c r="Q406" s="55"/>
      <c r="R406" s="55"/>
      <c r="S406" s="55"/>
      <c r="T406" s="55"/>
      <c r="U406" s="55"/>
      <c r="V406" s="55"/>
      <c r="W406" s="55"/>
      <c r="X406" s="55"/>
      <c r="Y406" s="55"/>
      <c r="Z406" s="55"/>
      <c r="AA406" s="55"/>
      <c r="AB406" s="55"/>
      <c r="AC406" s="55"/>
    </row>
    <row r="407">
      <c r="A407" s="53"/>
      <c r="B407" s="53"/>
      <c r="C407" s="55"/>
      <c r="D407" s="55"/>
      <c r="E407" s="55"/>
      <c r="F407" s="55"/>
      <c r="G407" s="55"/>
      <c r="H407" s="181"/>
      <c r="I407" s="55"/>
      <c r="J407" s="55"/>
      <c r="K407" s="55"/>
      <c r="L407" s="55"/>
      <c r="M407" s="55"/>
      <c r="N407" s="55"/>
      <c r="O407" s="55"/>
      <c r="P407" s="55"/>
      <c r="Q407" s="55"/>
      <c r="R407" s="55"/>
      <c r="S407" s="55"/>
      <c r="T407" s="55"/>
      <c r="U407" s="55"/>
      <c r="V407" s="55"/>
      <c r="W407" s="55"/>
      <c r="X407" s="55"/>
      <c r="Y407" s="55"/>
      <c r="Z407" s="55"/>
      <c r="AA407" s="55"/>
      <c r="AB407" s="55"/>
      <c r="AC407" s="55"/>
    </row>
    <row r="408">
      <c r="A408" s="53"/>
      <c r="B408" s="53"/>
      <c r="C408" s="55"/>
      <c r="D408" s="55"/>
      <c r="E408" s="55"/>
      <c r="F408" s="55"/>
      <c r="G408" s="55"/>
      <c r="H408" s="181"/>
      <c r="I408" s="55"/>
      <c r="J408" s="55"/>
      <c r="K408" s="55"/>
      <c r="L408" s="55"/>
      <c r="M408" s="55"/>
      <c r="N408" s="55"/>
      <c r="O408" s="55"/>
      <c r="P408" s="55"/>
      <c r="Q408" s="55"/>
      <c r="R408" s="55"/>
      <c r="S408" s="55"/>
      <c r="T408" s="55"/>
      <c r="U408" s="55"/>
      <c r="V408" s="55"/>
      <c r="W408" s="55"/>
      <c r="X408" s="55"/>
      <c r="Y408" s="55"/>
      <c r="Z408" s="55"/>
      <c r="AA408" s="55"/>
      <c r="AB408" s="55"/>
      <c r="AC408" s="55"/>
    </row>
    <row r="409">
      <c r="A409" s="53"/>
      <c r="B409" s="53"/>
      <c r="C409" s="55"/>
      <c r="D409" s="55"/>
      <c r="E409" s="55"/>
      <c r="F409" s="55"/>
      <c r="G409" s="55"/>
      <c r="H409" s="181"/>
      <c r="I409" s="55"/>
      <c r="J409" s="55"/>
      <c r="K409" s="55"/>
      <c r="L409" s="55"/>
      <c r="M409" s="55"/>
      <c r="N409" s="55"/>
      <c r="O409" s="55"/>
      <c r="P409" s="55"/>
      <c r="Q409" s="55"/>
      <c r="R409" s="55"/>
      <c r="S409" s="55"/>
      <c r="T409" s="55"/>
      <c r="U409" s="55"/>
      <c r="V409" s="55"/>
      <c r="W409" s="55"/>
      <c r="X409" s="55"/>
      <c r="Y409" s="55"/>
      <c r="Z409" s="55"/>
      <c r="AA409" s="55"/>
      <c r="AB409" s="55"/>
      <c r="AC409" s="55"/>
    </row>
    <row r="410">
      <c r="A410" s="53"/>
      <c r="B410" s="53"/>
      <c r="C410" s="55"/>
      <c r="D410" s="55"/>
      <c r="E410" s="55"/>
      <c r="F410" s="55"/>
      <c r="G410" s="55"/>
      <c r="H410" s="181"/>
      <c r="I410" s="55"/>
      <c r="J410" s="55"/>
      <c r="K410" s="55"/>
      <c r="L410" s="55"/>
      <c r="M410" s="55"/>
      <c r="N410" s="55"/>
      <c r="O410" s="55"/>
      <c r="P410" s="55"/>
      <c r="Q410" s="55"/>
      <c r="R410" s="55"/>
      <c r="S410" s="55"/>
      <c r="T410" s="55"/>
      <c r="U410" s="55"/>
      <c r="V410" s="55"/>
      <c r="W410" s="55"/>
      <c r="X410" s="55"/>
      <c r="Y410" s="55"/>
      <c r="Z410" s="55"/>
      <c r="AA410" s="55"/>
      <c r="AB410" s="55"/>
      <c r="AC410" s="55"/>
    </row>
    <row r="411">
      <c r="A411" s="53"/>
      <c r="B411" s="53"/>
      <c r="C411" s="55"/>
      <c r="D411" s="55"/>
      <c r="E411" s="55"/>
      <c r="F411" s="55"/>
      <c r="G411" s="55"/>
      <c r="H411" s="181"/>
      <c r="I411" s="55"/>
      <c r="J411" s="55"/>
      <c r="K411" s="55"/>
      <c r="L411" s="55"/>
      <c r="M411" s="55"/>
      <c r="N411" s="55"/>
      <c r="O411" s="55"/>
      <c r="P411" s="55"/>
      <c r="Q411" s="55"/>
      <c r="R411" s="55"/>
      <c r="S411" s="55"/>
      <c r="T411" s="55"/>
      <c r="U411" s="55"/>
      <c r="V411" s="55"/>
      <c r="W411" s="55"/>
      <c r="X411" s="55"/>
      <c r="Y411" s="55"/>
      <c r="Z411" s="55"/>
      <c r="AA411" s="55"/>
      <c r="AB411" s="55"/>
      <c r="AC411" s="55"/>
    </row>
    <row r="412">
      <c r="A412" s="53"/>
      <c r="B412" s="53"/>
      <c r="C412" s="55"/>
      <c r="D412" s="55"/>
      <c r="E412" s="55"/>
      <c r="F412" s="55"/>
      <c r="G412" s="55"/>
      <c r="H412" s="181"/>
      <c r="I412" s="55"/>
      <c r="J412" s="55"/>
      <c r="K412" s="55"/>
      <c r="L412" s="55"/>
      <c r="M412" s="55"/>
      <c r="N412" s="55"/>
      <c r="O412" s="55"/>
      <c r="P412" s="55"/>
      <c r="Q412" s="55"/>
      <c r="R412" s="55"/>
      <c r="S412" s="55"/>
      <c r="T412" s="55"/>
      <c r="U412" s="55"/>
      <c r="V412" s="55"/>
      <c r="W412" s="55"/>
      <c r="X412" s="55"/>
      <c r="Y412" s="55"/>
      <c r="Z412" s="55"/>
      <c r="AA412" s="55"/>
      <c r="AB412" s="55"/>
      <c r="AC412" s="55"/>
    </row>
    <row r="413">
      <c r="A413" s="53"/>
      <c r="B413" s="53"/>
      <c r="C413" s="55"/>
      <c r="D413" s="55"/>
      <c r="E413" s="55"/>
      <c r="F413" s="55"/>
      <c r="G413" s="55"/>
      <c r="H413" s="181"/>
      <c r="I413" s="55"/>
      <c r="J413" s="55"/>
      <c r="K413" s="55"/>
      <c r="L413" s="55"/>
      <c r="M413" s="55"/>
      <c r="N413" s="55"/>
      <c r="O413" s="55"/>
      <c r="P413" s="55"/>
      <c r="Q413" s="55"/>
      <c r="R413" s="55"/>
      <c r="S413" s="55"/>
      <c r="T413" s="55"/>
      <c r="U413" s="55"/>
      <c r="V413" s="55"/>
      <c r="W413" s="55"/>
      <c r="X413" s="55"/>
      <c r="Y413" s="55"/>
      <c r="Z413" s="55"/>
      <c r="AA413" s="55"/>
      <c r="AB413" s="55"/>
      <c r="AC413" s="55"/>
    </row>
    <row r="414">
      <c r="A414" s="53"/>
      <c r="B414" s="53"/>
      <c r="C414" s="55"/>
      <c r="D414" s="55"/>
      <c r="E414" s="55"/>
      <c r="F414" s="55"/>
      <c r="G414" s="55"/>
      <c r="H414" s="181"/>
      <c r="I414" s="55"/>
      <c r="J414" s="55"/>
      <c r="K414" s="55"/>
      <c r="L414" s="55"/>
      <c r="M414" s="55"/>
      <c r="N414" s="55"/>
      <c r="O414" s="55"/>
      <c r="P414" s="55"/>
      <c r="Q414" s="55"/>
      <c r="R414" s="55"/>
      <c r="S414" s="55"/>
      <c r="T414" s="55"/>
      <c r="U414" s="55"/>
      <c r="V414" s="55"/>
      <c r="W414" s="55"/>
      <c r="X414" s="55"/>
      <c r="Y414" s="55"/>
      <c r="Z414" s="55"/>
      <c r="AA414" s="55"/>
      <c r="AB414" s="55"/>
      <c r="AC414" s="55"/>
    </row>
    <row r="415">
      <c r="A415" s="53"/>
      <c r="B415" s="53"/>
      <c r="C415" s="55"/>
      <c r="D415" s="55"/>
      <c r="E415" s="55"/>
      <c r="F415" s="55"/>
      <c r="G415" s="55"/>
      <c r="H415" s="181"/>
      <c r="I415" s="55"/>
      <c r="J415" s="55"/>
      <c r="K415" s="55"/>
      <c r="L415" s="55"/>
      <c r="M415" s="55"/>
      <c r="N415" s="55"/>
      <c r="O415" s="55"/>
      <c r="P415" s="55"/>
      <c r="Q415" s="55"/>
      <c r="R415" s="55"/>
      <c r="S415" s="55"/>
      <c r="T415" s="55"/>
      <c r="U415" s="55"/>
      <c r="V415" s="55"/>
      <c r="W415" s="55"/>
      <c r="X415" s="55"/>
      <c r="Y415" s="55"/>
      <c r="Z415" s="55"/>
      <c r="AA415" s="55"/>
      <c r="AB415" s="55"/>
      <c r="AC415" s="55"/>
    </row>
    <row r="416">
      <c r="A416" s="53"/>
      <c r="B416" s="53"/>
      <c r="C416" s="55"/>
      <c r="D416" s="55"/>
      <c r="E416" s="55"/>
      <c r="F416" s="55"/>
      <c r="G416" s="55"/>
      <c r="H416" s="181"/>
      <c r="I416" s="55"/>
      <c r="J416" s="55"/>
      <c r="K416" s="55"/>
      <c r="L416" s="55"/>
      <c r="M416" s="55"/>
      <c r="N416" s="55"/>
      <c r="O416" s="55"/>
      <c r="P416" s="55"/>
      <c r="Q416" s="55"/>
      <c r="R416" s="55"/>
      <c r="S416" s="55"/>
      <c r="T416" s="55"/>
      <c r="U416" s="55"/>
      <c r="V416" s="55"/>
      <c r="W416" s="55"/>
      <c r="X416" s="55"/>
      <c r="Y416" s="55"/>
      <c r="Z416" s="55"/>
      <c r="AA416" s="55"/>
      <c r="AB416" s="55"/>
      <c r="AC416" s="55"/>
    </row>
    <row r="417">
      <c r="A417" s="53"/>
      <c r="B417" s="53"/>
      <c r="C417" s="55"/>
      <c r="D417" s="55"/>
      <c r="E417" s="55"/>
      <c r="F417" s="55"/>
      <c r="G417" s="55"/>
      <c r="H417" s="181"/>
      <c r="I417" s="55"/>
      <c r="J417" s="55"/>
      <c r="K417" s="55"/>
      <c r="L417" s="55"/>
      <c r="M417" s="55"/>
      <c r="N417" s="55"/>
      <c r="O417" s="55"/>
      <c r="P417" s="55"/>
      <c r="Q417" s="55"/>
      <c r="R417" s="55"/>
      <c r="S417" s="55"/>
      <c r="T417" s="55"/>
      <c r="U417" s="55"/>
      <c r="V417" s="55"/>
      <c r="W417" s="55"/>
      <c r="X417" s="55"/>
      <c r="Y417" s="55"/>
      <c r="Z417" s="55"/>
      <c r="AA417" s="55"/>
      <c r="AB417" s="55"/>
      <c r="AC417" s="55"/>
    </row>
    <row r="418">
      <c r="A418" s="53"/>
      <c r="B418" s="53"/>
      <c r="C418" s="55"/>
      <c r="D418" s="55"/>
      <c r="E418" s="55"/>
      <c r="F418" s="55"/>
      <c r="G418" s="55"/>
      <c r="H418" s="181"/>
      <c r="I418" s="55"/>
      <c r="J418" s="55"/>
      <c r="K418" s="55"/>
      <c r="L418" s="55"/>
      <c r="M418" s="55"/>
      <c r="N418" s="55"/>
      <c r="O418" s="55"/>
      <c r="P418" s="55"/>
      <c r="Q418" s="55"/>
      <c r="R418" s="55"/>
      <c r="S418" s="55"/>
      <c r="T418" s="55"/>
      <c r="U418" s="55"/>
      <c r="V418" s="55"/>
      <c r="W418" s="55"/>
      <c r="X418" s="55"/>
      <c r="Y418" s="55"/>
      <c r="Z418" s="55"/>
      <c r="AA418" s="55"/>
      <c r="AB418" s="55"/>
      <c r="AC418" s="55"/>
    </row>
    <row r="419">
      <c r="A419" s="53"/>
      <c r="B419" s="53"/>
      <c r="C419" s="55"/>
      <c r="D419" s="55"/>
      <c r="E419" s="55"/>
      <c r="F419" s="55"/>
      <c r="G419" s="55"/>
      <c r="H419" s="181"/>
      <c r="I419" s="55"/>
      <c r="J419" s="55"/>
      <c r="K419" s="55"/>
      <c r="L419" s="55"/>
      <c r="M419" s="55"/>
      <c r="N419" s="55"/>
      <c r="O419" s="55"/>
      <c r="P419" s="55"/>
      <c r="Q419" s="55"/>
      <c r="R419" s="55"/>
      <c r="S419" s="55"/>
      <c r="T419" s="55"/>
      <c r="U419" s="55"/>
      <c r="V419" s="55"/>
      <c r="W419" s="55"/>
      <c r="X419" s="55"/>
      <c r="Y419" s="55"/>
      <c r="Z419" s="55"/>
      <c r="AA419" s="55"/>
      <c r="AB419" s="55"/>
      <c r="AC419" s="55"/>
    </row>
    <row r="420">
      <c r="A420" s="53"/>
      <c r="B420" s="53"/>
      <c r="C420" s="55"/>
      <c r="D420" s="55"/>
      <c r="E420" s="55"/>
      <c r="F420" s="55"/>
      <c r="G420" s="55"/>
      <c r="H420" s="181"/>
      <c r="I420" s="55"/>
      <c r="J420" s="55"/>
      <c r="K420" s="55"/>
      <c r="L420" s="55"/>
      <c r="M420" s="55"/>
      <c r="N420" s="55"/>
      <c r="O420" s="55"/>
      <c r="P420" s="55"/>
      <c r="Q420" s="55"/>
      <c r="R420" s="55"/>
      <c r="S420" s="55"/>
      <c r="T420" s="55"/>
      <c r="U420" s="55"/>
      <c r="V420" s="55"/>
      <c r="W420" s="55"/>
      <c r="X420" s="55"/>
      <c r="Y420" s="55"/>
      <c r="Z420" s="55"/>
      <c r="AA420" s="55"/>
      <c r="AB420" s="55"/>
      <c r="AC420" s="55"/>
    </row>
    <row r="421">
      <c r="A421" s="53"/>
      <c r="B421" s="53"/>
      <c r="C421" s="55"/>
      <c r="D421" s="55"/>
      <c r="E421" s="55"/>
      <c r="F421" s="55"/>
      <c r="G421" s="55"/>
      <c r="H421" s="181"/>
      <c r="I421" s="55"/>
      <c r="J421" s="55"/>
      <c r="K421" s="55"/>
      <c r="L421" s="55"/>
      <c r="M421" s="55"/>
      <c r="N421" s="55"/>
      <c r="O421" s="55"/>
      <c r="P421" s="55"/>
      <c r="Q421" s="55"/>
      <c r="R421" s="55"/>
      <c r="S421" s="55"/>
      <c r="T421" s="55"/>
      <c r="U421" s="55"/>
      <c r="V421" s="55"/>
      <c r="W421" s="55"/>
      <c r="X421" s="55"/>
      <c r="Y421" s="55"/>
      <c r="Z421" s="55"/>
      <c r="AA421" s="55"/>
      <c r="AB421" s="55"/>
      <c r="AC421" s="55"/>
    </row>
    <row r="422">
      <c r="A422" s="53"/>
      <c r="B422" s="53"/>
      <c r="C422" s="55"/>
      <c r="D422" s="55"/>
      <c r="E422" s="55"/>
      <c r="F422" s="55"/>
      <c r="G422" s="55"/>
      <c r="H422" s="181"/>
      <c r="I422" s="55"/>
      <c r="J422" s="55"/>
      <c r="K422" s="55"/>
      <c r="L422" s="55"/>
      <c r="M422" s="55"/>
      <c r="N422" s="55"/>
      <c r="O422" s="55"/>
      <c r="P422" s="55"/>
      <c r="Q422" s="55"/>
      <c r="R422" s="55"/>
      <c r="S422" s="55"/>
      <c r="T422" s="55"/>
      <c r="U422" s="55"/>
      <c r="V422" s="55"/>
      <c r="W422" s="55"/>
      <c r="X422" s="55"/>
      <c r="Y422" s="55"/>
      <c r="Z422" s="55"/>
      <c r="AA422" s="55"/>
      <c r="AB422" s="55"/>
      <c r="AC422" s="55"/>
    </row>
    <row r="423">
      <c r="A423" s="53"/>
      <c r="B423" s="53"/>
      <c r="C423" s="55"/>
      <c r="D423" s="55"/>
      <c r="E423" s="55"/>
      <c r="F423" s="55"/>
      <c r="G423" s="55"/>
      <c r="H423" s="181"/>
      <c r="I423" s="55"/>
      <c r="J423" s="55"/>
      <c r="K423" s="55"/>
      <c r="L423" s="55"/>
      <c r="M423" s="55"/>
      <c r="N423" s="55"/>
      <c r="O423" s="55"/>
      <c r="P423" s="55"/>
      <c r="Q423" s="55"/>
      <c r="R423" s="55"/>
      <c r="S423" s="55"/>
      <c r="T423" s="55"/>
      <c r="U423" s="55"/>
      <c r="V423" s="55"/>
      <c r="W423" s="55"/>
      <c r="X423" s="55"/>
      <c r="Y423" s="55"/>
      <c r="Z423" s="55"/>
      <c r="AA423" s="55"/>
      <c r="AB423" s="55"/>
      <c r="AC423" s="55"/>
    </row>
    <row r="424">
      <c r="A424" s="53"/>
      <c r="B424" s="53"/>
      <c r="C424" s="55"/>
      <c r="D424" s="55"/>
      <c r="E424" s="55"/>
      <c r="F424" s="55"/>
      <c r="G424" s="55"/>
      <c r="H424" s="181"/>
      <c r="I424" s="55"/>
      <c r="J424" s="55"/>
      <c r="K424" s="55"/>
      <c r="L424" s="55"/>
      <c r="M424" s="55"/>
      <c r="N424" s="55"/>
      <c r="O424" s="55"/>
      <c r="P424" s="55"/>
      <c r="Q424" s="55"/>
      <c r="R424" s="55"/>
      <c r="S424" s="55"/>
      <c r="T424" s="55"/>
      <c r="U424" s="55"/>
      <c r="V424" s="55"/>
      <c r="W424" s="55"/>
      <c r="X424" s="55"/>
      <c r="Y424" s="55"/>
      <c r="Z424" s="55"/>
      <c r="AA424" s="55"/>
      <c r="AB424" s="55"/>
      <c r="AC424" s="55"/>
    </row>
    <row r="425">
      <c r="A425" s="53"/>
      <c r="B425" s="53"/>
      <c r="C425" s="55"/>
      <c r="D425" s="55"/>
      <c r="E425" s="55"/>
      <c r="F425" s="55"/>
      <c r="G425" s="55"/>
      <c r="H425" s="181"/>
      <c r="I425" s="55"/>
      <c r="J425" s="55"/>
      <c r="K425" s="55"/>
      <c r="L425" s="55"/>
      <c r="M425" s="55"/>
      <c r="N425" s="55"/>
      <c r="O425" s="55"/>
      <c r="P425" s="55"/>
      <c r="Q425" s="55"/>
      <c r="R425" s="55"/>
      <c r="S425" s="55"/>
      <c r="T425" s="55"/>
      <c r="U425" s="55"/>
      <c r="V425" s="55"/>
      <c r="W425" s="55"/>
      <c r="X425" s="55"/>
      <c r="Y425" s="55"/>
      <c r="Z425" s="55"/>
      <c r="AA425" s="55"/>
      <c r="AB425" s="55"/>
      <c r="AC425" s="55"/>
    </row>
    <row r="426">
      <c r="A426" s="53"/>
      <c r="B426" s="53"/>
      <c r="C426" s="55"/>
      <c r="D426" s="55"/>
      <c r="E426" s="55"/>
      <c r="F426" s="55"/>
      <c r="G426" s="55"/>
      <c r="H426" s="181"/>
      <c r="I426" s="55"/>
      <c r="J426" s="55"/>
      <c r="K426" s="55"/>
      <c r="L426" s="55"/>
      <c r="M426" s="55"/>
      <c r="N426" s="55"/>
      <c r="O426" s="55"/>
      <c r="P426" s="55"/>
      <c r="Q426" s="55"/>
      <c r="R426" s="55"/>
      <c r="S426" s="55"/>
      <c r="T426" s="55"/>
      <c r="U426" s="55"/>
      <c r="V426" s="55"/>
      <c r="W426" s="55"/>
      <c r="X426" s="55"/>
      <c r="Y426" s="55"/>
      <c r="Z426" s="55"/>
      <c r="AA426" s="55"/>
      <c r="AB426" s="55"/>
      <c r="AC426" s="55"/>
    </row>
    <row r="427">
      <c r="A427" s="53"/>
      <c r="B427" s="53"/>
      <c r="C427" s="55"/>
      <c r="D427" s="55"/>
      <c r="E427" s="55"/>
      <c r="F427" s="55"/>
      <c r="G427" s="55"/>
      <c r="H427" s="181"/>
      <c r="I427" s="55"/>
      <c r="J427" s="55"/>
      <c r="K427" s="55"/>
      <c r="L427" s="55"/>
      <c r="M427" s="55"/>
      <c r="N427" s="55"/>
      <c r="O427" s="55"/>
      <c r="P427" s="55"/>
      <c r="Q427" s="55"/>
      <c r="R427" s="55"/>
      <c r="S427" s="55"/>
      <c r="T427" s="55"/>
      <c r="U427" s="55"/>
      <c r="V427" s="55"/>
      <c r="W427" s="55"/>
      <c r="X427" s="55"/>
      <c r="Y427" s="55"/>
      <c r="Z427" s="55"/>
      <c r="AA427" s="55"/>
      <c r="AB427" s="55"/>
      <c r="AC427" s="55"/>
    </row>
    <row r="428">
      <c r="A428" s="53"/>
      <c r="B428" s="53"/>
      <c r="C428" s="55"/>
      <c r="D428" s="55"/>
      <c r="E428" s="55"/>
      <c r="F428" s="55"/>
      <c r="G428" s="55"/>
      <c r="H428" s="181"/>
      <c r="I428" s="55"/>
      <c r="J428" s="55"/>
      <c r="K428" s="55"/>
      <c r="L428" s="55"/>
      <c r="M428" s="55"/>
      <c r="N428" s="55"/>
      <c r="O428" s="55"/>
      <c r="P428" s="55"/>
      <c r="Q428" s="55"/>
      <c r="R428" s="55"/>
      <c r="S428" s="55"/>
      <c r="T428" s="55"/>
      <c r="U428" s="55"/>
      <c r="V428" s="55"/>
      <c r="W428" s="55"/>
      <c r="X428" s="55"/>
      <c r="Y428" s="55"/>
      <c r="Z428" s="55"/>
      <c r="AA428" s="55"/>
      <c r="AB428" s="55"/>
      <c r="AC428" s="55"/>
    </row>
    <row r="429">
      <c r="A429" s="53"/>
      <c r="B429" s="53"/>
      <c r="C429" s="55"/>
      <c r="D429" s="55"/>
      <c r="E429" s="55"/>
      <c r="F429" s="55"/>
      <c r="G429" s="55"/>
      <c r="H429" s="181"/>
      <c r="I429" s="55"/>
      <c r="J429" s="55"/>
      <c r="K429" s="55"/>
      <c r="L429" s="55"/>
      <c r="M429" s="55"/>
      <c r="N429" s="55"/>
      <c r="O429" s="55"/>
      <c r="P429" s="55"/>
      <c r="Q429" s="55"/>
      <c r="R429" s="55"/>
      <c r="S429" s="55"/>
      <c r="T429" s="55"/>
      <c r="U429" s="55"/>
      <c r="V429" s="55"/>
      <c r="W429" s="55"/>
      <c r="X429" s="55"/>
      <c r="Y429" s="55"/>
      <c r="Z429" s="55"/>
      <c r="AA429" s="55"/>
      <c r="AB429" s="55"/>
      <c r="AC429" s="55"/>
    </row>
    <row r="430">
      <c r="A430" s="53"/>
      <c r="B430" s="53"/>
      <c r="C430" s="55"/>
      <c r="D430" s="55"/>
      <c r="E430" s="55"/>
      <c r="F430" s="55"/>
      <c r="G430" s="55"/>
      <c r="H430" s="181"/>
      <c r="I430" s="55"/>
      <c r="J430" s="55"/>
      <c r="K430" s="55"/>
      <c r="L430" s="55"/>
      <c r="M430" s="55"/>
      <c r="N430" s="55"/>
      <c r="O430" s="55"/>
      <c r="P430" s="55"/>
      <c r="Q430" s="55"/>
      <c r="R430" s="55"/>
      <c r="S430" s="55"/>
      <c r="T430" s="55"/>
      <c r="U430" s="55"/>
      <c r="V430" s="55"/>
      <c r="W430" s="55"/>
      <c r="X430" s="55"/>
      <c r="Y430" s="55"/>
      <c r="Z430" s="55"/>
      <c r="AA430" s="55"/>
      <c r="AB430" s="55"/>
      <c r="AC430" s="55"/>
    </row>
    <row r="431">
      <c r="A431" s="53"/>
      <c r="B431" s="53"/>
      <c r="C431" s="55"/>
      <c r="D431" s="55"/>
      <c r="E431" s="55"/>
      <c r="F431" s="55"/>
      <c r="G431" s="55"/>
      <c r="H431" s="181"/>
      <c r="I431" s="55"/>
      <c r="J431" s="55"/>
      <c r="K431" s="55"/>
      <c r="L431" s="55"/>
      <c r="M431" s="55"/>
      <c r="N431" s="55"/>
      <c r="O431" s="55"/>
      <c r="P431" s="55"/>
      <c r="Q431" s="55"/>
      <c r="R431" s="55"/>
      <c r="S431" s="55"/>
      <c r="T431" s="55"/>
      <c r="U431" s="55"/>
      <c r="V431" s="55"/>
      <c r="W431" s="55"/>
      <c r="X431" s="55"/>
      <c r="Y431" s="55"/>
      <c r="Z431" s="55"/>
      <c r="AA431" s="55"/>
      <c r="AB431" s="55"/>
      <c r="AC431" s="55"/>
    </row>
    <row r="432">
      <c r="A432" s="53"/>
      <c r="B432" s="53"/>
      <c r="C432" s="55"/>
      <c r="D432" s="55"/>
      <c r="E432" s="55"/>
      <c r="F432" s="55"/>
      <c r="G432" s="55"/>
      <c r="H432" s="181"/>
      <c r="I432" s="55"/>
      <c r="J432" s="55"/>
      <c r="K432" s="55"/>
      <c r="L432" s="55"/>
      <c r="M432" s="55"/>
      <c r="N432" s="55"/>
      <c r="O432" s="55"/>
      <c r="P432" s="55"/>
      <c r="Q432" s="55"/>
      <c r="R432" s="55"/>
      <c r="S432" s="55"/>
      <c r="T432" s="55"/>
      <c r="U432" s="55"/>
      <c r="V432" s="55"/>
      <c r="W432" s="55"/>
      <c r="X432" s="55"/>
      <c r="Y432" s="55"/>
      <c r="Z432" s="55"/>
      <c r="AA432" s="55"/>
      <c r="AB432" s="55"/>
      <c r="AC432" s="55"/>
    </row>
    <row r="433">
      <c r="A433" s="53"/>
      <c r="B433" s="53"/>
      <c r="C433" s="55"/>
      <c r="D433" s="55"/>
      <c r="E433" s="55"/>
      <c r="F433" s="55"/>
      <c r="G433" s="55"/>
      <c r="H433" s="181"/>
      <c r="I433" s="55"/>
      <c r="J433" s="55"/>
      <c r="K433" s="55"/>
      <c r="L433" s="55"/>
      <c r="M433" s="55"/>
      <c r="N433" s="55"/>
      <c r="O433" s="55"/>
      <c r="P433" s="55"/>
      <c r="Q433" s="55"/>
      <c r="R433" s="55"/>
      <c r="S433" s="55"/>
      <c r="T433" s="55"/>
      <c r="U433" s="55"/>
      <c r="V433" s="55"/>
      <c r="W433" s="55"/>
      <c r="X433" s="55"/>
      <c r="Y433" s="55"/>
      <c r="Z433" s="55"/>
      <c r="AA433" s="55"/>
      <c r="AB433" s="55"/>
      <c r="AC433" s="55"/>
    </row>
    <row r="434">
      <c r="A434" s="53"/>
      <c r="B434" s="53"/>
      <c r="C434" s="55"/>
      <c r="D434" s="55"/>
      <c r="E434" s="55"/>
      <c r="F434" s="55"/>
      <c r="G434" s="55"/>
      <c r="H434" s="181"/>
      <c r="I434" s="55"/>
      <c r="J434" s="55"/>
      <c r="K434" s="55"/>
      <c r="L434" s="55"/>
      <c r="M434" s="55"/>
      <c r="N434" s="55"/>
      <c r="O434" s="55"/>
      <c r="P434" s="55"/>
      <c r="Q434" s="55"/>
      <c r="R434" s="55"/>
      <c r="S434" s="55"/>
      <c r="T434" s="55"/>
      <c r="U434" s="55"/>
      <c r="V434" s="55"/>
      <c r="W434" s="55"/>
      <c r="X434" s="55"/>
      <c r="Y434" s="55"/>
      <c r="Z434" s="55"/>
      <c r="AA434" s="55"/>
      <c r="AB434" s="55"/>
      <c r="AC434" s="55"/>
    </row>
    <row r="435">
      <c r="A435" s="53"/>
      <c r="B435" s="53"/>
      <c r="C435" s="55"/>
      <c r="D435" s="55"/>
      <c r="E435" s="55"/>
      <c r="F435" s="55"/>
      <c r="G435" s="55"/>
      <c r="H435" s="181"/>
      <c r="I435" s="55"/>
      <c r="J435" s="55"/>
      <c r="K435" s="55"/>
      <c r="L435" s="55"/>
      <c r="M435" s="55"/>
      <c r="N435" s="55"/>
      <c r="O435" s="55"/>
      <c r="P435" s="55"/>
      <c r="Q435" s="55"/>
      <c r="R435" s="55"/>
      <c r="S435" s="55"/>
      <c r="T435" s="55"/>
      <c r="U435" s="55"/>
      <c r="V435" s="55"/>
      <c r="W435" s="55"/>
      <c r="X435" s="55"/>
      <c r="Y435" s="55"/>
      <c r="Z435" s="55"/>
      <c r="AA435" s="55"/>
      <c r="AB435" s="55"/>
      <c r="AC435" s="55"/>
    </row>
    <row r="436">
      <c r="A436" s="53"/>
      <c r="B436" s="53"/>
      <c r="C436" s="55"/>
      <c r="D436" s="55"/>
      <c r="E436" s="55"/>
      <c r="F436" s="55"/>
      <c r="G436" s="55"/>
      <c r="H436" s="181"/>
      <c r="I436" s="55"/>
      <c r="J436" s="55"/>
      <c r="K436" s="55"/>
      <c r="L436" s="55"/>
      <c r="M436" s="55"/>
      <c r="N436" s="55"/>
      <c r="O436" s="55"/>
      <c r="P436" s="55"/>
      <c r="Q436" s="55"/>
      <c r="R436" s="55"/>
      <c r="S436" s="55"/>
      <c r="T436" s="55"/>
      <c r="U436" s="55"/>
      <c r="V436" s="55"/>
      <c r="W436" s="55"/>
      <c r="X436" s="55"/>
      <c r="Y436" s="55"/>
      <c r="Z436" s="55"/>
      <c r="AA436" s="55"/>
      <c r="AB436" s="55"/>
      <c r="AC436" s="55"/>
    </row>
    <row r="437">
      <c r="A437" s="53"/>
      <c r="B437" s="53"/>
      <c r="C437" s="55"/>
      <c r="D437" s="55"/>
      <c r="E437" s="55"/>
      <c r="F437" s="55"/>
      <c r="G437" s="55"/>
      <c r="H437" s="181"/>
      <c r="I437" s="55"/>
      <c r="J437" s="55"/>
      <c r="K437" s="55"/>
      <c r="L437" s="55"/>
      <c r="M437" s="55"/>
      <c r="N437" s="55"/>
      <c r="O437" s="55"/>
      <c r="P437" s="55"/>
      <c r="Q437" s="55"/>
      <c r="R437" s="55"/>
      <c r="S437" s="55"/>
      <c r="T437" s="55"/>
      <c r="U437" s="55"/>
      <c r="V437" s="55"/>
      <c r="W437" s="55"/>
      <c r="X437" s="55"/>
      <c r="Y437" s="55"/>
      <c r="Z437" s="55"/>
      <c r="AA437" s="55"/>
      <c r="AB437" s="55"/>
      <c r="AC437" s="55"/>
    </row>
    <row r="438">
      <c r="A438" s="53"/>
      <c r="B438" s="53"/>
      <c r="C438" s="55"/>
      <c r="D438" s="55"/>
      <c r="E438" s="55"/>
      <c r="F438" s="55"/>
      <c r="G438" s="55"/>
      <c r="H438" s="181"/>
      <c r="I438" s="55"/>
      <c r="J438" s="55"/>
      <c r="K438" s="55"/>
      <c r="L438" s="55"/>
      <c r="M438" s="55"/>
      <c r="N438" s="55"/>
      <c r="O438" s="55"/>
      <c r="P438" s="55"/>
      <c r="Q438" s="55"/>
      <c r="R438" s="55"/>
      <c r="S438" s="55"/>
      <c r="T438" s="55"/>
      <c r="U438" s="55"/>
      <c r="V438" s="55"/>
      <c r="W438" s="55"/>
      <c r="X438" s="55"/>
      <c r="Y438" s="55"/>
      <c r="Z438" s="55"/>
      <c r="AA438" s="55"/>
      <c r="AB438" s="55"/>
      <c r="AC438" s="55"/>
    </row>
    <row r="439">
      <c r="A439" s="53"/>
      <c r="B439" s="53"/>
      <c r="C439" s="55"/>
      <c r="D439" s="55"/>
      <c r="E439" s="55"/>
      <c r="F439" s="55"/>
      <c r="G439" s="55"/>
      <c r="H439" s="181"/>
      <c r="I439" s="55"/>
      <c r="J439" s="55"/>
      <c r="K439" s="55"/>
      <c r="L439" s="55"/>
      <c r="M439" s="55"/>
      <c r="N439" s="55"/>
      <c r="O439" s="55"/>
      <c r="P439" s="55"/>
      <c r="Q439" s="55"/>
      <c r="R439" s="55"/>
      <c r="S439" s="55"/>
      <c r="T439" s="55"/>
      <c r="U439" s="55"/>
      <c r="V439" s="55"/>
      <c r="W439" s="55"/>
      <c r="X439" s="55"/>
      <c r="Y439" s="55"/>
      <c r="Z439" s="55"/>
      <c r="AA439" s="55"/>
      <c r="AB439" s="55"/>
      <c r="AC439" s="55"/>
    </row>
    <row r="440">
      <c r="A440" s="53"/>
      <c r="B440" s="53"/>
      <c r="C440" s="55"/>
      <c r="D440" s="55"/>
      <c r="E440" s="55"/>
      <c r="F440" s="55"/>
      <c r="G440" s="55"/>
      <c r="H440" s="181"/>
      <c r="I440" s="55"/>
      <c r="J440" s="55"/>
      <c r="K440" s="55"/>
      <c r="L440" s="55"/>
      <c r="M440" s="55"/>
      <c r="N440" s="55"/>
      <c r="O440" s="55"/>
      <c r="P440" s="55"/>
      <c r="Q440" s="55"/>
      <c r="R440" s="55"/>
      <c r="S440" s="55"/>
      <c r="T440" s="55"/>
      <c r="U440" s="55"/>
      <c r="V440" s="55"/>
      <c r="W440" s="55"/>
      <c r="X440" s="55"/>
      <c r="Y440" s="55"/>
      <c r="Z440" s="55"/>
      <c r="AA440" s="55"/>
      <c r="AB440" s="55"/>
      <c r="AC440" s="55"/>
    </row>
    <row r="441">
      <c r="A441" s="53"/>
      <c r="B441" s="53"/>
      <c r="C441" s="55"/>
      <c r="D441" s="55"/>
      <c r="E441" s="55"/>
      <c r="F441" s="55"/>
      <c r="G441" s="55"/>
      <c r="H441" s="181"/>
      <c r="I441" s="55"/>
      <c r="J441" s="55"/>
      <c r="K441" s="55"/>
      <c r="L441" s="55"/>
      <c r="M441" s="55"/>
      <c r="N441" s="55"/>
      <c r="O441" s="55"/>
      <c r="P441" s="55"/>
      <c r="Q441" s="55"/>
      <c r="R441" s="55"/>
      <c r="S441" s="55"/>
      <c r="T441" s="55"/>
      <c r="U441" s="55"/>
      <c r="V441" s="55"/>
      <c r="W441" s="55"/>
      <c r="X441" s="55"/>
      <c r="Y441" s="55"/>
      <c r="Z441" s="55"/>
      <c r="AA441" s="55"/>
      <c r="AB441" s="55"/>
      <c r="AC441" s="55"/>
    </row>
    <row r="442">
      <c r="A442" s="53"/>
      <c r="B442" s="53"/>
      <c r="C442" s="55"/>
      <c r="D442" s="55"/>
      <c r="E442" s="55"/>
      <c r="F442" s="55"/>
      <c r="G442" s="55"/>
      <c r="H442" s="181"/>
      <c r="I442" s="55"/>
      <c r="J442" s="55"/>
      <c r="K442" s="55"/>
      <c r="L442" s="55"/>
      <c r="M442" s="55"/>
      <c r="N442" s="55"/>
      <c r="O442" s="55"/>
      <c r="P442" s="55"/>
      <c r="Q442" s="55"/>
      <c r="R442" s="55"/>
      <c r="S442" s="55"/>
      <c r="T442" s="55"/>
      <c r="U442" s="55"/>
      <c r="V442" s="55"/>
      <c r="W442" s="55"/>
      <c r="X442" s="55"/>
      <c r="Y442" s="55"/>
      <c r="Z442" s="55"/>
      <c r="AA442" s="55"/>
      <c r="AB442" s="55"/>
      <c r="AC442" s="55"/>
    </row>
    <row r="443">
      <c r="A443" s="53"/>
      <c r="B443" s="53"/>
      <c r="C443" s="55"/>
      <c r="D443" s="55"/>
      <c r="E443" s="55"/>
      <c r="F443" s="55"/>
      <c r="G443" s="55"/>
      <c r="H443" s="181"/>
      <c r="I443" s="55"/>
      <c r="J443" s="55"/>
      <c r="K443" s="55"/>
      <c r="L443" s="55"/>
      <c r="M443" s="55"/>
      <c r="N443" s="55"/>
      <c r="O443" s="55"/>
      <c r="P443" s="55"/>
      <c r="Q443" s="55"/>
      <c r="R443" s="55"/>
      <c r="S443" s="55"/>
      <c r="T443" s="55"/>
      <c r="U443" s="55"/>
      <c r="V443" s="55"/>
      <c r="W443" s="55"/>
      <c r="X443" s="55"/>
      <c r="Y443" s="55"/>
      <c r="Z443" s="55"/>
      <c r="AA443" s="55"/>
      <c r="AB443" s="55"/>
      <c r="AC443" s="55"/>
    </row>
    <row r="444">
      <c r="A444" s="53"/>
      <c r="B444" s="53"/>
      <c r="C444" s="55"/>
      <c r="D444" s="55"/>
      <c r="E444" s="55"/>
      <c r="F444" s="55"/>
      <c r="G444" s="55"/>
      <c r="H444" s="181"/>
      <c r="I444" s="55"/>
      <c r="J444" s="55"/>
      <c r="K444" s="55"/>
      <c r="L444" s="55"/>
      <c r="M444" s="55"/>
      <c r="N444" s="55"/>
      <c r="O444" s="55"/>
      <c r="P444" s="55"/>
      <c r="Q444" s="55"/>
      <c r="R444" s="55"/>
      <c r="S444" s="55"/>
      <c r="T444" s="55"/>
      <c r="U444" s="55"/>
      <c r="V444" s="55"/>
      <c r="W444" s="55"/>
      <c r="X444" s="55"/>
      <c r="Y444" s="55"/>
      <c r="Z444" s="55"/>
      <c r="AA444" s="55"/>
      <c r="AB444" s="55"/>
      <c r="AC444" s="55"/>
    </row>
    <row r="445">
      <c r="A445" s="53"/>
      <c r="B445" s="53"/>
      <c r="C445" s="55"/>
      <c r="D445" s="55"/>
      <c r="E445" s="55"/>
      <c r="F445" s="55"/>
      <c r="G445" s="55"/>
      <c r="H445" s="181"/>
      <c r="I445" s="55"/>
      <c r="J445" s="55"/>
      <c r="K445" s="55"/>
      <c r="L445" s="55"/>
      <c r="M445" s="55"/>
      <c r="N445" s="55"/>
      <c r="O445" s="55"/>
      <c r="P445" s="55"/>
      <c r="Q445" s="55"/>
      <c r="R445" s="55"/>
      <c r="S445" s="55"/>
      <c r="T445" s="55"/>
      <c r="U445" s="55"/>
      <c r="V445" s="55"/>
      <c r="W445" s="55"/>
      <c r="X445" s="55"/>
      <c r="Y445" s="55"/>
      <c r="Z445" s="55"/>
      <c r="AA445" s="55"/>
      <c r="AB445" s="55"/>
      <c r="AC445" s="55"/>
    </row>
    <row r="446">
      <c r="A446" s="53"/>
      <c r="B446" s="53"/>
      <c r="C446" s="55"/>
      <c r="D446" s="55"/>
      <c r="E446" s="55"/>
      <c r="F446" s="55"/>
      <c r="G446" s="55"/>
      <c r="H446" s="181"/>
      <c r="I446" s="55"/>
      <c r="J446" s="55"/>
      <c r="K446" s="55"/>
      <c r="L446" s="55"/>
      <c r="M446" s="55"/>
      <c r="N446" s="55"/>
      <c r="O446" s="55"/>
      <c r="P446" s="55"/>
      <c r="Q446" s="55"/>
      <c r="R446" s="55"/>
      <c r="S446" s="55"/>
      <c r="T446" s="55"/>
      <c r="U446" s="55"/>
      <c r="V446" s="55"/>
      <c r="W446" s="55"/>
      <c r="X446" s="55"/>
      <c r="Y446" s="55"/>
      <c r="Z446" s="55"/>
      <c r="AA446" s="55"/>
      <c r="AB446" s="55"/>
      <c r="AC446" s="55"/>
    </row>
    <row r="447">
      <c r="A447" s="53"/>
      <c r="B447" s="53"/>
      <c r="C447" s="55"/>
      <c r="D447" s="55"/>
      <c r="E447" s="55"/>
      <c r="F447" s="55"/>
      <c r="G447" s="55"/>
      <c r="H447" s="181"/>
      <c r="I447" s="55"/>
      <c r="J447" s="55"/>
      <c r="K447" s="55"/>
      <c r="L447" s="55"/>
      <c r="M447" s="55"/>
      <c r="N447" s="55"/>
      <c r="O447" s="55"/>
      <c r="P447" s="55"/>
      <c r="Q447" s="55"/>
      <c r="R447" s="55"/>
      <c r="S447" s="55"/>
      <c r="T447" s="55"/>
      <c r="U447" s="55"/>
      <c r="V447" s="55"/>
      <c r="W447" s="55"/>
      <c r="X447" s="55"/>
      <c r="Y447" s="55"/>
      <c r="Z447" s="55"/>
      <c r="AA447" s="55"/>
      <c r="AB447" s="55"/>
      <c r="AC447" s="55"/>
    </row>
    <row r="448">
      <c r="A448" s="53"/>
      <c r="B448" s="53"/>
      <c r="C448" s="55"/>
      <c r="D448" s="55"/>
      <c r="E448" s="55"/>
      <c r="F448" s="55"/>
      <c r="G448" s="55"/>
      <c r="H448" s="181"/>
      <c r="I448" s="55"/>
      <c r="J448" s="55"/>
      <c r="K448" s="55"/>
      <c r="L448" s="55"/>
      <c r="M448" s="55"/>
      <c r="N448" s="55"/>
      <c r="O448" s="55"/>
      <c r="P448" s="55"/>
      <c r="Q448" s="55"/>
      <c r="R448" s="55"/>
      <c r="S448" s="55"/>
      <c r="T448" s="55"/>
      <c r="U448" s="55"/>
      <c r="V448" s="55"/>
      <c r="W448" s="55"/>
      <c r="X448" s="55"/>
      <c r="Y448" s="55"/>
      <c r="Z448" s="55"/>
      <c r="AA448" s="55"/>
      <c r="AB448" s="55"/>
      <c r="AC448" s="55"/>
    </row>
    <row r="449">
      <c r="A449" s="53"/>
      <c r="B449" s="53"/>
      <c r="C449" s="55"/>
      <c r="D449" s="55"/>
      <c r="E449" s="55"/>
      <c r="F449" s="55"/>
      <c r="G449" s="55"/>
      <c r="H449" s="181"/>
      <c r="I449" s="55"/>
      <c r="J449" s="55"/>
      <c r="K449" s="55"/>
      <c r="L449" s="55"/>
      <c r="M449" s="55"/>
      <c r="N449" s="55"/>
      <c r="O449" s="55"/>
      <c r="P449" s="55"/>
      <c r="Q449" s="55"/>
      <c r="R449" s="55"/>
      <c r="S449" s="55"/>
      <c r="T449" s="55"/>
      <c r="U449" s="55"/>
      <c r="V449" s="55"/>
      <c r="W449" s="55"/>
      <c r="X449" s="55"/>
      <c r="Y449" s="55"/>
      <c r="Z449" s="55"/>
      <c r="AA449" s="55"/>
      <c r="AB449" s="55"/>
      <c r="AC449" s="55"/>
    </row>
    <row r="450">
      <c r="A450" s="53"/>
      <c r="B450" s="53"/>
      <c r="C450" s="55"/>
      <c r="D450" s="55"/>
      <c r="E450" s="55"/>
      <c r="F450" s="55"/>
      <c r="G450" s="55"/>
      <c r="H450" s="181"/>
      <c r="I450" s="55"/>
      <c r="J450" s="55"/>
      <c r="K450" s="55"/>
      <c r="L450" s="55"/>
      <c r="M450" s="55"/>
      <c r="N450" s="55"/>
      <c r="O450" s="55"/>
      <c r="P450" s="55"/>
      <c r="Q450" s="55"/>
      <c r="R450" s="55"/>
      <c r="S450" s="55"/>
      <c r="T450" s="55"/>
      <c r="U450" s="55"/>
      <c r="V450" s="55"/>
      <c r="W450" s="55"/>
      <c r="X450" s="55"/>
      <c r="Y450" s="55"/>
      <c r="Z450" s="55"/>
      <c r="AA450" s="55"/>
      <c r="AB450" s="55"/>
      <c r="AC450" s="55"/>
    </row>
    <row r="451">
      <c r="A451" s="53"/>
      <c r="B451" s="53"/>
      <c r="C451" s="55"/>
      <c r="D451" s="55"/>
      <c r="E451" s="55"/>
      <c r="F451" s="55"/>
      <c r="G451" s="55"/>
      <c r="H451" s="181"/>
      <c r="I451" s="55"/>
      <c r="J451" s="55"/>
      <c r="K451" s="55"/>
      <c r="L451" s="55"/>
      <c r="M451" s="55"/>
      <c r="N451" s="55"/>
      <c r="O451" s="55"/>
      <c r="P451" s="55"/>
      <c r="Q451" s="55"/>
      <c r="R451" s="55"/>
      <c r="S451" s="55"/>
      <c r="T451" s="55"/>
      <c r="U451" s="55"/>
      <c r="V451" s="55"/>
      <c r="W451" s="55"/>
      <c r="X451" s="55"/>
      <c r="Y451" s="55"/>
      <c r="Z451" s="55"/>
      <c r="AA451" s="55"/>
      <c r="AB451" s="55"/>
      <c r="AC451" s="55"/>
    </row>
    <row r="452">
      <c r="A452" s="53"/>
      <c r="B452" s="53"/>
      <c r="C452" s="55"/>
      <c r="D452" s="55"/>
      <c r="E452" s="55"/>
      <c r="F452" s="55"/>
      <c r="G452" s="55"/>
      <c r="H452" s="181"/>
      <c r="I452" s="55"/>
      <c r="J452" s="55"/>
      <c r="K452" s="55"/>
      <c r="L452" s="55"/>
      <c r="M452" s="55"/>
      <c r="N452" s="55"/>
      <c r="O452" s="55"/>
      <c r="P452" s="55"/>
      <c r="Q452" s="55"/>
      <c r="R452" s="55"/>
      <c r="S452" s="55"/>
      <c r="T452" s="55"/>
      <c r="U452" s="55"/>
      <c r="V452" s="55"/>
      <c r="W452" s="55"/>
      <c r="X452" s="55"/>
      <c r="Y452" s="55"/>
      <c r="Z452" s="55"/>
      <c r="AA452" s="55"/>
      <c r="AB452" s="55"/>
      <c r="AC452" s="55"/>
    </row>
    <row r="453">
      <c r="A453" s="53"/>
      <c r="B453" s="53"/>
      <c r="C453" s="55"/>
      <c r="D453" s="55"/>
      <c r="E453" s="55"/>
      <c r="F453" s="55"/>
      <c r="G453" s="55"/>
      <c r="H453" s="181"/>
      <c r="I453" s="55"/>
      <c r="J453" s="55"/>
      <c r="K453" s="55"/>
      <c r="L453" s="55"/>
      <c r="M453" s="55"/>
      <c r="N453" s="55"/>
      <c r="O453" s="55"/>
      <c r="P453" s="55"/>
      <c r="Q453" s="55"/>
      <c r="R453" s="55"/>
      <c r="S453" s="55"/>
      <c r="T453" s="55"/>
      <c r="U453" s="55"/>
      <c r="V453" s="55"/>
      <c r="W453" s="55"/>
      <c r="X453" s="55"/>
      <c r="Y453" s="55"/>
      <c r="Z453" s="55"/>
      <c r="AA453" s="55"/>
      <c r="AB453" s="55"/>
      <c r="AC453" s="55"/>
    </row>
    <row r="454">
      <c r="A454" s="53"/>
      <c r="B454" s="53"/>
      <c r="C454" s="55"/>
      <c r="D454" s="55"/>
      <c r="E454" s="55"/>
      <c r="F454" s="55"/>
      <c r="G454" s="55"/>
      <c r="H454" s="181"/>
      <c r="I454" s="55"/>
      <c r="J454" s="55"/>
      <c r="K454" s="55"/>
      <c r="L454" s="55"/>
      <c r="M454" s="55"/>
      <c r="N454" s="55"/>
      <c r="O454" s="55"/>
      <c r="P454" s="55"/>
      <c r="Q454" s="55"/>
      <c r="R454" s="55"/>
      <c r="S454" s="55"/>
      <c r="T454" s="55"/>
      <c r="U454" s="55"/>
      <c r="V454" s="55"/>
      <c r="W454" s="55"/>
      <c r="X454" s="55"/>
      <c r="Y454" s="55"/>
      <c r="Z454" s="55"/>
      <c r="AA454" s="55"/>
      <c r="AB454" s="55"/>
      <c r="AC454" s="55"/>
    </row>
    <row r="455">
      <c r="A455" s="53"/>
      <c r="B455" s="53"/>
      <c r="C455" s="55"/>
      <c r="D455" s="55"/>
      <c r="E455" s="55"/>
      <c r="F455" s="55"/>
      <c r="G455" s="55"/>
      <c r="H455" s="181"/>
      <c r="I455" s="55"/>
      <c r="J455" s="55"/>
      <c r="K455" s="55"/>
      <c r="L455" s="55"/>
      <c r="M455" s="55"/>
      <c r="N455" s="55"/>
      <c r="O455" s="55"/>
      <c r="P455" s="55"/>
      <c r="Q455" s="55"/>
      <c r="R455" s="55"/>
      <c r="S455" s="55"/>
      <c r="T455" s="55"/>
      <c r="U455" s="55"/>
      <c r="V455" s="55"/>
      <c r="W455" s="55"/>
      <c r="X455" s="55"/>
      <c r="Y455" s="55"/>
      <c r="Z455" s="55"/>
      <c r="AA455" s="55"/>
      <c r="AB455" s="55"/>
      <c r="AC455" s="55"/>
    </row>
    <row r="456">
      <c r="A456" s="53"/>
      <c r="B456" s="53"/>
      <c r="C456" s="55"/>
      <c r="D456" s="55"/>
      <c r="E456" s="55"/>
      <c r="F456" s="55"/>
      <c r="G456" s="55"/>
      <c r="H456" s="181"/>
      <c r="I456" s="55"/>
      <c r="J456" s="55"/>
      <c r="K456" s="55"/>
      <c r="L456" s="55"/>
      <c r="M456" s="55"/>
      <c r="N456" s="55"/>
      <c r="O456" s="55"/>
      <c r="P456" s="55"/>
      <c r="Q456" s="55"/>
      <c r="R456" s="55"/>
      <c r="S456" s="55"/>
      <c r="T456" s="55"/>
      <c r="U456" s="55"/>
      <c r="V456" s="55"/>
      <c r="W456" s="55"/>
      <c r="X456" s="55"/>
      <c r="Y456" s="55"/>
      <c r="Z456" s="55"/>
      <c r="AA456" s="55"/>
      <c r="AB456" s="55"/>
      <c r="AC456" s="55"/>
    </row>
    <row r="457">
      <c r="A457" s="53"/>
      <c r="B457" s="53"/>
      <c r="C457" s="55"/>
      <c r="D457" s="55"/>
      <c r="E457" s="55"/>
      <c r="F457" s="55"/>
      <c r="G457" s="55"/>
      <c r="H457" s="181"/>
      <c r="I457" s="55"/>
      <c r="J457" s="55"/>
      <c r="K457" s="55"/>
      <c r="L457" s="55"/>
      <c r="M457" s="55"/>
      <c r="N457" s="55"/>
      <c r="O457" s="55"/>
      <c r="P457" s="55"/>
      <c r="Q457" s="55"/>
      <c r="R457" s="55"/>
      <c r="S457" s="55"/>
      <c r="T457" s="55"/>
      <c r="U457" s="55"/>
      <c r="V457" s="55"/>
      <c r="W457" s="55"/>
      <c r="X457" s="55"/>
      <c r="Y457" s="55"/>
      <c r="Z457" s="55"/>
      <c r="AA457" s="55"/>
      <c r="AB457" s="55"/>
      <c r="AC457" s="55"/>
    </row>
    <row r="458">
      <c r="A458" s="53"/>
      <c r="B458" s="53"/>
      <c r="C458" s="55"/>
      <c r="D458" s="55"/>
      <c r="E458" s="55"/>
      <c r="F458" s="55"/>
      <c r="G458" s="55"/>
      <c r="H458" s="181"/>
      <c r="I458" s="55"/>
      <c r="J458" s="55"/>
      <c r="K458" s="55"/>
      <c r="L458" s="55"/>
      <c r="M458" s="55"/>
      <c r="N458" s="55"/>
      <c r="O458" s="55"/>
      <c r="P458" s="55"/>
      <c r="Q458" s="55"/>
      <c r="R458" s="55"/>
      <c r="S458" s="55"/>
      <c r="T458" s="55"/>
      <c r="U458" s="55"/>
      <c r="V458" s="55"/>
      <c r="W458" s="55"/>
      <c r="X458" s="55"/>
      <c r="Y458" s="55"/>
      <c r="Z458" s="55"/>
      <c r="AA458" s="55"/>
      <c r="AB458" s="55"/>
      <c r="AC458" s="55"/>
    </row>
    <row r="459">
      <c r="A459" s="53"/>
      <c r="B459" s="53"/>
      <c r="C459" s="55"/>
      <c r="D459" s="55"/>
      <c r="E459" s="55"/>
      <c r="F459" s="55"/>
      <c r="G459" s="55"/>
      <c r="H459" s="181"/>
      <c r="I459" s="55"/>
      <c r="J459" s="55"/>
      <c r="K459" s="55"/>
      <c r="L459" s="55"/>
      <c r="M459" s="55"/>
      <c r="N459" s="55"/>
      <c r="O459" s="55"/>
      <c r="P459" s="55"/>
      <c r="Q459" s="55"/>
      <c r="R459" s="55"/>
      <c r="S459" s="55"/>
      <c r="T459" s="55"/>
      <c r="U459" s="55"/>
      <c r="V459" s="55"/>
      <c r="W459" s="55"/>
      <c r="X459" s="55"/>
      <c r="Y459" s="55"/>
      <c r="Z459" s="55"/>
      <c r="AA459" s="55"/>
      <c r="AB459" s="55"/>
      <c r="AC459" s="55"/>
    </row>
    <row r="460">
      <c r="A460" s="53"/>
      <c r="B460" s="53"/>
      <c r="C460" s="55"/>
      <c r="D460" s="55"/>
      <c r="E460" s="55"/>
      <c r="F460" s="55"/>
      <c r="G460" s="55"/>
      <c r="H460" s="181"/>
      <c r="I460" s="55"/>
      <c r="J460" s="55"/>
      <c r="K460" s="55"/>
      <c r="L460" s="55"/>
      <c r="M460" s="55"/>
      <c r="N460" s="55"/>
      <c r="O460" s="55"/>
      <c r="P460" s="55"/>
      <c r="Q460" s="55"/>
      <c r="R460" s="55"/>
      <c r="S460" s="55"/>
      <c r="T460" s="55"/>
      <c r="U460" s="55"/>
      <c r="V460" s="55"/>
      <c r="W460" s="55"/>
      <c r="X460" s="55"/>
      <c r="Y460" s="55"/>
      <c r="Z460" s="55"/>
      <c r="AA460" s="55"/>
      <c r="AB460" s="55"/>
      <c r="AC460" s="55"/>
    </row>
    <row r="461">
      <c r="A461" s="53"/>
      <c r="B461" s="53"/>
      <c r="C461" s="55"/>
      <c r="D461" s="55"/>
      <c r="E461" s="55"/>
      <c r="F461" s="55"/>
      <c r="G461" s="55"/>
      <c r="H461" s="181"/>
      <c r="I461" s="55"/>
      <c r="J461" s="55"/>
      <c r="K461" s="55"/>
      <c r="L461" s="55"/>
      <c r="M461" s="55"/>
      <c r="N461" s="55"/>
      <c r="O461" s="55"/>
      <c r="P461" s="55"/>
      <c r="Q461" s="55"/>
      <c r="R461" s="55"/>
      <c r="S461" s="55"/>
      <c r="T461" s="55"/>
      <c r="U461" s="55"/>
      <c r="V461" s="55"/>
      <c r="W461" s="55"/>
      <c r="X461" s="55"/>
      <c r="Y461" s="55"/>
      <c r="Z461" s="55"/>
      <c r="AA461" s="55"/>
      <c r="AB461" s="55"/>
      <c r="AC461" s="55"/>
    </row>
    <row r="462">
      <c r="A462" s="53"/>
      <c r="B462" s="53"/>
      <c r="C462" s="55"/>
      <c r="D462" s="55"/>
      <c r="E462" s="55"/>
      <c r="F462" s="55"/>
      <c r="G462" s="55"/>
      <c r="H462" s="181"/>
      <c r="I462" s="55"/>
      <c r="J462" s="55"/>
      <c r="K462" s="55"/>
      <c r="L462" s="55"/>
      <c r="M462" s="55"/>
      <c r="N462" s="55"/>
      <c r="O462" s="55"/>
      <c r="P462" s="55"/>
      <c r="Q462" s="55"/>
      <c r="R462" s="55"/>
      <c r="S462" s="55"/>
      <c r="T462" s="55"/>
      <c r="U462" s="55"/>
      <c r="V462" s="55"/>
      <c r="W462" s="55"/>
      <c r="X462" s="55"/>
      <c r="Y462" s="55"/>
      <c r="Z462" s="55"/>
      <c r="AA462" s="55"/>
      <c r="AB462" s="55"/>
      <c r="AC462" s="55"/>
    </row>
    <row r="463">
      <c r="A463" s="53"/>
      <c r="B463" s="53"/>
      <c r="C463" s="55"/>
      <c r="D463" s="55"/>
      <c r="E463" s="55"/>
      <c r="F463" s="55"/>
      <c r="G463" s="55"/>
      <c r="H463" s="181"/>
      <c r="I463" s="55"/>
      <c r="J463" s="55"/>
      <c r="K463" s="55"/>
      <c r="L463" s="55"/>
      <c r="M463" s="55"/>
      <c r="N463" s="55"/>
      <c r="O463" s="55"/>
      <c r="P463" s="55"/>
      <c r="Q463" s="55"/>
      <c r="R463" s="55"/>
      <c r="S463" s="55"/>
      <c r="T463" s="55"/>
      <c r="U463" s="55"/>
      <c r="V463" s="55"/>
      <c r="W463" s="55"/>
      <c r="X463" s="55"/>
      <c r="Y463" s="55"/>
      <c r="Z463" s="55"/>
      <c r="AA463" s="55"/>
      <c r="AB463" s="55"/>
      <c r="AC463" s="55"/>
    </row>
    <row r="464">
      <c r="A464" s="53"/>
      <c r="B464" s="53"/>
      <c r="C464" s="55"/>
      <c r="D464" s="55"/>
      <c r="E464" s="55"/>
      <c r="F464" s="55"/>
      <c r="G464" s="55"/>
      <c r="H464" s="181"/>
      <c r="I464" s="55"/>
      <c r="J464" s="55"/>
      <c r="K464" s="55"/>
      <c r="L464" s="55"/>
      <c r="M464" s="55"/>
      <c r="N464" s="55"/>
      <c r="O464" s="55"/>
      <c r="P464" s="55"/>
      <c r="Q464" s="55"/>
      <c r="R464" s="55"/>
      <c r="S464" s="55"/>
      <c r="T464" s="55"/>
      <c r="U464" s="55"/>
      <c r="V464" s="55"/>
      <c r="W464" s="55"/>
      <c r="X464" s="55"/>
      <c r="Y464" s="55"/>
      <c r="Z464" s="55"/>
      <c r="AA464" s="55"/>
      <c r="AB464" s="55"/>
      <c r="AC464" s="55"/>
    </row>
    <row r="465">
      <c r="A465" s="53"/>
      <c r="B465" s="53"/>
      <c r="C465" s="55"/>
      <c r="D465" s="55"/>
      <c r="E465" s="55"/>
      <c r="F465" s="55"/>
      <c r="G465" s="55"/>
      <c r="H465" s="181"/>
      <c r="I465" s="55"/>
      <c r="J465" s="55"/>
      <c r="K465" s="55"/>
      <c r="L465" s="55"/>
      <c r="M465" s="55"/>
      <c r="N465" s="55"/>
      <c r="O465" s="55"/>
      <c r="P465" s="55"/>
      <c r="Q465" s="55"/>
      <c r="R465" s="55"/>
      <c r="S465" s="55"/>
      <c r="T465" s="55"/>
      <c r="U465" s="55"/>
      <c r="V465" s="55"/>
      <c r="W465" s="55"/>
      <c r="X465" s="55"/>
      <c r="Y465" s="55"/>
      <c r="Z465" s="55"/>
      <c r="AA465" s="55"/>
      <c r="AB465" s="55"/>
      <c r="AC465" s="55"/>
    </row>
    <row r="466">
      <c r="A466" s="53"/>
      <c r="B466" s="53"/>
      <c r="C466" s="55"/>
      <c r="D466" s="55"/>
      <c r="E466" s="55"/>
      <c r="F466" s="55"/>
      <c r="G466" s="55"/>
      <c r="H466" s="181"/>
      <c r="I466" s="55"/>
      <c r="J466" s="55"/>
      <c r="K466" s="55"/>
      <c r="L466" s="55"/>
      <c r="M466" s="55"/>
      <c r="N466" s="55"/>
      <c r="O466" s="55"/>
      <c r="P466" s="55"/>
      <c r="Q466" s="55"/>
      <c r="R466" s="55"/>
      <c r="S466" s="55"/>
      <c r="T466" s="55"/>
      <c r="U466" s="55"/>
      <c r="V466" s="55"/>
      <c r="W466" s="55"/>
      <c r="X466" s="55"/>
      <c r="Y466" s="55"/>
      <c r="Z466" s="55"/>
      <c r="AA466" s="55"/>
      <c r="AB466" s="55"/>
      <c r="AC466" s="55"/>
    </row>
    <row r="467">
      <c r="A467" s="53"/>
      <c r="B467" s="53"/>
      <c r="C467" s="55"/>
      <c r="D467" s="55"/>
      <c r="E467" s="55"/>
      <c r="F467" s="55"/>
      <c r="G467" s="55"/>
      <c r="H467" s="181"/>
      <c r="I467" s="55"/>
      <c r="J467" s="55"/>
      <c r="K467" s="55"/>
      <c r="L467" s="55"/>
      <c r="M467" s="55"/>
      <c r="N467" s="55"/>
      <c r="O467" s="55"/>
      <c r="P467" s="55"/>
      <c r="Q467" s="55"/>
      <c r="R467" s="55"/>
      <c r="S467" s="55"/>
      <c r="T467" s="55"/>
      <c r="U467" s="55"/>
      <c r="V467" s="55"/>
      <c r="W467" s="55"/>
      <c r="X467" s="55"/>
      <c r="Y467" s="55"/>
      <c r="Z467" s="55"/>
      <c r="AA467" s="55"/>
      <c r="AB467" s="55"/>
      <c r="AC467" s="55"/>
    </row>
    <row r="468">
      <c r="A468" s="53"/>
      <c r="B468" s="53"/>
      <c r="C468" s="55"/>
      <c r="D468" s="55"/>
      <c r="E468" s="55"/>
      <c r="F468" s="55"/>
      <c r="G468" s="55"/>
      <c r="H468" s="181"/>
      <c r="I468" s="55"/>
      <c r="J468" s="55"/>
      <c r="K468" s="55"/>
      <c r="L468" s="55"/>
      <c r="M468" s="55"/>
      <c r="N468" s="55"/>
      <c r="O468" s="55"/>
      <c r="P468" s="55"/>
      <c r="Q468" s="55"/>
      <c r="R468" s="55"/>
      <c r="S468" s="55"/>
      <c r="T468" s="55"/>
      <c r="U468" s="55"/>
      <c r="V468" s="55"/>
      <c r="W468" s="55"/>
      <c r="X468" s="55"/>
      <c r="Y468" s="55"/>
      <c r="Z468" s="55"/>
      <c r="AA468" s="55"/>
      <c r="AB468" s="55"/>
      <c r="AC468" s="55"/>
    </row>
    <row r="469">
      <c r="A469" s="53"/>
      <c r="B469" s="53"/>
      <c r="C469" s="55"/>
      <c r="D469" s="55"/>
      <c r="E469" s="55"/>
      <c r="F469" s="55"/>
      <c r="G469" s="55"/>
      <c r="H469" s="181"/>
      <c r="I469" s="55"/>
      <c r="J469" s="55"/>
      <c r="K469" s="55"/>
      <c r="L469" s="55"/>
      <c r="M469" s="55"/>
      <c r="N469" s="55"/>
      <c r="O469" s="55"/>
      <c r="P469" s="55"/>
      <c r="Q469" s="55"/>
      <c r="R469" s="55"/>
      <c r="S469" s="55"/>
      <c r="T469" s="55"/>
      <c r="U469" s="55"/>
      <c r="V469" s="55"/>
      <c r="W469" s="55"/>
      <c r="X469" s="55"/>
      <c r="Y469" s="55"/>
      <c r="Z469" s="55"/>
      <c r="AA469" s="55"/>
      <c r="AB469" s="55"/>
      <c r="AC469" s="55"/>
    </row>
    <row r="470">
      <c r="A470" s="53"/>
      <c r="B470" s="53"/>
      <c r="C470" s="55"/>
      <c r="D470" s="55"/>
      <c r="E470" s="55"/>
      <c r="F470" s="55"/>
      <c r="G470" s="55"/>
      <c r="H470" s="181"/>
      <c r="I470" s="55"/>
      <c r="J470" s="55"/>
      <c r="K470" s="55"/>
      <c r="L470" s="55"/>
      <c r="M470" s="55"/>
      <c r="N470" s="55"/>
      <c r="O470" s="55"/>
      <c r="P470" s="55"/>
      <c r="Q470" s="55"/>
      <c r="R470" s="55"/>
      <c r="S470" s="55"/>
      <c r="T470" s="55"/>
      <c r="U470" s="55"/>
      <c r="V470" s="55"/>
      <c r="W470" s="55"/>
      <c r="X470" s="55"/>
      <c r="Y470" s="55"/>
      <c r="Z470" s="55"/>
      <c r="AA470" s="55"/>
      <c r="AB470" s="55"/>
      <c r="AC470" s="55"/>
    </row>
    <row r="471">
      <c r="A471" s="53"/>
      <c r="B471" s="53"/>
      <c r="C471" s="55"/>
      <c r="D471" s="55"/>
      <c r="E471" s="55"/>
      <c r="F471" s="55"/>
      <c r="G471" s="55"/>
      <c r="H471" s="181"/>
      <c r="I471" s="55"/>
      <c r="J471" s="55"/>
      <c r="K471" s="55"/>
      <c r="L471" s="55"/>
      <c r="M471" s="55"/>
      <c r="N471" s="55"/>
      <c r="O471" s="55"/>
      <c r="P471" s="55"/>
      <c r="Q471" s="55"/>
      <c r="R471" s="55"/>
      <c r="S471" s="55"/>
      <c r="T471" s="55"/>
      <c r="U471" s="55"/>
      <c r="V471" s="55"/>
      <c r="W471" s="55"/>
      <c r="X471" s="55"/>
      <c r="Y471" s="55"/>
      <c r="Z471" s="55"/>
      <c r="AA471" s="55"/>
      <c r="AB471" s="55"/>
      <c r="AC471" s="55"/>
    </row>
    <row r="472">
      <c r="A472" s="53"/>
      <c r="B472" s="53"/>
      <c r="C472" s="55"/>
      <c r="D472" s="55"/>
      <c r="E472" s="55"/>
      <c r="F472" s="55"/>
      <c r="G472" s="55"/>
      <c r="H472" s="181"/>
      <c r="I472" s="55"/>
      <c r="J472" s="55"/>
      <c r="K472" s="55"/>
      <c r="L472" s="55"/>
      <c r="M472" s="55"/>
      <c r="N472" s="55"/>
      <c r="O472" s="55"/>
      <c r="P472" s="55"/>
      <c r="Q472" s="55"/>
      <c r="R472" s="55"/>
      <c r="S472" s="55"/>
      <c r="T472" s="55"/>
      <c r="U472" s="55"/>
      <c r="V472" s="55"/>
      <c r="W472" s="55"/>
      <c r="X472" s="55"/>
      <c r="Y472" s="55"/>
      <c r="Z472" s="55"/>
      <c r="AA472" s="55"/>
      <c r="AB472" s="55"/>
      <c r="AC472" s="55"/>
    </row>
    <row r="473">
      <c r="A473" s="53"/>
      <c r="B473" s="53"/>
      <c r="C473" s="55"/>
      <c r="D473" s="55"/>
      <c r="E473" s="55"/>
      <c r="F473" s="55"/>
      <c r="G473" s="55"/>
      <c r="H473" s="181"/>
      <c r="I473" s="55"/>
      <c r="J473" s="55"/>
      <c r="K473" s="55"/>
      <c r="L473" s="55"/>
      <c r="M473" s="55"/>
      <c r="N473" s="55"/>
      <c r="O473" s="55"/>
      <c r="P473" s="55"/>
      <c r="Q473" s="55"/>
      <c r="R473" s="55"/>
      <c r="S473" s="55"/>
      <c r="T473" s="55"/>
      <c r="U473" s="55"/>
      <c r="V473" s="55"/>
      <c r="W473" s="55"/>
      <c r="X473" s="55"/>
      <c r="Y473" s="55"/>
      <c r="Z473" s="55"/>
      <c r="AA473" s="55"/>
      <c r="AB473" s="55"/>
      <c r="AC473" s="55"/>
    </row>
    <row r="474">
      <c r="A474" s="53"/>
      <c r="B474" s="53"/>
      <c r="C474" s="55"/>
      <c r="D474" s="55"/>
      <c r="E474" s="55"/>
      <c r="F474" s="55"/>
      <c r="G474" s="55"/>
      <c r="H474" s="181"/>
      <c r="I474" s="55"/>
      <c r="J474" s="55"/>
      <c r="K474" s="55"/>
      <c r="L474" s="55"/>
      <c r="M474" s="55"/>
      <c r="N474" s="55"/>
      <c r="O474" s="55"/>
      <c r="P474" s="55"/>
      <c r="Q474" s="55"/>
      <c r="R474" s="55"/>
      <c r="S474" s="55"/>
      <c r="T474" s="55"/>
      <c r="U474" s="55"/>
      <c r="V474" s="55"/>
      <c r="W474" s="55"/>
      <c r="X474" s="55"/>
      <c r="Y474" s="55"/>
      <c r="Z474" s="55"/>
      <c r="AA474" s="55"/>
      <c r="AB474" s="55"/>
      <c r="AC474" s="55"/>
    </row>
    <row r="475">
      <c r="A475" s="53"/>
      <c r="B475" s="53"/>
      <c r="C475" s="55"/>
      <c r="D475" s="55"/>
      <c r="E475" s="55"/>
      <c r="F475" s="55"/>
      <c r="G475" s="55"/>
      <c r="H475" s="181"/>
      <c r="I475" s="55"/>
      <c r="J475" s="55"/>
      <c r="K475" s="55"/>
      <c r="L475" s="55"/>
      <c r="M475" s="55"/>
      <c r="N475" s="55"/>
      <c r="O475" s="55"/>
      <c r="P475" s="55"/>
      <c r="Q475" s="55"/>
      <c r="R475" s="55"/>
      <c r="S475" s="55"/>
      <c r="T475" s="55"/>
      <c r="U475" s="55"/>
      <c r="V475" s="55"/>
      <c r="W475" s="55"/>
      <c r="X475" s="55"/>
      <c r="Y475" s="55"/>
      <c r="Z475" s="55"/>
      <c r="AA475" s="55"/>
      <c r="AB475" s="55"/>
      <c r="AC475" s="55"/>
    </row>
    <row r="476">
      <c r="A476" s="53"/>
      <c r="B476" s="53"/>
      <c r="C476" s="55"/>
      <c r="D476" s="55"/>
      <c r="E476" s="55"/>
      <c r="F476" s="55"/>
      <c r="G476" s="55"/>
      <c r="H476" s="181"/>
      <c r="I476" s="55"/>
      <c r="J476" s="55"/>
      <c r="K476" s="55"/>
      <c r="L476" s="55"/>
      <c r="M476" s="55"/>
      <c r="N476" s="55"/>
      <c r="O476" s="55"/>
      <c r="P476" s="55"/>
      <c r="Q476" s="55"/>
      <c r="R476" s="55"/>
      <c r="S476" s="55"/>
      <c r="T476" s="55"/>
      <c r="U476" s="55"/>
      <c r="V476" s="55"/>
      <c r="W476" s="55"/>
      <c r="X476" s="55"/>
      <c r="Y476" s="55"/>
      <c r="Z476" s="55"/>
      <c r="AA476" s="55"/>
      <c r="AB476" s="55"/>
      <c r="AC476" s="55"/>
    </row>
    <row r="477">
      <c r="A477" s="53"/>
      <c r="B477" s="53"/>
      <c r="C477" s="55"/>
      <c r="D477" s="55"/>
      <c r="E477" s="55"/>
      <c r="F477" s="55"/>
      <c r="G477" s="55"/>
      <c r="H477" s="181"/>
      <c r="I477" s="55"/>
      <c r="J477" s="55"/>
      <c r="K477" s="55"/>
      <c r="L477" s="55"/>
      <c r="M477" s="55"/>
      <c r="N477" s="55"/>
      <c r="O477" s="55"/>
      <c r="P477" s="55"/>
      <c r="Q477" s="55"/>
      <c r="R477" s="55"/>
      <c r="S477" s="55"/>
      <c r="T477" s="55"/>
      <c r="U477" s="55"/>
      <c r="V477" s="55"/>
      <c r="W477" s="55"/>
      <c r="X477" s="55"/>
      <c r="Y477" s="55"/>
      <c r="Z477" s="55"/>
      <c r="AA477" s="55"/>
      <c r="AB477" s="55"/>
      <c r="AC477" s="55"/>
    </row>
    <row r="478">
      <c r="A478" s="53"/>
      <c r="B478" s="53"/>
      <c r="C478" s="55"/>
      <c r="D478" s="55"/>
      <c r="E478" s="55"/>
      <c r="F478" s="55"/>
      <c r="G478" s="55"/>
      <c r="H478" s="181"/>
      <c r="I478" s="55"/>
      <c r="J478" s="55"/>
      <c r="K478" s="55"/>
      <c r="L478" s="55"/>
      <c r="M478" s="55"/>
      <c r="N478" s="55"/>
      <c r="O478" s="55"/>
      <c r="P478" s="55"/>
      <c r="Q478" s="55"/>
      <c r="R478" s="55"/>
      <c r="S478" s="55"/>
      <c r="T478" s="55"/>
      <c r="U478" s="55"/>
      <c r="V478" s="55"/>
      <c r="W478" s="55"/>
      <c r="X478" s="55"/>
      <c r="Y478" s="55"/>
      <c r="Z478" s="55"/>
      <c r="AA478" s="55"/>
      <c r="AB478" s="55"/>
      <c r="AC478" s="55"/>
    </row>
    <row r="479">
      <c r="A479" s="53"/>
      <c r="B479" s="53"/>
      <c r="C479" s="55"/>
      <c r="D479" s="55"/>
      <c r="E479" s="55"/>
      <c r="F479" s="55"/>
      <c r="G479" s="55"/>
      <c r="H479" s="181"/>
      <c r="I479" s="55"/>
      <c r="J479" s="55"/>
      <c r="K479" s="55"/>
      <c r="L479" s="55"/>
      <c r="M479" s="55"/>
      <c r="N479" s="55"/>
      <c r="O479" s="55"/>
      <c r="P479" s="55"/>
      <c r="Q479" s="55"/>
      <c r="R479" s="55"/>
      <c r="S479" s="55"/>
      <c r="T479" s="55"/>
      <c r="U479" s="55"/>
      <c r="V479" s="55"/>
      <c r="W479" s="55"/>
      <c r="X479" s="55"/>
      <c r="Y479" s="55"/>
      <c r="Z479" s="55"/>
      <c r="AA479" s="55"/>
      <c r="AB479" s="55"/>
      <c r="AC479" s="55"/>
    </row>
    <row r="480">
      <c r="A480" s="53"/>
      <c r="B480" s="53"/>
      <c r="C480" s="55"/>
      <c r="D480" s="55"/>
      <c r="E480" s="55"/>
      <c r="F480" s="55"/>
      <c r="G480" s="55"/>
      <c r="H480" s="181"/>
      <c r="I480" s="55"/>
      <c r="J480" s="55"/>
      <c r="K480" s="55"/>
      <c r="L480" s="55"/>
      <c r="M480" s="55"/>
      <c r="N480" s="55"/>
      <c r="O480" s="55"/>
      <c r="P480" s="55"/>
      <c r="Q480" s="55"/>
      <c r="R480" s="55"/>
      <c r="S480" s="55"/>
      <c r="T480" s="55"/>
      <c r="U480" s="55"/>
      <c r="V480" s="55"/>
      <c r="W480" s="55"/>
      <c r="X480" s="55"/>
      <c r="Y480" s="55"/>
      <c r="Z480" s="55"/>
      <c r="AA480" s="55"/>
      <c r="AB480" s="55"/>
      <c r="AC480" s="55"/>
    </row>
    <row r="481">
      <c r="A481" s="53"/>
      <c r="B481" s="53"/>
      <c r="C481" s="55"/>
      <c r="D481" s="55"/>
      <c r="E481" s="55"/>
      <c r="F481" s="55"/>
      <c r="G481" s="55"/>
      <c r="H481" s="181"/>
      <c r="I481" s="55"/>
      <c r="J481" s="55"/>
      <c r="K481" s="55"/>
      <c r="L481" s="55"/>
      <c r="M481" s="55"/>
      <c r="N481" s="55"/>
      <c r="O481" s="55"/>
      <c r="P481" s="55"/>
      <c r="Q481" s="55"/>
      <c r="R481" s="55"/>
      <c r="S481" s="55"/>
      <c r="T481" s="55"/>
      <c r="U481" s="55"/>
      <c r="V481" s="55"/>
      <c r="W481" s="55"/>
      <c r="X481" s="55"/>
      <c r="Y481" s="55"/>
      <c r="Z481" s="55"/>
      <c r="AA481" s="55"/>
      <c r="AB481" s="55"/>
      <c r="AC481" s="55"/>
    </row>
    <row r="482">
      <c r="A482" s="53"/>
      <c r="B482" s="53"/>
      <c r="C482" s="55"/>
      <c r="D482" s="55"/>
      <c r="E482" s="55"/>
      <c r="F482" s="55"/>
      <c r="G482" s="55"/>
      <c r="H482" s="181"/>
      <c r="I482" s="55"/>
      <c r="J482" s="55"/>
      <c r="K482" s="55"/>
      <c r="L482" s="55"/>
      <c r="M482" s="55"/>
      <c r="N482" s="55"/>
      <c r="O482" s="55"/>
      <c r="P482" s="55"/>
      <c r="Q482" s="55"/>
      <c r="R482" s="55"/>
      <c r="S482" s="55"/>
      <c r="T482" s="55"/>
      <c r="U482" s="55"/>
      <c r="V482" s="55"/>
      <c r="W482" s="55"/>
      <c r="X482" s="55"/>
      <c r="Y482" s="55"/>
      <c r="Z482" s="55"/>
      <c r="AA482" s="55"/>
      <c r="AB482" s="55"/>
      <c r="AC482" s="55"/>
    </row>
    <row r="483">
      <c r="A483" s="53"/>
      <c r="B483" s="53"/>
      <c r="C483" s="55"/>
      <c r="D483" s="55"/>
      <c r="E483" s="55"/>
      <c r="F483" s="55"/>
      <c r="G483" s="55"/>
      <c r="H483" s="181"/>
      <c r="I483" s="55"/>
      <c r="J483" s="55"/>
      <c r="K483" s="55"/>
      <c r="L483" s="55"/>
      <c r="M483" s="55"/>
      <c r="N483" s="55"/>
      <c r="O483" s="55"/>
      <c r="P483" s="55"/>
      <c r="Q483" s="55"/>
      <c r="R483" s="55"/>
      <c r="S483" s="55"/>
      <c r="T483" s="55"/>
      <c r="U483" s="55"/>
      <c r="V483" s="55"/>
      <c r="W483" s="55"/>
      <c r="X483" s="55"/>
      <c r="Y483" s="55"/>
      <c r="Z483" s="55"/>
      <c r="AA483" s="55"/>
      <c r="AB483" s="55"/>
      <c r="AC483" s="55"/>
    </row>
    <row r="484">
      <c r="A484" s="53"/>
      <c r="B484" s="53"/>
      <c r="C484" s="55"/>
      <c r="D484" s="55"/>
      <c r="E484" s="55"/>
      <c r="F484" s="55"/>
      <c r="G484" s="55"/>
      <c r="H484" s="181"/>
      <c r="I484" s="55"/>
      <c r="J484" s="55"/>
      <c r="K484" s="55"/>
      <c r="L484" s="55"/>
      <c r="M484" s="55"/>
      <c r="N484" s="55"/>
      <c r="O484" s="55"/>
      <c r="P484" s="55"/>
      <c r="Q484" s="55"/>
      <c r="R484" s="55"/>
      <c r="S484" s="55"/>
      <c r="T484" s="55"/>
      <c r="U484" s="55"/>
      <c r="V484" s="55"/>
      <c r="W484" s="55"/>
      <c r="X484" s="55"/>
      <c r="Y484" s="55"/>
      <c r="Z484" s="55"/>
      <c r="AA484" s="55"/>
      <c r="AB484" s="55"/>
      <c r="AC484" s="55"/>
    </row>
    <row r="485">
      <c r="A485" s="53"/>
      <c r="B485" s="53"/>
      <c r="C485" s="55"/>
      <c r="D485" s="55"/>
      <c r="E485" s="55"/>
      <c r="F485" s="55"/>
      <c r="G485" s="55"/>
      <c r="H485" s="181"/>
      <c r="I485" s="55"/>
      <c r="J485" s="55"/>
      <c r="K485" s="55"/>
      <c r="L485" s="55"/>
      <c r="M485" s="55"/>
      <c r="N485" s="55"/>
      <c r="O485" s="55"/>
      <c r="P485" s="55"/>
      <c r="Q485" s="55"/>
      <c r="R485" s="55"/>
      <c r="S485" s="55"/>
      <c r="T485" s="55"/>
      <c r="U485" s="55"/>
      <c r="V485" s="55"/>
      <c r="W485" s="55"/>
      <c r="X485" s="55"/>
      <c r="Y485" s="55"/>
      <c r="Z485" s="55"/>
      <c r="AA485" s="55"/>
      <c r="AB485" s="55"/>
      <c r="AC485" s="55"/>
    </row>
    <row r="486">
      <c r="A486" s="53"/>
      <c r="B486" s="53"/>
      <c r="C486" s="55"/>
      <c r="D486" s="55"/>
      <c r="E486" s="55"/>
      <c r="F486" s="55"/>
      <c r="G486" s="55"/>
      <c r="H486" s="181"/>
      <c r="I486" s="55"/>
      <c r="J486" s="55"/>
      <c r="K486" s="55"/>
      <c r="L486" s="55"/>
      <c r="M486" s="55"/>
      <c r="N486" s="55"/>
      <c r="O486" s="55"/>
      <c r="P486" s="55"/>
      <c r="Q486" s="55"/>
      <c r="R486" s="55"/>
      <c r="S486" s="55"/>
      <c r="T486" s="55"/>
      <c r="U486" s="55"/>
      <c r="V486" s="55"/>
      <c r="W486" s="55"/>
      <c r="X486" s="55"/>
      <c r="Y486" s="55"/>
      <c r="Z486" s="55"/>
      <c r="AA486" s="55"/>
      <c r="AB486" s="55"/>
      <c r="AC486" s="55"/>
    </row>
    <row r="487">
      <c r="A487" s="53"/>
      <c r="B487" s="53"/>
      <c r="C487" s="55"/>
      <c r="D487" s="55"/>
      <c r="E487" s="55"/>
      <c r="F487" s="55"/>
      <c r="G487" s="55"/>
      <c r="H487" s="181"/>
      <c r="I487" s="55"/>
      <c r="J487" s="55"/>
      <c r="K487" s="55"/>
      <c r="L487" s="55"/>
      <c r="M487" s="55"/>
      <c r="N487" s="55"/>
      <c r="O487" s="55"/>
      <c r="P487" s="55"/>
      <c r="Q487" s="55"/>
      <c r="R487" s="55"/>
      <c r="S487" s="55"/>
      <c r="T487" s="55"/>
      <c r="U487" s="55"/>
      <c r="V487" s="55"/>
      <c r="W487" s="55"/>
      <c r="X487" s="55"/>
      <c r="Y487" s="55"/>
      <c r="Z487" s="55"/>
      <c r="AA487" s="55"/>
      <c r="AB487" s="55"/>
      <c r="AC487" s="55"/>
    </row>
    <row r="488">
      <c r="A488" s="53"/>
      <c r="B488" s="53"/>
      <c r="C488" s="55"/>
      <c r="D488" s="55"/>
      <c r="E488" s="55"/>
      <c r="F488" s="55"/>
      <c r="G488" s="55"/>
      <c r="H488" s="181"/>
      <c r="I488" s="55"/>
      <c r="J488" s="55"/>
      <c r="K488" s="55"/>
      <c r="L488" s="55"/>
      <c r="M488" s="55"/>
      <c r="N488" s="55"/>
      <c r="O488" s="55"/>
      <c r="P488" s="55"/>
      <c r="Q488" s="55"/>
      <c r="R488" s="55"/>
      <c r="S488" s="55"/>
      <c r="T488" s="55"/>
      <c r="U488" s="55"/>
      <c r="V488" s="55"/>
      <c r="W488" s="55"/>
      <c r="X488" s="55"/>
      <c r="Y488" s="55"/>
      <c r="Z488" s="55"/>
      <c r="AA488" s="55"/>
      <c r="AB488" s="55"/>
      <c r="AC488" s="55"/>
    </row>
    <row r="489">
      <c r="A489" s="53"/>
      <c r="B489" s="53"/>
      <c r="C489" s="55"/>
      <c r="D489" s="55"/>
      <c r="E489" s="55"/>
      <c r="F489" s="55"/>
      <c r="G489" s="55"/>
      <c r="H489" s="181"/>
      <c r="I489" s="55"/>
      <c r="J489" s="55"/>
      <c r="K489" s="55"/>
      <c r="L489" s="55"/>
      <c r="M489" s="55"/>
      <c r="N489" s="55"/>
      <c r="O489" s="55"/>
      <c r="P489" s="55"/>
      <c r="Q489" s="55"/>
      <c r="R489" s="55"/>
      <c r="S489" s="55"/>
      <c r="T489" s="55"/>
      <c r="U489" s="55"/>
      <c r="V489" s="55"/>
      <c r="W489" s="55"/>
      <c r="X489" s="55"/>
      <c r="Y489" s="55"/>
      <c r="Z489" s="55"/>
      <c r="AA489" s="55"/>
      <c r="AB489" s="55"/>
      <c r="AC489" s="55"/>
    </row>
    <row r="490">
      <c r="A490" s="53"/>
      <c r="B490" s="53"/>
      <c r="C490" s="55"/>
      <c r="D490" s="55"/>
      <c r="E490" s="55"/>
      <c r="F490" s="55"/>
      <c r="G490" s="55"/>
      <c r="H490" s="181"/>
      <c r="I490" s="55"/>
      <c r="J490" s="55"/>
      <c r="K490" s="55"/>
      <c r="L490" s="55"/>
      <c r="M490" s="55"/>
      <c r="N490" s="55"/>
      <c r="O490" s="55"/>
      <c r="P490" s="55"/>
      <c r="Q490" s="55"/>
      <c r="R490" s="55"/>
      <c r="S490" s="55"/>
      <c r="T490" s="55"/>
      <c r="U490" s="55"/>
      <c r="V490" s="55"/>
      <c r="W490" s="55"/>
      <c r="X490" s="55"/>
      <c r="Y490" s="55"/>
      <c r="Z490" s="55"/>
      <c r="AA490" s="55"/>
      <c r="AB490" s="55"/>
      <c r="AC490" s="55"/>
    </row>
    <row r="491">
      <c r="A491" s="53"/>
      <c r="B491" s="53"/>
      <c r="C491" s="55"/>
      <c r="D491" s="55"/>
      <c r="E491" s="55"/>
      <c r="F491" s="55"/>
      <c r="G491" s="55"/>
      <c r="H491" s="181"/>
      <c r="I491" s="55"/>
      <c r="J491" s="55"/>
      <c r="K491" s="55"/>
      <c r="L491" s="55"/>
      <c r="M491" s="55"/>
      <c r="N491" s="55"/>
      <c r="O491" s="55"/>
      <c r="P491" s="55"/>
      <c r="Q491" s="55"/>
      <c r="R491" s="55"/>
      <c r="S491" s="55"/>
      <c r="T491" s="55"/>
      <c r="U491" s="55"/>
      <c r="V491" s="55"/>
      <c r="W491" s="55"/>
      <c r="X491" s="55"/>
      <c r="Y491" s="55"/>
      <c r="Z491" s="55"/>
      <c r="AA491" s="55"/>
      <c r="AB491" s="55"/>
      <c r="AC491" s="55"/>
    </row>
    <row r="492">
      <c r="A492" s="53"/>
      <c r="B492" s="53"/>
      <c r="C492" s="55"/>
      <c r="D492" s="55"/>
      <c r="E492" s="55"/>
      <c r="F492" s="55"/>
      <c r="G492" s="55"/>
      <c r="H492" s="181"/>
      <c r="I492" s="55"/>
      <c r="J492" s="55"/>
      <c r="K492" s="55"/>
      <c r="L492" s="55"/>
      <c r="M492" s="55"/>
      <c r="N492" s="55"/>
      <c r="O492" s="55"/>
      <c r="P492" s="55"/>
      <c r="Q492" s="55"/>
      <c r="R492" s="55"/>
      <c r="S492" s="55"/>
      <c r="T492" s="55"/>
      <c r="U492" s="55"/>
      <c r="V492" s="55"/>
      <c r="W492" s="55"/>
      <c r="X492" s="55"/>
      <c r="Y492" s="55"/>
      <c r="Z492" s="55"/>
      <c r="AA492" s="55"/>
      <c r="AB492" s="55"/>
      <c r="AC492" s="55"/>
    </row>
    <row r="493">
      <c r="A493" s="53"/>
      <c r="B493" s="53"/>
      <c r="C493" s="55"/>
      <c r="D493" s="55"/>
      <c r="E493" s="55"/>
      <c r="F493" s="55"/>
      <c r="G493" s="55"/>
      <c r="H493" s="181"/>
      <c r="I493" s="55"/>
      <c r="J493" s="55"/>
      <c r="K493" s="55"/>
      <c r="L493" s="55"/>
      <c r="M493" s="55"/>
      <c r="N493" s="55"/>
      <c r="O493" s="55"/>
      <c r="P493" s="55"/>
      <c r="Q493" s="55"/>
      <c r="R493" s="55"/>
      <c r="S493" s="55"/>
      <c r="T493" s="55"/>
      <c r="U493" s="55"/>
      <c r="V493" s="55"/>
      <c r="W493" s="55"/>
      <c r="X493" s="55"/>
      <c r="Y493" s="55"/>
      <c r="Z493" s="55"/>
      <c r="AA493" s="55"/>
      <c r="AB493" s="55"/>
      <c r="AC493" s="55"/>
    </row>
    <row r="494">
      <c r="A494" s="53"/>
      <c r="B494" s="53"/>
      <c r="C494" s="55"/>
      <c r="D494" s="55"/>
      <c r="E494" s="55"/>
      <c r="F494" s="55"/>
      <c r="G494" s="55"/>
      <c r="H494" s="181"/>
      <c r="I494" s="55"/>
      <c r="J494" s="55"/>
      <c r="K494" s="55"/>
      <c r="L494" s="55"/>
      <c r="M494" s="55"/>
      <c r="N494" s="55"/>
      <c r="O494" s="55"/>
      <c r="P494" s="55"/>
      <c r="Q494" s="55"/>
      <c r="R494" s="55"/>
      <c r="S494" s="55"/>
      <c r="T494" s="55"/>
      <c r="U494" s="55"/>
      <c r="V494" s="55"/>
      <c r="W494" s="55"/>
      <c r="X494" s="55"/>
      <c r="Y494" s="55"/>
      <c r="Z494" s="55"/>
      <c r="AA494" s="55"/>
      <c r="AB494" s="55"/>
      <c r="AC494" s="55"/>
    </row>
    <row r="495">
      <c r="A495" s="53"/>
      <c r="B495" s="53"/>
      <c r="C495" s="55"/>
      <c r="D495" s="55"/>
      <c r="E495" s="55"/>
      <c r="F495" s="55"/>
      <c r="G495" s="55"/>
      <c r="H495" s="181"/>
      <c r="I495" s="55"/>
      <c r="J495" s="55"/>
      <c r="K495" s="55"/>
      <c r="L495" s="55"/>
      <c r="M495" s="55"/>
      <c r="N495" s="55"/>
      <c r="O495" s="55"/>
      <c r="P495" s="55"/>
      <c r="Q495" s="55"/>
      <c r="R495" s="55"/>
      <c r="S495" s="55"/>
      <c r="T495" s="55"/>
      <c r="U495" s="55"/>
      <c r="V495" s="55"/>
      <c r="W495" s="55"/>
      <c r="X495" s="55"/>
      <c r="Y495" s="55"/>
      <c r="Z495" s="55"/>
      <c r="AA495" s="55"/>
      <c r="AB495" s="55"/>
      <c r="AC495" s="55"/>
    </row>
    <row r="496">
      <c r="A496" s="53"/>
      <c r="B496" s="53"/>
      <c r="C496" s="55"/>
      <c r="D496" s="55"/>
      <c r="E496" s="55"/>
      <c r="F496" s="55"/>
      <c r="G496" s="55"/>
      <c r="H496" s="181"/>
      <c r="I496" s="55"/>
      <c r="J496" s="55"/>
      <c r="K496" s="55"/>
      <c r="L496" s="55"/>
      <c r="M496" s="55"/>
      <c r="N496" s="55"/>
      <c r="O496" s="55"/>
      <c r="P496" s="55"/>
      <c r="Q496" s="55"/>
      <c r="R496" s="55"/>
      <c r="S496" s="55"/>
      <c r="T496" s="55"/>
      <c r="U496" s="55"/>
      <c r="V496" s="55"/>
      <c r="W496" s="55"/>
      <c r="X496" s="55"/>
      <c r="Y496" s="55"/>
      <c r="Z496" s="55"/>
      <c r="AA496" s="55"/>
      <c r="AB496" s="55"/>
      <c r="AC496" s="55"/>
    </row>
    <row r="497">
      <c r="A497" s="53"/>
      <c r="B497" s="53"/>
      <c r="C497" s="55"/>
      <c r="D497" s="55"/>
      <c r="E497" s="55"/>
      <c r="F497" s="55"/>
      <c r="G497" s="55"/>
      <c r="H497" s="181"/>
      <c r="I497" s="55"/>
      <c r="J497" s="55"/>
      <c r="K497" s="55"/>
      <c r="L497" s="55"/>
      <c r="M497" s="55"/>
      <c r="N497" s="55"/>
      <c r="O497" s="55"/>
      <c r="P497" s="55"/>
      <c r="Q497" s="55"/>
      <c r="R497" s="55"/>
      <c r="S497" s="55"/>
      <c r="T497" s="55"/>
      <c r="U497" s="55"/>
      <c r="V497" s="55"/>
      <c r="W497" s="55"/>
      <c r="X497" s="55"/>
      <c r="Y497" s="55"/>
      <c r="Z497" s="55"/>
      <c r="AA497" s="55"/>
      <c r="AB497" s="55"/>
      <c r="AC497" s="55"/>
    </row>
    <row r="498">
      <c r="A498" s="53"/>
      <c r="B498" s="53"/>
      <c r="C498" s="55"/>
      <c r="D498" s="55"/>
      <c r="E498" s="55"/>
      <c r="F498" s="55"/>
      <c r="G498" s="55"/>
      <c r="H498" s="181"/>
      <c r="I498" s="55"/>
      <c r="J498" s="55"/>
      <c r="K498" s="55"/>
      <c r="L498" s="55"/>
      <c r="M498" s="55"/>
      <c r="N498" s="55"/>
      <c r="O498" s="55"/>
      <c r="P498" s="55"/>
      <c r="Q498" s="55"/>
      <c r="R498" s="55"/>
      <c r="S498" s="55"/>
      <c r="T498" s="55"/>
      <c r="U498" s="55"/>
      <c r="V498" s="55"/>
      <c r="W498" s="55"/>
      <c r="X498" s="55"/>
      <c r="Y498" s="55"/>
      <c r="Z498" s="55"/>
      <c r="AA498" s="55"/>
      <c r="AB498" s="55"/>
      <c r="AC498" s="55"/>
    </row>
    <row r="499">
      <c r="A499" s="53"/>
      <c r="B499" s="53"/>
      <c r="C499" s="55"/>
      <c r="D499" s="55"/>
      <c r="E499" s="55"/>
      <c r="F499" s="55"/>
      <c r="G499" s="55"/>
      <c r="H499" s="181"/>
      <c r="I499" s="55"/>
      <c r="J499" s="55"/>
      <c r="K499" s="55"/>
      <c r="L499" s="55"/>
      <c r="M499" s="55"/>
      <c r="N499" s="55"/>
      <c r="O499" s="55"/>
      <c r="P499" s="55"/>
      <c r="Q499" s="55"/>
      <c r="R499" s="55"/>
      <c r="S499" s="55"/>
      <c r="T499" s="55"/>
      <c r="U499" s="55"/>
      <c r="V499" s="55"/>
      <c r="W499" s="55"/>
      <c r="X499" s="55"/>
      <c r="Y499" s="55"/>
      <c r="Z499" s="55"/>
      <c r="AA499" s="55"/>
      <c r="AB499" s="55"/>
      <c r="AC499" s="55"/>
    </row>
    <row r="500">
      <c r="A500" s="53"/>
      <c r="B500" s="53"/>
      <c r="C500" s="55"/>
      <c r="D500" s="55"/>
      <c r="E500" s="55"/>
      <c r="F500" s="55"/>
      <c r="G500" s="55"/>
      <c r="H500" s="181"/>
      <c r="I500" s="55"/>
      <c r="J500" s="55"/>
      <c r="K500" s="55"/>
      <c r="L500" s="55"/>
      <c r="M500" s="55"/>
      <c r="N500" s="55"/>
      <c r="O500" s="55"/>
      <c r="P500" s="55"/>
      <c r="Q500" s="55"/>
      <c r="R500" s="55"/>
      <c r="S500" s="55"/>
      <c r="T500" s="55"/>
      <c r="U500" s="55"/>
      <c r="V500" s="55"/>
      <c r="W500" s="55"/>
      <c r="X500" s="55"/>
      <c r="Y500" s="55"/>
      <c r="Z500" s="55"/>
      <c r="AA500" s="55"/>
      <c r="AB500" s="55"/>
      <c r="AC500" s="55"/>
    </row>
    <row r="501">
      <c r="A501" s="53"/>
      <c r="B501" s="53"/>
      <c r="C501" s="55"/>
      <c r="D501" s="55"/>
      <c r="E501" s="55"/>
      <c r="F501" s="55"/>
      <c r="G501" s="55"/>
      <c r="H501" s="181"/>
      <c r="I501" s="55"/>
      <c r="J501" s="55"/>
      <c r="K501" s="55"/>
      <c r="L501" s="55"/>
      <c r="M501" s="55"/>
      <c r="N501" s="55"/>
      <c r="O501" s="55"/>
      <c r="P501" s="55"/>
      <c r="Q501" s="55"/>
      <c r="R501" s="55"/>
      <c r="S501" s="55"/>
      <c r="T501" s="55"/>
      <c r="U501" s="55"/>
      <c r="V501" s="55"/>
      <c r="W501" s="55"/>
      <c r="X501" s="55"/>
      <c r="Y501" s="55"/>
      <c r="Z501" s="55"/>
      <c r="AA501" s="55"/>
      <c r="AB501" s="55"/>
      <c r="AC501" s="55"/>
    </row>
    <row r="502">
      <c r="A502" s="53"/>
      <c r="B502" s="53"/>
      <c r="C502" s="55"/>
      <c r="D502" s="55"/>
      <c r="E502" s="55"/>
      <c r="F502" s="55"/>
      <c r="G502" s="55"/>
      <c r="H502" s="181"/>
      <c r="I502" s="55"/>
      <c r="J502" s="55"/>
      <c r="K502" s="55"/>
      <c r="L502" s="55"/>
      <c r="M502" s="55"/>
      <c r="N502" s="55"/>
      <c r="O502" s="55"/>
      <c r="P502" s="55"/>
      <c r="Q502" s="55"/>
      <c r="R502" s="55"/>
      <c r="S502" s="55"/>
      <c r="T502" s="55"/>
      <c r="U502" s="55"/>
      <c r="V502" s="55"/>
      <c r="W502" s="55"/>
      <c r="X502" s="55"/>
      <c r="Y502" s="55"/>
      <c r="Z502" s="55"/>
      <c r="AA502" s="55"/>
      <c r="AB502" s="55"/>
      <c r="AC502" s="55"/>
    </row>
    <row r="503">
      <c r="A503" s="53"/>
      <c r="B503" s="53"/>
      <c r="C503" s="55"/>
      <c r="D503" s="55"/>
      <c r="E503" s="55"/>
      <c r="F503" s="55"/>
      <c r="G503" s="55"/>
      <c r="H503" s="181"/>
      <c r="I503" s="55"/>
      <c r="J503" s="55"/>
      <c r="K503" s="55"/>
      <c r="L503" s="55"/>
      <c r="M503" s="55"/>
      <c r="N503" s="55"/>
      <c r="O503" s="55"/>
      <c r="P503" s="55"/>
      <c r="Q503" s="55"/>
      <c r="R503" s="55"/>
      <c r="S503" s="55"/>
      <c r="T503" s="55"/>
      <c r="U503" s="55"/>
      <c r="V503" s="55"/>
      <c r="W503" s="55"/>
      <c r="X503" s="55"/>
      <c r="Y503" s="55"/>
      <c r="Z503" s="55"/>
      <c r="AA503" s="55"/>
      <c r="AB503" s="55"/>
      <c r="AC503" s="55"/>
    </row>
    <row r="504">
      <c r="A504" s="53"/>
      <c r="B504" s="53"/>
      <c r="C504" s="55"/>
      <c r="D504" s="55"/>
      <c r="E504" s="55"/>
      <c r="F504" s="55"/>
      <c r="G504" s="55"/>
      <c r="H504" s="181"/>
      <c r="I504" s="55"/>
      <c r="J504" s="55"/>
      <c r="K504" s="55"/>
      <c r="L504" s="55"/>
      <c r="M504" s="55"/>
      <c r="N504" s="55"/>
      <c r="O504" s="55"/>
      <c r="P504" s="55"/>
      <c r="Q504" s="55"/>
      <c r="R504" s="55"/>
      <c r="S504" s="55"/>
      <c r="T504" s="55"/>
      <c r="U504" s="55"/>
      <c r="V504" s="55"/>
      <c r="W504" s="55"/>
      <c r="X504" s="55"/>
      <c r="Y504" s="55"/>
      <c r="Z504" s="55"/>
      <c r="AA504" s="55"/>
      <c r="AB504" s="55"/>
      <c r="AC504" s="55"/>
    </row>
    <row r="505">
      <c r="A505" s="53"/>
      <c r="B505" s="53"/>
      <c r="C505" s="55"/>
      <c r="D505" s="55"/>
      <c r="E505" s="55"/>
      <c r="F505" s="55"/>
      <c r="G505" s="55"/>
      <c r="H505" s="181"/>
      <c r="I505" s="55"/>
      <c r="J505" s="55"/>
      <c r="K505" s="55"/>
      <c r="L505" s="55"/>
      <c r="M505" s="55"/>
      <c r="N505" s="55"/>
      <c r="O505" s="55"/>
      <c r="P505" s="55"/>
      <c r="Q505" s="55"/>
      <c r="R505" s="55"/>
      <c r="S505" s="55"/>
      <c r="T505" s="55"/>
      <c r="U505" s="55"/>
      <c r="V505" s="55"/>
      <c r="W505" s="55"/>
      <c r="X505" s="55"/>
      <c r="Y505" s="55"/>
      <c r="Z505" s="55"/>
      <c r="AA505" s="55"/>
      <c r="AB505" s="55"/>
      <c r="AC505" s="55"/>
    </row>
    <row r="506">
      <c r="A506" s="53"/>
      <c r="B506" s="53"/>
      <c r="C506" s="55"/>
      <c r="D506" s="55"/>
      <c r="E506" s="55"/>
      <c r="F506" s="55"/>
      <c r="G506" s="55"/>
      <c r="H506" s="181"/>
      <c r="I506" s="55"/>
      <c r="J506" s="55"/>
      <c r="K506" s="55"/>
      <c r="L506" s="55"/>
      <c r="M506" s="55"/>
      <c r="N506" s="55"/>
      <c r="O506" s="55"/>
      <c r="P506" s="55"/>
      <c r="Q506" s="55"/>
      <c r="R506" s="55"/>
      <c r="S506" s="55"/>
      <c r="T506" s="55"/>
      <c r="U506" s="55"/>
      <c r="V506" s="55"/>
      <c r="W506" s="55"/>
      <c r="X506" s="55"/>
      <c r="Y506" s="55"/>
      <c r="Z506" s="55"/>
      <c r="AA506" s="55"/>
      <c r="AB506" s="55"/>
      <c r="AC506" s="55"/>
    </row>
    <row r="507">
      <c r="A507" s="53"/>
      <c r="B507" s="53"/>
      <c r="C507" s="55"/>
      <c r="D507" s="55"/>
      <c r="E507" s="55"/>
      <c r="F507" s="55"/>
      <c r="G507" s="55"/>
      <c r="H507" s="181"/>
      <c r="I507" s="55"/>
      <c r="J507" s="55"/>
      <c r="K507" s="55"/>
      <c r="L507" s="55"/>
      <c r="M507" s="55"/>
      <c r="N507" s="55"/>
      <c r="O507" s="55"/>
      <c r="P507" s="55"/>
      <c r="Q507" s="55"/>
      <c r="R507" s="55"/>
      <c r="S507" s="55"/>
      <c r="T507" s="55"/>
      <c r="U507" s="55"/>
      <c r="V507" s="55"/>
      <c r="W507" s="55"/>
      <c r="X507" s="55"/>
      <c r="Y507" s="55"/>
      <c r="Z507" s="55"/>
      <c r="AA507" s="55"/>
      <c r="AB507" s="55"/>
      <c r="AC507" s="55"/>
    </row>
    <row r="508">
      <c r="A508" s="53"/>
      <c r="B508" s="53"/>
      <c r="C508" s="55"/>
      <c r="D508" s="55"/>
      <c r="E508" s="55"/>
      <c r="F508" s="55"/>
      <c r="G508" s="55"/>
      <c r="H508" s="181"/>
      <c r="I508" s="55"/>
      <c r="J508" s="55"/>
      <c r="K508" s="55"/>
      <c r="L508" s="55"/>
      <c r="M508" s="55"/>
      <c r="N508" s="55"/>
      <c r="O508" s="55"/>
      <c r="P508" s="55"/>
      <c r="Q508" s="55"/>
      <c r="R508" s="55"/>
      <c r="S508" s="55"/>
      <c r="T508" s="55"/>
      <c r="U508" s="55"/>
      <c r="V508" s="55"/>
      <c r="W508" s="55"/>
      <c r="X508" s="55"/>
      <c r="Y508" s="55"/>
      <c r="Z508" s="55"/>
      <c r="AA508" s="55"/>
      <c r="AB508" s="55"/>
      <c r="AC508" s="55"/>
    </row>
    <row r="509">
      <c r="A509" s="53"/>
      <c r="B509" s="53"/>
      <c r="C509" s="55"/>
      <c r="D509" s="55"/>
      <c r="E509" s="55"/>
      <c r="F509" s="55"/>
      <c r="G509" s="55"/>
      <c r="H509" s="181"/>
      <c r="I509" s="55"/>
      <c r="J509" s="55"/>
      <c r="K509" s="55"/>
      <c r="L509" s="55"/>
      <c r="M509" s="55"/>
      <c r="N509" s="55"/>
      <c r="O509" s="55"/>
      <c r="P509" s="55"/>
      <c r="Q509" s="55"/>
      <c r="R509" s="55"/>
      <c r="S509" s="55"/>
      <c r="T509" s="55"/>
      <c r="U509" s="55"/>
      <c r="V509" s="55"/>
      <c r="W509" s="55"/>
      <c r="X509" s="55"/>
      <c r="Y509" s="55"/>
      <c r="Z509" s="55"/>
      <c r="AA509" s="55"/>
      <c r="AB509" s="55"/>
      <c r="AC509" s="55"/>
    </row>
    <row r="510">
      <c r="A510" s="53"/>
      <c r="B510" s="53"/>
      <c r="C510" s="55"/>
      <c r="D510" s="55"/>
      <c r="E510" s="55"/>
      <c r="F510" s="55"/>
      <c r="G510" s="55"/>
      <c r="H510" s="181"/>
      <c r="I510" s="55"/>
      <c r="J510" s="55"/>
      <c r="K510" s="55"/>
      <c r="L510" s="55"/>
      <c r="M510" s="55"/>
      <c r="N510" s="55"/>
      <c r="O510" s="55"/>
      <c r="P510" s="55"/>
      <c r="Q510" s="55"/>
      <c r="R510" s="55"/>
      <c r="S510" s="55"/>
      <c r="T510" s="55"/>
      <c r="U510" s="55"/>
      <c r="V510" s="55"/>
      <c r="W510" s="55"/>
      <c r="X510" s="55"/>
      <c r="Y510" s="55"/>
      <c r="Z510" s="55"/>
      <c r="AA510" s="55"/>
      <c r="AB510" s="55"/>
      <c r="AC510" s="55"/>
    </row>
    <row r="511">
      <c r="A511" s="53"/>
      <c r="B511" s="53"/>
      <c r="C511" s="55"/>
      <c r="D511" s="55"/>
      <c r="E511" s="55"/>
      <c r="F511" s="55"/>
      <c r="G511" s="55"/>
      <c r="H511" s="181"/>
      <c r="I511" s="55"/>
      <c r="J511" s="55"/>
      <c r="K511" s="55"/>
      <c r="L511" s="55"/>
      <c r="M511" s="55"/>
      <c r="N511" s="55"/>
      <c r="O511" s="55"/>
      <c r="P511" s="55"/>
      <c r="Q511" s="55"/>
      <c r="R511" s="55"/>
      <c r="S511" s="55"/>
      <c r="T511" s="55"/>
      <c r="U511" s="55"/>
      <c r="V511" s="55"/>
      <c r="W511" s="55"/>
      <c r="X511" s="55"/>
      <c r="Y511" s="55"/>
      <c r="Z511" s="55"/>
      <c r="AA511" s="55"/>
      <c r="AB511" s="55"/>
      <c r="AC511" s="55"/>
    </row>
    <row r="512">
      <c r="A512" s="53"/>
      <c r="B512" s="53"/>
      <c r="C512" s="55"/>
      <c r="D512" s="55"/>
      <c r="E512" s="55"/>
      <c r="F512" s="55"/>
      <c r="G512" s="55"/>
      <c r="H512" s="181"/>
      <c r="I512" s="55"/>
      <c r="J512" s="55"/>
      <c r="K512" s="55"/>
      <c r="L512" s="55"/>
      <c r="M512" s="55"/>
      <c r="N512" s="55"/>
      <c r="O512" s="55"/>
      <c r="P512" s="55"/>
      <c r="Q512" s="55"/>
      <c r="R512" s="55"/>
      <c r="S512" s="55"/>
      <c r="T512" s="55"/>
      <c r="U512" s="55"/>
      <c r="V512" s="55"/>
      <c r="W512" s="55"/>
      <c r="X512" s="55"/>
      <c r="Y512" s="55"/>
      <c r="Z512" s="55"/>
      <c r="AA512" s="55"/>
      <c r="AB512" s="55"/>
      <c r="AC512" s="55"/>
    </row>
    <row r="513">
      <c r="A513" s="53"/>
      <c r="B513" s="53"/>
      <c r="C513" s="55"/>
      <c r="D513" s="55"/>
      <c r="E513" s="55"/>
      <c r="F513" s="55"/>
      <c r="G513" s="55"/>
      <c r="H513" s="181"/>
      <c r="I513" s="55"/>
      <c r="J513" s="55"/>
      <c r="K513" s="55"/>
      <c r="L513" s="55"/>
      <c r="M513" s="55"/>
      <c r="N513" s="55"/>
      <c r="O513" s="55"/>
      <c r="P513" s="55"/>
      <c r="Q513" s="55"/>
      <c r="R513" s="55"/>
      <c r="S513" s="55"/>
      <c r="T513" s="55"/>
      <c r="U513" s="55"/>
      <c r="V513" s="55"/>
      <c r="W513" s="55"/>
      <c r="X513" s="55"/>
      <c r="Y513" s="55"/>
      <c r="Z513" s="55"/>
      <c r="AA513" s="55"/>
      <c r="AB513" s="55"/>
      <c r="AC513" s="55"/>
    </row>
    <row r="514">
      <c r="A514" s="53"/>
      <c r="B514" s="53"/>
      <c r="C514" s="55"/>
      <c r="D514" s="55"/>
      <c r="E514" s="55"/>
      <c r="F514" s="55"/>
      <c r="G514" s="55"/>
      <c r="H514" s="181"/>
      <c r="I514" s="55"/>
      <c r="J514" s="55"/>
      <c r="K514" s="55"/>
      <c r="L514" s="55"/>
      <c r="M514" s="55"/>
      <c r="N514" s="55"/>
      <c r="O514" s="55"/>
      <c r="P514" s="55"/>
      <c r="Q514" s="55"/>
      <c r="R514" s="55"/>
      <c r="S514" s="55"/>
      <c r="T514" s="55"/>
      <c r="U514" s="55"/>
      <c r="V514" s="55"/>
      <c r="W514" s="55"/>
      <c r="X514" s="55"/>
      <c r="Y514" s="55"/>
      <c r="Z514" s="55"/>
      <c r="AA514" s="55"/>
      <c r="AB514" s="55"/>
      <c r="AC514" s="55"/>
    </row>
    <row r="515">
      <c r="A515" s="53"/>
      <c r="B515" s="53"/>
      <c r="C515" s="55"/>
      <c r="D515" s="55"/>
      <c r="E515" s="55"/>
      <c r="F515" s="55"/>
      <c r="G515" s="55"/>
      <c r="H515" s="181"/>
      <c r="I515" s="55"/>
      <c r="J515" s="55"/>
      <c r="K515" s="55"/>
      <c r="L515" s="55"/>
      <c r="M515" s="55"/>
      <c r="N515" s="55"/>
      <c r="O515" s="55"/>
      <c r="P515" s="55"/>
      <c r="Q515" s="55"/>
      <c r="R515" s="55"/>
      <c r="S515" s="55"/>
      <c r="T515" s="55"/>
      <c r="U515" s="55"/>
      <c r="V515" s="55"/>
      <c r="W515" s="55"/>
      <c r="X515" s="55"/>
      <c r="Y515" s="55"/>
      <c r="Z515" s="55"/>
      <c r="AA515" s="55"/>
      <c r="AB515" s="55"/>
      <c r="AC515" s="55"/>
    </row>
    <row r="516">
      <c r="A516" s="53"/>
      <c r="B516" s="53"/>
      <c r="C516" s="55"/>
      <c r="D516" s="55"/>
      <c r="E516" s="55"/>
      <c r="F516" s="55"/>
      <c r="G516" s="55"/>
      <c r="H516" s="181"/>
      <c r="I516" s="55"/>
      <c r="J516" s="55"/>
      <c r="K516" s="55"/>
      <c r="L516" s="55"/>
      <c r="M516" s="55"/>
      <c r="N516" s="55"/>
      <c r="O516" s="55"/>
      <c r="P516" s="55"/>
      <c r="Q516" s="55"/>
      <c r="R516" s="55"/>
      <c r="S516" s="55"/>
      <c r="T516" s="55"/>
      <c r="U516" s="55"/>
      <c r="V516" s="55"/>
      <c r="W516" s="55"/>
      <c r="X516" s="55"/>
      <c r="Y516" s="55"/>
      <c r="Z516" s="55"/>
      <c r="AA516" s="55"/>
      <c r="AB516" s="55"/>
      <c r="AC516" s="55"/>
    </row>
    <row r="517">
      <c r="A517" s="53"/>
      <c r="B517" s="53"/>
      <c r="C517" s="55"/>
      <c r="D517" s="55"/>
      <c r="E517" s="55"/>
      <c r="F517" s="55"/>
      <c r="G517" s="55"/>
      <c r="H517" s="181"/>
      <c r="I517" s="55"/>
      <c r="J517" s="55"/>
      <c r="K517" s="55"/>
      <c r="L517" s="55"/>
      <c r="M517" s="55"/>
      <c r="N517" s="55"/>
      <c r="O517" s="55"/>
      <c r="P517" s="55"/>
      <c r="Q517" s="55"/>
      <c r="R517" s="55"/>
      <c r="S517" s="55"/>
      <c r="T517" s="55"/>
      <c r="U517" s="55"/>
      <c r="V517" s="55"/>
      <c r="W517" s="55"/>
      <c r="X517" s="55"/>
      <c r="Y517" s="55"/>
      <c r="Z517" s="55"/>
      <c r="AA517" s="55"/>
      <c r="AB517" s="55"/>
      <c r="AC517" s="55"/>
    </row>
    <row r="518">
      <c r="A518" s="53"/>
      <c r="B518" s="53"/>
      <c r="C518" s="55"/>
      <c r="D518" s="55"/>
      <c r="E518" s="55"/>
      <c r="F518" s="55"/>
      <c r="G518" s="55"/>
      <c r="H518" s="181"/>
      <c r="I518" s="55"/>
      <c r="J518" s="55"/>
      <c r="K518" s="55"/>
      <c r="L518" s="55"/>
      <c r="M518" s="55"/>
      <c r="N518" s="55"/>
      <c r="O518" s="55"/>
      <c r="P518" s="55"/>
      <c r="Q518" s="55"/>
      <c r="R518" s="55"/>
      <c r="S518" s="55"/>
      <c r="T518" s="55"/>
      <c r="U518" s="55"/>
      <c r="V518" s="55"/>
      <c r="W518" s="55"/>
      <c r="X518" s="55"/>
      <c r="Y518" s="55"/>
      <c r="Z518" s="55"/>
      <c r="AA518" s="55"/>
      <c r="AB518" s="55"/>
      <c r="AC518" s="55"/>
    </row>
    <row r="519">
      <c r="A519" s="53"/>
      <c r="B519" s="53"/>
      <c r="C519" s="55"/>
      <c r="D519" s="55"/>
      <c r="E519" s="55"/>
      <c r="F519" s="55"/>
      <c r="G519" s="55"/>
      <c r="H519" s="181"/>
      <c r="I519" s="55"/>
      <c r="J519" s="55"/>
      <c r="K519" s="55"/>
      <c r="L519" s="55"/>
      <c r="M519" s="55"/>
      <c r="N519" s="55"/>
      <c r="O519" s="55"/>
      <c r="P519" s="55"/>
      <c r="Q519" s="55"/>
      <c r="R519" s="55"/>
      <c r="S519" s="55"/>
      <c r="T519" s="55"/>
      <c r="U519" s="55"/>
      <c r="V519" s="55"/>
      <c r="W519" s="55"/>
      <c r="X519" s="55"/>
      <c r="Y519" s="55"/>
      <c r="Z519" s="55"/>
      <c r="AA519" s="55"/>
      <c r="AB519" s="55"/>
      <c r="AC519" s="55"/>
    </row>
    <row r="520">
      <c r="A520" s="53"/>
      <c r="B520" s="53"/>
      <c r="C520" s="55"/>
      <c r="D520" s="55"/>
      <c r="E520" s="55"/>
      <c r="F520" s="55"/>
      <c r="G520" s="55"/>
      <c r="H520" s="181"/>
      <c r="I520" s="55"/>
      <c r="J520" s="55"/>
      <c r="K520" s="55"/>
      <c r="L520" s="55"/>
      <c r="M520" s="55"/>
      <c r="N520" s="55"/>
      <c r="O520" s="55"/>
      <c r="P520" s="55"/>
      <c r="Q520" s="55"/>
      <c r="R520" s="55"/>
      <c r="S520" s="55"/>
      <c r="T520" s="55"/>
      <c r="U520" s="55"/>
      <c r="V520" s="55"/>
      <c r="W520" s="55"/>
      <c r="X520" s="55"/>
      <c r="Y520" s="55"/>
      <c r="Z520" s="55"/>
      <c r="AA520" s="55"/>
      <c r="AB520" s="55"/>
      <c r="AC520" s="55"/>
    </row>
    <row r="521">
      <c r="A521" s="53"/>
      <c r="B521" s="53"/>
      <c r="C521" s="55"/>
      <c r="D521" s="55"/>
      <c r="E521" s="55"/>
      <c r="F521" s="55"/>
      <c r="G521" s="55"/>
      <c r="H521" s="181"/>
      <c r="I521" s="55"/>
      <c r="J521" s="55"/>
      <c r="K521" s="55"/>
      <c r="L521" s="55"/>
      <c r="M521" s="55"/>
      <c r="N521" s="55"/>
      <c r="O521" s="55"/>
      <c r="P521" s="55"/>
      <c r="Q521" s="55"/>
      <c r="R521" s="55"/>
      <c r="S521" s="55"/>
      <c r="T521" s="55"/>
      <c r="U521" s="55"/>
      <c r="V521" s="55"/>
      <c r="W521" s="55"/>
      <c r="X521" s="55"/>
      <c r="Y521" s="55"/>
      <c r="Z521" s="55"/>
      <c r="AA521" s="55"/>
      <c r="AB521" s="55"/>
      <c r="AC521" s="55"/>
    </row>
    <row r="522">
      <c r="A522" s="53"/>
      <c r="B522" s="53"/>
      <c r="C522" s="55"/>
      <c r="D522" s="55"/>
      <c r="E522" s="55"/>
      <c r="F522" s="55"/>
      <c r="G522" s="55"/>
      <c r="H522" s="181"/>
      <c r="I522" s="55"/>
      <c r="J522" s="55"/>
      <c r="K522" s="55"/>
      <c r="L522" s="55"/>
      <c r="M522" s="55"/>
      <c r="N522" s="55"/>
      <c r="O522" s="55"/>
      <c r="P522" s="55"/>
      <c r="Q522" s="55"/>
      <c r="R522" s="55"/>
      <c r="S522" s="55"/>
      <c r="T522" s="55"/>
      <c r="U522" s="55"/>
      <c r="V522" s="55"/>
      <c r="W522" s="55"/>
      <c r="X522" s="55"/>
      <c r="Y522" s="55"/>
      <c r="Z522" s="55"/>
      <c r="AA522" s="55"/>
      <c r="AB522" s="55"/>
      <c r="AC522" s="55"/>
    </row>
    <row r="523">
      <c r="A523" s="53"/>
      <c r="B523" s="53"/>
      <c r="C523" s="55"/>
      <c r="D523" s="55"/>
      <c r="E523" s="55"/>
      <c r="F523" s="55"/>
      <c r="G523" s="55"/>
      <c r="H523" s="181"/>
      <c r="I523" s="55"/>
      <c r="J523" s="55"/>
      <c r="K523" s="55"/>
      <c r="L523" s="55"/>
      <c r="M523" s="55"/>
      <c r="N523" s="55"/>
      <c r="O523" s="55"/>
      <c r="P523" s="55"/>
      <c r="Q523" s="55"/>
      <c r="R523" s="55"/>
      <c r="S523" s="55"/>
      <c r="T523" s="55"/>
      <c r="U523" s="55"/>
      <c r="V523" s="55"/>
      <c r="W523" s="55"/>
      <c r="X523" s="55"/>
      <c r="Y523" s="55"/>
      <c r="Z523" s="55"/>
      <c r="AA523" s="55"/>
      <c r="AB523" s="55"/>
      <c r="AC523" s="55"/>
    </row>
    <row r="524">
      <c r="A524" s="53"/>
      <c r="B524" s="53"/>
      <c r="C524" s="55"/>
      <c r="D524" s="55"/>
      <c r="E524" s="55"/>
      <c r="F524" s="55"/>
      <c r="G524" s="55"/>
      <c r="H524" s="181"/>
      <c r="I524" s="55"/>
      <c r="J524" s="55"/>
      <c r="K524" s="55"/>
      <c r="L524" s="55"/>
      <c r="M524" s="55"/>
      <c r="N524" s="55"/>
      <c r="O524" s="55"/>
      <c r="P524" s="55"/>
      <c r="Q524" s="55"/>
      <c r="R524" s="55"/>
      <c r="S524" s="55"/>
      <c r="T524" s="55"/>
      <c r="U524" s="55"/>
      <c r="V524" s="55"/>
      <c r="W524" s="55"/>
      <c r="X524" s="55"/>
      <c r="Y524" s="55"/>
      <c r="Z524" s="55"/>
      <c r="AA524" s="55"/>
      <c r="AB524" s="55"/>
      <c r="AC524" s="55"/>
    </row>
    <row r="525">
      <c r="A525" s="53"/>
      <c r="B525" s="53"/>
      <c r="C525" s="55"/>
      <c r="D525" s="55"/>
      <c r="E525" s="55"/>
      <c r="F525" s="55"/>
      <c r="G525" s="55"/>
      <c r="H525" s="181"/>
      <c r="I525" s="55"/>
      <c r="J525" s="55"/>
      <c r="K525" s="55"/>
      <c r="L525" s="55"/>
      <c r="M525" s="55"/>
      <c r="N525" s="55"/>
      <c r="O525" s="55"/>
      <c r="P525" s="55"/>
      <c r="Q525" s="55"/>
      <c r="R525" s="55"/>
      <c r="S525" s="55"/>
      <c r="T525" s="55"/>
      <c r="U525" s="55"/>
      <c r="V525" s="55"/>
      <c r="W525" s="55"/>
      <c r="X525" s="55"/>
      <c r="Y525" s="55"/>
      <c r="Z525" s="55"/>
      <c r="AA525" s="55"/>
      <c r="AB525" s="55"/>
      <c r="AC525" s="55"/>
    </row>
    <row r="526">
      <c r="A526" s="53"/>
      <c r="B526" s="53"/>
      <c r="C526" s="55"/>
      <c r="D526" s="55"/>
      <c r="E526" s="55"/>
      <c r="F526" s="55"/>
      <c r="G526" s="55"/>
      <c r="H526" s="181"/>
      <c r="I526" s="55"/>
      <c r="J526" s="55"/>
      <c r="K526" s="55"/>
      <c r="L526" s="55"/>
      <c r="M526" s="55"/>
      <c r="N526" s="55"/>
      <c r="O526" s="55"/>
      <c r="P526" s="55"/>
      <c r="Q526" s="55"/>
      <c r="R526" s="55"/>
      <c r="S526" s="55"/>
      <c r="T526" s="55"/>
      <c r="U526" s="55"/>
      <c r="V526" s="55"/>
      <c r="W526" s="55"/>
      <c r="X526" s="55"/>
      <c r="Y526" s="55"/>
      <c r="Z526" s="55"/>
      <c r="AA526" s="55"/>
      <c r="AB526" s="55"/>
      <c r="AC526" s="55"/>
    </row>
    <row r="527">
      <c r="A527" s="53"/>
      <c r="B527" s="53"/>
      <c r="C527" s="55"/>
      <c r="D527" s="55"/>
      <c r="E527" s="55"/>
      <c r="F527" s="55"/>
      <c r="G527" s="55"/>
      <c r="H527" s="181"/>
      <c r="I527" s="55"/>
      <c r="J527" s="55"/>
      <c r="K527" s="55"/>
      <c r="L527" s="55"/>
      <c r="M527" s="55"/>
      <c r="N527" s="55"/>
      <c r="O527" s="55"/>
      <c r="P527" s="55"/>
      <c r="Q527" s="55"/>
      <c r="R527" s="55"/>
      <c r="S527" s="55"/>
      <c r="T527" s="55"/>
      <c r="U527" s="55"/>
      <c r="V527" s="55"/>
      <c r="W527" s="55"/>
      <c r="X527" s="55"/>
      <c r="Y527" s="55"/>
      <c r="Z527" s="55"/>
      <c r="AA527" s="55"/>
      <c r="AB527" s="55"/>
      <c r="AC527" s="55"/>
    </row>
    <row r="528">
      <c r="A528" s="53"/>
      <c r="B528" s="53"/>
      <c r="C528" s="55"/>
      <c r="D528" s="55"/>
      <c r="E528" s="55"/>
      <c r="F528" s="55"/>
      <c r="G528" s="55"/>
      <c r="H528" s="181"/>
      <c r="I528" s="55"/>
      <c r="J528" s="55"/>
      <c r="K528" s="55"/>
      <c r="L528" s="55"/>
      <c r="M528" s="55"/>
      <c r="N528" s="55"/>
      <c r="O528" s="55"/>
      <c r="P528" s="55"/>
      <c r="Q528" s="55"/>
      <c r="R528" s="55"/>
      <c r="S528" s="55"/>
      <c r="T528" s="55"/>
      <c r="U528" s="55"/>
      <c r="V528" s="55"/>
      <c r="W528" s="55"/>
      <c r="X528" s="55"/>
      <c r="Y528" s="55"/>
      <c r="Z528" s="55"/>
      <c r="AA528" s="55"/>
      <c r="AB528" s="55"/>
      <c r="AC528" s="55"/>
    </row>
    <row r="529">
      <c r="A529" s="53"/>
      <c r="B529" s="53"/>
      <c r="C529" s="55"/>
      <c r="D529" s="55"/>
      <c r="E529" s="55"/>
      <c r="F529" s="55"/>
      <c r="G529" s="55"/>
      <c r="H529" s="181"/>
      <c r="I529" s="55"/>
      <c r="J529" s="55"/>
      <c r="K529" s="55"/>
      <c r="L529" s="55"/>
      <c r="M529" s="55"/>
      <c r="N529" s="55"/>
      <c r="O529" s="55"/>
      <c r="P529" s="55"/>
      <c r="Q529" s="55"/>
      <c r="R529" s="55"/>
      <c r="S529" s="55"/>
      <c r="T529" s="55"/>
      <c r="U529" s="55"/>
      <c r="V529" s="55"/>
      <c r="W529" s="55"/>
      <c r="X529" s="55"/>
      <c r="Y529" s="55"/>
      <c r="Z529" s="55"/>
      <c r="AA529" s="55"/>
      <c r="AB529" s="55"/>
      <c r="AC529" s="55"/>
    </row>
    <row r="530">
      <c r="A530" s="53"/>
      <c r="B530" s="53"/>
      <c r="C530" s="55"/>
      <c r="D530" s="55"/>
      <c r="E530" s="55"/>
      <c r="F530" s="55"/>
      <c r="G530" s="55"/>
      <c r="H530" s="181"/>
      <c r="I530" s="55"/>
      <c r="J530" s="55"/>
      <c r="K530" s="55"/>
      <c r="L530" s="55"/>
      <c r="M530" s="55"/>
      <c r="N530" s="55"/>
      <c r="O530" s="55"/>
      <c r="P530" s="55"/>
      <c r="Q530" s="55"/>
      <c r="R530" s="55"/>
      <c r="S530" s="55"/>
      <c r="T530" s="55"/>
      <c r="U530" s="55"/>
      <c r="V530" s="55"/>
      <c r="W530" s="55"/>
      <c r="X530" s="55"/>
      <c r="Y530" s="55"/>
      <c r="Z530" s="55"/>
      <c r="AA530" s="55"/>
      <c r="AB530" s="55"/>
      <c r="AC530" s="55"/>
    </row>
    <row r="531">
      <c r="A531" s="53"/>
      <c r="B531" s="53"/>
      <c r="C531" s="55"/>
      <c r="D531" s="55"/>
      <c r="E531" s="55"/>
      <c r="F531" s="55"/>
      <c r="G531" s="55"/>
      <c r="H531" s="181"/>
      <c r="I531" s="55"/>
      <c r="J531" s="55"/>
      <c r="K531" s="55"/>
      <c r="L531" s="55"/>
      <c r="M531" s="55"/>
      <c r="N531" s="55"/>
      <c r="O531" s="55"/>
      <c r="P531" s="55"/>
      <c r="Q531" s="55"/>
      <c r="R531" s="55"/>
      <c r="S531" s="55"/>
      <c r="T531" s="55"/>
      <c r="U531" s="55"/>
      <c r="V531" s="55"/>
      <c r="W531" s="55"/>
      <c r="X531" s="55"/>
      <c r="Y531" s="55"/>
      <c r="Z531" s="55"/>
      <c r="AA531" s="55"/>
      <c r="AB531" s="55"/>
      <c r="AC531" s="55"/>
    </row>
    <row r="532">
      <c r="A532" s="53"/>
      <c r="B532" s="53"/>
      <c r="C532" s="55"/>
      <c r="D532" s="55"/>
      <c r="E532" s="55"/>
      <c r="F532" s="55"/>
      <c r="G532" s="55"/>
      <c r="H532" s="181"/>
      <c r="I532" s="55"/>
      <c r="J532" s="55"/>
      <c r="K532" s="55"/>
      <c r="L532" s="55"/>
      <c r="M532" s="55"/>
      <c r="N532" s="55"/>
      <c r="O532" s="55"/>
      <c r="P532" s="55"/>
      <c r="Q532" s="55"/>
      <c r="R532" s="55"/>
      <c r="S532" s="55"/>
      <c r="T532" s="55"/>
      <c r="U532" s="55"/>
      <c r="V532" s="55"/>
      <c r="W532" s="55"/>
      <c r="X532" s="55"/>
      <c r="Y532" s="55"/>
      <c r="Z532" s="55"/>
      <c r="AA532" s="55"/>
      <c r="AB532" s="55"/>
      <c r="AC532" s="55"/>
    </row>
    <row r="533">
      <c r="A533" s="53"/>
      <c r="B533" s="53"/>
      <c r="C533" s="55"/>
      <c r="D533" s="55"/>
      <c r="E533" s="55"/>
      <c r="F533" s="55"/>
      <c r="G533" s="55"/>
      <c r="H533" s="181"/>
      <c r="I533" s="55"/>
      <c r="J533" s="55"/>
      <c r="K533" s="55"/>
      <c r="L533" s="55"/>
      <c r="M533" s="55"/>
      <c r="N533" s="55"/>
      <c r="O533" s="55"/>
      <c r="P533" s="55"/>
      <c r="Q533" s="55"/>
      <c r="R533" s="55"/>
      <c r="S533" s="55"/>
      <c r="T533" s="55"/>
      <c r="U533" s="55"/>
      <c r="V533" s="55"/>
      <c r="W533" s="55"/>
      <c r="X533" s="55"/>
      <c r="Y533" s="55"/>
      <c r="Z533" s="55"/>
      <c r="AA533" s="55"/>
      <c r="AB533" s="55"/>
      <c r="AC533" s="55"/>
    </row>
    <row r="534">
      <c r="A534" s="53"/>
      <c r="B534" s="53"/>
      <c r="C534" s="55"/>
      <c r="D534" s="55"/>
      <c r="E534" s="55"/>
      <c r="F534" s="55"/>
      <c r="G534" s="55"/>
      <c r="H534" s="181"/>
      <c r="I534" s="55"/>
      <c r="J534" s="55"/>
      <c r="K534" s="55"/>
      <c r="L534" s="55"/>
      <c r="M534" s="55"/>
      <c r="N534" s="55"/>
      <c r="O534" s="55"/>
      <c r="P534" s="55"/>
      <c r="Q534" s="55"/>
      <c r="R534" s="55"/>
      <c r="S534" s="55"/>
      <c r="T534" s="55"/>
      <c r="U534" s="55"/>
      <c r="V534" s="55"/>
      <c r="W534" s="55"/>
      <c r="X534" s="55"/>
      <c r="Y534" s="55"/>
      <c r="Z534" s="55"/>
      <c r="AA534" s="55"/>
      <c r="AB534" s="55"/>
      <c r="AC534" s="55"/>
    </row>
    <row r="535">
      <c r="A535" s="53"/>
      <c r="B535" s="53"/>
      <c r="C535" s="55"/>
      <c r="D535" s="55"/>
      <c r="E535" s="55"/>
      <c r="F535" s="55"/>
      <c r="G535" s="55"/>
      <c r="H535" s="181"/>
      <c r="I535" s="55"/>
      <c r="J535" s="55"/>
      <c r="K535" s="55"/>
      <c r="L535" s="55"/>
      <c r="M535" s="55"/>
      <c r="N535" s="55"/>
      <c r="O535" s="55"/>
      <c r="P535" s="55"/>
      <c r="Q535" s="55"/>
      <c r="R535" s="55"/>
      <c r="S535" s="55"/>
      <c r="T535" s="55"/>
      <c r="U535" s="55"/>
      <c r="V535" s="55"/>
      <c r="W535" s="55"/>
      <c r="X535" s="55"/>
      <c r="Y535" s="55"/>
      <c r="Z535" s="55"/>
      <c r="AA535" s="55"/>
      <c r="AB535" s="55"/>
      <c r="AC535" s="55"/>
    </row>
    <row r="536">
      <c r="A536" s="53"/>
      <c r="B536" s="53"/>
      <c r="C536" s="55"/>
      <c r="D536" s="55"/>
      <c r="E536" s="55"/>
      <c r="F536" s="55"/>
      <c r="G536" s="55"/>
      <c r="H536" s="181"/>
      <c r="I536" s="55"/>
      <c r="J536" s="55"/>
      <c r="K536" s="55"/>
      <c r="L536" s="55"/>
      <c r="M536" s="55"/>
      <c r="N536" s="55"/>
      <c r="O536" s="55"/>
      <c r="P536" s="55"/>
      <c r="Q536" s="55"/>
      <c r="R536" s="55"/>
      <c r="S536" s="55"/>
      <c r="T536" s="55"/>
      <c r="U536" s="55"/>
      <c r="V536" s="55"/>
      <c r="W536" s="55"/>
      <c r="X536" s="55"/>
      <c r="Y536" s="55"/>
      <c r="Z536" s="55"/>
      <c r="AA536" s="55"/>
      <c r="AB536" s="55"/>
      <c r="AC536" s="55"/>
    </row>
    <row r="537">
      <c r="A537" s="53"/>
      <c r="B537" s="53"/>
      <c r="C537" s="55"/>
      <c r="D537" s="55"/>
      <c r="E537" s="55"/>
      <c r="F537" s="55"/>
      <c r="G537" s="55"/>
      <c r="H537" s="181"/>
      <c r="I537" s="55"/>
      <c r="J537" s="55"/>
      <c r="K537" s="55"/>
      <c r="L537" s="55"/>
      <c r="M537" s="55"/>
      <c r="N537" s="55"/>
      <c r="O537" s="55"/>
      <c r="P537" s="55"/>
      <c r="Q537" s="55"/>
      <c r="R537" s="55"/>
      <c r="S537" s="55"/>
      <c r="T537" s="55"/>
      <c r="U537" s="55"/>
      <c r="V537" s="55"/>
      <c r="W537" s="55"/>
      <c r="X537" s="55"/>
      <c r="Y537" s="55"/>
      <c r="Z537" s="55"/>
      <c r="AA537" s="55"/>
      <c r="AB537" s="55"/>
      <c r="AC537" s="55"/>
    </row>
    <row r="538">
      <c r="A538" s="53"/>
      <c r="B538" s="53"/>
      <c r="C538" s="55"/>
      <c r="D538" s="55"/>
      <c r="E538" s="55"/>
      <c r="F538" s="55"/>
      <c r="G538" s="55"/>
      <c r="H538" s="181"/>
      <c r="I538" s="55"/>
      <c r="J538" s="55"/>
      <c r="K538" s="55"/>
      <c r="L538" s="55"/>
      <c r="M538" s="55"/>
      <c r="N538" s="55"/>
      <c r="O538" s="55"/>
      <c r="P538" s="55"/>
      <c r="Q538" s="55"/>
      <c r="R538" s="55"/>
      <c r="S538" s="55"/>
      <c r="T538" s="55"/>
      <c r="U538" s="55"/>
      <c r="V538" s="55"/>
      <c r="W538" s="55"/>
      <c r="X538" s="55"/>
      <c r="Y538" s="55"/>
      <c r="Z538" s="55"/>
      <c r="AA538" s="55"/>
      <c r="AB538" s="55"/>
      <c r="AC538" s="55"/>
    </row>
    <row r="539">
      <c r="A539" s="53"/>
      <c r="B539" s="53"/>
      <c r="C539" s="55"/>
      <c r="D539" s="55"/>
      <c r="E539" s="55"/>
      <c r="F539" s="55"/>
      <c r="G539" s="55"/>
      <c r="H539" s="181"/>
      <c r="I539" s="55"/>
      <c r="J539" s="55"/>
      <c r="K539" s="55"/>
      <c r="L539" s="55"/>
      <c r="M539" s="55"/>
      <c r="N539" s="55"/>
      <c r="O539" s="55"/>
      <c r="P539" s="55"/>
      <c r="Q539" s="55"/>
      <c r="R539" s="55"/>
      <c r="S539" s="55"/>
      <c r="T539" s="55"/>
      <c r="U539" s="55"/>
      <c r="V539" s="55"/>
      <c r="W539" s="55"/>
      <c r="X539" s="55"/>
      <c r="Y539" s="55"/>
      <c r="Z539" s="55"/>
      <c r="AA539" s="55"/>
      <c r="AB539" s="55"/>
      <c r="AC539" s="55"/>
    </row>
    <row r="540">
      <c r="A540" s="53"/>
      <c r="B540" s="53"/>
      <c r="C540" s="55"/>
      <c r="D540" s="55"/>
      <c r="E540" s="55"/>
      <c r="F540" s="55"/>
      <c r="G540" s="55"/>
      <c r="H540" s="181"/>
      <c r="I540" s="55"/>
      <c r="J540" s="55"/>
      <c r="K540" s="55"/>
      <c r="L540" s="55"/>
      <c r="M540" s="55"/>
      <c r="N540" s="55"/>
      <c r="O540" s="55"/>
      <c r="P540" s="55"/>
      <c r="Q540" s="55"/>
      <c r="R540" s="55"/>
      <c r="S540" s="55"/>
      <c r="T540" s="55"/>
      <c r="U540" s="55"/>
      <c r="V540" s="55"/>
      <c r="W540" s="55"/>
      <c r="X540" s="55"/>
      <c r="Y540" s="55"/>
      <c r="Z540" s="55"/>
      <c r="AA540" s="55"/>
      <c r="AB540" s="55"/>
      <c r="AC540" s="55"/>
    </row>
    <row r="541">
      <c r="A541" s="53"/>
      <c r="B541" s="53"/>
      <c r="C541" s="55"/>
      <c r="D541" s="55"/>
      <c r="E541" s="55"/>
      <c r="F541" s="55"/>
      <c r="G541" s="55"/>
      <c r="H541" s="181"/>
      <c r="I541" s="55"/>
      <c r="J541" s="55"/>
      <c r="K541" s="55"/>
      <c r="L541" s="55"/>
      <c r="M541" s="55"/>
      <c r="N541" s="55"/>
      <c r="O541" s="55"/>
      <c r="P541" s="55"/>
      <c r="Q541" s="55"/>
      <c r="R541" s="55"/>
      <c r="S541" s="55"/>
      <c r="T541" s="55"/>
      <c r="U541" s="55"/>
      <c r="V541" s="55"/>
      <c r="W541" s="55"/>
      <c r="X541" s="55"/>
      <c r="Y541" s="55"/>
      <c r="Z541" s="55"/>
      <c r="AA541" s="55"/>
      <c r="AB541" s="55"/>
      <c r="AC541" s="55"/>
    </row>
    <row r="542">
      <c r="A542" s="53"/>
      <c r="B542" s="53"/>
      <c r="C542" s="55"/>
      <c r="D542" s="55"/>
      <c r="E542" s="55"/>
      <c r="F542" s="55"/>
      <c r="G542" s="55"/>
      <c r="H542" s="181"/>
      <c r="I542" s="55"/>
      <c r="J542" s="55"/>
      <c r="K542" s="55"/>
      <c r="L542" s="55"/>
      <c r="M542" s="55"/>
      <c r="N542" s="55"/>
      <c r="O542" s="55"/>
      <c r="P542" s="55"/>
      <c r="Q542" s="55"/>
      <c r="R542" s="55"/>
      <c r="S542" s="55"/>
      <c r="T542" s="55"/>
      <c r="U542" s="55"/>
      <c r="V542" s="55"/>
      <c r="W542" s="55"/>
      <c r="X542" s="55"/>
      <c r="Y542" s="55"/>
      <c r="Z542" s="55"/>
      <c r="AA542" s="55"/>
      <c r="AB542" s="55"/>
      <c r="AC542" s="55"/>
    </row>
    <row r="543">
      <c r="A543" s="53"/>
      <c r="B543" s="53"/>
      <c r="C543" s="55"/>
      <c r="D543" s="55"/>
      <c r="E543" s="55"/>
      <c r="F543" s="55"/>
      <c r="G543" s="55"/>
      <c r="H543" s="181"/>
      <c r="I543" s="55"/>
      <c r="J543" s="55"/>
      <c r="K543" s="55"/>
      <c r="L543" s="55"/>
      <c r="M543" s="55"/>
      <c r="N543" s="55"/>
      <c r="O543" s="55"/>
      <c r="P543" s="55"/>
      <c r="Q543" s="55"/>
      <c r="R543" s="55"/>
      <c r="S543" s="55"/>
      <c r="T543" s="55"/>
      <c r="U543" s="55"/>
      <c r="V543" s="55"/>
      <c r="W543" s="55"/>
      <c r="X543" s="55"/>
      <c r="Y543" s="55"/>
      <c r="Z543" s="55"/>
      <c r="AA543" s="55"/>
      <c r="AB543" s="55"/>
      <c r="AC543" s="55"/>
    </row>
    <row r="544">
      <c r="A544" s="53"/>
      <c r="B544" s="53"/>
      <c r="C544" s="55"/>
      <c r="D544" s="55"/>
      <c r="E544" s="55"/>
      <c r="F544" s="55"/>
      <c r="G544" s="55"/>
      <c r="H544" s="181"/>
      <c r="I544" s="55"/>
      <c r="J544" s="55"/>
      <c r="K544" s="55"/>
      <c r="L544" s="55"/>
      <c r="M544" s="55"/>
      <c r="N544" s="55"/>
      <c r="O544" s="55"/>
      <c r="P544" s="55"/>
      <c r="Q544" s="55"/>
      <c r="R544" s="55"/>
      <c r="S544" s="55"/>
      <c r="T544" s="55"/>
      <c r="U544" s="55"/>
      <c r="V544" s="55"/>
      <c r="W544" s="55"/>
      <c r="X544" s="55"/>
      <c r="Y544" s="55"/>
      <c r="Z544" s="55"/>
      <c r="AA544" s="55"/>
      <c r="AB544" s="55"/>
      <c r="AC544" s="55"/>
    </row>
    <row r="545">
      <c r="A545" s="53"/>
      <c r="B545" s="53"/>
      <c r="C545" s="55"/>
      <c r="D545" s="55"/>
      <c r="E545" s="55"/>
      <c r="F545" s="55"/>
      <c r="G545" s="55"/>
      <c r="H545" s="181"/>
      <c r="I545" s="55"/>
      <c r="J545" s="55"/>
      <c r="K545" s="55"/>
      <c r="L545" s="55"/>
      <c r="M545" s="55"/>
      <c r="N545" s="55"/>
      <c r="O545" s="55"/>
      <c r="P545" s="55"/>
      <c r="Q545" s="55"/>
      <c r="R545" s="55"/>
      <c r="S545" s="55"/>
      <c r="T545" s="55"/>
      <c r="U545" s="55"/>
      <c r="V545" s="55"/>
      <c r="W545" s="55"/>
      <c r="X545" s="55"/>
      <c r="Y545" s="55"/>
      <c r="Z545" s="55"/>
      <c r="AA545" s="55"/>
      <c r="AB545" s="55"/>
      <c r="AC545" s="55"/>
    </row>
    <row r="546">
      <c r="A546" s="53"/>
      <c r="B546" s="53"/>
      <c r="C546" s="55"/>
      <c r="D546" s="55"/>
      <c r="E546" s="55"/>
      <c r="F546" s="55"/>
      <c r="G546" s="55"/>
      <c r="H546" s="181"/>
      <c r="I546" s="55"/>
      <c r="J546" s="55"/>
      <c r="K546" s="55"/>
      <c r="L546" s="55"/>
      <c r="M546" s="55"/>
      <c r="N546" s="55"/>
      <c r="O546" s="55"/>
      <c r="P546" s="55"/>
      <c r="Q546" s="55"/>
      <c r="R546" s="55"/>
      <c r="S546" s="55"/>
      <c r="T546" s="55"/>
      <c r="U546" s="55"/>
      <c r="V546" s="55"/>
      <c r="W546" s="55"/>
      <c r="X546" s="55"/>
      <c r="Y546" s="55"/>
      <c r="Z546" s="55"/>
      <c r="AA546" s="55"/>
      <c r="AB546" s="55"/>
      <c r="AC546" s="55"/>
    </row>
    <row r="547">
      <c r="A547" s="53"/>
      <c r="B547" s="53"/>
      <c r="C547" s="55"/>
      <c r="D547" s="55"/>
      <c r="E547" s="55"/>
      <c r="F547" s="55"/>
      <c r="G547" s="55"/>
      <c r="H547" s="181"/>
      <c r="I547" s="55"/>
      <c r="J547" s="55"/>
      <c r="K547" s="55"/>
      <c r="L547" s="55"/>
      <c r="M547" s="55"/>
      <c r="N547" s="55"/>
      <c r="O547" s="55"/>
      <c r="P547" s="55"/>
      <c r="Q547" s="55"/>
      <c r="R547" s="55"/>
      <c r="S547" s="55"/>
      <c r="T547" s="55"/>
      <c r="U547" s="55"/>
      <c r="V547" s="55"/>
      <c r="W547" s="55"/>
      <c r="X547" s="55"/>
      <c r="Y547" s="55"/>
      <c r="Z547" s="55"/>
      <c r="AA547" s="55"/>
      <c r="AB547" s="55"/>
      <c r="AC547" s="55"/>
    </row>
    <row r="548">
      <c r="A548" s="53"/>
      <c r="B548" s="53"/>
      <c r="C548" s="55"/>
      <c r="D548" s="55"/>
      <c r="E548" s="55"/>
      <c r="F548" s="55"/>
      <c r="G548" s="55"/>
      <c r="H548" s="181"/>
      <c r="I548" s="55"/>
      <c r="J548" s="55"/>
      <c r="K548" s="55"/>
      <c r="L548" s="55"/>
      <c r="M548" s="55"/>
      <c r="N548" s="55"/>
      <c r="O548" s="55"/>
      <c r="P548" s="55"/>
      <c r="Q548" s="55"/>
      <c r="R548" s="55"/>
      <c r="S548" s="55"/>
      <c r="T548" s="55"/>
      <c r="U548" s="55"/>
      <c r="V548" s="55"/>
      <c r="W548" s="55"/>
      <c r="X548" s="55"/>
      <c r="Y548" s="55"/>
      <c r="Z548" s="55"/>
      <c r="AA548" s="55"/>
      <c r="AB548" s="55"/>
      <c r="AC548" s="55"/>
    </row>
    <row r="549">
      <c r="A549" s="53"/>
      <c r="B549" s="53"/>
      <c r="C549" s="55"/>
      <c r="D549" s="55"/>
      <c r="E549" s="55"/>
      <c r="F549" s="55"/>
      <c r="G549" s="55"/>
      <c r="H549" s="181"/>
      <c r="I549" s="55"/>
      <c r="J549" s="55"/>
      <c r="K549" s="55"/>
      <c r="L549" s="55"/>
      <c r="M549" s="55"/>
      <c r="N549" s="55"/>
      <c r="O549" s="55"/>
      <c r="P549" s="55"/>
      <c r="Q549" s="55"/>
      <c r="R549" s="55"/>
      <c r="S549" s="55"/>
      <c r="T549" s="55"/>
      <c r="U549" s="55"/>
      <c r="V549" s="55"/>
      <c r="W549" s="55"/>
      <c r="X549" s="55"/>
      <c r="Y549" s="55"/>
      <c r="Z549" s="55"/>
      <c r="AA549" s="55"/>
      <c r="AB549" s="55"/>
      <c r="AC549" s="55"/>
    </row>
    <row r="550">
      <c r="A550" s="53"/>
      <c r="B550" s="53"/>
      <c r="C550" s="55"/>
      <c r="D550" s="55"/>
      <c r="E550" s="55"/>
      <c r="F550" s="55"/>
      <c r="G550" s="55"/>
      <c r="H550" s="181"/>
      <c r="I550" s="55"/>
      <c r="J550" s="55"/>
      <c r="K550" s="55"/>
      <c r="L550" s="55"/>
      <c r="M550" s="55"/>
      <c r="N550" s="55"/>
      <c r="O550" s="55"/>
      <c r="P550" s="55"/>
      <c r="Q550" s="55"/>
      <c r="R550" s="55"/>
      <c r="S550" s="55"/>
      <c r="T550" s="55"/>
      <c r="U550" s="55"/>
      <c r="V550" s="55"/>
      <c r="W550" s="55"/>
      <c r="X550" s="55"/>
      <c r="Y550" s="55"/>
      <c r="Z550" s="55"/>
      <c r="AA550" s="55"/>
      <c r="AB550" s="55"/>
      <c r="AC550" s="55"/>
    </row>
    <row r="551">
      <c r="A551" s="53"/>
      <c r="B551" s="53"/>
      <c r="C551" s="55"/>
      <c r="D551" s="55"/>
      <c r="E551" s="55"/>
      <c r="F551" s="55"/>
      <c r="G551" s="55"/>
      <c r="H551" s="181"/>
      <c r="I551" s="55"/>
      <c r="J551" s="55"/>
      <c r="K551" s="55"/>
      <c r="L551" s="55"/>
      <c r="M551" s="55"/>
      <c r="N551" s="55"/>
      <c r="O551" s="55"/>
      <c r="P551" s="55"/>
      <c r="Q551" s="55"/>
      <c r="R551" s="55"/>
      <c r="S551" s="55"/>
      <c r="T551" s="55"/>
      <c r="U551" s="55"/>
      <c r="V551" s="55"/>
      <c r="W551" s="55"/>
      <c r="X551" s="55"/>
      <c r="Y551" s="55"/>
      <c r="Z551" s="55"/>
      <c r="AA551" s="55"/>
      <c r="AB551" s="55"/>
      <c r="AC551" s="55"/>
    </row>
    <row r="552">
      <c r="A552" s="53"/>
      <c r="B552" s="53"/>
      <c r="C552" s="55"/>
      <c r="D552" s="55"/>
      <c r="E552" s="55"/>
      <c r="F552" s="55"/>
      <c r="G552" s="55"/>
      <c r="H552" s="181"/>
      <c r="I552" s="55"/>
      <c r="J552" s="55"/>
      <c r="K552" s="55"/>
      <c r="L552" s="55"/>
      <c r="M552" s="55"/>
      <c r="N552" s="55"/>
      <c r="O552" s="55"/>
      <c r="P552" s="55"/>
      <c r="Q552" s="55"/>
      <c r="R552" s="55"/>
      <c r="S552" s="55"/>
      <c r="T552" s="55"/>
      <c r="U552" s="55"/>
      <c r="V552" s="55"/>
      <c r="W552" s="55"/>
      <c r="X552" s="55"/>
      <c r="Y552" s="55"/>
      <c r="Z552" s="55"/>
      <c r="AA552" s="55"/>
      <c r="AB552" s="55"/>
      <c r="AC552" s="55"/>
    </row>
    <row r="553">
      <c r="A553" s="53"/>
      <c r="B553" s="53"/>
      <c r="C553" s="55"/>
      <c r="D553" s="55"/>
      <c r="E553" s="55"/>
      <c r="F553" s="55"/>
      <c r="G553" s="55"/>
      <c r="H553" s="181"/>
      <c r="I553" s="55"/>
      <c r="J553" s="55"/>
      <c r="K553" s="55"/>
      <c r="L553" s="55"/>
      <c r="M553" s="55"/>
      <c r="N553" s="55"/>
      <c r="O553" s="55"/>
      <c r="P553" s="55"/>
      <c r="Q553" s="55"/>
      <c r="R553" s="55"/>
      <c r="S553" s="55"/>
      <c r="T553" s="55"/>
      <c r="U553" s="55"/>
      <c r="V553" s="55"/>
      <c r="W553" s="55"/>
      <c r="X553" s="55"/>
      <c r="Y553" s="55"/>
      <c r="Z553" s="55"/>
      <c r="AA553" s="55"/>
      <c r="AB553" s="55"/>
      <c r="AC553" s="55"/>
    </row>
    <row r="554">
      <c r="A554" s="53"/>
      <c r="B554" s="53"/>
      <c r="C554" s="55"/>
      <c r="D554" s="55"/>
      <c r="E554" s="55"/>
      <c r="F554" s="55"/>
      <c r="G554" s="55"/>
      <c r="H554" s="181"/>
      <c r="I554" s="55"/>
      <c r="J554" s="55"/>
      <c r="K554" s="55"/>
      <c r="L554" s="55"/>
      <c r="M554" s="55"/>
      <c r="N554" s="55"/>
      <c r="O554" s="55"/>
      <c r="P554" s="55"/>
      <c r="Q554" s="55"/>
      <c r="R554" s="55"/>
      <c r="S554" s="55"/>
      <c r="T554" s="55"/>
      <c r="U554" s="55"/>
      <c r="V554" s="55"/>
      <c r="W554" s="55"/>
      <c r="X554" s="55"/>
      <c r="Y554" s="55"/>
      <c r="Z554" s="55"/>
      <c r="AA554" s="55"/>
      <c r="AB554" s="55"/>
      <c r="AC554" s="55"/>
    </row>
    <row r="555">
      <c r="A555" s="53"/>
      <c r="B555" s="53"/>
      <c r="C555" s="55"/>
      <c r="D555" s="55"/>
      <c r="E555" s="55"/>
      <c r="F555" s="55"/>
      <c r="G555" s="55"/>
      <c r="H555" s="181"/>
      <c r="I555" s="55"/>
      <c r="J555" s="55"/>
      <c r="K555" s="55"/>
      <c r="L555" s="55"/>
      <c r="M555" s="55"/>
      <c r="N555" s="55"/>
      <c r="O555" s="55"/>
      <c r="P555" s="55"/>
      <c r="Q555" s="55"/>
      <c r="R555" s="55"/>
      <c r="S555" s="55"/>
      <c r="T555" s="55"/>
      <c r="U555" s="55"/>
      <c r="V555" s="55"/>
      <c r="W555" s="55"/>
      <c r="X555" s="55"/>
      <c r="Y555" s="55"/>
      <c r="Z555" s="55"/>
      <c r="AA555" s="55"/>
      <c r="AB555" s="55"/>
      <c r="AC555" s="55"/>
    </row>
    <row r="556">
      <c r="A556" s="53"/>
      <c r="B556" s="53"/>
      <c r="C556" s="55"/>
      <c r="D556" s="55"/>
      <c r="E556" s="55"/>
      <c r="F556" s="55"/>
      <c r="G556" s="55"/>
      <c r="H556" s="181"/>
      <c r="I556" s="55"/>
      <c r="J556" s="55"/>
      <c r="K556" s="55"/>
      <c r="L556" s="55"/>
      <c r="M556" s="55"/>
      <c r="N556" s="55"/>
      <c r="O556" s="55"/>
      <c r="P556" s="55"/>
      <c r="Q556" s="55"/>
      <c r="R556" s="55"/>
      <c r="S556" s="55"/>
      <c r="T556" s="55"/>
      <c r="U556" s="55"/>
      <c r="V556" s="55"/>
      <c r="W556" s="55"/>
      <c r="X556" s="55"/>
      <c r="Y556" s="55"/>
      <c r="Z556" s="55"/>
      <c r="AA556" s="55"/>
      <c r="AB556" s="55"/>
      <c r="AC556" s="55"/>
    </row>
    <row r="557">
      <c r="A557" s="53"/>
      <c r="B557" s="53"/>
      <c r="C557" s="55"/>
      <c r="D557" s="55"/>
      <c r="E557" s="55"/>
      <c r="F557" s="55"/>
      <c r="G557" s="55"/>
      <c r="H557" s="181"/>
      <c r="I557" s="55"/>
      <c r="J557" s="55"/>
      <c r="K557" s="55"/>
      <c r="L557" s="55"/>
      <c r="M557" s="55"/>
      <c r="N557" s="55"/>
      <c r="O557" s="55"/>
      <c r="P557" s="55"/>
      <c r="Q557" s="55"/>
      <c r="R557" s="55"/>
      <c r="S557" s="55"/>
      <c r="T557" s="55"/>
      <c r="U557" s="55"/>
      <c r="V557" s="55"/>
      <c r="W557" s="55"/>
      <c r="X557" s="55"/>
      <c r="Y557" s="55"/>
      <c r="Z557" s="55"/>
      <c r="AA557" s="55"/>
      <c r="AB557" s="55"/>
      <c r="AC557" s="55"/>
    </row>
    <row r="558">
      <c r="A558" s="53"/>
      <c r="B558" s="53"/>
      <c r="C558" s="55"/>
      <c r="D558" s="55"/>
      <c r="E558" s="55"/>
      <c r="F558" s="55"/>
      <c r="G558" s="55"/>
      <c r="H558" s="181"/>
      <c r="I558" s="55"/>
      <c r="J558" s="55"/>
      <c r="K558" s="55"/>
      <c r="L558" s="55"/>
      <c r="M558" s="55"/>
      <c r="N558" s="55"/>
      <c r="O558" s="55"/>
      <c r="P558" s="55"/>
      <c r="Q558" s="55"/>
      <c r="R558" s="55"/>
      <c r="S558" s="55"/>
      <c r="T558" s="55"/>
      <c r="U558" s="55"/>
      <c r="V558" s="55"/>
      <c r="W558" s="55"/>
      <c r="X558" s="55"/>
      <c r="Y558" s="55"/>
      <c r="Z558" s="55"/>
      <c r="AA558" s="55"/>
      <c r="AB558" s="55"/>
      <c r="AC558" s="55"/>
    </row>
    <row r="559">
      <c r="A559" s="53"/>
      <c r="B559" s="53"/>
      <c r="C559" s="55"/>
      <c r="D559" s="55"/>
      <c r="E559" s="55"/>
      <c r="F559" s="55"/>
      <c r="G559" s="55"/>
      <c r="H559" s="181"/>
      <c r="I559" s="55"/>
      <c r="J559" s="55"/>
      <c r="K559" s="55"/>
      <c r="L559" s="55"/>
      <c r="M559" s="55"/>
      <c r="N559" s="55"/>
      <c r="O559" s="55"/>
      <c r="P559" s="55"/>
      <c r="Q559" s="55"/>
      <c r="R559" s="55"/>
      <c r="S559" s="55"/>
      <c r="T559" s="55"/>
      <c r="U559" s="55"/>
      <c r="V559" s="55"/>
      <c r="W559" s="55"/>
      <c r="X559" s="55"/>
      <c r="Y559" s="55"/>
      <c r="Z559" s="55"/>
      <c r="AA559" s="55"/>
      <c r="AB559" s="55"/>
      <c r="AC559" s="55"/>
    </row>
    <row r="560">
      <c r="A560" s="53"/>
      <c r="B560" s="53"/>
      <c r="C560" s="55"/>
      <c r="D560" s="55"/>
      <c r="E560" s="55"/>
      <c r="F560" s="55"/>
      <c r="G560" s="55"/>
      <c r="H560" s="181"/>
      <c r="I560" s="55"/>
      <c r="J560" s="55"/>
      <c r="K560" s="55"/>
      <c r="L560" s="55"/>
      <c r="M560" s="55"/>
      <c r="N560" s="55"/>
      <c r="O560" s="55"/>
      <c r="P560" s="55"/>
      <c r="Q560" s="55"/>
      <c r="R560" s="55"/>
      <c r="S560" s="55"/>
      <c r="T560" s="55"/>
      <c r="U560" s="55"/>
      <c r="V560" s="55"/>
      <c r="W560" s="55"/>
      <c r="X560" s="55"/>
      <c r="Y560" s="55"/>
      <c r="Z560" s="55"/>
      <c r="AA560" s="55"/>
      <c r="AB560" s="55"/>
      <c r="AC560" s="55"/>
    </row>
    <row r="561">
      <c r="A561" s="53"/>
      <c r="B561" s="53"/>
      <c r="C561" s="55"/>
      <c r="D561" s="55"/>
      <c r="E561" s="55"/>
      <c r="F561" s="55"/>
      <c r="G561" s="55"/>
      <c r="H561" s="181"/>
      <c r="I561" s="55"/>
      <c r="J561" s="55"/>
      <c r="K561" s="55"/>
      <c r="L561" s="55"/>
      <c r="M561" s="55"/>
      <c r="N561" s="55"/>
      <c r="O561" s="55"/>
      <c r="P561" s="55"/>
      <c r="Q561" s="55"/>
      <c r="R561" s="55"/>
      <c r="S561" s="55"/>
      <c r="T561" s="55"/>
      <c r="U561" s="55"/>
      <c r="V561" s="55"/>
      <c r="W561" s="55"/>
      <c r="X561" s="55"/>
      <c r="Y561" s="55"/>
      <c r="Z561" s="55"/>
      <c r="AA561" s="55"/>
      <c r="AB561" s="55"/>
      <c r="AC561" s="55"/>
    </row>
    <row r="562">
      <c r="A562" s="53"/>
      <c r="B562" s="53"/>
      <c r="C562" s="55"/>
      <c r="D562" s="55"/>
      <c r="E562" s="55"/>
      <c r="F562" s="55"/>
      <c r="G562" s="55"/>
      <c r="H562" s="181"/>
      <c r="I562" s="55"/>
      <c r="J562" s="55"/>
      <c r="K562" s="55"/>
      <c r="L562" s="55"/>
      <c r="M562" s="55"/>
      <c r="N562" s="55"/>
      <c r="O562" s="55"/>
      <c r="P562" s="55"/>
      <c r="Q562" s="55"/>
      <c r="R562" s="55"/>
      <c r="S562" s="55"/>
      <c r="T562" s="55"/>
      <c r="U562" s="55"/>
      <c r="V562" s="55"/>
      <c r="W562" s="55"/>
      <c r="X562" s="55"/>
      <c r="Y562" s="55"/>
      <c r="Z562" s="55"/>
      <c r="AA562" s="55"/>
      <c r="AB562" s="55"/>
      <c r="AC562" s="55"/>
    </row>
    <row r="563">
      <c r="A563" s="53"/>
      <c r="B563" s="53"/>
      <c r="C563" s="55"/>
      <c r="D563" s="55"/>
      <c r="E563" s="55"/>
      <c r="F563" s="55"/>
      <c r="G563" s="55"/>
      <c r="H563" s="181"/>
      <c r="I563" s="55"/>
      <c r="J563" s="55"/>
      <c r="K563" s="55"/>
      <c r="L563" s="55"/>
      <c r="M563" s="55"/>
      <c r="N563" s="55"/>
      <c r="O563" s="55"/>
      <c r="P563" s="55"/>
      <c r="Q563" s="55"/>
      <c r="R563" s="55"/>
      <c r="S563" s="55"/>
      <c r="T563" s="55"/>
      <c r="U563" s="55"/>
      <c r="V563" s="55"/>
      <c r="W563" s="55"/>
      <c r="X563" s="55"/>
      <c r="Y563" s="55"/>
      <c r="Z563" s="55"/>
      <c r="AA563" s="55"/>
      <c r="AB563" s="55"/>
      <c r="AC563" s="55"/>
    </row>
    <row r="564">
      <c r="A564" s="53"/>
      <c r="B564" s="53"/>
      <c r="C564" s="55"/>
      <c r="D564" s="55"/>
      <c r="E564" s="55"/>
      <c r="F564" s="55"/>
      <c r="G564" s="55"/>
      <c r="H564" s="181"/>
      <c r="I564" s="55"/>
      <c r="J564" s="55"/>
      <c r="K564" s="55"/>
      <c r="L564" s="55"/>
      <c r="M564" s="55"/>
      <c r="N564" s="55"/>
      <c r="O564" s="55"/>
      <c r="P564" s="55"/>
      <c r="Q564" s="55"/>
      <c r="R564" s="55"/>
      <c r="S564" s="55"/>
      <c r="T564" s="55"/>
      <c r="U564" s="55"/>
      <c r="V564" s="55"/>
      <c r="W564" s="55"/>
      <c r="X564" s="55"/>
      <c r="Y564" s="55"/>
      <c r="Z564" s="55"/>
      <c r="AA564" s="55"/>
      <c r="AB564" s="55"/>
      <c r="AC564" s="55"/>
    </row>
    <row r="565">
      <c r="A565" s="53"/>
      <c r="B565" s="53"/>
      <c r="C565" s="55"/>
      <c r="D565" s="55"/>
      <c r="E565" s="55"/>
      <c r="F565" s="55"/>
      <c r="G565" s="55"/>
      <c r="H565" s="181"/>
      <c r="I565" s="55"/>
      <c r="J565" s="55"/>
      <c r="K565" s="55"/>
      <c r="L565" s="55"/>
      <c r="M565" s="55"/>
      <c r="N565" s="55"/>
      <c r="O565" s="55"/>
      <c r="P565" s="55"/>
      <c r="Q565" s="55"/>
      <c r="R565" s="55"/>
      <c r="S565" s="55"/>
      <c r="T565" s="55"/>
      <c r="U565" s="55"/>
      <c r="V565" s="55"/>
      <c r="W565" s="55"/>
      <c r="X565" s="55"/>
      <c r="Y565" s="55"/>
      <c r="Z565" s="55"/>
      <c r="AA565" s="55"/>
      <c r="AB565" s="55"/>
      <c r="AC565" s="55"/>
    </row>
    <row r="566">
      <c r="A566" s="53"/>
      <c r="B566" s="53"/>
      <c r="C566" s="55"/>
      <c r="D566" s="55"/>
      <c r="E566" s="55"/>
      <c r="F566" s="55"/>
      <c r="G566" s="55"/>
      <c r="H566" s="181"/>
      <c r="I566" s="55"/>
      <c r="J566" s="55"/>
      <c r="K566" s="55"/>
      <c r="L566" s="55"/>
      <c r="M566" s="55"/>
      <c r="N566" s="55"/>
      <c r="O566" s="55"/>
      <c r="P566" s="55"/>
      <c r="Q566" s="55"/>
      <c r="R566" s="55"/>
      <c r="S566" s="55"/>
      <c r="T566" s="55"/>
      <c r="U566" s="55"/>
      <c r="V566" s="55"/>
      <c r="W566" s="55"/>
      <c r="X566" s="55"/>
      <c r="Y566" s="55"/>
      <c r="Z566" s="55"/>
      <c r="AA566" s="55"/>
      <c r="AB566" s="55"/>
      <c r="AC566" s="55"/>
    </row>
    <row r="567">
      <c r="A567" s="53"/>
      <c r="B567" s="53"/>
      <c r="C567" s="55"/>
      <c r="D567" s="55"/>
      <c r="E567" s="55"/>
      <c r="F567" s="55"/>
      <c r="G567" s="55"/>
      <c r="H567" s="181"/>
      <c r="I567" s="55"/>
      <c r="J567" s="55"/>
      <c r="K567" s="55"/>
      <c r="L567" s="55"/>
      <c r="M567" s="55"/>
      <c r="N567" s="55"/>
      <c r="O567" s="55"/>
      <c r="P567" s="55"/>
      <c r="Q567" s="55"/>
      <c r="R567" s="55"/>
      <c r="S567" s="55"/>
      <c r="T567" s="55"/>
      <c r="U567" s="55"/>
      <c r="V567" s="55"/>
      <c r="W567" s="55"/>
      <c r="X567" s="55"/>
      <c r="Y567" s="55"/>
      <c r="Z567" s="55"/>
      <c r="AA567" s="55"/>
      <c r="AB567" s="55"/>
      <c r="AC567" s="55"/>
    </row>
    <row r="568">
      <c r="A568" s="53"/>
      <c r="B568" s="53"/>
      <c r="C568" s="55"/>
      <c r="D568" s="55"/>
      <c r="E568" s="55"/>
      <c r="F568" s="55"/>
      <c r="G568" s="55"/>
      <c r="H568" s="181"/>
      <c r="I568" s="55"/>
      <c r="J568" s="55"/>
      <c r="K568" s="55"/>
      <c r="L568" s="55"/>
      <c r="M568" s="55"/>
      <c r="N568" s="55"/>
      <c r="O568" s="55"/>
      <c r="P568" s="55"/>
      <c r="Q568" s="55"/>
      <c r="R568" s="55"/>
      <c r="S568" s="55"/>
      <c r="T568" s="55"/>
      <c r="U568" s="55"/>
      <c r="V568" s="55"/>
      <c r="W568" s="55"/>
      <c r="X568" s="55"/>
      <c r="Y568" s="55"/>
      <c r="Z568" s="55"/>
      <c r="AA568" s="55"/>
      <c r="AB568" s="55"/>
      <c r="AC568" s="55"/>
    </row>
    <row r="569">
      <c r="A569" s="53"/>
      <c r="B569" s="53"/>
      <c r="C569" s="55"/>
      <c r="D569" s="55"/>
      <c r="E569" s="55"/>
      <c r="F569" s="55"/>
      <c r="G569" s="55"/>
      <c r="H569" s="181"/>
      <c r="I569" s="55"/>
      <c r="J569" s="55"/>
      <c r="K569" s="55"/>
      <c r="L569" s="55"/>
      <c r="M569" s="55"/>
      <c r="N569" s="55"/>
      <c r="O569" s="55"/>
      <c r="P569" s="55"/>
      <c r="Q569" s="55"/>
      <c r="R569" s="55"/>
      <c r="S569" s="55"/>
      <c r="T569" s="55"/>
      <c r="U569" s="55"/>
      <c r="V569" s="55"/>
      <c r="W569" s="55"/>
      <c r="X569" s="55"/>
      <c r="Y569" s="55"/>
      <c r="Z569" s="55"/>
      <c r="AA569" s="55"/>
      <c r="AB569" s="55"/>
      <c r="AC569" s="55"/>
    </row>
    <row r="570">
      <c r="A570" s="53"/>
      <c r="B570" s="53"/>
      <c r="C570" s="55"/>
      <c r="D570" s="55"/>
      <c r="E570" s="55"/>
      <c r="F570" s="55"/>
      <c r="G570" s="55"/>
      <c r="H570" s="181"/>
      <c r="I570" s="55"/>
      <c r="J570" s="55"/>
      <c r="K570" s="55"/>
      <c r="L570" s="55"/>
      <c r="M570" s="55"/>
      <c r="N570" s="55"/>
      <c r="O570" s="55"/>
      <c r="P570" s="55"/>
      <c r="Q570" s="55"/>
      <c r="R570" s="55"/>
      <c r="S570" s="55"/>
      <c r="T570" s="55"/>
      <c r="U570" s="55"/>
      <c r="V570" s="55"/>
      <c r="W570" s="55"/>
      <c r="X570" s="55"/>
      <c r="Y570" s="55"/>
      <c r="Z570" s="55"/>
      <c r="AA570" s="55"/>
      <c r="AB570" s="55"/>
      <c r="AC570" s="55"/>
    </row>
    <row r="571">
      <c r="A571" s="53"/>
      <c r="B571" s="53"/>
      <c r="C571" s="55"/>
      <c r="D571" s="55"/>
      <c r="E571" s="55"/>
      <c r="F571" s="55"/>
      <c r="G571" s="55"/>
      <c r="H571" s="181"/>
      <c r="I571" s="55"/>
      <c r="J571" s="55"/>
      <c r="K571" s="55"/>
      <c r="L571" s="55"/>
      <c r="M571" s="55"/>
      <c r="N571" s="55"/>
      <c r="O571" s="55"/>
      <c r="P571" s="55"/>
      <c r="Q571" s="55"/>
      <c r="R571" s="55"/>
      <c r="S571" s="55"/>
      <c r="T571" s="55"/>
      <c r="U571" s="55"/>
      <c r="V571" s="55"/>
      <c r="W571" s="55"/>
      <c r="X571" s="55"/>
      <c r="Y571" s="55"/>
      <c r="Z571" s="55"/>
      <c r="AA571" s="55"/>
      <c r="AB571" s="55"/>
      <c r="AC571" s="55"/>
    </row>
    <row r="572">
      <c r="A572" s="53"/>
      <c r="B572" s="53"/>
      <c r="C572" s="55"/>
      <c r="D572" s="55"/>
      <c r="E572" s="55"/>
      <c r="F572" s="55"/>
      <c r="G572" s="55"/>
      <c r="H572" s="181"/>
      <c r="I572" s="55"/>
      <c r="J572" s="55"/>
      <c r="K572" s="55"/>
      <c r="L572" s="55"/>
      <c r="M572" s="55"/>
      <c r="N572" s="55"/>
      <c r="O572" s="55"/>
      <c r="P572" s="55"/>
      <c r="Q572" s="55"/>
      <c r="R572" s="55"/>
      <c r="S572" s="55"/>
      <c r="T572" s="55"/>
      <c r="U572" s="55"/>
      <c r="V572" s="55"/>
      <c r="W572" s="55"/>
      <c r="X572" s="55"/>
      <c r="Y572" s="55"/>
      <c r="Z572" s="55"/>
      <c r="AA572" s="55"/>
      <c r="AB572" s="55"/>
      <c r="AC572" s="55"/>
    </row>
    <row r="573">
      <c r="A573" s="53"/>
      <c r="B573" s="53"/>
      <c r="C573" s="55"/>
      <c r="D573" s="55"/>
      <c r="E573" s="55"/>
      <c r="F573" s="55"/>
      <c r="G573" s="55"/>
      <c r="H573" s="181"/>
      <c r="I573" s="55"/>
      <c r="J573" s="55"/>
      <c r="K573" s="55"/>
      <c r="L573" s="55"/>
      <c r="M573" s="55"/>
      <c r="N573" s="55"/>
      <c r="O573" s="55"/>
      <c r="P573" s="55"/>
      <c r="Q573" s="55"/>
      <c r="R573" s="55"/>
      <c r="S573" s="55"/>
      <c r="T573" s="55"/>
      <c r="U573" s="55"/>
      <c r="V573" s="55"/>
      <c r="W573" s="55"/>
      <c r="X573" s="55"/>
      <c r="Y573" s="55"/>
      <c r="Z573" s="55"/>
      <c r="AA573" s="55"/>
      <c r="AB573" s="55"/>
      <c r="AC573" s="55"/>
    </row>
    <row r="574">
      <c r="A574" s="53"/>
      <c r="B574" s="53"/>
      <c r="C574" s="55"/>
      <c r="D574" s="55"/>
      <c r="E574" s="55"/>
      <c r="F574" s="55"/>
      <c r="G574" s="55"/>
      <c r="H574" s="181"/>
      <c r="I574" s="55"/>
      <c r="J574" s="55"/>
      <c r="K574" s="55"/>
      <c r="L574" s="55"/>
      <c r="M574" s="55"/>
      <c r="N574" s="55"/>
      <c r="O574" s="55"/>
      <c r="P574" s="55"/>
      <c r="Q574" s="55"/>
      <c r="R574" s="55"/>
      <c r="S574" s="55"/>
      <c r="T574" s="55"/>
      <c r="U574" s="55"/>
      <c r="V574" s="55"/>
      <c r="W574" s="55"/>
      <c r="X574" s="55"/>
      <c r="Y574" s="55"/>
      <c r="Z574" s="55"/>
      <c r="AA574" s="55"/>
      <c r="AB574" s="55"/>
      <c r="AC574" s="55"/>
    </row>
    <row r="575">
      <c r="A575" s="53"/>
      <c r="B575" s="53"/>
      <c r="C575" s="55"/>
      <c r="D575" s="55"/>
      <c r="E575" s="55"/>
      <c r="F575" s="55"/>
      <c r="G575" s="55"/>
      <c r="H575" s="181"/>
      <c r="I575" s="55"/>
      <c r="J575" s="55"/>
      <c r="K575" s="55"/>
      <c r="L575" s="55"/>
      <c r="M575" s="55"/>
      <c r="N575" s="55"/>
      <c r="O575" s="55"/>
      <c r="P575" s="55"/>
      <c r="Q575" s="55"/>
      <c r="R575" s="55"/>
      <c r="S575" s="55"/>
      <c r="T575" s="55"/>
      <c r="U575" s="55"/>
      <c r="V575" s="55"/>
      <c r="W575" s="55"/>
      <c r="X575" s="55"/>
      <c r="Y575" s="55"/>
      <c r="Z575" s="55"/>
      <c r="AA575" s="55"/>
      <c r="AB575" s="55"/>
      <c r="AC575" s="55"/>
    </row>
    <row r="576">
      <c r="A576" s="53"/>
      <c r="B576" s="53"/>
      <c r="C576" s="55"/>
      <c r="D576" s="55"/>
      <c r="E576" s="55"/>
      <c r="F576" s="55"/>
      <c r="G576" s="55"/>
      <c r="H576" s="181"/>
      <c r="I576" s="55"/>
      <c r="J576" s="55"/>
      <c r="K576" s="55"/>
      <c r="L576" s="55"/>
      <c r="M576" s="55"/>
      <c r="N576" s="55"/>
      <c r="O576" s="55"/>
      <c r="P576" s="55"/>
      <c r="Q576" s="55"/>
      <c r="R576" s="55"/>
      <c r="S576" s="55"/>
      <c r="T576" s="55"/>
      <c r="U576" s="55"/>
      <c r="V576" s="55"/>
      <c r="W576" s="55"/>
      <c r="X576" s="55"/>
      <c r="Y576" s="55"/>
      <c r="Z576" s="55"/>
      <c r="AA576" s="55"/>
      <c r="AB576" s="55"/>
      <c r="AC576" s="55"/>
    </row>
    <row r="577">
      <c r="A577" s="53"/>
      <c r="B577" s="53"/>
      <c r="C577" s="55"/>
      <c r="D577" s="55"/>
      <c r="E577" s="55"/>
      <c r="F577" s="55"/>
      <c r="G577" s="55"/>
      <c r="H577" s="181"/>
      <c r="I577" s="55"/>
      <c r="J577" s="55"/>
      <c r="K577" s="55"/>
      <c r="L577" s="55"/>
      <c r="M577" s="55"/>
      <c r="N577" s="55"/>
      <c r="O577" s="55"/>
      <c r="P577" s="55"/>
      <c r="Q577" s="55"/>
      <c r="R577" s="55"/>
      <c r="S577" s="55"/>
      <c r="T577" s="55"/>
      <c r="U577" s="55"/>
      <c r="V577" s="55"/>
      <c r="W577" s="55"/>
      <c r="X577" s="55"/>
      <c r="Y577" s="55"/>
      <c r="Z577" s="55"/>
      <c r="AA577" s="55"/>
      <c r="AB577" s="55"/>
      <c r="AC577" s="55"/>
    </row>
    <row r="578">
      <c r="A578" s="53"/>
      <c r="B578" s="53"/>
      <c r="C578" s="55"/>
      <c r="D578" s="55"/>
      <c r="E578" s="55"/>
      <c r="F578" s="55"/>
      <c r="G578" s="55"/>
      <c r="H578" s="181"/>
      <c r="I578" s="55"/>
      <c r="J578" s="55"/>
      <c r="K578" s="55"/>
      <c r="L578" s="55"/>
      <c r="M578" s="55"/>
      <c r="N578" s="55"/>
      <c r="O578" s="55"/>
      <c r="P578" s="55"/>
      <c r="Q578" s="55"/>
      <c r="R578" s="55"/>
      <c r="S578" s="55"/>
      <c r="T578" s="55"/>
      <c r="U578" s="55"/>
      <c r="V578" s="55"/>
      <c r="W578" s="55"/>
      <c r="X578" s="55"/>
      <c r="Y578" s="55"/>
      <c r="Z578" s="55"/>
      <c r="AA578" s="55"/>
      <c r="AB578" s="55"/>
      <c r="AC578" s="55"/>
    </row>
    <row r="579">
      <c r="A579" s="53"/>
      <c r="B579" s="53"/>
      <c r="C579" s="55"/>
      <c r="D579" s="55"/>
      <c r="E579" s="55"/>
      <c r="F579" s="55"/>
      <c r="G579" s="55"/>
      <c r="H579" s="181"/>
      <c r="I579" s="55"/>
      <c r="J579" s="55"/>
      <c r="K579" s="55"/>
      <c r="L579" s="55"/>
      <c r="M579" s="55"/>
      <c r="N579" s="55"/>
      <c r="O579" s="55"/>
      <c r="P579" s="55"/>
      <c r="Q579" s="55"/>
      <c r="R579" s="55"/>
      <c r="S579" s="55"/>
      <c r="T579" s="55"/>
      <c r="U579" s="55"/>
      <c r="V579" s="55"/>
      <c r="W579" s="55"/>
      <c r="X579" s="55"/>
      <c r="Y579" s="55"/>
      <c r="Z579" s="55"/>
      <c r="AA579" s="55"/>
      <c r="AB579" s="55"/>
      <c r="AC579" s="55"/>
    </row>
    <row r="580">
      <c r="A580" s="53"/>
      <c r="B580" s="53"/>
      <c r="C580" s="55"/>
      <c r="D580" s="55"/>
      <c r="E580" s="55"/>
      <c r="F580" s="55"/>
      <c r="G580" s="55"/>
      <c r="H580" s="181"/>
      <c r="I580" s="55"/>
      <c r="J580" s="55"/>
      <c r="K580" s="55"/>
      <c r="L580" s="55"/>
      <c r="M580" s="55"/>
      <c r="N580" s="55"/>
      <c r="O580" s="55"/>
      <c r="P580" s="55"/>
      <c r="Q580" s="55"/>
      <c r="R580" s="55"/>
      <c r="S580" s="55"/>
      <c r="T580" s="55"/>
      <c r="U580" s="55"/>
      <c r="V580" s="55"/>
      <c r="W580" s="55"/>
      <c r="X580" s="55"/>
      <c r="Y580" s="55"/>
      <c r="Z580" s="55"/>
      <c r="AA580" s="55"/>
      <c r="AB580" s="55"/>
      <c r="AC580" s="55"/>
    </row>
    <row r="581">
      <c r="A581" s="53"/>
      <c r="B581" s="53"/>
      <c r="C581" s="55"/>
      <c r="D581" s="55"/>
      <c r="E581" s="55"/>
      <c r="F581" s="55"/>
      <c r="G581" s="55"/>
      <c r="H581" s="181"/>
      <c r="I581" s="55"/>
      <c r="J581" s="55"/>
      <c r="K581" s="55"/>
      <c r="L581" s="55"/>
      <c r="M581" s="55"/>
      <c r="N581" s="55"/>
      <c r="O581" s="55"/>
      <c r="P581" s="55"/>
      <c r="Q581" s="55"/>
      <c r="R581" s="55"/>
      <c r="S581" s="55"/>
      <c r="T581" s="55"/>
      <c r="U581" s="55"/>
      <c r="V581" s="55"/>
      <c r="W581" s="55"/>
      <c r="X581" s="55"/>
      <c r="Y581" s="55"/>
      <c r="Z581" s="55"/>
      <c r="AA581" s="55"/>
      <c r="AB581" s="55"/>
      <c r="AC581" s="55"/>
    </row>
    <row r="582">
      <c r="A582" s="53"/>
      <c r="B582" s="53"/>
      <c r="C582" s="55"/>
      <c r="D582" s="55"/>
      <c r="E582" s="55"/>
      <c r="F582" s="55"/>
      <c r="G582" s="55"/>
      <c r="H582" s="181"/>
      <c r="I582" s="55"/>
      <c r="J582" s="55"/>
      <c r="K582" s="55"/>
      <c r="L582" s="55"/>
      <c r="M582" s="55"/>
      <c r="N582" s="55"/>
      <c r="O582" s="55"/>
      <c r="P582" s="55"/>
      <c r="Q582" s="55"/>
      <c r="R582" s="55"/>
      <c r="S582" s="55"/>
      <c r="T582" s="55"/>
      <c r="U582" s="55"/>
      <c r="V582" s="55"/>
      <c r="W582" s="55"/>
      <c r="X582" s="55"/>
      <c r="Y582" s="55"/>
      <c r="Z582" s="55"/>
      <c r="AA582" s="55"/>
      <c r="AB582" s="55"/>
      <c r="AC582" s="55"/>
    </row>
    <row r="583">
      <c r="A583" s="53"/>
      <c r="B583" s="53"/>
      <c r="C583" s="55"/>
      <c r="D583" s="55"/>
      <c r="E583" s="55"/>
      <c r="F583" s="55"/>
      <c r="G583" s="55"/>
      <c r="H583" s="181"/>
      <c r="I583" s="55"/>
      <c r="J583" s="55"/>
      <c r="K583" s="55"/>
      <c r="L583" s="55"/>
      <c r="M583" s="55"/>
      <c r="N583" s="55"/>
      <c r="O583" s="55"/>
      <c r="P583" s="55"/>
      <c r="Q583" s="55"/>
      <c r="R583" s="55"/>
      <c r="S583" s="55"/>
      <c r="T583" s="55"/>
      <c r="U583" s="55"/>
      <c r="V583" s="55"/>
      <c r="W583" s="55"/>
      <c r="X583" s="55"/>
      <c r="Y583" s="55"/>
      <c r="Z583" s="55"/>
      <c r="AA583" s="55"/>
      <c r="AB583" s="55"/>
      <c r="AC583" s="55"/>
    </row>
    <row r="584">
      <c r="A584" s="53"/>
      <c r="B584" s="53"/>
      <c r="C584" s="55"/>
      <c r="D584" s="55"/>
      <c r="E584" s="55"/>
      <c r="F584" s="55"/>
      <c r="G584" s="55"/>
      <c r="H584" s="181"/>
      <c r="I584" s="55"/>
      <c r="J584" s="55"/>
      <c r="K584" s="55"/>
      <c r="L584" s="55"/>
      <c r="M584" s="55"/>
      <c r="N584" s="55"/>
      <c r="O584" s="55"/>
      <c r="P584" s="55"/>
      <c r="Q584" s="55"/>
      <c r="R584" s="55"/>
      <c r="S584" s="55"/>
      <c r="T584" s="55"/>
      <c r="U584" s="55"/>
      <c r="V584" s="55"/>
      <c r="W584" s="55"/>
      <c r="X584" s="55"/>
      <c r="Y584" s="55"/>
      <c r="Z584" s="55"/>
      <c r="AA584" s="55"/>
      <c r="AB584" s="55"/>
      <c r="AC584" s="55"/>
    </row>
    <row r="585">
      <c r="A585" s="53"/>
      <c r="B585" s="53"/>
      <c r="C585" s="55"/>
      <c r="D585" s="55"/>
      <c r="E585" s="55"/>
      <c r="F585" s="55"/>
      <c r="G585" s="55"/>
      <c r="H585" s="181"/>
      <c r="I585" s="55"/>
      <c r="J585" s="55"/>
      <c r="K585" s="55"/>
      <c r="L585" s="55"/>
      <c r="M585" s="55"/>
      <c r="N585" s="55"/>
      <c r="O585" s="55"/>
      <c r="P585" s="55"/>
      <c r="Q585" s="55"/>
      <c r="R585" s="55"/>
      <c r="S585" s="55"/>
      <c r="T585" s="55"/>
      <c r="U585" s="55"/>
      <c r="V585" s="55"/>
      <c r="W585" s="55"/>
      <c r="X585" s="55"/>
      <c r="Y585" s="55"/>
      <c r="Z585" s="55"/>
      <c r="AA585" s="55"/>
      <c r="AB585" s="55"/>
      <c r="AC585" s="55"/>
    </row>
    <row r="586">
      <c r="A586" s="53"/>
      <c r="B586" s="53"/>
      <c r="C586" s="55"/>
      <c r="D586" s="55"/>
      <c r="E586" s="55"/>
      <c r="F586" s="55"/>
      <c r="G586" s="55"/>
      <c r="H586" s="181"/>
      <c r="I586" s="55"/>
      <c r="J586" s="55"/>
      <c r="K586" s="55"/>
      <c r="L586" s="55"/>
      <c r="M586" s="55"/>
      <c r="N586" s="55"/>
      <c r="O586" s="55"/>
      <c r="P586" s="55"/>
      <c r="Q586" s="55"/>
      <c r="R586" s="55"/>
      <c r="S586" s="55"/>
      <c r="T586" s="55"/>
      <c r="U586" s="55"/>
      <c r="V586" s="55"/>
      <c r="W586" s="55"/>
      <c r="X586" s="55"/>
      <c r="Y586" s="55"/>
      <c r="Z586" s="55"/>
      <c r="AA586" s="55"/>
      <c r="AB586" s="55"/>
      <c r="AC586" s="55"/>
    </row>
    <row r="587">
      <c r="A587" s="53"/>
      <c r="B587" s="53"/>
      <c r="C587" s="55"/>
      <c r="D587" s="55"/>
      <c r="E587" s="55"/>
      <c r="F587" s="55"/>
      <c r="G587" s="55"/>
      <c r="H587" s="181"/>
      <c r="I587" s="55"/>
      <c r="J587" s="55"/>
      <c r="K587" s="55"/>
      <c r="L587" s="55"/>
      <c r="M587" s="55"/>
      <c r="N587" s="55"/>
      <c r="O587" s="55"/>
      <c r="P587" s="55"/>
      <c r="Q587" s="55"/>
      <c r="R587" s="55"/>
      <c r="S587" s="55"/>
      <c r="T587" s="55"/>
      <c r="U587" s="55"/>
      <c r="V587" s="55"/>
      <c r="W587" s="55"/>
      <c r="X587" s="55"/>
      <c r="Y587" s="55"/>
      <c r="Z587" s="55"/>
      <c r="AA587" s="55"/>
      <c r="AB587" s="55"/>
      <c r="AC587" s="55"/>
    </row>
    <row r="588">
      <c r="A588" s="53"/>
      <c r="B588" s="53"/>
      <c r="C588" s="55"/>
      <c r="D588" s="55"/>
      <c r="E588" s="55"/>
      <c r="F588" s="55"/>
      <c r="G588" s="55"/>
      <c r="H588" s="181"/>
      <c r="I588" s="55"/>
      <c r="J588" s="55"/>
      <c r="K588" s="55"/>
      <c r="L588" s="55"/>
      <c r="M588" s="55"/>
      <c r="N588" s="55"/>
      <c r="O588" s="55"/>
      <c r="P588" s="55"/>
      <c r="Q588" s="55"/>
      <c r="R588" s="55"/>
      <c r="S588" s="55"/>
      <c r="T588" s="55"/>
      <c r="U588" s="55"/>
      <c r="V588" s="55"/>
      <c r="W588" s="55"/>
      <c r="X588" s="55"/>
      <c r="Y588" s="55"/>
      <c r="Z588" s="55"/>
      <c r="AA588" s="55"/>
      <c r="AB588" s="55"/>
      <c r="AC588" s="55"/>
    </row>
    <row r="589">
      <c r="A589" s="53"/>
      <c r="B589" s="53"/>
      <c r="C589" s="55"/>
      <c r="D589" s="55"/>
      <c r="E589" s="55"/>
      <c r="F589" s="55"/>
      <c r="G589" s="55"/>
      <c r="H589" s="181"/>
      <c r="I589" s="55"/>
      <c r="J589" s="55"/>
      <c r="K589" s="55"/>
      <c r="L589" s="55"/>
      <c r="M589" s="55"/>
      <c r="N589" s="55"/>
      <c r="O589" s="55"/>
      <c r="P589" s="55"/>
      <c r="Q589" s="55"/>
      <c r="R589" s="55"/>
      <c r="S589" s="55"/>
      <c r="T589" s="55"/>
      <c r="U589" s="55"/>
      <c r="V589" s="55"/>
      <c r="W589" s="55"/>
      <c r="X589" s="55"/>
      <c r="Y589" s="55"/>
      <c r="Z589" s="55"/>
      <c r="AA589" s="55"/>
      <c r="AB589" s="55"/>
      <c r="AC589" s="55"/>
    </row>
    <row r="590">
      <c r="A590" s="53"/>
      <c r="B590" s="53"/>
      <c r="C590" s="55"/>
      <c r="D590" s="55"/>
      <c r="E590" s="55"/>
      <c r="F590" s="55"/>
      <c r="G590" s="55"/>
      <c r="H590" s="181"/>
      <c r="I590" s="55"/>
      <c r="J590" s="55"/>
      <c r="K590" s="55"/>
      <c r="L590" s="55"/>
      <c r="M590" s="55"/>
      <c r="N590" s="55"/>
      <c r="O590" s="55"/>
      <c r="P590" s="55"/>
      <c r="Q590" s="55"/>
      <c r="R590" s="55"/>
      <c r="S590" s="55"/>
      <c r="T590" s="55"/>
      <c r="U590" s="55"/>
      <c r="V590" s="55"/>
      <c r="W590" s="55"/>
      <c r="X590" s="55"/>
      <c r="Y590" s="55"/>
      <c r="Z590" s="55"/>
      <c r="AA590" s="55"/>
      <c r="AB590" s="55"/>
      <c r="AC590" s="55"/>
    </row>
    <row r="591">
      <c r="A591" s="53"/>
      <c r="B591" s="53"/>
      <c r="C591" s="55"/>
      <c r="D591" s="55"/>
      <c r="E591" s="55"/>
      <c r="F591" s="55"/>
      <c r="G591" s="55"/>
      <c r="H591" s="181"/>
      <c r="I591" s="55"/>
      <c r="J591" s="55"/>
      <c r="K591" s="55"/>
      <c r="L591" s="55"/>
      <c r="M591" s="55"/>
      <c r="N591" s="55"/>
      <c r="O591" s="55"/>
      <c r="P591" s="55"/>
      <c r="Q591" s="55"/>
      <c r="R591" s="55"/>
      <c r="S591" s="55"/>
      <c r="T591" s="55"/>
      <c r="U591" s="55"/>
      <c r="V591" s="55"/>
      <c r="W591" s="55"/>
      <c r="X591" s="55"/>
      <c r="Y591" s="55"/>
      <c r="Z591" s="55"/>
      <c r="AA591" s="55"/>
      <c r="AB591" s="55"/>
      <c r="AC591" s="55"/>
    </row>
    <row r="592">
      <c r="A592" s="53"/>
      <c r="B592" s="53"/>
      <c r="C592" s="55"/>
      <c r="D592" s="55"/>
      <c r="E592" s="55"/>
      <c r="F592" s="55"/>
      <c r="G592" s="55"/>
      <c r="H592" s="181"/>
      <c r="I592" s="55"/>
      <c r="J592" s="55"/>
      <c r="K592" s="55"/>
      <c r="L592" s="55"/>
      <c r="M592" s="55"/>
      <c r="N592" s="55"/>
      <c r="O592" s="55"/>
      <c r="P592" s="55"/>
      <c r="Q592" s="55"/>
      <c r="R592" s="55"/>
      <c r="S592" s="55"/>
      <c r="T592" s="55"/>
      <c r="U592" s="55"/>
      <c r="V592" s="55"/>
      <c r="W592" s="55"/>
      <c r="X592" s="55"/>
      <c r="Y592" s="55"/>
      <c r="Z592" s="55"/>
      <c r="AA592" s="55"/>
      <c r="AB592" s="55"/>
      <c r="AC592" s="55"/>
    </row>
    <row r="593">
      <c r="A593" s="53"/>
      <c r="B593" s="53"/>
      <c r="C593" s="55"/>
      <c r="D593" s="55"/>
      <c r="E593" s="55"/>
      <c r="F593" s="55"/>
      <c r="G593" s="55"/>
      <c r="H593" s="181"/>
      <c r="I593" s="55"/>
      <c r="J593" s="55"/>
      <c r="K593" s="55"/>
      <c r="L593" s="55"/>
      <c r="M593" s="55"/>
      <c r="N593" s="55"/>
      <c r="O593" s="55"/>
      <c r="P593" s="55"/>
      <c r="Q593" s="55"/>
      <c r="R593" s="55"/>
      <c r="S593" s="55"/>
      <c r="T593" s="55"/>
      <c r="U593" s="55"/>
      <c r="V593" s="55"/>
      <c r="W593" s="55"/>
      <c r="X593" s="55"/>
      <c r="Y593" s="55"/>
      <c r="Z593" s="55"/>
      <c r="AA593" s="55"/>
      <c r="AB593" s="55"/>
      <c r="AC593" s="55"/>
    </row>
    <row r="594">
      <c r="A594" s="53"/>
      <c r="B594" s="53"/>
      <c r="C594" s="55"/>
      <c r="D594" s="55"/>
      <c r="E594" s="55"/>
      <c r="F594" s="55"/>
      <c r="G594" s="55"/>
      <c r="H594" s="181"/>
      <c r="I594" s="55"/>
      <c r="J594" s="55"/>
      <c r="K594" s="55"/>
      <c r="L594" s="55"/>
      <c r="M594" s="55"/>
      <c r="N594" s="55"/>
      <c r="O594" s="55"/>
      <c r="P594" s="55"/>
      <c r="Q594" s="55"/>
      <c r="R594" s="55"/>
      <c r="S594" s="55"/>
      <c r="T594" s="55"/>
      <c r="U594" s="55"/>
      <c r="V594" s="55"/>
      <c r="W594" s="55"/>
      <c r="X594" s="55"/>
      <c r="Y594" s="55"/>
      <c r="Z594" s="55"/>
      <c r="AA594" s="55"/>
      <c r="AB594" s="55"/>
      <c r="AC594" s="55"/>
    </row>
    <row r="595">
      <c r="A595" s="53"/>
      <c r="B595" s="53"/>
      <c r="C595" s="55"/>
      <c r="D595" s="55"/>
      <c r="E595" s="55"/>
      <c r="F595" s="55"/>
      <c r="G595" s="55"/>
      <c r="H595" s="181"/>
      <c r="I595" s="55"/>
      <c r="J595" s="55"/>
      <c r="K595" s="55"/>
      <c r="L595" s="55"/>
      <c r="M595" s="55"/>
      <c r="N595" s="55"/>
      <c r="O595" s="55"/>
      <c r="P595" s="55"/>
      <c r="Q595" s="55"/>
      <c r="R595" s="55"/>
      <c r="S595" s="55"/>
      <c r="T595" s="55"/>
      <c r="U595" s="55"/>
      <c r="V595" s="55"/>
      <c r="W595" s="55"/>
      <c r="X595" s="55"/>
      <c r="Y595" s="55"/>
      <c r="Z595" s="55"/>
      <c r="AA595" s="55"/>
      <c r="AB595" s="55"/>
      <c r="AC595" s="55"/>
    </row>
    <row r="596">
      <c r="A596" s="53"/>
      <c r="B596" s="53"/>
      <c r="C596" s="55"/>
      <c r="D596" s="55"/>
      <c r="E596" s="55"/>
      <c r="F596" s="55"/>
      <c r="G596" s="55"/>
      <c r="H596" s="181"/>
      <c r="I596" s="55"/>
      <c r="J596" s="55"/>
      <c r="K596" s="55"/>
      <c r="L596" s="55"/>
      <c r="M596" s="55"/>
      <c r="N596" s="55"/>
      <c r="O596" s="55"/>
      <c r="P596" s="55"/>
      <c r="Q596" s="55"/>
      <c r="R596" s="55"/>
      <c r="S596" s="55"/>
      <c r="T596" s="55"/>
      <c r="U596" s="55"/>
      <c r="V596" s="55"/>
      <c r="W596" s="55"/>
      <c r="X596" s="55"/>
      <c r="Y596" s="55"/>
      <c r="Z596" s="55"/>
      <c r="AA596" s="55"/>
      <c r="AB596" s="55"/>
      <c r="AC596" s="55"/>
    </row>
    <row r="597">
      <c r="A597" s="53"/>
      <c r="B597" s="53"/>
      <c r="C597" s="55"/>
      <c r="D597" s="55"/>
      <c r="E597" s="55"/>
      <c r="F597" s="55"/>
      <c r="G597" s="55"/>
      <c r="H597" s="181"/>
      <c r="I597" s="55"/>
      <c r="J597" s="55"/>
      <c r="K597" s="55"/>
      <c r="L597" s="55"/>
      <c r="M597" s="55"/>
      <c r="N597" s="55"/>
      <c r="O597" s="55"/>
      <c r="P597" s="55"/>
      <c r="Q597" s="55"/>
      <c r="R597" s="55"/>
      <c r="S597" s="55"/>
      <c r="T597" s="55"/>
      <c r="U597" s="55"/>
      <c r="V597" s="55"/>
      <c r="W597" s="55"/>
      <c r="X597" s="55"/>
      <c r="Y597" s="55"/>
      <c r="Z597" s="55"/>
      <c r="AA597" s="55"/>
      <c r="AB597" s="55"/>
      <c r="AC597" s="55"/>
    </row>
    <row r="598">
      <c r="A598" s="53"/>
      <c r="B598" s="53"/>
      <c r="C598" s="55"/>
      <c r="D598" s="55"/>
      <c r="E598" s="55"/>
      <c r="F598" s="55"/>
      <c r="G598" s="55"/>
      <c r="H598" s="181"/>
      <c r="I598" s="55"/>
      <c r="J598" s="55"/>
      <c r="K598" s="55"/>
      <c r="L598" s="55"/>
      <c r="M598" s="55"/>
      <c r="N598" s="55"/>
      <c r="O598" s="55"/>
      <c r="P598" s="55"/>
      <c r="Q598" s="55"/>
      <c r="R598" s="55"/>
      <c r="S598" s="55"/>
      <c r="T598" s="55"/>
      <c r="U598" s="55"/>
      <c r="V598" s="55"/>
      <c r="W598" s="55"/>
      <c r="X598" s="55"/>
      <c r="Y598" s="55"/>
      <c r="Z598" s="55"/>
      <c r="AA598" s="55"/>
      <c r="AB598" s="55"/>
      <c r="AC598" s="55"/>
    </row>
    <row r="599">
      <c r="A599" s="53"/>
      <c r="B599" s="53"/>
      <c r="C599" s="55"/>
      <c r="D599" s="55"/>
      <c r="E599" s="55"/>
      <c r="F599" s="55"/>
      <c r="G599" s="55"/>
      <c r="H599" s="181"/>
      <c r="I599" s="55"/>
      <c r="J599" s="55"/>
      <c r="K599" s="55"/>
      <c r="L599" s="55"/>
      <c r="M599" s="55"/>
      <c r="N599" s="55"/>
      <c r="O599" s="55"/>
      <c r="P599" s="55"/>
      <c r="Q599" s="55"/>
      <c r="R599" s="55"/>
      <c r="S599" s="55"/>
      <c r="T599" s="55"/>
      <c r="U599" s="55"/>
      <c r="V599" s="55"/>
      <c r="W599" s="55"/>
      <c r="X599" s="55"/>
      <c r="Y599" s="55"/>
      <c r="Z599" s="55"/>
      <c r="AA599" s="55"/>
      <c r="AB599" s="55"/>
      <c r="AC599" s="55"/>
    </row>
    <row r="600">
      <c r="A600" s="53"/>
      <c r="B600" s="53"/>
      <c r="C600" s="55"/>
      <c r="D600" s="55"/>
      <c r="E600" s="55"/>
      <c r="F600" s="55"/>
      <c r="G600" s="55"/>
      <c r="H600" s="181"/>
      <c r="I600" s="55"/>
      <c r="J600" s="55"/>
      <c r="K600" s="55"/>
      <c r="L600" s="55"/>
      <c r="M600" s="55"/>
      <c r="N600" s="55"/>
      <c r="O600" s="55"/>
      <c r="P600" s="55"/>
      <c r="Q600" s="55"/>
      <c r="R600" s="55"/>
      <c r="S600" s="55"/>
      <c r="T600" s="55"/>
      <c r="U600" s="55"/>
      <c r="V600" s="55"/>
      <c r="W600" s="55"/>
      <c r="X600" s="55"/>
      <c r="Y600" s="55"/>
      <c r="Z600" s="55"/>
      <c r="AA600" s="55"/>
      <c r="AB600" s="55"/>
      <c r="AC600" s="55"/>
    </row>
    <row r="601">
      <c r="A601" s="53"/>
      <c r="B601" s="53"/>
      <c r="C601" s="55"/>
      <c r="D601" s="55"/>
      <c r="E601" s="55"/>
      <c r="F601" s="55"/>
      <c r="G601" s="55"/>
      <c r="H601" s="181"/>
      <c r="I601" s="55"/>
      <c r="J601" s="55"/>
      <c r="K601" s="55"/>
      <c r="L601" s="55"/>
      <c r="M601" s="55"/>
      <c r="N601" s="55"/>
      <c r="O601" s="55"/>
      <c r="P601" s="55"/>
      <c r="Q601" s="55"/>
      <c r="R601" s="55"/>
      <c r="S601" s="55"/>
      <c r="T601" s="55"/>
      <c r="U601" s="55"/>
      <c r="V601" s="55"/>
      <c r="W601" s="55"/>
      <c r="X601" s="55"/>
      <c r="Y601" s="55"/>
      <c r="Z601" s="55"/>
      <c r="AA601" s="55"/>
      <c r="AB601" s="55"/>
      <c r="AC601" s="55"/>
    </row>
    <row r="602">
      <c r="A602" s="53"/>
      <c r="B602" s="53"/>
      <c r="C602" s="55"/>
      <c r="D602" s="55"/>
      <c r="E602" s="55"/>
      <c r="F602" s="55"/>
      <c r="G602" s="55"/>
      <c r="H602" s="181"/>
      <c r="I602" s="55"/>
      <c r="J602" s="55"/>
      <c r="K602" s="55"/>
      <c r="L602" s="55"/>
      <c r="M602" s="55"/>
      <c r="N602" s="55"/>
      <c r="O602" s="55"/>
      <c r="P602" s="55"/>
      <c r="Q602" s="55"/>
      <c r="R602" s="55"/>
      <c r="S602" s="55"/>
      <c r="T602" s="55"/>
      <c r="U602" s="55"/>
      <c r="V602" s="55"/>
      <c r="W602" s="55"/>
      <c r="X602" s="55"/>
      <c r="Y602" s="55"/>
      <c r="Z602" s="55"/>
      <c r="AA602" s="55"/>
      <c r="AB602" s="55"/>
      <c r="AC602" s="55"/>
    </row>
    <row r="603">
      <c r="A603" s="53"/>
      <c r="B603" s="53"/>
      <c r="C603" s="55"/>
      <c r="D603" s="55"/>
      <c r="E603" s="55"/>
      <c r="F603" s="55"/>
      <c r="G603" s="55"/>
      <c r="H603" s="181"/>
      <c r="I603" s="55"/>
      <c r="J603" s="55"/>
      <c r="K603" s="55"/>
      <c r="L603" s="55"/>
      <c r="M603" s="55"/>
      <c r="N603" s="55"/>
      <c r="O603" s="55"/>
      <c r="P603" s="55"/>
      <c r="Q603" s="55"/>
      <c r="R603" s="55"/>
      <c r="S603" s="55"/>
      <c r="T603" s="55"/>
      <c r="U603" s="55"/>
      <c r="V603" s="55"/>
      <c r="W603" s="55"/>
      <c r="X603" s="55"/>
      <c r="Y603" s="55"/>
      <c r="Z603" s="55"/>
      <c r="AA603" s="55"/>
      <c r="AB603" s="55"/>
      <c r="AC603" s="55"/>
    </row>
    <row r="604">
      <c r="A604" s="53"/>
      <c r="B604" s="53"/>
      <c r="C604" s="55"/>
      <c r="D604" s="55"/>
      <c r="E604" s="55"/>
      <c r="F604" s="55"/>
      <c r="G604" s="55"/>
      <c r="H604" s="181"/>
      <c r="I604" s="55"/>
      <c r="J604" s="55"/>
      <c r="K604" s="55"/>
      <c r="L604" s="55"/>
      <c r="M604" s="55"/>
      <c r="N604" s="55"/>
      <c r="O604" s="55"/>
      <c r="P604" s="55"/>
      <c r="Q604" s="55"/>
      <c r="R604" s="55"/>
      <c r="S604" s="55"/>
      <c r="T604" s="55"/>
      <c r="U604" s="55"/>
      <c r="V604" s="55"/>
      <c r="W604" s="55"/>
      <c r="X604" s="55"/>
      <c r="Y604" s="55"/>
      <c r="Z604" s="55"/>
      <c r="AA604" s="55"/>
      <c r="AB604" s="55"/>
      <c r="AC604" s="55"/>
    </row>
    <row r="605">
      <c r="A605" s="53"/>
      <c r="B605" s="53"/>
      <c r="C605" s="55"/>
      <c r="D605" s="55"/>
      <c r="E605" s="55"/>
      <c r="F605" s="55"/>
      <c r="G605" s="55"/>
      <c r="H605" s="181"/>
      <c r="I605" s="55"/>
      <c r="J605" s="55"/>
      <c r="K605" s="55"/>
      <c r="L605" s="55"/>
      <c r="M605" s="55"/>
      <c r="N605" s="55"/>
      <c r="O605" s="55"/>
      <c r="P605" s="55"/>
      <c r="Q605" s="55"/>
      <c r="R605" s="55"/>
      <c r="S605" s="55"/>
      <c r="T605" s="55"/>
      <c r="U605" s="55"/>
      <c r="V605" s="55"/>
      <c r="W605" s="55"/>
      <c r="X605" s="55"/>
      <c r="Y605" s="55"/>
      <c r="Z605" s="55"/>
      <c r="AA605" s="55"/>
      <c r="AB605" s="55"/>
      <c r="AC605" s="55"/>
    </row>
    <row r="606">
      <c r="A606" s="53"/>
      <c r="B606" s="53"/>
      <c r="C606" s="55"/>
      <c r="D606" s="55"/>
      <c r="E606" s="55"/>
      <c r="F606" s="55"/>
      <c r="G606" s="55"/>
      <c r="H606" s="181"/>
      <c r="I606" s="55"/>
      <c r="J606" s="55"/>
      <c r="K606" s="55"/>
      <c r="L606" s="55"/>
      <c r="M606" s="55"/>
      <c r="N606" s="55"/>
      <c r="O606" s="55"/>
      <c r="P606" s="55"/>
      <c r="Q606" s="55"/>
      <c r="R606" s="55"/>
      <c r="S606" s="55"/>
      <c r="T606" s="55"/>
      <c r="U606" s="55"/>
      <c r="V606" s="55"/>
      <c r="W606" s="55"/>
      <c r="X606" s="55"/>
      <c r="Y606" s="55"/>
      <c r="Z606" s="55"/>
      <c r="AA606" s="55"/>
      <c r="AB606" s="55"/>
      <c r="AC606" s="55"/>
    </row>
    <row r="607">
      <c r="A607" s="53"/>
      <c r="B607" s="53"/>
      <c r="C607" s="55"/>
      <c r="D607" s="55"/>
      <c r="E607" s="55"/>
      <c r="F607" s="55"/>
      <c r="G607" s="55"/>
      <c r="H607" s="181"/>
      <c r="I607" s="55"/>
      <c r="J607" s="55"/>
      <c r="K607" s="55"/>
      <c r="L607" s="55"/>
      <c r="M607" s="55"/>
      <c r="N607" s="55"/>
      <c r="O607" s="55"/>
      <c r="P607" s="55"/>
      <c r="Q607" s="55"/>
      <c r="R607" s="55"/>
      <c r="S607" s="55"/>
      <c r="T607" s="55"/>
      <c r="U607" s="55"/>
      <c r="V607" s="55"/>
      <c r="W607" s="55"/>
      <c r="X607" s="55"/>
      <c r="Y607" s="55"/>
      <c r="Z607" s="55"/>
      <c r="AA607" s="55"/>
      <c r="AB607" s="55"/>
      <c r="AC607" s="55"/>
    </row>
    <row r="608">
      <c r="A608" s="53"/>
      <c r="B608" s="53"/>
      <c r="C608" s="55"/>
      <c r="D608" s="55"/>
      <c r="E608" s="55"/>
      <c r="F608" s="55"/>
      <c r="G608" s="55"/>
      <c r="H608" s="181"/>
      <c r="I608" s="55"/>
      <c r="J608" s="55"/>
      <c r="K608" s="55"/>
      <c r="L608" s="55"/>
      <c r="M608" s="55"/>
      <c r="N608" s="55"/>
      <c r="O608" s="55"/>
      <c r="P608" s="55"/>
      <c r="Q608" s="55"/>
      <c r="R608" s="55"/>
      <c r="S608" s="55"/>
      <c r="T608" s="55"/>
      <c r="U608" s="55"/>
      <c r="V608" s="55"/>
      <c r="W608" s="55"/>
      <c r="X608" s="55"/>
      <c r="Y608" s="55"/>
      <c r="Z608" s="55"/>
      <c r="AA608" s="55"/>
      <c r="AB608" s="55"/>
      <c r="AC608" s="55"/>
    </row>
    <row r="609">
      <c r="A609" s="53"/>
      <c r="B609" s="53"/>
      <c r="C609" s="55"/>
      <c r="D609" s="55"/>
      <c r="E609" s="55"/>
      <c r="F609" s="55"/>
      <c r="G609" s="55"/>
      <c r="H609" s="181"/>
      <c r="I609" s="55"/>
      <c r="J609" s="55"/>
      <c r="K609" s="55"/>
      <c r="L609" s="55"/>
      <c r="M609" s="55"/>
      <c r="N609" s="55"/>
      <c r="O609" s="55"/>
      <c r="P609" s="55"/>
      <c r="Q609" s="55"/>
      <c r="R609" s="55"/>
      <c r="S609" s="55"/>
      <c r="T609" s="55"/>
      <c r="U609" s="55"/>
      <c r="V609" s="55"/>
      <c r="W609" s="55"/>
      <c r="X609" s="55"/>
      <c r="Y609" s="55"/>
      <c r="Z609" s="55"/>
      <c r="AA609" s="55"/>
      <c r="AB609" s="55"/>
      <c r="AC609" s="55"/>
    </row>
    <row r="610">
      <c r="A610" s="53"/>
      <c r="B610" s="53"/>
      <c r="C610" s="55"/>
      <c r="D610" s="55"/>
      <c r="E610" s="55"/>
      <c r="F610" s="55"/>
      <c r="G610" s="55"/>
      <c r="H610" s="181"/>
      <c r="I610" s="55"/>
      <c r="J610" s="55"/>
      <c r="K610" s="55"/>
      <c r="L610" s="55"/>
      <c r="M610" s="55"/>
      <c r="N610" s="55"/>
      <c r="O610" s="55"/>
      <c r="P610" s="55"/>
      <c r="Q610" s="55"/>
      <c r="R610" s="55"/>
      <c r="S610" s="55"/>
      <c r="T610" s="55"/>
      <c r="U610" s="55"/>
      <c r="V610" s="55"/>
      <c r="W610" s="55"/>
      <c r="X610" s="55"/>
      <c r="Y610" s="55"/>
      <c r="Z610" s="55"/>
      <c r="AA610" s="55"/>
      <c r="AB610" s="55"/>
      <c r="AC610" s="55"/>
    </row>
    <row r="611">
      <c r="A611" s="53"/>
      <c r="B611" s="53"/>
      <c r="C611" s="55"/>
      <c r="D611" s="55"/>
      <c r="E611" s="55"/>
      <c r="F611" s="55"/>
      <c r="G611" s="55"/>
      <c r="H611" s="181"/>
      <c r="I611" s="55"/>
      <c r="J611" s="55"/>
      <c r="K611" s="55"/>
      <c r="L611" s="55"/>
      <c r="M611" s="55"/>
      <c r="N611" s="55"/>
      <c r="O611" s="55"/>
      <c r="P611" s="55"/>
      <c r="Q611" s="55"/>
      <c r="R611" s="55"/>
      <c r="S611" s="55"/>
      <c r="T611" s="55"/>
      <c r="U611" s="55"/>
      <c r="V611" s="55"/>
      <c r="W611" s="55"/>
      <c r="X611" s="55"/>
      <c r="Y611" s="55"/>
      <c r="Z611" s="55"/>
      <c r="AA611" s="55"/>
      <c r="AB611" s="55"/>
      <c r="AC611" s="55"/>
    </row>
    <row r="612">
      <c r="A612" s="53"/>
      <c r="B612" s="53"/>
      <c r="C612" s="55"/>
      <c r="D612" s="55"/>
      <c r="E612" s="55"/>
      <c r="F612" s="55"/>
      <c r="G612" s="55"/>
      <c r="H612" s="181"/>
      <c r="I612" s="55"/>
      <c r="J612" s="55"/>
      <c r="K612" s="55"/>
      <c r="L612" s="55"/>
      <c r="M612" s="55"/>
      <c r="N612" s="55"/>
      <c r="O612" s="55"/>
      <c r="P612" s="55"/>
      <c r="Q612" s="55"/>
      <c r="R612" s="55"/>
      <c r="S612" s="55"/>
      <c r="T612" s="55"/>
      <c r="U612" s="55"/>
      <c r="V612" s="55"/>
      <c r="W612" s="55"/>
      <c r="X612" s="55"/>
      <c r="Y612" s="55"/>
      <c r="Z612" s="55"/>
      <c r="AA612" s="55"/>
      <c r="AB612" s="55"/>
      <c r="AC612" s="55"/>
    </row>
    <row r="613">
      <c r="A613" s="53"/>
      <c r="B613" s="53"/>
      <c r="C613" s="55"/>
      <c r="D613" s="55"/>
      <c r="E613" s="55"/>
      <c r="F613" s="55"/>
      <c r="G613" s="55"/>
      <c r="H613" s="181"/>
      <c r="I613" s="55"/>
      <c r="J613" s="55"/>
      <c r="K613" s="55"/>
      <c r="L613" s="55"/>
      <c r="M613" s="55"/>
      <c r="N613" s="55"/>
      <c r="O613" s="55"/>
      <c r="P613" s="55"/>
      <c r="Q613" s="55"/>
      <c r="R613" s="55"/>
      <c r="S613" s="55"/>
      <c r="T613" s="55"/>
      <c r="U613" s="55"/>
      <c r="V613" s="55"/>
      <c r="W613" s="55"/>
      <c r="X613" s="55"/>
      <c r="Y613" s="55"/>
      <c r="Z613" s="55"/>
      <c r="AA613" s="55"/>
      <c r="AB613" s="55"/>
      <c r="AC613" s="55"/>
    </row>
    <row r="614">
      <c r="A614" s="53"/>
      <c r="B614" s="53"/>
      <c r="C614" s="55"/>
      <c r="D614" s="55"/>
      <c r="E614" s="55"/>
      <c r="F614" s="55"/>
      <c r="G614" s="55"/>
      <c r="H614" s="181"/>
      <c r="I614" s="55"/>
      <c r="J614" s="55"/>
      <c r="K614" s="55"/>
      <c r="L614" s="55"/>
      <c r="M614" s="55"/>
      <c r="N614" s="55"/>
      <c r="O614" s="55"/>
      <c r="P614" s="55"/>
      <c r="Q614" s="55"/>
      <c r="R614" s="55"/>
      <c r="S614" s="55"/>
      <c r="T614" s="55"/>
      <c r="U614" s="55"/>
      <c r="V614" s="55"/>
      <c r="W614" s="55"/>
      <c r="X614" s="55"/>
      <c r="Y614" s="55"/>
      <c r="Z614" s="55"/>
      <c r="AA614" s="55"/>
      <c r="AB614" s="55"/>
      <c r="AC614" s="55"/>
    </row>
    <row r="615">
      <c r="A615" s="53"/>
      <c r="B615" s="53"/>
      <c r="C615" s="55"/>
      <c r="D615" s="55"/>
      <c r="E615" s="55"/>
      <c r="F615" s="55"/>
      <c r="G615" s="55"/>
      <c r="H615" s="181"/>
      <c r="I615" s="55"/>
      <c r="J615" s="55"/>
      <c r="K615" s="55"/>
      <c r="L615" s="55"/>
      <c r="M615" s="55"/>
      <c r="N615" s="55"/>
      <c r="O615" s="55"/>
      <c r="P615" s="55"/>
      <c r="Q615" s="55"/>
      <c r="R615" s="55"/>
      <c r="S615" s="55"/>
      <c r="T615" s="55"/>
      <c r="U615" s="55"/>
      <c r="V615" s="55"/>
      <c r="W615" s="55"/>
      <c r="X615" s="55"/>
      <c r="Y615" s="55"/>
      <c r="Z615" s="55"/>
      <c r="AA615" s="55"/>
      <c r="AB615" s="55"/>
      <c r="AC615" s="55"/>
    </row>
    <row r="616">
      <c r="A616" s="53"/>
      <c r="B616" s="53"/>
      <c r="C616" s="55"/>
      <c r="D616" s="55"/>
      <c r="E616" s="55"/>
      <c r="F616" s="55"/>
      <c r="G616" s="55"/>
      <c r="H616" s="181"/>
      <c r="I616" s="55"/>
      <c r="J616" s="55"/>
      <c r="K616" s="55"/>
      <c r="L616" s="55"/>
      <c r="M616" s="55"/>
      <c r="N616" s="55"/>
      <c r="O616" s="55"/>
      <c r="P616" s="55"/>
      <c r="Q616" s="55"/>
      <c r="R616" s="55"/>
      <c r="S616" s="55"/>
      <c r="T616" s="55"/>
      <c r="U616" s="55"/>
      <c r="V616" s="55"/>
      <c r="W616" s="55"/>
      <c r="X616" s="55"/>
      <c r="Y616" s="55"/>
      <c r="Z616" s="55"/>
      <c r="AA616" s="55"/>
      <c r="AB616" s="55"/>
      <c r="AC616" s="55"/>
    </row>
    <row r="617">
      <c r="A617" s="53"/>
      <c r="B617" s="53"/>
      <c r="C617" s="55"/>
      <c r="D617" s="55"/>
      <c r="E617" s="55"/>
      <c r="F617" s="55"/>
      <c r="G617" s="55"/>
      <c r="H617" s="181"/>
      <c r="I617" s="55"/>
      <c r="J617" s="55"/>
      <c r="K617" s="55"/>
      <c r="L617" s="55"/>
      <c r="M617" s="55"/>
      <c r="N617" s="55"/>
      <c r="O617" s="55"/>
      <c r="P617" s="55"/>
      <c r="Q617" s="55"/>
      <c r="R617" s="55"/>
      <c r="S617" s="55"/>
      <c r="T617" s="55"/>
      <c r="U617" s="55"/>
      <c r="V617" s="55"/>
      <c r="W617" s="55"/>
      <c r="X617" s="55"/>
      <c r="Y617" s="55"/>
      <c r="Z617" s="55"/>
      <c r="AA617" s="55"/>
      <c r="AB617" s="55"/>
      <c r="AC617" s="55"/>
    </row>
    <row r="618">
      <c r="A618" s="53"/>
      <c r="B618" s="53"/>
      <c r="C618" s="55"/>
      <c r="D618" s="55"/>
      <c r="E618" s="55"/>
      <c r="F618" s="55"/>
      <c r="G618" s="55"/>
      <c r="H618" s="181"/>
      <c r="I618" s="55"/>
      <c r="J618" s="55"/>
      <c r="K618" s="55"/>
      <c r="L618" s="55"/>
      <c r="M618" s="55"/>
      <c r="N618" s="55"/>
      <c r="O618" s="55"/>
      <c r="P618" s="55"/>
      <c r="Q618" s="55"/>
      <c r="R618" s="55"/>
      <c r="S618" s="55"/>
      <c r="T618" s="55"/>
      <c r="U618" s="55"/>
      <c r="V618" s="55"/>
      <c r="W618" s="55"/>
      <c r="X618" s="55"/>
      <c r="Y618" s="55"/>
      <c r="Z618" s="55"/>
      <c r="AA618" s="55"/>
      <c r="AB618" s="55"/>
      <c r="AC618" s="55"/>
    </row>
    <row r="619">
      <c r="A619" s="53"/>
      <c r="B619" s="53"/>
      <c r="C619" s="55"/>
      <c r="D619" s="55"/>
      <c r="E619" s="55"/>
      <c r="F619" s="55"/>
      <c r="G619" s="55"/>
      <c r="H619" s="181"/>
      <c r="I619" s="55"/>
      <c r="J619" s="55"/>
      <c r="K619" s="55"/>
      <c r="L619" s="55"/>
      <c r="M619" s="55"/>
      <c r="N619" s="55"/>
      <c r="O619" s="55"/>
      <c r="P619" s="55"/>
      <c r="Q619" s="55"/>
      <c r="R619" s="55"/>
      <c r="S619" s="55"/>
      <c r="T619" s="55"/>
      <c r="U619" s="55"/>
      <c r="V619" s="55"/>
      <c r="W619" s="55"/>
      <c r="X619" s="55"/>
      <c r="Y619" s="55"/>
      <c r="Z619" s="55"/>
      <c r="AA619" s="55"/>
      <c r="AB619" s="55"/>
      <c r="AC619" s="55"/>
    </row>
    <row r="620">
      <c r="A620" s="53"/>
      <c r="B620" s="53"/>
      <c r="C620" s="55"/>
      <c r="D620" s="55"/>
      <c r="E620" s="55"/>
      <c r="F620" s="55"/>
      <c r="G620" s="55"/>
      <c r="H620" s="181"/>
      <c r="I620" s="55"/>
      <c r="J620" s="55"/>
      <c r="K620" s="55"/>
      <c r="L620" s="55"/>
      <c r="M620" s="55"/>
      <c r="N620" s="55"/>
      <c r="O620" s="55"/>
      <c r="P620" s="55"/>
      <c r="Q620" s="55"/>
      <c r="R620" s="55"/>
      <c r="S620" s="55"/>
      <c r="T620" s="55"/>
      <c r="U620" s="55"/>
      <c r="V620" s="55"/>
      <c r="W620" s="55"/>
      <c r="X620" s="55"/>
      <c r="Y620" s="55"/>
      <c r="Z620" s="55"/>
      <c r="AA620" s="55"/>
      <c r="AB620" s="55"/>
      <c r="AC620" s="55"/>
    </row>
    <row r="621">
      <c r="A621" s="53"/>
      <c r="B621" s="53"/>
      <c r="C621" s="55"/>
      <c r="D621" s="55"/>
      <c r="E621" s="55"/>
      <c r="F621" s="55"/>
      <c r="G621" s="55"/>
      <c r="H621" s="181"/>
      <c r="I621" s="55"/>
      <c r="J621" s="55"/>
      <c r="K621" s="55"/>
      <c r="L621" s="55"/>
      <c r="M621" s="55"/>
      <c r="N621" s="55"/>
      <c r="O621" s="55"/>
      <c r="P621" s="55"/>
      <c r="Q621" s="55"/>
      <c r="R621" s="55"/>
      <c r="S621" s="55"/>
      <c r="T621" s="55"/>
      <c r="U621" s="55"/>
      <c r="V621" s="55"/>
      <c r="W621" s="55"/>
      <c r="X621" s="55"/>
      <c r="Y621" s="55"/>
      <c r="Z621" s="55"/>
      <c r="AA621" s="55"/>
      <c r="AB621" s="55"/>
      <c r="AC621" s="55"/>
    </row>
    <row r="622">
      <c r="A622" s="53"/>
      <c r="B622" s="53"/>
      <c r="C622" s="55"/>
      <c r="D622" s="55"/>
      <c r="E622" s="55"/>
      <c r="F622" s="55"/>
      <c r="G622" s="55"/>
      <c r="H622" s="181"/>
      <c r="I622" s="55"/>
      <c r="J622" s="55"/>
      <c r="K622" s="55"/>
      <c r="L622" s="55"/>
      <c r="M622" s="55"/>
      <c r="N622" s="55"/>
      <c r="O622" s="55"/>
      <c r="P622" s="55"/>
      <c r="Q622" s="55"/>
      <c r="R622" s="55"/>
      <c r="S622" s="55"/>
      <c r="T622" s="55"/>
      <c r="U622" s="55"/>
      <c r="V622" s="55"/>
      <c r="W622" s="55"/>
      <c r="X622" s="55"/>
      <c r="Y622" s="55"/>
      <c r="Z622" s="55"/>
      <c r="AA622" s="55"/>
      <c r="AB622" s="55"/>
      <c r="AC622" s="55"/>
    </row>
    <row r="623">
      <c r="A623" s="53"/>
      <c r="B623" s="53"/>
      <c r="C623" s="55"/>
      <c r="D623" s="55"/>
      <c r="E623" s="55"/>
      <c r="F623" s="55"/>
      <c r="G623" s="55"/>
      <c r="H623" s="181"/>
      <c r="I623" s="55"/>
      <c r="J623" s="55"/>
      <c r="K623" s="55"/>
      <c r="L623" s="55"/>
      <c r="M623" s="55"/>
      <c r="N623" s="55"/>
      <c r="O623" s="55"/>
      <c r="P623" s="55"/>
      <c r="Q623" s="55"/>
      <c r="R623" s="55"/>
      <c r="S623" s="55"/>
      <c r="T623" s="55"/>
      <c r="U623" s="55"/>
      <c r="V623" s="55"/>
      <c r="W623" s="55"/>
      <c r="X623" s="55"/>
      <c r="Y623" s="55"/>
      <c r="Z623" s="55"/>
      <c r="AA623" s="55"/>
      <c r="AB623" s="55"/>
      <c r="AC623" s="55"/>
    </row>
    <row r="624">
      <c r="A624" s="53"/>
      <c r="B624" s="53"/>
      <c r="C624" s="55"/>
      <c r="D624" s="55"/>
      <c r="E624" s="55"/>
      <c r="F624" s="55"/>
      <c r="G624" s="55"/>
      <c r="H624" s="181"/>
      <c r="I624" s="55"/>
      <c r="J624" s="55"/>
      <c r="K624" s="55"/>
      <c r="L624" s="55"/>
      <c r="M624" s="55"/>
      <c r="N624" s="55"/>
      <c r="O624" s="55"/>
      <c r="P624" s="55"/>
      <c r="Q624" s="55"/>
      <c r="R624" s="55"/>
      <c r="S624" s="55"/>
      <c r="T624" s="55"/>
      <c r="U624" s="55"/>
      <c r="V624" s="55"/>
      <c r="W624" s="55"/>
      <c r="X624" s="55"/>
      <c r="Y624" s="55"/>
      <c r="Z624" s="55"/>
      <c r="AA624" s="55"/>
      <c r="AB624" s="55"/>
      <c r="AC624" s="55"/>
    </row>
    <row r="625">
      <c r="A625" s="53"/>
      <c r="B625" s="53"/>
      <c r="C625" s="55"/>
      <c r="D625" s="55"/>
      <c r="E625" s="55"/>
      <c r="F625" s="55"/>
      <c r="G625" s="55"/>
      <c r="H625" s="181"/>
      <c r="I625" s="55"/>
      <c r="J625" s="55"/>
      <c r="K625" s="55"/>
      <c r="L625" s="55"/>
      <c r="M625" s="55"/>
      <c r="N625" s="55"/>
      <c r="O625" s="55"/>
      <c r="P625" s="55"/>
      <c r="Q625" s="55"/>
      <c r="R625" s="55"/>
      <c r="S625" s="55"/>
      <c r="T625" s="55"/>
      <c r="U625" s="55"/>
      <c r="V625" s="55"/>
      <c r="W625" s="55"/>
      <c r="X625" s="55"/>
      <c r="Y625" s="55"/>
      <c r="Z625" s="55"/>
      <c r="AA625" s="55"/>
      <c r="AB625" s="55"/>
      <c r="AC625" s="55"/>
    </row>
    <row r="626">
      <c r="A626" s="53"/>
      <c r="B626" s="53"/>
      <c r="C626" s="55"/>
      <c r="D626" s="55"/>
      <c r="E626" s="55"/>
      <c r="F626" s="55"/>
      <c r="G626" s="55"/>
      <c r="H626" s="181"/>
      <c r="I626" s="55"/>
      <c r="J626" s="55"/>
      <c r="K626" s="55"/>
      <c r="L626" s="55"/>
      <c r="M626" s="55"/>
      <c r="N626" s="55"/>
      <c r="O626" s="55"/>
      <c r="P626" s="55"/>
      <c r="Q626" s="55"/>
      <c r="R626" s="55"/>
      <c r="S626" s="55"/>
      <c r="T626" s="55"/>
      <c r="U626" s="55"/>
      <c r="V626" s="55"/>
      <c r="W626" s="55"/>
      <c r="X626" s="55"/>
      <c r="Y626" s="55"/>
      <c r="Z626" s="55"/>
      <c r="AA626" s="55"/>
      <c r="AB626" s="55"/>
      <c r="AC626" s="55"/>
    </row>
    <row r="627">
      <c r="A627" s="53"/>
      <c r="B627" s="53"/>
      <c r="C627" s="55"/>
      <c r="D627" s="55"/>
      <c r="E627" s="55"/>
      <c r="F627" s="55"/>
      <c r="G627" s="55"/>
      <c r="H627" s="181"/>
      <c r="I627" s="55"/>
      <c r="J627" s="55"/>
      <c r="K627" s="55"/>
      <c r="L627" s="55"/>
      <c r="M627" s="55"/>
      <c r="N627" s="55"/>
      <c r="O627" s="55"/>
      <c r="P627" s="55"/>
      <c r="Q627" s="55"/>
      <c r="R627" s="55"/>
      <c r="S627" s="55"/>
      <c r="T627" s="55"/>
      <c r="U627" s="55"/>
      <c r="V627" s="55"/>
      <c r="W627" s="55"/>
      <c r="X627" s="55"/>
      <c r="Y627" s="55"/>
      <c r="Z627" s="55"/>
      <c r="AA627" s="55"/>
      <c r="AB627" s="55"/>
      <c r="AC627" s="55"/>
    </row>
    <row r="628">
      <c r="A628" s="53"/>
      <c r="B628" s="53"/>
      <c r="C628" s="55"/>
      <c r="D628" s="55"/>
      <c r="E628" s="55"/>
      <c r="F628" s="55"/>
      <c r="G628" s="55"/>
      <c r="H628" s="181"/>
      <c r="I628" s="55"/>
      <c r="J628" s="55"/>
      <c r="K628" s="55"/>
      <c r="L628" s="55"/>
      <c r="M628" s="55"/>
      <c r="N628" s="55"/>
      <c r="O628" s="55"/>
      <c r="P628" s="55"/>
      <c r="Q628" s="55"/>
      <c r="R628" s="55"/>
      <c r="S628" s="55"/>
      <c r="T628" s="55"/>
      <c r="U628" s="55"/>
      <c r="V628" s="55"/>
      <c r="W628" s="55"/>
      <c r="X628" s="55"/>
      <c r="Y628" s="55"/>
      <c r="Z628" s="55"/>
      <c r="AA628" s="55"/>
      <c r="AB628" s="55"/>
      <c r="AC628" s="55"/>
    </row>
    <row r="629">
      <c r="A629" s="53"/>
      <c r="B629" s="53"/>
      <c r="C629" s="55"/>
      <c r="D629" s="55"/>
      <c r="E629" s="55"/>
      <c r="F629" s="55"/>
      <c r="G629" s="55"/>
      <c r="H629" s="181"/>
      <c r="I629" s="55"/>
      <c r="J629" s="55"/>
      <c r="K629" s="55"/>
      <c r="L629" s="55"/>
      <c r="M629" s="55"/>
      <c r="N629" s="55"/>
      <c r="O629" s="55"/>
      <c r="P629" s="55"/>
      <c r="Q629" s="55"/>
      <c r="R629" s="55"/>
      <c r="S629" s="55"/>
      <c r="T629" s="55"/>
      <c r="U629" s="55"/>
      <c r="V629" s="55"/>
      <c r="W629" s="55"/>
      <c r="X629" s="55"/>
      <c r="Y629" s="55"/>
      <c r="Z629" s="55"/>
      <c r="AA629" s="55"/>
      <c r="AB629" s="55"/>
      <c r="AC629" s="55"/>
    </row>
    <row r="630">
      <c r="A630" s="53"/>
      <c r="B630" s="53"/>
      <c r="C630" s="55"/>
      <c r="D630" s="55"/>
      <c r="E630" s="55"/>
      <c r="F630" s="55"/>
      <c r="G630" s="55"/>
      <c r="H630" s="181"/>
      <c r="I630" s="55"/>
      <c r="J630" s="55"/>
      <c r="K630" s="55"/>
      <c r="L630" s="55"/>
      <c r="M630" s="55"/>
      <c r="N630" s="55"/>
      <c r="O630" s="55"/>
      <c r="P630" s="55"/>
      <c r="Q630" s="55"/>
      <c r="R630" s="55"/>
      <c r="S630" s="55"/>
      <c r="T630" s="55"/>
      <c r="U630" s="55"/>
      <c r="V630" s="55"/>
      <c r="W630" s="55"/>
      <c r="X630" s="55"/>
      <c r="Y630" s="55"/>
      <c r="Z630" s="55"/>
      <c r="AA630" s="55"/>
      <c r="AB630" s="55"/>
      <c r="AC630" s="55"/>
    </row>
    <row r="631">
      <c r="A631" s="53"/>
      <c r="B631" s="53"/>
      <c r="C631" s="55"/>
      <c r="D631" s="55"/>
      <c r="E631" s="55"/>
      <c r="F631" s="55"/>
      <c r="G631" s="55"/>
      <c r="H631" s="181"/>
      <c r="I631" s="55"/>
      <c r="J631" s="55"/>
      <c r="K631" s="55"/>
      <c r="L631" s="55"/>
      <c r="M631" s="55"/>
      <c r="N631" s="55"/>
      <c r="O631" s="55"/>
      <c r="P631" s="55"/>
      <c r="Q631" s="55"/>
      <c r="R631" s="55"/>
      <c r="S631" s="55"/>
      <c r="T631" s="55"/>
      <c r="U631" s="55"/>
      <c r="V631" s="55"/>
      <c r="W631" s="55"/>
      <c r="X631" s="55"/>
      <c r="Y631" s="55"/>
      <c r="Z631" s="55"/>
      <c r="AA631" s="55"/>
      <c r="AB631" s="55"/>
      <c r="AC631" s="55"/>
    </row>
    <row r="632">
      <c r="A632" s="53"/>
      <c r="B632" s="53"/>
      <c r="C632" s="55"/>
      <c r="D632" s="55"/>
      <c r="E632" s="55"/>
      <c r="F632" s="55"/>
      <c r="G632" s="55"/>
      <c r="H632" s="181"/>
      <c r="I632" s="55"/>
      <c r="J632" s="55"/>
      <c r="K632" s="55"/>
      <c r="L632" s="55"/>
      <c r="M632" s="55"/>
      <c r="N632" s="55"/>
      <c r="O632" s="55"/>
      <c r="P632" s="55"/>
      <c r="Q632" s="55"/>
      <c r="R632" s="55"/>
      <c r="S632" s="55"/>
      <c r="T632" s="55"/>
      <c r="U632" s="55"/>
      <c r="V632" s="55"/>
      <c r="W632" s="55"/>
      <c r="X632" s="55"/>
      <c r="Y632" s="55"/>
      <c r="Z632" s="55"/>
      <c r="AA632" s="55"/>
      <c r="AB632" s="55"/>
      <c r="AC632" s="55"/>
    </row>
    <row r="633">
      <c r="A633" s="53"/>
      <c r="B633" s="53"/>
      <c r="C633" s="55"/>
      <c r="D633" s="55"/>
      <c r="E633" s="55"/>
      <c r="F633" s="55"/>
      <c r="G633" s="55"/>
      <c r="H633" s="181"/>
      <c r="I633" s="55"/>
      <c r="J633" s="55"/>
      <c r="K633" s="55"/>
      <c r="L633" s="55"/>
      <c r="M633" s="55"/>
      <c r="N633" s="55"/>
      <c r="O633" s="55"/>
      <c r="P633" s="55"/>
      <c r="Q633" s="55"/>
      <c r="R633" s="55"/>
      <c r="S633" s="55"/>
      <c r="T633" s="55"/>
      <c r="U633" s="55"/>
      <c r="V633" s="55"/>
      <c r="W633" s="55"/>
      <c r="X633" s="55"/>
      <c r="Y633" s="55"/>
      <c r="Z633" s="55"/>
      <c r="AA633" s="55"/>
      <c r="AB633" s="55"/>
      <c r="AC633" s="55"/>
    </row>
    <row r="634">
      <c r="A634" s="53"/>
      <c r="B634" s="53"/>
      <c r="C634" s="55"/>
      <c r="D634" s="55"/>
      <c r="E634" s="55"/>
      <c r="F634" s="55"/>
      <c r="G634" s="55"/>
      <c r="H634" s="181"/>
      <c r="I634" s="55"/>
      <c r="J634" s="55"/>
      <c r="K634" s="55"/>
      <c r="L634" s="55"/>
      <c r="M634" s="55"/>
      <c r="N634" s="55"/>
      <c r="O634" s="55"/>
      <c r="P634" s="55"/>
      <c r="Q634" s="55"/>
      <c r="R634" s="55"/>
      <c r="S634" s="55"/>
      <c r="T634" s="55"/>
      <c r="U634" s="55"/>
      <c r="V634" s="55"/>
      <c r="W634" s="55"/>
      <c r="X634" s="55"/>
      <c r="Y634" s="55"/>
      <c r="Z634" s="55"/>
      <c r="AA634" s="55"/>
      <c r="AB634" s="55"/>
      <c r="AC634" s="55"/>
    </row>
    <row r="635">
      <c r="A635" s="53"/>
      <c r="B635" s="53"/>
      <c r="C635" s="55"/>
      <c r="D635" s="55"/>
      <c r="E635" s="55"/>
      <c r="F635" s="55"/>
      <c r="G635" s="55"/>
      <c r="H635" s="181"/>
      <c r="I635" s="55"/>
      <c r="J635" s="55"/>
      <c r="K635" s="55"/>
      <c r="L635" s="55"/>
      <c r="M635" s="55"/>
      <c r="N635" s="55"/>
      <c r="O635" s="55"/>
      <c r="P635" s="55"/>
      <c r="Q635" s="55"/>
      <c r="R635" s="55"/>
      <c r="S635" s="55"/>
      <c r="T635" s="55"/>
      <c r="U635" s="55"/>
      <c r="V635" s="55"/>
      <c r="W635" s="55"/>
      <c r="X635" s="55"/>
      <c r="Y635" s="55"/>
      <c r="Z635" s="55"/>
      <c r="AA635" s="55"/>
      <c r="AB635" s="55"/>
      <c r="AC635" s="55"/>
    </row>
    <row r="636">
      <c r="A636" s="53"/>
      <c r="B636" s="53"/>
      <c r="C636" s="55"/>
      <c r="D636" s="55"/>
      <c r="E636" s="55"/>
      <c r="F636" s="55"/>
      <c r="G636" s="55"/>
      <c r="H636" s="181"/>
      <c r="I636" s="55"/>
      <c r="J636" s="55"/>
      <c r="K636" s="55"/>
      <c r="L636" s="55"/>
      <c r="M636" s="55"/>
      <c r="N636" s="55"/>
      <c r="O636" s="55"/>
      <c r="P636" s="55"/>
      <c r="Q636" s="55"/>
      <c r="R636" s="55"/>
      <c r="S636" s="55"/>
      <c r="T636" s="55"/>
      <c r="U636" s="55"/>
      <c r="V636" s="55"/>
      <c r="W636" s="55"/>
      <c r="X636" s="55"/>
      <c r="Y636" s="55"/>
      <c r="Z636" s="55"/>
      <c r="AA636" s="55"/>
      <c r="AB636" s="55"/>
      <c r="AC636" s="55"/>
    </row>
    <row r="637">
      <c r="A637" s="53"/>
      <c r="B637" s="53"/>
      <c r="C637" s="55"/>
      <c r="D637" s="55"/>
      <c r="E637" s="55"/>
      <c r="F637" s="55"/>
      <c r="G637" s="55"/>
      <c r="H637" s="181"/>
      <c r="I637" s="55"/>
      <c r="J637" s="55"/>
      <c r="K637" s="55"/>
      <c r="L637" s="55"/>
      <c r="M637" s="55"/>
      <c r="N637" s="55"/>
      <c r="O637" s="55"/>
      <c r="P637" s="55"/>
      <c r="Q637" s="55"/>
      <c r="R637" s="55"/>
      <c r="S637" s="55"/>
      <c r="T637" s="55"/>
      <c r="U637" s="55"/>
      <c r="V637" s="55"/>
      <c r="W637" s="55"/>
      <c r="X637" s="55"/>
      <c r="Y637" s="55"/>
      <c r="Z637" s="55"/>
      <c r="AA637" s="55"/>
      <c r="AB637" s="55"/>
      <c r="AC637" s="55"/>
    </row>
    <row r="638">
      <c r="A638" s="53"/>
      <c r="B638" s="53"/>
      <c r="C638" s="55"/>
      <c r="D638" s="55"/>
      <c r="E638" s="55"/>
      <c r="F638" s="55"/>
      <c r="G638" s="55"/>
      <c r="H638" s="181"/>
      <c r="I638" s="55"/>
      <c r="J638" s="55"/>
      <c r="K638" s="55"/>
      <c r="L638" s="55"/>
      <c r="M638" s="55"/>
      <c r="N638" s="55"/>
      <c r="O638" s="55"/>
      <c r="P638" s="55"/>
      <c r="Q638" s="55"/>
      <c r="R638" s="55"/>
      <c r="S638" s="55"/>
      <c r="T638" s="55"/>
      <c r="U638" s="55"/>
      <c r="V638" s="55"/>
      <c r="W638" s="55"/>
      <c r="X638" s="55"/>
      <c r="Y638" s="55"/>
      <c r="Z638" s="55"/>
      <c r="AA638" s="55"/>
      <c r="AB638" s="55"/>
      <c r="AC638" s="55"/>
    </row>
    <row r="639">
      <c r="A639" s="53"/>
      <c r="B639" s="53"/>
      <c r="C639" s="55"/>
      <c r="D639" s="55"/>
      <c r="E639" s="55"/>
      <c r="F639" s="55"/>
      <c r="G639" s="55"/>
      <c r="H639" s="181"/>
      <c r="I639" s="55"/>
      <c r="J639" s="55"/>
      <c r="K639" s="55"/>
      <c r="L639" s="55"/>
      <c r="M639" s="55"/>
      <c r="N639" s="55"/>
      <c r="O639" s="55"/>
      <c r="P639" s="55"/>
      <c r="Q639" s="55"/>
      <c r="R639" s="55"/>
      <c r="S639" s="55"/>
      <c r="T639" s="55"/>
      <c r="U639" s="55"/>
      <c r="V639" s="55"/>
      <c r="W639" s="55"/>
      <c r="X639" s="55"/>
      <c r="Y639" s="55"/>
      <c r="Z639" s="55"/>
      <c r="AA639" s="55"/>
      <c r="AB639" s="55"/>
      <c r="AC639" s="55"/>
    </row>
    <row r="640">
      <c r="A640" s="53"/>
      <c r="B640" s="53"/>
      <c r="C640" s="55"/>
      <c r="D640" s="55"/>
      <c r="E640" s="55"/>
      <c r="F640" s="55"/>
      <c r="G640" s="55"/>
      <c r="H640" s="181"/>
      <c r="I640" s="55"/>
      <c r="J640" s="55"/>
      <c r="K640" s="55"/>
      <c r="L640" s="55"/>
      <c r="M640" s="55"/>
      <c r="N640" s="55"/>
      <c r="O640" s="55"/>
      <c r="P640" s="55"/>
      <c r="Q640" s="55"/>
      <c r="R640" s="55"/>
      <c r="S640" s="55"/>
      <c r="T640" s="55"/>
      <c r="U640" s="55"/>
      <c r="V640" s="55"/>
      <c r="W640" s="55"/>
      <c r="X640" s="55"/>
      <c r="Y640" s="55"/>
      <c r="Z640" s="55"/>
      <c r="AA640" s="55"/>
      <c r="AB640" s="55"/>
      <c r="AC640" s="55"/>
    </row>
    <row r="641">
      <c r="A641" s="53"/>
      <c r="B641" s="53"/>
      <c r="C641" s="55"/>
      <c r="D641" s="55"/>
      <c r="E641" s="55"/>
      <c r="F641" s="55"/>
      <c r="G641" s="55"/>
      <c r="H641" s="181"/>
      <c r="I641" s="55"/>
      <c r="J641" s="55"/>
      <c r="K641" s="55"/>
      <c r="L641" s="55"/>
      <c r="M641" s="55"/>
      <c r="N641" s="55"/>
      <c r="O641" s="55"/>
      <c r="P641" s="55"/>
      <c r="Q641" s="55"/>
      <c r="R641" s="55"/>
      <c r="S641" s="55"/>
      <c r="T641" s="55"/>
      <c r="U641" s="55"/>
      <c r="V641" s="55"/>
      <c r="W641" s="55"/>
      <c r="X641" s="55"/>
      <c r="Y641" s="55"/>
      <c r="Z641" s="55"/>
      <c r="AA641" s="55"/>
      <c r="AB641" s="55"/>
      <c r="AC641" s="55"/>
    </row>
    <row r="642">
      <c r="A642" s="53"/>
      <c r="B642" s="53"/>
      <c r="C642" s="55"/>
      <c r="D642" s="55"/>
      <c r="E642" s="55"/>
      <c r="F642" s="55"/>
      <c r="G642" s="55"/>
      <c r="H642" s="181"/>
      <c r="I642" s="55"/>
      <c r="J642" s="55"/>
      <c r="K642" s="55"/>
      <c r="L642" s="55"/>
      <c r="M642" s="55"/>
      <c r="N642" s="55"/>
      <c r="O642" s="55"/>
      <c r="P642" s="55"/>
      <c r="Q642" s="55"/>
      <c r="R642" s="55"/>
      <c r="S642" s="55"/>
      <c r="T642" s="55"/>
      <c r="U642" s="55"/>
      <c r="V642" s="55"/>
      <c r="W642" s="55"/>
      <c r="X642" s="55"/>
      <c r="Y642" s="55"/>
      <c r="Z642" s="55"/>
      <c r="AA642" s="55"/>
      <c r="AB642" s="55"/>
      <c r="AC642" s="55"/>
    </row>
    <row r="643">
      <c r="A643" s="53"/>
      <c r="B643" s="53"/>
      <c r="C643" s="55"/>
      <c r="D643" s="55"/>
      <c r="E643" s="55"/>
      <c r="F643" s="55"/>
      <c r="G643" s="55"/>
      <c r="H643" s="181"/>
      <c r="I643" s="55"/>
      <c r="J643" s="55"/>
      <c r="K643" s="55"/>
      <c r="L643" s="55"/>
      <c r="M643" s="55"/>
      <c r="N643" s="55"/>
      <c r="O643" s="55"/>
      <c r="P643" s="55"/>
      <c r="Q643" s="55"/>
      <c r="R643" s="55"/>
      <c r="S643" s="55"/>
      <c r="T643" s="55"/>
      <c r="U643" s="55"/>
      <c r="V643" s="55"/>
      <c r="W643" s="55"/>
      <c r="X643" s="55"/>
      <c r="Y643" s="55"/>
      <c r="Z643" s="55"/>
      <c r="AA643" s="55"/>
      <c r="AB643" s="55"/>
      <c r="AC643" s="55"/>
    </row>
    <row r="644">
      <c r="A644" s="53"/>
      <c r="B644" s="53"/>
      <c r="C644" s="55"/>
      <c r="D644" s="55"/>
      <c r="E644" s="55"/>
      <c r="F644" s="55"/>
      <c r="G644" s="55"/>
      <c r="H644" s="181"/>
      <c r="I644" s="55"/>
      <c r="J644" s="55"/>
      <c r="K644" s="55"/>
      <c r="L644" s="55"/>
      <c r="M644" s="55"/>
      <c r="N644" s="55"/>
      <c r="O644" s="55"/>
      <c r="P644" s="55"/>
      <c r="Q644" s="55"/>
      <c r="R644" s="55"/>
      <c r="S644" s="55"/>
      <c r="T644" s="55"/>
      <c r="U644" s="55"/>
      <c r="V644" s="55"/>
      <c r="W644" s="55"/>
      <c r="X644" s="55"/>
      <c r="Y644" s="55"/>
      <c r="Z644" s="55"/>
      <c r="AA644" s="55"/>
      <c r="AB644" s="55"/>
      <c r="AC644" s="55"/>
    </row>
    <row r="645">
      <c r="A645" s="53"/>
      <c r="B645" s="53"/>
      <c r="C645" s="55"/>
      <c r="D645" s="55"/>
      <c r="E645" s="55"/>
      <c r="F645" s="55"/>
      <c r="G645" s="55"/>
      <c r="H645" s="181"/>
      <c r="I645" s="55"/>
      <c r="J645" s="55"/>
      <c r="K645" s="55"/>
      <c r="L645" s="55"/>
      <c r="M645" s="55"/>
      <c r="N645" s="55"/>
      <c r="O645" s="55"/>
      <c r="P645" s="55"/>
      <c r="Q645" s="55"/>
      <c r="R645" s="55"/>
      <c r="S645" s="55"/>
      <c r="T645" s="55"/>
      <c r="U645" s="55"/>
      <c r="V645" s="55"/>
      <c r="W645" s="55"/>
      <c r="X645" s="55"/>
      <c r="Y645" s="55"/>
      <c r="Z645" s="55"/>
      <c r="AA645" s="55"/>
      <c r="AB645" s="55"/>
      <c r="AC645" s="55"/>
    </row>
    <row r="646">
      <c r="A646" s="53"/>
      <c r="B646" s="53"/>
      <c r="C646" s="55"/>
      <c r="D646" s="55"/>
      <c r="E646" s="55"/>
      <c r="F646" s="55"/>
      <c r="G646" s="55"/>
      <c r="H646" s="181"/>
      <c r="I646" s="55"/>
      <c r="J646" s="55"/>
      <c r="K646" s="55"/>
      <c r="L646" s="55"/>
      <c r="M646" s="55"/>
      <c r="N646" s="55"/>
      <c r="O646" s="55"/>
      <c r="P646" s="55"/>
      <c r="Q646" s="55"/>
      <c r="R646" s="55"/>
      <c r="S646" s="55"/>
      <c r="T646" s="55"/>
      <c r="U646" s="55"/>
      <c r="V646" s="55"/>
      <c r="W646" s="55"/>
      <c r="X646" s="55"/>
      <c r="Y646" s="55"/>
      <c r="Z646" s="55"/>
      <c r="AA646" s="55"/>
      <c r="AB646" s="55"/>
      <c r="AC646" s="55"/>
    </row>
    <row r="647">
      <c r="A647" s="53"/>
      <c r="B647" s="53"/>
      <c r="C647" s="55"/>
      <c r="D647" s="55"/>
      <c r="E647" s="55"/>
      <c r="F647" s="55"/>
      <c r="G647" s="55"/>
      <c r="H647" s="181"/>
      <c r="I647" s="55"/>
      <c r="J647" s="55"/>
      <c r="K647" s="55"/>
      <c r="L647" s="55"/>
      <c r="M647" s="55"/>
      <c r="N647" s="55"/>
      <c r="O647" s="55"/>
      <c r="P647" s="55"/>
      <c r="Q647" s="55"/>
      <c r="R647" s="55"/>
      <c r="S647" s="55"/>
      <c r="T647" s="55"/>
      <c r="U647" s="55"/>
      <c r="V647" s="55"/>
      <c r="W647" s="55"/>
      <c r="X647" s="55"/>
      <c r="Y647" s="55"/>
      <c r="Z647" s="55"/>
      <c r="AA647" s="55"/>
      <c r="AB647" s="55"/>
      <c r="AC647" s="55"/>
    </row>
    <row r="648">
      <c r="A648" s="53"/>
      <c r="B648" s="53"/>
      <c r="C648" s="55"/>
      <c r="D648" s="55"/>
      <c r="E648" s="55"/>
      <c r="F648" s="55"/>
      <c r="G648" s="55"/>
      <c r="H648" s="181"/>
      <c r="I648" s="55"/>
      <c r="J648" s="55"/>
      <c r="K648" s="55"/>
      <c r="L648" s="55"/>
      <c r="M648" s="55"/>
      <c r="N648" s="55"/>
      <c r="O648" s="55"/>
      <c r="P648" s="55"/>
      <c r="Q648" s="55"/>
      <c r="R648" s="55"/>
      <c r="S648" s="55"/>
      <c r="T648" s="55"/>
      <c r="U648" s="55"/>
      <c r="V648" s="55"/>
      <c r="W648" s="55"/>
      <c r="X648" s="55"/>
      <c r="Y648" s="55"/>
      <c r="Z648" s="55"/>
      <c r="AA648" s="55"/>
      <c r="AB648" s="55"/>
      <c r="AC648" s="55"/>
    </row>
    <row r="649">
      <c r="A649" s="53"/>
      <c r="B649" s="53"/>
      <c r="C649" s="55"/>
      <c r="D649" s="55"/>
      <c r="E649" s="55"/>
      <c r="F649" s="55"/>
      <c r="G649" s="55"/>
      <c r="H649" s="181"/>
      <c r="I649" s="55"/>
      <c r="J649" s="55"/>
      <c r="K649" s="55"/>
      <c r="L649" s="55"/>
      <c r="M649" s="55"/>
      <c r="N649" s="55"/>
      <c r="O649" s="55"/>
      <c r="P649" s="55"/>
      <c r="Q649" s="55"/>
      <c r="R649" s="55"/>
      <c r="S649" s="55"/>
      <c r="T649" s="55"/>
      <c r="U649" s="55"/>
      <c r="V649" s="55"/>
      <c r="W649" s="55"/>
      <c r="X649" s="55"/>
      <c r="Y649" s="55"/>
      <c r="Z649" s="55"/>
      <c r="AA649" s="55"/>
      <c r="AB649" s="55"/>
      <c r="AC649" s="55"/>
    </row>
    <row r="650">
      <c r="A650" s="53"/>
      <c r="B650" s="53"/>
      <c r="C650" s="55"/>
      <c r="D650" s="55"/>
      <c r="E650" s="55"/>
      <c r="F650" s="55"/>
      <c r="G650" s="55"/>
      <c r="H650" s="181"/>
      <c r="I650" s="55"/>
      <c r="J650" s="55"/>
      <c r="K650" s="55"/>
      <c r="L650" s="55"/>
      <c r="M650" s="55"/>
      <c r="N650" s="55"/>
      <c r="O650" s="55"/>
      <c r="P650" s="55"/>
      <c r="Q650" s="55"/>
      <c r="R650" s="55"/>
      <c r="S650" s="55"/>
      <c r="T650" s="55"/>
      <c r="U650" s="55"/>
      <c r="V650" s="55"/>
      <c r="W650" s="55"/>
      <c r="X650" s="55"/>
      <c r="Y650" s="55"/>
      <c r="Z650" s="55"/>
      <c r="AA650" s="55"/>
      <c r="AB650" s="55"/>
      <c r="AC650" s="55"/>
    </row>
    <row r="651">
      <c r="A651" s="53"/>
      <c r="B651" s="53"/>
      <c r="C651" s="55"/>
      <c r="D651" s="55"/>
      <c r="E651" s="55"/>
      <c r="F651" s="55"/>
      <c r="G651" s="55"/>
      <c r="H651" s="181"/>
      <c r="I651" s="55"/>
      <c r="J651" s="55"/>
      <c r="K651" s="55"/>
      <c r="L651" s="55"/>
      <c r="M651" s="55"/>
      <c r="N651" s="55"/>
      <c r="O651" s="55"/>
      <c r="P651" s="55"/>
      <c r="Q651" s="55"/>
      <c r="R651" s="55"/>
      <c r="S651" s="55"/>
      <c r="T651" s="55"/>
      <c r="U651" s="55"/>
      <c r="V651" s="55"/>
      <c r="W651" s="55"/>
      <c r="X651" s="55"/>
      <c r="Y651" s="55"/>
      <c r="Z651" s="55"/>
      <c r="AA651" s="55"/>
      <c r="AB651" s="55"/>
      <c r="AC651" s="55"/>
    </row>
    <row r="652">
      <c r="A652" s="53"/>
      <c r="B652" s="53"/>
      <c r="C652" s="55"/>
      <c r="D652" s="55"/>
      <c r="E652" s="55"/>
      <c r="F652" s="55"/>
      <c r="G652" s="55"/>
      <c r="H652" s="181"/>
      <c r="I652" s="55"/>
      <c r="J652" s="55"/>
      <c r="K652" s="55"/>
      <c r="L652" s="55"/>
      <c r="M652" s="55"/>
      <c r="N652" s="55"/>
      <c r="O652" s="55"/>
      <c r="P652" s="55"/>
      <c r="Q652" s="55"/>
      <c r="R652" s="55"/>
      <c r="S652" s="55"/>
      <c r="T652" s="55"/>
      <c r="U652" s="55"/>
      <c r="V652" s="55"/>
      <c r="W652" s="55"/>
      <c r="X652" s="55"/>
      <c r="Y652" s="55"/>
      <c r="Z652" s="55"/>
      <c r="AA652" s="55"/>
      <c r="AB652" s="55"/>
      <c r="AC652" s="55"/>
    </row>
    <row r="653">
      <c r="A653" s="53"/>
      <c r="B653" s="53"/>
      <c r="C653" s="55"/>
      <c r="D653" s="55"/>
      <c r="E653" s="55"/>
      <c r="F653" s="55"/>
      <c r="G653" s="55"/>
      <c r="H653" s="181"/>
      <c r="I653" s="55"/>
      <c r="J653" s="55"/>
      <c r="K653" s="55"/>
      <c r="L653" s="55"/>
      <c r="M653" s="55"/>
      <c r="N653" s="55"/>
      <c r="O653" s="55"/>
      <c r="P653" s="55"/>
      <c r="Q653" s="55"/>
      <c r="R653" s="55"/>
      <c r="S653" s="55"/>
      <c r="T653" s="55"/>
      <c r="U653" s="55"/>
      <c r="V653" s="55"/>
      <c r="W653" s="55"/>
      <c r="X653" s="55"/>
      <c r="Y653" s="55"/>
      <c r="Z653" s="55"/>
      <c r="AA653" s="55"/>
      <c r="AB653" s="55"/>
      <c r="AC653" s="55"/>
    </row>
    <row r="654">
      <c r="A654" s="53"/>
      <c r="B654" s="53"/>
      <c r="C654" s="55"/>
      <c r="D654" s="55"/>
      <c r="E654" s="55"/>
      <c r="F654" s="55"/>
      <c r="G654" s="55"/>
      <c r="H654" s="181"/>
      <c r="I654" s="55"/>
      <c r="J654" s="55"/>
      <c r="K654" s="55"/>
      <c r="L654" s="55"/>
      <c r="M654" s="55"/>
      <c r="N654" s="55"/>
      <c r="O654" s="55"/>
      <c r="P654" s="55"/>
      <c r="Q654" s="55"/>
      <c r="R654" s="55"/>
      <c r="S654" s="55"/>
      <c r="T654" s="55"/>
      <c r="U654" s="55"/>
      <c r="V654" s="55"/>
      <c r="W654" s="55"/>
      <c r="X654" s="55"/>
      <c r="Y654" s="55"/>
      <c r="Z654" s="55"/>
      <c r="AA654" s="55"/>
      <c r="AB654" s="55"/>
      <c r="AC654" s="55"/>
    </row>
    <row r="655">
      <c r="A655" s="53"/>
      <c r="B655" s="53"/>
      <c r="C655" s="55"/>
      <c r="D655" s="55"/>
      <c r="E655" s="55"/>
      <c r="F655" s="55"/>
      <c r="G655" s="55"/>
      <c r="H655" s="181"/>
      <c r="I655" s="55"/>
      <c r="J655" s="55"/>
      <c r="K655" s="55"/>
      <c r="L655" s="55"/>
      <c r="M655" s="55"/>
      <c r="N655" s="55"/>
      <c r="O655" s="55"/>
      <c r="P655" s="55"/>
      <c r="Q655" s="55"/>
      <c r="R655" s="55"/>
      <c r="S655" s="55"/>
      <c r="T655" s="55"/>
      <c r="U655" s="55"/>
      <c r="V655" s="55"/>
      <c r="W655" s="55"/>
      <c r="X655" s="55"/>
      <c r="Y655" s="55"/>
      <c r="Z655" s="55"/>
      <c r="AA655" s="55"/>
      <c r="AB655" s="55"/>
      <c r="AC655" s="55"/>
    </row>
    <row r="656">
      <c r="A656" s="53"/>
      <c r="B656" s="53"/>
      <c r="C656" s="55"/>
      <c r="D656" s="55"/>
      <c r="E656" s="55"/>
      <c r="F656" s="55"/>
      <c r="G656" s="55"/>
      <c r="H656" s="181"/>
      <c r="I656" s="55"/>
      <c r="J656" s="55"/>
      <c r="K656" s="55"/>
      <c r="L656" s="55"/>
      <c r="M656" s="55"/>
      <c r="N656" s="55"/>
      <c r="O656" s="55"/>
      <c r="P656" s="55"/>
      <c r="Q656" s="55"/>
      <c r="R656" s="55"/>
      <c r="S656" s="55"/>
      <c r="T656" s="55"/>
      <c r="U656" s="55"/>
      <c r="V656" s="55"/>
      <c r="W656" s="55"/>
      <c r="X656" s="55"/>
      <c r="Y656" s="55"/>
      <c r="Z656" s="55"/>
      <c r="AA656" s="55"/>
      <c r="AB656" s="55"/>
      <c r="AC656" s="55"/>
    </row>
    <row r="657">
      <c r="A657" s="53"/>
      <c r="B657" s="53"/>
      <c r="C657" s="55"/>
      <c r="D657" s="55"/>
      <c r="E657" s="55"/>
      <c r="F657" s="55"/>
      <c r="G657" s="55"/>
      <c r="H657" s="181"/>
      <c r="I657" s="55"/>
      <c r="J657" s="55"/>
      <c r="K657" s="55"/>
      <c r="L657" s="55"/>
      <c r="M657" s="55"/>
      <c r="N657" s="55"/>
      <c r="O657" s="55"/>
      <c r="P657" s="55"/>
      <c r="Q657" s="55"/>
      <c r="R657" s="55"/>
      <c r="S657" s="55"/>
      <c r="T657" s="55"/>
      <c r="U657" s="55"/>
      <c r="V657" s="55"/>
      <c r="W657" s="55"/>
      <c r="X657" s="55"/>
      <c r="Y657" s="55"/>
      <c r="Z657" s="55"/>
      <c r="AA657" s="55"/>
      <c r="AB657" s="55"/>
      <c r="AC657" s="55"/>
    </row>
    <row r="658">
      <c r="A658" s="53"/>
      <c r="B658" s="53"/>
      <c r="C658" s="55"/>
      <c r="D658" s="55"/>
      <c r="E658" s="55"/>
      <c r="F658" s="55"/>
      <c r="G658" s="55"/>
      <c r="H658" s="181"/>
      <c r="I658" s="55"/>
      <c r="J658" s="55"/>
      <c r="K658" s="55"/>
      <c r="L658" s="55"/>
      <c r="M658" s="55"/>
      <c r="N658" s="55"/>
      <c r="O658" s="55"/>
      <c r="P658" s="55"/>
      <c r="Q658" s="55"/>
      <c r="R658" s="55"/>
      <c r="S658" s="55"/>
      <c r="T658" s="55"/>
      <c r="U658" s="55"/>
      <c r="V658" s="55"/>
      <c r="W658" s="55"/>
      <c r="X658" s="55"/>
      <c r="Y658" s="55"/>
      <c r="Z658" s="55"/>
      <c r="AA658" s="55"/>
      <c r="AB658" s="55"/>
      <c r="AC658" s="55"/>
    </row>
    <row r="659">
      <c r="A659" s="53"/>
      <c r="B659" s="53"/>
      <c r="C659" s="55"/>
      <c r="D659" s="55"/>
      <c r="E659" s="55"/>
      <c r="F659" s="55"/>
      <c r="G659" s="55"/>
      <c r="H659" s="181"/>
      <c r="I659" s="55"/>
      <c r="J659" s="55"/>
      <c r="K659" s="55"/>
      <c r="L659" s="55"/>
      <c r="M659" s="55"/>
      <c r="N659" s="55"/>
      <c r="O659" s="55"/>
      <c r="P659" s="55"/>
      <c r="Q659" s="55"/>
      <c r="R659" s="55"/>
      <c r="S659" s="55"/>
      <c r="T659" s="55"/>
      <c r="U659" s="55"/>
      <c r="V659" s="55"/>
      <c r="W659" s="55"/>
      <c r="X659" s="55"/>
      <c r="Y659" s="55"/>
      <c r="Z659" s="55"/>
      <c r="AA659" s="55"/>
      <c r="AB659" s="55"/>
      <c r="AC659" s="55"/>
    </row>
    <row r="660">
      <c r="A660" s="53"/>
      <c r="B660" s="53"/>
      <c r="C660" s="55"/>
      <c r="D660" s="55"/>
      <c r="E660" s="55"/>
      <c r="F660" s="55"/>
      <c r="G660" s="55"/>
      <c r="H660" s="181"/>
      <c r="I660" s="55"/>
      <c r="J660" s="55"/>
      <c r="K660" s="55"/>
      <c r="L660" s="55"/>
      <c r="M660" s="55"/>
      <c r="N660" s="55"/>
      <c r="O660" s="55"/>
      <c r="P660" s="55"/>
      <c r="Q660" s="55"/>
      <c r="R660" s="55"/>
      <c r="S660" s="55"/>
      <c r="T660" s="55"/>
      <c r="U660" s="55"/>
      <c r="V660" s="55"/>
      <c r="W660" s="55"/>
      <c r="X660" s="55"/>
      <c r="Y660" s="55"/>
      <c r="Z660" s="55"/>
      <c r="AA660" s="55"/>
      <c r="AB660" s="55"/>
      <c r="AC660" s="55"/>
    </row>
    <row r="661">
      <c r="A661" s="53"/>
      <c r="B661" s="53"/>
      <c r="C661" s="55"/>
      <c r="D661" s="55"/>
      <c r="E661" s="55"/>
      <c r="F661" s="55"/>
      <c r="G661" s="55"/>
      <c r="H661" s="181"/>
      <c r="I661" s="55"/>
      <c r="J661" s="55"/>
      <c r="K661" s="55"/>
      <c r="L661" s="55"/>
      <c r="M661" s="55"/>
      <c r="N661" s="55"/>
      <c r="O661" s="55"/>
      <c r="P661" s="55"/>
      <c r="Q661" s="55"/>
      <c r="R661" s="55"/>
      <c r="S661" s="55"/>
      <c r="T661" s="55"/>
      <c r="U661" s="55"/>
      <c r="V661" s="55"/>
      <c r="W661" s="55"/>
      <c r="X661" s="55"/>
      <c r="Y661" s="55"/>
      <c r="Z661" s="55"/>
      <c r="AA661" s="55"/>
      <c r="AB661" s="55"/>
      <c r="AC661" s="55"/>
    </row>
    <row r="662">
      <c r="A662" s="53"/>
      <c r="B662" s="53"/>
      <c r="C662" s="55"/>
      <c r="D662" s="55"/>
      <c r="E662" s="55"/>
      <c r="F662" s="55"/>
      <c r="G662" s="55"/>
      <c r="H662" s="181"/>
      <c r="I662" s="55"/>
      <c r="J662" s="55"/>
      <c r="K662" s="55"/>
      <c r="L662" s="55"/>
      <c r="M662" s="55"/>
      <c r="N662" s="55"/>
      <c r="O662" s="55"/>
      <c r="P662" s="55"/>
      <c r="Q662" s="55"/>
      <c r="R662" s="55"/>
      <c r="S662" s="55"/>
      <c r="T662" s="55"/>
      <c r="U662" s="55"/>
      <c r="V662" s="55"/>
      <c r="W662" s="55"/>
      <c r="X662" s="55"/>
      <c r="Y662" s="55"/>
      <c r="Z662" s="55"/>
      <c r="AA662" s="55"/>
      <c r="AB662" s="55"/>
      <c r="AC662" s="55"/>
    </row>
    <row r="663">
      <c r="A663" s="53"/>
      <c r="B663" s="53"/>
      <c r="C663" s="55"/>
      <c r="D663" s="55"/>
      <c r="E663" s="55"/>
      <c r="F663" s="55"/>
      <c r="G663" s="55"/>
      <c r="H663" s="181"/>
      <c r="I663" s="55"/>
      <c r="J663" s="55"/>
      <c r="K663" s="55"/>
      <c r="L663" s="55"/>
      <c r="M663" s="55"/>
      <c r="N663" s="55"/>
      <c r="O663" s="55"/>
      <c r="P663" s="55"/>
      <c r="Q663" s="55"/>
      <c r="R663" s="55"/>
      <c r="S663" s="55"/>
      <c r="T663" s="55"/>
      <c r="U663" s="55"/>
      <c r="V663" s="55"/>
      <c r="W663" s="55"/>
      <c r="X663" s="55"/>
      <c r="Y663" s="55"/>
      <c r="Z663" s="55"/>
      <c r="AA663" s="55"/>
      <c r="AB663" s="55"/>
      <c r="AC663" s="55"/>
    </row>
    <row r="664">
      <c r="A664" s="53"/>
      <c r="B664" s="53"/>
      <c r="C664" s="55"/>
      <c r="D664" s="55"/>
      <c r="E664" s="55"/>
      <c r="F664" s="55"/>
      <c r="G664" s="55"/>
      <c r="H664" s="181"/>
      <c r="I664" s="55"/>
      <c r="J664" s="55"/>
      <c r="K664" s="55"/>
      <c r="L664" s="55"/>
      <c r="M664" s="55"/>
      <c r="N664" s="55"/>
      <c r="O664" s="55"/>
      <c r="P664" s="55"/>
      <c r="Q664" s="55"/>
      <c r="R664" s="55"/>
      <c r="S664" s="55"/>
      <c r="T664" s="55"/>
      <c r="U664" s="55"/>
      <c r="V664" s="55"/>
      <c r="W664" s="55"/>
      <c r="X664" s="55"/>
      <c r="Y664" s="55"/>
      <c r="Z664" s="55"/>
      <c r="AA664" s="55"/>
      <c r="AB664" s="55"/>
      <c r="AC664" s="55"/>
    </row>
    <row r="665">
      <c r="A665" s="53"/>
      <c r="B665" s="53"/>
      <c r="C665" s="55"/>
      <c r="D665" s="55"/>
      <c r="E665" s="55"/>
      <c r="F665" s="55"/>
      <c r="G665" s="55"/>
      <c r="H665" s="181"/>
      <c r="I665" s="55"/>
      <c r="J665" s="55"/>
      <c r="K665" s="55"/>
      <c r="L665" s="55"/>
      <c r="M665" s="55"/>
      <c r="N665" s="55"/>
      <c r="O665" s="55"/>
      <c r="P665" s="55"/>
      <c r="Q665" s="55"/>
      <c r="R665" s="55"/>
      <c r="S665" s="55"/>
      <c r="T665" s="55"/>
      <c r="U665" s="55"/>
      <c r="V665" s="55"/>
      <c r="W665" s="55"/>
      <c r="X665" s="55"/>
      <c r="Y665" s="55"/>
      <c r="Z665" s="55"/>
      <c r="AA665" s="55"/>
      <c r="AB665" s="55"/>
      <c r="AC665" s="55"/>
    </row>
    <row r="666">
      <c r="A666" s="53"/>
      <c r="B666" s="53"/>
      <c r="C666" s="55"/>
      <c r="D666" s="55"/>
      <c r="E666" s="55"/>
      <c r="F666" s="55"/>
      <c r="G666" s="55"/>
      <c r="H666" s="181"/>
      <c r="I666" s="55"/>
      <c r="J666" s="55"/>
      <c r="K666" s="55"/>
      <c r="L666" s="55"/>
      <c r="M666" s="55"/>
      <c r="N666" s="55"/>
      <c r="O666" s="55"/>
      <c r="P666" s="55"/>
      <c r="Q666" s="55"/>
      <c r="R666" s="55"/>
      <c r="S666" s="55"/>
      <c r="T666" s="55"/>
      <c r="U666" s="55"/>
      <c r="V666" s="55"/>
      <c r="W666" s="55"/>
      <c r="X666" s="55"/>
      <c r="Y666" s="55"/>
      <c r="Z666" s="55"/>
      <c r="AA666" s="55"/>
      <c r="AB666" s="55"/>
      <c r="AC666" s="55"/>
    </row>
    <row r="667">
      <c r="A667" s="53"/>
      <c r="B667" s="53"/>
      <c r="C667" s="55"/>
      <c r="D667" s="55"/>
      <c r="E667" s="55"/>
      <c r="F667" s="55"/>
      <c r="G667" s="55"/>
      <c r="H667" s="181"/>
      <c r="I667" s="55"/>
      <c r="J667" s="55"/>
      <c r="K667" s="55"/>
      <c r="L667" s="55"/>
      <c r="M667" s="55"/>
      <c r="N667" s="55"/>
      <c r="O667" s="55"/>
      <c r="P667" s="55"/>
      <c r="Q667" s="55"/>
      <c r="R667" s="55"/>
      <c r="S667" s="55"/>
      <c r="T667" s="55"/>
      <c r="U667" s="55"/>
      <c r="V667" s="55"/>
      <c r="W667" s="55"/>
      <c r="X667" s="55"/>
      <c r="Y667" s="55"/>
      <c r="Z667" s="55"/>
      <c r="AA667" s="55"/>
      <c r="AB667" s="55"/>
      <c r="AC667" s="55"/>
    </row>
    <row r="668">
      <c r="A668" s="53"/>
      <c r="B668" s="53"/>
      <c r="C668" s="55"/>
      <c r="D668" s="55"/>
      <c r="E668" s="55"/>
      <c r="F668" s="55"/>
      <c r="G668" s="55"/>
      <c r="H668" s="181"/>
      <c r="I668" s="55"/>
      <c r="J668" s="55"/>
      <c r="K668" s="55"/>
      <c r="L668" s="55"/>
      <c r="M668" s="55"/>
      <c r="N668" s="55"/>
      <c r="O668" s="55"/>
      <c r="P668" s="55"/>
      <c r="Q668" s="55"/>
      <c r="R668" s="55"/>
      <c r="S668" s="55"/>
      <c r="T668" s="55"/>
      <c r="U668" s="55"/>
      <c r="V668" s="55"/>
      <c r="W668" s="55"/>
      <c r="X668" s="55"/>
      <c r="Y668" s="55"/>
      <c r="Z668" s="55"/>
      <c r="AA668" s="55"/>
      <c r="AB668" s="55"/>
      <c r="AC668" s="55"/>
    </row>
    <row r="669">
      <c r="A669" s="53"/>
      <c r="B669" s="53"/>
      <c r="C669" s="55"/>
      <c r="D669" s="55"/>
      <c r="E669" s="55"/>
      <c r="F669" s="55"/>
      <c r="G669" s="55"/>
      <c r="H669" s="181"/>
      <c r="I669" s="55"/>
      <c r="J669" s="55"/>
      <c r="K669" s="55"/>
      <c r="L669" s="55"/>
      <c r="M669" s="55"/>
      <c r="N669" s="55"/>
      <c r="O669" s="55"/>
      <c r="P669" s="55"/>
      <c r="Q669" s="55"/>
      <c r="R669" s="55"/>
      <c r="S669" s="55"/>
      <c r="T669" s="55"/>
      <c r="U669" s="55"/>
      <c r="V669" s="55"/>
      <c r="W669" s="55"/>
      <c r="X669" s="55"/>
      <c r="Y669" s="55"/>
      <c r="Z669" s="55"/>
      <c r="AA669" s="55"/>
      <c r="AB669" s="55"/>
      <c r="AC669" s="55"/>
    </row>
    <row r="670">
      <c r="A670" s="53"/>
      <c r="B670" s="53"/>
      <c r="C670" s="55"/>
      <c r="D670" s="55"/>
      <c r="E670" s="55"/>
      <c r="F670" s="55"/>
      <c r="G670" s="55"/>
      <c r="H670" s="181"/>
      <c r="I670" s="55"/>
      <c r="J670" s="55"/>
      <c r="K670" s="55"/>
      <c r="L670" s="55"/>
      <c r="M670" s="55"/>
      <c r="N670" s="55"/>
      <c r="O670" s="55"/>
      <c r="P670" s="55"/>
      <c r="Q670" s="55"/>
      <c r="R670" s="55"/>
      <c r="S670" s="55"/>
      <c r="T670" s="55"/>
      <c r="U670" s="55"/>
      <c r="V670" s="55"/>
      <c r="W670" s="55"/>
      <c r="X670" s="55"/>
      <c r="Y670" s="55"/>
      <c r="Z670" s="55"/>
      <c r="AA670" s="55"/>
      <c r="AB670" s="55"/>
      <c r="AC670" s="55"/>
    </row>
    <row r="671">
      <c r="A671" s="53"/>
      <c r="B671" s="53"/>
      <c r="C671" s="55"/>
      <c r="D671" s="55"/>
      <c r="E671" s="55"/>
      <c r="F671" s="55"/>
      <c r="G671" s="55"/>
      <c r="H671" s="181"/>
      <c r="I671" s="55"/>
      <c r="J671" s="55"/>
      <c r="K671" s="55"/>
      <c r="L671" s="55"/>
      <c r="M671" s="55"/>
      <c r="N671" s="55"/>
      <c r="O671" s="55"/>
      <c r="P671" s="55"/>
      <c r="Q671" s="55"/>
      <c r="R671" s="55"/>
      <c r="S671" s="55"/>
      <c r="T671" s="55"/>
      <c r="U671" s="55"/>
      <c r="V671" s="55"/>
      <c r="W671" s="55"/>
      <c r="X671" s="55"/>
      <c r="Y671" s="55"/>
      <c r="Z671" s="55"/>
      <c r="AA671" s="55"/>
      <c r="AB671" s="55"/>
      <c r="AC671" s="55"/>
    </row>
    <row r="672">
      <c r="A672" s="53"/>
      <c r="B672" s="53"/>
      <c r="C672" s="55"/>
      <c r="D672" s="55"/>
      <c r="E672" s="55"/>
      <c r="F672" s="55"/>
      <c r="G672" s="55"/>
      <c r="H672" s="181"/>
      <c r="I672" s="55"/>
      <c r="J672" s="55"/>
      <c r="K672" s="55"/>
      <c r="L672" s="55"/>
      <c r="M672" s="55"/>
      <c r="N672" s="55"/>
      <c r="O672" s="55"/>
      <c r="P672" s="55"/>
      <c r="Q672" s="55"/>
      <c r="R672" s="55"/>
      <c r="S672" s="55"/>
      <c r="T672" s="55"/>
      <c r="U672" s="55"/>
      <c r="V672" s="55"/>
      <c r="W672" s="55"/>
      <c r="X672" s="55"/>
      <c r="Y672" s="55"/>
      <c r="Z672" s="55"/>
      <c r="AA672" s="55"/>
      <c r="AB672" s="55"/>
      <c r="AC672" s="55"/>
    </row>
    <row r="673">
      <c r="A673" s="53"/>
      <c r="B673" s="53"/>
      <c r="C673" s="55"/>
      <c r="D673" s="55"/>
      <c r="E673" s="55"/>
      <c r="F673" s="55"/>
      <c r="G673" s="55"/>
      <c r="H673" s="181"/>
      <c r="I673" s="55"/>
      <c r="J673" s="55"/>
      <c r="K673" s="55"/>
      <c r="L673" s="55"/>
      <c r="M673" s="55"/>
      <c r="N673" s="55"/>
      <c r="O673" s="55"/>
      <c r="P673" s="55"/>
      <c r="Q673" s="55"/>
      <c r="R673" s="55"/>
      <c r="S673" s="55"/>
      <c r="T673" s="55"/>
      <c r="U673" s="55"/>
      <c r="V673" s="55"/>
      <c r="W673" s="55"/>
      <c r="X673" s="55"/>
      <c r="Y673" s="55"/>
      <c r="Z673" s="55"/>
      <c r="AA673" s="55"/>
      <c r="AB673" s="55"/>
      <c r="AC673" s="55"/>
    </row>
    <row r="674">
      <c r="A674" s="53"/>
      <c r="B674" s="53"/>
      <c r="C674" s="55"/>
      <c r="D674" s="55"/>
      <c r="E674" s="55"/>
      <c r="F674" s="55"/>
      <c r="G674" s="55"/>
      <c r="H674" s="181"/>
      <c r="I674" s="55"/>
      <c r="J674" s="55"/>
      <c r="K674" s="55"/>
      <c r="L674" s="55"/>
      <c r="M674" s="55"/>
      <c r="N674" s="55"/>
      <c r="O674" s="55"/>
      <c r="P674" s="55"/>
      <c r="Q674" s="55"/>
      <c r="R674" s="55"/>
      <c r="S674" s="55"/>
      <c r="T674" s="55"/>
      <c r="U674" s="55"/>
      <c r="V674" s="55"/>
      <c r="W674" s="55"/>
      <c r="X674" s="55"/>
      <c r="Y674" s="55"/>
      <c r="Z674" s="55"/>
      <c r="AA674" s="55"/>
      <c r="AB674" s="55"/>
      <c r="AC674" s="55"/>
    </row>
    <row r="675">
      <c r="A675" s="53"/>
      <c r="B675" s="53"/>
      <c r="C675" s="55"/>
      <c r="D675" s="55"/>
      <c r="E675" s="55"/>
      <c r="F675" s="55"/>
      <c r="G675" s="55"/>
      <c r="H675" s="181"/>
      <c r="I675" s="55"/>
      <c r="J675" s="55"/>
      <c r="K675" s="55"/>
      <c r="L675" s="55"/>
      <c r="M675" s="55"/>
      <c r="N675" s="55"/>
      <c r="O675" s="55"/>
      <c r="P675" s="55"/>
      <c r="Q675" s="55"/>
      <c r="R675" s="55"/>
      <c r="S675" s="55"/>
      <c r="T675" s="55"/>
      <c r="U675" s="55"/>
      <c r="V675" s="55"/>
      <c r="W675" s="55"/>
      <c r="X675" s="55"/>
      <c r="Y675" s="55"/>
      <c r="Z675" s="55"/>
      <c r="AA675" s="55"/>
      <c r="AB675" s="55"/>
      <c r="AC675" s="55"/>
    </row>
    <row r="676">
      <c r="A676" s="53"/>
      <c r="B676" s="53"/>
      <c r="C676" s="55"/>
      <c r="D676" s="55"/>
      <c r="E676" s="55"/>
      <c r="F676" s="55"/>
      <c r="G676" s="55"/>
      <c r="H676" s="181"/>
      <c r="I676" s="55"/>
      <c r="J676" s="55"/>
      <c r="K676" s="55"/>
      <c r="L676" s="55"/>
      <c r="M676" s="55"/>
      <c r="N676" s="55"/>
      <c r="O676" s="55"/>
      <c r="P676" s="55"/>
      <c r="Q676" s="55"/>
      <c r="R676" s="55"/>
      <c r="S676" s="55"/>
      <c r="T676" s="55"/>
      <c r="U676" s="55"/>
      <c r="V676" s="55"/>
      <c r="W676" s="55"/>
      <c r="X676" s="55"/>
      <c r="Y676" s="55"/>
      <c r="Z676" s="55"/>
      <c r="AA676" s="55"/>
      <c r="AB676" s="55"/>
      <c r="AC676" s="55"/>
    </row>
    <row r="677">
      <c r="A677" s="53"/>
      <c r="B677" s="53"/>
      <c r="C677" s="55"/>
      <c r="D677" s="55"/>
      <c r="E677" s="55"/>
      <c r="F677" s="55"/>
      <c r="G677" s="55"/>
      <c r="H677" s="181"/>
      <c r="I677" s="55"/>
      <c r="J677" s="55"/>
      <c r="K677" s="55"/>
      <c r="L677" s="55"/>
      <c r="M677" s="55"/>
      <c r="N677" s="55"/>
      <c r="O677" s="55"/>
      <c r="P677" s="55"/>
      <c r="Q677" s="55"/>
      <c r="R677" s="55"/>
      <c r="S677" s="55"/>
      <c r="T677" s="55"/>
      <c r="U677" s="55"/>
      <c r="V677" s="55"/>
      <c r="W677" s="55"/>
      <c r="X677" s="55"/>
      <c r="Y677" s="55"/>
      <c r="Z677" s="55"/>
      <c r="AA677" s="55"/>
      <c r="AB677" s="55"/>
      <c r="AC677" s="55"/>
    </row>
    <row r="678">
      <c r="A678" s="53"/>
      <c r="B678" s="53"/>
      <c r="C678" s="55"/>
      <c r="D678" s="55"/>
      <c r="E678" s="55"/>
      <c r="F678" s="55"/>
      <c r="G678" s="55"/>
      <c r="H678" s="181"/>
      <c r="I678" s="55"/>
      <c r="J678" s="55"/>
      <c r="K678" s="55"/>
      <c r="L678" s="55"/>
      <c r="M678" s="55"/>
      <c r="N678" s="55"/>
      <c r="O678" s="55"/>
      <c r="P678" s="55"/>
      <c r="Q678" s="55"/>
      <c r="R678" s="55"/>
      <c r="S678" s="55"/>
      <c r="T678" s="55"/>
      <c r="U678" s="55"/>
      <c r="V678" s="55"/>
      <c r="W678" s="55"/>
      <c r="X678" s="55"/>
      <c r="Y678" s="55"/>
      <c r="Z678" s="55"/>
      <c r="AA678" s="55"/>
      <c r="AB678" s="55"/>
      <c r="AC678" s="55"/>
    </row>
    <row r="679">
      <c r="A679" s="53"/>
      <c r="B679" s="53"/>
      <c r="C679" s="55"/>
      <c r="D679" s="55"/>
      <c r="E679" s="55"/>
      <c r="F679" s="55"/>
      <c r="G679" s="55"/>
      <c r="H679" s="181"/>
      <c r="I679" s="55"/>
      <c r="J679" s="55"/>
      <c r="K679" s="55"/>
      <c r="L679" s="55"/>
      <c r="M679" s="55"/>
      <c r="N679" s="55"/>
      <c r="O679" s="55"/>
      <c r="P679" s="55"/>
      <c r="Q679" s="55"/>
      <c r="R679" s="55"/>
      <c r="S679" s="55"/>
      <c r="T679" s="55"/>
      <c r="U679" s="55"/>
      <c r="V679" s="55"/>
      <c r="W679" s="55"/>
      <c r="X679" s="55"/>
      <c r="Y679" s="55"/>
      <c r="Z679" s="55"/>
      <c r="AA679" s="55"/>
      <c r="AB679" s="55"/>
      <c r="AC679" s="55"/>
    </row>
    <row r="680">
      <c r="A680" s="53"/>
      <c r="B680" s="53"/>
      <c r="C680" s="55"/>
      <c r="D680" s="55"/>
      <c r="E680" s="55"/>
      <c r="F680" s="55"/>
      <c r="G680" s="55"/>
      <c r="H680" s="181"/>
      <c r="I680" s="55"/>
      <c r="J680" s="55"/>
      <c r="K680" s="55"/>
      <c r="L680" s="55"/>
      <c r="M680" s="55"/>
      <c r="N680" s="55"/>
      <c r="O680" s="55"/>
      <c r="P680" s="55"/>
      <c r="Q680" s="55"/>
      <c r="R680" s="55"/>
      <c r="S680" s="55"/>
      <c r="T680" s="55"/>
      <c r="U680" s="55"/>
      <c r="V680" s="55"/>
      <c r="W680" s="55"/>
      <c r="X680" s="55"/>
      <c r="Y680" s="55"/>
      <c r="Z680" s="55"/>
      <c r="AA680" s="55"/>
      <c r="AB680" s="55"/>
      <c r="AC680" s="55"/>
    </row>
    <row r="681">
      <c r="A681" s="53"/>
      <c r="B681" s="53"/>
      <c r="C681" s="55"/>
      <c r="D681" s="55"/>
      <c r="E681" s="55"/>
      <c r="F681" s="55"/>
      <c r="G681" s="55"/>
      <c r="H681" s="181"/>
      <c r="I681" s="55"/>
      <c r="J681" s="55"/>
      <c r="K681" s="55"/>
      <c r="L681" s="55"/>
      <c r="M681" s="55"/>
      <c r="N681" s="55"/>
      <c r="O681" s="55"/>
      <c r="P681" s="55"/>
      <c r="Q681" s="55"/>
      <c r="R681" s="55"/>
      <c r="S681" s="55"/>
      <c r="T681" s="55"/>
      <c r="U681" s="55"/>
      <c r="V681" s="55"/>
      <c r="W681" s="55"/>
      <c r="X681" s="55"/>
      <c r="Y681" s="55"/>
      <c r="Z681" s="55"/>
      <c r="AA681" s="55"/>
      <c r="AB681" s="55"/>
      <c r="AC681" s="55"/>
    </row>
    <row r="682">
      <c r="A682" s="53"/>
      <c r="B682" s="53"/>
      <c r="C682" s="55"/>
      <c r="D682" s="55"/>
      <c r="E682" s="55"/>
      <c r="F682" s="55"/>
      <c r="G682" s="55"/>
      <c r="H682" s="181"/>
      <c r="I682" s="55"/>
      <c r="J682" s="55"/>
      <c r="K682" s="55"/>
      <c r="L682" s="55"/>
      <c r="M682" s="55"/>
      <c r="N682" s="55"/>
      <c r="O682" s="55"/>
      <c r="P682" s="55"/>
      <c r="Q682" s="55"/>
      <c r="R682" s="55"/>
      <c r="S682" s="55"/>
      <c r="T682" s="55"/>
      <c r="U682" s="55"/>
      <c r="V682" s="55"/>
      <c r="W682" s="55"/>
      <c r="X682" s="55"/>
      <c r="Y682" s="55"/>
      <c r="Z682" s="55"/>
      <c r="AA682" s="55"/>
      <c r="AB682" s="55"/>
      <c r="AC682" s="55"/>
    </row>
    <row r="683">
      <c r="A683" s="53"/>
      <c r="B683" s="53"/>
      <c r="C683" s="55"/>
      <c r="D683" s="55"/>
      <c r="E683" s="55"/>
      <c r="F683" s="55"/>
      <c r="G683" s="55"/>
      <c r="H683" s="181"/>
      <c r="I683" s="55"/>
      <c r="J683" s="55"/>
      <c r="K683" s="55"/>
      <c r="L683" s="55"/>
      <c r="M683" s="55"/>
      <c r="N683" s="55"/>
      <c r="O683" s="55"/>
      <c r="P683" s="55"/>
      <c r="Q683" s="55"/>
      <c r="R683" s="55"/>
      <c r="S683" s="55"/>
      <c r="T683" s="55"/>
      <c r="U683" s="55"/>
      <c r="V683" s="55"/>
      <c r="W683" s="55"/>
      <c r="X683" s="55"/>
      <c r="Y683" s="55"/>
      <c r="Z683" s="55"/>
      <c r="AA683" s="55"/>
      <c r="AB683" s="55"/>
      <c r="AC683" s="55"/>
    </row>
    <row r="684">
      <c r="A684" s="53"/>
      <c r="B684" s="53"/>
      <c r="C684" s="55"/>
      <c r="D684" s="55"/>
      <c r="E684" s="55"/>
      <c r="F684" s="55"/>
      <c r="G684" s="55"/>
      <c r="H684" s="181"/>
      <c r="I684" s="55"/>
      <c r="J684" s="55"/>
      <c r="K684" s="55"/>
      <c r="L684" s="55"/>
      <c r="M684" s="55"/>
      <c r="N684" s="55"/>
      <c r="O684" s="55"/>
      <c r="P684" s="55"/>
      <c r="Q684" s="55"/>
      <c r="R684" s="55"/>
      <c r="S684" s="55"/>
      <c r="T684" s="55"/>
      <c r="U684" s="55"/>
      <c r="V684" s="55"/>
      <c r="W684" s="55"/>
      <c r="X684" s="55"/>
      <c r="Y684" s="55"/>
      <c r="Z684" s="55"/>
      <c r="AA684" s="55"/>
      <c r="AB684" s="55"/>
      <c r="AC684" s="55"/>
    </row>
    <row r="685">
      <c r="A685" s="53"/>
      <c r="B685" s="53"/>
      <c r="C685" s="55"/>
      <c r="D685" s="55"/>
      <c r="E685" s="55"/>
      <c r="F685" s="55"/>
      <c r="G685" s="55"/>
      <c r="H685" s="181"/>
      <c r="I685" s="55"/>
      <c r="J685" s="55"/>
      <c r="K685" s="55"/>
      <c r="L685" s="55"/>
      <c r="M685" s="55"/>
      <c r="N685" s="55"/>
      <c r="O685" s="55"/>
      <c r="P685" s="55"/>
      <c r="Q685" s="55"/>
      <c r="R685" s="55"/>
      <c r="S685" s="55"/>
      <c r="T685" s="55"/>
      <c r="U685" s="55"/>
      <c r="V685" s="55"/>
      <c r="W685" s="55"/>
      <c r="X685" s="55"/>
      <c r="Y685" s="55"/>
      <c r="Z685" s="55"/>
      <c r="AA685" s="55"/>
      <c r="AB685" s="55"/>
      <c r="AC685" s="55"/>
    </row>
    <row r="686">
      <c r="A686" s="53"/>
      <c r="B686" s="53"/>
      <c r="C686" s="55"/>
      <c r="D686" s="55"/>
      <c r="E686" s="55"/>
      <c r="F686" s="55"/>
      <c r="G686" s="55"/>
      <c r="H686" s="181"/>
      <c r="I686" s="55"/>
      <c r="J686" s="55"/>
      <c r="K686" s="55"/>
      <c r="L686" s="55"/>
      <c r="M686" s="55"/>
      <c r="N686" s="55"/>
      <c r="O686" s="55"/>
      <c r="P686" s="55"/>
      <c r="Q686" s="55"/>
      <c r="R686" s="55"/>
      <c r="S686" s="55"/>
      <c r="T686" s="55"/>
      <c r="U686" s="55"/>
      <c r="V686" s="55"/>
      <c r="W686" s="55"/>
      <c r="X686" s="55"/>
      <c r="Y686" s="55"/>
      <c r="Z686" s="55"/>
      <c r="AA686" s="55"/>
      <c r="AB686" s="55"/>
      <c r="AC686" s="55"/>
    </row>
    <row r="687">
      <c r="A687" s="53"/>
      <c r="B687" s="53"/>
      <c r="C687" s="55"/>
      <c r="D687" s="55"/>
      <c r="E687" s="55"/>
      <c r="F687" s="55"/>
      <c r="G687" s="55"/>
      <c r="H687" s="181"/>
      <c r="I687" s="55"/>
      <c r="J687" s="55"/>
      <c r="K687" s="55"/>
      <c r="L687" s="55"/>
      <c r="M687" s="55"/>
      <c r="N687" s="55"/>
      <c r="O687" s="55"/>
      <c r="P687" s="55"/>
      <c r="Q687" s="55"/>
      <c r="R687" s="55"/>
      <c r="S687" s="55"/>
      <c r="T687" s="55"/>
      <c r="U687" s="55"/>
      <c r="V687" s="55"/>
      <c r="W687" s="55"/>
      <c r="X687" s="55"/>
      <c r="Y687" s="55"/>
      <c r="Z687" s="55"/>
      <c r="AA687" s="55"/>
      <c r="AB687" s="55"/>
      <c r="AC687" s="55"/>
    </row>
    <row r="688">
      <c r="A688" s="53"/>
      <c r="B688" s="53"/>
      <c r="C688" s="55"/>
      <c r="D688" s="55"/>
      <c r="E688" s="55"/>
      <c r="F688" s="55"/>
      <c r="G688" s="55"/>
      <c r="H688" s="181"/>
      <c r="I688" s="55"/>
      <c r="J688" s="55"/>
      <c r="K688" s="55"/>
      <c r="L688" s="55"/>
      <c r="M688" s="55"/>
      <c r="N688" s="55"/>
      <c r="O688" s="55"/>
      <c r="P688" s="55"/>
      <c r="Q688" s="55"/>
      <c r="R688" s="55"/>
      <c r="S688" s="55"/>
      <c r="T688" s="55"/>
      <c r="U688" s="55"/>
      <c r="V688" s="55"/>
      <c r="W688" s="55"/>
      <c r="X688" s="55"/>
      <c r="Y688" s="55"/>
      <c r="Z688" s="55"/>
      <c r="AA688" s="55"/>
      <c r="AB688" s="55"/>
      <c r="AC688" s="55"/>
    </row>
    <row r="689">
      <c r="A689" s="53"/>
      <c r="B689" s="53"/>
      <c r="C689" s="55"/>
      <c r="D689" s="55"/>
      <c r="E689" s="55"/>
      <c r="F689" s="55"/>
      <c r="G689" s="55"/>
      <c r="H689" s="181"/>
      <c r="I689" s="55"/>
      <c r="J689" s="55"/>
      <c r="K689" s="55"/>
      <c r="L689" s="55"/>
      <c r="M689" s="55"/>
      <c r="N689" s="55"/>
      <c r="O689" s="55"/>
      <c r="P689" s="55"/>
      <c r="Q689" s="55"/>
      <c r="R689" s="55"/>
      <c r="S689" s="55"/>
      <c r="T689" s="55"/>
      <c r="U689" s="55"/>
      <c r="V689" s="55"/>
      <c r="W689" s="55"/>
      <c r="X689" s="55"/>
      <c r="Y689" s="55"/>
      <c r="Z689" s="55"/>
      <c r="AA689" s="55"/>
      <c r="AB689" s="55"/>
      <c r="AC689" s="55"/>
    </row>
    <row r="690">
      <c r="A690" s="53"/>
      <c r="B690" s="53"/>
      <c r="C690" s="55"/>
      <c r="D690" s="55"/>
      <c r="E690" s="55"/>
      <c r="F690" s="55"/>
      <c r="G690" s="55"/>
      <c r="H690" s="181"/>
      <c r="I690" s="55"/>
      <c r="J690" s="55"/>
      <c r="K690" s="55"/>
      <c r="L690" s="55"/>
      <c r="M690" s="55"/>
      <c r="N690" s="55"/>
      <c r="O690" s="55"/>
      <c r="P690" s="55"/>
      <c r="Q690" s="55"/>
      <c r="R690" s="55"/>
      <c r="S690" s="55"/>
      <c r="T690" s="55"/>
      <c r="U690" s="55"/>
      <c r="V690" s="55"/>
      <c r="W690" s="55"/>
      <c r="X690" s="55"/>
      <c r="Y690" s="55"/>
      <c r="Z690" s="55"/>
      <c r="AA690" s="55"/>
      <c r="AB690" s="55"/>
      <c r="AC690" s="55"/>
    </row>
    <row r="691">
      <c r="A691" s="53"/>
      <c r="B691" s="53"/>
      <c r="C691" s="55"/>
      <c r="D691" s="55"/>
      <c r="E691" s="55"/>
      <c r="F691" s="55"/>
      <c r="G691" s="55"/>
      <c r="H691" s="181"/>
      <c r="I691" s="55"/>
      <c r="J691" s="55"/>
      <c r="K691" s="55"/>
      <c r="L691" s="55"/>
      <c r="M691" s="55"/>
      <c r="N691" s="55"/>
      <c r="O691" s="55"/>
      <c r="P691" s="55"/>
      <c r="Q691" s="55"/>
      <c r="R691" s="55"/>
      <c r="S691" s="55"/>
      <c r="T691" s="55"/>
      <c r="U691" s="55"/>
      <c r="V691" s="55"/>
      <c r="W691" s="55"/>
      <c r="X691" s="55"/>
      <c r="Y691" s="55"/>
      <c r="Z691" s="55"/>
      <c r="AA691" s="55"/>
      <c r="AB691" s="55"/>
      <c r="AC691" s="55"/>
    </row>
    <row r="692">
      <c r="A692" s="53"/>
      <c r="B692" s="53"/>
      <c r="C692" s="55"/>
      <c r="D692" s="55"/>
      <c r="E692" s="55"/>
      <c r="F692" s="55"/>
      <c r="G692" s="55"/>
      <c r="H692" s="181"/>
      <c r="I692" s="55"/>
      <c r="J692" s="55"/>
      <c r="K692" s="55"/>
      <c r="L692" s="55"/>
      <c r="M692" s="55"/>
      <c r="N692" s="55"/>
      <c r="O692" s="55"/>
      <c r="P692" s="55"/>
      <c r="Q692" s="55"/>
      <c r="R692" s="55"/>
      <c r="S692" s="55"/>
      <c r="T692" s="55"/>
      <c r="U692" s="55"/>
      <c r="V692" s="55"/>
      <c r="W692" s="55"/>
      <c r="X692" s="55"/>
      <c r="Y692" s="55"/>
      <c r="Z692" s="55"/>
      <c r="AA692" s="55"/>
      <c r="AB692" s="55"/>
      <c r="AC692" s="55"/>
    </row>
    <row r="693">
      <c r="A693" s="53"/>
      <c r="B693" s="53"/>
      <c r="C693" s="55"/>
      <c r="D693" s="55"/>
      <c r="E693" s="55"/>
      <c r="F693" s="55"/>
      <c r="G693" s="55"/>
      <c r="H693" s="181"/>
      <c r="I693" s="55"/>
      <c r="J693" s="55"/>
      <c r="K693" s="55"/>
      <c r="L693" s="55"/>
      <c r="M693" s="55"/>
      <c r="N693" s="55"/>
      <c r="O693" s="55"/>
      <c r="P693" s="55"/>
      <c r="Q693" s="55"/>
      <c r="R693" s="55"/>
      <c r="S693" s="55"/>
      <c r="T693" s="55"/>
      <c r="U693" s="55"/>
      <c r="V693" s="55"/>
      <c r="W693" s="55"/>
      <c r="X693" s="55"/>
      <c r="Y693" s="55"/>
      <c r="Z693" s="55"/>
      <c r="AA693" s="55"/>
      <c r="AB693" s="55"/>
      <c r="AC693" s="55"/>
    </row>
    <row r="694">
      <c r="A694" s="53"/>
      <c r="B694" s="53"/>
      <c r="C694" s="55"/>
      <c r="D694" s="55"/>
      <c r="E694" s="55"/>
      <c r="F694" s="55"/>
      <c r="G694" s="55"/>
      <c r="H694" s="181"/>
      <c r="I694" s="55"/>
      <c r="J694" s="55"/>
      <c r="K694" s="55"/>
      <c r="L694" s="55"/>
      <c r="M694" s="55"/>
      <c r="N694" s="55"/>
      <c r="O694" s="55"/>
      <c r="P694" s="55"/>
      <c r="Q694" s="55"/>
      <c r="R694" s="55"/>
      <c r="S694" s="55"/>
      <c r="T694" s="55"/>
      <c r="U694" s="55"/>
      <c r="V694" s="55"/>
      <c r="W694" s="55"/>
      <c r="X694" s="55"/>
      <c r="Y694" s="55"/>
      <c r="Z694" s="55"/>
      <c r="AA694" s="55"/>
      <c r="AB694" s="55"/>
      <c r="AC694" s="55"/>
    </row>
    <row r="695">
      <c r="A695" s="53"/>
      <c r="B695" s="53"/>
      <c r="C695" s="55"/>
      <c r="D695" s="55"/>
      <c r="E695" s="55"/>
      <c r="F695" s="55"/>
      <c r="G695" s="55"/>
      <c r="H695" s="181"/>
      <c r="I695" s="55"/>
      <c r="J695" s="55"/>
      <c r="K695" s="55"/>
      <c r="L695" s="55"/>
      <c r="M695" s="55"/>
      <c r="N695" s="55"/>
      <c r="O695" s="55"/>
      <c r="P695" s="55"/>
      <c r="Q695" s="55"/>
      <c r="R695" s="55"/>
      <c r="S695" s="55"/>
      <c r="T695" s="55"/>
      <c r="U695" s="55"/>
      <c r="V695" s="55"/>
      <c r="W695" s="55"/>
      <c r="X695" s="55"/>
      <c r="Y695" s="55"/>
      <c r="Z695" s="55"/>
      <c r="AA695" s="55"/>
      <c r="AB695" s="55"/>
      <c r="AC695" s="55"/>
    </row>
    <row r="696">
      <c r="A696" s="53"/>
      <c r="B696" s="53"/>
      <c r="C696" s="55"/>
      <c r="D696" s="55"/>
      <c r="E696" s="55"/>
      <c r="F696" s="55"/>
      <c r="G696" s="55"/>
      <c r="H696" s="181"/>
      <c r="I696" s="55"/>
      <c r="J696" s="55"/>
      <c r="K696" s="55"/>
      <c r="L696" s="55"/>
      <c r="M696" s="55"/>
      <c r="N696" s="55"/>
      <c r="O696" s="55"/>
      <c r="P696" s="55"/>
      <c r="Q696" s="55"/>
      <c r="R696" s="55"/>
      <c r="S696" s="55"/>
      <c r="T696" s="55"/>
      <c r="U696" s="55"/>
      <c r="V696" s="55"/>
      <c r="W696" s="55"/>
      <c r="X696" s="55"/>
      <c r="Y696" s="55"/>
      <c r="Z696" s="55"/>
      <c r="AA696" s="55"/>
      <c r="AB696" s="55"/>
      <c r="AC696" s="55"/>
    </row>
    <row r="697">
      <c r="A697" s="53"/>
      <c r="B697" s="53"/>
      <c r="C697" s="55"/>
      <c r="D697" s="55"/>
      <c r="E697" s="55"/>
      <c r="F697" s="55"/>
      <c r="G697" s="55"/>
      <c r="H697" s="181"/>
      <c r="I697" s="55"/>
      <c r="J697" s="55"/>
      <c r="K697" s="55"/>
      <c r="L697" s="55"/>
      <c r="M697" s="55"/>
      <c r="N697" s="55"/>
      <c r="O697" s="55"/>
      <c r="P697" s="55"/>
      <c r="Q697" s="55"/>
      <c r="R697" s="55"/>
      <c r="S697" s="55"/>
      <c r="T697" s="55"/>
      <c r="U697" s="55"/>
      <c r="V697" s="55"/>
      <c r="W697" s="55"/>
      <c r="X697" s="55"/>
      <c r="Y697" s="55"/>
      <c r="Z697" s="55"/>
      <c r="AA697" s="55"/>
      <c r="AB697" s="55"/>
      <c r="AC697" s="55"/>
    </row>
    <row r="698">
      <c r="A698" s="53"/>
      <c r="B698" s="53"/>
      <c r="C698" s="55"/>
      <c r="D698" s="55"/>
      <c r="E698" s="55"/>
      <c r="F698" s="55"/>
      <c r="G698" s="55"/>
      <c r="H698" s="181"/>
      <c r="I698" s="55"/>
      <c r="J698" s="55"/>
      <c r="K698" s="55"/>
      <c r="L698" s="55"/>
      <c r="M698" s="55"/>
      <c r="N698" s="55"/>
      <c r="O698" s="55"/>
      <c r="P698" s="55"/>
      <c r="Q698" s="55"/>
      <c r="R698" s="55"/>
      <c r="S698" s="55"/>
      <c r="T698" s="55"/>
      <c r="U698" s="55"/>
      <c r="V698" s="55"/>
      <c r="W698" s="55"/>
      <c r="X698" s="55"/>
      <c r="Y698" s="55"/>
      <c r="Z698" s="55"/>
      <c r="AA698" s="55"/>
      <c r="AB698" s="55"/>
      <c r="AC698" s="55"/>
    </row>
    <row r="699">
      <c r="A699" s="53"/>
      <c r="B699" s="53"/>
      <c r="C699" s="55"/>
      <c r="D699" s="55"/>
      <c r="E699" s="55"/>
      <c r="F699" s="55"/>
      <c r="G699" s="55"/>
      <c r="H699" s="181"/>
      <c r="I699" s="55"/>
      <c r="J699" s="55"/>
      <c r="K699" s="55"/>
      <c r="L699" s="55"/>
      <c r="M699" s="55"/>
      <c r="N699" s="55"/>
      <c r="O699" s="55"/>
      <c r="P699" s="55"/>
      <c r="Q699" s="55"/>
      <c r="R699" s="55"/>
      <c r="S699" s="55"/>
      <c r="T699" s="55"/>
      <c r="U699" s="55"/>
      <c r="V699" s="55"/>
      <c r="W699" s="55"/>
      <c r="X699" s="55"/>
      <c r="Y699" s="55"/>
      <c r="Z699" s="55"/>
      <c r="AA699" s="55"/>
      <c r="AB699" s="55"/>
      <c r="AC699" s="55"/>
    </row>
    <row r="700">
      <c r="A700" s="53"/>
      <c r="B700" s="53"/>
      <c r="C700" s="55"/>
      <c r="D700" s="55"/>
      <c r="E700" s="55"/>
      <c r="F700" s="55"/>
      <c r="G700" s="55"/>
      <c r="H700" s="181"/>
      <c r="I700" s="55"/>
      <c r="J700" s="55"/>
      <c r="K700" s="55"/>
      <c r="L700" s="55"/>
      <c r="M700" s="55"/>
      <c r="N700" s="55"/>
      <c r="O700" s="55"/>
      <c r="P700" s="55"/>
      <c r="Q700" s="55"/>
      <c r="R700" s="55"/>
      <c r="S700" s="55"/>
      <c r="T700" s="55"/>
      <c r="U700" s="55"/>
      <c r="V700" s="55"/>
      <c r="W700" s="55"/>
      <c r="X700" s="55"/>
      <c r="Y700" s="55"/>
      <c r="Z700" s="55"/>
      <c r="AA700" s="55"/>
      <c r="AB700" s="55"/>
      <c r="AC700" s="55"/>
    </row>
    <row r="701">
      <c r="A701" s="53"/>
      <c r="B701" s="53"/>
      <c r="C701" s="55"/>
      <c r="D701" s="55"/>
      <c r="E701" s="55"/>
      <c r="F701" s="55"/>
      <c r="G701" s="55"/>
      <c r="H701" s="181"/>
      <c r="I701" s="55"/>
      <c r="J701" s="55"/>
      <c r="K701" s="55"/>
      <c r="L701" s="55"/>
      <c r="M701" s="55"/>
      <c r="N701" s="55"/>
      <c r="O701" s="55"/>
      <c r="P701" s="55"/>
      <c r="Q701" s="55"/>
      <c r="R701" s="55"/>
      <c r="S701" s="55"/>
      <c r="T701" s="55"/>
      <c r="U701" s="55"/>
      <c r="V701" s="55"/>
      <c r="W701" s="55"/>
      <c r="X701" s="55"/>
      <c r="Y701" s="55"/>
      <c r="Z701" s="55"/>
      <c r="AA701" s="55"/>
      <c r="AB701" s="55"/>
      <c r="AC701" s="55"/>
    </row>
    <row r="702">
      <c r="A702" s="53"/>
      <c r="B702" s="53"/>
      <c r="C702" s="55"/>
      <c r="D702" s="55"/>
      <c r="E702" s="55"/>
      <c r="F702" s="55"/>
      <c r="G702" s="55"/>
      <c r="H702" s="181"/>
      <c r="I702" s="55"/>
      <c r="J702" s="55"/>
      <c r="K702" s="55"/>
      <c r="L702" s="55"/>
      <c r="M702" s="55"/>
      <c r="N702" s="55"/>
      <c r="O702" s="55"/>
      <c r="P702" s="55"/>
      <c r="Q702" s="55"/>
      <c r="R702" s="55"/>
      <c r="S702" s="55"/>
      <c r="T702" s="55"/>
      <c r="U702" s="55"/>
      <c r="V702" s="55"/>
      <c r="W702" s="55"/>
      <c r="X702" s="55"/>
      <c r="Y702" s="55"/>
      <c r="Z702" s="55"/>
      <c r="AA702" s="55"/>
      <c r="AB702" s="55"/>
      <c r="AC702" s="55"/>
    </row>
    <row r="703">
      <c r="A703" s="53"/>
      <c r="B703" s="53"/>
      <c r="C703" s="55"/>
      <c r="D703" s="55"/>
      <c r="E703" s="55"/>
      <c r="F703" s="55"/>
      <c r="G703" s="55"/>
      <c r="H703" s="181"/>
      <c r="I703" s="55"/>
      <c r="J703" s="55"/>
      <c r="K703" s="55"/>
      <c r="L703" s="55"/>
      <c r="M703" s="55"/>
      <c r="N703" s="55"/>
      <c r="O703" s="55"/>
      <c r="P703" s="55"/>
      <c r="Q703" s="55"/>
      <c r="R703" s="55"/>
      <c r="S703" s="55"/>
      <c r="T703" s="55"/>
      <c r="U703" s="55"/>
      <c r="V703" s="55"/>
      <c r="W703" s="55"/>
      <c r="X703" s="55"/>
      <c r="Y703" s="55"/>
      <c r="Z703" s="55"/>
      <c r="AA703" s="55"/>
      <c r="AB703" s="55"/>
      <c r="AC703" s="55"/>
    </row>
    <row r="704">
      <c r="A704" s="53"/>
      <c r="B704" s="53"/>
      <c r="C704" s="55"/>
      <c r="D704" s="55"/>
      <c r="E704" s="55"/>
      <c r="F704" s="55"/>
      <c r="G704" s="55"/>
      <c r="H704" s="181"/>
      <c r="I704" s="55"/>
      <c r="J704" s="55"/>
      <c r="K704" s="55"/>
      <c r="L704" s="55"/>
      <c r="M704" s="55"/>
      <c r="N704" s="55"/>
      <c r="O704" s="55"/>
      <c r="P704" s="55"/>
      <c r="Q704" s="55"/>
      <c r="R704" s="55"/>
      <c r="S704" s="55"/>
      <c r="T704" s="55"/>
      <c r="U704" s="55"/>
      <c r="V704" s="55"/>
      <c r="W704" s="55"/>
      <c r="X704" s="55"/>
      <c r="Y704" s="55"/>
      <c r="Z704" s="55"/>
      <c r="AA704" s="55"/>
      <c r="AB704" s="55"/>
      <c r="AC704" s="55"/>
    </row>
    <row r="705">
      <c r="A705" s="53"/>
      <c r="B705" s="53"/>
      <c r="C705" s="55"/>
      <c r="D705" s="55"/>
      <c r="E705" s="55"/>
      <c r="F705" s="55"/>
      <c r="G705" s="55"/>
      <c r="H705" s="181"/>
      <c r="I705" s="55"/>
      <c r="J705" s="55"/>
      <c r="K705" s="55"/>
      <c r="L705" s="55"/>
      <c r="M705" s="55"/>
      <c r="N705" s="55"/>
      <c r="O705" s="55"/>
      <c r="P705" s="55"/>
      <c r="Q705" s="55"/>
      <c r="R705" s="55"/>
      <c r="S705" s="55"/>
      <c r="T705" s="55"/>
      <c r="U705" s="55"/>
      <c r="V705" s="55"/>
      <c r="W705" s="55"/>
      <c r="X705" s="55"/>
      <c r="Y705" s="55"/>
      <c r="Z705" s="55"/>
      <c r="AA705" s="55"/>
      <c r="AB705" s="55"/>
      <c r="AC705" s="55"/>
    </row>
    <row r="706">
      <c r="A706" s="53"/>
      <c r="B706" s="53"/>
      <c r="C706" s="55"/>
      <c r="D706" s="55"/>
      <c r="E706" s="55"/>
      <c r="F706" s="55"/>
      <c r="G706" s="55"/>
      <c r="H706" s="181"/>
      <c r="I706" s="55"/>
      <c r="J706" s="55"/>
      <c r="K706" s="55"/>
      <c r="L706" s="55"/>
      <c r="M706" s="55"/>
      <c r="N706" s="55"/>
      <c r="O706" s="55"/>
      <c r="P706" s="55"/>
      <c r="Q706" s="55"/>
      <c r="R706" s="55"/>
      <c r="S706" s="55"/>
      <c r="T706" s="55"/>
      <c r="U706" s="55"/>
      <c r="V706" s="55"/>
      <c r="W706" s="55"/>
      <c r="X706" s="55"/>
      <c r="Y706" s="55"/>
      <c r="Z706" s="55"/>
      <c r="AA706" s="55"/>
      <c r="AB706" s="55"/>
      <c r="AC706" s="55"/>
    </row>
    <row r="707">
      <c r="A707" s="53"/>
      <c r="B707" s="53"/>
      <c r="C707" s="55"/>
      <c r="D707" s="55"/>
      <c r="E707" s="55"/>
      <c r="F707" s="55"/>
      <c r="G707" s="55"/>
      <c r="H707" s="181"/>
      <c r="I707" s="55"/>
      <c r="J707" s="55"/>
      <c r="K707" s="55"/>
      <c r="L707" s="55"/>
      <c r="M707" s="55"/>
      <c r="N707" s="55"/>
      <c r="O707" s="55"/>
      <c r="P707" s="55"/>
      <c r="Q707" s="55"/>
      <c r="R707" s="55"/>
      <c r="S707" s="55"/>
      <c r="T707" s="55"/>
      <c r="U707" s="55"/>
      <c r="V707" s="55"/>
      <c r="W707" s="55"/>
      <c r="X707" s="55"/>
      <c r="Y707" s="55"/>
      <c r="Z707" s="55"/>
      <c r="AA707" s="55"/>
      <c r="AB707" s="55"/>
      <c r="AC707" s="55"/>
    </row>
    <row r="708">
      <c r="A708" s="53"/>
      <c r="B708" s="53"/>
      <c r="C708" s="55"/>
      <c r="D708" s="55"/>
      <c r="E708" s="55"/>
      <c r="F708" s="55"/>
      <c r="G708" s="55"/>
      <c r="H708" s="181"/>
      <c r="I708" s="55"/>
      <c r="J708" s="55"/>
      <c r="K708" s="55"/>
      <c r="L708" s="55"/>
      <c r="M708" s="55"/>
      <c r="N708" s="55"/>
      <c r="O708" s="55"/>
      <c r="P708" s="55"/>
      <c r="Q708" s="55"/>
      <c r="R708" s="55"/>
      <c r="S708" s="55"/>
      <c r="T708" s="55"/>
      <c r="U708" s="55"/>
      <c r="V708" s="55"/>
      <c r="W708" s="55"/>
      <c r="X708" s="55"/>
      <c r="Y708" s="55"/>
      <c r="Z708" s="55"/>
      <c r="AA708" s="55"/>
      <c r="AB708" s="55"/>
      <c r="AC708" s="55"/>
    </row>
    <row r="709">
      <c r="A709" s="53"/>
      <c r="B709" s="53"/>
      <c r="C709" s="55"/>
      <c r="D709" s="55"/>
      <c r="E709" s="55"/>
      <c r="F709" s="55"/>
      <c r="G709" s="55"/>
      <c r="H709" s="181"/>
      <c r="I709" s="55"/>
      <c r="J709" s="55"/>
      <c r="K709" s="55"/>
      <c r="L709" s="55"/>
      <c r="M709" s="55"/>
      <c r="N709" s="55"/>
      <c r="O709" s="55"/>
      <c r="P709" s="55"/>
      <c r="Q709" s="55"/>
      <c r="R709" s="55"/>
      <c r="S709" s="55"/>
      <c r="T709" s="55"/>
      <c r="U709" s="55"/>
      <c r="V709" s="55"/>
      <c r="W709" s="55"/>
      <c r="X709" s="55"/>
      <c r="Y709" s="55"/>
      <c r="Z709" s="55"/>
      <c r="AA709" s="55"/>
      <c r="AB709" s="55"/>
      <c r="AC709" s="55"/>
    </row>
    <row r="710">
      <c r="A710" s="53"/>
      <c r="B710" s="53"/>
      <c r="C710" s="55"/>
      <c r="D710" s="55"/>
      <c r="E710" s="55"/>
      <c r="F710" s="55"/>
      <c r="G710" s="55"/>
      <c r="H710" s="181"/>
      <c r="I710" s="55"/>
      <c r="J710" s="55"/>
      <c r="K710" s="55"/>
      <c r="L710" s="55"/>
      <c r="M710" s="55"/>
      <c r="N710" s="55"/>
      <c r="O710" s="55"/>
      <c r="P710" s="55"/>
      <c r="Q710" s="55"/>
      <c r="R710" s="55"/>
      <c r="S710" s="55"/>
      <c r="T710" s="55"/>
      <c r="U710" s="55"/>
      <c r="V710" s="55"/>
      <c r="W710" s="55"/>
      <c r="X710" s="55"/>
      <c r="Y710" s="55"/>
      <c r="Z710" s="55"/>
      <c r="AA710" s="55"/>
      <c r="AB710" s="55"/>
      <c r="AC710" s="55"/>
    </row>
    <row r="711">
      <c r="A711" s="53"/>
      <c r="B711" s="53"/>
      <c r="C711" s="55"/>
      <c r="D711" s="55"/>
      <c r="E711" s="55"/>
      <c r="F711" s="55"/>
      <c r="G711" s="55"/>
      <c r="H711" s="181"/>
      <c r="I711" s="55"/>
      <c r="J711" s="55"/>
      <c r="K711" s="55"/>
      <c r="L711" s="55"/>
      <c r="M711" s="55"/>
      <c r="N711" s="55"/>
      <c r="O711" s="55"/>
      <c r="P711" s="55"/>
      <c r="Q711" s="55"/>
      <c r="R711" s="55"/>
      <c r="S711" s="55"/>
      <c r="T711" s="55"/>
      <c r="U711" s="55"/>
      <c r="V711" s="55"/>
      <c r="W711" s="55"/>
      <c r="X711" s="55"/>
      <c r="Y711" s="55"/>
      <c r="Z711" s="55"/>
      <c r="AA711" s="55"/>
      <c r="AB711" s="55"/>
      <c r="AC711" s="55"/>
    </row>
    <row r="712">
      <c r="A712" s="53"/>
      <c r="B712" s="53"/>
      <c r="C712" s="55"/>
      <c r="D712" s="55"/>
      <c r="E712" s="55"/>
      <c r="F712" s="55"/>
      <c r="G712" s="55"/>
      <c r="H712" s="181"/>
      <c r="I712" s="55"/>
      <c r="J712" s="55"/>
      <c r="K712" s="55"/>
      <c r="L712" s="55"/>
      <c r="M712" s="55"/>
      <c r="N712" s="55"/>
      <c r="O712" s="55"/>
      <c r="P712" s="55"/>
      <c r="Q712" s="55"/>
      <c r="R712" s="55"/>
      <c r="S712" s="55"/>
      <c r="T712" s="55"/>
      <c r="U712" s="55"/>
      <c r="V712" s="55"/>
      <c r="W712" s="55"/>
      <c r="X712" s="55"/>
      <c r="Y712" s="55"/>
      <c r="Z712" s="55"/>
      <c r="AA712" s="55"/>
      <c r="AB712" s="55"/>
      <c r="AC712" s="55"/>
    </row>
    <row r="713">
      <c r="A713" s="53"/>
      <c r="B713" s="53"/>
      <c r="C713" s="55"/>
      <c r="D713" s="55"/>
      <c r="E713" s="55"/>
      <c r="F713" s="55"/>
      <c r="G713" s="55"/>
      <c r="H713" s="181"/>
      <c r="I713" s="55"/>
      <c r="J713" s="55"/>
      <c r="K713" s="55"/>
      <c r="L713" s="55"/>
      <c r="M713" s="55"/>
      <c r="N713" s="55"/>
      <c r="O713" s="55"/>
      <c r="P713" s="55"/>
      <c r="Q713" s="55"/>
      <c r="R713" s="55"/>
      <c r="S713" s="55"/>
      <c r="T713" s="55"/>
      <c r="U713" s="55"/>
      <c r="V713" s="55"/>
      <c r="W713" s="55"/>
      <c r="X713" s="55"/>
      <c r="Y713" s="55"/>
      <c r="Z713" s="55"/>
      <c r="AA713" s="55"/>
      <c r="AB713" s="55"/>
      <c r="AC713" s="55"/>
    </row>
    <row r="714">
      <c r="A714" s="53"/>
      <c r="B714" s="53"/>
      <c r="C714" s="55"/>
      <c r="D714" s="55"/>
      <c r="E714" s="55"/>
      <c r="F714" s="55"/>
      <c r="G714" s="55"/>
      <c r="H714" s="181"/>
      <c r="I714" s="55"/>
      <c r="J714" s="55"/>
      <c r="K714" s="55"/>
      <c r="L714" s="55"/>
      <c r="M714" s="55"/>
      <c r="N714" s="55"/>
      <c r="O714" s="55"/>
      <c r="P714" s="55"/>
      <c r="Q714" s="55"/>
      <c r="R714" s="55"/>
      <c r="S714" s="55"/>
      <c r="T714" s="55"/>
      <c r="U714" s="55"/>
      <c r="V714" s="55"/>
      <c r="W714" s="55"/>
      <c r="X714" s="55"/>
      <c r="Y714" s="55"/>
      <c r="Z714" s="55"/>
      <c r="AA714" s="55"/>
      <c r="AB714" s="55"/>
      <c r="AC714" s="55"/>
    </row>
    <row r="715">
      <c r="A715" s="53"/>
      <c r="B715" s="53"/>
      <c r="C715" s="55"/>
      <c r="D715" s="55"/>
      <c r="E715" s="55"/>
      <c r="F715" s="55"/>
      <c r="G715" s="55"/>
      <c r="H715" s="181"/>
      <c r="I715" s="55"/>
      <c r="J715" s="55"/>
      <c r="K715" s="55"/>
      <c r="L715" s="55"/>
      <c r="M715" s="55"/>
      <c r="N715" s="55"/>
      <c r="O715" s="55"/>
      <c r="P715" s="55"/>
      <c r="Q715" s="55"/>
      <c r="R715" s="55"/>
      <c r="S715" s="55"/>
      <c r="T715" s="55"/>
      <c r="U715" s="55"/>
      <c r="V715" s="55"/>
      <c r="W715" s="55"/>
      <c r="X715" s="55"/>
      <c r="Y715" s="55"/>
      <c r="Z715" s="55"/>
      <c r="AA715" s="55"/>
      <c r="AB715" s="55"/>
      <c r="AC715" s="55"/>
    </row>
    <row r="716">
      <c r="A716" s="53"/>
      <c r="B716" s="53"/>
      <c r="C716" s="55"/>
      <c r="D716" s="55"/>
      <c r="E716" s="55"/>
      <c r="F716" s="55"/>
      <c r="G716" s="55"/>
      <c r="H716" s="181"/>
      <c r="I716" s="55"/>
      <c r="J716" s="55"/>
      <c r="K716" s="55"/>
      <c r="L716" s="55"/>
      <c r="M716" s="55"/>
      <c r="N716" s="55"/>
      <c r="O716" s="55"/>
      <c r="P716" s="55"/>
      <c r="Q716" s="55"/>
      <c r="R716" s="55"/>
      <c r="S716" s="55"/>
      <c r="T716" s="55"/>
      <c r="U716" s="55"/>
      <c r="V716" s="55"/>
      <c r="W716" s="55"/>
      <c r="X716" s="55"/>
      <c r="Y716" s="55"/>
      <c r="Z716" s="55"/>
      <c r="AA716" s="55"/>
      <c r="AB716" s="55"/>
      <c r="AC716" s="55"/>
    </row>
    <row r="717">
      <c r="A717" s="53"/>
      <c r="B717" s="53"/>
      <c r="C717" s="55"/>
      <c r="D717" s="55"/>
      <c r="E717" s="55"/>
      <c r="F717" s="55"/>
      <c r="G717" s="55"/>
      <c r="H717" s="181"/>
      <c r="I717" s="55"/>
      <c r="J717" s="55"/>
      <c r="K717" s="55"/>
      <c r="L717" s="55"/>
      <c r="M717" s="55"/>
      <c r="N717" s="55"/>
      <c r="O717" s="55"/>
      <c r="P717" s="55"/>
      <c r="Q717" s="55"/>
      <c r="R717" s="55"/>
      <c r="S717" s="55"/>
      <c r="T717" s="55"/>
      <c r="U717" s="55"/>
      <c r="V717" s="55"/>
      <c r="W717" s="55"/>
      <c r="X717" s="55"/>
      <c r="Y717" s="55"/>
      <c r="Z717" s="55"/>
      <c r="AA717" s="55"/>
      <c r="AB717" s="55"/>
      <c r="AC717" s="55"/>
    </row>
    <row r="718">
      <c r="A718" s="53"/>
      <c r="B718" s="53"/>
      <c r="C718" s="55"/>
      <c r="D718" s="55"/>
      <c r="E718" s="55"/>
      <c r="F718" s="55"/>
      <c r="G718" s="55"/>
      <c r="H718" s="181"/>
      <c r="I718" s="55"/>
      <c r="J718" s="55"/>
      <c r="K718" s="55"/>
      <c r="L718" s="55"/>
      <c r="M718" s="55"/>
      <c r="N718" s="55"/>
      <c r="O718" s="55"/>
      <c r="P718" s="55"/>
      <c r="Q718" s="55"/>
      <c r="R718" s="55"/>
      <c r="S718" s="55"/>
      <c r="T718" s="55"/>
      <c r="U718" s="55"/>
      <c r="V718" s="55"/>
      <c r="W718" s="55"/>
      <c r="X718" s="55"/>
      <c r="Y718" s="55"/>
      <c r="Z718" s="55"/>
      <c r="AA718" s="55"/>
      <c r="AB718" s="55"/>
      <c r="AC718" s="55"/>
    </row>
    <row r="719">
      <c r="A719" s="53"/>
      <c r="B719" s="53"/>
      <c r="C719" s="55"/>
      <c r="D719" s="55"/>
      <c r="E719" s="55"/>
      <c r="F719" s="55"/>
      <c r="G719" s="55"/>
      <c r="H719" s="181"/>
      <c r="I719" s="55"/>
      <c r="J719" s="55"/>
      <c r="K719" s="55"/>
      <c r="L719" s="55"/>
      <c r="M719" s="55"/>
      <c r="N719" s="55"/>
      <c r="O719" s="55"/>
      <c r="P719" s="55"/>
      <c r="Q719" s="55"/>
      <c r="R719" s="55"/>
      <c r="S719" s="55"/>
      <c r="T719" s="55"/>
      <c r="U719" s="55"/>
      <c r="V719" s="55"/>
      <c r="W719" s="55"/>
      <c r="X719" s="55"/>
      <c r="Y719" s="55"/>
      <c r="Z719" s="55"/>
      <c r="AA719" s="55"/>
      <c r="AB719" s="55"/>
      <c r="AC719" s="55"/>
    </row>
    <row r="720">
      <c r="A720" s="53"/>
      <c r="B720" s="53"/>
      <c r="C720" s="55"/>
      <c r="D720" s="55"/>
      <c r="E720" s="55"/>
      <c r="F720" s="55"/>
      <c r="G720" s="55"/>
      <c r="H720" s="181"/>
      <c r="I720" s="55"/>
      <c r="J720" s="55"/>
      <c r="K720" s="55"/>
      <c r="L720" s="55"/>
      <c r="M720" s="55"/>
      <c r="N720" s="55"/>
      <c r="O720" s="55"/>
      <c r="P720" s="55"/>
      <c r="Q720" s="55"/>
      <c r="R720" s="55"/>
      <c r="S720" s="55"/>
      <c r="T720" s="55"/>
      <c r="U720" s="55"/>
      <c r="V720" s="55"/>
      <c r="W720" s="55"/>
      <c r="X720" s="55"/>
      <c r="Y720" s="55"/>
      <c r="Z720" s="55"/>
      <c r="AA720" s="55"/>
      <c r="AB720" s="55"/>
      <c r="AC720" s="55"/>
    </row>
    <row r="721">
      <c r="A721" s="53"/>
      <c r="B721" s="53"/>
      <c r="C721" s="55"/>
      <c r="D721" s="55"/>
      <c r="E721" s="55"/>
      <c r="F721" s="55"/>
      <c r="G721" s="55"/>
      <c r="H721" s="181"/>
      <c r="I721" s="55"/>
      <c r="J721" s="55"/>
      <c r="K721" s="55"/>
      <c r="L721" s="55"/>
      <c r="M721" s="55"/>
      <c r="N721" s="55"/>
      <c r="O721" s="55"/>
      <c r="P721" s="55"/>
      <c r="Q721" s="55"/>
      <c r="R721" s="55"/>
      <c r="S721" s="55"/>
      <c r="T721" s="55"/>
      <c r="U721" s="55"/>
      <c r="V721" s="55"/>
      <c r="W721" s="55"/>
      <c r="X721" s="55"/>
      <c r="Y721" s="55"/>
      <c r="Z721" s="55"/>
      <c r="AA721" s="55"/>
      <c r="AB721" s="55"/>
      <c r="AC721" s="55"/>
    </row>
    <row r="722">
      <c r="A722" s="53"/>
      <c r="B722" s="53"/>
      <c r="C722" s="55"/>
      <c r="D722" s="55"/>
      <c r="E722" s="55"/>
      <c r="F722" s="55"/>
      <c r="G722" s="55"/>
      <c r="H722" s="181"/>
      <c r="I722" s="55"/>
      <c r="J722" s="55"/>
      <c r="K722" s="55"/>
      <c r="L722" s="55"/>
      <c r="M722" s="55"/>
      <c r="N722" s="55"/>
      <c r="O722" s="55"/>
      <c r="P722" s="55"/>
      <c r="Q722" s="55"/>
      <c r="R722" s="55"/>
      <c r="S722" s="55"/>
      <c r="T722" s="55"/>
      <c r="U722" s="55"/>
      <c r="V722" s="55"/>
      <c r="W722" s="55"/>
      <c r="X722" s="55"/>
      <c r="Y722" s="55"/>
      <c r="Z722" s="55"/>
      <c r="AA722" s="55"/>
      <c r="AB722" s="55"/>
      <c r="AC722" s="55"/>
    </row>
    <row r="723">
      <c r="A723" s="53"/>
      <c r="B723" s="53"/>
      <c r="C723" s="55"/>
      <c r="D723" s="55"/>
      <c r="E723" s="55"/>
      <c r="F723" s="55"/>
      <c r="G723" s="55"/>
      <c r="H723" s="181"/>
      <c r="I723" s="55"/>
      <c r="J723" s="55"/>
      <c r="K723" s="55"/>
      <c r="L723" s="55"/>
      <c r="M723" s="55"/>
      <c r="N723" s="55"/>
      <c r="O723" s="55"/>
      <c r="P723" s="55"/>
      <c r="Q723" s="55"/>
      <c r="R723" s="55"/>
      <c r="S723" s="55"/>
      <c r="T723" s="55"/>
      <c r="U723" s="55"/>
      <c r="V723" s="55"/>
      <c r="W723" s="55"/>
      <c r="X723" s="55"/>
      <c r="Y723" s="55"/>
      <c r="Z723" s="55"/>
      <c r="AA723" s="55"/>
      <c r="AB723" s="55"/>
      <c r="AC723" s="55"/>
    </row>
    <row r="724">
      <c r="A724" s="53"/>
      <c r="B724" s="53"/>
      <c r="C724" s="55"/>
      <c r="D724" s="55"/>
      <c r="E724" s="55"/>
      <c r="F724" s="55"/>
      <c r="G724" s="55"/>
      <c r="H724" s="181"/>
      <c r="I724" s="55"/>
      <c r="J724" s="55"/>
      <c r="K724" s="55"/>
      <c r="L724" s="55"/>
      <c r="M724" s="55"/>
      <c r="N724" s="55"/>
      <c r="O724" s="55"/>
      <c r="P724" s="55"/>
      <c r="Q724" s="55"/>
      <c r="R724" s="55"/>
      <c r="S724" s="55"/>
      <c r="T724" s="55"/>
      <c r="U724" s="55"/>
      <c r="V724" s="55"/>
      <c r="W724" s="55"/>
      <c r="X724" s="55"/>
      <c r="Y724" s="55"/>
      <c r="Z724" s="55"/>
      <c r="AA724" s="55"/>
      <c r="AB724" s="55"/>
      <c r="AC724" s="55"/>
    </row>
    <row r="725">
      <c r="A725" s="53"/>
      <c r="B725" s="53"/>
      <c r="C725" s="55"/>
      <c r="D725" s="55"/>
      <c r="E725" s="55"/>
      <c r="F725" s="55"/>
      <c r="G725" s="55"/>
      <c r="H725" s="181"/>
      <c r="I725" s="55"/>
      <c r="J725" s="55"/>
      <c r="K725" s="55"/>
      <c r="L725" s="55"/>
      <c r="M725" s="55"/>
      <c r="N725" s="55"/>
      <c r="O725" s="55"/>
      <c r="P725" s="55"/>
      <c r="Q725" s="55"/>
      <c r="R725" s="55"/>
      <c r="S725" s="55"/>
      <c r="T725" s="55"/>
      <c r="U725" s="55"/>
      <c r="V725" s="55"/>
      <c r="W725" s="55"/>
      <c r="X725" s="55"/>
      <c r="Y725" s="55"/>
      <c r="Z725" s="55"/>
      <c r="AA725" s="55"/>
      <c r="AB725" s="55"/>
      <c r="AC725" s="55"/>
    </row>
    <row r="726">
      <c r="A726" s="53"/>
      <c r="B726" s="53"/>
      <c r="C726" s="55"/>
      <c r="D726" s="55"/>
      <c r="E726" s="55"/>
      <c r="F726" s="55"/>
      <c r="G726" s="55"/>
      <c r="H726" s="181"/>
      <c r="I726" s="55"/>
      <c r="J726" s="55"/>
      <c r="K726" s="55"/>
      <c r="L726" s="55"/>
      <c r="M726" s="55"/>
      <c r="N726" s="55"/>
      <c r="O726" s="55"/>
      <c r="P726" s="55"/>
      <c r="Q726" s="55"/>
      <c r="R726" s="55"/>
      <c r="S726" s="55"/>
      <c r="T726" s="55"/>
      <c r="U726" s="55"/>
      <c r="V726" s="55"/>
      <c r="W726" s="55"/>
      <c r="X726" s="55"/>
      <c r="Y726" s="55"/>
      <c r="Z726" s="55"/>
      <c r="AA726" s="55"/>
      <c r="AB726" s="55"/>
      <c r="AC726" s="55"/>
    </row>
    <row r="727">
      <c r="A727" s="53"/>
      <c r="B727" s="53"/>
      <c r="C727" s="55"/>
      <c r="D727" s="55"/>
      <c r="E727" s="55"/>
      <c r="F727" s="55"/>
      <c r="G727" s="55"/>
      <c r="H727" s="181"/>
      <c r="I727" s="55"/>
      <c r="J727" s="55"/>
      <c r="K727" s="55"/>
      <c r="L727" s="55"/>
      <c r="M727" s="55"/>
      <c r="N727" s="55"/>
      <c r="O727" s="55"/>
      <c r="P727" s="55"/>
      <c r="Q727" s="55"/>
      <c r="R727" s="55"/>
      <c r="S727" s="55"/>
      <c r="T727" s="55"/>
      <c r="U727" s="55"/>
      <c r="V727" s="55"/>
      <c r="W727" s="55"/>
      <c r="X727" s="55"/>
      <c r="Y727" s="55"/>
      <c r="Z727" s="55"/>
      <c r="AA727" s="55"/>
      <c r="AB727" s="55"/>
      <c r="AC727" s="55"/>
    </row>
    <row r="728">
      <c r="A728" s="53"/>
      <c r="B728" s="53"/>
      <c r="C728" s="55"/>
      <c r="D728" s="55"/>
      <c r="E728" s="55"/>
      <c r="F728" s="55"/>
      <c r="G728" s="55"/>
      <c r="H728" s="181"/>
      <c r="I728" s="55"/>
      <c r="J728" s="55"/>
      <c r="K728" s="55"/>
      <c r="L728" s="55"/>
      <c r="M728" s="55"/>
      <c r="N728" s="55"/>
      <c r="O728" s="55"/>
      <c r="P728" s="55"/>
      <c r="Q728" s="55"/>
      <c r="R728" s="55"/>
      <c r="S728" s="55"/>
      <c r="T728" s="55"/>
      <c r="U728" s="55"/>
      <c r="V728" s="55"/>
      <c r="W728" s="55"/>
      <c r="X728" s="55"/>
      <c r="Y728" s="55"/>
      <c r="Z728" s="55"/>
      <c r="AA728" s="55"/>
      <c r="AB728" s="55"/>
      <c r="AC728" s="55"/>
    </row>
    <row r="729">
      <c r="A729" s="53"/>
      <c r="B729" s="53"/>
      <c r="C729" s="55"/>
      <c r="D729" s="55"/>
      <c r="E729" s="55"/>
      <c r="F729" s="55"/>
      <c r="G729" s="55"/>
      <c r="H729" s="181"/>
      <c r="I729" s="55"/>
      <c r="J729" s="55"/>
      <c r="K729" s="55"/>
      <c r="L729" s="55"/>
      <c r="M729" s="55"/>
      <c r="N729" s="55"/>
      <c r="O729" s="55"/>
      <c r="P729" s="55"/>
      <c r="Q729" s="55"/>
      <c r="R729" s="55"/>
      <c r="S729" s="55"/>
      <c r="T729" s="55"/>
      <c r="U729" s="55"/>
      <c r="V729" s="55"/>
      <c r="W729" s="55"/>
      <c r="X729" s="55"/>
      <c r="Y729" s="55"/>
      <c r="Z729" s="55"/>
      <c r="AA729" s="55"/>
      <c r="AB729" s="55"/>
      <c r="AC729" s="55"/>
    </row>
    <row r="730">
      <c r="A730" s="53"/>
      <c r="B730" s="53"/>
      <c r="C730" s="55"/>
      <c r="D730" s="55"/>
      <c r="E730" s="55"/>
      <c r="F730" s="55"/>
      <c r="G730" s="55"/>
      <c r="H730" s="181"/>
      <c r="I730" s="55"/>
      <c r="J730" s="55"/>
      <c r="K730" s="55"/>
      <c r="L730" s="55"/>
      <c r="M730" s="55"/>
      <c r="N730" s="55"/>
      <c r="O730" s="55"/>
      <c r="P730" s="55"/>
      <c r="Q730" s="55"/>
      <c r="R730" s="55"/>
      <c r="S730" s="55"/>
      <c r="T730" s="55"/>
      <c r="U730" s="55"/>
      <c r="V730" s="55"/>
      <c r="W730" s="55"/>
      <c r="X730" s="55"/>
      <c r="Y730" s="55"/>
      <c r="Z730" s="55"/>
      <c r="AA730" s="55"/>
      <c r="AB730" s="55"/>
      <c r="AC730" s="55"/>
    </row>
    <row r="731">
      <c r="A731" s="53"/>
      <c r="B731" s="53"/>
      <c r="C731" s="55"/>
      <c r="D731" s="55"/>
      <c r="E731" s="55"/>
      <c r="F731" s="55"/>
      <c r="G731" s="55"/>
      <c r="H731" s="181"/>
      <c r="I731" s="55"/>
      <c r="J731" s="55"/>
      <c r="K731" s="55"/>
      <c r="L731" s="55"/>
      <c r="M731" s="55"/>
      <c r="N731" s="55"/>
      <c r="O731" s="55"/>
      <c r="P731" s="55"/>
      <c r="Q731" s="55"/>
      <c r="R731" s="55"/>
      <c r="S731" s="55"/>
      <c r="T731" s="55"/>
      <c r="U731" s="55"/>
      <c r="V731" s="55"/>
      <c r="W731" s="55"/>
      <c r="X731" s="55"/>
      <c r="Y731" s="55"/>
      <c r="Z731" s="55"/>
      <c r="AA731" s="55"/>
      <c r="AB731" s="55"/>
      <c r="AC731" s="55"/>
    </row>
    <row r="732">
      <c r="A732" s="53"/>
      <c r="B732" s="53"/>
      <c r="C732" s="55"/>
      <c r="D732" s="55"/>
      <c r="E732" s="55"/>
      <c r="F732" s="55"/>
      <c r="G732" s="55"/>
      <c r="H732" s="181"/>
      <c r="I732" s="55"/>
      <c r="J732" s="55"/>
      <c r="K732" s="55"/>
      <c r="L732" s="55"/>
      <c r="M732" s="55"/>
      <c r="N732" s="55"/>
      <c r="O732" s="55"/>
      <c r="P732" s="55"/>
      <c r="Q732" s="55"/>
      <c r="R732" s="55"/>
      <c r="S732" s="55"/>
      <c r="T732" s="55"/>
      <c r="U732" s="55"/>
      <c r="V732" s="55"/>
      <c r="W732" s="55"/>
      <c r="X732" s="55"/>
      <c r="Y732" s="55"/>
      <c r="Z732" s="55"/>
      <c r="AA732" s="55"/>
      <c r="AB732" s="55"/>
      <c r="AC732" s="55"/>
    </row>
    <row r="733">
      <c r="A733" s="53"/>
      <c r="B733" s="53"/>
      <c r="C733" s="55"/>
      <c r="D733" s="55"/>
      <c r="E733" s="55"/>
      <c r="F733" s="55"/>
      <c r="G733" s="55"/>
      <c r="H733" s="181"/>
      <c r="I733" s="55"/>
      <c r="J733" s="55"/>
      <c r="K733" s="55"/>
      <c r="L733" s="55"/>
      <c r="M733" s="55"/>
      <c r="N733" s="55"/>
      <c r="O733" s="55"/>
      <c r="P733" s="55"/>
      <c r="Q733" s="55"/>
      <c r="R733" s="55"/>
      <c r="S733" s="55"/>
      <c r="T733" s="55"/>
      <c r="U733" s="55"/>
      <c r="V733" s="55"/>
      <c r="W733" s="55"/>
      <c r="X733" s="55"/>
      <c r="Y733" s="55"/>
      <c r="Z733" s="55"/>
      <c r="AA733" s="55"/>
      <c r="AB733" s="55"/>
      <c r="AC733" s="55"/>
    </row>
    <row r="734">
      <c r="A734" s="53"/>
      <c r="B734" s="53"/>
      <c r="C734" s="55"/>
      <c r="D734" s="55"/>
      <c r="E734" s="55"/>
      <c r="F734" s="55"/>
      <c r="G734" s="55"/>
      <c r="H734" s="181"/>
      <c r="I734" s="55"/>
      <c r="J734" s="55"/>
      <c r="K734" s="55"/>
      <c r="L734" s="55"/>
      <c r="M734" s="55"/>
      <c r="N734" s="55"/>
      <c r="O734" s="55"/>
      <c r="P734" s="55"/>
      <c r="Q734" s="55"/>
      <c r="R734" s="55"/>
      <c r="S734" s="55"/>
      <c r="T734" s="55"/>
      <c r="U734" s="55"/>
      <c r="V734" s="55"/>
      <c r="W734" s="55"/>
      <c r="X734" s="55"/>
      <c r="Y734" s="55"/>
      <c r="Z734" s="55"/>
      <c r="AA734" s="55"/>
      <c r="AB734" s="55"/>
      <c r="AC734" s="55"/>
    </row>
    <row r="735">
      <c r="A735" s="53"/>
      <c r="B735" s="53"/>
      <c r="C735" s="55"/>
      <c r="D735" s="55"/>
      <c r="E735" s="55"/>
      <c r="F735" s="55"/>
      <c r="G735" s="55"/>
      <c r="H735" s="181"/>
      <c r="I735" s="55"/>
      <c r="J735" s="55"/>
      <c r="K735" s="55"/>
      <c r="L735" s="55"/>
      <c r="M735" s="55"/>
      <c r="N735" s="55"/>
      <c r="O735" s="55"/>
      <c r="P735" s="55"/>
      <c r="Q735" s="55"/>
      <c r="R735" s="55"/>
      <c r="S735" s="55"/>
      <c r="T735" s="55"/>
      <c r="U735" s="55"/>
      <c r="V735" s="55"/>
      <c r="W735" s="55"/>
      <c r="X735" s="55"/>
      <c r="Y735" s="55"/>
      <c r="Z735" s="55"/>
      <c r="AA735" s="55"/>
      <c r="AB735" s="55"/>
      <c r="AC735" s="55"/>
    </row>
    <row r="736">
      <c r="A736" s="53"/>
      <c r="B736" s="53"/>
      <c r="C736" s="55"/>
      <c r="D736" s="55"/>
      <c r="E736" s="55"/>
      <c r="F736" s="55"/>
      <c r="G736" s="55"/>
      <c r="H736" s="181"/>
      <c r="I736" s="55"/>
      <c r="J736" s="55"/>
      <c r="K736" s="55"/>
      <c r="L736" s="55"/>
      <c r="M736" s="55"/>
      <c r="N736" s="55"/>
      <c r="O736" s="55"/>
      <c r="P736" s="55"/>
      <c r="Q736" s="55"/>
      <c r="R736" s="55"/>
      <c r="S736" s="55"/>
      <c r="T736" s="55"/>
      <c r="U736" s="55"/>
      <c r="V736" s="55"/>
      <c r="W736" s="55"/>
      <c r="X736" s="55"/>
      <c r="Y736" s="55"/>
      <c r="Z736" s="55"/>
      <c r="AA736" s="55"/>
      <c r="AB736" s="55"/>
      <c r="AC736" s="55"/>
    </row>
    <row r="737">
      <c r="A737" s="53"/>
      <c r="B737" s="53"/>
      <c r="C737" s="55"/>
      <c r="D737" s="55"/>
      <c r="E737" s="55"/>
      <c r="F737" s="55"/>
      <c r="G737" s="55"/>
      <c r="H737" s="181"/>
      <c r="I737" s="55"/>
      <c r="J737" s="55"/>
      <c r="K737" s="55"/>
      <c r="L737" s="55"/>
      <c r="M737" s="55"/>
      <c r="N737" s="55"/>
      <c r="O737" s="55"/>
      <c r="P737" s="55"/>
      <c r="Q737" s="55"/>
      <c r="R737" s="55"/>
      <c r="S737" s="55"/>
      <c r="T737" s="55"/>
      <c r="U737" s="55"/>
      <c r="V737" s="55"/>
      <c r="W737" s="55"/>
      <c r="X737" s="55"/>
      <c r="Y737" s="55"/>
      <c r="Z737" s="55"/>
      <c r="AA737" s="55"/>
      <c r="AB737" s="55"/>
      <c r="AC737" s="55"/>
    </row>
    <row r="738">
      <c r="A738" s="53"/>
      <c r="B738" s="53"/>
      <c r="C738" s="55"/>
      <c r="D738" s="55"/>
      <c r="E738" s="55"/>
      <c r="F738" s="55"/>
      <c r="G738" s="55"/>
      <c r="H738" s="181"/>
      <c r="I738" s="55"/>
      <c r="J738" s="55"/>
      <c r="K738" s="55"/>
      <c r="L738" s="55"/>
      <c r="M738" s="55"/>
      <c r="N738" s="55"/>
      <c r="O738" s="55"/>
      <c r="P738" s="55"/>
      <c r="Q738" s="55"/>
      <c r="R738" s="55"/>
      <c r="S738" s="55"/>
      <c r="T738" s="55"/>
      <c r="U738" s="55"/>
      <c r="V738" s="55"/>
      <c r="W738" s="55"/>
      <c r="X738" s="55"/>
      <c r="Y738" s="55"/>
      <c r="Z738" s="55"/>
      <c r="AA738" s="55"/>
      <c r="AB738" s="55"/>
      <c r="AC738" s="55"/>
    </row>
    <row r="739">
      <c r="A739" s="53"/>
      <c r="B739" s="53"/>
      <c r="C739" s="55"/>
      <c r="D739" s="55"/>
      <c r="E739" s="55"/>
      <c r="F739" s="55"/>
      <c r="G739" s="55"/>
      <c r="H739" s="181"/>
      <c r="I739" s="55"/>
      <c r="J739" s="55"/>
      <c r="K739" s="55"/>
      <c r="L739" s="55"/>
      <c r="M739" s="55"/>
      <c r="N739" s="55"/>
      <c r="O739" s="55"/>
      <c r="P739" s="55"/>
      <c r="Q739" s="55"/>
      <c r="R739" s="55"/>
      <c r="S739" s="55"/>
      <c r="T739" s="55"/>
      <c r="U739" s="55"/>
      <c r="V739" s="55"/>
      <c r="W739" s="55"/>
      <c r="X739" s="55"/>
      <c r="Y739" s="55"/>
      <c r="Z739" s="55"/>
      <c r="AA739" s="55"/>
      <c r="AB739" s="55"/>
      <c r="AC739" s="55"/>
    </row>
    <row r="740">
      <c r="A740" s="53"/>
      <c r="B740" s="53"/>
      <c r="C740" s="55"/>
      <c r="D740" s="55"/>
      <c r="E740" s="55"/>
      <c r="F740" s="55"/>
      <c r="G740" s="55"/>
      <c r="H740" s="181"/>
      <c r="I740" s="55"/>
      <c r="J740" s="55"/>
      <c r="K740" s="55"/>
      <c r="L740" s="55"/>
      <c r="M740" s="55"/>
      <c r="N740" s="55"/>
      <c r="O740" s="55"/>
      <c r="P740" s="55"/>
      <c r="Q740" s="55"/>
      <c r="R740" s="55"/>
      <c r="S740" s="55"/>
      <c r="T740" s="55"/>
      <c r="U740" s="55"/>
      <c r="V740" s="55"/>
      <c r="W740" s="55"/>
      <c r="X740" s="55"/>
      <c r="Y740" s="55"/>
      <c r="Z740" s="55"/>
      <c r="AA740" s="55"/>
      <c r="AB740" s="55"/>
      <c r="AC740" s="55"/>
    </row>
    <row r="741">
      <c r="A741" s="53"/>
      <c r="B741" s="53"/>
      <c r="C741" s="55"/>
      <c r="D741" s="55"/>
      <c r="E741" s="55"/>
      <c r="F741" s="55"/>
      <c r="G741" s="55"/>
      <c r="H741" s="181"/>
      <c r="I741" s="55"/>
      <c r="J741" s="55"/>
      <c r="K741" s="55"/>
      <c r="L741" s="55"/>
      <c r="M741" s="55"/>
      <c r="N741" s="55"/>
      <c r="O741" s="55"/>
      <c r="P741" s="55"/>
      <c r="Q741" s="55"/>
      <c r="R741" s="55"/>
      <c r="S741" s="55"/>
      <c r="T741" s="55"/>
      <c r="U741" s="55"/>
      <c r="V741" s="55"/>
      <c r="W741" s="55"/>
      <c r="X741" s="55"/>
      <c r="Y741" s="55"/>
      <c r="Z741" s="55"/>
      <c r="AA741" s="55"/>
      <c r="AB741" s="55"/>
      <c r="AC741" s="55"/>
    </row>
    <row r="742">
      <c r="A742" s="53"/>
      <c r="B742" s="53"/>
      <c r="C742" s="55"/>
      <c r="D742" s="55"/>
      <c r="E742" s="55"/>
      <c r="F742" s="55"/>
      <c r="G742" s="55"/>
      <c r="H742" s="181"/>
      <c r="I742" s="55"/>
      <c r="J742" s="55"/>
      <c r="K742" s="55"/>
      <c r="L742" s="55"/>
      <c r="M742" s="55"/>
      <c r="N742" s="55"/>
      <c r="O742" s="55"/>
      <c r="P742" s="55"/>
      <c r="Q742" s="55"/>
      <c r="R742" s="55"/>
      <c r="S742" s="55"/>
      <c r="T742" s="55"/>
      <c r="U742" s="55"/>
      <c r="V742" s="55"/>
      <c r="W742" s="55"/>
      <c r="X742" s="55"/>
      <c r="Y742" s="55"/>
      <c r="Z742" s="55"/>
      <c r="AA742" s="55"/>
      <c r="AB742" s="55"/>
      <c r="AC742" s="55"/>
    </row>
    <row r="743">
      <c r="A743" s="53"/>
      <c r="B743" s="53"/>
      <c r="C743" s="55"/>
      <c r="D743" s="55"/>
      <c r="E743" s="55"/>
      <c r="F743" s="55"/>
      <c r="G743" s="55"/>
      <c r="H743" s="181"/>
      <c r="I743" s="55"/>
      <c r="J743" s="55"/>
      <c r="K743" s="55"/>
      <c r="L743" s="55"/>
      <c r="M743" s="55"/>
      <c r="N743" s="55"/>
      <c r="O743" s="55"/>
      <c r="P743" s="55"/>
      <c r="Q743" s="55"/>
      <c r="R743" s="55"/>
      <c r="S743" s="55"/>
      <c r="T743" s="55"/>
      <c r="U743" s="55"/>
      <c r="V743" s="55"/>
      <c r="W743" s="55"/>
      <c r="X743" s="55"/>
      <c r="Y743" s="55"/>
      <c r="Z743" s="55"/>
      <c r="AA743" s="55"/>
      <c r="AB743" s="55"/>
      <c r="AC743" s="55"/>
    </row>
    <row r="744">
      <c r="A744" s="53"/>
      <c r="B744" s="53"/>
      <c r="C744" s="55"/>
      <c r="D744" s="55"/>
      <c r="E744" s="55"/>
      <c r="F744" s="55"/>
      <c r="G744" s="55"/>
      <c r="H744" s="181"/>
      <c r="I744" s="55"/>
      <c r="J744" s="55"/>
      <c r="K744" s="55"/>
      <c r="L744" s="55"/>
      <c r="M744" s="55"/>
      <c r="N744" s="55"/>
      <c r="O744" s="55"/>
      <c r="P744" s="55"/>
      <c r="Q744" s="55"/>
      <c r="R744" s="55"/>
      <c r="S744" s="55"/>
      <c r="T744" s="55"/>
      <c r="U744" s="55"/>
      <c r="V744" s="55"/>
      <c r="W744" s="55"/>
      <c r="X744" s="55"/>
      <c r="Y744" s="55"/>
      <c r="Z744" s="55"/>
      <c r="AA744" s="55"/>
      <c r="AB744" s="55"/>
      <c r="AC744" s="55"/>
    </row>
    <row r="745">
      <c r="A745" s="53"/>
      <c r="B745" s="53"/>
      <c r="C745" s="55"/>
      <c r="D745" s="55"/>
      <c r="E745" s="55"/>
      <c r="F745" s="55"/>
      <c r="G745" s="55"/>
      <c r="H745" s="181"/>
      <c r="I745" s="55"/>
      <c r="J745" s="55"/>
      <c r="K745" s="55"/>
      <c r="L745" s="55"/>
      <c r="M745" s="55"/>
      <c r="N745" s="55"/>
      <c r="O745" s="55"/>
      <c r="P745" s="55"/>
      <c r="Q745" s="55"/>
      <c r="R745" s="55"/>
      <c r="S745" s="55"/>
      <c r="T745" s="55"/>
      <c r="U745" s="55"/>
      <c r="V745" s="55"/>
      <c r="W745" s="55"/>
      <c r="X745" s="55"/>
      <c r="Y745" s="55"/>
      <c r="Z745" s="55"/>
      <c r="AA745" s="55"/>
      <c r="AB745" s="55"/>
      <c r="AC745" s="55"/>
    </row>
    <row r="746">
      <c r="A746" s="53"/>
      <c r="B746" s="53"/>
      <c r="C746" s="55"/>
      <c r="D746" s="55"/>
      <c r="E746" s="55"/>
      <c r="F746" s="55"/>
      <c r="G746" s="55"/>
      <c r="H746" s="181"/>
      <c r="I746" s="55"/>
      <c r="J746" s="55"/>
      <c r="K746" s="55"/>
      <c r="L746" s="55"/>
      <c r="M746" s="55"/>
      <c r="N746" s="55"/>
      <c r="O746" s="55"/>
      <c r="P746" s="55"/>
      <c r="Q746" s="55"/>
      <c r="R746" s="55"/>
      <c r="S746" s="55"/>
      <c r="T746" s="55"/>
      <c r="U746" s="55"/>
      <c r="V746" s="55"/>
      <c r="W746" s="55"/>
      <c r="X746" s="55"/>
      <c r="Y746" s="55"/>
      <c r="Z746" s="55"/>
      <c r="AA746" s="55"/>
      <c r="AB746" s="55"/>
      <c r="AC746" s="55"/>
    </row>
    <row r="747">
      <c r="A747" s="53"/>
      <c r="B747" s="53"/>
      <c r="C747" s="55"/>
      <c r="D747" s="55"/>
      <c r="E747" s="55"/>
      <c r="F747" s="55"/>
      <c r="G747" s="55"/>
      <c r="H747" s="181"/>
      <c r="I747" s="55"/>
      <c r="J747" s="55"/>
      <c r="K747" s="55"/>
      <c r="L747" s="55"/>
      <c r="M747" s="55"/>
      <c r="N747" s="55"/>
      <c r="O747" s="55"/>
      <c r="P747" s="55"/>
      <c r="Q747" s="55"/>
      <c r="R747" s="55"/>
      <c r="S747" s="55"/>
      <c r="T747" s="55"/>
      <c r="U747" s="55"/>
      <c r="V747" s="55"/>
      <c r="W747" s="55"/>
      <c r="X747" s="55"/>
      <c r="Y747" s="55"/>
      <c r="Z747" s="55"/>
      <c r="AA747" s="55"/>
      <c r="AB747" s="55"/>
      <c r="AC747" s="55"/>
    </row>
    <row r="748">
      <c r="A748" s="53"/>
      <c r="B748" s="53"/>
      <c r="C748" s="55"/>
      <c r="D748" s="55"/>
      <c r="E748" s="55"/>
      <c r="F748" s="55"/>
      <c r="G748" s="55"/>
      <c r="H748" s="181"/>
      <c r="I748" s="55"/>
      <c r="J748" s="55"/>
      <c r="K748" s="55"/>
      <c r="L748" s="55"/>
      <c r="M748" s="55"/>
      <c r="N748" s="55"/>
      <c r="O748" s="55"/>
      <c r="P748" s="55"/>
      <c r="Q748" s="55"/>
      <c r="R748" s="55"/>
      <c r="S748" s="55"/>
      <c r="T748" s="55"/>
      <c r="U748" s="55"/>
      <c r="V748" s="55"/>
      <c r="W748" s="55"/>
      <c r="X748" s="55"/>
      <c r="Y748" s="55"/>
      <c r="Z748" s="55"/>
      <c r="AA748" s="55"/>
      <c r="AB748" s="55"/>
      <c r="AC748" s="55"/>
    </row>
    <row r="749">
      <c r="A749" s="53"/>
      <c r="B749" s="53"/>
      <c r="C749" s="55"/>
      <c r="D749" s="55"/>
      <c r="E749" s="55"/>
      <c r="F749" s="55"/>
      <c r="G749" s="55"/>
      <c r="H749" s="181"/>
      <c r="I749" s="55"/>
      <c r="J749" s="55"/>
      <c r="K749" s="55"/>
      <c r="L749" s="55"/>
      <c r="M749" s="55"/>
      <c r="N749" s="55"/>
      <c r="O749" s="55"/>
      <c r="P749" s="55"/>
      <c r="Q749" s="55"/>
      <c r="R749" s="55"/>
      <c r="S749" s="55"/>
      <c r="T749" s="55"/>
      <c r="U749" s="55"/>
      <c r="V749" s="55"/>
      <c r="W749" s="55"/>
      <c r="X749" s="55"/>
      <c r="Y749" s="55"/>
      <c r="Z749" s="55"/>
      <c r="AA749" s="55"/>
      <c r="AB749" s="55"/>
      <c r="AC749" s="55"/>
    </row>
    <row r="750">
      <c r="A750" s="53"/>
      <c r="B750" s="53"/>
      <c r="C750" s="55"/>
      <c r="D750" s="55"/>
      <c r="E750" s="55"/>
      <c r="F750" s="55"/>
      <c r="G750" s="55"/>
      <c r="H750" s="181"/>
      <c r="I750" s="55"/>
      <c r="J750" s="55"/>
      <c r="K750" s="55"/>
      <c r="L750" s="55"/>
      <c r="M750" s="55"/>
      <c r="N750" s="55"/>
      <c r="O750" s="55"/>
      <c r="P750" s="55"/>
      <c r="Q750" s="55"/>
      <c r="R750" s="55"/>
      <c r="S750" s="55"/>
      <c r="T750" s="55"/>
      <c r="U750" s="55"/>
      <c r="V750" s="55"/>
      <c r="W750" s="55"/>
      <c r="X750" s="55"/>
      <c r="Y750" s="55"/>
      <c r="Z750" s="55"/>
      <c r="AA750" s="55"/>
      <c r="AB750" s="55"/>
      <c r="AC750" s="55"/>
    </row>
    <row r="751">
      <c r="A751" s="53"/>
      <c r="B751" s="53"/>
      <c r="C751" s="55"/>
      <c r="D751" s="55"/>
      <c r="E751" s="55"/>
      <c r="F751" s="55"/>
      <c r="G751" s="55"/>
      <c r="H751" s="181"/>
      <c r="I751" s="55"/>
      <c r="J751" s="55"/>
      <c r="K751" s="55"/>
      <c r="L751" s="55"/>
      <c r="M751" s="55"/>
      <c r="N751" s="55"/>
      <c r="O751" s="55"/>
      <c r="P751" s="55"/>
      <c r="Q751" s="55"/>
      <c r="R751" s="55"/>
      <c r="S751" s="55"/>
      <c r="T751" s="55"/>
      <c r="U751" s="55"/>
      <c r="V751" s="55"/>
      <c r="W751" s="55"/>
      <c r="X751" s="55"/>
      <c r="Y751" s="55"/>
      <c r="Z751" s="55"/>
      <c r="AA751" s="55"/>
      <c r="AB751" s="55"/>
      <c r="AC751" s="55"/>
    </row>
    <row r="752">
      <c r="A752" s="53"/>
      <c r="B752" s="53"/>
      <c r="C752" s="55"/>
      <c r="D752" s="55"/>
      <c r="E752" s="55"/>
      <c r="F752" s="55"/>
      <c r="G752" s="55"/>
      <c r="H752" s="181"/>
      <c r="I752" s="55"/>
      <c r="J752" s="55"/>
      <c r="K752" s="55"/>
      <c r="L752" s="55"/>
      <c r="M752" s="55"/>
      <c r="N752" s="55"/>
      <c r="O752" s="55"/>
      <c r="P752" s="55"/>
      <c r="Q752" s="55"/>
      <c r="R752" s="55"/>
      <c r="S752" s="55"/>
      <c r="T752" s="55"/>
      <c r="U752" s="55"/>
      <c r="V752" s="55"/>
      <c r="W752" s="55"/>
      <c r="X752" s="55"/>
      <c r="Y752" s="55"/>
      <c r="Z752" s="55"/>
      <c r="AA752" s="55"/>
      <c r="AB752" s="55"/>
      <c r="AC752" s="55"/>
    </row>
    <row r="753">
      <c r="A753" s="53"/>
      <c r="B753" s="53"/>
      <c r="C753" s="55"/>
      <c r="D753" s="55"/>
      <c r="E753" s="55"/>
      <c r="F753" s="55"/>
      <c r="G753" s="55"/>
      <c r="H753" s="181"/>
      <c r="I753" s="55"/>
      <c r="J753" s="55"/>
      <c r="K753" s="55"/>
      <c r="L753" s="55"/>
      <c r="M753" s="55"/>
      <c r="N753" s="55"/>
      <c r="O753" s="55"/>
      <c r="P753" s="55"/>
      <c r="Q753" s="55"/>
      <c r="R753" s="55"/>
      <c r="S753" s="55"/>
      <c r="T753" s="55"/>
      <c r="U753" s="55"/>
      <c r="V753" s="55"/>
      <c r="W753" s="55"/>
      <c r="X753" s="55"/>
      <c r="Y753" s="55"/>
      <c r="Z753" s="55"/>
      <c r="AA753" s="55"/>
      <c r="AB753" s="55"/>
      <c r="AC753" s="55"/>
    </row>
    <row r="754">
      <c r="A754" s="53"/>
      <c r="B754" s="53"/>
      <c r="C754" s="55"/>
      <c r="D754" s="55"/>
      <c r="E754" s="55"/>
      <c r="F754" s="55"/>
      <c r="G754" s="55"/>
      <c r="H754" s="181"/>
      <c r="I754" s="55"/>
      <c r="J754" s="55"/>
      <c r="K754" s="55"/>
      <c r="L754" s="55"/>
      <c r="M754" s="55"/>
      <c r="N754" s="55"/>
      <c r="O754" s="55"/>
      <c r="P754" s="55"/>
      <c r="Q754" s="55"/>
      <c r="R754" s="55"/>
      <c r="S754" s="55"/>
      <c r="T754" s="55"/>
      <c r="U754" s="55"/>
      <c r="V754" s="55"/>
      <c r="W754" s="55"/>
      <c r="X754" s="55"/>
      <c r="Y754" s="55"/>
      <c r="Z754" s="55"/>
      <c r="AA754" s="55"/>
      <c r="AB754" s="55"/>
      <c r="AC754" s="55"/>
    </row>
    <row r="755">
      <c r="A755" s="53"/>
      <c r="B755" s="53"/>
      <c r="C755" s="55"/>
      <c r="D755" s="55"/>
      <c r="E755" s="55"/>
      <c r="F755" s="55"/>
      <c r="G755" s="55"/>
      <c r="H755" s="181"/>
      <c r="I755" s="55"/>
      <c r="J755" s="55"/>
      <c r="K755" s="55"/>
      <c r="L755" s="55"/>
      <c r="M755" s="55"/>
      <c r="N755" s="55"/>
      <c r="O755" s="55"/>
      <c r="P755" s="55"/>
      <c r="Q755" s="55"/>
      <c r="R755" s="55"/>
      <c r="S755" s="55"/>
      <c r="T755" s="55"/>
      <c r="U755" s="55"/>
      <c r="V755" s="55"/>
      <c r="W755" s="55"/>
      <c r="X755" s="55"/>
      <c r="Y755" s="55"/>
      <c r="Z755" s="55"/>
      <c r="AA755" s="55"/>
      <c r="AB755" s="55"/>
      <c r="AC755" s="55"/>
    </row>
    <row r="756">
      <c r="A756" s="53"/>
      <c r="B756" s="53"/>
      <c r="C756" s="55"/>
      <c r="D756" s="55"/>
      <c r="E756" s="55"/>
      <c r="F756" s="55"/>
      <c r="G756" s="55"/>
      <c r="H756" s="181"/>
      <c r="I756" s="55"/>
      <c r="J756" s="55"/>
      <c r="K756" s="55"/>
      <c r="L756" s="55"/>
      <c r="M756" s="55"/>
      <c r="N756" s="55"/>
      <c r="O756" s="55"/>
      <c r="P756" s="55"/>
      <c r="Q756" s="55"/>
      <c r="R756" s="55"/>
      <c r="S756" s="55"/>
      <c r="T756" s="55"/>
      <c r="U756" s="55"/>
      <c r="V756" s="55"/>
      <c r="W756" s="55"/>
      <c r="X756" s="55"/>
      <c r="Y756" s="55"/>
      <c r="Z756" s="55"/>
      <c r="AA756" s="55"/>
      <c r="AB756" s="55"/>
      <c r="AC756" s="55"/>
    </row>
    <row r="757">
      <c r="A757" s="53"/>
      <c r="B757" s="53"/>
      <c r="C757" s="55"/>
      <c r="D757" s="55"/>
      <c r="E757" s="55"/>
      <c r="F757" s="55"/>
      <c r="G757" s="55"/>
      <c r="H757" s="181"/>
      <c r="I757" s="55"/>
      <c r="J757" s="55"/>
      <c r="K757" s="55"/>
      <c r="L757" s="55"/>
      <c r="M757" s="55"/>
      <c r="N757" s="55"/>
      <c r="O757" s="55"/>
      <c r="P757" s="55"/>
      <c r="Q757" s="55"/>
      <c r="R757" s="55"/>
      <c r="S757" s="55"/>
      <c r="T757" s="55"/>
      <c r="U757" s="55"/>
      <c r="V757" s="55"/>
      <c r="W757" s="55"/>
      <c r="X757" s="55"/>
      <c r="Y757" s="55"/>
      <c r="Z757" s="55"/>
      <c r="AA757" s="55"/>
      <c r="AB757" s="55"/>
      <c r="AC757" s="55"/>
    </row>
    <row r="758">
      <c r="A758" s="53"/>
      <c r="B758" s="53"/>
      <c r="C758" s="55"/>
      <c r="D758" s="55"/>
      <c r="E758" s="55"/>
      <c r="F758" s="55"/>
      <c r="G758" s="55"/>
      <c r="H758" s="181"/>
      <c r="I758" s="55"/>
      <c r="J758" s="55"/>
      <c r="K758" s="55"/>
      <c r="L758" s="55"/>
      <c r="M758" s="55"/>
      <c r="N758" s="55"/>
      <c r="O758" s="55"/>
      <c r="P758" s="55"/>
      <c r="Q758" s="55"/>
      <c r="R758" s="55"/>
      <c r="S758" s="55"/>
      <c r="T758" s="55"/>
      <c r="U758" s="55"/>
      <c r="V758" s="55"/>
      <c r="W758" s="55"/>
      <c r="X758" s="55"/>
      <c r="Y758" s="55"/>
      <c r="Z758" s="55"/>
      <c r="AA758" s="55"/>
      <c r="AB758" s="55"/>
      <c r="AC758" s="55"/>
    </row>
    <row r="759">
      <c r="A759" s="53"/>
      <c r="B759" s="53"/>
      <c r="C759" s="55"/>
      <c r="D759" s="55"/>
      <c r="E759" s="55"/>
      <c r="F759" s="55"/>
      <c r="G759" s="55"/>
      <c r="H759" s="181"/>
      <c r="I759" s="55"/>
      <c r="J759" s="55"/>
      <c r="K759" s="55"/>
      <c r="L759" s="55"/>
      <c r="M759" s="55"/>
      <c r="N759" s="55"/>
      <c r="O759" s="55"/>
      <c r="P759" s="55"/>
      <c r="Q759" s="55"/>
      <c r="R759" s="55"/>
      <c r="S759" s="55"/>
      <c r="T759" s="55"/>
      <c r="U759" s="55"/>
      <c r="V759" s="55"/>
      <c r="W759" s="55"/>
      <c r="X759" s="55"/>
      <c r="Y759" s="55"/>
      <c r="Z759" s="55"/>
      <c r="AA759" s="55"/>
      <c r="AB759" s="55"/>
      <c r="AC759" s="55"/>
    </row>
    <row r="760">
      <c r="A760" s="53"/>
      <c r="B760" s="53"/>
      <c r="C760" s="55"/>
      <c r="D760" s="55"/>
      <c r="E760" s="55"/>
      <c r="F760" s="55"/>
      <c r="G760" s="55"/>
      <c r="H760" s="181"/>
      <c r="I760" s="55"/>
      <c r="J760" s="55"/>
      <c r="K760" s="55"/>
      <c r="L760" s="55"/>
      <c r="M760" s="55"/>
      <c r="N760" s="55"/>
      <c r="O760" s="55"/>
      <c r="P760" s="55"/>
      <c r="Q760" s="55"/>
      <c r="R760" s="55"/>
      <c r="S760" s="55"/>
      <c r="T760" s="55"/>
      <c r="U760" s="55"/>
      <c r="V760" s="55"/>
      <c r="W760" s="55"/>
      <c r="X760" s="55"/>
      <c r="Y760" s="55"/>
      <c r="Z760" s="55"/>
      <c r="AA760" s="55"/>
      <c r="AB760" s="55"/>
      <c r="AC760" s="55"/>
    </row>
    <row r="761">
      <c r="A761" s="53"/>
      <c r="B761" s="53"/>
      <c r="C761" s="55"/>
      <c r="D761" s="55"/>
      <c r="E761" s="55"/>
      <c r="F761" s="55"/>
      <c r="G761" s="55"/>
      <c r="H761" s="181"/>
      <c r="I761" s="55"/>
      <c r="J761" s="55"/>
      <c r="K761" s="55"/>
      <c r="L761" s="55"/>
      <c r="M761" s="55"/>
      <c r="N761" s="55"/>
      <c r="O761" s="55"/>
      <c r="P761" s="55"/>
      <c r="Q761" s="55"/>
      <c r="R761" s="55"/>
      <c r="S761" s="55"/>
      <c r="T761" s="55"/>
      <c r="U761" s="55"/>
      <c r="V761" s="55"/>
      <c r="W761" s="55"/>
      <c r="X761" s="55"/>
      <c r="Y761" s="55"/>
      <c r="Z761" s="55"/>
      <c r="AA761" s="55"/>
      <c r="AB761" s="55"/>
      <c r="AC761" s="55"/>
    </row>
    <row r="762">
      <c r="A762" s="53"/>
      <c r="B762" s="53"/>
      <c r="C762" s="55"/>
      <c r="D762" s="55"/>
      <c r="E762" s="55"/>
      <c r="F762" s="55"/>
      <c r="G762" s="55"/>
      <c r="H762" s="181"/>
      <c r="I762" s="55"/>
      <c r="J762" s="55"/>
      <c r="K762" s="55"/>
      <c r="L762" s="55"/>
      <c r="M762" s="55"/>
      <c r="N762" s="55"/>
      <c r="O762" s="55"/>
      <c r="P762" s="55"/>
      <c r="Q762" s="55"/>
      <c r="R762" s="55"/>
      <c r="S762" s="55"/>
      <c r="T762" s="55"/>
      <c r="U762" s="55"/>
      <c r="V762" s="55"/>
      <c r="W762" s="55"/>
      <c r="X762" s="55"/>
      <c r="Y762" s="55"/>
      <c r="Z762" s="55"/>
      <c r="AA762" s="55"/>
      <c r="AB762" s="55"/>
      <c r="AC762" s="55"/>
    </row>
    <row r="763">
      <c r="A763" s="53"/>
      <c r="B763" s="53"/>
      <c r="C763" s="55"/>
      <c r="D763" s="55"/>
      <c r="E763" s="55"/>
      <c r="F763" s="55"/>
      <c r="G763" s="55"/>
      <c r="H763" s="181"/>
      <c r="I763" s="55"/>
      <c r="J763" s="55"/>
      <c r="K763" s="55"/>
      <c r="L763" s="55"/>
      <c r="M763" s="55"/>
      <c r="N763" s="55"/>
      <c r="O763" s="55"/>
      <c r="P763" s="55"/>
      <c r="Q763" s="55"/>
      <c r="R763" s="55"/>
      <c r="S763" s="55"/>
      <c r="T763" s="55"/>
      <c r="U763" s="55"/>
      <c r="V763" s="55"/>
      <c r="W763" s="55"/>
      <c r="X763" s="55"/>
      <c r="Y763" s="55"/>
      <c r="Z763" s="55"/>
      <c r="AA763" s="55"/>
      <c r="AB763" s="55"/>
      <c r="AC763" s="55"/>
    </row>
    <row r="764">
      <c r="A764" s="53"/>
      <c r="B764" s="53"/>
      <c r="C764" s="55"/>
      <c r="D764" s="55"/>
      <c r="E764" s="55"/>
      <c r="F764" s="55"/>
      <c r="G764" s="55"/>
      <c r="H764" s="181"/>
      <c r="I764" s="55"/>
      <c r="J764" s="55"/>
      <c r="K764" s="55"/>
      <c r="L764" s="55"/>
      <c r="M764" s="55"/>
      <c r="N764" s="55"/>
      <c r="O764" s="55"/>
      <c r="P764" s="55"/>
      <c r="Q764" s="55"/>
      <c r="R764" s="55"/>
      <c r="S764" s="55"/>
      <c r="T764" s="55"/>
      <c r="U764" s="55"/>
      <c r="V764" s="55"/>
      <c r="W764" s="55"/>
      <c r="X764" s="55"/>
      <c r="Y764" s="55"/>
      <c r="Z764" s="55"/>
      <c r="AA764" s="55"/>
      <c r="AB764" s="55"/>
      <c r="AC764" s="55"/>
    </row>
    <row r="765">
      <c r="A765" s="53"/>
      <c r="B765" s="53"/>
      <c r="C765" s="55"/>
      <c r="D765" s="55"/>
      <c r="E765" s="55"/>
      <c r="F765" s="55"/>
      <c r="G765" s="55"/>
      <c r="H765" s="181"/>
      <c r="I765" s="55"/>
      <c r="J765" s="55"/>
      <c r="K765" s="55"/>
      <c r="L765" s="55"/>
      <c r="M765" s="55"/>
      <c r="N765" s="55"/>
      <c r="O765" s="55"/>
      <c r="P765" s="55"/>
      <c r="Q765" s="55"/>
      <c r="R765" s="55"/>
      <c r="S765" s="55"/>
      <c r="T765" s="55"/>
      <c r="U765" s="55"/>
      <c r="V765" s="55"/>
      <c r="W765" s="55"/>
      <c r="X765" s="55"/>
      <c r="Y765" s="55"/>
      <c r="Z765" s="55"/>
      <c r="AA765" s="55"/>
      <c r="AB765" s="55"/>
      <c r="AC765" s="55"/>
    </row>
    <row r="766">
      <c r="A766" s="53"/>
      <c r="B766" s="53"/>
      <c r="C766" s="55"/>
      <c r="D766" s="55"/>
      <c r="E766" s="55"/>
      <c r="F766" s="55"/>
      <c r="G766" s="55"/>
      <c r="H766" s="181"/>
      <c r="I766" s="55"/>
      <c r="J766" s="55"/>
      <c r="K766" s="55"/>
      <c r="L766" s="55"/>
      <c r="M766" s="55"/>
      <c r="N766" s="55"/>
      <c r="O766" s="55"/>
      <c r="P766" s="55"/>
      <c r="Q766" s="55"/>
      <c r="R766" s="55"/>
      <c r="S766" s="55"/>
      <c r="T766" s="55"/>
      <c r="U766" s="55"/>
      <c r="V766" s="55"/>
      <c r="W766" s="55"/>
      <c r="X766" s="55"/>
      <c r="Y766" s="55"/>
      <c r="Z766" s="55"/>
      <c r="AA766" s="55"/>
      <c r="AB766" s="55"/>
      <c r="AC766" s="55"/>
    </row>
    <row r="767">
      <c r="A767" s="53"/>
      <c r="B767" s="53"/>
      <c r="C767" s="55"/>
      <c r="D767" s="55"/>
      <c r="E767" s="55"/>
      <c r="F767" s="55"/>
      <c r="G767" s="55"/>
      <c r="H767" s="181"/>
      <c r="I767" s="55"/>
      <c r="J767" s="55"/>
      <c r="K767" s="55"/>
      <c r="L767" s="55"/>
      <c r="M767" s="55"/>
      <c r="N767" s="55"/>
      <c r="O767" s="55"/>
      <c r="P767" s="55"/>
      <c r="Q767" s="55"/>
      <c r="R767" s="55"/>
      <c r="S767" s="55"/>
      <c r="T767" s="55"/>
      <c r="U767" s="55"/>
      <c r="V767" s="55"/>
      <c r="W767" s="55"/>
      <c r="X767" s="55"/>
      <c r="Y767" s="55"/>
      <c r="Z767" s="55"/>
      <c r="AA767" s="55"/>
      <c r="AB767" s="55"/>
      <c r="AC767" s="55"/>
    </row>
    <row r="768">
      <c r="A768" s="53"/>
      <c r="B768" s="53"/>
      <c r="C768" s="55"/>
      <c r="D768" s="55"/>
      <c r="E768" s="55"/>
      <c r="F768" s="55"/>
      <c r="G768" s="55"/>
      <c r="H768" s="181"/>
      <c r="I768" s="55"/>
      <c r="J768" s="55"/>
      <c r="K768" s="55"/>
      <c r="L768" s="55"/>
      <c r="M768" s="55"/>
      <c r="N768" s="55"/>
      <c r="O768" s="55"/>
      <c r="P768" s="55"/>
      <c r="Q768" s="55"/>
      <c r="R768" s="55"/>
      <c r="S768" s="55"/>
      <c r="T768" s="55"/>
      <c r="U768" s="55"/>
      <c r="V768" s="55"/>
      <c r="W768" s="55"/>
      <c r="X768" s="55"/>
      <c r="Y768" s="55"/>
      <c r="Z768" s="55"/>
      <c r="AA768" s="55"/>
      <c r="AB768" s="55"/>
      <c r="AC768" s="55"/>
    </row>
    <row r="769">
      <c r="A769" s="53"/>
      <c r="B769" s="53"/>
      <c r="C769" s="55"/>
      <c r="D769" s="55"/>
      <c r="E769" s="55"/>
      <c r="F769" s="55"/>
      <c r="G769" s="55"/>
      <c r="H769" s="181"/>
      <c r="I769" s="55"/>
      <c r="J769" s="55"/>
      <c r="K769" s="55"/>
      <c r="L769" s="55"/>
      <c r="M769" s="55"/>
      <c r="N769" s="55"/>
      <c r="O769" s="55"/>
      <c r="P769" s="55"/>
      <c r="Q769" s="55"/>
      <c r="R769" s="55"/>
      <c r="S769" s="55"/>
      <c r="T769" s="55"/>
      <c r="U769" s="55"/>
      <c r="V769" s="55"/>
      <c r="W769" s="55"/>
      <c r="X769" s="55"/>
      <c r="Y769" s="55"/>
      <c r="Z769" s="55"/>
      <c r="AA769" s="55"/>
      <c r="AB769" s="55"/>
      <c r="AC769" s="55"/>
    </row>
    <row r="770">
      <c r="A770" s="53"/>
      <c r="B770" s="53"/>
      <c r="C770" s="55"/>
      <c r="D770" s="55"/>
      <c r="E770" s="55"/>
      <c r="F770" s="55"/>
      <c r="G770" s="55"/>
      <c r="H770" s="181"/>
      <c r="I770" s="55"/>
      <c r="J770" s="55"/>
      <c r="K770" s="55"/>
      <c r="L770" s="55"/>
      <c r="M770" s="55"/>
      <c r="N770" s="55"/>
      <c r="O770" s="55"/>
      <c r="P770" s="55"/>
      <c r="Q770" s="55"/>
      <c r="R770" s="55"/>
      <c r="S770" s="55"/>
      <c r="T770" s="55"/>
      <c r="U770" s="55"/>
      <c r="V770" s="55"/>
      <c r="W770" s="55"/>
      <c r="X770" s="55"/>
      <c r="Y770" s="55"/>
      <c r="Z770" s="55"/>
      <c r="AA770" s="55"/>
      <c r="AB770" s="55"/>
      <c r="AC770" s="55"/>
    </row>
    <row r="771">
      <c r="A771" s="53"/>
      <c r="B771" s="53"/>
      <c r="C771" s="55"/>
      <c r="D771" s="55"/>
      <c r="E771" s="55"/>
      <c r="F771" s="55"/>
      <c r="G771" s="55"/>
      <c r="H771" s="181"/>
      <c r="I771" s="55"/>
      <c r="J771" s="55"/>
      <c r="K771" s="55"/>
      <c r="L771" s="55"/>
      <c r="M771" s="55"/>
      <c r="N771" s="55"/>
      <c r="O771" s="55"/>
      <c r="P771" s="55"/>
      <c r="Q771" s="55"/>
      <c r="R771" s="55"/>
      <c r="S771" s="55"/>
      <c r="T771" s="55"/>
      <c r="U771" s="55"/>
      <c r="V771" s="55"/>
      <c r="W771" s="55"/>
      <c r="X771" s="55"/>
      <c r="Y771" s="55"/>
      <c r="Z771" s="55"/>
      <c r="AA771" s="55"/>
      <c r="AB771" s="55"/>
      <c r="AC771" s="55"/>
    </row>
    <row r="772">
      <c r="A772" s="53"/>
      <c r="B772" s="53"/>
      <c r="C772" s="55"/>
      <c r="D772" s="55"/>
      <c r="E772" s="55"/>
      <c r="F772" s="55"/>
      <c r="G772" s="55"/>
      <c r="H772" s="181"/>
      <c r="I772" s="55"/>
      <c r="J772" s="55"/>
      <c r="K772" s="55"/>
      <c r="L772" s="55"/>
      <c r="M772" s="55"/>
      <c r="N772" s="55"/>
      <c r="O772" s="55"/>
      <c r="P772" s="55"/>
      <c r="Q772" s="55"/>
      <c r="R772" s="55"/>
      <c r="S772" s="55"/>
      <c r="T772" s="55"/>
      <c r="U772" s="55"/>
      <c r="V772" s="55"/>
      <c r="W772" s="55"/>
      <c r="X772" s="55"/>
      <c r="Y772" s="55"/>
      <c r="Z772" s="55"/>
      <c r="AA772" s="55"/>
      <c r="AB772" s="55"/>
      <c r="AC772" s="55"/>
    </row>
    <row r="773">
      <c r="A773" s="53"/>
      <c r="B773" s="53"/>
      <c r="C773" s="55"/>
      <c r="D773" s="55"/>
      <c r="E773" s="55"/>
      <c r="F773" s="55"/>
      <c r="G773" s="55"/>
      <c r="H773" s="181"/>
      <c r="I773" s="55"/>
      <c r="J773" s="55"/>
      <c r="K773" s="55"/>
      <c r="L773" s="55"/>
      <c r="M773" s="55"/>
      <c r="N773" s="55"/>
      <c r="O773" s="55"/>
      <c r="P773" s="55"/>
      <c r="Q773" s="55"/>
      <c r="R773" s="55"/>
      <c r="S773" s="55"/>
      <c r="T773" s="55"/>
      <c r="U773" s="55"/>
      <c r="V773" s="55"/>
      <c r="W773" s="55"/>
      <c r="X773" s="55"/>
      <c r="Y773" s="55"/>
      <c r="Z773" s="55"/>
      <c r="AA773" s="55"/>
      <c r="AB773" s="55"/>
      <c r="AC773" s="55"/>
    </row>
    <row r="774">
      <c r="A774" s="53"/>
      <c r="B774" s="53"/>
      <c r="C774" s="55"/>
      <c r="D774" s="55"/>
      <c r="E774" s="55"/>
      <c r="F774" s="55"/>
      <c r="G774" s="55"/>
      <c r="H774" s="181"/>
      <c r="I774" s="55"/>
      <c r="J774" s="55"/>
      <c r="K774" s="55"/>
      <c r="L774" s="55"/>
      <c r="M774" s="55"/>
      <c r="N774" s="55"/>
      <c r="O774" s="55"/>
      <c r="P774" s="55"/>
      <c r="Q774" s="55"/>
      <c r="R774" s="55"/>
      <c r="S774" s="55"/>
      <c r="T774" s="55"/>
      <c r="U774" s="55"/>
      <c r="V774" s="55"/>
      <c r="W774" s="55"/>
      <c r="X774" s="55"/>
      <c r="Y774" s="55"/>
      <c r="Z774" s="55"/>
      <c r="AA774" s="55"/>
      <c r="AB774" s="55"/>
      <c r="AC774" s="55"/>
    </row>
    <row r="775">
      <c r="A775" s="53"/>
      <c r="B775" s="53"/>
      <c r="C775" s="55"/>
      <c r="D775" s="55"/>
      <c r="E775" s="55"/>
      <c r="F775" s="55"/>
      <c r="G775" s="55"/>
      <c r="H775" s="181"/>
      <c r="I775" s="55"/>
      <c r="J775" s="55"/>
      <c r="K775" s="55"/>
      <c r="L775" s="55"/>
      <c r="M775" s="55"/>
      <c r="N775" s="55"/>
      <c r="O775" s="55"/>
      <c r="P775" s="55"/>
      <c r="Q775" s="55"/>
      <c r="R775" s="55"/>
      <c r="S775" s="55"/>
      <c r="T775" s="55"/>
      <c r="U775" s="55"/>
      <c r="V775" s="55"/>
      <c r="W775" s="55"/>
      <c r="X775" s="55"/>
      <c r="Y775" s="55"/>
      <c r="Z775" s="55"/>
      <c r="AA775" s="55"/>
      <c r="AB775" s="55"/>
      <c r="AC775" s="55"/>
    </row>
    <row r="776">
      <c r="A776" s="53"/>
      <c r="B776" s="53"/>
      <c r="C776" s="55"/>
      <c r="D776" s="55"/>
      <c r="E776" s="55"/>
      <c r="F776" s="55"/>
      <c r="G776" s="55"/>
      <c r="H776" s="181"/>
      <c r="I776" s="55"/>
      <c r="J776" s="55"/>
      <c r="K776" s="55"/>
      <c r="L776" s="55"/>
      <c r="M776" s="55"/>
      <c r="N776" s="55"/>
      <c r="O776" s="55"/>
      <c r="P776" s="55"/>
      <c r="Q776" s="55"/>
      <c r="R776" s="55"/>
      <c r="S776" s="55"/>
      <c r="T776" s="55"/>
      <c r="U776" s="55"/>
      <c r="V776" s="55"/>
      <c r="W776" s="55"/>
      <c r="X776" s="55"/>
      <c r="Y776" s="55"/>
      <c r="Z776" s="55"/>
      <c r="AA776" s="55"/>
      <c r="AB776" s="55"/>
      <c r="AC776" s="55"/>
    </row>
    <row r="777">
      <c r="A777" s="53"/>
      <c r="B777" s="53"/>
      <c r="C777" s="55"/>
      <c r="D777" s="55"/>
      <c r="E777" s="55"/>
      <c r="F777" s="55"/>
      <c r="G777" s="55"/>
      <c r="H777" s="181"/>
      <c r="I777" s="55"/>
      <c r="J777" s="55"/>
      <c r="K777" s="55"/>
      <c r="L777" s="55"/>
      <c r="M777" s="55"/>
      <c r="N777" s="55"/>
      <c r="O777" s="55"/>
      <c r="P777" s="55"/>
      <c r="Q777" s="55"/>
      <c r="R777" s="55"/>
      <c r="S777" s="55"/>
      <c r="T777" s="55"/>
      <c r="U777" s="55"/>
      <c r="V777" s="55"/>
      <c r="W777" s="55"/>
      <c r="X777" s="55"/>
      <c r="Y777" s="55"/>
      <c r="Z777" s="55"/>
      <c r="AA777" s="55"/>
      <c r="AB777" s="55"/>
      <c r="AC777" s="55"/>
    </row>
    <row r="778">
      <c r="A778" s="53"/>
      <c r="B778" s="53"/>
      <c r="C778" s="55"/>
      <c r="D778" s="55"/>
      <c r="E778" s="55"/>
      <c r="F778" s="55"/>
      <c r="G778" s="55"/>
      <c r="H778" s="181"/>
      <c r="I778" s="55"/>
      <c r="J778" s="55"/>
      <c r="K778" s="55"/>
      <c r="L778" s="55"/>
      <c r="M778" s="55"/>
      <c r="N778" s="55"/>
      <c r="O778" s="55"/>
      <c r="P778" s="55"/>
      <c r="Q778" s="55"/>
      <c r="R778" s="55"/>
      <c r="S778" s="55"/>
      <c r="T778" s="55"/>
      <c r="U778" s="55"/>
      <c r="V778" s="55"/>
      <c r="W778" s="55"/>
      <c r="X778" s="55"/>
      <c r="Y778" s="55"/>
      <c r="Z778" s="55"/>
      <c r="AA778" s="55"/>
      <c r="AB778" s="55"/>
      <c r="AC778" s="55"/>
    </row>
    <row r="779">
      <c r="A779" s="53"/>
      <c r="B779" s="53"/>
      <c r="C779" s="55"/>
      <c r="D779" s="55"/>
      <c r="E779" s="55"/>
      <c r="F779" s="55"/>
      <c r="G779" s="55"/>
      <c r="H779" s="181"/>
      <c r="I779" s="55"/>
      <c r="J779" s="55"/>
      <c r="K779" s="55"/>
      <c r="L779" s="55"/>
      <c r="M779" s="55"/>
      <c r="N779" s="55"/>
      <c r="O779" s="55"/>
      <c r="P779" s="55"/>
      <c r="Q779" s="55"/>
      <c r="R779" s="55"/>
      <c r="S779" s="55"/>
      <c r="T779" s="55"/>
      <c r="U779" s="55"/>
      <c r="V779" s="55"/>
      <c r="W779" s="55"/>
      <c r="X779" s="55"/>
      <c r="Y779" s="55"/>
      <c r="Z779" s="55"/>
      <c r="AA779" s="55"/>
      <c r="AB779" s="55"/>
      <c r="AC779" s="55"/>
    </row>
    <row r="780">
      <c r="A780" s="53"/>
      <c r="B780" s="53"/>
      <c r="C780" s="55"/>
      <c r="D780" s="55"/>
      <c r="E780" s="55"/>
      <c r="F780" s="55"/>
      <c r="G780" s="55"/>
      <c r="H780" s="181"/>
      <c r="I780" s="55"/>
      <c r="J780" s="55"/>
      <c r="K780" s="55"/>
      <c r="L780" s="55"/>
      <c r="M780" s="55"/>
      <c r="N780" s="55"/>
      <c r="O780" s="55"/>
      <c r="P780" s="55"/>
      <c r="Q780" s="55"/>
      <c r="R780" s="55"/>
      <c r="S780" s="55"/>
      <c r="T780" s="55"/>
      <c r="U780" s="55"/>
      <c r="V780" s="55"/>
      <c r="W780" s="55"/>
      <c r="X780" s="55"/>
      <c r="Y780" s="55"/>
      <c r="Z780" s="55"/>
      <c r="AA780" s="55"/>
      <c r="AB780" s="55"/>
      <c r="AC780" s="55"/>
    </row>
    <row r="781">
      <c r="A781" s="53"/>
      <c r="B781" s="53"/>
      <c r="C781" s="55"/>
      <c r="D781" s="55"/>
      <c r="E781" s="55"/>
      <c r="F781" s="55"/>
      <c r="G781" s="55"/>
      <c r="H781" s="181"/>
      <c r="I781" s="55"/>
      <c r="J781" s="55"/>
      <c r="K781" s="55"/>
      <c r="L781" s="55"/>
      <c r="M781" s="55"/>
      <c r="N781" s="55"/>
      <c r="O781" s="55"/>
      <c r="P781" s="55"/>
      <c r="Q781" s="55"/>
      <c r="R781" s="55"/>
      <c r="S781" s="55"/>
      <c r="T781" s="55"/>
      <c r="U781" s="55"/>
      <c r="V781" s="55"/>
      <c r="W781" s="55"/>
      <c r="X781" s="55"/>
      <c r="Y781" s="55"/>
      <c r="Z781" s="55"/>
      <c r="AA781" s="55"/>
      <c r="AB781" s="55"/>
      <c r="AC781" s="55"/>
    </row>
    <row r="782">
      <c r="A782" s="53"/>
      <c r="B782" s="53"/>
      <c r="C782" s="55"/>
      <c r="D782" s="55"/>
      <c r="E782" s="55"/>
      <c r="F782" s="55"/>
      <c r="G782" s="55"/>
      <c r="H782" s="181"/>
      <c r="I782" s="55"/>
      <c r="J782" s="55"/>
      <c r="K782" s="55"/>
      <c r="L782" s="55"/>
      <c r="M782" s="55"/>
      <c r="N782" s="55"/>
      <c r="O782" s="55"/>
      <c r="P782" s="55"/>
      <c r="Q782" s="55"/>
      <c r="R782" s="55"/>
      <c r="S782" s="55"/>
      <c r="T782" s="55"/>
      <c r="U782" s="55"/>
      <c r="V782" s="55"/>
      <c r="W782" s="55"/>
      <c r="X782" s="55"/>
      <c r="Y782" s="55"/>
      <c r="Z782" s="55"/>
      <c r="AA782" s="55"/>
      <c r="AB782" s="55"/>
      <c r="AC782" s="55"/>
    </row>
    <row r="783">
      <c r="A783" s="53"/>
      <c r="B783" s="53"/>
      <c r="C783" s="55"/>
      <c r="D783" s="55"/>
      <c r="E783" s="55"/>
      <c r="F783" s="55"/>
      <c r="G783" s="55"/>
      <c r="H783" s="181"/>
      <c r="I783" s="55"/>
      <c r="J783" s="55"/>
      <c r="K783" s="55"/>
      <c r="L783" s="55"/>
      <c r="M783" s="55"/>
      <c r="N783" s="55"/>
      <c r="O783" s="55"/>
      <c r="P783" s="55"/>
      <c r="Q783" s="55"/>
      <c r="R783" s="55"/>
      <c r="S783" s="55"/>
      <c r="T783" s="55"/>
      <c r="U783" s="55"/>
      <c r="V783" s="55"/>
      <c r="W783" s="55"/>
      <c r="X783" s="55"/>
      <c r="Y783" s="55"/>
      <c r="Z783" s="55"/>
      <c r="AA783" s="55"/>
      <c r="AB783" s="55"/>
      <c r="AC783" s="55"/>
    </row>
    <row r="784">
      <c r="A784" s="53"/>
      <c r="B784" s="53"/>
      <c r="C784" s="55"/>
      <c r="D784" s="55"/>
      <c r="E784" s="55"/>
      <c r="F784" s="55"/>
      <c r="G784" s="55"/>
      <c r="H784" s="181"/>
      <c r="I784" s="55"/>
      <c r="J784" s="55"/>
      <c r="K784" s="55"/>
      <c r="L784" s="55"/>
      <c r="M784" s="55"/>
      <c r="N784" s="55"/>
      <c r="O784" s="55"/>
      <c r="P784" s="55"/>
      <c r="Q784" s="55"/>
      <c r="R784" s="55"/>
      <c r="S784" s="55"/>
      <c r="T784" s="55"/>
      <c r="U784" s="55"/>
      <c r="V784" s="55"/>
      <c r="W784" s="55"/>
      <c r="X784" s="55"/>
      <c r="Y784" s="55"/>
      <c r="Z784" s="55"/>
      <c r="AA784" s="55"/>
      <c r="AB784" s="55"/>
      <c r="AC784" s="55"/>
    </row>
    <row r="785">
      <c r="A785" s="53"/>
      <c r="B785" s="53"/>
      <c r="C785" s="55"/>
      <c r="D785" s="55"/>
      <c r="E785" s="55"/>
      <c r="F785" s="55"/>
      <c r="G785" s="55"/>
      <c r="H785" s="181"/>
      <c r="I785" s="55"/>
      <c r="J785" s="55"/>
      <c r="K785" s="55"/>
      <c r="L785" s="55"/>
      <c r="M785" s="55"/>
      <c r="N785" s="55"/>
      <c r="O785" s="55"/>
      <c r="P785" s="55"/>
      <c r="Q785" s="55"/>
      <c r="R785" s="55"/>
      <c r="S785" s="55"/>
      <c r="T785" s="55"/>
      <c r="U785" s="55"/>
      <c r="V785" s="55"/>
      <c r="W785" s="55"/>
      <c r="X785" s="55"/>
      <c r="Y785" s="55"/>
      <c r="Z785" s="55"/>
      <c r="AA785" s="55"/>
      <c r="AB785" s="55"/>
      <c r="AC785" s="55"/>
    </row>
    <row r="786">
      <c r="A786" s="53"/>
      <c r="B786" s="53"/>
      <c r="C786" s="55"/>
      <c r="D786" s="55"/>
      <c r="E786" s="55"/>
      <c r="F786" s="55"/>
      <c r="G786" s="55"/>
      <c r="H786" s="181"/>
      <c r="I786" s="55"/>
      <c r="J786" s="55"/>
      <c r="K786" s="55"/>
      <c r="L786" s="55"/>
      <c r="M786" s="55"/>
      <c r="N786" s="55"/>
      <c r="O786" s="55"/>
      <c r="P786" s="55"/>
      <c r="Q786" s="55"/>
      <c r="R786" s="55"/>
      <c r="S786" s="55"/>
      <c r="T786" s="55"/>
      <c r="U786" s="55"/>
      <c r="V786" s="55"/>
      <c r="W786" s="55"/>
      <c r="X786" s="55"/>
      <c r="Y786" s="55"/>
      <c r="Z786" s="55"/>
      <c r="AA786" s="55"/>
      <c r="AB786" s="55"/>
      <c r="AC786" s="55"/>
    </row>
    <row r="787">
      <c r="A787" s="53"/>
      <c r="B787" s="53"/>
      <c r="C787" s="55"/>
      <c r="D787" s="55"/>
      <c r="E787" s="55"/>
      <c r="F787" s="55"/>
      <c r="G787" s="55"/>
      <c r="H787" s="181"/>
      <c r="I787" s="55"/>
      <c r="J787" s="55"/>
      <c r="K787" s="55"/>
      <c r="L787" s="55"/>
      <c r="M787" s="55"/>
      <c r="N787" s="55"/>
      <c r="O787" s="55"/>
      <c r="P787" s="55"/>
      <c r="Q787" s="55"/>
      <c r="R787" s="55"/>
      <c r="S787" s="55"/>
      <c r="T787" s="55"/>
      <c r="U787" s="55"/>
      <c r="V787" s="55"/>
      <c r="W787" s="55"/>
      <c r="X787" s="55"/>
      <c r="Y787" s="55"/>
      <c r="Z787" s="55"/>
      <c r="AA787" s="55"/>
      <c r="AB787" s="55"/>
      <c r="AC787" s="55"/>
    </row>
    <row r="788">
      <c r="A788" s="53"/>
      <c r="B788" s="53"/>
      <c r="C788" s="55"/>
      <c r="D788" s="55"/>
      <c r="E788" s="55"/>
      <c r="F788" s="55"/>
      <c r="G788" s="55"/>
      <c r="H788" s="181"/>
      <c r="I788" s="55"/>
      <c r="J788" s="55"/>
      <c r="K788" s="55"/>
      <c r="L788" s="55"/>
      <c r="M788" s="55"/>
      <c r="N788" s="55"/>
      <c r="O788" s="55"/>
      <c r="P788" s="55"/>
      <c r="Q788" s="55"/>
      <c r="R788" s="55"/>
      <c r="S788" s="55"/>
      <c r="T788" s="55"/>
      <c r="U788" s="55"/>
      <c r="V788" s="55"/>
      <c r="W788" s="55"/>
      <c r="X788" s="55"/>
      <c r="Y788" s="55"/>
      <c r="Z788" s="55"/>
      <c r="AA788" s="55"/>
      <c r="AB788" s="55"/>
      <c r="AC788" s="55"/>
    </row>
    <row r="789">
      <c r="A789" s="53"/>
      <c r="B789" s="53"/>
      <c r="C789" s="55"/>
      <c r="D789" s="55"/>
      <c r="E789" s="55"/>
      <c r="F789" s="55"/>
      <c r="G789" s="55"/>
      <c r="H789" s="181"/>
      <c r="I789" s="55"/>
      <c r="J789" s="55"/>
      <c r="K789" s="55"/>
      <c r="L789" s="55"/>
      <c r="M789" s="55"/>
      <c r="N789" s="55"/>
      <c r="O789" s="55"/>
      <c r="P789" s="55"/>
      <c r="Q789" s="55"/>
      <c r="R789" s="55"/>
      <c r="S789" s="55"/>
      <c r="T789" s="55"/>
      <c r="U789" s="55"/>
      <c r="V789" s="55"/>
      <c r="W789" s="55"/>
      <c r="X789" s="55"/>
      <c r="Y789" s="55"/>
      <c r="Z789" s="55"/>
      <c r="AA789" s="55"/>
      <c r="AB789" s="55"/>
      <c r="AC789" s="55"/>
    </row>
    <row r="790">
      <c r="A790" s="53"/>
      <c r="B790" s="53"/>
      <c r="C790" s="55"/>
      <c r="D790" s="55"/>
      <c r="E790" s="55"/>
      <c r="F790" s="55"/>
      <c r="G790" s="55"/>
      <c r="H790" s="181"/>
      <c r="I790" s="55"/>
      <c r="J790" s="55"/>
      <c r="K790" s="55"/>
      <c r="L790" s="55"/>
      <c r="M790" s="55"/>
      <c r="N790" s="55"/>
      <c r="O790" s="55"/>
      <c r="P790" s="55"/>
      <c r="Q790" s="55"/>
      <c r="R790" s="55"/>
      <c r="S790" s="55"/>
      <c r="T790" s="55"/>
      <c r="U790" s="55"/>
      <c r="V790" s="55"/>
      <c r="W790" s="55"/>
      <c r="X790" s="55"/>
      <c r="Y790" s="55"/>
      <c r="Z790" s="55"/>
      <c r="AA790" s="55"/>
      <c r="AB790" s="55"/>
      <c r="AC790" s="55"/>
    </row>
    <row r="791">
      <c r="A791" s="53"/>
      <c r="B791" s="53"/>
      <c r="C791" s="55"/>
      <c r="D791" s="55"/>
      <c r="E791" s="55"/>
      <c r="F791" s="55"/>
      <c r="G791" s="55"/>
      <c r="H791" s="181"/>
      <c r="I791" s="55"/>
      <c r="J791" s="55"/>
      <c r="K791" s="55"/>
      <c r="L791" s="55"/>
      <c r="M791" s="55"/>
      <c r="N791" s="55"/>
      <c r="O791" s="55"/>
      <c r="P791" s="55"/>
      <c r="Q791" s="55"/>
      <c r="R791" s="55"/>
      <c r="S791" s="55"/>
      <c r="T791" s="55"/>
      <c r="U791" s="55"/>
      <c r="V791" s="55"/>
      <c r="W791" s="55"/>
      <c r="X791" s="55"/>
      <c r="Y791" s="55"/>
      <c r="Z791" s="55"/>
      <c r="AA791" s="55"/>
      <c r="AB791" s="55"/>
      <c r="AC791" s="55"/>
    </row>
    <row r="792">
      <c r="A792" s="53"/>
      <c r="B792" s="53"/>
      <c r="C792" s="55"/>
      <c r="D792" s="55"/>
      <c r="E792" s="55"/>
      <c r="F792" s="55"/>
      <c r="G792" s="55"/>
      <c r="H792" s="181"/>
      <c r="I792" s="55"/>
      <c r="J792" s="55"/>
      <c r="K792" s="55"/>
      <c r="L792" s="55"/>
      <c r="M792" s="55"/>
      <c r="N792" s="55"/>
      <c r="O792" s="55"/>
      <c r="P792" s="55"/>
      <c r="Q792" s="55"/>
      <c r="R792" s="55"/>
      <c r="S792" s="55"/>
      <c r="T792" s="55"/>
      <c r="U792" s="55"/>
      <c r="V792" s="55"/>
      <c r="W792" s="55"/>
      <c r="X792" s="55"/>
      <c r="Y792" s="55"/>
      <c r="Z792" s="55"/>
      <c r="AA792" s="55"/>
      <c r="AB792" s="55"/>
      <c r="AC792" s="55"/>
    </row>
    <row r="793">
      <c r="A793" s="53"/>
      <c r="B793" s="53"/>
      <c r="C793" s="55"/>
      <c r="D793" s="55"/>
      <c r="E793" s="55"/>
      <c r="F793" s="55"/>
      <c r="G793" s="55"/>
      <c r="H793" s="181"/>
      <c r="I793" s="55"/>
      <c r="J793" s="55"/>
      <c r="K793" s="55"/>
      <c r="L793" s="55"/>
      <c r="M793" s="55"/>
      <c r="N793" s="55"/>
      <c r="O793" s="55"/>
      <c r="P793" s="55"/>
      <c r="Q793" s="55"/>
      <c r="R793" s="55"/>
      <c r="S793" s="55"/>
      <c r="T793" s="55"/>
      <c r="U793" s="55"/>
      <c r="V793" s="55"/>
      <c r="W793" s="55"/>
      <c r="X793" s="55"/>
      <c r="Y793" s="55"/>
      <c r="Z793" s="55"/>
      <c r="AA793" s="55"/>
      <c r="AB793" s="55"/>
      <c r="AC793" s="55"/>
    </row>
    <row r="794">
      <c r="A794" s="53"/>
      <c r="B794" s="53"/>
      <c r="C794" s="55"/>
      <c r="D794" s="55"/>
      <c r="E794" s="55"/>
      <c r="F794" s="55"/>
      <c r="G794" s="55"/>
      <c r="H794" s="181"/>
      <c r="I794" s="55"/>
      <c r="J794" s="55"/>
      <c r="K794" s="55"/>
      <c r="L794" s="55"/>
      <c r="M794" s="55"/>
      <c r="N794" s="55"/>
      <c r="O794" s="55"/>
      <c r="P794" s="55"/>
      <c r="Q794" s="55"/>
      <c r="R794" s="55"/>
      <c r="S794" s="55"/>
      <c r="T794" s="55"/>
      <c r="U794" s="55"/>
      <c r="V794" s="55"/>
      <c r="W794" s="55"/>
      <c r="X794" s="55"/>
      <c r="Y794" s="55"/>
      <c r="Z794" s="55"/>
      <c r="AA794" s="55"/>
      <c r="AB794" s="55"/>
      <c r="AC794" s="55"/>
    </row>
    <row r="795">
      <c r="A795" s="53"/>
      <c r="B795" s="53"/>
      <c r="C795" s="55"/>
      <c r="D795" s="55"/>
      <c r="E795" s="55"/>
      <c r="F795" s="55"/>
      <c r="G795" s="55"/>
      <c r="H795" s="181"/>
      <c r="I795" s="55"/>
      <c r="J795" s="55"/>
      <c r="K795" s="55"/>
      <c r="L795" s="55"/>
      <c r="M795" s="55"/>
      <c r="N795" s="55"/>
      <c r="O795" s="55"/>
      <c r="P795" s="55"/>
      <c r="Q795" s="55"/>
      <c r="R795" s="55"/>
      <c r="S795" s="55"/>
      <c r="T795" s="55"/>
      <c r="U795" s="55"/>
      <c r="V795" s="55"/>
      <c r="W795" s="55"/>
      <c r="X795" s="55"/>
      <c r="Y795" s="55"/>
      <c r="Z795" s="55"/>
      <c r="AA795" s="55"/>
      <c r="AB795" s="55"/>
      <c r="AC795" s="55"/>
    </row>
    <row r="796">
      <c r="A796" s="53"/>
      <c r="B796" s="53"/>
      <c r="C796" s="55"/>
      <c r="D796" s="55"/>
      <c r="E796" s="55"/>
      <c r="F796" s="55"/>
      <c r="G796" s="55"/>
      <c r="H796" s="181"/>
      <c r="I796" s="55"/>
      <c r="J796" s="55"/>
      <c r="K796" s="55"/>
      <c r="L796" s="55"/>
      <c r="M796" s="55"/>
      <c r="N796" s="55"/>
      <c r="O796" s="55"/>
      <c r="P796" s="55"/>
      <c r="Q796" s="55"/>
      <c r="R796" s="55"/>
      <c r="S796" s="55"/>
      <c r="T796" s="55"/>
      <c r="U796" s="55"/>
      <c r="V796" s="55"/>
      <c r="W796" s="55"/>
      <c r="X796" s="55"/>
      <c r="Y796" s="55"/>
      <c r="Z796" s="55"/>
      <c r="AA796" s="55"/>
      <c r="AB796" s="55"/>
      <c r="AC796" s="55"/>
    </row>
    <row r="797">
      <c r="A797" s="53"/>
      <c r="B797" s="53"/>
      <c r="C797" s="55"/>
      <c r="D797" s="55"/>
      <c r="E797" s="55"/>
      <c r="F797" s="55"/>
      <c r="G797" s="55"/>
      <c r="H797" s="181"/>
      <c r="I797" s="55"/>
      <c r="J797" s="55"/>
      <c r="K797" s="55"/>
      <c r="L797" s="55"/>
      <c r="M797" s="55"/>
      <c r="N797" s="55"/>
      <c r="O797" s="55"/>
      <c r="P797" s="55"/>
      <c r="Q797" s="55"/>
      <c r="R797" s="55"/>
      <c r="S797" s="55"/>
      <c r="T797" s="55"/>
      <c r="U797" s="55"/>
      <c r="V797" s="55"/>
      <c r="W797" s="55"/>
      <c r="X797" s="55"/>
      <c r="Y797" s="55"/>
      <c r="Z797" s="55"/>
      <c r="AA797" s="55"/>
      <c r="AB797" s="55"/>
      <c r="AC797" s="55"/>
    </row>
    <row r="798">
      <c r="A798" s="53"/>
      <c r="B798" s="53"/>
      <c r="C798" s="55"/>
      <c r="D798" s="55"/>
      <c r="E798" s="55"/>
      <c r="F798" s="55"/>
      <c r="G798" s="55"/>
      <c r="H798" s="181"/>
      <c r="I798" s="55"/>
      <c r="J798" s="55"/>
      <c r="K798" s="55"/>
      <c r="L798" s="55"/>
      <c r="M798" s="55"/>
      <c r="N798" s="55"/>
      <c r="O798" s="55"/>
      <c r="P798" s="55"/>
      <c r="Q798" s="55"/>
      <c r="R798" s="55"/>
      <c r="S798" s="55"/>
      <c r="T798" s="55"/>
      <c r="U798" s="55"/>
      <c r="V798" s="55"/>
      <c r="W798" s="55"/>
      <c r="X798" s="55"/>
      <c r="Y798" s="55"/>
      <c r="Z798" s="55"/>
      <c r="AA798" s="55"/>
      <c r="AB798" s="55"/>
      <c r="AC798" s="55"/>
    </row>
    <row r="799">
      <c r="A799" s="53"/>
      <c r="B799" s="53"/>
      <c r="C799" s="55"/>
      <c r="D799" s="55"/>
      <c r="E799" s="55"/>
      <c r="F799" s="55"/>
      <c r="G799" s="55"/>
      <c r="H799" s="181"/>
      <c r="I799" s="55"/>
      <c r="J799" s="55"/>
      <c r="K799" s="55"/>
      <c r="L799" s="55"/>
      <c r="M799" s="55"/>
      <c r="N799" s="55"/>
      <c r="O799" s="55"/>
      <c r="P799" s="55"/>
      <c r="Q799" s="55"/>
      <c r="R799" s="55"/>
      <c r="S799" s="55"/>
      <c r="T799" s="55"/>
      <c r="U799" s="55"/>
      <c r="V799" s="55"/>
      <c r="W799" s="55"/>
      <c r="X799" s="55"/>
      <c r="Y799" s="55"/>
      <c r="Z799" s="55"/>
      <c r="AA799" s="55"/>
      <c r="AB799" s="55"/>
      <c r="AC799" s="55"/>
    </row>
    <row r="800">
      <c r="A800" s="53"/>
      <c r="B800" s="53"/>
      <c r="C800" s="55"/>
      <c r="D800" s="55"/>
      <c r="E800" s="55"/>
      <c r="F800" s="55"/>
      <c r="G800" s="55"/>
      <c r="H800" s="181"/>
      <c r="I800" s="55"/>
      <c r="J800" s="55"/>
      <c r="K800" s="55"/>
      <c r="L800" s="55"/>
      <c r="M800" s="55"/>
      <c r="N800" s="55"/>
      <c r="O800" s="55"/>
      <c r="P800" s="55"/>
      <c r="Q800" s="55"/>
      <c r="R800" s="55"/>
      <c r="S800" s="55"/>
      <c r="T800" s="55"/>
      <c r="U800" s="55"/>
      <c r="V800" s="55"/>
      <c r="W800" s="55"/>
      <c r="X800" s="55"/>
      <c r="Y800" s="55"/>
      <c r="Z800" s="55"/>
      <c r="AA800" s="55"/>
      <c r="AB800" s="55"/>
      <c r="AC800" s="55"/>
    </row>
    <row r="801">
      <c r="A801" s="53"/>
      <c r="B801" s="53"/>
      <c r="C801" s="55"/>
      <c r="D801" s="55"/>
      <c r="E801" s="55"/>
      <c r="F801" s="55"/>
      <c r="G801" s="55"/>
      <c r="H801" s="181"/>
      <c r="I801" s="55"/>
      <c r="J801" s="55"/>
      <c r="K801" s="55"/>
      <c r="L801" s="55"/>
      <c r="M801" s="55"/>
      <c r="N801" s="55"/>
      <c r="O801" s="55"/>
      <c r="P801" s="55"/>
      <c r="Q801" s="55"/>
      <c r="R801" s="55"/>
      <c r="S801" s="55"/>
      <c r="T801" s="55"/>
      <c r="U801" s="55"/>
      <c r="V801" s="55"/>
      <c r="W801" s="55"/>
      <c r="X801" s="55"/>
      <c r="Y801" s="55"/>
      <c r="Z801" s="55"/>
      <c r="AA801" s="55"/>
      <c r="AB801" s="55"/>
      <c r="AC801" s="55"/>
    </row>
    <row r="802">
      <c r="A802" s="53"/>
      <c r="B802" s="53"/>
      <c r="C802" s="55"/>
      <c r="D802" s="55"/>
      <c r="E802" s="55"/>
      <c r="F802" s="55"/>
      <c r="G802" s="55"/>
      <c r="H802" s="181"/>
      <c r="I802" s="55"/>
      <c r="J802" s="55"/>
      <c r="K802" s="55"/>
      <c r="L802" s="55"/>
      <c r="M802" s="55"/>
      <c r="N802" s="55"/>
      <c r="O802" s="55"/>
      <c r="P802" s="55"/>
      <c r="Q802" s="55"/>
      <c r="R802" s="55"/>
      <c r="S802" s="55"/>
      <c r="T802" s="55"/>
      <c r="U802" s="55"/>
      <c r="V802" s="55"/>
      <c r="W802" s="55"/>
      <c r="X802" s="55"/>
      <c r="Y802" s="55"/>
      <c r="Z802" s="55"/>
      <c r="AA802" s="55"/>
      <c r="AB802" s="55"/>
      <c r="AC802" s="55"/>
    </row>
    <row r="803">
      <c r="A803" s="53"/>
      <c r="B803" s="53"/>
      <c r="C803" s="55"/>
      <c r="D803" s="55"/>
      <c r="E803" s="55"/>
      <c r="F803" s="55"/>
      <c r="G803" s="55"/>
      <c r="H803" s="181"/>
      <c r="I803" s="55"/>
      <c r="J803" s="55"/>
      <c r="K803" s="55"/>
      <c r="L803" s="55"/>
      <c r="M803" s="55"/>
      <c r="N803" s="55"/>
      <c r="O803" s="55"/>
      <c r="P803" s="55"/>
      <c r="Q803" s="55"/>
      <c r="R803" s="55"/>
      <c r="S803" s="55"/>
      <c r="T803" s="55"/>
      <c r="U803" s="55"/>
      <c r="V803" s="55"/>
      <c r="W803" s="55"/>
      <c r="X803" s="55"/>
      <c r="Y803" s="55"/>
      <c r="Z803" s="55"/>
      <c r="AA803" s="55"/>
      <c r="AB803" s="55"/>
      <c r="AC803" s="55"/>
    </row>
    <row r="804">
      <c r="A804" s="53"/>
      <c r="B804" s="53"/>
      <c r="C804" s="55"/>
      <c r="D804" s="55"/>
      <c r="E804" s="55"/>
      <c r="F804" s="55"/>
      <c r="G804" s="55"/>
      <c r="H804" s="181"/>
      <c r="I804" s="55"/>
      <c r="J804" s="55"/>
      <c r="K804" s="55"/>
      <c r="L804" s="55"/>
      <c r="M804" s="55"/>
      <c r="N804" s="55"/>
      <c r="O804" s="55"/>
      <c r="P804" s="55"/>
      <c r="Q804" s="55"/>
      <c r="R804" s="55"/>
      <c r="S804" s="55"/>
      <c r="T804" s="55"/>
      <c r="U804" s="55"/>
      <c r="V804" s="55"/>
      <c r="W804" s="55"/>
      <c r="X804" s="55"/>
      <c r="Y804" s="55"/>
      <c r="Z804" s="55"/>
      <c r="AA804" s="55"/>
      <c r="AB804" s="55"/>
      <c r="AC804" s="55"/>
    </row>
    <row r="805">
      <c r="A805" s="53"/>
      <c r="B805" s="53"/>
      <c r="C805" s="55"/>
      <c r="D805" s="55"/>
      <c r="E805" s="55"/>
      <c r="F805" s="55"/>
      <c r="G805" s="55"/>
      <c r="H805" s="181"/>
      <c r="I805" s="55"/>
      <c r="J805" s="55"/>
      <c r="K805" s="55"/>
      <c r="L805" s="55"/>
      <c r="M805" s="55"/>
      <c r="N805" s="55"/>
      <c r="O805" s="55"/>
      <c r="P805" s="55"/>
      <c r="Q805" s="55"/>
      <c r="R805" s="55"/>
      <c r="S805" s="55"/>
      <c r="T805" s="55"/>
      <c r="U805" s="55"/>
      <c r="V805" s="55"/>
      <c r="W805" s="55"/>
      <c r="X805" s="55"/>
      <c r="Y805" s="55"/>
      <c r="Z805" s="55"/>
      <c r="AA805" s="55"/>
      <c r="AB805" s="55"/>
      <c r="AC805" s="55"/>
    </row>
    <row r="806">
      <c r="A806" s="53"/>
      <c r="B806" s="53"/>
      <c r="C806" s="55"/>
      <c r="D806" s="55"/>
      <c r="E806" s="55"/>
      <c r="F806" s="55"/>
      <c r="G806" s="55"/>
      <c r="H806" s="181"/>
      <c r="I806" s="55"/>
      <c r="J806" s="55"/>
      <c r="K806" s="55"/>
      <c r="L806" s="55"/>
      <c r="M806" s="55"/>
      <c r="N806" s="55"/>
      <c r="O806" s="55"/>
      <c r="P806" s="55"/>
      <c r="Q806" s="55"/>
      <c r="R806" s="55"/>
      <c r="S806" s="55"/>
      <c r="T806" s="55"/>
      <c r="U806" s="55"/>
      <c r="V806" s="55"/>
      <c r="W806" s="55"/>
      <c r="X806" s="55"/>
      <c r="Y806" s="55"/>
      <c r="Z806" s="55"/>
      <c r="AA806" s="55"/>
      <c r="AB806" s="55"/>
      <c r="AC806" s="55"/>
    </row>
    <row r="807">
      <c r="A807" s="53"/>
      <c r="B807" s="53"/>
      <c r="C807" s="55"/>
      <c r="D807" s="55"/>
      <c r="E807" s="55"/>
      <c r="F807" s="55"/>
      <c r="G807" s="55"/>
      <c r="H807" s="181"/>
      <c r="I807" s="55"/>
      <c r="J807" s="55"/>
      <c r="K807" s="55"/>
      <c r="L807" s="55"/>
      <c r="M807" s="55"/>
      <c r="N807" s="55"/>
      <c r="O807" s="55"/>
      <c r="P807" s="55"/>
      <c r="Q807" s="55"/>
      <c r="R807" s="55"/>
      <c r="S807" s="55"/>
      <c r="T807" s="55"/>
      <c r="U807" s="55"/>
      <c r="V807" s="55"/>
      <c r="W807" s="55"/>
      <c r="X807" s="55"/>
      <c r="Y807" s="55"/>
      <c r="Z807" s="55"/>
      <c r="AA807" s="55"/>
      <c r="AB807" s="55"/>
      <c r="AC807" s="55"/>
    </row>
    <row r="808">
      <c r="A808" s="53"/>
      <c r="B808" s="53"/>
      <c r="C808" s="55"/>
      <c r="D808" s="55"/>
      <c r="E808" s="55"/>
      <c r="F808" s="55"/>
      <c r="G808" s="55"/>
      <c r="H808" s="181"/>
      <c r="I808" s="55"/>
      <c r="J808" s="55"/>
      <c r="K808" s="55"/>
      <c r="L808" s="55"/>
      <c r="M808" s="55"/>
      <c r="N808" s="55"/>
      <c r="O808" s="55"/>
      <c r="P808" s="55"/>
      <c r="Q808" s="55"/>
      <c r="R808" s="55"/>
      <c r="S808" s="55"/>
      <c r="T808" s="55"/>
      <c r="U808" s="55"/>
      <c r="V808" s="55"/>
      <c r="W808" s="55"/>
      <c r="X808" s="55"/>
      <c r="Y808" s="55"/>
      <c r="Z808" s="55"/>
      <c r="AA808" s="55"/>
      <c r="AB808" s="55"/>
      <c r="AC808" s="55"/>
    </row>
    <row r="809">
      <c r="A809" s="53"/>
      <c r="B809" s="53"/>
      <c r="C809" s="55"/>
      <c r="D809" s="55"/>
      <c r="E809" s="55"/>
      <c r="F809" s="55"/>
      <c r="G809" s="55"/>
      <c r="H809" s="181"/>
      <c r="I809" s="55"/>
      <c r="J809" s="55"/>
      <c r="K809" s="55"/>
      <c r="L809" s="55"/>
      <c r="M809" s="55"/>
      <c r="N809" s="55"/>
      <c r="O809" s="55"/>
      <c r="P809" s="55"/>
      <c r="Q809" s="55"/>
      <c r="R809" s="55"/>
      <c r="S809" s="55"/>
      <c r="T809" s="55"/>
      <c r="U809" s="55"/>
      <c r="V809" s="55"/>
      <c r="W809" s="55"/>
      <c r="X809" s="55"/>
      <c r="Y809" s="55"/>
      <c r="Z809" s="55"/>
      <c r="AA809" s="55"/>
      <c r="AB809" s="55"/>
      <c r="AC809" s="55"/>
    </row>
    <row r="810">
      <c r="A810" s="53"/>
      <c r="B810" s="53"/>
      <c r="C810" s="55"/>
      <c r="D810" s="55"/>
      <c r="E810" s="55"/>
      <c r="F810" s="55"/>
      <c r="G810" s="55"/>
      <c r="H810" s="181"/>
      <c r="I810" s="55"/>
      <c r="J810" s="55"/>
      <c r="K810" s="55"/>
      <c r="L810" s="55"/>
      <c r="M810" s="55"/>
      <c r="N810" s="55"/>
      <c r="O810" s="55"/>
      <c r="P810" s="55"/>
      <c r="Q810" s="55"/>
      <c r="R810" s="55"/>
      <c r="S810" s="55"/>
      <c r="T810" s="55"/>
      <c r="U810" s="55"/>
      <c r="V810" s="55"/>
      <c r="W810" s="55"/>
      <c r="X810" s="55"/>
      <c r="Y810" s="55"/>
      <c r="Z810" s="55"/>
      <c r="AA810" s="55"/>
      <c r="AB810" s="55"/>
      <c r="AC810" s="55"/>
    </row>
    <row r="811">
      <c r="A811" s="53"/>
      <c r="B811" s="53"/>
      <c r="C811" s="55"/>
      <c r="D811" s="55"/>
      <c r="E811" s="55"/>
      <c r="F811" s="55"/>
      <c r="G811" s="55"/>
      <c r="H811" s="181"/>
      <c r="I811" s="55"/>
      <c r="J811" s="55"/>
      <c r="K811" s="55"/>
      <c r="L811" s="55"/>
      <c r="M811" s="55"/>
      <c r="N811" s="55"/>
      <c r="O811" s="55"/>
      <c r="P811" s="55"/>
      <c r="Q811" s="55"/>
      <c r="R811" s="55"/>
      <c r="S811" s="55"/>
      <c r="T811" s="55"/>
      <c r="U811" s="55"/>
      <c r="V811" s="55"/>
      <c r="W811" s="55"/>
      <c r="X811" s="55"/>
      <c r="Y811" s="55"/>
      <c r="Z811" s="55"/>
      <c r="AA811" s="55"/>
      <c r="AB811" s="55"/>
      <c r="AC811" s="55"/>
    </row>
    <row r="812">
      <c r="A812" s="53"/>
      <c r="B812" s="53"/>
      <c r="C812" s="55"/>
      <c r="D812" s="55"/>
      <c r="E812" s="55"/>
      <c r="F812" s="55"/>
      <c r="G812" s="55"/>
      <c r="H812" s="181"/>
      <c r="I812" s="55"/>
      <c r="J812" s="55"/>
      <c r="K812" s="55"/>
      <c r="L812" s="55"/>
      <c r="M812" s="55"/>
      <c r="N812" s="55"/>
      <c r="O812" s="55"/>
      <c r="P812" s="55"/>
      <c r="Q812" s="55"/>
      <c r="R812" s="55"/>
      <c r="S812" s="55"/>
      <c r="T812" s="55"/>
      <c r="U812" s="55"/>
      <c r="V812" s="55"/>
      <c r="W812" s="55"/>
      <c r="X812" s="55"/>
      <c r="Y812" s="55"/>
      <c r="Z812" s="55"/>
      <c r="AA812" s="55"/>
      <c r="AB812" s="55"/>
      <c r="AC812" s="55"/>
    </row>
    <row r="813">
      <c r="A813" s="53"/>
      <c r="B813" s="53"/>
      <c r="C813" s="55"/>
      <c r="D813" s="55"/>
      <c r="E813" s="55"/>
      <c r="F813" s="55"/>
      <c r="G813" s="55"/>
      <c r="H813" s="181"/>
      <c r="I813" s="55"/>
      <c r="J813" s="55"/>
      <c r="K813" s="55"/>
      <c r="L813" s="55"/>
      <c r="M813" s="55"/>
      <c r="N813" s="55"/>
      <c r="O813" s="55"/>
      <c r="P813" s="55"/>
      <c r="Q813" s="55"/>
      <c r="R813" s="55"/>
      <c r="S813" s="55"/>
      <c r="T813" s="55"/>
      <c r="U813" s="55"/>
      <c r="V813" s="55"/>
      <c r="W813" s="55"/>
      <c r="X813" s="55"/>
      <c r="Y813" s="55"/>
      <c r="Z813" s="55"/>
      <c r="AA813" s="55"/>
      <c r="AB813" s="55"/>
      <c r="AC813" s="55"/>
    </row>
    <row r="814">
      <c r="A814" s="53"/>
      <c r="B814" s="53"/>
      <c r="C814" s="55"/>
      <c r="D814" s="55"/>
      <c r="E814" s="55"/>
      <c r="F814" s="55"/>
      <c r="G814" s="55"/>
      <c r="H814" s="181"/>
      <c r="I814" s="55"/>
      <c r="J814" s="55"/>
      <c r="K814" s="55"/>
      <c r="L814" s="55"/>
      <c r="M814" s="55"/>
      <c r="N814" s="55"/>
      <c r="O814" s="55"/>
      <c r="P814" s="55"/>
      <c r="Q814" s="55"/>
      <c r="R814" s="55"/>
      <c r="S814" s="55"/>
      <c r="T814" s="55"/>
      <c r="U814" s="55"/>
      <c r="V814" s="55"/>
      <c r="W814" s="55"/>
      <c r="X814" s="55"/>
      <c r="Y814" s="55"/>
      <c r="Z814" s="55"/>
      <c r="AA814" s="55"/>
      <c r="AB814" s="55"/>
      <c r="AC814" s="55"/>
    </row>
    <row r="815">
      <c r="A815" s="53"/>
      <c r="B815" s="53"/>
      <c r="C815" s="55"/>
      <c r="D815" s="55"/>
      <c r="E815" s="55"/>
      <c r="F815" s="55"/>
      <c r="G815" s="55"/>
      <c r="H815" s="181"/>
      <c r="I815" s="55"/>
      <c r="J815" s="55"/>
      <c r="K815" s="55"/>
      <c r="L815" s="55"/>
      <c r="M815" s="55"/>
      <c r="N815" s="55"/>
      <c r="O815" s="55"/>
      <c r="P815" s="55"/>
      <c r="Q815" s="55"/>
      <c r="R815" s="55"/>
      <c r="S815" s="55"/>
      <c r="T815" s="55"/>
      <c r="U815" s="55"/>
      <c r="V815" s="55"/>
      <c r="W815" s="55"/>
      <c r="X815" s="55"/>
      <c r="Y815" s="55"/>
      <c r="Z815" s="55"/>
      <c r="AA815" s="55"/>
      <c r="AB815" s="55"/>
      <c r="AC815" s="55"/>
    </row>
    <row r="816">
      <c r="A816" s="53"/>
      <c r="B816" s="53"/>
      <c r="C816" s="55"/>
      <c r="D816" s="55"/>
      <c r="E816" s="55"/>
      <c r="F816" s="55"/>
      <c r="G816" s="55"/>
      <c r="H816" s="181"/>
      <c r="I816" s="55"/>
      <c r="J816" s="55"/>
      <c r="K816" s="55"/>
      <c r="L816" s="55"/>
      <c r="M816" s="55"/>
      <c r="N816" s="55"/>
      <c r="O816" s="55"/>
      <c r="P816" s="55"/>
      <c r="Q816" s="55"/>
      <c r="R816" s="55"/>
      <c r="S816" s="55"/>
      <c r="T816" s="55"/>
      <c r="U816" s="55"/>
      <c r="V816" s="55"/>
      <c r="W816" s="55"/>
      <c r="X816" s="55"/>
      <c r="Y816" s="55"/>
      <c r="Z816" s="55"/>
      <c r="AA816" s="55"/>
      <c r="AB816" s="55"/>
      <c r="AC816" s="55"/>
    </row>
    <row r="817">
      <c r="A817" s="53"/>
      <c r="B817" s="53"/>
      <c r="C817" s="55"/>
      <c r="D817" s="55"/>
      <c r="E817" s="55"/>
      <c r="F817" s="55"/>
      <c r="G817" s="55"/>
      <c r="H817" s="181"/>
      <c r="I817" s="55"/>
      <c r="J817" s="55"/>
      <c r="K817" s="55"/>
      <c r="L817" s="55"/>
      <c r="M817" s="55"/>
      <c r="N817" s="55"/>
      <c r="O817" s="55"/>
      <c r="P817" s="55"/>
      <c r="Q817" s="55"/>
      <c r="R817" s="55"/>
      <c r="S817" s="55"/>
      <c r="T817" s="55"/>
      <c r="U817" s="55"/>
      <c r="V817" s="55"/>
      <c r="W817" s="55"/>
      <c r="X817" s="55"/>
      <c r="Y817" s="55"/>
      <c r="Z817" s="55"/>
      <c r="AA817" s="55"/>
      <c r="AB817" s="55"/>
      <c r="AC817" s="55"/>
    </row>
    <row r="818">
      <c r="A818" s="53"/>
      <c r="B818" s="53"/>
      <c r="C818" s="55"/>
      <c r="D818" s="55"/>
      <c r="E818" s="55"/>
      <c r="F818" s="55"/>
      <c r="G818" s="55"/>
      <c r="H818" s="181"/>
      <c r="I818" s="55"/>
      <c r="J818" s="55"/>
      <c r="K818" s="55"/>
      <c r="L818" s="55"/>
      <c r="M818" s="55"/>
      <c r="N818" s="55"/>
      <c r="O818" s="55"/>
      <c r="P818" s="55"/>
      <c r="Q818" s="55"/>
      <c r="R818" s="55"/>
      <c r="S818" s="55"/>
      <c r="T818" s="55"/>
      <c r="U818" s="55"/>
      <c r="V818" s="55"/>
      <c r="W818" s="55"/>
      <c r="X818" s="55"/>
      <c r="Y818" s="55"/>
      <c r="Z818" s="55"/>
      <c r="AA818" s="55"/>
      <c r="AB818" s="55"/>
      <c r="AC818" s="55"/>
    </row>
    <row r="819">
      <c r="A819" s="53"/>
      <c r="B819" s="53"/>
      <c r="C819" s="55"/>
      <c r="D819" s="55"/>
      <c r="E819" s="55"/>
      <c r="F819" s="55"/>
      <c r="G819" s="55"/>
      <c r="H819" s="181"/>
      <c r="I819" s="55"/>
      <c r="J819" s="55"/>
      <c r="K819" s="55"/>
      <c r="L819" s="55"/>
      <c r="M819" s="55"/>
      <c r="N819" s="55"/>
      <c r="O819" s="55"/>
      <c r="P819" s="55"/>
      <c r="Q819" s="55"/>
      <c r="R819" s="55"/>
      <c r="S819" s="55"/>
      <c r="T819" s="55"/>
      <c r="U819" s="55"/>
      <c r="V819" s="55"/>
      <c r="W819" s="55"/>
      <c r="X819" s="55"/>
      <c r="Y819" s="55"/>
      <c r="Z819" s="55"/>
      <c r="AA819" s="55"/>
      <c r="AB819" s="55"/>
      <c r="AC819" s="55"/>
    </row>
    <row r="820">
      <c r="A820" s="53"/>
      <c r="B820" s="53"/>
      <c r="C820" s="55"/>
      <c r="D820" s="55"/>
      <c r="E820" s="55"/>
      <c r="F820" s="55"/>
      <c r="G820" s="55"/>
      <c r="H820" s="181"/>
      <c r="I820" s="55"/>
      <c r="J820" s="55"/>
      <c r="K820" s="55"/>
      <c r="L820" s="55"/>
      <c r="M820" s="55"/>
      <c r="N820" s="55"/>
      <c r="O820" s="55"/>
      <c r="P820" s="55"/>
      <c r="Q820" s="55"/>
      <c r="R820" s="55"/>
      <c r="S820" s="55"/>
      <c r="T820" s="55"/>
      <c r="U820" s="55"/>
      <c r="V820" s="55"/>
      <c r="W820" s="55"/>
      <c r="X820" s="55"/>
      <c r="Y820" s="55"/>
      <c r="Z820" s="55"/>
      <c r="AA820" s="55"/>
      <c r="AB820" s="55"/>
      <c r="AC820" s="55"/>
    </row>
    <row r="821">
      <c r="A821" s="53"/>
      <c r="B821" s="53"/>
      <c r="C821" s="55"/>
      <c r="D821" s="55"/>
      <c r="E821" s="55"/>
      <c r="F821" s="55"/>
      <c r="G821" s="55"/>
      <c r="H821" s="181"/>
      <c r="I821" s="55"/>
      <c r="J821" s="55"/>
      <c r="K821" s="55"/>
      <c r="L821" s="55"/>
      <c r="M821" s="55"/>
      <c r="N821" s="55"/>
      <c r="O821" s="55"/>
      <c r="P821" s="55"/>
      <c r="Q821" s="55"/>
      <c r="R821" s="55"/>
      <c r="S821" s="55"/>
      <c r="T821" s="55"/>
      <c r="U821" s="55"/>
      <c r="V821" s="55"/>
      <c r="W821" s="55"/>
      <c r="X821" s="55"/>
      <c r="Y821" s="55"/>
      <c r="Z821" s="55"/>
      <c r="AA821" s="55"/>
      <c r="AB821" s="55"/>
      <c r="AC821" s="55"/>
    </row>
    <row r="822">
      <c r="A822" s="53"/>
      <c r="B822" s="53"/>
      <c r="C822" s="55"/>
      <c r="D822" s="55"/>
      <c r="E822" s="55"/>
      <c r="F822" s="55"/>
      <c r="G822" s="55"/>
      <c r="H822" s="181"/>
      <c r="I822" s="55"/>
      <c r="J822" s="55"/>
      <c r="K822" s="55"/>
      <c r="L822" s="55"/>
      <c r="M822" s="55"/>
      <c r="N822" s="55"/>
      <c r="O822" s="55"/>
      <c r="P822" s="55"/>
      <c r="Q822" s="55"/>
      <c r="R822" s="55"/>
      <c r="S822" s="55"/>
      <c r="T822" s="55"/>
      <c r="U822" s="55"/>
      <c r="V822" s="55"/>
      <c r="W822" s="55"/>
      <c r="X822" s="55"/>
      <c r="Y822" s="55"/>
      <c r="Z822" s="55"/>
      <c r="AA822" s="55"/>
      <c r="AB822" s="55"/>
      <c r="AC822" s="55"/>
    </row>
    <row r="823">
      <c r="A823" s="53"/>
      <c r="B823" s="53"/>
      <c r="C823" s="55"/>
      <c r="D823" s="55"/>
      <c r="E823" s="55"/>
      <c r="F823" s="55"/>
      <c r="G823" s="55"/>
      <c r="H823" s="181"/>
      <c r="I823" s="55"/>
      <c r="J823" s="55"/>
      <c r="K823" s="55"/>
      <c r="L823" s="55"/>
      <c r="M823" s="55"/>
      <c r="N823" s="55"/>
      <c r="O823" s="55"/>
      <c r="P823" s="55"/>
      <c r="Q823" s="55"/>
      <c r="R823" s="55"/>
      <c r="S823" s="55"/>
      <c r="T823" s="55"/>
      <c r="U823" s="55"/>
      <c r="V823" s="55"/>
      <c r="W823" s="55"/>
      <c r="X823" s="55"/>
      <c r="Y823" s="55"/>
      <c r="Z823" s="55"/>
      <c r="AA823" s="55"/>
      <c r="AB823" s="55"/>
      <c r="AC823" s="55"/>
    </row>
    <row r="824">
      <c r="A824" s="53"/>
      <c r="B824" s="53"/>
      <c r="C824" s="55"/>
      <c r="D824" s="55"/>
      <c r="E824" s="55"/>
      <c r="F824" s="55"/>
      <c r="G824" s="55"/>
      <c r="H824" s="181"/>
      <c r="I824" s="55"/>
      <c r="J824" s="55"/>
      <c r="K824" s="55"/>
      <c r="L824" s="55"/>
      <c r="M824" s="55"/>
      <c r="N824" s="55"/>
      <c r="O824" s="55"/>
      <c r="P824" s="55"/>
      <c r="Q824" s="55"/>
      <c r="R824" s="55"/>
      <c r="S824" s="55"/>
      <c r="T824" s="55"/>
      <c r="U824" s="55"/>
      <c r="V824" s="55"/>
      <c r="W824" s="55"/>
      <c r="X824" s="55"/>
      <c r="Y824" s="55"/>
      <c r="Z824" s="55"/>
      <c r="AA824" s="55"/>
      <c r="AB824" s="55"/>
      <c r="AC824" s="55"/>
    </row>
    <row r="825">
      <c r="A825" s="53"/>
      <c r="B825" s="53"/>
      <c r="C825" s="55"/>
      <c r="D825" s="55"/>
      <c r="E825" s="55"/>
      <c r="F825" s="55"/>
      <c r="G825" s="55"/>
      <c r="H825" s="181"/>
      <c r="I825" s="55"/>
      <c r="J825" s="55"/>
      <c r="K825" s="55"/>
      <c r="L825" s="55"/>
      <c r="M825" s="55"/>
      <c r="N825" s="55"/>
      <c r="O825" s="55"/>
      <c r="P825" s="55"/>
      <c r="Q825" s="55"/>
      <c r="R825" s="55"/>
      <c r="S825" s="55"/>
      <c r="T825" s="55"/>
      <c r="U825" s="55"/>
      <c r="V825" s="55"/>
      <c r="W825" s="55"/>
      <c r="X825" s="55"/>
      <c r="Y825" s="55"/>
      <c r="Z825" s="55"/>
      <c r="AA825" s="55"/>
      <c r="AB825" s="55"/>
      <c r="AC825" s="55"/>
    </row>
    <row r="826">
      <c r="A826" s="53"/>
      <c r="B826" s="53"/>
      <c r="C826" s="55"/>
      <c r="D826" s="55"/>
      <c r="E826" s="55"/>
      <c r="F826" s="55"/>
      <c r="G826" s="55"/>
      <c r="H826" s="181"/>
      <c r="I826" s="55"/>
      <c r="J826" s="55"/>
      <c r="K826" s="55"/>
      <c r="L826" s="55"/>
      <c r="M826" s="55"/>
      <c r="N826" s="55"/>
      <c r="O826" s="55"/>
      <c r="P826" s="55"/>
      <c r="Q826" s="55"/>
      <c r="R826" s="55"/>
      <c r="S826" s="55"/>
      <c r="T826" s="55"/>
      <c r="U826" s="55"/>
      <c r="V826" s="55"/>
      <c r="W826" s="55"/>
      <c r="X826" s="55"/>
      <c r="Y826" s="55"/>
      <c r="Z826" s="55"/>
      <c r="AA826" s="55"/>
      <c r="AB826" s="55"/>
      <c r="AC826" s="55"/>
    </row>
    <row r="827">
      <c r="A827" s="53"/>
      <c r="B827" s="53"/>
      <c r="C827" s="55"/>
      <c r="D827" s="55"/>
      <c r="E827" s="55"/>
      <c r="F827" s="55"/>
      <c r="G827" s="55"/>
      <c r="H827" s="181"/>
      <c r="I827" s="55"/>
      <c r="J827" s="55"/>
      <c r="K827" s="55"/>
      <c r="L827" s="55"/>
      <c r="M827" s="55"/>
      <c r="N827" s="55"/>
      <c r="O827" s="55"/>
      <c r="P827" s="55"/>
      <c r="Q827" s="55"/>
      <c r="R827" s="55"/>
      <c r="S827" s="55"/>
      <c r="T827" s="55"/>
      <c r="U827" s="55"/>
      <c r="V827" s="55"/>
      <c r="W827" s="55"/>
      <c r="X827" s="55"/>
      <c r="Y827" s="55"/>
      <c r="Z827" s="55"/>
      <c r="AA827" s="55"/>
      <c r="AB827" s="55"/>
      <c r="AC827" s="55"/>
    </row>
    <row r="828">
      <c r="A828" s="53"/>
      <c r="B828" s="53"/>
      <c r="C828" s="55"/>
      <c r="D828" s="55"/>
      <c r="E828" s="55"/>
      <c r="F828" s="55"/>
      <c r="G828" s="55"/>
      <c r="H828" s="181"/>
      <c r="I828" s="55"/>
      <c r="J828" s="55"/>
      <c r="K828" s="55"/>
      <c r="L828" s="55"/>
      <c r="M828" s="55"/>
      <c r="N828" s="55"/>
      <c r="O828" s="55"/>
      <c r="P828" s="55"/>
      <c r="Q828" s="55"/>
      <c r="R828" s="55"/>
      <c r="S828" s="55"/>
      <c r="T828" s="55"/>
      <c r="U828" s="55"/>
      <c r="V828" s="55"/>
      <c r="W828" s="55"/>
      <c r="X828" s="55"/>
      <c r="Y828" s="55"/>
      <c r="Z828" s="55"/>
      <c r="AA828" s="55"/>
      <c r="AB828" s="55"/>
      <c r="AC828" s="55"/>
    </row>
    <row r="829">
      <c r="A829" s="53"/>
      <c r="B829" s="53"/>
      <c r="C829" s="55"/>
      <c r="D829" s="55"/>
      <c r="E829" s="55"/>
      <c r="F829" s="55"/>
      <c r="G829" s="55"/>
      <c r="H829" s="181"/>
      <c r="I829" s="55"/>
      <c r="J829" s="55"/>
      <c r="K829" s="55"/>
      <c r="L829" s="55"/>
      <c r="M829" s="55"/>
      <c r="N829" s="55"/>
      <c r="O829" s="55"/>
      <c r="P829" s="55"/>
      <c r="Q829" s="55"/>
      <c r="R829" s="55"/>
      <c r="S829" s="55"/>
      <c r="T829" s="55"/>
      <c r="U829" s="55"/>
      <c r="V829" s="55"/>
      <c r="W829" s="55"/>
      <c r="X829" s="55"/>
      <c r="Y829" s="55"/>
      <c r="Z829" s="55"/>
      <c r="AA829" s="55"/>
      <c r="AB829" s="55"/>
      <c r="AC829" s="55"/>
    </row>
    <row r="830">
      <c r="A830" s="53"/>
      <c r="B830" s="53"/>
      <c r="C830" s="55"/>
      <c r="D830" s="55"/>
      <c r="E830" s="55"/>
      <c r="F830" s="55"/>
      <c r="G830" s="55"/>
      <c r="H830" s="181"/>
      <c r="I830" s="55"/>
      <c r="J830" s="55"/>
      <c r="K830" s="55"/>
      <c r="L830" s="55"/>
      <c r="M830" s="55"/>
      <c r="N830" s="55"/>
      <c r="O830" s="55"/>
      <c r="P830" s="55"/>
      <c r="Q830" s="55"/>
      <c r="R830" s="55"/>
      <c r="S830" s="55"/>
      <c r="T830" s="55"/>
      <c r="U830" s="55"/>
      <c r="V830" s="55"/>
      <c r="W830" s="55"/>
      <c r="X830" s="55"/>
      <c r="Y830" s="55"/>
      <c r="Z830" s="55"/>
      <c r="AA830" s="55"/>
      <c r="AB830" s="55"/>
      <c r="AC830" s="55"/>
    </row>
    <row r="831">
      <c r="A831" s="53"/>
      <c r="B831" s="53"/>
      <c r="C831" s="55"/>
      <c r="D831" s="55"/>
      <c r="E831" s="55"/>
      <c r="F831" s="55"/>
      <c r="G831" s="55"/>
      <c r="H831" s="181"/>
      <c r="I831" s="55"/>
      <c r="J831" s="55"/>
      <c r="K831" s="55"/>
      <c r="L831" s="55"/>
      <c r="M831" s="55"/>
      <c r="N831" s="55"/>
      <c r="O831" s="55"/>
      <c r="P831" s="55"/>
      <c r="Q831" s="55"/>
      <c r="R831" s="55"/>
      <c r="S831" s="55"/>
      <c r="T831" s="55"/>
      <c r="U831" s="55"/>
      <c r="V831" s="55"/>
      <c r="W831" s="55"/>
      <c r="X831" s="55"/>
      <c r="Y831" s="55"/>
      <c r="Z831" s="55"/>
      <c r="AA831" s="55"/>
      <c r="AB831" s="55"/>
      <c r="AC831" s="55"/>
    </row>
    <row r="832">
      <c r="A832" s="53"/>
      <c r="B832" s="53"/>
      <c r="C832" s="55"/>
      <c r="D832" s="55"/>
      <c r="E832" s="55"/>
      <c r="F832" s="55"/>
      <c r="G832" s="55"/>
      <c r="H832" s="181"/>
      <c r="I832" s="55"/>
      <c r="J832" s="55"/>
      <c r="K832" s="55"/>
      <c r="L832" s="55"/>
      <c r="M832" s="55"/>
      <c r="N832" s="55"/>
      <c r="O832" s="55"/>
      <c r="P832" s="55"/>
      <c r="Q832" s="55"/>
      <c r="R832" s="55"/>
      <c r="S832" s="55"/>
      <c r="T832" s="55"/>
      <c r="U832" s="55"/>
      <c r="V832" s="55"/>
      <c r="W832" s="55"/>
      <c r="X832" s="55"/>
      <c r="Y832" s="55"/>
      <c r="Z832" s="55"/>
      <c r="AA832" s="55"/>
      <c r="AB832" s="55"/>
      <c r="AC832" s="55"/>
    </row>
    <row r="833">
      <c r="A833" s="53"/>
      <c r="B833" s="53"/>
      <c r="C833" s="55"/>
      <c r="D833" s="55"/>
      <c r="E833" s="55"/>
      <c r="F833" s="55"/>
      <c r="G833" s="55"/>
      <c r="H833" s="181"/>
      <c r="I833" s="55"/>
      <c r="J833" s="55"/>
      <c r="K833" s="55"/>
      <c r="L833" s="55"/>
      <c r="M833" s="55"/>
      <c r="N833" s="55"/>
      <c r="O833" s="55"/>
      <c r="P833" s="55"/>
      <c r="Q833" s="55"/>
      <c r="R833" s="55"/>
      <c r="S833" s="55"/>
      <c r="T833" s="55"/>
      <c r="U833" s="55"/>
      <c r="V833" s="55"/>
      <c r="W833" s="55"/>
      <c r="X833" s="55"/>
      <c r="Y833" s="55"/>
      <c r="Z833" s="55"/>
      <c r="AA833" s="55"/>
      <c r="AB833" s="55"/>
      <c r="AC833" s="55"/>
    </row>
    <row r="834">
      <c r="A834" s="53"/>
      <c r="B834" s="53"/>
      <c r="C834" s="55"/>
      <c r="D834" s="55"/>
      <c r="E834" s="55"/>
      <c r="F834" s="55"/>
      <c r="G834" s="55"/>
      <c r="H834" s="181"/>
      <c r="I834" s="55"/>
      <c r="J834" s="55"/>
      <c r="K834" s="55"/>
      <c r="L834" s="55"/>
      <c r="M834" s="55"/>
      <c r="N834" s="55"/>
      <c r="O834" s="55"/>
      <c r="P834" s="55"/>
      <c r="Q834" s="55"/>
      <c r="R834" s="55"/>
      <c r="S834" s="55"/>
      <c r="T834" s="55"/>
      <c r="U834" s="55"/>
      <c r="V834" s="55"/>
      <c r="W834" s="55"/>
      <c r="X834" s="55"/>
      <c r="Y834" s="55"/>
      <c r="Z834" s="55"/>
      <c r="AA834" s="55"/>
      <c r="AB834" s="55"/>
      <c r="AC834" s="55"/>
    </row>
    <row r="835">
      <c r="A835" s="53"/>
      <c r="B835" s="53"/>
      <c r="C835" s="55"/>
      <c r="D835" s="55"/>
      <c r="E835" s="55"/>
      <c r="F835" s="55"/>
      <c r="G835" s="55"/>
      <c r="H835" s="181"/>
      <c r="I835" s="55"/>
      <c r="J835" s="55"/>
      <c r="K835" s="55"/>
      <c r="L835" s="55"/>
      <c r="M835" s="55"/>
      <c r="N835" s="55"/>
      <c r="O835" s="55"/>
      <c r="P835" s="55"/>
      <c r="Q835" s="55"/>
      <c r="R835" s="55"/>
      <c r="S835" s="55"/>
      <c r="T835" s="55"/>
      <c r="U835" s="55"/>
      <c r="V835" s="55"/>
      <c r="W835" s="55"/>
      <c r="X835" s="55"/>
      <c r="Y835" s="55"/>
      <c r="Z835" s="55"/>
      <c r="AA835" s="55"/>
      <c r="AB835" s="55"/>
      <c r="AC835" s="55"/>
    </row>
    <row r="836">
      <c r="A836" s="53"/>
      <c r="B836" s="53"/>
      <c r="C836" s="55"/>
      <c r="D836" s="55"/>
      <c r="E836" s="55"/>
      <c r="F836" s="55"/>
      <c r="G836" s="55"/>
      <c r="H836" s="181"/>
      <c r="I836" s="55"/>
      <c r="J836" s="55"/>
      <c r="K836" s="55"/>
      <c r="L836" s="55"/>
      <c r="M836" s="55"/>
      <c r="N836" s="55"/>
      <c r="O836" s="55"/>
      <c r="P836" s="55"/>
      <c r="Q836" s="55"/>
      <c r="R836" s="55"/>
      <c r="S836" s="55"/>
      <c r="T836" s="55"/>
      <c r="U836" s="55"/>
      <c r="V836" s="55"/>
      <c r="W836" s="55"/>
      <c r="X836" s="55"/>
      <c r="Y836" s="55"/>
      <c r="Z836" s="55"/>
      <c r="AA836" s="55"/>
      <c r="AB836" s="55"/>
      <c r="AC836" s="55"/>
    </row>
    <row r="837">
      <c r="A837" s="53"/>
      <c r="B837" s="53"/>
      <c r="C837" s="55"/>
      <c r="D837" s="55"/>
      <c r="E837" s="55"/>
      <c r="F837" s="55"/>
      <c r="G837" s="55"/>
      <c r="H837" s="181"/>
      <c r="I837" s="55"/>
      <c r="J837" s="55"/>
      <c r="K837" s="55"/>
      <c r="L837" s="55"/>
      <c r="M837" s="55"/>
      <c r="N837" s="55"/>
      <c r="O837" s="55"/>
      <c r="P837" s="55"/>
      <c r="Q837" s="55"/>
      <c r="R837" s="55"/>
      <c r="S837" s="55"/>
      <c r="T837" s="55"/>
      <c r="U837" s="55"/>
      <c r="V837" s="55"/>
      <c r="W837" s="55"/>
      <c r="X837" s="55"/>
      <c r="Y837" s="55"/>
      <c r="Z837" s="55"/>
      <c r="AA837" s="55"/>
      <c r="AB837" s="55"/>
      <c r="AC837" s="55"/>
    </row>
    <row r="838">
      <c r="A838" s="53"/>
      <c r="B838" s="53"/>
      <c r="C838" s="55"/>
      <c r="D838" s="55"/>
      <c r="E838" s="55"/>
      <c r="F838" s="55"/>
      <c r="G838" s="55"/>
      <c r="H838" s="181"/>
      <c r="I838" s="55"/>
      <c r="J838" s="55"/>
      <c r="K838" s="55"/>
      <c r="L838" s="55"/>
      <c r="M838" s="55"/>
      <c r="N838" s="55"/>
      <c r="O838" s="55"/>
      <c r="P838" s="55"/>
      <c r="Q838" s="55"/>
      <c r="R838" s="55"/>
      <c r="S838" s="55"/>
      <c r="T838" s="55"/>
      <c r="U838" s="55"/>
      <c r="V838" s="55"/>
      <c r="W838" s="55"/>
      <c r="X838" s="55"/>
      <c r="Y838" s="55"/>
      <c r="Z838" s="55"/>
      <c r="AA838" s="55"/>
      <c r="AB838" s="55"/>
      <c r="AC838" s="55"/>
    </row>
    <row r="839">
      <c r="A839" s="53"/>
      <c r="B839" s="53"/>
      <c r="C839" s="55"/>
      <c r="D839" s="55"/>
      <c r="E839" s="55"/>
      <c r="F839" s="55"/>
      <c r="G839" s="55"/>
      <c r="H839" s="181"/>
      <c r="I839" s="55"/>
      <c r="J839" s="55"/>
      <c r="K839" s="55"/>
      <c r="L839" s="55"/>
      <c r="M839" s="55"/>
      <c r="N839" s="55"/>
      <c r="O839" s="55"/>
      <c r="P839" s="55"/>
      <c r="Q839" s="55"/>
      <c r="R839" s="55"/>
      <c r="S839" s="55"/>
      <c r="T839" s="55"/>
      <c r="U839" s="55"/>
      <c r="V839" s="55"/>
      <c r="W839" s="55"/>
      <c r="X839" s="55"/>
      <c r="Y839" s="55"/>
      <c r="Z839" s="55"/>
      <c r="AA839" s="55"/>
      <c r="AB839" s="55"/>
      <c r="AC839" s="55"/>
    </row>
    <row r="840">
      <c r="A840" s="53"/>
      <c r="B840" s="53"/>
      <c r="C840" s="55"/>
      <c r="D840" s="55"/>
      <c r="E840" s="55"/>
      <c r="F840" s="55"/>
      <c r="G840" s="55"/>
      <c r="H840" s="181"/>
      <c r="I840" s="55"/>
      <c r="J840" s="55"/>
      <c r="K840" s="55"/>
      <c r="L840" s="55"/>
      <c r="M840" s="55"/>
      <c r="N840" s="55"/>
      <c r="O840" s="55"/>
      <c r="P840" s="55"/>
      <c r="Q840" s="55"/>
      <c r="R840" s="55"/>
      <c r="S840" s="55"/>
      <c r="T840" s="55"/>
      <c r="U840" s="55"/>
      <c r="V840" s="55"/>
      <c r="W840" s="55"/>
      <c r="X840" s="55"/>
      <c r="Y840" s="55"/>
      <c r="Z840" s="55"/>
      <c r="AA840" s="55"/>
      <c r="AB840" s="55"/>
      <c r="AC840" s="55"/>
    </row>
    <row r="841">
      <c r="A841" s="53"/>
      <c r="B841" s="53"/>
      <c r="C841" s="55"/>
      <c r="D841" s="55"/>
      <c r="E841" s="55"/>
      <c r="F841" s="55"/>
      <c r="G841" s="55"/>
      <c r="H841" s="181"/>
      <c r="I841" s="55"/>
      <c r="J841" s="55"/>
      <c r="K841" s="55"/>
      <c r="L841" s="55"/>
      <c r="M841" s="55"/>
      <c r="N841" s="55"/>
      <c r="O841" s="55"/>
      <c r="P841" s="55"/>
      <c r="Q841" s="55"/>
      <c r="R841" s="55"/>
      <c r="S841" s="55"/>
      <c r="T841" s="55"/>
      <c r="U841" s="55"/>
      <c r="V841" s="55"/>
      <c r="W841" s="55"/>
      <c r="X841" s="55"/>
      <c r="Y841" s="55"/>
      <c r="Z841" s="55"/>
      <c r="AA841" s="55"/>
      <c r="AB841" s="55"/>
      <c r="AC841" s="55"/>
    </row>
    <row r="842">
      <c r="A842" s="53"/>
      <c r="B842" s="53"/>
      <c r="C842" s="55"/>
      <c r="D842" s="55"/>
      <c r="E842" s="55"/>
      <c r="F842" s="55"/>
      <c r="G842" s="55"/>
      <c r="H842" s="181"/>
      <c r="I842" s="55"/>
      <c r="J842" s="55"/>
      <c r="K842" s="55"/>
      <c r="L842" s="55"/>
      <c r="M842" s="55"/>
      <c r="N842" s="55"/>
      <c r="O842" s="55"/>
      <c r="P842" s="55"/>
      <c r="Q842" s="55"/>
      <c r="R842" s="55"/>
      <c r="S842" s="55"/>
      <c r="T842" s="55"/>
      <c r="U842" s="55"/>
      <c r="V842" s="55"/>
      <c r="W842" s="55"/>
      <c r="X842" s="55"/>
      <c r="Y842" s="55"/>
      <c r="Z842" s="55"/>
      <c r="AA842" s="55"/>
      <c r="AB842" s="55"/>
      <c r="AC842" s="55"/>
    </row>
    <row r="843">
      <c r="A843" s="53"/>
      <c r="B843" s="53"/>
      <c r="C843" s="55"/>
      <c r="D843" s="55"/>
      <c r="E843" s="55"/>
      <c r="F843" s="55"/>
      <c r="G843" s="55"/>
      <c r="H843" s="181"/>
      <c r="I843" s="55"/>
      <c r="J843" s="55"/>
      <c r="K843" s="55"/>
      <c r="L843" s="55"/>
      <c r="M843" s="55"/>
      <c r="N843" s="55"/>
      <c r="O843" s="55"/>
      <c r="P843" s="55"/>
      <c r="Q843" s="55"/>
      <c r="R843" s="55"/>
      <c r="S843" s="55"/>
      <c r="T843" s="55"/>
      <c r="U843" s="55"/>
      <c r="V843" s="55"/>
      <c r="W843" s="55"/>
      <c r="X843" s="55"/>
      <c r="Y843" s="55"/>
      <c r="Z843" s="55"/>
      <c r="AA843" s="55"/>
      <c r="AB843" s="55"/>
      <c r="AC843" s="55"/>
    </row>
    <row r="844">
      <c r="A844" s="53"/>
      <c r="B844" s="53"/>
      <c r="C844" s="55"/>
      <c r="D844" s="55"/>
      <c r="E844" s="55"/>
      <c r="F844" s="55"/>
      <c r="G844" s="55"/>
      <c r="H844" s="181"/>
      <c r="I844" s="55"/>
      <c r="J844" s="55"/>
      <c r="K844" s="55"/>
      <c r="L844" s="55"/>
      <c r="M844" s="55"/>
      <c r="N844" s="55"/>
      <c r="O844" s="55"/>
      <c r="P844" s="55"/>
      <c r="Q844" s="55"/>
      <c r="R844" s="55"/>
      <c r="S844" s="55"/>
      <c r="T844" s="55"/>
      <c r="U844" s="55"/>
      <c r="V844" s="55"/>
      <c r="W844" s="55"/>
      <c r="X844" s="55"/>
      <c r="Y844" s="55"/>
      <c r="Z844" s="55"/>
      <c r="AA844" s="55"/>
      <c r="AB844" s="55"/>
      <c r="AC844" s="55"/>
    </row>
    <row r="845">
      <c r="A845" s="53"/>
      <c r="B845" s="53"/>
      <c r="C845" s="55"/>
      <c r="D845" s="55"/>
      <c r="E845" s="55"/>
      <c r="F845" s="55"/>
      <c r="G845" s="55"/>
      <c r="H845" s="181"/>
      <c r="I845" s="55"/>
      <c r="J845" s="55"/>
      <c r="K845" s="55"/>
      <c r="L845" s="55"/>
      <c r="M845" s="55"/>
      <c r="N845" s="55"/>
      <c r="O845" s="55"/>
      <c r="P845" s="55"/>
      <c r="Q845" s="55"/>
      <c r="R845" s="55"/>
      <c r="S845" s="55"/>
      <c r="T845" s="55"/>
      <c r="U845" s="55"/>
      <c r="V845" s="55"/>
      <c r="W845" s="55"/>
      <c r="X845" s="55"/>
      <c r="Y845" s="55"/>
      <c r="Z845" s="55"/>
      <c r="AA845" s="55"/>
      <c r="AB845" s="55"/>
      <c r="AC845" s="55"/>
    </row>
    <row r="846">
      <c r="A846" s="53"/>
      <c r="B846" s="53"/>
      <c r="C846" s="55"/>
      <c r="D846" s="55"/>
      <c r="E846" s="55"/>
      <c r="F846" s="55"/>
      <c r="G846" s="55"/>
      <c r="H846" s="181"/>
      <c r="I846" s="55"/>
      <c r="J846" s="55"/>
      <c r="K846" s="55"/>
      <c r="L846" s="55"/>
      <c r="M846" s="55"/>
      <c r="N846" s="55"/>
      <c r="O846" s="55"/>
      <c r="P846" s="55"/>
      <c r="Q846" s="55"/>
      <c r="R846" s="55"/>
      <c r="S846" s="55"/>
      <c r="T846" s="55"/>
      <c r="U846" s="55"/>
      <c r="V846" s="55"/>
      <c r="W846" s="55"/>
      <c r="X846" s="55"/>
      <c r="Y846" s="55"/>
      <c r="Z846" s="55"/>
      <c r="AA846" s="55"/>
      <c r="AB846" s="55"/>
      <c r="AC846" s="55"/>
    </row>
    <row r="847">
      <c r="A847" s="53"/>
      <c r="B847" s="53"/>
      <c r="C847" s="55"/>
      <c r="D847" s="55"/>
      <c r="E847" s="55"/>
      <c r="F847" s="55"/>
      <c r="G847" s="55"/>
      <c r="H847" s="181"/>
      <c r="I847" s="55"/>
      <c r="J847" s="55"/>
      <c r="K847" s="55"/>
      <c r="L847" s="55"/>
      <c r="M847" s="55"/>
      <c r="N847" s="55"/>
      <c r="O847" s="55"/>
      <c r="P847" s="55"/>
      <c r="Q847" s="55"/>
      <c r="R847" s="55"/>
      <c r="S847" s="55"/>
      <c r="T847" s="55"/>
      <c r="U847" s="55"/>
      <c r="V847" s="55"/>
      <c r="W847" s="55"/>
      <c r="X847" s="55"/>
      <c r="Y847" s="55"/>
      <c r="Z847" s="55"/>
      <c r="AA847" s="55"/>
      <c r="AB847" s="55"/>
      <c r="AC847" s="55"/>
    </row>
    <row r="848">
      <c r="A848" s="53"/>
      <c r="B848" s="53"/>
      <c r="C848" s="55"/>
      <c r="D848" s="55"/>
      <c r="E848" s="55"/>
      <c r="F848" s="55"/>
      <c r="G848" s="55"/>
      <c r="H848" s="181"/>
      <c r="I848" s="55"/>
      <c r="J848" s="55"/>
      <c r="K848" s="55"/>
      <c r="L848" s="55"/>
      <c r="M848" s="55"/>
      <c r="N848" s="55"/>
      <c r="O848" s="55"/>
      <c r="P848" s="55"/>
      <c r="Q848" s="55"/>
      <c r="R848" s="55"/>
      <c r="S848" s="55"/>
      <c r="T848" s="55"/>
      <c r="U848" s="55"/>
      <c r="V848" s="55"/>
      <c r="W848" s="55"/>
      <c r="X848" s="55"/>
      <c r="Y848" s="55"/>
      <c r="Z848" s="55"/>
      <c r="AA848" s="55"/>
      <c r="AB848" s="55"/>
      <c r="AC848" s="55"/>
    </row>
    <row r="849">
      <c r="A849" s="53"/>
      <c r="B849" s="53"/>
      <c r="C849" s="55"/>
      <c r="D849" s="55"/>
      <c r="E849" s="55"/>
      <c r="F849" s="55"/>
      <c r="G849" s="55"/>
      <c r="H849" s="181"/>
      <c r="I849" s="55"/>
      <c r="J849" s="55"/>
      <c r="K849" s="55"/>
      <c r="L849" s="55"/>
      <c r="M849" s="55"/>
      <c r="N849" s="55"/>
      <c r="O849" s="55"/>
      <c r="P849" s="55"/>
      <c r="Q849" s="55"/>
      <c r="R849" s="55"/>
      <c r="S849" s="55"/>
      <c r="T849" s="55"/>
      <c r="U849" s="55"/>
      <c r="V849" s="55"/>
      <c r="W849" s="55"/>
      <c r="X849" s="55"/>
      <c r="Y849" s="55"/>
      <c r="Z849" s="55"/>
      <c r="AA849" s="55"/>
      <c r="AB849" s="55"/>
      <c r="AC849" s="55"/>
    </row>
    <row r="850">
      <c r="A850" s="53"/>
      <c r="B850" s="53"/>
      <c r="C850" s="55"/>
      <c r="D850" s="55"/>
      <c r="E850" s="55"/>
      <c r="F850" s="55"/>
      <c r="G850" s="55"/>
      <c r="H850" s="181"/>
      <c r="I850" s="55"/>
      <c r="J850" s="55"/>
      <c r="K850" s="55"/>
      <c r="L850" s="55"/>
      <c r="M850" s="55"/>
      <c r="N850" s="55"/>
      <c r="O850" s="55"/>
      <c r="P850" s="55"/>
      <c r="Q850" s="55"/>
      <c r="R850" s="55"/>
      <c r="S850" s="55"/>
      <c r="T850" s="55"/>
      <c r="U850" s="55"/>
      <c r="V850" s="55"/>
      <c r="W850" s="55"/>
      <c r="X850" s="55"/>
      <c r="Y850" s="55"/>
      <c r="Z850" s="55"/>
      <c r="AA850" s="55"/>
      <c r="AB850" s="55"/>
      <c r="AC850" s="55"/>
    </row>
    <row r="851">
      <c r="A851" s="53"/>
      <c r="B851" s="53"/>
      <c r="C851" s="55"/>
      <c r="D851" s="55"/>
      <c r="E851" s="55"/>
      <c r="F851" s="55"/>
      <c r="G851" s="55"/>
      <c r="H851" s="181"/>
      <c r="I851" s="55"/>
      <c r="J851" s="55"/>
      <c r="K851" s="55"/>
      <c r="L851" s="55"/>
      <c r="M851" s="55"/>
      <c r="N851" s="55"/>
      <c r="O851" s="55"/>
      <c r="P851" s="55"/>
      <c r="Q851" s="55"/>
      <c r="R851" s="55"/>
      <c r="S851" s="55"/>
      <c r="T851" s="55"/>
      <c r="U851" s="55"/>
      <c r="V851" s="55"/>
      <c r="W851" s="55"/>
      <c r="X851" s="55"/>
      <c r="Y851" s="55"/>
      <c r="Z851" s="55"/>
      <c r="AA851" s="55"/>
      <c r="AB851" s="55"/>
      <c r="AC851" s="55"/>
    </row>
    <row r="852">
      <c r="A852" s="53"/>
      <c r="B852" s="53"/>
      <c r="C852" s="55"/>
      <c r="D852" s="55"/>
      <c r="E852" s="55"/>
      <c r="F852" s="55"/>
      <c r="G852" s="55"/>
      <c r="H852" s="181"/>
      <c r="I852" s="55"/>
      <c r="J852" s="55"/>
      <c r="K852" s="55"/>
      <c r="L852" s="55"/>
      <c r="M852" s="55"/>
      <c r="N852" s="55"/>
      <c r="O852" s="55"/>
      <c r="P852" s="55"/>
      <c r="Q852" s="55"/>
      <c r="R852" s="55"/>
      <c r="S852" s="55"/>
      <c r="T852" s="55"/>
      <c r="U852" s="55"/>
      <c r="V852" s="55"/>
      <c r="W852" s="55"/>
      <c r="X852" s="55"/>
      <c r="Y852" s="55"/>
      <c r="Z852" s="55"/>
      <c r="AA852" s="55"/>
      <c r="AB852" s="55"/>
      <c r="AC852" s="55"/>
    </row>
    <row r="853">
      <c r="A853" s="53"/>
      <c r="B853" s="53"/>
      <c r="C853" s="55"/>
      <c r="D853" s="55"/>
      <c r="E853" s="55"/>
      <c r="F853" s="55"/>
      <c r="G853" s="55"/>
      <c r="H853" s="181"/>
      <c r="I853" s="55"/>
      <c r="J853" s="55"/>
      <c r="K853" s="55"/>
      <c r="L853" s="55"/>
      <c r="M853" s="55"/>
      <c r="N853" s="55"/>
      <c r="O853" s="55"/>
      <c r="P853" s="55"/>
      <c r="Q853" s="55"/>
      <c r="R853" s="55"/>
      <c r="S853" s="55"/>
      <c r="T853" s="55"/>
      <c r="U853" s="55"/>
      <c r="V853" s="55"/>
      <c r="W853" s="55"/>
      <c r="X853" s="55"/>
      <c r="Y853" s="55"/>
      <c r="Z853" s="55"/>
      <c r="AA853" s="55"/>
      <c r="AB853" s="55"/>
      <c r="AC853" s="55"/>
    </row>
    <row r="854">
      <c r="A854" s="53"/>
      <c r="B854" s="53"/>
      <c r="C854" s="55"/>
      <c r="D854" s="55"/>
      <c r="E854" s="55"/>
      <c r="F854" s="55"/>
      <c r="G854" s="55"/>
      <c r="H854" s="181"/>
      <c r="I854" s="55"/>
      <c r="J854" s="55"/>
      <c r="K854" s="55"/>
      <c r="L854" s="55"/>
      <c r="M854" s="55"/>
      <c r="N854" s="55"/>
      <c r="O854" s="55"/>
      <c r="P854" s="55"/>
      <c r="Q854" s="55"/>
      <c r="R854" s="55"/>
      <c r="S854" s="55"/>
      <c r="T854" s="55"/>
      <c r="U854" s="55"/>
      <c r="V854" s="55"/>
      <c r="W854" s="55"/>
      <c r="X854" s="55"/>
      <c r="Y854" s="55"/>
      <c r="Z854" s="55"/>
      <c r="AA854" s="55"/>
      <c r="AB854" s="55"/>
      <c r="AC854" s="55"/>
    </row>
    <row r="855">
      <c r="A855" s="53"/>
      <c r="B855" s="53"/>
      <c r="C855" s="55"/>
      <c r="D855" s="55"/>
      <c r="E855" s="55"/>
      <c r="F855" s="55"/>
      <c r="G855" s="55"/>
      <c r="H855" s="181"/>
      <c r="I855" s="55"/>
      <c r="J855" s="55"/>
      <c r="K855" s="55"/>
      <c r="L855" s="55"/>
      <c r="M855" s="55"/>
      <c r="N855" s="55"/>
      <c r="O855" s="55"/>
      <c r="P855" s="55"/>
      <c r="Q855" s="55"/>
      <c r="R855" s="55"/>
      <c r="S855" s="55"/>
      <c r="T855" s="55"/>
      <c r="U855" s="55"/>
      <c r="V855" s="55"/>
      <c r="W855" s="55"/>
      <c r="X855" s="55"/>
      <c r="Y855" s="55"/>
      <c r="Z855" s="55"/>
      <c r="AA855" s="55"/>
      <c r="AB855" s="55"/>
      <c r="AC855" s="55"/>
    </row>
    <row r="856">
      <c r="A856" s="53"/>
      <c r="B856" s="53"/>
      <c r="C856" s="55"/>
      <c r="D856" s="55"/>
      <c r="E856" s="55"/>
      <c r="F856" s="55"/>
      <c r="G856" s="55"/>
      <c r="H856" s="181"/>
      <c r="I856" s="55"/>
      <c r="J856" s="55"/>
      <c r="K856" s="55"/>
      <c r="L856" s="55"/>
      <c r="M856" s="55"/>
      <c r="N856" s="55"/>
      <c r="O856" s="55"/>
      <c r="P856" s="55"/>
      <c r="Q856" s="55"/>
      <c r="R856" s="55"/>
      <c r="S856" s="55"/>
      <c r="T856" s="55"/>
      <c r="U856" s="55"/>
      <c r="V856" s="55"/>
      <c r="W856" s="55"/>
      <c r="X856" s="55"/>
      <c r="Y856" s="55"/>
      <c r="Z856" s="55"/>
      <c r="AA856" s="55"/>
      <c r="AB856" s="55"/>
      <c r="AC856" s="55"/>
    </row>
    <row r="857">
      <c r="A857" s="53"/>
      <c r="B857" s="53"/>
      <c r="C857" s="55"/>
      <c r="D857" s="55"/>
      <c r="E857" s="55"/>
      <c r="F857" s="55"/>
      <c r="G857" s="55"/>
      <c r="H857" s="181"/>
      <c r="I857" s="55"/>
      <c r="J857" s="55"/>
      <c r="K857" s="55"/>
      <c r="L857" s="55"/>
      <c r="M857" s="55"/>
      <c r="N857" s="55"/>
      <c r="O857" s="55"/>
      <c r="P857" s="55"/>
      <c r="Q857" s="55"/>
      <c r="R857" s="55"/>
      <c r="S857" s="55"/>
      <c r="T857" s="55"/>
      <c r="U857" s="55"/>
      <c r="V857" s="55"/>
      <c r="W857" s="55"/>
      <c r="X857" s="55"/>
      <c r="Y857" s="55"/>
      <c r="Z857" s="55"/>
      <c r="AA857" s="55"/>
      <c r="AB857" s="55"/>
      <c r="AC857" s="55"/>
    </row>
    <row r="858">
      <c r="A858" s="53"/>
      <c r="B858" s="53"/>
      <c r="C858" s="55"/>
      <c r="D858" s="55"/>
      <c r="E858" s="55"/>
      <c r="F858" s="55"/>
      <c r="G858" s="55"/>
      <c r="H858" s="181"/>
      <c r="I858" s="55"/>
      <c r="J858" s="55"/>
      <c r="K858" s="55"/>
      <c r="L858" s="55"/>
      <c r="M858" s="55"/>
      <c r="N858" s="55"/>
      <c r="O858" s="55"/>
      <c r="P858" s="55"/>
      <c r="Q858" s="55"/>
      <c r="R858" s="55"/>
      <c r="S858" s="55"/>
      <c r="T858" s="55"/>
      <c r="U858" s="55"/>
      <c r="V858" s="55"/>
      <c r="W858" s="55"/>
      <c r="X858" s="55"/>
      <c r="Y858" s="55"/>
      <c r="Z858" s="55"/>
      <c r="AA858" s="55"/>
      <c r="AB858" s="55"/>
      <c r="AC858" s="55"/>
    </row>
    <row r="859">
      <c r="A859" s="53"/>
      <c r="B859" s="53"/>
      <c r="C859" s="55"/>
      <c r="D859" s="55"/>
      <c r="E859" s="55"/>
      <c r="F859" s="55"/>
      <c r="G859" s="55"/>
      <c r="H859" s="181"/>
      <c r="I859" s="55"/>
      <c r="J859" s="55"/>
      <c r="K859" s="55"/>
      <c r="L859" s="55"/>
      <c r="M859" s="55"/>
      <c r="N859" s="55"/>
      <c r="O859" s="55"/>
      <c r="P859" s="55"/>
      <c r="Q859" s="55"/>
      <c r="R859" s="55"/>
      <c r="S859" s="55"/>
      <c r="T859" s="55"/>
      <c r="U859" s="55"/>
      <c r="V859" s="55"/>
      <c r="W859" s="55"/>
      <c r="X859" s="55"/>
      <c r="Y859" s="55"/>
      <c r="Z859" s="55"/>
      <c r="AA859" s="55"/>
      <c r="AB859" s="55"/>
      <c r="AC859" s="55"/>
    </row>
    <row r="860">
      <c r="A860" s="53"/>
      <c r="B860" s="53"/>
      <c r="C860" s="55"/>
      <c r="D860" s="55"/>
      <c r="E860" s="55"/>
      <c r="F860" s="55"/>
      <c r="G860" s="55"/>
      <c r="H860" s="181"/>
      <c r="I860" s="55"/>
      <c r="J860" s="55"/>
      <c r="K860" s="55"/>
      <c r="L860" s="55"/>
      <c r="M860" s="55"/>
      <c r="N860" s="55"/>
      <c r="O860" s="55"/>
      <c r="P860" s="55"/>
      <c r="Q860" s="55"/>
      <c r="R860" s="55"/>
      <c r="S860" s="55"/>
      <c r="T860" s="55"/>
      <c r="U860" s="55"/>
      <c r="V860" s="55"/>
      <c r="W860" s="55"/>
      <c r="X860" s="55"/>
      <c r="Y860" s="55"/>
      <c r="Z860" s="55"/>
      <c r="AA860" s="55"/>
      <c r="AB860" s="55"/>
      <c r="AC860" s="55"/>
    </row>
    <row r="861">
      <c r="A861" s="53"/>
      <c r="B861" s="53"/>
      <c r="C861" s="55"/>
      <c r="D861" s="55"/>
      <c r="E861" s="55"/>
      <c r="F861" s="55"/>
      <c r="G861" s="55"/>
      <c r="H861" s="181"/>
      <c r="I861" s="55"/>
      <c r="J861" s="55"/>
      <c r="K861" s="55"/>
      <c r="L861" s="55"/>
      <c r="M861" s="55"/>
      <c r="N861" s="55"/>
      <c r="O861" s="55"/>
      <c r="P861" s="55"/>
      <c r="Q861" s="55"/>
      <c r="R861" s="55"/>
      <c r="S861" s="55"/>
      <c r="T861" s="55"/>
      <c r="U861" s="55"/>
      <c r="V861" s="55"/>
      <c r="W861" s="55"/>
      <c r="X861" s="55"/>
      <c r="Y861" s="55"/>
      <c r="Z861" s="55"/>
      <c r="AA861" s="55"/>
      <c r="AB861" s="55"/>
      <c r="AC861" s="55"/>
    </row>
    <row r="862">
      <c r="A862" s="53"/>
      <c r="B862" s="53"/>
      <c r="C862" s="55"/>
      <c r="D862" s="55"/>
      <c r="E862" s="55"/>
      <c r="F862" s="55"/>
      <c r="G862" s="55"/>
      <c r="H862" s="181"/>
      <c r="I862" s="55"/>
      <c r="J862" s="55"/>
      <c r="K862" s="55"/>
      <c r="L862" s="55"/>
      <c r="M862" s="55"/>
      <c r="N862" s="55"/>
      <c r="O862" s="55"/>
      <c r="P862" s="55"/>
      <c r="Q862" s="55"/>
      <c r="R862" s="55"/>
      <c r="S862" s="55"/>
      <c r="T862" s="55"/>
      <c r="U862" s="55"/>
      <c r="V862" s="55"/>
      <c r="W862" s="55"/>
      <c r="X862" s="55"/>
      <c r="Y862" s="55"/>
      <c r="Z862" s="55"/>
      <c r="AA862" s="55"/>
      <c r="AB862" s="55"/>
      <c r="AC862" s="55"/>
    </row>
    <row r="863">
      <c r="A863" s="53"/>
      <c r="B863" s="53"/>
      <c r="C863" s="55"/>
      <c r="D863" s="55"/>
      <c r="E863" s="55"/>
      <c r="F863" s="55"/>
      <c r="G863" s="55"/>
      <c r="H863" s="181"/>
      <c r="I863" s="55"/>
      <c r="J863" s="55"/>
      <c r="K863" s="55"/>
      <c r="L863" s="55"/>
      <c r="M863" s="55"/>
      <c r="N863" s="55"/>
      <c r="O863" s="55"/>
      <c r="P863" s="55"/>
      <c r="Q863" s="55"/>
      <c r="R863" s="55"/>
      <c r="S863" s="55"/>
      <c r="T863" s="55"/>
      <c r="U863" s="55"/>
      <c r="V863" s="55"/>
      <c r="W863" s="55"/>
      <c r="X863" s="55"/>
      <c r="Y863" s="55"/>
      <c r="Z863" s="55"/>
      <c r="AA863" s="55"/>
      <c r="AB863" s="55"/>
      <c r="AC863" s="55"/>
    </row>
    <row r="864">
      <c r="A864" s="53"/>
      <c r="B864" s="53"/>
      <c r="C864" s="55"/>
      <c r="D864" s="55"/>
      <c r="E864" s="55"/>
      <c r="F864" s="55"/>
      <c r="G864" s="55"/>
      <c r="H864" s="181"/>
      <c r="I864" s="55"/>
      <c r="J864" s="55"/>
      <c r="K864" s="55"/>
      <c r="L864" s="55"/>
      <c r="M864" s="55"/>
      <c r="N864" s="55"/>
      <c r="O864" s="55"/>
      <c r="P864" s="55"/>
      <c r="Q864" s="55"/>
      <c r="R864" s="55"/>
      <c r="S864" s="55"/>
      <c r="T864" s="55"/>
      <c r="U864" s="55"/>
      <c r="V864" s="55"/>
      <c r="W864" s="55"/>
      <c r="X864" s="55"/>
      <c r="Y864" s="55"/>
      <c r="Z864" s="55"/>
      <c r="AA864" s="55"/>
      <c r="AB864" s="55"/>
      <c r="AC864" s="55"/>
    </row>
    <row r="865">
      <c r="A865" s="53"/>
      <c r="B865" s="53"/>
      <c r="C865" s="55"/>
      <c r="D865" s="55"/>
      <c r="E865" s="55"/>
      <c r="F865" s="55"/>
      <c r="G865" s="55"/>
      <c r="H865" s="181"/>
      <c r="I865" s="55"/>
      <c r="J865" s="55"/>
      <c r="K865" s="55"/>
      <c r="L865" s="55"/>
      <c r="M865" s="55"/>
      <c r="N865" s="55"/>
      <c r="O865" s="55"/>
      <c r="P865" s="55"/>
      <c r="Q865" s="55"/>
      <c r="R865" s="55"/>
      <c r="S865" s="55"/>
      <c r="T865" s="55"/>
      <c r="U865" s="55"/>
      <c r="V865" s="55"/>
      <c r="W865" s="55"/>
      <c r="X865" s="55"/>
      <c r="Y865" s="55"/>
      <c r="Z865" s="55"/>
      <c r="AA865" s="55"/>
      <c r="AB865" s="55"/>
      <c r="AC865" s="55"/>
    </row>
    <row r="866">
      <c r="A866" s="53"/>
      <c r="B866" s="53"/>
      <c r="C866" s="55"/>
      <c r="D866" s="55"/>
      <c r="E866" s="55"/>
      <c r="F866" s="55"/>
      <c r="G866" s="55"/>
      <c r="H866" s="181"/>
      <c r="I866" s="55"/>
      <c r="J866" s="55"/>
      <c r="K866" s="55"/>
      <c r="L866" s="55"/>
      <c r="M866" s="55"/>
      <c r="N866" s="55"/>
      <c r="O866" s="55"/>
      <c r="P866" s="55"/>
      <c r="Q866" s="55"/>
      <c r="R866" s="55"/>
      <c r="S866" s="55"/>
      <c r="T866" s="55"/>
      <c r="U866" s="55"/>
      <c r="V866" s="55"/>
      <c r="W866" s="55"/>
      <c r="X866" s="55"/>
      <c r="Y866" s="55"/>
      <c r="Z866" s="55"/>
      <c r="AA866" s="55"/>
      <c r="AB866" s="55"/>
      <c r="AC866" s="55"/>
    </row>
    <row r="867">
      <c r="A867" s="53"/>
      <c r="B867" s="53"/>
      <c r="C867" s="55"/>
      <c r="D867" s="55"/>
      <c r="E867" s="55"/>
      <c r="F867" s="55"/>
      <c r="G867" s="55"/>
      <c r="H867" s="181"/>
      <c r="I867" s="55"/>
      <c r="J867" s="55"/>
      <c r="K867" s="55"/>
      <c r="L867" s="55"/>
      <c r="M867" s="55"/>
      <c r="N867" s="55"/>
      <c r="O867" s="55"/>
      <c r="P867" s="55"/>
      <c r="Q867" s="55"/>
      <c r="R867" s="55"/>
      <c r="S867" s="55"/>
      <c r="T867" s="55"/>
      <c r="U867" s="55"/>
      <c r="V867" s="55"/>
      <c r="W867" s="55"/>
      <c r="X867" s="55"/>
      <c r="Y867" s="55"/>
      <c r="Z867" s="55"/>
      <c r="AA867" s="55"/>
      <c r="AB867" s="55"/>
      <c r="AC867" s="55"/>
    </row>
    <row r="868">
      <c r="A868" s="53"/>
      <c r="B868" s="53"/>
      <c r="C868" s="55"/>
      <c r="D868" s="55"/>
      <c r="E868" s="55"/>
      <c r="F868" s="55"/>
      <c r="G868" s="55"/>
      <c r="H868" s="181"/>
      <c r="I868" s="55"/>
      <c r="J868" s="55"/>
      <c r="K868" s="55"/>
      <c r="L868" s="55"/>
      <c r="M868" s="55"/>
      <c r="N868" s="55"/>
      <c r="O868" s="55"/>
      <c r="P868" s="55"/>
      <c r="Q868" s="55"/>
      <c r="R868" s="55"/>
      <c r="S868" s="55"/>
      <c r="T868" s="55"/>
      <c r="U868" s="55"/>
      <c r="V868" s="55"/>
      <c r="W868" s="55"/>
      <c r="X868" s="55"/>
      <c r="Y868" s="55"/>
      <c r="Z868" s="55"/>
      <c r="AA868" s="55"/>
      <c r="AB868" s="55"/>
      <c r="AC868" s="55"/>
    </row>
    <row r="869">
      <c r="A869" s="53"/>
      <c r="B869" s="53"/>
      <c r="C869" s="55"/>
      <c r="D869" s="55"/>
      <c r="E869" s="55"/>
      <c r="F869" s="55"/>
      <c r="G869" s="55"/>
      <c r="H869" s="181"/>
      <c r="I869" s="55"/>
      <c r="J869" s="55"/>
      <c r="K869" s="55"/>
      <c r="L869" s="55"/>
      <c r="M869" s="55"/>
      <c r="N869" s="55"/>
      <c r="O869" s="55"/>
      <c r="P869" s="55"/>
      <c r="Q869" s="55"/>
      <c r="R869" s="55"/>
      <c r="S869" s="55"/>
      <c r="T869" s="55"/>
      <c r="U869" s="55"/>
      <c r="V869" s="55"/>
      <c r="W869" s="55"/>
      <c r="X869" s="55"/>
      <c r="Y869" s="55"/>
      <c r="Z869" s="55"/>
      <c r="AA869" s="55"/>
      <c r="AB869" s="55"/>
      <c r="AC869" s="55"/>
    </row>
    <row r="870">
      <c r="A870" s="53"/>
      <c r="B870" s="53"/>
      <c r="C870" s="55"/>
      <c r="D870" s="55"/>
      <c r="E870" s="55"/>
      <c r="F870" s="55"/>
      <c r="G870" s="55"/>
      <c r="H870" s="181"/>
      <c r="I870" s="55"/>
      <c r="J870" s="55"/>
      <c r="K870" s="55"/>
      <c r="L870" s="55"/>
      <c r="M870" s="55"/>
      <c r="N870" s="55"/>
      <c r="O870" s="55"/>
      <c r="P870" s="55"/>
      <c r="Q870" s="55"/>
      <c r="R870" s="55"/>
      <c r="S870" s="55"/>
      <c r="T870" s="55"/>
      <c r="U870" s="55"/>
      <c r="V870" s="55"/>
      <c r="W870" s="55"/>
      <c r="X870" s="55"/>
      <c r="Y870" s="55"/>
      <c r="Z870" s="55"/>
      <c r="AA870" s="55"/>
      <c r="AB870" s="55"/>
      <c r="AC870" s="55"/>
    </row>
    <row r="871">
      <c r="A871" s="53"/>
      <c r="B871" s="53"/>
      <c r="C871" s="55"/>
      <c r="D871" s="55"/>
      <c r="E871" s="55"/>
      <c r="F871" s="55"/>
      <c r="G871" s="55"/>
      <c r="H871" s="181"/>
      <c r="I871" s="55"/>
      <c r="J871" s="55"/>
      <c r="K871" s="55"/>
      <c r="L871" s="55"/>
      <c r="M871" s="55"/>
      <c r="N871" s="55"/>
      <c r="O871" s="55"/>
      <c r="P871" s="55"/>
      <c r="Q871" s="55"/>
      <c r="R871" s="55"/>
      <c r="S871" s="55"/>
      <c r="T871" s="55"/>
      <c r="U871" s="55"/>
      <c r="V871" s="55"/>
      <c r="W871" s="55"/>
      <c r="X871" s="55"/>
      <c r="Y871" s="55"/>
      <c r="Z871" s="55"/>
      <c r="AA871" s="55"/>
      <c r="AB871" s="55"/>
      <c r="AC871" s="55"/>
    </row>
    <row r="872">
      <c r="A872" s="53"/>
      <c r="B872" s="53"/>
      <c r="C872" s="55"/>
      <c r="D872" s="55"/>
      <c r="E872" s="55"/>
      <c r="F872" s="55"/>
      <c r="G872" s="55"/>
      <c r="H872" s="181"/>
      <c r="I872" s="55"/>
      <c r="J872" s="55"/>
      <c r="K872" s="55"/>
      <c r="L872" s="55"/>
      <c r="M872" s="55"/>
      <c r="N872" s="55"/>
      <c r="O872" s="55"/>
      <c r="P872" s="55"/>
      <c r="Q872" s="55"/>
      <c r="R872" s="55"/>
      <c r="S872" s="55"/>
      <c r="T872" s="55"/>
      <c r="U872" s="55"/>
      <c r="V872" s="55"/>
      <c r="W872" s="55"/>
      <c r="X872" s="55"/>
      <c r="Y872" s="55"/>
      <c r="Z872" s="55"/>
      <c r="AA872" s="55"/>
      <c r="AB872" s="55"/>
      <c r="AC872" s="55"/>
    </row>
    <row r="873">
      <c r="A873" s="53"/>
      <c r="B873" s="53"/>
      <c r="C873" s="55"/>
      <c r="D873" s="55"/>
      <c r="E873" s="55"/>
      <c r="F873" s="55"/>
      <c r="G873" s="55"/>
      <c r="H873" s="181"/>
      <c r="I873" s="55"/>
      <c r="J873" s="55"/>
      <c r="K873" s="55"/>
      <c r="L873" s="55"/>
      <c r="M873" s="55"/>
      <c r="N873" s="55"/>
      <c r="O873" s="55"/>
      <c r="P873" s="55"/>
      <c r="Q873" s="55"/>
      <c r="R873" s="55"/>
      <c r="S873" s="55"/>
      <c r="T873" s="55"/>
      <c r="U873" s="55"/>
      <c r="V873" s="55"/>
      <c r="W873" s="55"/>
      <c r="X873" s="55"/>
      <c r="Y873" s="55"/>
      <c r="Z873" s="55"/>
      <c r="AA873" s="55"/>
      <c r="AB873" s="55"/>
      <c r="AC873" s="55"/>
    </row>
    <row r="874">
      <c r="A874" s="53"/>
      <c r="B874" s="53"/>
      <c r="C874" s="55"/>
      <c r="D874" s="55"/>
      <c r="E874" s="55"/>
      <c r="F874" s="55"/>
      <c r="G874" s="55"/>
      <c r="H874" s="181"/>
      <c r="I874" s="55"/>
      <c r="J874" s="55"/>
      <c r="K874" s="55"/>
      <c r="L874" s="55"/>
      <c r="M874" s="55"/>
      <c r="N874" s="55"/>
      <c r="O874" s="55"/>
      <c r="P874" s="55"/>
      <c r="Q874" s="55"/>
      <c r="R874" s="55"/>
      <c r="S874" s="55"/>
      <c r="T874" s="55"/>
      <c r="U874" s="55"/>
      <c r="V874" s="55"/>
      <c r="W874" s="55"/>
      <c r="X874" s="55"/>
      <c r="Y874" s="55"/>
      <c r="Z874" s="55"/>
      <c r="AA874" s="55"/>
      <c r="AB874" s="55"/>
      <c r="AC874" s="55"/>
    </row>
    <row r="875">
      <c r="A875" s="53"/>
      <c r="B875" s="53"/>
      <c r="C875" s="55"/>
      <c r="D875" s="55"/>
      <c r="E875" s="55"/>
      <c r="F875" s="55"/>
      <c r="G875" s="55"/>
      <c r="H875" s="181"/>
      <c r="I875" s="55"/>
      <c r="J875" s="55"/>
      <c r="K875" s="55"/>
      <c r="L875" s="55"/>
      <c r="M875" s="55"/>
      <c r="N875" s="55"/>
      <c r="O875" s="55"/>
      <c r="P875" s="55"/>
      <c r="Q875" s="55"/>
      <c r="R875" s="55"/>
      <c r="S875" s="55"/>
      <c r="T875" s="55"/>
      <c r="U875" s="55"/>
      <c r="V875" s="55"/>
      <c r="W875" s="55"/>
      <c r="X875" s="55"/>
      <c r="Y875" s="55"/>
      <c r="Z875" s="55"/>
      <c r="AA875" s="55"/>
      <c r="AB875" s="55"/>
      <c r="AC875" s="55"/>
    </row>
    <row r="876">
      <c r="A876" s="53"/>
      <c r="B876" s="53"/>
      <c r="C876" s="55"/>
      <c r="D876" s="55"/>
      <c r="E876" s="55"/>
      <c r="F876" s="55"/>
      <c r="G876" s="55"/>
      <c r="H876" s="181"/>
      <c r="I876" s="55"/>
      <c r="J876" s="55"/>
      <c r="K876" s="55"/>
      <c r="L876" s="55"/>
      <c r="M876" s="55"/>
      <c r="N876" s="55"/>
      <c r="O876" s="55"/>
      <c r="P876" s="55"/>
      <c r="Q876" s="55"/>
      <c r="R876" s="55"/>
      <c r="S876" s="55"/>
      <c r="T876" s="55"/>
      <c r="U876" s="55"/>
      <c r="V876" s="55"/>
      <c r="W876" s="55"/>
      <c r="X876" s="55"/>
      <c r="Y876" s="55"/>
      <c r="Z876" s="55"/>
      <c r="AA876" s="55"/>
      <c r="AB876" s="55"/>
      <c r="AC876" s="55"/>
    </row>
    <row r="877">
      <c r="A877" s="53"/>
      <c r="B877" s="53"/>
      <c r="C877" s="55"/>
      <c r="D877" s="55"/>
      <c r="E877" s="55"/>
      <c r="F877" s="55"/>
      <c r="G877" s="55"/>
      <c r="H877" s="181"/>
      <c r="I877" s="55"/>
      <c r="J877" s="55"/>
      <c r="K877" s="55"/>
      <c r="L877" s="55"/>
      <c r="M877" s="55"/>
      <c r="N877" s="55"/>
      <c r="O877" s="55"/>
      <c r="P877" s="55"/>
      <c r="Q877" s="55"/>
      <c r="R877" s="55"/>
      <c r="S877" s="55"/>
      <c r="T877" s="55"/>
      <c r="U877" s="55"/>
      <c r="V877" s="55"/>
      <c r="W877" s="55"/>
      <c r="X877" s="55"/>
      <c r="Y877" s="55"/>
      <c r="Z877" s="55"/>
      <c r="AA877" s="55"/>
      <c r="AB877" s="55"/>
      <c r="AC877" s="55"/>
    </row>
    <row r="878">
      <c r="A878" s="53"/>
      <c r="B878" s="53"/>
      <c r="C878" s="55"/>
      <c r="D878" s="55"/>
      <c r="E878" s="55"/>
      <c r="F878" s="55"/>
      <c r="G878" s="55"/>
      <c r="H878" s="181"/>
      <c r="I878" s="55"/>
      <c r="J878" s="55"/>
      <c r="K878" s="55"/>
      <c r="L878" s="55"/>
      <c r="M878" s="55"/>
      <c r="N878" s="55"/>
      <c r="O878" s="55"/>
      <c r="P878" s="55"/>
      <c r="Q878" s="55"/>
      <c r="R878" s="55"/>
      <c r="S878" s="55"/>
      <c r="T878" s="55"/>
      <c r="U878" s="55"/>
      <c r="V878" s="55"/>
      <c r="W878" s="55"/>
      <c r="X878" s="55"/>
      <c r="Y878" s="55"/>
      <c r="Z878" s="55"/>
      <c r="AA878" s="55"/>
      <c r="AB878" s="55"/>
      <c r="AC878" s="55"/>
    </row>
    <row r="879">
      <c r="A879" s="53"/>
      <c r="B879" s="53"/>
      <c r="C879" s="55"/>
      <c r="D879" s="55"/>
      <c r="E879" s="55"/>
      <c r="F879" s="55"/>
      <c r="G879" s="55"/>
      <c r="H879" s="181"/>
      <c r="I879" s="55"/>
      <c r="J879" s="55"/>
      <c r="K879" s="55"/>
      <c r="L879" s="55"/>
      <c r="M879" s="55"/>
      <c r="N879" s="55"/>
      <c r="O879" s="55"/>
      <c r="P879" s="55"/>
      <c r="Q879" s="55"/>
      <c r="R879" s="55"/>
      <c r="S879" s="55"/>
      <c r="T879" s="55"/>
      <c r="U879" s="55"/>
      <c r="V879" s="55"/>
      <c r="W879" s="55"/>
      <c r="X879" s="55"/>
      <c r="Y879" s="55"/>
      <c r="Z879" s="55"/>
      <c r="AA879" s="55"/>
      <c r="AB879" s="55"/>
      <c r="AC879" s="55"/>
    </row>
    <row r="880">
      <c r="A880" s="53"/>
      <c r="B880" s="53"/>
      <c r="C880" s="55"/>
      <c r="D880" s="55"/>
      <c r="E880" s="55"/>
      <c r="F880" s="55"/>
      <c r="G880" s="55"/>
      <c r="H880" s="181"/>
      <c r="I880" s="55"/>
      <c r="J880" s="55"/>
      <c r="K880" s="55"/>
      <c r="L880" s="55"/>
      <c r="M880" s="55"/>
      <c r="N880" s="55"/>
      <c r="O880" s="55"/>
      <c r="P880" s="55"/>
      <c r="Q880" s="55"/>
      <c r="R880" s="55"/>
      <c r="S880" s="55"/>
      <c r="T880" s="55"/>
      <c r="U880" s="55"/>
      <c r="V880" s="55"/>
      <c r="W880" s="55"/>
      <c r="X880" s="55"/>
      <c r="Y880" s="55"/>
      <c r="Z880" s="55"/>
      <c r="AA880" s="55"/>
      <c r="AB880" s="55"/>
      <c r="AC880" s="55"/>
    </row>
    <row r="881">
      <c r="A881" s="53"/>
      <c r="B881" s="53"/>
      <c r="C881" s="55"/>
      <c r="D881" s="55"/>
      <c r="E881" s="55"/>
      <c r="F881" s="55"/>
      <c r="G881" s="55"/>
      <c r="H881" s="181"/>
      <c r="I881" s="55"/>
      <c r="J881" s="55"/>
      <c r="K881" s="55"/>
      <c r="L881" s="55"/>
      <c r="M881" s="55"/>
      <c r="N881" s="55"/>
      <c r="O881" s="55"/>
      <c r="P881" s="55"/>
      <c r="Q881" s="55"/>
      <c r="R881" s="55"/>
      <c r="S881" s="55"/>
      <c r="T881" s="55"/>
      <c r="U881" s="55"/>
      <c r="V881" s="55"/>
      <c r="W881" s="55"/>
      <c r="X881" s="55"/>
      <c r="Y881" s="55"/>
      <c r="Z881" s="55"/>
      <c r="AA881" s="55"/>
      <c r="AB881" s="55"/>
      <c r="AC881" s="55"/>
    </row>
    <row r="882">
      <c r="A882" s="53"/>
      <c r="B882" s="53"/>
      <c r="C882" s="55"/>
      <c r="D882" s="55"/>
      <c r="E882" s="55"/>
      <c r="F882" s="55"/>
      <c r="G882" s="55"/>
      <c r="H882" s="181"/>
      <c r="I882" s="55"/>
      <c r="J882" s="55"/>
      <c r="K882" s="55"/>
      <c r="L882" s="55"/>
      <c r="M882" s="55"/>
      <c r="N882" s="55"/>
      <c r="O882" s="55"/>
      <c r="P882" s="55"/>
      <c r="Q882" s="55"/>
      <c r="R882" s="55"/>
      <c r="S882" s="55"/>
      <c r="T882" s="55"/>
      <c r="U882" s="55"/>
      <c r="V882" s="55"/>
      <c r="W882" s="55"/>
      <c r="X882" s="55"/>
      <c r="Y882" s="55"/>
      <c r="Z882" s="55"/>
      <c r="AA882" s="55"/>
      <c r="AB882" s="55"/>
      <c r="AC882" s="55"/>
    </row>
    <row r="883">
      <c r="A883" s="53"/>
      <c r="B883" s="53"/>
      <c r="C883" s="55"/>
      <c r="D883" s="55"/>
      <c r="E883" s="55"/>
      <c r="F883" s="55"/>
      <c r="G883" s="55"/>
      <c r="H883" s="181"/>
      <c r="I883" s="55"/>
      <c r="J883" s="55"/>
      <c r="K883" s="55"/>
      <c r="L883" s="55"/>
      <c r="M883" s="55"/>
      <c r="N883" s="55"/>
      <c r="O883" s="55"/>
      <c r="P883" s="55"/>
      <c r="Q883" s="55"/>
      <c r="R883" s="55"/>
      <c r="S883" s="55"/>
      <c r="T883" s="55"/>
      <c r="U883" s="55"/>
      <c r="V883" s="55"/>
      <c r="W883" s="55"/>
      <c r="X883" s="55"/>
      <c r="Y883" s="55"/>
      <c r="Z883" s="55"/>
      <c r="AA883" s="55"/>
      <c r="AB883" s="55"/>
      <c r="AC883" s="55"/>
    </row>
    <row r="884">
      <c r="A884" s="53"/>
      <c r="B884" s="53"/>
      <c r="C884" s="55"/>
      <c r="D884" s="55"/>
      <c r="E884" s="55"/>
      <c r="F884" s="55"/>
      <c r="G884" s="55"/>
      <c r="H884" s="181"/>
      <c r="I884" s="55"/>
      <c r="J884" s="55"/>
      <c r="K884" s="55"/>
      <c r="L884" s="55"/>
      <c r="M884" s="55"/>
      <c r="N884" s="55"/>
      <c r="O884" s="55"/>
      <c r="P884" s="55"/>
      <c r="Q884" s="55"/>
      <c r="R884" s="55"/>
      <c r="S884" s="55"/>
      <c r="T884" s="55"/>
      <c r="U884" s="55"/>
      <c r="V884" s="55"/>
      <c r="W884" s="55"/>
      <c r="X884" s="55"/>
      <c r="Y884" s="55"/>
      <c r="Z884" s="55"/>
      <c r="AA884" s="55"/>
      <c r="AB884" s="55"/>
      <c r="AC884" s="55"/>
    </row>
    <row r="885">
      <c r="A885" s="53"/>
      <c r="B885" s="53"/>
      <c r="C885" s="55"/>
      <c r="D885" s="55"/>
      <c r="E885" s="55"/>
      <c r="F885" s="55"/>
      <c r="G885" s="55"/>
      <c r="H885" s="181"/>
      <c r="I885" s="55"/>
      <c r="J885" s="55"/>
      <c r="K885" s="55"/>
      <c r="L885" s="55"/>
      <c r="M885" s="55"/>
      <c r="N885" s="55"/>
      <c r="O885" s="55"/>
      <c r="P885" s="55"/>
      <c r="Q885" s="55"/>
      <c r="R885" s="55"/>
      <c r="S885" s="55"/>
      <c r="T885" s="55"/>
      <c r="U885" s="55"/>
      <c r="V885" s="55"/>
      <c r="W885" s="55"/>
      <c r="X885" s="55"/>
      <c r="Y885" s="55"/>
      <c r="Z885" s="55"/>
      <c r="AA885" s="55"/>
      <c r="AB885" s="55"/>
      <c r="AC885" s="55"/>
    </row>
    <row r="886">
      <c r="A886" s="53"/>
      <c r="B886" s="53"/>
      <c r="C886" s="55"/>
      <c r="D886" s="55"/>
      <c r="E886" s="55"/>
      <c r="F886" s="55"/>
      <c r="G886" s="55"/>
      <c r="H886" s="181"/>
      <c r="I886" s="55"/>
      <c r="J886" s="55"/>
      <c r="K886" s="55"/>
      <c r="L886" s="55"/>
      <c r="M886" s="55"/>
      <c r="N886" s="55"/>
      <c r="O886" s="55"/>
      <c r="P886" s="55"/>
      <c r="Q886" s="55"/>
      <c r="R886" s="55"/>
      <c r="S886" s="55"/>
      <c r="T886" s="55"/>
      <c r="U886" s="55"/>
      <c r="V886" s="55"/>
      <c r="W886" s="55"/>
      <c r="X886" s="55"/>
      <c r="Y886" s="55"/>
      <c r="Z886" s="55"/>
      <c r="AA886" s="55"/>
      <c r="AB886" s="55"/>
      <c r="AC886" s="55"/>
    </row>
    <row r="887">
      <c r="A887" s="53"/>
      <c r="B887" s="53"/>
      <c r="C887" s="55"/>
      <c r="D887" s="55"/>
      <c r="E887" s="55"/>
      <c r="F887" s="55"/>
      <c r="G887" s="55"/>
      <c r="H887" s="181"/>
      <c r="I887" s="55"/>
      <c r="J887" s="55"/>
      <c r="K887" s="55"/>
      <c r="L887" s="55"/>
      <c r="M887" s="55"/>
      <c r="N887" s="55"/>
      <c r="O887" s="55"/>
      <c r="P887" s="55"/>
      <c r="Q887" s="55"/>
      <c r="R887" s="55"/>
      <c r="S887" s="55"/>
      <c r="T887" s="55"/>
      <c r="U887" s="55"/>
      <c r="V887" s="55"/>
      <c r="W887" s="55"/>
      <c r="X887" s="55"/>
      <c r="Y887" s="55"/>
      <c r="Z887" s="55"/>
      <c r="AA887" s="55"/>
      <c r="AB887" s="55"/>
      <c r="AC887" s="55"/>
    </row>
    <row r="888">
      <c r="A888" s="53"/>
      <c r="B888" s="53"/>
      <c r="C888" s="55"/>
      <c r="D888" s="55"/>
      <c r="E888" s="55"/>
      <c r="F888" s="55"/>
      <c r="G888" s="55"/>
      <c r="H888" s="181"/>
      <c r="I888" s="55"/>
      <c r="J888" s="55"/>
      <c r="K888" s="55"/>
      <c r="L888" s="55"/>
      <c r="M888" s="55"/>
      <c r="N888" s="55"/>
      <c r="O888" s="55"/>
      <c r="P888" s="55"/>
      <c r="Q888" s="55"/>
      <c r="R888" s="55"/>
      <c r="S888" s="55"/>
      <c r="T888" s="55"/>
      <c r="U888" s="55"/>
      <c r="V888" s="55"/>
      <c r="W888" s="55"/>
      <c r="X888" s="55"/>
      <c r="Y888" s="55"/>
      <c r="Z888" s="55"/>
      <c r="AA888" s="55"/>
      <c r="AB888" s="55"/>
      <c r="AC888" s="55"/>
    </row>
    <row r="889">
      <c r="A889" s="53"/>
      <c r="B889" s="53"/>
      <c r="C889" s="55"/>
      <c r="D889" s="55"/>
      <c r="E889" s="55"/>
      <c r="F889" s="55"/>
      <c r="G889" s="55"/>
      <c r="H889" s="181"/>
      <c r="I889" s="55"/>
      <c r="J889" s="55"/>
      <c r="K889" s="55"/>
      <c r="L889" s="55"/>
      <c r="M889" s="55"/>
      <c r="N889" s="55"/>
      <c r="O889" s="55"/>
      <c r="P889" s="55"/>
      <c r="Q889" s="55"/>
      <c r="R889" s="55"/>
      <c r="S889" s="55"/>
      <c r="T889" s="55"/>
      <c r="U889" s="55"/>
      <c r="V889" s="55"/>
      <c r="W889" s="55"/>
      <c r="X889" s="55"/>
      <c r="Y889" s="55"/>
      <c r="Z889" s="55"/>
      <c r="AA889" s="55"/>
      <c r="AB889" s="55"/>
      <c r="AC889" s="55"/>
    </row>
    <row r="890">
      <c r="A890" s="53"/>
      <c r="B890" s="53"/>
      <c r="C890" s="55"/>
      <c r="D890" s="55"/>
      <c r="E890" s="55"/>
      <c r="F890" s="55"/>
      <c r="G890" s="55"/>
      <c r="H890" s="181"/>
      <c r="I890" s="55"/>
      <c r="J890" s="55"/>
      <c r="K890" s="55"/>
      <c r="L890" s="55"/>
      <c r="M890" s="55"/>
      <c r="N890" s="55"/>
      <c r="O890" s="55"/>
      <c r="P890" s="55"/>
      <c r="Q890" s="55"/>
      <c r="R890" s="55"/>
      <c r="S890" s="55"/>
      <c r="T890" s="55"/>
      <c r="U890" s="55"/>
      <c r="V890" s="55"/>
      <c r="W890" s="55"/>
      <c r="X890" s="55"/>
      <c r="Y890" s="55"/>
      <c r="Z890" s="55"/>
      <c r="AA890" s="55"/>
      <c r="AB890" s="55"/>
      <c r="AC890" s="55"/>
    </row>
    <row r="891">
      <c r="A891" s="53"/>
      <c r="B891" s="53"/>
      <c r="C891" s="55"/>
      <c r="D891" s="55"/>
      <c r="E891" s="55"/>
      <c r="F891" s="55"/>
      <c r="G891" s="55"/>
      <c r="H891" s="181"/>
      <c r="I891" s="55"/>
      <c r="J891" s="55"/>
      <c r="K891" s="55"/>
      <c r="L891" s="55"/>
      <c r="M891" s="55"/>
      <c r="N891" s="55"/>
      <c r="O891" s="55"/>
      <c r="P891" s="55"/>
      <c r="Q891" s="55"/>
      <c r="R891" s="55"/>
      <c r="S891" s="55"/>
      <c r="T891" s="55"/>
      <c r="U891" s="55"/>
      <c r="V891" s="55"/>
      <c r="W891" s="55"/>
      <c r="X891" s="55"/>
      <c r="Y891" s="55"/>
      <c r="Z891" s="55"/>
      <c r="AA891" s="55"/>
      <c r="AB891" s="55"/>
      <c r="AC891" s="55"/>
    </row>
    <row r="892">
      <c r="A892" s="53"/>
      <c r="B892" s="53"/>
      <c r="C892" s="55"/>
      <c r="D892" s="55"/>
      <c r="E892" s="55"/>
      <c r="F892" s="55"/>
      <c r="G892" s="55"/>
      <c r="H892" s="181"/>
      <c r="I892" s="55"/>
      <c r="J892" s="55"/>
      <c r="K892" s="55"/>
      <c r="L892" s="55"/>
      <c r="M892" s="55"/>
      <c r="N892" s="55"/>
      <c r="O892" s="55"/>
      <c r="P892" s="55"/>
      <c r="Q892" s="55"/>
      <c r="R892" s="55"/>
      <c r="S892" s="55"/>
      <c r="T892" s="55"/>
      <c r="U892" s="55"/>
      <c r="V892" s="55"/>
      <c r="W892" s="55"/>
      <c r="X892" s="55"/>
      <c r="Y892" s="55"/>
      <c r="Z892" s="55"/>
      <c r="AA892" s="55"/>
      <c r="AB892" s="55"/>
      <c r="AC892" s="55"/>
    </row>
    <row r="893">
      <c r="A893" s="53"/>
      <c r="B893" s="53"/>
      <c r="C893" s="55"/>
      <c r="D893" s="55"/>
      <c r="E893" s="55"/>
      <c r="F893" s="55"/>
      <c r="G893" s="55"/>
      <c r="H893" s="181"/>
      <c r="I893" s="55"/>
      <c r="J893" s="55"/>
      <c r="K893" s="55"/>
      <c r="L893" s="55"/>
      <c r="M893" s="55"/>
      <c r="N893" s="55"/>
      <c r="O893" s="55"/>
      <c r="P893" s="55"/>
      <c r="Q893" s="55"/>
      <c r="R893" s="55"/>
      <c r="S893" s="55"/>
      <c r="T893" s="55"/>
      <c r="U893" s="55"/>
      <c r="V893" s="55"/>
      <c r="W893" s="55"/>
      <c r="X893" s="55"/>
      <c r="Y893" s="55"/>
      <c r="Z893" s="55"/>
      <c r="AA893" s="55"/>
      <c r="AB893" s="55"/>
      <c r="AC893" s="55"/>
    </row>
    <row r="894">
      <c r="A894" s="53"/>
      <c r="B894" s="53"/>
      <c r="C894" s="55"/>
      <c r="D894" s="55"/>
      <c r="E894" s="55"/>
      <c r="F894" s="55"/>
      <c r="G894" s="55"/>
      <c r="H894" s="181"/>
      <c r="I894" s="55"/>
      <c r="J894" s="55"/>
      <c r="K894" s="55"/>
      <c r="L894" s="55"/>
      <c r="M894" s="55"/>
      <c r="N894" s="55"/>
      <c r="O894" s="55"/>
      <c r="P894" s="55"/>
      <c r="Q894" s="55"/>
      <c r="R894" s="55"/>
      <c r="S894" s="55"/>
      <c r="T894" s="55"/>
      <c r="U894" s="55"/>
      <c r="V894" s="55"/>
      <c r="W894" s="55"/>
      <c r="X894" s="55"/>
      <c r="Y894" s="55"/>
      <c r="Z894" s="55"/>
      <c r="AA894" s="55"/>
      <c r="AB894" s="55"/>
      <c r="AC894" s="55"/>
    </row>
    <row r="895">
      <c r="A895" s="53"/>
      <c r="B895" s="53"/>
      <c r="C895" s="55"/>
      <c r="D895" s="55"/>
      <c r="E895" s="55"/>
      <c r="F895" s="55"/>
      <c r="G895" s="55"/>
      <c r="H895" s="181"/>
      <c r="I895" s="55"/>
      <c r="J895" s="55"/>
      <c r="K895" s="55"/>
      <c r="L895" s="55"/>
      <c r="M895" s="55"/>
      <c r="N895" s="55"/>
      <c r="O895" s="55"/>
      <c r="P895" s="55"/>
      <c r="Q895" s="55"/>
      <c r="R895" s="55"/>
      <c r="S895" s="55"/>
      <c r="T895" s="55"/>
      <c r="U895" s="55"/>
      <c r="V895" s="55"/>
      <c r="W895" s="55"/>
      <c r="X895" s="55"/>
      <c r="Y895" s="55"/>
      <c r="Z895" s="55"/>
      <c r="AA895" s="55"/>
      <c r="AB895" s="55"/>
      <c r="AC895" s="55"/>
    </row>
    <row r="896">
      <c r="A896" s="53"/>
      <c r="B896" s="53"/>
      <c r="C896" s="55"/>
      <c r="D896" s="55"/>
      <c r="E896" s="55"/>
      <c r="F896" s="55"/>
      <c r="G896" s="55"/>
      <c r="H896" s="181"/>
      <c r="I896" s="55"/>
      <c r="J896" s="55"/>
      <c r="K896" s="55"/>
      <c r="L896" s="55"/>
      <c r="M896" s="55"/>
      <c r="N896" s="55"/>
      <c r="O896" s="55"/>
      <c r="P896" s="55"/>
      <c r="Q896" s="55"/>
      <c r="R896" s="55"/>
      <c r="S896" s="55"/>
      <c r="T896" s="55"/>
      <c r="U896" s="55"/>
      <c r="V896" s="55"/>
      <c r="W896" s="55"/>
      <c r="X896" s="55"/>
      <c r="Y896" s="55"/>
      <c r="Z896" s="55"/>
      <c r="AA896" s="55"/>
      <c r="AB896" s="55"/>
      <c r="AC896" s="55"/>
    </row>
    <row r="897">
      <c r="A897" s="53"/>
      <c r="B897" s="53"/>
      <c r="C897" s="55"/>
      <c r="D897" s="55"/>
      <c r="E897" s="55"/>
      <c r="F897" s="55"/>
      <c r="G897" s="55"/>
      <c r="H897" s="181"/>
      <c r="I897" s="55"/>
      <c r="J897" s="55"/>
      <c r="K897" s="55"/>
      <c r="L897" s="55"/>
      <c r="M897" s="55"/>
      <c r="N897" s="55"/>
      <c r="O897" s="55"/>
      <c r="P897" s="55"/>
      <c r="Q897" s="55"/>
      <c r="R897" s="55"/>
      <c r="S897" s="55"/>
      <c r="T897" s="55"/>
      <c r="U897" s="55"/>
      <c r="V897" s="55"/>
      <c r="W897" s="55"/>
      <c r="X897" s="55"/>
      <c r="Y897" s="55"/>
      <c r="Z897" s="55"/>
      <c r="AA897" s="55"/>
      <c r="AB897" s="55"/>
      <c r="AC897" s="55"/>
    </row>
    <row r="898">
      <c r="A898" s="53"/>
      <c r="B898" s="53"/>
      <c r="C898" s="55"/>
      <c r="D898" s="55"/>
      <c r="E898" s="55"/>
      <c r="F898" s="55"/>
      <c r="G898" s="55"/>
      <c r="H898" s="181"/>
      <c r="I898" s="55"/>
      <c r="J898" s="55"/>
      <c r="K898" s="55"/>
      <c r="L898" s="55"/>
      <c r="M898" s="55"/>
      <c r="N898" s="55"/>
      <c r="O898" s="55"/>
      <c r="P898" s="55"/>
      <c r="Q898" s="55"/>
      <c r="R898" s="55"/>
      <c r="S898" s="55"/>
      <c r="T898" s="55"/>
      <c r="U898" s="55"/>
      <c r="V898" s="55"/>
      <c r="W898" s="55"/>
      <c r="X898" s="55"/>
      <c r="Y898" s="55"/>
      <c r="Z898" s="55"/>
      <c r="AA898" s="55"/>
      <c r="AB898" s="55"/>
      <c r="AC898" s="55"/>
    </row>
    <row r="899">
      <c r="A899" s="53"/>
      <c r="B899" s="53"/>
      <c r="C899" s="55"/>
      <c r="D899" s="55"/>
      <c r="E899" s="55"/>
      <c r="F899" s="55"/>
      <c r="G899" s="55"/>
      <c r="H899" s="181"/>
      <c r="I899" s="55"/>
      <c r="J899" s="55"/>
      <c r="K899" s="55"/>
      <c r="L899" s="55"/>
      <c r="M899" s="55"/>
      <c r="N899" s="55"/>
      <c r="O899" s="55"/>
      <c r="P899" s="55"/>
      <c r="Q899" s="55"/>
      <c r="R899" s="55"/>
      <c r="S899" s="55"/>
      <c r="T899" s="55"/>
      <c r="U899" s="55"/>
      <c r="V899" s="55"/>
      <c r="W899" s="55"/>
      <c r="X899" s="55"/>
      <c r="Y899" s="55"/>
      <c r="Z899" s="55"/>
      <c r="AA899" s="55"/>
      <c r="AB899" s="55"/>
      <c r="AC899" s="55"/>
    </row>
    <row r="900">
      <c r="A900" s="53"/>
      <c r="B900" s="53"/>
      <c r="C900" s="55"/>
      <c r="D900" s="55"/>
      <c r="E900" s="55"/>
      <c r="F900" s="55"/>
      <c r="G900" s="55"/>
      <c r="H900" s="181"/>
      <c r="I900" s="55"/>
      <c r="J900" s="55"/>
      <c r="K900" s="55"/>
      <c r="L900" s="55"/>
      <c r="M900" s="55"/>
      <c r="N900" s="55"/>
      <c r="O900" s="55"/>
      <c r="P900" s="55"/>
      <c r="Q900" s="55"/>
      <c r="R900" s="55"/>
      <c r="S900" s="55"/>
      <c r="T900" s="55"/>
      <c r="U900" s="55"/>
      <c r="V900" s="55"/>
      <c r="W900" s="55"/>
      <c r="X900" s="55"/>
      <c r="Y900" s="55"/>
      <c r="Z900" s="55"/>
      <c r="AA900" s="55"/>
      <c r="AB900" s="55"/>
      <c r="AC900" s="55"/>
    </row>
    <row r="901">
      <c r="A901" s="53"/>
      <c r="B901" s="53"/>
      <c r="C901" s="55"/>
      <c r="D901" s="55"/>
      <c r="E901" s="55"/>
      <c r="F901" s="55"/>
      <c r="G901" s="55"/>
      <c r="H901" s="181"/>
      <c r="I901" s="55"/>
      <c r="J901" s="55"/>
      <c r="K901" s="55"/>
      <c r="L901" s="55"/>
      <c r="M901" s="55"/>
      <c r="N901" s="55"/>
      <c r="O901" s="55"/>
      <c r="P901" s="55"/>
      <c r="Q901" s="55"/>
      <c r="R901" s="55"/>
      <c r="S901" s="55"/>
      <c r="T901" s="55"/>
      <c r="U901" s="55"/>
      <c r="V901" s="55"/>
      <c r="W901" s="55"/>
      <c r="X901" s="55"/>
      <c r="Y901" s="55"/>
      <c r="Z901" s="55"/>
      <c r="AA901" s="55"/>
      <c r="AB901" s="55"/>
      <c r="AC901" s="55"/>
    </row>
    <row r="902">
      <c r="A902" s="53"/>
      <c r="B902" s="53"/>
      <c r="C902" s="55"/>
      <c r="D902" s="55"/>
      <c r="E902" s="55"/>
      <c r="F902" s="55"/>
      <c r="G902" s="55"/>
      <c r="H902" s="181"/>
      <c r="I902" s="55"/>
      <c r="J902" s="55"/>
      <c r="K902" s="55"/>
      <c r="L902" s="55"/>
      <c r="M902" s="55"/>
      <c r="N902" s="55"/>
      <c r="O902" s="55"/>
      <c r="P902" s="55"/>
      <c r="Q902" s="55"/>
      <c r="R902" s="55"/>
      <c r="S902" s="55"/>
      <c r="T902" s="55"/>
      <c r="U902" s="55"/>
      <c r="V902" s="55"/>
      <c r="W902" s="55"/>
      <c r="X902" s="55"/>
      <c r="Y902" s="55"/>
      <c r="Z902" s="55"/>
      <c r="AA902" s="55"/>
      <c r="AB902" s="55"/>
      <c r="AC902" s="55"/>
    </row>
    <row r="903">
      <c r="A903" s="53"/>
      <c r="B903" s="53"/>
      <c r="C903" s="55"/>
      <c r="D903" s="55"/>
      <c r="E903" s="55"/>
      <c r="F903" s="55"/>
      <c r="G903" s="55"/>
      <c r="H903" s="181"/>
      <c r="I903" s="55"/>
      <c r="J903" s="55"/>
      <c r="K903" s="55"/>
      <c r="L903" s="55"/>
      <c r="M903" s="55"/>
      <c r="N903" s="55"/>
      <c r="O903" s="55"/>
      <c r="P903" s="55"/>
      <c r="Q903" s="55"/>
      <c r="R903" s="55"/>
      <c r="S903" s="55"/>
      <c r="T903" s="55"/>
      <c r="U903" s="55"/>
      <c r="V903" s="55"/>
      <c r="W903" s="55"/>
      <c r="X903" s="55"/>
      <c r="Y903" s="55"/>
      <c r="Z903" s="55"/>
      <c r="AA903" s="55"/>
      <c r="AB903" s="55"/>
      <c r="AC903" s="55"/>
    </row>
    <row r="904">
      <c r="A904" s="53"/>
      <c r="B904" s="53"/>
      <c r="C904" s="55"/>
      <c r="D904" s="55"/>
      <c r="E904" s="55"/>
      <c r="F904" s="55"/>
      <c r="G904" s="55"/>
      <c r="H904" s="181"/>
      <c r="I904" s="55"/>
      <c r="J904" s="55"/>
      <c r="K904" s="55"/>
      <c r="L904" s="55"/>
      <c r="M904" s="55"/>
      <c r="N904" s="55"/>
      <c r="O904" s="55"/>
      <c r="P904" s="55"/>
      <c r="Q904" s="55"/>
      <c r="R904" s="55"/>
      <c r="S904" s="55"/>
      <c r="T904" s="55"/>
      <c r="U904" s="55"/>
      <c r="V904" s="55"/>
      <c r="W904" s="55"/>
      <c r="X904" s="55"/>
      <c r="Y904" s="55"/>
      <c r="Z904" s="55"/>
      <c r="AA904" s="55"/>
      <c r="AB904" s="55"/>
      <c r="AC904" s="55"/>
    </row>
    <row r="905">
      <c r="A905" s="53"/>
      <c r="B905" s="53"/>
      <c r="C905" s="55"/>
      <c r="D905" s="55"/>
      <c r="E905" s="55"/>
      <c r="F905" s="55"/>
      <c r="G905" s="55"/>
      <c r="H905" s="181"/>
      <c r="I905" s="55"/>
      <c r="J905" s="55"/>
      <c r="K905" s="55"/>
      <c r="L905" s="55"/>
      <c r="M905" s="55"/>
      <c r="N905" s="55"/>
      <c r="O905" s="55"/>
      <c r="P905" s="55"/>
      <c r="Q905" s="55"/>
      <c r="R905" s="55"/>
      <c r="S905" s="55"/>
      <c r="T905" s="55"/>
      <c r="U905" s="55"/>
      <c r="V905" s="55"/>
      <c r="W905" s="55"/>
      <c r="X905" s="55"/>
      <c r="Y905" s="55"/>
      <c r="Z905" s="55"/>
      <c r="AA905" s="55"/>
      <c r="AB905" s="55"/>
      <c r="AC905" s="55"/>
    </row>
    <row r="906">
      <c r="A906" s="53"/>
      <c r="B906" s="53"/>
      <c r="C906" s="55"/>
      <c r="D906" s="55"/>
      <c r="E906" s="55"/>
      <c r="F906" s="55"/>
      <c r="G906" s="55"/>
      <c r="H906" s="181"/>
      <c r="I906" s="55"/>
      <c r="J906" s="55"/>
      <c r="K906" s="55"/>
      <c r="L906" s="55"/>
      <c r="M906" s="55"/>
      <c r="N906" s="55"/>
      <c r="O906" s="55"/>
      <c r="P906" s="55"/>
      <c r="Q906" s="55"/>
      <c r="R906" s="55"/>
      <c r="S906" s="55"/>
      <c r="T906" s="55"/>
      <c r="U906" s="55"/>
      <c r="V906" s="55"/>
      <c r="W906" s="55"/>
      <c r="X906" s="55"/>
      <c r="Y906" s="55"/>
      <c r="Z906" s="55"/>
      <c r="AA906" s="55"/>
      <c r="AB906" s="55"/>
      <c r="AC906" s="55"/>
    </row>
    <row r="907">
      <c r="A907" s="53"/>
      <c r="B907" s="53"/>
      <c r="C907" s="55"/>
      <c r="D907" s="55"/>
      <c r="E907" s="55"/>
      <c r="F907" s="55"/>
      <c r="G907" s="55"/>
      <c r="H907" s="181"/>
      <c r="I907" s="55"/>
      <c r="J907" s="55"/>
      <c r="K907" s="55"/>
      <c r="L907" s="55"/>
      <c r="M907" s="55"/>
      <c r="N907" s="55"/>
      <c r="O907" s="55"/>
      <c r="P907" s="55"/>
      <c r="Q907" s="55"/>
      <c r="R907" s="55"/>
      <c r="S907" s="55"/>
      <c r="T907" s="55"/>
      <c r="U907" s="55"/>
      <c r="V907" s="55"/>
      <c r="W907" s="55"/>
      <c r="X907" s="55"/>
      <c r="Y907" s="55"/>
      <c r="Z907" s="55"/>
      <c r="AA907" s="55"/>
      <c r="AB907" s="55"/>
      <c r="AC907" s="55"/>
    </row>
    <row r="908">
      <c r="A908" s="53"/>
      <c r="B908" s="53"/>
      <c r="C908" s="55"/>
      <c r="D908" s="55"/>
      <c r="E908" s="55"/>
      <c r="F908" s="55"/>
      <c r="G908" s="55"/>
      <c r="H908" s="181"/>
      <c r="I908" s="55"/>
      <c r="J908" s="55"/>
      <c r="K908" s="55"/>
      <c r="L908" s="55"/>
      <c r="M908" s="55"/>
      <c r="N908" s="55"/>
      <c r="O908" s="55"/>
      <c r="P908" s="55"/>
      <c r="Q908" s="55"/>
      <c r="R908" s="55"/>
      <c r="S908" s="55"/>
      <c r="T908" s="55"/>
      <c r="U908" s="55"/>
      <c r="V908" s="55"/>
      <c r="W908" s="55"/>
      <c r="X908" s="55"/>
      <c r="Y908" s="55"/>
      <c r="Z908" s="55"/>
      <c r="AA908" s="55"/>
      <c r="AB908" s="55"/>
      <c r="AC908" s="55"/>
    </row>
    <row r="909">
      <c r="A909" s="53"/>
      <c r="B909" s="53"/>
      <c r="C909" s="55"/>
      <c r="D909" s="55"/>
      <c r="E909" s="55"/>
      <c r="F909" s="55"/>
      <c r="G909" s="55"/>
      <c r="H909" s="181"/>
      <c r="I909" s="55"/>
      <c r="J909" s="55"/>
      <c r="K909" s="55"/>
      <c r="L909" s="55"/>
      <c r="M909" s="55"/>
      <c r="N909" s="55"/>
      <c r="O909" s="55"/>
      <c r="P909" s="55"/>
      <c r="Q909" s="55"/>
      <c r="R909" s="55"/>
      <c r="S909" s="55"/>
      <c r="T909" s="55"/>
      <c r="U909" s="55"/>
      <c r="V909" s="55"/>
      <c r="W909" s="55"/>
      <c r="X909" s="55"/>
      <c r="Y909" s="55"/>
      <c r="Z909" s="55"/>
      <c r="AA909" s="55"/>
      <c r="AB909" s="55"/>
      <c r="AC909" s="55"/>
    </row>
    <row r="910">
      <c r="A910" s="53"/>
      <c r="B910" s="53"/>
      <c r="C910" s="55"/>
      <c r="D910" s="55"/>
      <c r="E910" s="55"/>
      <c r="F910" s="55"/>
      <c r="G910" s="55"/>
      <c r="H910" s="181"/>
      <c r="I910" s="55"/>
      <c r="J910" s="55"/>
      <c r="K910" s="55"/>
      <c r="L910" s="55"/>
      <c r="M910" s="55"/>
      <c r="N910" s="55"/>
      <c r="O910" s="55"/>
      <c r="P910" s="55"/>
      <c r="Q910" s="55"/>
      <c r="R910" s="55"/>
      <c r="S910" s="55"/>
      <c r="T910" s="55"/>
      <c r="U910" s="55"/>
      <c r="V910" s="55"/>
      <c r="W910" s="55"/>
      <c r="X910" s="55"/>
      <c r="Y910" s="55"/>
      <c r="Z910" s="55"/>
      <c r="AA910" s="55"/>
      <c r="AB910" s="55"/>
      <c r="AC910" s="55"/>
    </row>
    <row r="911">
      <c r="A911" s="53"/>
      <c r="B911" s="53"/>
      <c r="C911" s="55"/>
      <c r="D911" s="55"/>
      <c r="E911" s="55"/>
      <c r="F911" s="55"/>
      <c r="G911" s="55"/>
      <c r="H911" s="181"/>
      <c r="I911" s="55"/>
      <c r="J911" s="55"/>
      <c r="K911" s="55"/>
      <c r="L911" s="55"/>
      <c r="M911" s="55"/>
      <c r="N911" s="55"/>
      <c r="O911" s="55"/>
      <c r="P911" s="55"/>
      <c r="Q911" s="55"/>
      <c r="R911" s="55"/>
      <c r="S911" s="55"/>
      <c r="T911" s="55"/>
      <c r="U911" s="55"/>
      <c r="V911" s="55"/>
      <c r="W911" s="55"/>
      <c r="X911" s="55"/>
      <c r="Y911" s="55"/>
      <c r="Z911" s="55"/>
      <c r="AA911" s="55"/>
      <c r="AB911" s="55"/>
      <c r="AC911" s="55"/>
    </row>
    <row r="912">
      <c r="A912" s="53"/>
      <c r="B912" s="53"/>
      <c r="C912" s="55"/>
      <c r="D912" s="55"/>
      <c r="E912" s="55"/>
      <c r="F912" s="55"/>
      <c r="G912" s="55"/>
      <c r="H912" s="181"/>
      <c r="I912" s="55"/>
      <c r="J912" s="55"/>
      <c r="K912" s="55"/>
      <c r="L912" s="55"/>
      <c r="M912" s="55"/>
      <c r="N912" s="55"/>
      <c r="O912" s="55"/>
      <c r="P912" s="55"/>
      <c r="Q912" s="55"/>
      <c r="R912" s="55"/>
      <c r="S912" s="55"/>
      <c r="T912" s="55"/>
      <c r="U912" s="55"/>
      <c r="V912" s="55"/>
      <c r="W912" s="55"/>
      <c r="X912" s="55"/>
      <c r="Y912" s="55"/>
      <c r="Z912" s="55"/>
      <c r="AA912" s="55"/>
      <c r="AB912" s="55"/>
      <c r="AC912" s="55"/>
    </row>
    <row r="913">
      <c r="A913" s="53"/>
      <c r="B913" s="53"/>
      <c r="C913" s="55"/>
      <c r="D913" s="55"/>
      <c r="E913" s="55"/>
      <c r="F913" s="55"/>
      <c r="G913" s="55"/>
      <c r="H913" s="181"/>
      <c r="I913" s="55"/>
      <c r="J913" s="55"/>
      <c r="K913" s="55"/>
      <c r="L913" s="55"/>
      <c r="M913" s="55"/>
      <c r="N913" s="55"/>
      <c r="O913" s="55"/>
      <c r="P913" s="55"/>
      <c r="Q913" s="55"/>
      <c r="R913" s="55"/>
      <c r="S913" s="55"/>
      <c r="T913" s="55"/>
      <c r="U913" s="55"/>
      <c r="V913" s="55"/>
      <c r="W913" s="55"/>
      <c r="X913" s="55"/>
      <c r="Y913" s="55"/>
      <c r="Z913" s="55"/>
      <c r="AA913" s="55"/>
      <c r="AB913" s="55"/>
      <c r="AC913" s="55"/>
    </row>
    <row r="914">
      <c r="A914" s="53"/>
      <c r="B914" s="53"/>
      <c r="C914" s="55"/>
      <c r="D914" s="55"/>
      <c r="E914" s="55"/>
      <c r="F914" s="55"/>
      <c r="G914" s="55"/>
      <c r="H914" s="181"/>
      <c r="I914" s="55"/>
      <c r="J914" s="55"/>
      <c r="K914" s="55"/>
      <c r="L914" s="55"/>
      <c r="M914" s="55"/>
      <c r="N914" s="55"/>
      <c r="O914" s="55"/>
      <c r="P914" s="55"/>
      <c r="Q914" s="55"/>
      <c r="R914" s="55"/>
      <c r="S914" s="55"/>
      <c r="T914" s="55"/>
      <c r="U914" s="55"/>
      <c r="V914" s="55"/>
      <c r="W914" s="55"/>
      <c r="X914" s="55"/>
      <c r="Y914" s="55"/>
      <c r="Z914" s="55"/>
      <c r="AA914" s="55"/>
      <c r="AB914" s="55"/>
      <c r="AC914" s="55"/>
    </row>
    <row r="915">
      <c r="A915" s="53"/>
      <c r="B915" s="53"/>
      <c r="C915" s="55"/>
      <c r="D915" s="55"/>
      <c r="E915" s="55"/>
      <c r="F915" s="55"/>
      <c r="G915" s="55"/>
      <c r="H915" s="181"/>
      <c r="I915" s="55"/>
      <c r="J915" s="55"/>
      <c r="K915" s="55"/>
      <c r="L915" s="55"/>
      <c r="M915" s="55"/>
      <c r="N915" s="55"/>
      <c r="O915" s="55"/>
      <c r="P915" s="55"/>
      <c r="Q915" s="55"/>
      <c r="R915" s="55"/>
      <c r="S915" s="55"/>
      <c r="T915" s="55"/>
      <c r="U915" s="55"/>
      <c r="V915" s="55"/>
      <c r="W915" s="55"/>
      <c r="X915" s="55"/>
      <c r="Y915" s="55"/>
      <c r="Z915" s="55"/>
      <c r="AA915" s="55"/>
      <c r="AB915" s="55"/>
      <c r="AC915" s="55"/>
    </row>
    <row r="916">
      <c r="A916" s="53"/>
      <c r="B916" s="53"/>
      <c r="C916" s="55"/>
      <c r="D916" s="55"/>
      <c r="E916" s="55"/>
      <c r="F916" s="55"/>
      <c r="G916" s="55"/>
      <c r="H916" s="181"/>
      <c r="I916" s="55"/>
      <c r="J916" s="55"/>
      <c r="K916" s="55"/>
      <c r="L916" s="55"/>
      <c r="M916" s="55"/>
      <c r="N916" s="55"/>
      <c r="O916" s="55"/>
      <c r="P916" s="55"/>
      <c r="Q916" s="55"/>
      <c r="R916" s="55"/>
      <c r="S916" s="55"/>
      <c r="T916" s="55"/>
      <c r="U916" s="55"/>
      <c r="V916" s="55"/>
      <c r="W916" s="55"/>
      <c r="X916" s="55"/>
      <c r="Y916" s="55"/>
      <c r="Z916" s="55"/>
      <c r="AA916" s="55"/>
      <c r="AB916" s="55"/>
      <c r="AC916" s="55"/>
    </row>
    <row r="917">
      <c r="A917" s="53"/>
      <c r="B917" s="53"/>
      <c r="C917" s="55"/>
      <c r="D917" s="55"/>
      <c r="E917" s="55"/>
      <c r="F917" s="55"/>
      <c r="G917" s="55"/>
      <c r="H917" s="181"/>
      <c r="I917" s="55"/>
      <c r="J917" s="55"/>
      <c r="K917" s="55"/>
      <c r="L917" s="55"/>
      <c r="M917" s="55"/>
      <c r="N917" s="55"/>
      <c r="O917" s="55"/>
      <c r="P917" s="55"/>
      <c r="Q917" s="55"/>
      <c r="R917" s="55"/>
      <c r="S917" s="55"/>
      <c r="T917" s="55"/>
      <c r="U917" s="55"/>
      <c r="V917" s="55"/>
      <c r="W917" s="55"/>
      <c r="X917" s="55"/>
      <c r="Y917" s="55"/>
      <c r="Z917" s="55"/>
      <c r="AA917" s="55"/>
      <c r="AB917" s="55"/>
      <c r="AC917" s="55"/>
    </row>
    <row r="918">
      <c r="A918" s="53"/>
      <c r="B918" s="53"/>
      <c r="C918" s="55"/>
      <c r="D918" s="55"/>
      <c r="E918" s="55"/>
      <c r="F918" s="55"/>
      <c r="G918" s="55"/>
      <c r="H918" s="181"/>
      <c r="I918" s="55"/>
      <c r="J918" s="55"/>
      <c r="K918" s="55"/>
      <c r="L918" s="55"/>
      <c r="M918" s="55"/>
      <c r="N918" s="55"/>
      <c r="O918" s="55"/>
      <c r="P918" s="55"/>
      <c r="Q918" s="55"/>
      <c r="R918" s="55"/>
      <c r="S918" s="55"/>
      <c r="T918" s="55"/>
      <c r="U918" s="55"/>
      <c r="V918" s="55"/>
      <c r="W918" s="55"/>
      <c r="X918" s="55"/>
      <c r="Y918" s="55"/>
      <c r="Z918" s="55"/>
      <c r="AA918" s="55"/>
      <c r="AB918" s="55"/>
      <c r="AC918" s="55"/>
    </row>
    <row r="919">
      <c r="A919" s="53"/>
      <c r="B919" s="53"/>
      <c r="C919" s="55"/>
      <c r="D919" s="55"/>
      <c r="E919" s="55"/>
      <c r="F919" s="55"/>
      <c r="G919" s="55"/>
      <c r="H919" s="181"/>
      <c r="I919" s="55"/>
      <c r="J919" s="55"/>
      <c r="K919" s="55"/>
      <c r="L919" s="55"/>
      <c r="M919" s="55"/>
      <c r="N919" s="55"/>
      <c r="O919" s="55"/>
      <c r="P919" s="55"/>
      <c r="Q919" s="55"/>
      <c r="R919" s="55"/>
      <c r="S919" s="55"/>
      <c r="T919" s="55"/>
      <c r="U919" s="55"/>
      <c r="V919" s="55"/>
      <c r="W919" s="55"/>
      <c r="X919" s="55"/>
      <c r="Y919" s="55"/>
      <c r="Z919" s="55"/>
      <c r="AA919" s="55"/>
      <c r="AB919" s="55"/>
      <c r="AC919" s="55"/>
    </row>
    <row r="920">
      <c r="A920" s="53"/>
      <c r="B920" s="53"/>
      <c r="C920" s="55"/>
      <c r="D920" s="55"/>
      <c r="E920" s="55"/>
      <c r="F920" s="55"/>
      <c r="G920" s="55"/>
      <c r="H920" s="181"/>
      <c r="I920" s="55"/>
      <c r="J920" s="55"/>
      <c r="K920" s="55"/>
      <c r="L920" s="55"/>
      <c r="M920" s="55"/>
      <c r="N920" s="55"/>
      <c r="O920" s="55"/>
      <c r="P920" s="55"/>
      <c r="Q920" s="55"/>
      <c r="R920" s="55"/>
      <c r="S920" s="55"/>
      <c r="T920" s="55"/>
      <c r="U920" s="55"/>
      <c r="V920" s="55"/>
      <c r="W920" s="55"/>
      <c r="X920" s="55"/>
      <c r="Y920" s="55"/>
      <c r="Z920" s="55"/>
      <c r="AA920" s="55"/>
      <c r="AB920" s="55"/>
      <c r="AC920" s="55"/>
    </row>
    <row r="921">
      <c r="A921" s="53"/>
      <c r="B921" s="53"/>
      <c r="C921" s="55"/>
      <c r="D921" s="55"/>
      <c r="E921" s="55"/>
      <c r="F921" s="55"/>
      <c r="G921" s="55"/>
      <c r="H921" s="181"/>
      <c r="I921" s="55"/>
      <c r="J921" s="55"/>
      <c r="K921" s="55"/>
      <c r="L921" s="55"/>
      <c r="M921" s="55"/>
      <c r="N921" s="55"/>
      <c r="O921" s="55"/>
      <c r="P921" s="55"/>
      <c r="Q921" s="55"/>
      <c r="R921" s="55"/>
      <c r="S921" s="55"/>
      <c r="T921" s="55"/>
      <c r="U921" s="55"/>
      <c r="V921" s="55"/>
      <c r="W921" s="55"/>
      <c r="X921" s="55"/>
      <c r="Y921" s="55"/>
      <c r="Z921" s="55"/>
      <c r="AA921" s="55"/>
      <c r="AB921" s="55"/>
      <c r="AC921" s="55"/>
    </row>
    <row r="922">
      <c r="A922" s="53"/>
      <c r="B922" s="53"/>
      <c r="C922" s="55"/>
      <c r="D922" s="55"/>
      <c r="E922" s="55"/>
      <c r="F922" s="55"/>
      <c r="G922" s="55"/>
      <c r="H922" s="181"/>
      <c r="I922" s="55"/>
      <c r="J922" s="55"/>
      <c r="K922" s="55"/>
      <c r="L922" s="55"/>
      <c r="M922" s="55"/>
      <c r="N922" s="55"/>
      <c r="O922" s="55"/>
      <c r="P922" s="55"/>
      <c r="Q922" s="55"/>
      <c r="R922" s="55"/>
      <c r="S922" s="55"/>
      <c r="T922" s="55"/>
      <c r="U922" s="55"/>
      <c r="V922" s="55"/>
      <c r="W922" s="55"/>
      <c r="X922" s="55"/>
      <c r="Y922" s="55"/>
      <c r="Z922" s="55"/>
      <c r="AA922" s="55"/>
      <c r="AB922" s="55"/>
      <c r="AC922" s="55"/>
    </row>
    <row r="923">
      <c r="A923" s="53"/>
      <c r="B923" s="53"/>
      <c r="C923" s="55"/>
      <c r="D923" s="55"/>
      <c r="E923" s="55"/>
      <c r="F923" s="55"/>
      <c r="G923" s="55"/>
      <c r="H923" s="181"/>
      <c r="I923" s="55"/>
      <c r="J923" s="55"/>
      <c r="K923" s="55"/>
      <c r="L923" s="55"/>
      <c r="M923" s="55"/>
      <c r="N923" s="55"/>
      <c r="O923" s="55"/>
      <c r="P923" s="55"/>
      <c r="Q923" s="55"/>
      <c r="R923" s="55"/>
      <c r="S923" s="55"/>
      <c r="T923" s="55"/>
      <c r="U923" s="55"/>
      <c r="V923" s="55"/>
      <c r="W923" s="55"/>
      <c r="X923" s="55"/>
      <c r="Y923" s="55"/>
      <c r="Z923" s="55"/>
      <c r="AA923" s="55"/>
      <c r="AB923" s="55"/>
      <c r="AC923" s="55"/>
    </row>
    <row r="924">
      <c r="A924" s="53"/>
      <c r="B924" s="53"/>
      <c r="C924" s="55"/>
      <c r="D924" s="55"/>
      <c r="E924" s="55"/>
      <c r="F924" s="55"/>
      <c r="G924" s="55"/>
      <c r="H924" s="181"/>
      <c r="I924" s="55"/>
      <c r="J924" s="55"/>
      <c r="K924" s="55"/>
      <c r="L924" s="55"/>
      <c r="M924" s="55"/>
      <c r="N924" s="55"/>
      <c r="O924" s="55"/>
      <c r="P924" s="55"/>
      <c r="Q924" s="55"/>
      <c r="R924" s="55"/>
      <c r="S924" s="55"/>
      <c r="T924" s="55"/>
      <c r="U924" s="55"/>
      <c r="V924" s="55"/>
      <c r="W924" s="55"/>
      <c r="X924" s="55"/>
      <c r="Y924" s="55"/>
      <c r="Z924" s="55"/>
      <c r="AA924" s="55"/>
      <c r="AB924" s="55"/>
      <c r="AC924" s="55"/>
    </row>
    <row r="925">
      <c r="A925" s="53"/>
      <c r="B925" s="53"/>
      <c r="C925" s="55"/>
      <c r="D925" s="55"/>
      <c r="E925" s="55"/>
      <c r="F925" s="55"/>
      <c r="G925" s="55"/>
      <c r="H925" s="181"/>
      <c r="I925" s="55"/>
      <c r="J925" s="55"/>
      <c r="K925" s="55"/>
      <c r="L925" s="55"/>
      <c r="M925" s="55"/>
      <c r="N925" s="55"/>
      <c r="O925" s="55"/>
      <c r="P925" s="55"/>
      <c r="Q925" s="55"/>
      <c r="R925" s="55"/>
      <c r="S925" s="55"/>
      <c r="T925" s="55"/>
      <c r="U925" s="55"/>
      <c r="V925" s="55"/>
      <c r="W925" s="55"/>
      <c r="X925" s="55"/>
      <c r="Y925" s="55"/>
      <c r="Z925" s="55"/>
      <c r="AA925" s="55"/>
      <c r="AB925" s="55"/>
      <c r="AC925" s="55"/>
    </row>
    <row r="926">
      <c r="A926" s="53"/>
      <c r="B926" s="53"/>
      <c r="C926" s="55"/>
      <c r="D926" s="55"/>
      <c r="E926" s="55"/>
      <c r="F926" s="55"/>
      <c r="G926" s="55"/>
      <c r="H926" s="181"/>
      <c r="I926" s="55"/>
      <c r="J926" s="55"/>
      <c r="K926" s="55"/>
      <c r="L926" s="55"/>
      <c r="M926" s="55"/>
      <c r="N926" s="55"/>
      <c r="O926" s="55"/>
      <c r="P926" s="55"/>
      <c r="Q926" s="55"/>
      <c r="R926" s="55"/>
      <c r="S926" s="55"/>
      <c r="T926" s="55"/>
      <c r="U926" s="55"/>
      <c r="V926" s="55"/>
      <c r="W926" s="55"/>
      <c r="X926" s="55"/>
      <c r="Y926" s="55"/>
      <c r="Z926" s="55"/>
      <c r="AA926" s="55"/>
      <c r="AB926" s="55"/>
      <c r="AC926" s="55"/>
    </row>
    <row r="927">
      <c r="A927" s="53"/>
      <c r="B927" s="53"/>
      <c r="C927" s="55"/>
      <c r="D927" s="55"/>
      <c r="E927" s="55"/>
      <c r="F927" s="55"/>
      <c r="G927" s="55"/>
      <c r="H927" s="181"/>
      <c r="I927" s="55"/>
      <c r="J927" s="55"/>
      <c r="K927" s="55"/>
      <c r="L927" s="55"/>
      <c r="M927" s="55"/>
      <c r="N927" s="55"/>
      <c r="O927" s="55"/>
      <c r="P927" s="55"/>
      <c r="Q927" s="55"/>
      <c r="R927" s="55"/>
      <c r="S927" s="55"/>
      <c r="T927" s="55"/>
      <c r="U927" s="55"/>
      <c r="V927" s="55"/>
      <c r="W927" s="55"/>
      <c r="X927" s="55"/>
      <c r="Y927" s="55"/>
      <c r="Z927" s="55"/>
      <c r="AA927" s="55"/>
      <c r="AB927" s="55"/>
      <c r="AC927" s="55"/>
    </row>
    <row r="928">
      <c r="A928" s="53"/>
      <c r="B928" s="53"/>
      <c r="C928" s="55"/>
      <c r="D928" s="55"/>
      <c r="E928" s="55"/>
      <c r="F928" s="55"/>
      <c r="G928" s="55"/>
      <c r="H928" s="181"/>
      <c r="I928" s="55"/>
      <c r="J928" s="55"/>
      <c r="K928" s="55"/>
      <c r="L928" s="55"/>
      <c r="M928" s="55"/>
      <c r="N928" s="55"/>
      <c r="O928" s="55"/>
      <c r="P928" s="55"/>
      <c r="Q928" s="55"/>
      <c r="R928" s="55"/>
      <c r="S928" s="55"/>
      <c r="T928" s="55"/>
      <c r="U928" s="55"/>
      <c r="V928" s="55"/>
      <c r="W928" s="55"/>
      <c r="X928" s="55"/>
      <c r="Y928" s="55"/>
      <c r="Z928" s="55"/>
      <c r="AA928" s="55"/>
      <c r="AB928" s="55"/>
      <c r="AC928" s="55"/>
    </row>
    <row r="929">
      <c r="A929" s="53"/>
      <c r="B929" s="53"/>
      <c r="C929" s="55"/>
      <c r="D929" s="55"/>
      <c r="E929" s="55"/>
      <c r="F929" s="55"/>
      <c r="G929" s="55"/>
      <c r="H929" s="181"/>
      <c r="I929" s="55"/>
      <c r="J929" s="55"/>
      <c r="K929" s="55"/>
      <c r="L929" s="55"/>
      <c r="M929" s="55"/>
      <c r="N929" s="55"/>
      <c r="O929" s="55"/>
      <c r="P929" s="55"/>
      <c r="Q929" s="55"/>
      <c r="R929" s="55"/>
      <c r="S929" s="55"/>
      <c r="T929" s="55"/>
      <c r="U929" s="55"/>
      <c r="V929" s="55"/>
      <c r="W929" s="55"/>
      <c r="X929" s="55"/>
      <c r="Y929" s="55"/>
      <c r="Z929" s="55"/>
      <c r="AA929" s="55"/>
      <c r="AB929" s="55"/>
      <c r="AC929" s="55"/>
    </row>
    <row r="930">
      <c r="A930" s="53"/>
      <c r="B930" s="53"/>
      <c r="C930" s="55"/>
      <c r="D930" s="55"/>
      <c r="E930" s="55"/>
      <c r="F930" s="55"/>
      <c r="G930" s="55"/>
      <c r="H930" s="181"/>
      <c r="I930" s="55"/>
      <c r="J930" s="55"/>
      <c r="K930" s="55"/>
      <c r="L930" s="55"/>
      <c r="M930" s="55"/>
      <c r="N930" s="55"/>
      <c r="O930" s="55"/>
      <c r="P930" s="55"/>
      <c r="Q930" s="55"/>
      <c r="R930" s="55"/>
      <c r="S930" s="55"/>
      <c r="T930" s="55"/>
      <c r="U930" s="55"/>
      <c r="V930" s="55"/>
      <c r="W930" s="55"/>
      <c r="X930" s="55"/>
      <c r="Y930" s="55"/>
      <c r="Z930" s="55"/>
      <c r="AA930" s="55"/>
      <c r="AB930" s="55"/>
      <c r="AC930" s="55"/>
    </row>
    <row r="931">
      <c r="A931" s="53"/>
      <c r="B931" s="53"/>
      <c r="C931" s="55"/>
      <c r="D931" s="55"/>
      <c r="E931" s="55"/>
      <c r="F931" s="55"/>
      <c r="G931" s="55"/>
      <c r="H931" s="181"/>
      <c r="I931" s="55"/>
      <c r="J931" s="55"/>
      <c r="K931" s="55"/>
      <c r="L931" s="55"/>
      <c r="M931" s="55"/>
      <c r="N931" s="55"/>
      <c r="O931" s="55"/>
      <c r="P931" s="55"/>
      <c r="Q931" s="55"/>
      <c r="R931" s="55"/>
      <c r="S931" s="55"/>
      <c r="T931" s="55"/>
      <c r="U931" s="55"/>
      <c r="V931" s="55"/>
      <c r="W931" s="55"/>
      <c r="X931" s="55"/>
      <c r="Y931" s="55"/>
      <c r="Z931" s="55"/>
      <c r="AA931" s="55"/>
      <c r="AB931" s="55"/>
      <c r="AC931" s="55"/>
    </row>
    <row r="932">
      <c r="A932" s="53"/>
      <c r="B932" s="53"/>
      <c r="C932" s="55"/>
      <c r="D932" s="55"/>
      <c r="E932" s="55"/>
      <c r="F932" s="55"/>
      <c r="G932" s="55"/>
      <c r="H932" s="181"/>
      <c r="I932" s="55"/>
      <c r="J932" s="55"/>
      <c r="K932" s="55"/>
      <c r="L932" s="55"/>
      <c r="M932" s="55"/>
      <c r="N932" s="55"/>
      <c r="O932" s="55"/>
      <c r="P932" s="55"/>
      <c r="Q932" s="55"/>
      <c r="R932" s="55"/>
      <c r="S932" s="55"/>
      <c r="T932" s="55"/>
      <c r="U932" s="55"/>
      <c r="V932" s="55"/>
      <c r="W932" s="55"/>
      <c r="X932" s="55"/>
      <c r="Y932" s="55"/>
      <c r="Z932" s="55"/>
      <c r="AA932" s="55"/>
      <c r="AB932" s="55"/>
      <c r="AC932" s="55"/>
    </row>
    <row r="933">
      <c r="A933" s="53"/>
      <c r="B933" s="53"/>
      <c r="C933" s="55"/>
      <c r="D933" s="55"/>
      <c r="E933" s="55"/>
      <c r="F933" s="55"/>
      <c r="G933" s="55"/>
      <c r="H933" s="181"/>
      <c r="I933" s="55"/>
      <c r="J933" s="55"/>
      <c r="K933" s="55"/>
      <c r="L933" s="55"/>
      <c r="M933" s="55"/>
      <c r="N933" s="55"/>
      <c r="O933" s="55"/>
      <c r="P933" s="55"/>
      <c r="Q933" s="55"/>
      <c r="R933" s="55"/>
      <c r="S933" s="55"/>
      <c r="T933" s="55"/>
      <c r="U933" s="55"/>
      <c r="V933" s="55"/>
      <c r="W933" s="55"/>
      <c r="X933" s="55"/>
      <c r="Y933" s="55"/>
      <c r="Z933" s="55"/>
      <c r="AA933" s="55"/>
      <c r="AB933" s="55"/>
      <c r="AC933" s="55"/>
    </row>
    <row r="934">
      <c r="A934" s="53"/>
      <c r="B934" s="53"/>
      <c r="C934" s="55"/>
      <c r="D934" s="55"/>
      <c r="E934" s="55"/>
      <c r="F934" s="55"/>
      <c r="G934" s="55"/>
      <c r="H934" s="181"/>
      <c r="I934" s="55"/>
      <c r="J934" s="55"/>
      <c r="K934" s="55"/>
      <c r="L934" s="55"/>
      <c r="M934" s="55"/>
      <c r="N934" s="55"/>
      <c r="O934" s="55"/>
      <c r="P934" s="55"/>
      <c r="Q934" s="55"/>
      <c r="R934" s="55"/>
      <c r="S934" s="55"/>
      <c r="T934" s="55"/>
      <c r="U934" s="55"/>
      <c r="V934" s="55"/>
      <c r="W934" s="55"/>
      <c r="X934" s="55"/>
      <c r="Y934" s="55"/>
      <c r="Z934" s="55"/>
      <c r="AA934" s="55"/>
      <c r="AB934" s="55"/>
      <c r="AC934" s="55"/>
    </row>
    <row r="935">
      <c r="A935" s="53"/>
      <c r="B935" s="53"/>
      <c r="C935" s="55"/>
      <c r="D935" s="55"/>
      <c r="E935" s="55"/>
      <c r="F935" s="55"/>
      <c r="G935" s="55"/>
      <c r="H935" s="181"/>
      <c r="I935" s="55"/>
      <c r="J935" s="55"/>
      <c r="K935" s="55"/>
      <c r="L935" s="55"/>
      <c r="M935" s="55"/>
      <c r="N935" s="55"/>
      <c r="O935" s="55"/>
      <c r="P935" s="55"/>
      <c r="Q935" s="55"/>
      <c r="R935" s="55"/>
      <c r="S935" s="55"/>
      <c r="T935" s="55"/>
      <c r="U935" s="55"/>
      <c r="V935" s="55"/>
      <c r="W935" s="55"/>
      <c r="X935" s="55"/>
      <c r="Y935" s="55"/>
      <c r="Z935" s="55"/>
      <c r="AA935" s="55"/>
      <c r="AB935" s="55"/>
      <c r="AC935" s="55"/>
    </row>
    <row r="936">
      <c r="A936" s="53"/>
      <c r="B936" s="53"/>
      <c r="C936" s="55"/>
      <c r="D936" s="55"/>
      <c r="E936" s="55"/>
      <c r="F936" s="55"/>
      <c r="G936" s="55"/>
      <c r="H936" s="181"/>
      <c r="I936" s="55"/>
      <c r="J936" s="55"/>
      <c r="K936" s="55"/>
      <c r="L936" s="55"/>
      <c r="M936" s="55"/>
      <c r="N936" s="55"/>
      <c r="O936" s="55"/>
      <c r="P936" s="55"/>
      <c r="Q936" s="55"/>
      <c r="R936" s="55"/>
      <c r="S936" s="55"/>
      <c r="T936" s="55"/>
      <c r="U936" s="55"/>
      <c r="V936" s="55"/>
      <c r="W936" s="55"/>
      <c r="X936" s="55"/>
      <c r="Y936" s="55"/>
      <c r="Z936" s="55"/>
      <c r="AA936" s="55"/>
      <c r="AB936" s="55"/>
      <c r="AC936" s="55"/>
    </row>
    <row r="937">
      <c r="A937" s="53"/>
      <c r="B937" s="53"/>
      <c r="C937" s="55"/>
      <c r="D937" s="55"/>
      <c r="E937" s="55"/>
      <c r="F937" s="55"/>
      <c r="G937" s="55"/>
      <c r="H937" s="181"/>
      <c r="I937" s="55"/>
      <c r="J937" s="55"/>
      <c r="K937" s="55"/>
      <c r="L937" s="55"/>
      <c r="M937" s="55"/>
      <c r="N937" s="55"/>
      <c r="O937" s="55"/>
      <c r="P937" s="55"/>
      <c r="Q937" s="55"/>
      <c r="R937" s="55"/>
      <c r="S937" s="55"/>
      <c r="T937" s="55"/>
      <c r="U937" s="55"/>
      <c r="V937" s="55"/>
      <c r="W937" s="55"/>
      <c r="X937" s="55"/>
      <c r="Y937" s="55"/>
      <c r="Z937" s="55"/>
      <c r="AA937" s="55"/>
      <c r="AB937" s="55"/>
      <c r="AC937" s="55"/>
    </row>
    <row r="938">
      <c r="A938" s="53"/>
      <c r="B938" s="53"/>
      <c r="C938" s="55"/>
      <c r="D938" s="55"/>
      <c r="E938" s="55"/>
      <c r="F938" s="55"/>
      <c r="G938" s="55"/>
      <c r="H938" s="181"/>
      <c r="I938" s="55"/>
      <c r="J938" s="55"/>
      <c r="K938" s="55"/>
      <c r="L938" s="55"/>
      <c r="M938" s="55"/>
      <c r="N938" s="55"/>
      <c r="O938" s="55"/>
      <c r="P938" s="55"/>
      <c r="Q938" s="55"/>
      <c r="R938" s="55"/>
      <c r="S938" s="55"/>
      <c r="T938" s="55"/>
      <c r="U938" s="55"/>
      <c r="V938" s="55"/>
      <c r="W938" s="55"/>
      <c r="X938" s="55"/>
      <c r="Y938" s="55"/>
      <c r="Z938" s="55"/>
      <c r="AA938" s="55"/>
      <c r="AB938" s="55"/>
      <c r="AC938" s="55"/>
    </row>
    <row r="939">
      <c r="A939" s="53"/>
      <c r="B939" s="53"/>
      <c r="C939" s="55"/>
      <c r="D939" s="55"/>
      <c r="E939" s="55"/>
      <c r="F939" s="55"/>
      <c r="G939" s="55"/>
      <c r="H939" s="181"/>
      <c r="I939" s="55"/>
      <c r="J939" s="55"/>
      <c r="K939" s="55"/>
      <c r="L939" s="55"/>
      <c r="M939" s="55"/>
      <c r="N939" s="55"/>
      <c r="O939" s="55"/>
      <c r="P939" s="55"/>
      <c r="Q939" s="55"/>
      <c r="R939" s="55"/>
      <c r="S939" s="55"/>
      <c r="T939" s="55"/>
      <c r="U939" s="55"/>
      <c r="V939" s="55"/>
      <c r="W939" s="55"/>
      <c r="X939" s="55"/>
      <c r="Y939" s="55"/>
      <c r="Z939" s="55"/>
      <c r="AA939" s="55"/>
      <c r="AB939" s="55"/>
      <c r="AC939" s="55"/>
    </row>
    <row r="940">
      <c r="A940" s="53"/>
      <c r="B940" s="53"/>
      <c r="C940" s="55"/>
      <c r="D940" s="55"/>
      <c r="E940" s="55"/>
      <c r="F940" s="55"/>
      <c r="G940" s="55"/>
      <c r="H940" s="181"/>
      <c r="I940" s="55"/>
      <c r="J940" s="55"/>
      <c r="K940" s="55"/>
      <c r="L940" s="55"/>
      <c r="M940" s="55"/>
      <c r="N940" s="55"/>
      <c r="O940" s="55"/>
      <c r="P940" s="55"/>
      <c r="Q940" s="55"/>
      <c r="R940" s="55"/>
      <c r="S940" s="55"/>
      <c r="T940" s="55"/>
      <c r="U940" s="55"/>
      <c r="V940" s="55"/>
      <c r="W940" s="55"/>
      <c r="X940" s="55"/>
      <c r="Y940" s="55"/>
      <c r="Z940" s="55"/>
      <c r="AA940" s="55"/>
      <c r="AB940" s="55"/>
      <c r="AC940" s="55"/>
    </row>
    <row r="941">
      <c r="A941" s="53"/>
      <c r="B941" s="53"/>
      <c r="C941" s="55"/>
      <c r="D941" s="55"/>
      <c r="E941" s="55"/>
      <c r="F941" s="55"/>
      <c r="G941" s="55"/>
      <c r="H941" s="181"/>
      <c r="I941" s="55"/>
      <c r="J941" s="55"/>
      <c r="K941" s="55"/>
      <c r="L941" s="55"/>
      <c r="M941" s="55"/>
      <c r="N941" s="55"/>
      <c r="O941" s="55"/>
      <c r="P941" s="55"/>
      <c r="Q941" s="55"/>
      <c r="R941" s="55"/>
      <c r="S941" s="55"/>
      <c r="T941" s="55"/>
      <c r="U941" s="55"/>
      <c r="V941" s="55"/>
      <c r="W941" s="55"/>
      <c r="X941" s="55"/>
      <c r="Y941" s="55"/>
      <c r="Z941" s="55"/>
      <c r="AA941" s="55"/>
      <c r="AB941" s="55"/>
      <c r="AC941" s="55"/>
    </row>
    <row r="942">
      <c r="A942" s="53"/>
      <c r="B942" s="53"/>
      <c r="C942" s="55"/>
      <c r="D942" s="55"/>
      <c r="E942" s="55"/>
      <c r="F942" s="55"/>
      <c r="G942" s="55"/>
      <c r="H942" s="181"/>
      <c r="I942" s="55"/>
      <c r="J942" s="55"/>
      <c r="K942" s="55"/>
      <c r="L942" s="55"/>
      <c r="M942" s="55"/>
      <c r="N942" s="55"/>
      <c r="O942" s="55"/>
      <c r="P942" s="55"/>
      <c r="Q942" s="55"/>
      <c r="R942" s="55"/>
      <c r="S942" s="55"/>
      <c r="T942" s="55"/>
      <c r="U942" s="55"/>
      <c r="V942" s="55"/>
      <c r="W942" s="55"/>
      <c r="X942" s="55"/>
      <c r="Y942" s="55"/>
      <c r="Z942" s="55"/>
      <c r="AA942" s="55"/>
      <c r="AB942" s="55"/>
      <c r="AC942" s="55"/>
    </row>
    <row r="943">
      <c r="A943" s="53"/>
      <c r="B943" s="53"/>
      <c r="C943" s="55"/>
      <c r="D943" s="55"/>
      <c r="E943" s="55"/>
      <c r="F943" s="55"/>
      <c r="G943" s="55"/>
      <c r="H943" s="181"/>
      <c r="I943" s="55"/>
      <c r="J943" s="55"/>
      <c r="K943" s="55"/>
      <c r="L943" s="55"/>
      <c r="M943" s="55"/>
      <c r="N943" s="55"/>
      <c r="O943" s="55"/>
      <c r="P943" s="55"/>
      <c r="Q943" s="55"/>
      <c r="R943" s="55"/>
      <c r="S943" s="55"/>
      <c r="T943" s="55"/>
      <c r="U943" s="55"/>
      <c r="V943" s="55"/>
      <c r="W943" s="55"/>
      <c r="X943" s="55"/>
      <c r="Y943" s="55"/>
      <c r="Z943" s="55"/>
      <c r="AA943" s="55"/>
      <c r="AB943" s="55"/>
      <c r="AC943" s="55"/>
    </row>
    <row r="944">
      <c r="A944" s="53"/>
      <c r="B944" s="53"/>
      <c r="C944" s="55"/>
      <c r="D944" s="55"/>
      <c r="E944" s="55"/>
      <c r="F944" s="55"/>
      <c r="G944" s="55"/>
      <c r="H944" s="181"/>
      <c r="I944" s="55"/>
      <c r="J944" s="55"/>
      <c r="K944" s="55"/>
      <c r="L944" s="55"/>
      <c r="M944" s="55"/>
      <c r="N944" s="55"/>
      <c r="O944" s="55"/>
      <c r="P944" s="55"/>
      <c r="Q944" s="55"/>
      <c r="R944" s="55"/>
      <c r="S944" s="55"/>
      <c r="T944" s="55"/>
      <c r="U944" s="55"/>
      <c r="V944" s="55"/>
      <c r="W944" s="55"/>
      <c r="X944" s="55"/>
      <c r="Y944" s="55"/>
      <c r="Z944" s="55"/>
      <c r="AA944" s="55"/>
      <c r="AB944" s="55"/>
      <c r="AC944" s="55"/>
    </row>
    <row r="945">
      <c r="A945" s="53"/>
      <c r="B945" s="53"/>
      <c r="C945" s="55"/>
      <c r="D945" s="55"/>
      <c r="E945" s="55"/>
      <c r="F945" s="55"/>
      <c r="G945" s="55"/>
      <c r="H945" s="181"/>
      <c r="I945" s="55"/>
      <c r="J945" s="55"/>
      <c r="K945" s="55"/>
      <c r="L945" s="55"/>
      <c r="M945" s="55"/>
      <c r="N945" s="55"/>
      <c r="O945" s="55"/>
      <c r="P945" s="55"/>
      <c r="Q945" s="55"/>
      <c r="R945" s="55"/>
      <c r="S945" s="55"/>
      <c r="T945" s="55"/>
      <c r="U945" s="55"/>
      <c r="V945" s="55"/>
      <c r="W945" s="55"/>
      <c r="X945" s="55"/>
      <c r="Y945" s="55"/>
      <c r="Z945" s="55"/>
      <c r="AA945" s="55"/>
      <c r="AB945" s="55"/>
      <c r="AC945" s="55"/>
    </row>
    <row r="946">
      <c r="A946" s="53"/>
      <c r="B946" s="53"/>
      <c r="C946" s="55"/>
      <c r="D946" s="55"/>
      <c r="E946" s="55"/>
      <c r="F946" s="55"/>
      <c r="G946" s="55"/>
      <c r="H946" s="181"/>
      <c r="I946" s="55"/>
      <c r="J946" s="55"/>
      <c r="K946" s="55"/>
      <c r="L946" s="55"/>
      <c r="M946" s="55"/>
      <c r="N946" s="55"/>
      <c r="O946" s="55"/>
      <c r="P946" s="55"/>
      <c r="Q946" s="55"/>
      <c r="R946" s="55"/>
      <c r="S946" s="55"/>
      <c r="T946" s="55"/>
      <c r="U946" s="55"/>
      <c r="V946" s="55"/>
      <c r="W946" s="55"/>
      <c r="X946" s="55"/>
      <c r="Y946" s="55"/>
      <c r="Z946" s="55"/>
      <c r="AA946" s="55"/>
      <c r="AB946" s="55"/>
      <c r="AC946" s="55"/>
    </row>
    <row r="947">
      <c r="A947" s="53"/>
      <c r="B947" s="53"/>
      <c r="C947" s="55"/>
      <c r="D947" s="55"/>
      <c r="E947" s="55"/>
      <c r="F947" s="55"/>
      <c r="G947" s="55"/>
      <c r="H947" s="181"/>
      <c r="I947" s="55"/>
      <c r="J947" s="55"/>
      <c r="K947" s="55"/>
      <c r="L947" s="55"/>
      <c r="M947" s="55"/>
      <c r="N947" s="55"/>
      <c r="O947" s="55"/>
      <c r="P947" s="55"/>
      <c r="Q947" s="55"/>
      <c r="R947" s="55"/>
      <c r="S947" s="55"/>
      <c r="T947" s="55"/>
      <c r="U947" s="55"/>
      <c r="V947" s="55"/>
      <c r="W947" s="55"/>
      <c r="X947" s="55"/>
      <c r="Y947" s="55"/>
      <c r="Z947" s="55"/>
      <c r="AA947" s="55"/>
      <c r="AB947" s="55"/>
      <c r="AC947" s="55"/>
    </row>
    <row r="948">
      <c r="A948" s="53"/>
      <c r="B948" s="53"/>
      <c r="C948" s="55"/>
      <c r="D948" s="55"/>
      <c r="E948" s="55"/>
      <c r="F948" s="55"/>
      <c r="G948" s="55"/>
      <c r="H948" s="181"/>
      <c r="I948" s="55"/>
      <c r="J948" s="55"/>
      <c r="K948" s="55"/>
      <c r="L948" s="55"/>
      <c r="M948" s="55"/>
      <c r="N948" s="55"/>
      <c r="O948" s="55"/>
      <c r="P948" s="55"/>
      <c r="Q948" s="55"/>
      <c r="R948" s="55"/>
      <c r="S948" s="55"/>
      <c r="T948" s="55"/>
      <c r="U948" s="55"/>
      <c r="V948" s="55"/>
      <c r="W948" s="55"/>
      <c r="X948" s="55"/>
      <c r="Y948" s="55"/>
      <c r="Z948" s="55"/>
      <c r="AA948" s="55"/>
      <c r="AB948" s="55"/>
      <c r="AC948" s="55"/>
    </row>
    <row r="949">
      <c r="A949" s="53"/>
      <c r="B949" s="53"/>
      <c r="C949" s="55"/>
      <c r="D949" s="55"/>
      <c r="E949" s="55"/>
      <c r="F949" s="55"/>
      <c r="G949" s="55"/>
      <c r="H949" s="181"/>
      <c r="I949" s="55"/>
      <c r="J949" s="55"/>
      <c r="K949" s="55"/>
      <c r="L949" s="55"/>
      <c r="M949" s="55"/>
      <c r="N949" s="55"/>
      <c r="O949" s="55"/>
      <c r="P949" s="55"/>
      <c r="Q949" s="55"/>
      <c r="R949" s="55"/>
      <c r="S949" s="55"/>
      <c r="T949" s="55"/>
      <c r="U949" s="55"/>
      <c r="V949" s="55"/>
      <c r="W949" s="55"/>
      <c r="X949" s="55"/>
      <c r="Y949" s="55"/>
      <c r="Z949" s="55"/>
      <c r="AA949" s="55"/>
      <c r="AB949" s="55"/>
      <c r="AC949" s="55"/>
    </row>
    <row r="950">
      <c r="A950" s="53"/>
      <c r="B950" s="53"/>
      <c r="C950" s="55"/>
      <c r="D950" s="55"/>
      <c r="E950" s="55"/>
      <c r="F950" s="55"/>
      <c r="G950" s="55"/>
      <c r="H950" s="181"/>
      <c r="I950" s="55"/>
      <c r="J950" s="55"/>
      <c r="K950" s="55"/>
      <c r="L950" s="55"/>
      <c r="M950" s="55"/>
      <c r="N950" s="55"/>
      <c r="O950" s="55"/>
      <c r="P950" s="55"/>
      <c r="Q950" s="55"/>
      <c r="R950" s="55"/>
      <c r="S950" s="55"/>
      <c r="T950" s="55"/>
      <c r="U950" s="55"/>
      <c r="V950" s="55"/>
      <c r="W950" s="55"/>
      <c r="X950" s="55"/>
      <c r="Y950" s="55"/>
      <c r="Z950" s="55"/>
      <c r="AA950" s="55"/>
      <c r="AB950" s="55"/>
      <c r="AC950" s="55"/>
    </row>
    <row r="951">
      <c r="A951" s="53"/>
      <c r="B951" s="53"/>
      <c r="C951" s="55"/>
      <c r="D951" s="55"/>
      <c r="E951" s="55"/>
      <c r="F951" s="55"/>
      <c r="G951" s="55"/>
      <c r="H951" s="181"/>
      <c r="I951" s="55"/>
      <c r="J951" s="55"/>
      <c r="K951" s="55"/>
      <c r="L951" s="55"/>
      <c r="M951" s="55"/>
      <c r="N951" s="55"/>
      <c r="O951" s="55"/>
      <c r="P951" s="55"/>
      <c r="Q951" s="55"/>
      <c r="R951" s="55"/>
      <c r="S951" s="55"/>
      <c r="T951" s="55"/>
      <c r="U951" s="55"/>
      <c r="V951" s="55"/>
      <c r="W951" s="55"/>
      <c r="X951" s="55"/>
      <c r="Y951" s="55"/>
      <c r="Z951" s="55"/>
      <c r="AA951" s="55"/>
      <c r="AB951" s="55"/>
      <c r="AC951" s="55"/>
    </row>
    <row r="952">
      <c r="A952" s="53"/>
      <c r="B952" s="53"/>
      <c r="C952" s="55"/>
      <c r="D952" s="55"/>
      <c r="E952" s="55"/>
      <c r="F952" s="55"/>
      <c r="G952" s="55"/>
      <c r="H952" s="181"/>
      <c r="I952" s="55"/>
      <c r="J952" s="55"/>
      <c r="K952" s="55"/>
      <c r="L952" s="55"/>
      <c r="M952" s="55"/>
      <c r="N952" s="55"/>
      <c r="O952" s="55"/>
      <c r="P952" s="55"/>
      <c r="Q952" s="55"/>
      <c r="R952" s="55"/>
      <c r="S952" s="55"/>
      <c r="T952" s="55"/>
      <c r="U952" s="55"/>
      <c r="V952" s="55"/>
      <c r="W952" s="55"/>
      <c r="X952" s="55"/>
      <c r="Y952" s="55"/>
      <c r="Z952" s="55"/>
      <c r="AA952" s="55"/>
      <c r="AB952" s="55"/>
      <c r="AC952" s="55"/>
    </row>
    <row r="953">
      <c r="A953" s="53"/>
      <c r="B953" s="53"/>
      <c r="C953" s="55"/>
      <c r="D953" s="55"/>
      <c r="E953" s="55"/>
      <c r="F953" s="55"/>
      <c r="G953" s="55"/>
      <c r="H953" s="181"/>
      <c r="I953" s="55"/>
      <c r="J953" s="55"/>
      <c r="K953" s="55"/>
      <c r="L953" s="55"/>
      <c r="M953" s="55"/>
      <c r="N953" s="55"/>
      <c r="O953" s="55"/>
      <c r="P953" s="55"/>
      <c r="Q953" s="55"/>
      <c r="R953" s="55"/>
      <c r="S953" s="55"/>
      <c r="T953" s="55"/>
      <c r="U953" s="55"/>
      <c r="V953" s="55"/>
      <c r="W953" s="55"/>
      <c r="X953" s="55"/>
      <c r="Y953" s="55"/>
      <c r="Z953" s="55"/>
      <c r="AA953" s="55"/>
      <c r="AB953" s="55"/>
      <c r="AC953" s="55"/>
    </row>
    <row r="954">
      <c r="A954" s="53"/>
      <c r="B954" s="53"/>
      <c r="C954" s="55"/>
      <c r="D954" s="55"/>
      <c r="E954" s="55"/>
      <c r="F954" s="55"/>
      <c r="G954" s="55"/>
      <c r="H954" s="181"/>
      <c r="I954" s="55"/>
      <c r="J954" s="55"/>
      <c r="K954" s="55"/>
      <c r="L954" s="55"/>
      <c r="M954" s="55"/>
      <c r="N954" s="55"/>
      <c r="O954" s="55"/>
      <c r="P954" s="55"/>
      <c r="Q954" s="55"/>
      <c r="R954" s="55"/>
      <c r="S954" s="55"/>
      <c r="T954" s="55"/>
      <c r="U954" s="55"/>
      <c r="V954" s="55"/>
      <c r="W954" s="55"/>
      <c r="X954" s="55"/>
      <c r="Y954" s="55"/>
      <c r="Z954" s="55"/>
      <c r="AA954" s="55"/>
      <c r="AB954" s="55"/>
      <c r="AC954" s="55"/>
    </row>
    <row r="955">
      <c r="A955" s="53"/>
      <c r="B955" s="53"/>
      <c r="C955" s="55"/>
      <c r="D955" s="55"/>
      <c r="E955" s="55"/>
      <c r="F955" s="55"/>
      <c r="G955" s="55"/>
      <c r="H955" s="181"/>
      <c r="I955" s="55"/>
      <c r="J955" s="55"/>
      <c r="K955" s="55"/>
      <c r="L955" s="55"/>
      <c r="M955" s="55"/>
      <c r="N955" s="55"/>
      <c r="O955" s="55"/>
      <c r="P955" s="55"/>
      <c r="Q955" s="55"/>
      <c r="R955" s="55"/>
      <c r="S955" s="55"/>
      <c r="T955" s="55"/>
      <c r="U955" s="55"/>
      <c r="V955" s="55"/>
      <c r="W955" s="55"/>
      <c r="X955" s="55"/>
      <c r="Y955" s="55"/>
      <c r="Z955" s="55"/>
      <c r="AA955" s="55"/>
      <c r="AB955" s="55"/>
      <c r="AC955" s="55"/>
    </row>
    <row r="956">
      <c r="A956" s="53"/>
      <c r="B956" s="53"/>
      <c r="C956" s="55"/>
      <c r="D956" s="55"/>
      <c r="E956" s="55"/>
      <c r="F956" s="55"/>
      <c r="G956" s="55"/>
      <c r="H956" s="181"/>
      <c r="I956" s="55"/>
      <c r="J956" s="55"/>
      <c r="K956" s="55"/>
      <c r="L956" s="55"/>
      <c r="M956" s="55"/>
      <c r="N956" s="55"/>
      <c r="O956" s="55"/>
      <c r="P956" s="55"/>
      <c r="Q956" s="55"/>
      <c r="R956" s="55"/>
      <c r="S956" s="55"/>
      <c r="T956" s="55"/>
      <c r="U956" s="55"/>
      <c r="V956" s="55"/>
      <c r="W956" s="55"/>
      <c r="X956" s="55"/>
      <c r="Y956" s="55"/>
      <c r="Z956" s="55"/>
      <c r="AA956" s="55"/>
      <c r="AB956" s="55"/>
      <c r="AC956" s="55"/>
    </row>
    <row r="957">
      <c r="A957" s="53"/>
      <c r="B957" s="53"/>
      <c r="C957" s="55"/>
      <c r="D957" s="55"/>
      <c r="E957" s="55"/>
      <c r="F957" s="55"/>
      <c r="G957" s="55"/>
      <c r="H957" s="181"/>
      <c r="I957" s="55"/>
      <c r="J957" s="55"/>
      <c r="K957" s="55"/>
      <c r="L957" s="55"/>
      <c r="M957" s="55"/>
      <c r="N957" s="55"/>
      <c r="O957" s="55"/>
      <c r="P957" s="55"/>
      <c r="Q957" s="55"/>
      <c r="R957" s="55"/>
      <c r="S957" s="55"/>
      <c r="T957" s="55"/>
      <c r="U957" s="55"/>
      <c r="V957" s="55"/>
      <c r="W957" s="55"/>
      <c r="X957" s="55"/>
      <c r="Y957" s="55"/>
      <c r="Z957" s="55"/>
      <c r="AA957" s="55"/>
      <c r="AB957" s="55"/>
      <c r="AC957" s="55"/>
    </row>
    <row r="958">
      <c r="A958" s="53"/>
      <c r="B958" s="53"/>
      <c r="C958" s="55"/>
      <c r="D958" s="55"/>
      <c r="E958" s="55"/>
      <c r="F958" s="55"/>
      <c r="G958" s="55"/>
      <c r="H958" s="181"/>
      <c r="I958" s="55"/>
      <c r="J958" s="55"/>
      <c r="K958" s="55"/>
      <c r="L958" s="55"/>
      <c r="M958" s="55"/>
      <c r="N958" s="55"/>
      <c r="O958" s="55"/>
      <c r="P958" s="55"/>
      <c r="Q958" s="55"/>
      <c r="R958" s="55"/>
      <c r="S958" s="55"/>
      <c r="T958" s="55"/>
      <c r="U958" s="55"/>
      <c r="V958" s="55"/>
      <c r="W958" s="55"/>
      <c r="X958" s="55"/>
      <c r="Y958" s="55"/>
      <c r="Z958" s="55"/>
      <c r="AA958" s="55"/>
      <c r="AB958" s="55"/>
      <c r="AC958" s="55"/>
    </row>
    <row r="959">
      <c r="A959" s="53"/>
      <c r="B959" s="53"/>
      <c r="C959" s="55"/>
      <c r="D959" s="55"/>
      <c r="E959" s="55"/>
      <c r="F959" s="55"/>
      <c r="G959" s="55"/>
      <c r="H959" s="181"/>
      <c r="I959" s="55"/>
      <c r="J959" s="55"/>
      <c r="K959" s="55"/>
      <c r="L959" s="55"/>
      <c r="M959" s="55"/>
      <c r="N959" s="55"/>
      <c r="O959" s="55"/>
      <c r="P959" s="55"/>
      <c r="Q959" s="55"/>
      <c r="R959" s="55"/>
      <c r="S959" s="55"/>
      <c r="T959" s="55"/>
      <c r="U959" s="55"/>
      <c r="V959" s="55"/>
      <c r="W959" s="55"/>
      <c r="X959" s="55"/>
      <c r="Y959" s="55"/>
      <c r="Z959" s="55"/>
      <c r="AA959" s="55"/>
      <c r="AB959" s="55"/>
      <c r="AC959" s="55"/>
    </row>
    <row r="960">
      <c r="A960" s="53"/>
      <c r="B960" s="53"/>
      <c r="C960" s="55"/>
      <c r="D960" s="55"/>
      <c r="E960" s="55"/>
      <c r="F960" s="55"/>
      <c r="G960" s="55"/>
      <c r="H960" s="181"/>
      <c r="I960" s="55"/>
      <c r="J960" s="55"/>
      <c r="K960" s="55"/>
      <c r="L960" s="55"/>
      <c r="M960" s="55"/>
      <c r="N960" s="55"/>
      <c r="O960" s="55"/>
      <c r="P960" s="55"/>
      <c r="Q960" s="55"/>
      <c r="R960" s="55"/>
      <c r="S960" s="55"/>
      <c r="T960" s="55"/>
      <c r="U960" s="55"/>
      <c r="V960" s="55"/>
      <c r="W960" s="55"/>
      <c r="X960" s="55"/>
      <c r="Y960" s="55"/>
      <c r="Z960" s="55"/>
      <c r="AA960" s="55"/>
      <c r="AB960" s="55"/>
      <c r="AC960" s="55"/>
    </row>
    <row r="961">
      <c r="A961" s="53"/>
      <c r="B961" s="53"/>
      <c r="C961" s="55"/>
      <c r="D961" s="55"/>
      <c r="E961" s="55"/>
      <c r="F961" s="55"/>
      <c r="G961" s="55"/>
      <c r="H961" s="181"/>
      <c r="I961" s="55"/>
      <c r="J961" s="55"/>
      <c r="K961" s="55"/>
      <c r="L961" s="55"/>
      <c r="M961" s="55"/>
      <c r="N961" s="55"/>
      <c r="O961" s="55"/>
      <c r="P961" s="55"/>
      <c r="Q961" s="55"/>
      <c r="R961" s="55"/>
      <c r="S961" s="55"/>
      <c r="T961" s="55"/>
      <c r="U961" s="55"/>
      <c r="V961" s="55"/>
      <c r="W961" s="55"/>
      <c r="X961" s="55"/>
      <c r="Y961" s="55"/>
      <c r="Z961" s="55"/>
      <c r="AA961" s="55"/>
      <c r="AB961" s="55"/>
      <c r="AC961" s="55"/>
    </row>
    <row r="962">
      <c r="A962" s="53"/>
      <c r="B962" s="53"/>
      <c r="C962" s="55"/>
      <c r="D962" s="55"/>
      <c r="E962" s="55"/>
      <c r="F962" s="55"/>
      <c r="G962" s="55"/>
      <c r="H962" s="181"/>
      <c r="I962" s="55"/>
      <c r="J962" s="55"/>
      <c r="K962" s="55"/>
      <c r="L962" s="55"/>
      <c r="M962" s="55"/>
      <c r="N962" s="55"/>
      <c r="O962" s="55"/>
      <c r="P962" s="55"/>
      <c r="Q962" s="55"/>
      <c r="R962" s="55"/>
      <c r="S962" s="55"/>
      <c r="T962" s="55"/>
      <c r="U962" s="55"/>
      <c r="V962" s="55"/>
      <c r="W962" s="55"/>
      <c r="X962" s="55"/>
      <c r="Y962" s="55"/>
      <c r="Z962" s="55"/>
      <c r="AA962" s="55"/>
      <c r="AB962" s="55"/>
      <c r="AC962" s="55"/>
    </row>
    <row r="963">
      <c r="A963" s="53"/>
      <c r="B963" s="53"/>
      <c r="C963" s="55"/>
      <c r="D963" s="55"/>
      <c r="E963" s="55"/>
      <c r="F963" s="55"/>
      <c r="G963" s="55"/>
      <c r="H963" s="181"/>
      <c r="I963" s="55"/>
      <c r="J963" s="55"/>
      <c r="K963" s="55"/>
      <c r="L963" s="55"/>
      <c r="M963" s="55"/>
      <c r="N963" s="55"/>
      <c r="O963" s="55"/>
      <c r="P963" s="55"/>
      <c r="Q963" s="55"/>
      <c r="R963" s="55"/>
      <c r="S963" s="55"/>
      <c r="T963" s="55"/>
      <c r="U963" s="55"/>
      <c r="V963" s="55"/>
      <c r="W963" s="55"/>
      <c r="X963" s="55"/>
      <c r="Y963" s="55"/>
      <c r="Z963" s="55"/>
      <c r="AA963" s="55"/>
      <c r="AB963" s="55"/>
      <c r="AC963" s="55"/>
    </row>
    <row r="964">
      <c r="A964" s="53"/>
      <c r="B964" s="53"/>
      <c r="C964" s="55"/>
      <c r="D964" s="55"/>
      <c r="E964" s="55"/>
      <c r="F964" s="55"/>
      <c r="G964" s="55"/>
      <c r="H964" s="181"/>
      <c r="I964" s="55"/>
      <c r="J964" s="55"/>
      <c r="K964" s="55"/>
      <c r="L964" s="55"/>
      <c r="M964" s="55"/>
      <c r="N964" s="55"/>
      <c r="O964" s="55"/>
      <c r="P964" s="55"/>
      <c r="Q964" s="55"/>
      <c r="R964" s="55"/>
      <c r="S964" s="55"/>
      <c r="T964" s="55"/>
      <c r="U964" s="55"/>
      <c r="V964" s="55"/>
      <c r="W964" s="55"/>
      <c r="X964" s="55"/>
      <c r="Y964" s="55"/>
      <c r="Z964" s="55"/>
      <c r="AA964" s="55"/>
      <c r="AB964" s="55"/>
      <c r="AC964" s="55"/>
    </row>
    <row r="965">
      <c r="A965" s="53"/>
      <c r="B965" s="53"/>
      <c r="C965" s="55"/>
      <c r="D965" s="55"/>
      <c r="E965" s="55"/>
      <c r="F965" s="55"/>
      <c r="G965" s="55"/>
      <c r="H965" s="181"/>
      <c r="I965" s="55"/>
      <c r="J965" s="55"/>
      <c r="K965" s="55"/>
      <c r="L965" s="55"/>
      <c r="M965" s="55"/>
      <c r="N965" s="55"/>
      <c r="O965" s="55"/>
      <c r="P965" s="55"/>
      <c r="Q965" s="55"/>
      <c r="R965" s="55"/>
      <c r="S965" s="55"/>
      <c r="T965" s="55"/>
      <c r="U965" s="55"/>
      <c r="V965" s="55"/>
      <c r="W965" s="55"/>
      <c r="X965" s="55"/>
      <c r="Y965" s="55"/>
      <c r="Z965" s="55"/>
      <c r="AA965" s="55"/>
      <c r="AB965" s="55"/>
      <c r="AC965" s="55"/>
    </row>
    <row r="966">
      <c r="A966" s="53"/>
      <c r="B966" s="53"/>
      <c r="C966" s="55"/>
      <c r="D966" s="55"/>
      <c r="E966" s="55"/>
      <c r="F966" s="55"/>
      <c r="G966" s="55"/>
      <c r="H966" s="181"/>
      <c r="I966" s="55"/>
      <c r="J966" s="55"/>
      <c r="K966" s="55"/>
      <c r="L966" s="55"/>
      <c r="M966" s="55"/>
      <c r="N966" s="55"/>
      <c r="O966" s="55"/>
      <c r="P966" s="55"/>
      <c r="Q966" s="55"/>
      <c r="R966" s="55"/>
      <c r="S966" s="55"/>
      <c r="T966" s="55"/>
      <c r="U966" s="55"/>
      <c r="V966" s="55"/>
      <c r="W966" s="55"/>
      <c r="X966" s="55"/>
      <c r="Y966" s="55"/>
      <c r="Z966" s="55"/>
      <c r="AA966" s="55"/>
      <c r="AB966" s="55"/>
      <c r="AC966" s="55"/>
    </row>
    <row r="967">
      <c r="A967" s="53"/>
      <c r="B967" s="53"/>
      <c r="C967" s="55"/>
      <c r="D967" s="55"/>
      <c r="E967" s="55"/>
      <c r="F967" s="55"/>
      <c r="G967" s="55"/>
      <c r="H967" s="181"/>
      <c r="I967" s="55"/>
      <c r="J967" s="55"/>
      <c r="K967" s="55"/>
      <c r="L967" s="55"/>
      <c r="M967" s="55"/>
      <c r="N967" s="55"/>
      <c r="O967" s="55"/>
      <c r="P967" s="55"/>
      <c r="Q967" s="55"/>
      <c r="R967" s="55"/>
      <c r="S967" s="55"/>
      <c r="T967" s="55"/>
      <c r="U967" s="55"/>
      <c r="V967" s="55"/>
      <c r="W967" s="55"/>
      <c r="X967" s="55"/>
      <c r="Y967" s="55"/>
      <c r="Z967" s="55"/>
      <c r="AA967" s="55"/>
      <c r="AB967" s="55"/>
      <c r="AC967" s="55"/>
    </row>
    <row r="968">
      <c r="A968" s="53"/>
      <c r="B968" s="53"/>
      <c r="C968" s="55"/>
      <c r="D968" s="55"/>
      <c r="E968" s="55"/>
      <c r="F968" s="55"/>
      <c r="G968" s="55"/>
      <c r="H968" s="181"/>
      <c r="I968" s="55"/>
      <c r="J968" s="55"/>
      <c r="K968" s="55"/>
      <c r="L968" s="55"/>
      <c r="M968" s="55"/>
      <c r="N968" s="55"/>
      <c r="O968" s="55"/>
      <c r="P968" s="55"/>
      <c r="Q968" s="55"/>
      <c r="R968" s="55"/>
      <c r="S968" s="55"/>
      <c r="T968" s="55"/>
      <c r="U968" s="55"/>
      <c r="V968" s="55"/>
      <c r="W968" s="55"/>
      <c r="X968" s="55"/>
      <c r="Y968" s="55"/>
      <c r="Z968" s="55"/>
      <c r="AA968" s="55"/>
      <c r="AB968" s="55"/>
      <c r="AC968" s="55"/>
    </row>
    <row r="969">
      <c r="A969" s="53"/>
      <c r="B969" s="53"/>
      <c r="C969" s="55"/>
      <c r="D969" s="55"/>
      <c r="E969" s="55"/>
      <c r="F969" s="55"/>
      <c r="G969" s="55"/>
      <c r="H969" s="181"/>
      <c r="I969" s="55"/>
      <c r="J969" s="55"/>
      <c r="K969" s="55"/>
      <c r="L969" s="55"/>
      <c r="M969" s="55"/>
      <c r="N969" s="55"/>
      <c r="O969" s="55"/>
      <c r="P969" s="55"/>
      <c r="Q969" s="55"/>
      <c r="R969" s="55"/>
      <c r="S969" s="55"/>
      <c r="T969" s="55"/>
      <c r="U969" s="55"/>
      <c r="V969" s="55"/>
      <c r="W969" s="55"/>
      <c r="X969" s="55"/>
      <c r="Y969" s="55"/>
      <c r="Z969" s="55"/>
      <c r="AA969" s="55"/>
      <c r="AB969" s="55"/>
      <c r="AC969" s="55"/>
    </row>
    <row r="970">
      <c r="A970" s="53"/>
      <c r="B970" s="53"/>
      <c r="C970" s="55"/>
      <c r="D970" s="55"/>
      <c r="E970" s="55"/>
      <c r="F970" s="55"/>
      <c r="G970" s="55"/>
      <c r="H970" s="181"/>
      <c r="I970" s="55"/>
      <c r="J970" s="55"/>
      <c r="K970" s="55"/>
      <c r="L970" s="55"/>
      <c r="M970" s="55"/>
      <c r="N970" s="55"/>
      <c r="O970" s="55"/>
      <c r="P970" s="55"/>
      <c r="Q970" s="55"/>
      <c r="R970" s="55"/>
      <c r="S970" s="55"/>
      <c r="T970" s="55"/>
      <c r="U970" s="55"/>
      <c r="V970" s="55"/>
      <c r="W970" s="55"/>
      <c r="X970" s="55"/>
      <c r="Y970" s="55"/>
      <c r="Z970" s="55"/>
      <c r="AA970" s="55"/>
      <c r="AB970" s="55"/>
      <c r="AC970" s="55"/>
    </row>
    <row r="971">
      <c r="A971" s="53"/>
      <c r="B971" s="53"/>
      <c r="C971" s="55"/>
      <c r="D971" s="55"/>
      <c r="E971" s="55"/>
      <c r="F971" s="55"/>
      <c r="G971" s="55"/>
      <c r="H971" s="181"/>
      <c r="I971" s="55"/>
      <c r="J971" s="55"/>
      <c r="K971" s="55"/>
      <c r="L971" s="55"/>
      <c r="M971" s="55"/>
      <c r="N971" s="55"/>
      <c r="O971" s="55"/>
      <c r="P971" s="55"/>
      <c r="Q971" s="55"/>
      <c r="R971" s="55"/>
      <c r="S971" s="55"/>
      <c r="T971" s="55"/>
      <c r="U971" s="55"/>
      <c r="V971" s="55"/>
      <c r="W971" s="55"/>
      <c r="X971" s="55"/>
      <c r="Y971" s="55"/>
      <c r="Z971" s="55"/>
      <c r="AA971" s="55"/>
      <c r="AB971" s="55"/>
      <c r="AC971" s="55"/>
    </row>
    <row r="972">
      <c r="A972" s="53"/>
      <c r="B972" s="53"/>
      <c r="C972" s="55"/>
      <c r="D972" s="55"/>
      <c r="E972" s="55"/>
      <c r="F972" s="55"/>
      <c r="G972" s="55"/>
      <c r="H972" s="181"/>
      <c r="I972" s="55"/>
      <c r="J972" s="55"/>
      <c r="K972" s="55"/>
      <c r="L972" s="55"/>
      <c r="M972" s="55"/>
      <c r="N972" s="55"/>
      <c r="O972" s="55"/>
      <c r="P972" s="55"/>
      <c r="Q972" s="55"/>
      <c r="R972" s="55"/>
      <c r="S972" s="55"/>
      <c r="T972" s="55"/>
      <c r="U972" s="55"/>
      <c r="V972" s="55"/>
      <c r="W972" s="55"/>
      <c r="X972" s="55"/>
      <c r="Y972" s="55"/>
      <c r="Z972" s="55"/>
      <c r="AA972" s="55"/>
      <c r="AB972" s="55"/>
      <c r="AC972" s="55"/>
    </row>
    <row r="973">
      <c r="A973" s="53"/>
      <c r="B973" s="53"/>
      <c r="C973" s="55"/>
      <c r="D973" s="55"/>
      <c r="E973" s="55"/>
      <c r="F973" s="55"/>
      <c r="G973" s="55"/>
      <c r="H973" s="181"/>
      <c r="I973" s="55"/>
      <c r="J973" s="55"/>
      <c r="K973" s="55"/>
      <c r="L973" s="55"/>
      <c r="M973" s="55"/>
      <c r="N973" s="55"/>
      <c r="O973" s="55"/>
      <c r="P973" s="55"/>
      <c r="Q973" s="55"/>
      <c r="R973" s="55"/>
      <c r="S973" s="55"/>
      <c r="T973" s="55"/>
      <c r="U973" s="55"/>
      <c r="V973" s="55"/>
      <c r="W973" s="55"/>
      <c r="X973" s="55"/>
      <c r="Y973" s="55"/>
      <c r="Z973" s="55"/>
      <c r="AA973" s="55"/>
      <c r="AB973" s="55"/>
      <c r="AC973" s="55"/>
    </row>
    <row r="974">
      <c r="A974" s="53"/>
      <c r="B974" s="53"/>
      <c r="C974" s="55"/>
      <c r="D974" s="55"/>
      <c r="E974" s="55"/>
      <c r="F974" s="55"/>
      <c r="G974" s="55"/>
      <c r="H974" s="181"/>
      <c r="I974" s="55"/>
      <c r="J974" s="55"/>
      <c r="K974" s="55"/>
      <c r="L974" s="55"/>
      <c r="M974" s="55"/>
      <c r="N974" s="55"/>
      <c r="O974" s="55"/>
      <c r="P974" s="55"/>
      <c r="Q974" s="55"/>
      <c r="R974" s="55"/>
      <c r="S974" s="55"/>
      <c r="T974" s="55"/>
      <c r="U974" s="55"/>
      <c r="V974" s="55"/>
      <c r="W974" s="55"/>
      <c r="X974" s="55"/>
      <c r="Y974" s="55"/>
      <c r="Z974" s="55"/>
      <c r="AA974" s="55"/>
      <c r="AB974" s="55"/>
      <c r="AC974" s="55"/>
    </row>
    <row r="975">
      <c r="A975" s="53"/>
      <c r="B975" s="53"/>
      <c r="C975" s="55"/>
      <c r="D975" s="55"/>
      <c r="E975" s="55"/>
      <c r="F975" s="55"/>
      <c r="G975" s="55"/>
      <c r="H975" s="181"/>
      <c r="I975" s="55"/>
      <c r="J975" s="55"/>
      <c r="K975" s="55"/>
      <c r="L975" s="55"/>
      <c r="M975" s="55"/>
      <c r="N975" s="55"/>
      <c r="O975" s="55"/>
      <c r="P975" s="55"/>
      <c r="Q975" s="55"/>
      <c r="R975" s="55"/>
      <c r="S975" s="55"/>
      <c r="T975" s="55"/>
      <c r="U975" s="55"/>
      <c r="V975" s="55"/>
      <c r="W975" s="55"/>
      <c r="X975" s="55"/>
      <c r="Y975" s="55"/>
      <c r="Z975" s="55"/>
      <c r="AA975" s="55"/>
      <c r="AB975" s="55"/>
      <c r="AC975" s="55"/>
    </row>
    <row r="976">
      <c r="A976" s="53"/>
      <c r="B976" s="53"/>
      <c r="C976" s="55"/>
      <c r="D976" s="55"/>
      <c r="E976" s="55"/>
      <c r="F976" s="55"/>
      <c r="G976" s="55"/>
      <c r="H976" s="181"/>
      <c r="I976" s="55"/>
      <c r="J976" s="55"/>
      <c r="K976" s="55"/>
      <c r="L976" s="55"/>
      <c r="M976" s="55"/>
      <c r="N976" s="55"/>
      <c r="O976" s="55"/>
      <c r="P976" s="55"/>
      <c r="Q976" s="55"/>
      <c r="R976" s="55"/>
      <c r="S976" s="55"/>
      <c r="T976" s="55"/>
      <c r="U976" s="55"/>
      <c r="V976" s="55"/>
      <c r="W976" s="55"/>
      <c r="X976" s="55"/>
      <c r="Y976" s="55"/>
      <c r="Z976" s="55"/>
      <c r="AA976" s="55"/>
      <c r="AB976" s="55"/>
      <c r="AC976" s="55"/>
    </row>
    <row r="977">
      <c r="A977" s="53"/>
      <c r="B977" s="53"/>
      <c r="C977" s="55"/>
      <c r="D977" s="55"/>
      <c r="E977" s="55"/>
      <c r="F977" s="55"/>
      <c r="G977" s="55"/>
      <c r="H977" s="181"/>
      <c r="I977" s="55"/>
      <c r="J977" s="55"/>
      <c r="K977" s="55"/>
      <c r="L977" s="55"/>
      <c r="M977" s="55"/>
      <c r="N977" s="55"/>
      <c r="O977" s="55"/>
      <c r="P977" s="55"/>
      <c r="Q977" s="55"/>
      <c r="R977" s="55"/>
      <c r="S977" s="55"/>
      <c r="T977" s="55"/>
      <c r="U977" s="55"/>
      <c r="V977" s="55"/>
      <c r="W977" s="55"/>
      <c r="X977" s="55"/>
      <c r="Y977" s="55"/>
      <c r="Z977" s="55"/>
      <c r="AA977" s="55"/>
      <c r="AB977" s="55"/>
      <c r="AC977" s="55"/>
    </row>
    <row r="978">
      <c r="A978" s="53"/>
      <c r="B978" s="53"/>
      <c r="C978" s="55"/>
      <c r="D978" s="55"/>
      <c r="E978" s="55"/>
      <c r="F978" s="55"/>
      <c r="G978" s="55"/>
      <c r="H978" s="181"/>
      <c r="I978" s="55"/>
      <c r="J978" s="55"/>
      <c r="K978" s="55"/>
      <c r="L978" s="55"/>
      <c r="M978" s="55"/>
      <c r="N978" s="55"/>
      <c r="O978" s="55"/>
      <c r="P978" s="55"/>
      <c r="Q978" s="55"/>
      <c r="R978" s="55"/>
      <c r="S978" s="55"/>
      <c r="T978" s="55"/>
      <c r="U978" s="55"/>
      <c r="V978" s="55"/>
      <c r="W978" s="55"/>
      <c r="X978" s="55"/>
      <c r="Y978" s="55"/>
      <c r="Z978" s="55"/>
      <c r="AA978" s="55"/>
      <c r="AB978" s="55"/>
      <c r="AC978" s="55"/>
    </row>
    <row r="979">
      <c r="A979" s="53"/>
      <c r="B979" s="53"/>
      <c r="C979" s="55"/>
      <c r="D979" s="55"/>
      <c r="E979" s="55"/>
      <c r="F979" s="55"/>
      <c r="G979" s="55"/>
      <c r="H979" s="181"/>
      <c r="I979" s="55"/>
      <c r="J979" s="55"/>
      <c r="K979" s="55"/>
      <c r="L979" s="55"/>
      <c r="M979" s="55"/>
      <c r="N979" s="55"/>
      <c r="O979" s="55"/>
      <c r="P979" s="55"/>
      <c r="Q979" s="55"/>
      <c r="R979" s="55"/>
      <c r="S979" s="55"/>
      <c r="T979" s="55"/>
      <c r="U979" s="55"/>
      <c r="V979" s="55"/>
      <c r="W979" s="55"/>
      <c r="X979" s="55"/>
      <c r="Y979" s="55"/>
      <c r="Z979" s="55"/>
      <c r="AA979" s="55"/>
      <c r="AB979" s="55"/>
      <c r="AC979" s="55"/>
    </row>
    <row r="980">
      <c r="A980" s="53"/>
      <c r="B980" s="53"/>
      <c r="C980" s="55"/>
      <c r="D980" s="55"/>
      <c r="E980" s="55"/>
      <c r="F980" s="55"/>
      <c r="G980" s="55"/>
      <c r="H980" s="181"/>
      <c r="I980" s="55"/>
      <c r="J980" s="55"/>
      <c r="K980" s="55"/>
      <c r="L980" s="55"/>
      <c r="M980" s="55"/>
      <c r="N980" s="55"/>
      <c r="O980" s="55"/>
      <c r="P980" s="55"/>
      <c r="Q980" s="55"/>
      <c r="R980" s="55"/>
      <c r="S980" s="55"/>
      <c r="T980" s="55"/>
      <c r="U980" s="55"/>
      <c r="V980" s="55"/>
      <c r="W980" s="55"/>
      <c r="X980" s="55"/>
      <c r="Y980" s="55"/>
      <c r="Z980" s="55"/>
      <c r="AA980" s="55"/>
      <c r="AB980" s="55"/>
      <c r="AC980" s="55"/>
    </row>
    <row r="981">
      <c r="A981" s="53"/>
      <c r="B981" s="53"/>
      <c r="C981" s="55"/>
      <c r="D981" s="55"/>
      <c r="E981" s="55"/>
      <c r="F981" s="55"/>
      <c r="G981" s="55"/>
      <c r="H981" s="181"/>
      <c r="I981" s="55"/>
      <c r="J981" s="55"/>
      <c r="K981" s="55"/>
      <c r="L981" s="55"/>
      <c r="M981" s="55"/>
      <c r="N981" s="55"/>
      <c r="O981" s="55"/>
      <c r="P981" s="55"/>
      <c r="Q981" s="55"/>
      <c r="R981" s="55"/>
      <c r="S981" s="55"/>
      <c r="T981" s="55"/>
      <c r="U981" s="55"/>
      <c r="V981" s="55"/>
      <c r="W981" s="55"/>
      <c r="X981" s="55"/>
      <c r="Y981" s="55"/>
      <c r="Z981" s="55"/>
      <c r="AA981" s="55"/>
      <c r="AB981" s="55"/>
      <c r="AC981" s="55"/>
    </row>
    <row r="982">
      <c r="A982" s="53"/>
      <c r="B982" s="53"/>
      <c r="C982" s="55"/>
      <c r="D982" s="55"/>
      <c r="E982" s="55"/>
      <c r="F982" s="55"/>
      <c r="G982" s="55"/>
      <c r="H982" s="181"/>
      <c r="I982" s="55"/>
      <c r="J982" s="55"/>
      <c r="K982" s="55"/>
      <c r="L982" s="55"/>
      <c r="M982" s="55"/>
      <c r="N982" s="55"/>
      <c r="O982" s="55"/>
      <c r="P982" s="55"/>
      <c r="Q982" s="55"/>
      <c r="R982" s="55"/>
      <c r="S982" s="55"/>
      <c r="T982" s="55"/>
      <c r="U982" s="55"/>
      <c r="V982" s="55"/>
      <c r="W982" s="55"/>
      <c r="X982" s="55"/>
      <c r="Y982" s="55"/>
      <c r="Z982" s="55"/>
      <c r="AA982" s="55"/>
      <c r="AB982" s="55"/>
      <c r="AC982" s="55"/>
    </row>
    <row r="983">
      <c r="A983" s="53"/>
      <c r="B983" s="53"/>
      <c r="C983" s="55"/>
      <c r="D983" s="55"/>
      <c r="E983" s="55"/>
      <c r="F983" s="55"/>
      <c r="G983" s="55"/>
      <c r="H983" s="181"/>
      <c r="I983" s="55"/>
      <c r="J983" s="55"/>
      <c r="K983" s="55"/>
      <c r="L983" s="55"/>
      <c r="M983" s="55"/>
      <c r="N983" s="55"/>
      <c r="O983" s="55"/>
      <c r="P983" s="55"/>
      <c r="Q983" s="55"/>
      <c r="R983" s="55"/>
      <c r="S983" s="55"/>
      <c r="T983" s="55"/>
      <c r="U983" s="55"/>
      <c r="V983" s="55"/>
      <c r="W983" s="55"/>
      <c r="X983" s="55"/>
      <c r="Y983" s="55"/>
      <c r="Z983" s="55"/>
      <c r="AA983" s="55"/>
      <c r="AB983" s="55"/>
      <c r="AC983" s="55"/>
    </row>
    <row r="984">
      <c r="A984" s="53"/>
      <c r="B984" s="53"/>
      <c r="C984" s="55"/>
      <c r="D984" s="55"/>
      <c r="E984" s="55"/>
      <c r="F984" s="55"/>
      <c r="G984" s="55"/>
      <c r="H984" s="181"/>
      <c r="I984" s="55"/>
      <c r="J984" s="55"/>
      <c r="K984" s="55"/>
      <c r="L984" s="55"/>
      <c r="M984" s="55"/>
      <c r="N984" s="55"/>
      <c r="O984" s="55"/>
      <c r="P984" s="55"/>
      <c r="Q984" s="55"/>
      <c r="R984" s="55"/>
      <c r="S984" s="55"/>
      <c r="T984" s="55"/>
      <c r="U984" s="55"/>
      <c r="V984" s="55"/>
      <c r="W984" s="55"/>
      <c r="X984" s="55"/>
      <c r="Y984" s="55"/>
      <c r="Z984" s="55"/>
      <c r="AA984" s="55"/>
      <c r="AB984" s="55"/>
      <c r="AC984" s="55"/>
    </row>
    <row r="985">
      <c r="A985" s="53"/>
      <c r="B985" s="53"/>
      <c r="C985" s="55"/>
      <c r="D985" s="55"/>
      <c r="E985" s="55"/>
      <c r="F985" s="55"/>
      <c r="G985" s="55"/>
      <c r="H985" s="181"/>
      <c r="I985" s="55"/>
      <c r="J985" s="55"/>
      <c r="K985" s="55"/>
      <c r="L985" s="55"/>
      <c r="M985" s="55"/>
      <c r="N985" s="55"/>
      <c r="O985" s="55"/>
      <c r="P985" s="55"/>
      <c r="Q985" s="55"/>
      <c r="R985" s="55"/>
      <c r="S985" s="55"/>
      <c r="T985" s="55"/>
      <c r="U985" s="55"/>
      <c r="V985" s="55"/>
      <c r="W985" s="55"/>
      <c r="X985" s="55"/>
      <c r="Y985" s="55"/>
      <c r="Z985" s="55"/>
      <c r="AA985" s="55"/>
      <c r="AB985" s="55"/>
      <c r="AC985" s="55"/>
    </row>
    <row r="986">
      <c r="A986" s="53"/>
      <c r="B986" s="53"/>
      <c r="C986" s="55"/>
      <c r="D986" s="55"/>
      <c r="E986" s="55"/>
      <c r="F986" s="55"/>
      <c r="G986" s="55"/>
      <c r="H986" s="181"/>
      <c r="I986" s="55"/>
      <c r="J986" s="55"/>
      <c r="K986" s="55"/>
      <c r="L986" s="55"/>
      <c r="M986" s="55"/>
      <c r="N986" s="55"/>
      <c r="O986" s="55"/>
      <c r="P986" s="55"/>
      <c r="Q986" s="55"/>
      <c r="R986" s="55"/>
      <c r="S986" s="55"/>
      <c r="T986" s="55"/>
      <c r="U986" s="55"/>
      <c r="V986" s="55"/>
      <c r="W986" s="55"/>
      <c r="X986" s="55"/>
      <c r="Y986" s="55"/>
      <c r="Z986" s="55"/>
      <c r="AA986" s="55"/>
      <c r="AB986" s="55"/>
      <c r="AC986" s="55"/>
    </row>
    <row r="987">
      <c r="A987" s="53"/>
      <c r="B987" s="53"/>
      <c r="C987" s="55"/>
      <c r="D987" s="55"/>
      <c r="E987" s="55"/>
      <c r="F987" s="55"/>
      <c r="G987" s="55"/>
      <c r="H987" s="181"/>
      <c r="I987" s="55"/>
      <c r="J987" s="55"/>
      <c r="K987" s="55"/>
      <c r="L987" s="55"/>
      <c r="M987" s="55"/>
      <c r="N987" s="55"/>
      <c r="O987" s="55"/>
      <c r="P987" s="55"/>
      <c r="Q987" s="55"/>
      <c r="R987" s="55"/>
      <c r="S987" s="55"/>
      <c r="T987" s="55"/>
      <c r="U987" s="55"/>
      <c r="V987" s="55"/>
      <c r="W987" s="55"/>
      <c r="X987" s="55"/>
      <c r="Y987" s="55"/>
      <c r="Z987" s="55"/>
      <c r="AA987" s="55"/>
      <c r="AB987" s="55"/>
      <c r="AC987" s="55"/>
    </row>
    <row r="988">
      <c r="A988" s="53"/>
      <c r="B988" s="53"/>
      <c r="C988" s="55"/>
      <c r="D988" s="55"/>
      <c r="E988" s="55"/>
      <c r="F988" s="55"/>
      <c r="G988" s="55"/>
      <c r="H988" s="181"/>
      <c r="I988" s="55"/>
      <c r="J988" s="55"/>
      <c r="K988" s="55"/>
      <c r="L988" s="55"/>
      <c r="M988" s="55"/>
      <c r="N988" s="55"/>
      <c r="O988" s="55"/>
      <c r="P988" s="55"/>
      <c r="Q988" s="55"/>
      <c r="R988" s="55"/>
      <c r="S988" s="55"/>
      <c r="T988" s="55"/>
      <c r="U988" s="55"/>
      <c r="V988" s="55"/>
      <c r="W988" s="55"/>
      <c r="X988" s="55"/>
      <c r="Y988" s="55"/>
      <c r="Z988" s="55"/>
      <c r="AA988" s="55"/>
      <c r="AB988" s="55"/>
      <c r="AC988" s="55"/>
    </row>
    <row r="989">
      <c r="A989" s="53"/>
      <c r="B989" s="53"/>
      <c r="C989" s="55"/>
      <c r="D989" s="55"/>
      <c r="E989" s="55"/>
      <c r="F989" s="55"/>
      <c r="G989" s="55"/>
      <c r="H989" s="181"/>
      <c r="I989" s="55"/>
      <c r="J989" s="55"/>
      <c r="K989" s="55"/>
      <c r="L989" s="55"/>
      <c r="M989" s="55"/>
      <c r="N989" s="55"/>
      <c r="O989" s="55"/>
      <c r="P989" s="55"/>
      <c r="Q989" s="55"/>
      <c r="R989" s="55"/>
      <c r="S989" s="55"/>
      <c r="T989" s="55"/>
      <c r="U989" s="55"/>
      <c r="V989" s="55"/>
      <c r="W989" s="55"/>
      <c r="X989" s="55"/>
      <c r="Y989" s="55"/>
      <c r="Z989" s="55"/>
      <c r="AA989" s="55"/>
      <c r="AB989" s="55"/>
      <c r="AC989" s="55"/>
    </row>
    <row r="990">
      <c r="A990" s="53"/>
      <c r="B990" s="53"/>
      <c r="C990" s="55"/>
      <c r="D990" s="55"/>
      <c r="E990" s="55"/>
      <c r="F990" s="55"/>
      <c r="G990" s="55"/>
      <c r="H990" s="181"/>
      <c r="I990" s="55"/>
      <c r="J990" s="55"/>
      <c r="K990" s="55"/>
      <c r="L990" s="55"/>
      <c r="M990" s="55"/>
      <c r="N990" s="55"/>
      <c r="O990" s="55"/>
      <c r="P990" s="55"/>
      <c r="Q990" s="55"/>
      <c r="R990" s="55"/>
      <c r="S990" s="55"/>
      <c r="T990" s="55"/>
      <c r="U990" s="55"/>
      <c r="V990" s="55"/>
      <c r="W990" s="55"/>
      <c r="X990" s="55"/>
      <c r="Y990" s="55"/>
      <c r="Z990" s="55"/>
      <c r="AA990" s="55"/>
      <c r="AB990" s="55"/>
      <c r="AC990" s="55"/>
    </row>
    <row r="991">
      <c r="A991" s="53"/>
      <c r="B991" s="53"/>
      <c r="C991" s="55"/>
      <c r="D991" s="55"/>
      <c r="E991" s="55"/>
      <c r="F991" s="55"/>
      <c r="G991" s="55"/>
      <c r="H991" s="181"/>
      <c r="I991" s="55"/>
      <c r="J991" s="55"/>
      <c r="K991" s="55"/>
      <c r="L991" s="55"/>
      <c r="M991" s="55"/>
      <c r="N991" s="55"/>
      <c r="O991" s="55"/>
      <c r="P991" s="55"/>
      <c r="Q991" s="55"/>
      <c r="R991" s="55"/>
      <c r="S991" s="55"/>
      <c r="T991" s="55"/>
      <c r="U991" s="55"/>
      <c r="V991" s="55"/>
      <c r="W991" s="55"/>
      <c r="X991" s="55"/>
      <c r="Y991" s="55"/>
      <c r="Z991" s="55"/>
      <c r="AA991" s="55"/>
      <c r="AB991" s="55"/>
      <c r="AC991" s="55"/>
    </row>
    <row r="992">
      <c r="A992" s="53"/>
      <c r="B992" s="53"/>
      <c r="C992" s="55"/>
      <c r="D992" s="55"/>
      <c r="E992" s="55"/>
      <c r="F992" s="55"/>
      <c r="G992" s="55"/>
      <c r="H992" s="181"/>
      <c r="I992" s="55"/>
      <c r="J992" s="55"/>
      <c r="K992" s="55"/>
      <c r="L992" s="55"/>
      <c r="M992" s="55"/>
      <c r="N992" s="55"/>
      <c r="O992" s="55"/>
      <c r="P992" s="55"/>
      <c r="Q992" s="55"/>
      <c r="R992" s="55"/>
      <c r="S992" s="55"/>
      <c r="T992" s="55"/>
      <c r="U992" s="55"/>
      <c r="V992" s="55"/>
      <c r="W992" s="55"/>
      <c r="X992" s="55"/>
      <c r="Y992" s="55"/>
      <c r="Z992" s="55"/>
      <c r="AA992" s="55"/>
      <c r="AB992" s="55"/>
      <c r="AC992" s="55"/>
    </row>
    <row r="993">
      <c r="A993" s="53"/>
      <c r="B993" s="53"/>
      <c r="C993" s="55"/>
      <c r="D993" s="55"/>
      <c r="E993" s="55"/>
      <c r="F993" s="55"/>
      <c r="G993" s="55"/>
      <c r="H993" s="181"/>
      <c r="I993" s="55"/>
      <c r="J993" s="55"/>
      <c r="K993" s="55"/>
      <c r="L993" s="55"/>
      <c r="M993" s="55"/>
      <c r="N993" s="55"/>
      <c r="O993" s="55"/>
      <c r="P993" s="55"/>
      <c r="Q993" s="55"/>
      <c r="R993" s="55"/>
      <c r="S993" s="55"/>
      <c r="T993" s="55"/>
      <c r="U993" s="55"/>
      <c r="V993" s="55"/>
      <c r="W993" s="55"/>
      <c r="X993" s="55"/>
      <c r="Y993" s="55"/>
      <c r="Z993" s="55"/>
      <c r="AA993" s="55"/>
      <c r="AB993" s="55"/>
      <c r="AC993" s="55"/>
    </row>
    <row r="994">
      <c r="A994" s="53"/>
      <c r="B994" s="53"/>
      <c r="C994" s="55"/>
      <c r="D994" s="55"/>
      <c r="E994" s="55"/>
      <c r="F994" s="55"/>
      <c r="G994" s="55"/>
      <c r="H994" s="181"/>
      <c r="I994" s="55"/>
      <c r="J994" s="55"/>
      <c r="K994" s="55"/>
      <c r="L994" s="55"/>
      <c r="M994" s="55"/>
      <c r="N994" s="55"/>
      <c r="O994" s="55"/>
      <c r="P994" s="55"/>
      <c r="Q994" s="55"/>
      <c r="R994" s="55"/>
      <c r="S994" s="55"/>
      <c r="T994" s="55"/>
      <c r="U994" s="55"/>
      <c r="V994" s="55"/>
      <c r="W994" s="55"/>
      <c r="X994" s="55"/>
      <c r="Y994" s="55"/>
      <c r="Z994" s="55"/>
      <c r="AA994" s="55"/>
      <c r="AB994" s="55"/>
      <c r="AC994" s="55"/>
    </row>
    <row r="995">
      <c r="A995" s="53"/>
      <c r="B995" s="53"/>
      <c r="C995" s="55"/>
      <c r="D995" s="55"/>
      <c r="E995" s="55"/>
      <c r="F995" s="55"/>
      <c r="G995" s="55"/>
      <c r="H995" s="181"/>
      <c r="I995" s="55"/>
      <c r="J995" s="55"/>
      <c r="K995" s="55"/>
      <c r="L995" s="55"/>
      <c r="M995" s="55"/>
      <c r="N995" s="55"/>
      <c r="O995" s="55"/>
      <c r="P995" s="55"/>
      <c r="Q995" s="55"/>
      <c r="R995" s="55"/>
      <c r="S995" s="55"/>
      <c r="T995" s="55"/>
      <c r="U995" s="55"/>
      <c r="V995" s="55"/>
      <c r="W995" s="55"/>
      <c r="X995" s="55"/>
      <c r="Y995" s="55"/>
      <c r="Z995" s="55"/>
      <c r="AA995" s="55"/>
      <c r="AB995" s="55"/>
      <c r="AC995" s="55"/>
    </row>
    <row r="996">
      <c r="A996" s="53"/>
      <c r="B996" s="53"/>
      <c r="C996" s="55"/>
      <c r="D996" s="55"/>
      <c r="E996" s="55"/>
      <c r="F996" s="55"/>
      <c r="G996" s="55"/>
      <c r="H996" s="181"/>
      <c r="I996" s="55"/>
      <c r="J996" s="55"/>
      <c r="K996" s="55"/>
      <c r="L996" s="55"/>
      <c r="M996" s="55"/>
      <c r="N996" s="55"/>
      <c r="O996" s="55"/>
      <c r="P996" s="55"/>
      <c r="Q996" s="55"/>
      <c r="R996" s="55"/>
      <c r="S996" s="55"/>
      <c r="T996" s="55"/>
      <c r="U996" s="55"/>
      <c r="V996" s="55"/>
      <c r="W996" s="55"/>
      <c r="X996" s="55"/>
      <c r="Y996" s="55"/>
      <c r="Z996" s="55"/>
      <c r="AA996" s="55"/>
      <c r="AB996" s="55"/>
      <c r="AC996" s="55"/>
    </row>
    <row r="997">
      <c r="A997" s="53"/>
      <c r="B997" s="53"/>
      <c r="C997" s="55"/>
      <c r="D997" s="55"/>
      <c r="E997" s="55"/>
      <c r="F997" s="55"/>
      <c r="G997" s="55"/>
      <c r="H997" s="181"/>
      <c r="I997" s="55"/>
      <c r="J997" s="55"/>
      <c r="K997" s="55"/>
      <c r="L997" s="55"/>
      <c r="M997" s="55"/>
      <c r="N997" s="55"/>
      <c r="O997" s="55"/>
      <c r="P997" s="55"/>
      <c r="Q997" s="55"/>
      <c r="R997" s="55"/>
      <c r="S997" s="55"/>
      <c r="T997" s="55"/>
      <c r="U997" s="55"/>
      <c r="V997" s="55"/>
      <c r="W997" s="55"/>
      <c r="X997" s="55"/>
      <c r="Y997" s="55"/>
      <c r="Z997" s="55"/>
      <c r="AA997" s="55"/>
      <c r="AB997" s="55"/>
      <c r="AC997" s="55"/>
    </row>
    <row r="998">
      <c r="A998" s="53"/>
      <c r="B998" s="53"/>
      <c r="C998" s="55"/>
      <c r="D998" s="55"/>
      <c r="E998" s="55"/>
      <c r="F998" s="55"/>
      <c r="G998" s="55"/>
      <c r="H998" s="181"/>
      <c r="I998" s="55"/>
      <c r="J998" s="55"/>
      <c r="K998" s="55"/>
      <c r="L998" s="55"/>
      <c r="M998" s="55"/>
      <c r="N998" s="55"/>
      <c r="O998" s="55"/>
      <c r="P998" s="55"/>
      <c r="Q998" s="55"/>
      <c r="R998" s="55"/>
      <c r="S998" s="55"/>
      <c r="T998" s="55"/>
      <c r="U998" s="55"/>
      <c r="V998" s="55"/>
      <c r="W998" s="55"/>
      <c r="X998" s="55"/>
      <c r="Y998" s="55"/>
      <c r="Z998" s="55"/>
      <c r="AA998" s="55"/>
      <c r="AB998" s="55"/>
      <c r="AC998" s="55"/>
    </row>
    <row r="999">
      <c r="A999" s="53"/>
      <c r="B999" s="53"/>
      <c r="C999" s="55"/>
      <c r="D999" s="55"/>
      <c r="E999" s="55"/>
      <c r="F999" s="55"/>
      <c r="G999" s="55"/>
      <c r="H999" s="181"/>
      <c r="I999" s="55"/>
      <c r="J999" s="55"/>
      <c r="K999" s="55"/>
      <c r="L999" s="55"/>
      <c r="M999" s="55"/>
      <c r="N999" s="55"/>
      <c r="O999" s="55"/>
      <c r="P999" s="55"/>
      <c r="Q999" s="55"/>
      <c r="R999" s="55"/>
      <c r="S999" s="55"/>
      <c r="T999" s="55"/>
      <c r="U999" s="55"/>
      <c r="V999" s="55"/>
      <c r="W999" s="55"/>
      <c r="X999" s="55"/>
      <c r="Y999" s="55"/>
      <c r="Z999" s="55"/>
      <c r="AA999" s="55"/>
      <c r="AB999" s="55"/>
      <c r="AC999" s="55"/>
    </row>
    <row r="1000">
      <c r="A1000" s="53"/>
      <c r="B1000" s="53"/>
      <c r="C1000" s="55"/>
      <c r="D1000" s="55"/>
      <c r="E1000" s="55"/>
      <c r="F1000" s="55"/>
      <c r="G1000" s="55"/>
      <c r="H1000" s="181"/>
      <c r="I1000" s="55"/>
      <c r="J1000" s="55"/>
      <c r="K1000" s="55"/>
      <c r="L1000" s="55"/>
      <c r="M1000" s="55"/>
      <c r="N1000" s="55"/>
      <c r="O1000" s="55"/>
      <c r="P1000" s="55"/>
      <c r="Q1000" s="55"/>
      <c r="R1000" s="55"/>
      <c r="S1000" s="55"/>
      <c r="T1000" s="55"/>
      <c r="U1000" s="55"/>
      <c r="V1000" s="55"/>
      <c r="W1000" s="55"/>
      <c r="X1000" s="55"/>
      <c r="Y1000" s="55"/>
      <c r="Z1000" s="55"/>
      <c r="AA1000" s="55"/>
      <c r="AB1000" s="55"/>
      <c r="AC1000" s="55"/>
    </row>
    <row r="1001">
      <c r="A1001" s="53"/>
      <c r="B1001" s="53"/>
      <c r="C1001" s="55"/>
      <c r="D1001" s="55"/>
      <c r="E1001" s="55"/>
      <c r="F1001" s="55"/>
      <c r="G1001" s="55"/>
      <c r="H1001" s="181"/>
      <c r="I1001" s="55"/>
      <c r="J1001" s="55"/>
      <c r="K1001" s="55"/>
      <c r="L1001" s="55"/>
      <c r="M1001" s="55"/>
      <c r="N1001" s="55"/>
      <c r="O1001" s="55"/>
      <c r="P1001" s="55"/>
      <c r="Q1001" s="55"/>
      <c r="R1001" s="55"/>
      <c r="S1001" s="55"/>
      <c r="T1001" s="55"/>
      <c r="U1001" s="55"/>
      <c r="V1001" s="55"/>
      <c r="W1001" s="55"/>
      <c r="X1001" s="55"/>
      <c r="Y1001" s="55"/>
      <c r="Z1001" s="55"/>
      <c r="AA1001" s="55"/>
      <c r="AB1001" s="55"/>
      <c r="AC1001" s="55"/>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9" width="21.57"/>
  </cols>
  <sheetData>
    <row r="1">
      <c r="A1" t="s">
        <v>58</v>
      </c>
      <c r="B1" s="116" t="s">
        <v>3112</v>
      </c>
      <c r="C1" s="116" t="s">
        <v>3113</v>
      </c>
      <c r="D1" s="116" t="s">
        <v>3114</v>
      </c>
      <c r="E1" s="116" t="s">
        <v>3115</v>
      </c>
      <c r="F1" s="116" t="s">
        <v>3116</v>
      </c>
      <c r="G1" s="116" t="s">
        <v>3117</v>
      </c>
      <c r="H1" s="116" t="s">
        <v>3118</v>
      </c>
      <c r="I1" s="116" t="s">
        <v>3119</v>
      </c>
      <c r="J1" s="116" t="s">
        <v>3120</v>
      </c>
      <c r="K1" s="116" t="s">
        <v>3120</v>
      </c>
      <c r="L1" s="116" t="s">
        <v>3121</v>
      </c>
      <c r="M1" s="116" t="s">
        <v>3122</v>
      </c>
    </row>
    <row r="2">
      <c r="A2" s="154">
        <v>43819.63180988426</v>
      </c>
      <c r="B2" s="116" t="s">
        <v>111</v>
      </c>
      <c r="C2" s="116" t="s">
        <v>251</v>
      </c>
      <c r="D2" s="116" t="s">
        <v>3123</v>
      </c>
      <c r="E2" s="116" t="s">
        <v>3124</v>
      </c>
      <c r="G2" s="116" t="s">
        <v>3125</v>
      </c>
      <c r="H2" s="116" t="s">
        <v>3125</v>
      </c>
      <c r="K2" s="116">
        <v>4.0</v>
      </c>
    </row>
    <row r="3">
      <c r="A3" s="154">
        <v>43819.64928211806</v>
      </c>
      <c r="B3" s="116" t="s">
        <v>134</v>
      </c>
      <c r="C3" s="116" t="s">
        <v>400</v>
      </c>
      <c r="D3" s="116" t="s">
        <v>3126</v>
      </c>
      <c r="E3" s="116" t="s">
        <v>3127</v>
      </c>
    </row>
    <row r="4">
      <c r="A4" s="154">
        <v>43822.48487060185</v>
      </c>
      <c r="B4" s="116" t="s">
        <v>111</v>
      </c>
      <c r="C4" s="116" t="s">
        <v>400</v>
      </c>
      <c r="D4" s="116" t="s">
        <v>3128</v>
      </c>
      <c r="E4" s="116" t="s">
        <v>3124</v>
      </c>
      <c r="G4" s="116" t="s">
        <v>3129</v>
      </c>
      <c r="H4" s="116" t="s">
        <v>3129</v>
      </c>
      <c r="I4" s="116" t="s">
        <v>3130</v>
      </c>
      <c r="K4" s="173" t="s">
        <v>3131</v>
      </c>
    </row>
    <row r="5">
      <c r="A5" s="154">
        <v>43822.486368564816</v>
      </c>
      <c r="B5" s="116" t="s">
        <v>111</v>
      </c>
      <c r="C5" s="116" t="s">
        <v>400</v>
      </c>
      <c r="D5" s="116" t="s">
        <v>3132</v>
      </c>
      <c r="E5" s="116" t="s">
        <v>3124</v>
      </c>
      <c r="G5" s="116" t="s">
        <v>3129</v>
      </c>
      <c r="H5" s="116" t="s">
        <v>3133</v>
      </c>
      <c r="I5" s="116" t="s">
        <v>3134</v>
      </c>
      <c r="K5" s="173" t="s">
        <v>3131</v>
      </c>
    </row>
    <row r="6">
      <c r="A6" s="154">
        <v>43837.647478935185</v>
      </c>
      <c r="B6" s="116" t="s">
        <v>24</v>
      </c>
      <c r="C6" s="116" t="s">
        <v>251</v>
      </c>
      <c r="D6" s="116" t="s">
        <v>255</v>
      </c>
      <c r="E6" s="116" t="s">
        <v>3124</v>
      </c>
      <c r="G6" s="116" t="s">
        <v>3135</v>
      </c>
      <c r="H6" s="116" t="s">
        <v>3135</v>
      </c>
      <c r="K6" s="173" t="s">
        <v>3136</v>
      </c>
    </row>
    <row r="7">
      <c r="A7" s="154">
        <v>43852.422557604164</v>
      </c>
      <c r="B7" s="116" t="s">
        <v>3137</v>
      </c>
      <c r="C7" s="116" t="s">
        <v>251</v>
      </c>
      <c r="D7" s="116" t="s">
        <v>236</v>
      </c>
      <c r="E7" s="116" t="s">
        <v>3138</v>
      </c>
      <c r="F7" s="116" t="s">
        <v>3139</v>
      </c>
      <c r="G7" s="116" t="s">
        <v>3140</v>
      </c>
      <c r="H7" s="116" t="s">
        <v>3140</v>
      </c>
      <c r="I7" s="116" t="s">
        <v>3141</v>
      </c>
      <c r="J7" s="116">
        <v>2.0</v>
      </c>
      <c r="K7" s="116" t="s">
        <v>3142</v>
      </c>
    </row>
    <row r="8">
      <c r="A8" s="154">
        <v>43853.47879188658</v>
      </c>
      <c r="B8" s="116" t="s">
        <v>243</v>
      </c>
      <c r="C8" s="116" t="s">
        <v>251</v>
      </c>
      <c r="D8" s="116" t="s">
        <v>241</v>
      </c>
      <c r="E8" s="116" t="s">
        <v>3127</v>
      </c>
    </row>
    <row r="9">
      <c r="A9" s="154">
        <v>43853.47901505787</v>
      </c>
      <c r="B9" s="116" t="s">
        <v>243</v>
      </c>
      <c r="C9" s="116" t="s">
        <v>400</v>
      </c>
      <c r="D9" s="116" t="s">
        <v>3143</v>
      </c>
      <c r="E9" s="116" t="s">
        <v>3127</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0.29"/>
    <col customWidth="1" min="2" max="2" width="16.43"/>
    <col customWidth="1" min="3" max="3" width="11.0"/>
    <col customWidth="1" min="4" max="4" width="11.14"/>
    <col customWidth="1" min="5" max="5" width="11.0"/>
    <col customWidth="1" min="6" max="6" width="12.71"/>
    <col customWidth="1" min="7" max="7" width="21.29"/>
    <col customWidth="1" min="8" max="8" width="18.57"/>
    <col customWidth="1" min="9" max="9" width="16.71"/>
    <col customWidth="1" min="10" max="11" width="18.57"/>
    <col customWidth="1" min="12" max="12" width="27.86"/>
    <col customWidth="1" min="13" max="13" width="28.14"/>
    <col customWidth="1" min="14" max="14" width="27.71"/>
    <col customWidth="1" min="15" max="15" width="24.43"/>
    <col customWidth="1" min="16" max="16" width="32.14"/>
    <col customWidth="1" min="17" max="17" width="16.43"/>
    <col customWidth="1" min="18" max="18" width="13.86"/>
    <col customWidth="1" min="19" max="19" width="16.86"/>
    <col customWidth="1" min="20" max="20" width="12.71"/>
    <col customWidth="1" min="21" max="21" width="101.43"/>
    <col customWidth="1" min="22" max="22" width="11.71"/>
    <col customWidth="1" min="23" max="23" width="110.29"/>
    <col customWidth="1" min="24" max="24" width="74.71"/>
    <col customWidth="1" min="25" max="25" width="119.71"/>
    <col customWidth="1" min="26" max="26" width="19.86"/>
    <col customWidth="1" min="28" max="28" width="57.71"/>
    <col customWidth="1" min="29" max="29" width="65.57"/>
    <col customWidth="1" min="30" max="30" width="32.43"/>
    <col customWidth="1" min="31" max="31" width="42.29"/>
    <col customWidth="1" min="32" max="32" width="94.86"/>
  </cols>
  <sheetData>
    <row r="1">
      <c r="A1" s="2"/>
      <c r="B1" s="8" t="s">
        <v>7</v>
      </c>
      <c r="C1" s="9"/>
      <c r="D1" s="9"/>
      <c r="E1" s="9"/>
      <c r="F1" s="9"/>
      <c r="G1" s="9"/>
      <c r="H1" s="22"/>
      <c r="I1" s="24"/>
      <c r="J1" s="26" t="s">
        <v>32</v>
      </c>
      <c r="K1" s="22"/>
      <c r="L1" s="8" t="s">
        <v>38</v>
      </c>
      <c r="M1" s="9"/>
      <c r="N1" s="22"/>
      <c r="O1" s="28" t="s">
        <v>41</v>
      </c>
      <c r="P1" s="8" t="s">
        <v>42</v>
      </c>
      <c r="Q1" s="9"/>
      <c r="R1" s="9"/>
      <c r="S1" s="9"/>
      <c r="T1" s="22"/>
      <c r="U1" s="30"/>
      <c r="V1" s="31"/>
      <c r="W1" s="33" t="s">
        <v>55</v>
      </c>
      <c r="X1" s="35"/>
      <c r="Y1" s="37"/>
      <c r="Z1" s="35"/>
      <c r="AA1" s="35"/>
      <c r="AB1" s="35"/>
      <c r="AC1" s="35"/>
      <c r="AD1" s="35"/>
      <c r="AE1" s="35"/>
      <c r="AF1" s="35"/>
      <c r="AG1" s="35"/>
      <c r="AH1" s="35"/>
      <c r="AI1" s="35"/>
      <c r="AJ1" s="35"/>
      <c r="AK1" s="35"/>
      <c r="AL1" s="35"/>
      <c r="AM1" s="35"/>
      <c r="AN1" s="35"/>
      <c r="AO1" s="35"/>
    </row>
    <row r="2">
      <c r="A2" s="40" t="s">
        <v>58</v>
      </c>
      <c r="B2" s="41" t="s">
        <v>0</v>
      </c>
      <c r="C2" s="41" t="s">
        <v>72</v>
      </c>
      <c r="D2" s="41" t="s">
        <v>73</v>
      </c>
      <c r="E2" s="43" t="s">
        <v>74</v>
      </c>
      <c r="F2" s="43" t="s">
        <v>75</v>
      </c>
      <c r="G2" s="41" t="s">
        <v>76</v>
      </c>
      <c r="H2" s="43" t="s">
        <v>77</v>
      </c>
      <c r="I2" s="43" t="s">
        <v>78</v>
      </c>
      <c r="J2" s="43" t="s">
        <v>79</v>
      </c>
      <c r="K2" s="43" t="s">
        <v>80</v>
      </c>
      <c r="L2" s="43" t="s">
        <v>81</v>
      </c>
      <c r="M2" s="41" t="s">
        <v>82</v>
      </c>
      <c r="N2" s="41" t="s">
        <v>83</v>
      </c>
      <c r="O2" s="43" t="s">
        <v>84</v>
      </c>
      <c r="P2" s="40" t="s">
        <v>85</v>
      </c>
      <c r="Q2" s="43" t="s">
        <v>87</v>
      </c>
      <c r="R2" s="43" t="s">
        <v>89</v>
      </c>
      <c r="S2" s="43" t="s">
        <v>90</v>
      </c>
      <c r="T2" s="43" t="s">
        <v>91</v>
      </c>
      <c r="U2" s="30" t="s">
        <v>92</v>
      </c>
      <c r="V2" s="40" t="s">
        <v>93</v>
      </c>
      <c r="W2" s="45"/>
      <c r="X2" s="46" t="s">
        <v>98</v>
      </c>
      <c r="Y2" s="47" t="s">
        <v>102</v>
      </c>
      <c r="Z2" s="37"/>
      <c r="AA2" s="37"/>
      <c r="AB2" s="37"/>
      <c r="AC2" s="37"/>
      <c r="AD2" s="37"/>
      <c r="AE2" s="37"/>
      <c r="AF2" s="37"/>
      <c r="AG2" s="37"/>
      <c r="AH2" s="37"/>
      <c r="AI2" s="37"/>
      <c r="AJ2" s="37"/>
      <c r="AK2" s="37"/>
      <c r="AL2" s="37"/>
      <c r="AM2" s="37"/>
      <c r="AN2" s="37"/>
      <c r="AO2" s="37"/>
    </row>
    <row r="3">
      <c r="A3" s="50">
        <f>IFERROR(__xludf.DUMMYFUNCTION("QUERY('Volunteer Survey'!A2)"),43442.51732141204)</f>
        <v>43442.51732</v>
      </c>
      <c r="B3" s="48" t="s">
        <v>125</v>
      </c>
      <c r="C3" s="53"/>
      <c r="D3" s="55"/>
      <c r="E3" s="48" t="s">
        <v>130</v>
      </c>
      <c r="F3" s="48" t="s">
        <v>130</v>
      </c>
      <c r="G3" s="48" t="s">
        <v>136</v>
      </c>
      <c r="H3" s="51" t="s">
        <v>138</v>
      </c>
      <c r="I3" s="51" t="s">
        <v>139</v>
      </c>
      <c r="J3" s="55"/>
      <c r="K3" s="55"/>
      <c r="L3" s="55" t="str">
        <f>IFERROR(__xludf.DUMMYFUNCTION("QUERY('Volunteer Survey'!B2)"),"Suneeta Mandava")</f>
        <v>Suneeta Mandava</v>
      </c>
      <c r="M3" s="55" t="str">
        <f>IFERROR(__xludf.DUMMYFUNCTION("QUERY('Volunteer Survey'!E2)"),"suneeta.mandava@gmail.com")</f>
        <v>suneeta.mandava@gmail.com</v>
      </c>
      <c r="N3" s="55" t="str">
        <f>IFERROR(__xludf.DUMMYFUNCTION("QUERY('Volunteer Survey'!F2)"),"Variant Analyst/Scientist")</f>
        <v>Variant Analyst/Scientist</v>
      </c>
      <c r="O3" s="48" t="str">
        <f>IFERROR(__xludf.DUMMYFUNCTION("QUERY('Volunteer Survey'!H2)"),"Comprehensive")</f>
        <v>Comprehensive</v>
      </c>
      <c r="P3" s="55" t="str">
        <f>IFERROR(__xludf.DUMMYFUNCTION("QUERY('Volunteer Survey'!I2)"),"Somatic Cancer")</f>
        <v>Somatic Cancer</v>
      </c>
      <c r="Q3" s="60" t="str">
        <f>IFERROR(__xludf.DUMMYFUNCTION("QUERY('Volunteer Survey'!J2)"),"Gene-Disease Validity")</f>
        <v>Gene-Disease Validity</v>
      </c>
      <c r="R3" s="55" t="str">
        <f>IFERROR(__xludf.DUMMYFUNCTION("QUERY('Volunteer Survey'!K2)"),"Variant Pathogenicity")</f>
        <v>Variant Pathogenicity</v>
      </c>
      <c r="S3" s="55" t="str">
        <f>IFERROR(__xludf.DUMMYFUNCTION("QUERY('Volunteer Survey'!L2)"),"Clinical Actionability")</f>
        <v>Clinical Actionability</v>
      </c>
      <c r="T3" s="55" t="str">
        <f>IFERROR(__xludf.DUMMYFUNCTION("QUERY('Volunteer Survey'!M2)"),"Dosage Sensitivity")</f>
        <v>Dosage Sensitivity</v>
      </c>
      <c r="U3" s="64" t="str">
        <f>IFERROR(__xludf.DUMMYFUNCTION("QUERY('Volunteer Survey'!N2)"),"I am clinical genomics variant scientist in somatic cancers for the last almost 5 years")</f>
        <v>I am clinical genomics variant scientist in somatic cancers for the last almost 5 years</v>
      </c>
      <c r="V3" s="55" t="str">
        <f>IFERROR(__xludf.DUMMYFUNCTION("QUERY('Volunteer Survey'!O2)"),"Possibly")</f>
        <v>Possibly</v>
      </c>
      <c r="W3" s="66" t="str">
        <f>IFERROR(__xludf.DUMMYFUNCTION("QUERY('Volunteer Survey'!P2)"),"somatic cancer TP53")</f>
        <v>somatic cancer TP53</v>
      </c>
      <c r="X3" s="64" t="str">
        <f>IFERROR(__xludf.DUMMYFUNCTION("QUERY('Volunteer Survey'!R2)"),"Maybe -- please contact me with other options, and I will decide based on what is available")</f>
        <v>Maybe -- please contact me with other options, and I will decide based on what is available</v>
      </c>
      <c r="Y3" s="53"/>
      <c r="Z3" s="182">
        <f>IFERROR(__xludf.DUMMYFUNCTION("QUERY('Volunteer Survey'!A2)"),43442.51732141204)</f>
        <v>43442.51732</v>
      </c>
      <c r="AA3" s="183" t="str">
        <f>IFERROR(__xludf.DUMMYFUNCTION("QUERY('Volunteer Survey'!B2)"),"Suneeta Mandava")</f>
        <v>Suneeta Mandava</v>
      </c>
      <c r="AB3" s="183" t="str">
        <f>IFERROR(__xludf.DUMMYFUNCTION("QUERY('Volunteer Survey'!C2)"),"Personalis")</f>
        <v>Personalis</v>
      </c>
      <c r="AC3" s="183" t="str">
        <f>IFERROR(__xludf.DUMMYFUNCTION("QUERY('Volunteer Survey'!D2)"),"")</f>
        <v/>
      </c>
      <c r="AD3" s="183" t="str">
        <f>IFERROR(__xludf.DUMMYFUNCTION("QUERY('Volunteer Survey'!E2)"),"suneeta.mandava@gmail.com")</f>
        <v>suneeta.mandava@gmail.com</v>
      </c>
      <c r="AE3" s="183" t="str">
        <f>IFERROR(__xludf.DUMMYFUNCTION("QUERY('Volunteer Survey'!F2)"),"Variant Analyst/Scientist")</f>
        <v>Variant Analyst/Scientist</v>
      </c>
      <c r="AF3" s="183" t="str">
        <f>IFERROR(__xludf.DUMMYFUNCTION("QUERY('Volunteer Survey'!G2)"),"Interested to curate genes for somatic cancer; would like to start slow and expand over time")</f>
        <v>Interested to curate genes for somatic cancer; would like to start slow and expand over time</v>
      </c>
      <c r="AG3" s="183" t="str">
        <f>IFERROR(__xludf.DUMMYFUNCTION("QUERY('Volunteer Survey'!H2)"),"Comprehensive")</f>
        <v>Comprehensive</v>
      </c>
      <c r="AH3" s="55"/>
      <c r="AI3" s="55"/>
      <c r="AJ3" s="55"/>
      <c r="AK3" s="55"/>
      <c r="AL3" s="55"/>
      <c r="AM3" s="55"/>
      <c r="AN3" s="55"/>
      <c r="AO3" s="55"/>
    </row>
    <row r="4">
      <c r="A4" s="50">
        <f>IFERROR(__xludf.DUMMYFUNCTION("QUERY('Volunteer Survey'!A3)"),43444.75724069444)</f>
        <v>43444.75724</v>
      </c>
      <c r="B4" s="48" t="s">
        <v>168</v>
      </c>
      <c r="C4" s="53"/>
      <c r="D4" s="55"/>
      <c r="E4" s="48" t="s">
        <v>130</v>
      </c>
      <c r="F4" s="48" t="s">
        <v>130</v>
      </c>
      <c r="G4" s="48" t="s">
        <v>19</v>
      </c>
      <c r="H4" s="69"/>
      <c r="I4" s="69" t="s">
        <v>139</v>
      </c>
      <c r="J4" s="55"/>
      <c r="K4" s="55"/>
      <c r="L4" s="55" t="str">
        <f>IFERROR(__xludf.DUMMYFUNCTION("QUERY('Volunteer Survey'!B3)"),"Edwin Kim")</f>
        <v>Edwin Kim</v>
      </c>
      <c r="M4" s="55" t="str">
        <f>IFERROR(__xludf.DUMMYFUNCTION("QUERY('Volunteer Survey'!E3)"),"Edwinkimmd@gmail.com")</f>
        <v>Edwinkimmd@gmail.com</v>
      </c>
      <c r="N4" s="55" t="str">
        <f>IFERROR(__xludf.DUMMYFUNCTION("QUERY('Volunteer Survey'!F3)"),"Physician (Non-geneticist)")</f>
        <v>Physician (Non-geneticist)</v>
      </c>
      <c r="O4" s="48" t="str">
        <f>IFERROR(__xludf.DUMMYFUNCTION("QUERY('Volunteer Survey'!H3)"),"Comprehensive")</f>
        <v>Comprehensive</v>
      </c>
      <c r="P4" s="55" t="str">
        <f>IFERROR(__xludf.DUMMYFUNCTION("QUERY('Volunteer Survey'!I3)"),"Clinical Actionability")</f>
        <v>Clinical Actionability</v>
      </c>
      <c r="Q4" s="60" t="str">
        <f>IFERROR(__xludf.DUMMYFUNCTION("QUERY('Volunteer Survey'!J3)"),"Dosage Sensitivity")</f>
        <v>Dosage Sensitivity</v>
      </c>
      <c r="R4" s="55" t="str">
        <f>IFERROR(__xludf.DUMMYFUNCTION("QUERY('Volunteer Survey'!K3)"),"Gene-Disease Validity")</f>
        <v>Gene-Disease Validity</v>
      </c>
      <c r="S4" s="55" t="str">
        <f>IFERROR(__xludf.DUMMYFUNCTION("QUERY('Volunteer Survey'!L3)"),"Variant Pathogenicity")</f>
        <v>Variant Pathogenicity</v>
      </c>
      <c r="T4" s="55" t="str">
        <f>IFERROR(__xludf.DUMMYFUNCTION("QUERY('Volunteer Survey'!M3)"),"Somatic Cancer")</f>
        <v>Somatic Cancer</v>
      </c>
      <c r="U4" s="64" t="str">
        <f>IFERROR(__xludf.DUMMYFUNCTION("QUERY('Volunteer Survey'!N3)"),"Working with Bioinformaticians and microbial researchers at the Lawrence Berkeley/Livermore DOE Joint Genome Institute and curating in-house data for output to public research databases.")</f>
        <v>Working with Bioinformaticians and microbial researchers at the Lawrence Berkeley/Livermore DOE Joint Genome Institute and curating in-house data for output to public research databases.</v>
      </c>
      <c r="V4" s="55" t="str">
        <f>IFERROR(__xludf.DUMMYFUNCTION("QUERY('Volunteer Survey'!O3)"),"Possibly")</f>
        <v>Possibly</v>
      </c>
      <c r="W4" s="66" t="str">
        <f>IFERROR(__xludf.DUMMYFUNCTION("QUERY('Volunteer Survey'!P3)"),"Possibly after gaining some more exposure and increasing experience.")</f>
        <v>Possibly after gaining some more exposure and increasing experience.</v>
      </c>
      <c r="X4" s="64" t="str">
        <f>IFERROR(__xludf.DUMMYFUNCTION("QUERY('Volunteer Survey'!R3)"),"Maybe -- please contact me with other options, and I will decide based on what is available")</f>
        <v>Maybe -- please contact me with other options, and I will decide based on what is available</v>
      </c>
      <c r="Y4" s="53"/>
      <c r="Z4" s="182">
        <f>IFERROR(__xludf.DUMMYFUNCTION("QUERY('Volunteer Survey'!A3)"),43444.75724069444)</f>
        <v>43444.75724</v>
      </c>
      <c r="AA4" s="183" t="str">
        <f>IFERROR(__xludf.DUMMYFUNCTION("QUERY('Volunteer Survey'!B3)"),"Edwin Kim")</f>
        <v>Edwin Kim</v>
      </c>
      <c r="AB4" s="183" t="str">
        <f>IFERROR(__xludf.DUMMYFUNCTION("QUERY('Volunteer Survey'!C3)"),"University of Pennsylvania")</f>
        <v>University of Pennsylvania</v>
      </c>
      <c r="AC4" s="183" t="str">
        <f>IFERROR(__xludf.DUMMYFUNCTION("QUERY('Volunteer Survey'!D3)"),"20701 N Scottsdale Rd #107 Scottsdale AZ 85255")</f>
        <v>20701 N Scottsdale Rd #107 Scottsdale AZ 85255</v>
      </c>
      <c r="AD4" s="183" t="str">
        <f>IFERROR(__xludf.DUMMYFUNCTION("QUERY('Volunteer Survey'!E3)"),"Edwinkimmd@gmail.com")</f>
        <v>Edwinkimmd@gmail.com</v>
      </c>
      <c r="AE4" s="183" t="str">
        <f>IFERROR(__xludf.DUMMYFUNCTION("QUERY('Volunteer Survey'!F3)"),"Physician (Non-geneticist)")</f>
        <v>Physician (Non-geneticist)</v>
      </c>
      <c r="AF4" s="183" t="str">
        <f>IFERROR(__xludf.DUMMYFUNCTION("QUERY('Volunteer Survey'!G3)"),"Before medical school, I worked in microbial genomics at the Joint Genome Institute. My work involved curating output from bioinformatics algorithms and curating information into public genomic databases. My work culminated in building an education module"&amp;" to promote genomics in undergraduate classes. Many years later, I find myself completing a clinical fellowship I  Addiction Psychiatry. I foresee an increasing interest in the genomics of substance use disorders and addiction. This will require building "&amp;"a robust database, then to train a generation of clinicians/researchers adept at querying the database. I would like to be one to train these first cohorts.")</f>
        <v>Before medical school, I worked in microbial genomics at the Joint Genome Institute. My work involved curating output from bioinformatics algorithms and curating information into public genomic databases. My work culminated in building an education module to promote genomics in undergraduate classes. Many years later, I find myself completing a clinical fellowship I  Addiction Psychiatry. I foresee an increasing interest in the genomics of substance use disorders and addiction. This will require building a robust database, then to train a generation of clinicians/researchers adept at querying the database. I would like to be one to train these first cohorts.</v>
      </c>
      <c r="AG4" s="183" t="str">
        <f>IFERROR(__xludf.DUMMYFUNCTION("QUERY('Volunteer Survey'!H3)"),"Comprehensive")</f>
        <v>Comprehensive</v>
      </c>
      <c r="AH4" s="183" t="str">
        <f>IFERROR(__xludf.DUMMYFUNCTION("QUERY('Volunteer Survey'!I3)"),"Clinical Actionability")</f>
        <v>Clinical Actionability</v>
      </c>
      <c r="AI4" s="183" t="str">
        <f>IFERROR(__xludf.DUMMYFUNCTION("QUERY('Volunteer Survey'!J3)"),"Dosage Sensitivity")</f>
        <v>Dosage Sensitivity</v>
      </c>
      <c r="AJ4" s="183" t="str">
        <f>IFERROR(__xludf.DUMMYFUNCTION("QUERY('Volunteer Survey'!K3)"),"Gene-Disease Validity")</f>
        <v>Gene-Disease Validity</v>
      </c>
      <c r="AK4" s="183" t="str">
        <f>IFERROR(__xludf.DUMMYFUNCTION("QUERY('Volunteer Survey'!L3)"),"Variant Pathogenicity")</f>
        <v>Variant Pathogenicity</v>
      </c>
      <c r="AL4" s="183" t="str">
        <f>IFERROR(__xludf.DUMMYFUNCTION("QUERY('Volunteer Survey'!M3)"),"Somatic Cancer")</f>
        <v>Somatic Cancer</v>
      </c>
      <c r="AM4" s="183" t="str">
        <f>IFERROR(__xludf.DUMMYFUNCTION("QUERY('Volunteer Survey'!N3)"),"Working with Bioinformaticians and microbial researchers at the Lawrence Berkeley/Livermore DOE Joint Genome Institute and curating in-house data for output to public research databases.")</f>
        <v>Working with Bioinformaticians and microbial researchers at the Lawrence Berkeley/Livermore DOE Joint Genome Institute and curating in-house data for output to public research databases.</v>
      </c>
      <c r="AN4" s="183" t="str">
        <f>IFERROR(__xludf.DUMMYFUNCTION("QUERY('Volunteer Survey'!O3)"),"Possibly")</f>
        <v>Possibly</v>
      </c>
      <c r="AO4" s="183" t="str">
        <f>IFERROR(__xludf.DUMMYFUNCTION("QUERY('Volunteer Survey'!P3)"),"Possibly after gaining some more exposure and increasing experience.")</f>
        <v>Possibly after gaining some more exposure and increasing experience.</v>
      </c>
    </row>
    <row r="5">
      <c r="A5" s="50">
        <f>IFERROR(__xludf.DUMMYFUNCTION("QUERY('Volunteer Survey'!A4)"),43446.43219766204)</f>
        <v>43446.4322</v>
      </c>
      <c r="B5" s="48" t="s">
        <v>108</v>
      </c>
      <c r="C5" s="53"/>
      <c r="D5" s="55"/>
      <c r="E5" s="48" t="s">
        <v>130</v>
      </c>
      <c r="F5" s="48" t="s">
        <v>130</v>
      </c>
      <c r="G5" s="48" t="s">
        <v>202</v>
      </c>
      <c r="H5" s="53"/>
      <c r="I5" s="51" t="s">
        <v>139</v>
      </c>
      <c r="J5" s="55"/>
      <c r="K5" s="55"/>
      <c r="L5" s="55" t="str">
        <f>IFERROR(__xludf.DUMMYFUNCTION("QUERY('Volunteer Survey'!B4)"),"Julyann Pérez Mayoral")</f>
        <v>Julyann Pérez Mayoral</v>
      </c>
      <c r="M5" s="55" t="str">
        <f>IFERROR(__xludf.DUMMYFUNCTION("QUERY('Volunteer Survey'!E4)"),"julyann.perez@upr.edu")</f>
        <v>julyann.perez@upr.edu</v>
      </c>
      <c r="N5" s="55" t="str">
        <f>IFERROR(__xludf.DUMMYFUNCTION("QUERY('Volunteer Survey'!F4)"),"Post Doc/Resident/Fellow (MD and/or PhD)")</f>
        <v>Post Doc/Resident/Fellow (MD and/or PhD)</v>
      </c>
      <c r="O5" s="48" t="str">
        <f>IFERROR(__xludf.DUMMYFUNCTION("QUERY('Volunteer Survey'!H4)"),"Baseline")</f>
        <v>Baseline</v>
      </c>
      <c r="P5" s="55" t="str">
        <f>IFERROR(__xludf.DUMMYFUNCTION("QUERY('Volunteer Survey'!I4)"),"Variant Pathogenicity")</f>
        <v>Variant Pathogenicity</v>
      </c>
      <c r="Q5" s="60" t="str">
        <f>IFERROR(__xludf.DUMMYFUNCTION("QUERY('Volunteer Survey'!J4)"),"Somatic Cancer")</f>
        <v>Somatic Cancer</v>
      </c>
      <c r="R5" s="55" t="str">
        <f>IFERROR(__xludf.DUMMYFUNCTION("QUERY('Volunteer Survey'!K4)"),"")</f>
        <v/>
      </c>
      <c r="S5" s="55" t="str">
        <f>IFERROR(__xludf.DUMMYFUNCTION("QUERY('Volunteer Survey'!L4)"),"")</f>
        <v/>
      </c>
      <c r="T5" s="55" t="str">
        <f>IFERROR(__xludf.DUMMYFUNCTION("QUERY('Volunteer Survey'!M4)"),"")</f>
        <v/>
      </c>
      <c r="U5" s="64" t="str">
        <f>IFERROR(__xludf.DUMMYFUNCTION("QUERY('Volunteer Survey'!N4)"),"No")</f>
        <v>No</v>
      </c>
      <c r="V5" s="55" t="str">
        <f>IFERROR(__xludf.DUMMYFUNCTION("QUERY('Volunteer Survey'!O4)"),"Possibly")</f>
        <v>Possibly</v>
      </c>
      <c r="W5" s="66" t="str">
        <f>IFERROR(__xludf.DUMMYFUNCTION("QUERY('Volunteer Survey'!P4)"),"Variant Curation Panel")</f>
        <v>Variant Curation Panel</v>
      </c>
      <c r="X5" s="64" t="str">
        <f>IFERROR(__xludf.DUMMYFUNCTION("QUERY('Volunteer Survey'!R4)"),"Maybe -- please contact me with other options, and I will decide based on what is available")</f>
        <v>Maybe -- please contact me with other options, and I will decide based on what is available</v>
      </c>
      <c r="Y5" s="53"/>
      <c r="Z5" s="182">
        <f>IFERROR(__xludf.DUMMYFUNCTION("QUERY('Volunteer Survey'!A4)"),43446.43219766204)</f>
        <v>43446.4322</v>
      </c>
      <c r="AA5" s="183" t="str">
        <f>IFERROR(__xludf.DUMMYFUNCTION("QUERY('Volunteer Survey'!B4)"),"Julyann Pérez Mayoral")</f>
        <v>Julyann Pérez Mayoral</v>
      </c>
      <c r="AB5" s="183" t="str">
        <f>IFERROR(__xludf.DUMMYFUNCTION("QUERY('Volunteer Survey'!C4)"),"University of Puerto Rico Comprehensive Cancer Center")</f>
        <v>University of Puerto Rico Comprehensive Cancer Center</v>
      </c>
      <c r="AC5" s="183" t="str">
        <f>IFERROR(__xludf.DUMMYFUNCTION("QUERY('Volunteer Survey'!D4)"),"Centro Medico Rio Piedras Lab #9 San Juan, P.R. 00936")</f>
        <v>Centro Medico Rio Piedras Lab #9 San Juan, P.R. 00936</v>
      </c>
      <c r="AD5" s="183" t="str">
        <f>IFERROR(__xludf.DUMMYFUNCTION("QUERY('Volunteer Survey'!E4)"),"julyann.perez@upr.edu")</f>
        <v>julyann.perez@upr.edu</v>
      </c>
      <c r="AE5" s="183" t="str">
        <f>IFERROR(__xludf.DUMMYFUNCTION("QUERY('Volunteer Survey'!F4)"),"Post Doc/Resident/Fellow (MD and/or PhD)")</f>
        <v>Post Doc/Resident/Fellow (MD and/or PhD)</v>
      </c>
      <c r="AF5" s="183" t="str">
        <f>IFERROR(__xludf.DUMMYFUNCTION("QUERY('Volunteer Survey'!G4)"),"I am interested in Variant Classification, especially for cancers such as Colorectal and Breast Cancer, as well as, hereditary cancers.")</f>
        <v>I am interested in Variant Classification, especially for cancers such as Colorectal and Breast Cancer, as well as, hereditary cancers.</v>
      </c>
      <c r="AG5" s="183" t="str">
        <f>IFERROR(__xludf.DUMMYFUNCTION("QUERY('Volunteer Survey'!H4)"),"Baseline")</f>
        <v>Baseline</v>
      </c>
      <c r="AH5" s="183" t="str">
        <f>IFERROR(__xludf.DUMMYFUNCTION("QUERY('Volunteer Survey'!I4)"),"Variant Pathogenicity")</f>
        <v>Variant Pathogenicity</v>
      </c>
      <c r="AI5" s="183" t="str">
        <f>IFERROR(__xludf.DUMMYFUNCTION("QUERY('Volunteer Survey'!J4)"),"Somatic Cancer")</f>
        <v>Somatic Cancer</v>
      </c>
      <c r="AJ5" s="183" t="str">
        <f>IFERROR(__xludf.DUMMYFUNCTION("QUERY('Volunteer Survey'!K4)"),"")</f>
        <v/>
      </c>
      <c r="AK5" s="183" t="str">
        <f>IFERROR(__xludf.DUMMYFUNCTION("QUERY('Volunteer Survey'!L4)"),"")</f>
        <v/>
      </c>
      <c r="AL5" s="183" t="str">
        <f>IFERROR(__xludf.DUMMYFUNCTION("QUERY('Volunteer Survey'!M4)"),"")</f>
        <v/>
      </c>
      <c r="AM5" s="183" t="str">
        <f>IFERROR(__xludf.DUMMYFUNCTION("QUERY('Volunteer Survey'!N4)"),"No")</f>
        <v>No</v>
      </c>
      <c r="AN5" s="183" t="str">
        <f>IFERROR(__xludf.DUMMYFUNCTION("QUERY('Volunteer Survey'!O4)"),"Possibly")</f>
        <v>Possibly</v>
      </c>
      <c r="AO5" s="183" t="str">
        <f>IFERROR(__xludf.DUMMYFUNCTION("QUERY('Volunteer Survey'!P4)"),"Variant Curation Panel")</f>
        <v>Variant Curation Panel</v>
      </c>
    </row>
    <row r="6">
      <c r="A6" s="50">
        <f>IFERROR(__xludf.DUMMYFUNCTION("QUERY('Volunteer Survey'!A5)"),43446.65079341435)</f>
        <v>43446.65079</v>
      </c>
      <c r="B6" s="48" t="s">
        <v>108</v>
      </c>
      <c r="C6" s="53"/>
      <c r="D6" s="49">
        <v>43570.0</v>
      </c>
      <c r="E6" s="48" t="s">
        <v>117</v>
      </c>
      <c r="F6" s="48" t="s">
        <v>117</v>
      </c>
      <c r="G6" s="48" t="s">
        <v>122</v>
      </c>
      <c r="H6" s="51" t="s">
        <v>123</v>
      </c>
      <c r="I6" s="51" t="s">
        <v>139</v>
      </c>
      <c r="J6" s="56">
        <v>43712.0</v>
      </c>
      <c r="K6" s="56"/>
      <c r="L6" s="55" t="str">
        <f>IFERROR(__xludf.DUMMYFUNCTION("QUERY('Volunteer Survey'!B5)"),"Xiaodong Wang")</f>
        <v>Xiaodong Wang</v>
      </c>
      <c r="M6" s="55" t="str">
        <f>IFERROR(__xludf.DUMMYFUNCTION("QUERY('Volunteer Survey'!E5)"),"xdwang@ciphergene.com")</f>
        <v>xdwang@ciphergene.com</v>
      </c>
      <c r="N6" s="55" t="str">
        <f>IFERROR(__xludf.DUMMYFUNCTION("QUERY('Volunteer Survey'!F5)"),"Variant Analyst/Scientist")</f>
        <v>Variant Analyst/Scientist</v>
      </c>
      <c r="O6" s="48" t="str">
        <f>IFERROR(__xludf.DUMMYFUNCTION("QUERY('Volunteer Survey'!H5)"),"Comprehensive")</f>
        <v>Comprehensive</v>
      </c>
      <c r="P6" s="55" t="str">
        <f>IFERROR(__xludf.DUMMYFUNCTION("QUERY('Volunteer Survey'!I5)"),"Gene-Disease Validity")</f>
        <v>Gene-Disease Validity</v>
      </c>
      <c r="Q6" s="60" t="str">
        <f>IFERROR(__xludf.DUMMYFUNCTION("QUERY('Volunteer Survey'!J5)"),"Variant Pathogenicity")</f>
        <v>Variant Pathogenicity</v>
      </c>
      <c r="R6" s="55" t="str">
        <f>IFERROR(__xludf.DUMMYFUNCTION("QUERY('Volunteer Survey'!K5)"),"Clinical Actionability")</f>
        <v>Clinical Actionability</v>
      </c>
      <c r="S6" s="55" t="str">
        <f>IFERROR(__xludf.DUMMYFUNCTION("QUERY('Volunteer Survey'!L5)"),"")</f>
        <v/>
      </c>
      <c r="T6" s="55" t="str">
        <f>IFERROR(__xludf.DUMMYFUNCTION("QUERY('Volunteer Survey'!M5)"),"")</f>
        <v/>
      </c>
      <c r="U6" s="64" t="str">
        <f>IFERROR(__xludf.DUMMYFUNCTION("QUERY('Volunteer Survey'!N5)"),"I am familiar with ACMG for variant classification, which I do daily. ")</f>
        <v>I am familiar with ACMG for variant classification, which I do daily. </v>
      </c>
      <c r="V6" s="55" t="str">
        <f>IFERROR(__xludf.DUMMYFUNCTION("QUERY('Volunteer Survey'!O5)"),"Possibly")</f>
        <v>Possibly</v>
      </c>
      <c r="W6" s="66" t="str">
        <f>IFERROR(__xludf.DUMMYFUNCTION("QUERY('Volunteer Survey'!P5)"),"Epilepsy group")</f>
        <v>Epilepsy group</v>
      </c>
      <c r="X6" s="64" t="str">
        <f>IFERROR(__xludf.DUMMYFUNCTION("QUERY('Volunteer Survey'!R5)"),"Maybe -- please contact me with other options, and I will decide based on what is available")</f>
        <v>Maybe -- please contact me with other options, and I will decide based on what is available</v>
      </c>
      <c r="Y6" s="53"/>
      <c r="Z6" s="182">
        <f>IFERROR(__xludf.DUMMYFUNCTION("QUERY('Volunteer Survey'!A5)"),43446.65079341435)</f>
        <v>43446.65079</v>
      </c>
      <c r="AA6" s="183" t="str">
        <f>IFERROR(__xludf.DUMMYFUNCTION("QUERY('Volunteer Survey'!B5)"),"Xiaodong Wang")</f>
        <v>Xiaodong Wang</v>
      </c>
      <c r="AB6" s="183" t="str">
        <f>IFERROR(__xludf.DUMMYFUNCTION("QUERY('Volunteer Survey'!C5)"),"Cipher Gene, Ltd")</f>
        <v>Cipher Gene, Ltd</v>
      </c>
      <c r="AC6" s="183" t="str">
        <f>IFERROR(__xludf.DUMMYFUNCTION("QUERY('Volunteer Survey'!D5)"),"")</f>
        <v/>
      </c>
      <c r="AD6" s="183" t="str">
        <f>IFERROR(__xludf.DUMMYFUNCTION("QUERY('Volunteer Survey'!E5)"),"xdwang@ciphergene.com")</f>
        <v>xdwang@ciphergene.com</v>
      </c>
      <c r="AE6" s="183" t="str">
        <f>IFERROR(__xludf.DUMMYFUNCTION("QUERY('Volunteer Survey'!F5)"),"Variant Analyst/Scientist")</f>
        <v>Variant Analyst/Scientist</v>
      </c>
      <c r="AF6" s="183" t="str">
        <f>IFERROR(__xludf.DUMMYFUNCTION("QUERY('Volunteer Survey'!G5)"),"I used to be wormbase biocurator. I am familiar with curation process. I was trained as molecular geneticist. I am now leading my own variant interpretation group in a genetic testing startup company. We do lots of genetic testing on neurodevelopmental di"&amp;"sorder patients, particularly with epilepsy, seizures, ID/DD.")</f>
        <v>I used to be wormbase biocurator. I am familiar with curation process. I was trained as molecular geneticist. I am now leading my own variant interpretation group in a genetic testing startup company. We do lots of genetic testing on neurodevelopmental disorder patients, particularly with epilepsy, seizures, ID/DD.</v>
      </c>
      <c r="AG6" s="183" t="str">
        <f>IFERROR(__xludf.DUMMYFUNCTION("QUERY('Volunteer Survey'!H5)"),"Comprehensive")</f>
        <v>Comprehensive</v>
      </c>
      <c r="AH6" s="183" t="str">
        <f>IFERROR(__xludf.DUMMYFUNCTION("QUERY('Volunteer Survey'!I5)"),"Gene-Disease Validity")</f>
        <v>Gene-Disease Validity</v>
      </c>
      <c r="AI6" s="183" t="str">
        <f>IFERROR(__xludf.DUMMYFUNCTION("QUERY('Volunteer Survey'!J5)"),"Variant Pathogenicity")</f>
        <v>Variant Pathogenicity</v>
      </c>
      <c r="AJ6" s="183" t="str">
        <f>IFERROR(__xludf.DUMMYFUNCTION("QUERY('Volunteer Survey'!K5)"),"Clinical Actionability")</f>
        <v>Clinical Actionability</v>
      </c>
      <c r="AK6" s="183" t="str">
        <f>IFERROR(__xludf.DUMMYFUNCTION("QUERY('Volunteer Survey'!L5)"),"")</f>
        <v/>
      </c>
      <c r="AL6" s="183" t="str">
        <f>IFERROR(__xludf.DUMMYFUNCTION("QUERY('Volunteer Survey'!M5)"),"")</f>
        <v/>
      </c>
      <c r="AM6" s="183" t="str">
        <f>IFERROR(__xludf.DUMMYFUNCTION("QUERY('Volunteer Survey'!N5)"),"I am familiar with ACMG for variant classification, which I do daily. ")</f>
        <v>I am familiar with ACMG for variant classification, which I do daily. </v>
      </c>
      <c r="AN6" s="183" t="str">
        <f>IFERROR(__xludf.DUMMYFUNCTION("QUERY('Volunteer Survey'!O5)"),"Possibly")</f>
        <v>Possibly</v>
      </c>
      <c r="AO6" s="183" t="str">
        <f>IFERROR(__xludf.DUMMYFUNCTION("QUERY('Volunteer Survey'!P5)"),"Epilepsy group")</f>
        <v>Epilepsy group</v>
      </c>
    </row>
    <row r="7">
      <c r="A7" s="50">
        <f>IFERROR(__xludf.DUMMYFUNCTION("QUERY('Volunteer Survey'!A6)"),43446.70358693287)</f>
        <v>43446.70359</v>
      </c>
      <c r="B7" s="48" t="s">
        <v>108</v>
      </c>
      <c r="C7" s="53"/>
      <c r="D7" s="55"/>
      <c r="E7" s="48" t="s">
        <v>130</v>
      </c>
      <c r="F7" s="48" t="s">
        <v>130</v>
      </c>
      <c r="G7" s="48" t="s">
        <v>202</v>
      </c>
      <c r="H7" s="53"/>
      <c r="I7" s="51" t="s">
        <v>139</v>
      </c>
      <c r="J7" s="55"/>
      <c r="K7" s="55"/>
      <c r="L7" s="55" t="str">
        <f>IFERROR(__xludf.DUMMYFUNCTION("QUERY('Volunteer Survey'!B6)"),"Jun Shen")</f>
        <v>Jun Shen</v>
      </c>
      <c r="M7" s="55" t="str">
        <f>IFERROR(__xludf.DUMMYFUNCTION("QUERY('Volunteer Survey'!E6)"),"jshen5@bwh.harvard.edu")</f>
        <v>jshen5@bwh.harvard.edu</v>
      </c>
      <c r="N7" s="55" t="str">
        <f>IFERROR(__xludf.DUMMYFUNCTION("QUERY('Volunteer Survey'!F6)"),"Clinical laboratory geneticist")</f>
        <v>Clinical laboratory geneticist</v>
      </c>
      <c r="O7" s="48" t="str">
        <f>IFERROR(__xludf.DUMMYFUNCTION("QUERY('Volunteer Survey'!H6)"),"Baseline")</f>
        <v>Baseline</v>
      </c>
      <c r="P7" s="55" t="str">
        <f>IFERROR(__xludf.DUMMYFUNCTION("QUERY('Volunteer Survey'!I6)"),"Variant Pathogenicity")</f>
        <v>Variant Pathogenicity</v>
      </c>
      <c r="Q7" s="60" t="str">
        <f>IFERROR(__xludf.DUMMYFUNCTION("QUERY('Volunteer Survey'!J6)"),"Gene-Disease Validity")</f>
        <v>Gene-Disease Validity</v>
      </c>
      <c r="R7" s="55" t="str">
        <f>IFERROR(__xludf.DUMMYFUNCTION("QUERY('Volunteer Survey'!K6)"),"Clinical Actionability")</f>
        <v>Clinical Actionability</v>
      </c>
      <c r="S7" s="55" t="str">
        <f>IFERROR(__xludf.DUMMYFUNCTION("QUERY('Volunteer Survey'!L6)"),"Dosage Sensitivity")</f>
        <v>Dosage Sensitivity</v>
      </c>
      <c r="T7" s="55" t="str">
        <f>IFERROR(__xludf.DUMMYFUNCTION("QUERY('Volunteer Survey'!M6)"),"Somatic Cancer")</f>
        <v>Somatic Cancer</v>
      </c>
      <c r="U7" s="64" t="str">
        <f>IFERROR(__xludf.DUMMYFUNCTION("QUERY('Volunteer Survey'!N6)"),"I work on the HL-EP")</f>
        <v>I work on the HL-EP</v>
      </c>
      <c r="V7" s="55" t="str">
        <f>IFERROR(__xludf.DUMMYFUNCTION("QUERY('Volunteer Survey'!O6)"),"Yes")</f>
        <v>Yes</v>
      </c>
      <c r="W7" s="66" t="str">
        <f>IFERROR(__xludf.DUMMYFUNCTION("QUERY('Volunteer Survey'!P6)"),"I'm already on the HL-EP")</f>
        <v>I'm already on the HL-EP</v>
      </c>
      <c r="X7" s="64" t="str">
        <f>IFERROR(__xludf.DUMMYFUNCTION("QUERY('Volunteer Survey'!R6)"),"Maybe -- please contact me with other options, and I will decide based on what is available")</f>
        <v>Maybe -- please contact me with other options, and I will decide based on what is available</v>
      </c>
      <c r="Y7" s="53"/>
      <c r="Z7" s="182">
        <f>IFERROR(__xludf.DUMMYFUNCTION("QUERY('Volunteer Survey'!A6)"),43446.70358693287)</f>
        <v>43446.70359</v>
      </c>
      <c r="AA7" s="183" t="str">
        <f>IFERROR(__xludf.DUMMYFUNCTION("QUERY('Volunteer Survey'!B6)"),"Jun Shen")</f>
        <v>Jun Shen</v>
      </c>
      <c r="AB7" s="183" t="str">
        <f>IFERROR(__xludf.DUMMYFUNCTION("QUERY('Volunteer Survey'!C6)"),"BWH")</f>
        <v>BWH</v>
      </c>
      <c r="AC7" s="183" t="str">
        <f>IFERROR(__xludf.DUMMYFUNCTION("QUERY('Volunteer Survey'!D6)"),"221 Longwood Ave., Boston, MA 02115")</f>
        <v>221 Longwood Ave., Boston, MA 02115</v>
      </c>
      <c r="AD7" s="183" t="str">
        <f>IFERROR(__xludf.DUMMYFUNCTION("QUERY('Volunteer Survey'!E6)"),"jshen5@bwh.harvard.edu")</f>
        <v>jshen5@bwh.harvard.edu</v>
      </c>
      <c r="AE7" s="183" t="str">
        <f>IFERROR(__xludf.DUMMYFUNCTION("QUERY('Volunteer Survey'!F6)"),"Clinical laboratory geneticist")</f>
        <v>Clinical laboratory geneticist</v>
      </c>
      <c r="AF7" s="183" t="str">
        <f>IFERROR(__xludf.DUMMYFUNCTION("QUERY('Volunteer Survey'!G6)"),"I am a member of the hearing loss working group.")</f>
        <v>I am a member of the hearing loss working group.</v>
      </c>
      <c r="AG7" s="183" t="str">
        <f>IFERROR(__xludf.DUMMYFUNCTION("QUERY('Volunteer Survey'!H6)"),"Baseline")</f>
        <v>Baseline</v>
      </c>
      <c r="AH7" s="183" t="str">
        <f>IFERROR(__xludf.DUMMYFUNCTION("QUERY('Volunteer Survey'!I6)"),"Variant Pathogenicity")</f>
        <v>Variant Pathogenicity</v>
      </c>
      <c r="AI7" s="183" t="str">
        <f>IFERROR(__xludf.DUMMYFUNCTION("QUERY('Volunteer Survey'!J6)"),"Gene-Disease Validity")</f>
        <v>Gene-Disease Validity</v>
      </c>
      <c r="AJ7" s="183" t="str">
        <f>IFERROR(__xludf.DUMMYFUNCTION("QUERY('Volunteer Survey'!K6)"),"Clinical Actionability")</f>
        <v>Clinical Actionability</v>
      </c>
      <c r="AK7" s="183" t="str">
        <f>IFERROR(__xludf.DUMMYFUNCTION("QUERY('Volunteer Survey'!L6)"),"Dosage Sensitivity")</f>
        <v>Dosage Sensitivity</v>
      </c>
      <c r="AL7" s="183" t="str">
        <f>IFERROR(__xludf.DUMMYFUNCTION("QUERY('Volunteer Survey'!M6)"),"Somatic Cancer")</f>
        <v>Somatic Cancer</v>
      </c>
      <c r="AM7" s="183" t="str">
        <f>IFERROR(__xludf.DUMMYFUNCTION("QUERY('Volunteer Survey'!N6)"),"I work on the HL-EP")</f>
        <v>I work on the HL-EP</v>
      </c>
      <c r="AN7" s="183" t="str">
        <f>IFERROR(__xludf.DUMMYFUNCTION("QUERY('Volunteer Survey'!O6)"),"Yes")</f>
        <v>Yes</v>
      </c>
      <c r="AO7" s="183" t="str">
        <f>IFERROR(__xludf.DUMMYFUNCTION("QUERY('Volunteer Survey'!P6)"),"I'm already on the HL-EP")</f>
        <v>I'm already on the HL-EP</v>
      </c>
    </row>
    <row r="8" ht="37.5" customHeight="1">
      <c r="A8" s="50">
        <f>IFERROR(__xludf.DUMMYFUNCTION("QUERY('Volunteer Survey'!A7)"),43447.421107152775)</f>
        <v>43447.42111</v>
      </c>
      <c r="B8" s="48" t="s">
        <v>125</v>
      </c>
      <c r="C8" s="79">
        <v>43437.0</v>
      </c>
      <c r="D8" s="56">
        <v>43446.0</v>
      </c>
      <c r="E8" s="48" t="s">
        <v>117</v>
      </c>
      <c r="F8" s="48" t="s">
        <v>117</v>
      </c>
      <c r="G8" s="48" t="s">
        <v>122</v>
      </c>
      <c r="H8" s="51" t="s">
        <v>143</v>
      </c>
      <c r="I8" s="51" t="s">
        <v>139</v>
      </c>
      <c r="J8" s="56">
        <v>43592.0</v>
      </c>
      <c r="K8" s="56">
        <v>43713.0</v>
      </c>
      <c r="L8" s="55" t="str">
        <f>IFERROR(__xludf.DUMMYFUNCTION("QUERY('Volunteer Survey'!B7)"),"Jennifer Howe")</f>
        <v>Jennifer Howe</v>
      </c>
      <c r="M8" s="55" t="str">
        <f>IFERROR(__xludf.DUMMYFUNCTION("QUERY('Volunteer Survey'!E7)"),"jhowe@sickkids.ca")</f>
        <v>jhowe@sickkids.ca</v>
      </c>
      <c r="N8" s="55" t="str">
        <f>IFERROR(__xludf.DUMMYFUNCTION("QUERY('Volunteer Survey'!F7)"),"Senior Project Manager")</f>
        <v>Senior Project Manager</v>
      </c>
      <c r="O8" s="48" t="str">
        <f>IFERROR(__xludf.DUMMYFUNCTION("QUERY('Volunteer Survey'!H7)"),"Comprehensive")</f>
        <v>Comprehensive</v>
      </c>
      <c r="P8" s="55" t="str">
        <f>IFERROR(__xludf.DUMMYFUNCTION("QUERY('Volunteer Survey'!I7)"),"Gene-Disease Validity")</f>
        <v>Gene-Disease Validity</v>
      </c>
      <c r="Q8" s="60" t="str">
        <f>IFERROR(__xludf.DUMMYFUNCTION("QUERY('Volunteer Survey'!J7)"),"")</f>
        <v/>
      </c>
      <c r="R8" s="55" t="str">
        <f>IFERROR(__xludf.DUMMYFUNCTION("QUERY('Volunteer Survey'!K7)"),"")</f>
        <v/>
      </c>
      <c r="S8" s="55" t="str">
        <f>IFERROR(__xludf.DUMMYFUNCTION("QUERY('Volunteer Survey'!L7)"),"")</f>
        <v/>
      </c>
      <c r="T8" s="55" t="str">
        <f>IFERROR(__xludf.DUMMYFUNCTION("QUERY('Volunteer Survey'!M7)"),"")</f>
        <v/>
      </c>
      <c r="U8" s="64" t="str">
        <f>IFERROR(__xludf.DUMMYFUNCTION("QUERY('Volunteer Survey'!N7)"),"")</f>
        <v/>
      </c>
      <c r="V8" s="55" t="str">
        <f>IFERROR(__xludf.DUMMYFUNCTION("QUERY('Volunteer Survey'!O7)"),"No")</f>
        <v>No</v>
      </c>
      <c r="W8" s="66" t="str">
        <f>IFERROR(__xludf.DUMMYFUNCTION("QUERY('Volunteer Survey'!P7)"),"Autism and Intellectual Disability")</f>
        <v>Autism and Intellectual Disability</v>
      </c>
      <c r="X8" s="64" t="str">
        <f>IFERROR(__xludf.DUMMYFUNCTION("QUERY('Volunteer Survey'!R7)"),"No - I am only interested in the group(s) I previously indicated")</f>
        <v>No - I am only interested in the group(s) I previously indicated</v>
      </c>
      <c r="Y8" s="51" t="s">
        <v>292</v>
      </c>
      <c r="Z8" s="182">
        <f>IFERROR(__xludf.DUMMYFUNCTION("QUERY('Volunteer Survey'!A7)"),43447.421107152775)</f>
        <v>43447.42111</v>
      </c>
      <c r="AA8" s="183" t="str">
        <f>IFERROR(__xludf.DUMMYFUNCTION("QUERY('Volunteer Survey'!B7)"),"Jennifer Howe")</f>
        <v>Jennifer Howe</v>
      </c>
      <c r="AB8" s="183" t="str">
        <f>IFERROR(__xludf.DUMMYFUNCTION("QUERY('Volunteer Survey'!C7)"),"The Hospital for Sick Children")</f>
        <v>The Hospital for Sick Children</v>
      </c>
      <c r="AC8" s="183" t="str">
        <f>IFERROR(__xludf.DUMMYFUNCTION("QUERY('Volunteer Survey'!D7)"),"Toronto, Canada")</f>
        <v>Toronto, Canada</v>
      </c>
      <c r="AD8" s="183" t="str">
        <f>IFERROR(__xludf.DUMMYFUNCTION("QUERY('Volunteer Survey'!E7)"),"jhowe@sickkids.ca")</f>
        <v>jhowe@sickkids.ca</v>
      </c>
      <c r="AE8" s="183" t="str">
        <f>IFERROR(__xludf.DUMMYFUNCTION("QUERY('Volunteer Survey'!F7)"),"Senior Project Manager")</f>
        <v>Senior Project Manager</v>
      </c>
      <c r="AF8" s="183" t="str">
        <f>IFERROR(__xludf.DUMMYFUNCTION("QUERY('Volunteer Survey'!G7)"),"From the ASD Gene list meeting held in Toronto in Sept 2018 - I would like to assist in curating genes for ASD")</f>
        <v>From the ASD Gene list meeting held in Toronto in Sept 2018 - I would like to assist in curating genes for ASD</v>
      </c>
      <c r="AG8" s="183" t="str">
        <f>IFERROR(__xludf.DUMMYFUNCTION("QUERY('Volunteer Survey'!H7)"),"Comprehensive")</f>
        <v>Comprehensive</v>
      </c>
      <c r="AH8" s="183" t="str">
        <f>IFERROR(__xludf.DUMMYFUNCTION("QUERY('Volunteer Survey'!I7)"),"Gene-Disease Validity")</f>
        <v>Gene-Disease Validity</v>
      </c>
      <c r="AI8" s="183" t="str">
        <f>IFERROR(__xludf.DUMMYFUNCTION("QUERY('Volunteer Survey'!J7)"),"")</f>
        <v/>
      </c>
      <c r="AJ8" s="183" t="str">
        <f>IFERROR(__xludf.DUMMYFUNCTION("QUERY('Volunteer Survey'!K7)"),"")</f>
        <v/>
      </c>
      <c r="AK8" s="183" t="str">
        <f>IFERROR(__xludf.DUMMYFUNCTION("QUERY('Volunteer Survey'!L7)"),"")</f>
        <v/>
      </c>
      <c r="AL8" s="183" t="str">
        <f>IFERROR(__xludf.DUMMYFUNCTION("QUERY('Volunteer Survey'!M7)"),"")</f>
        <v/>
      </c>
      <c r="AM8" s="183" t="str">
        <f>IFERROR(__xludf.DUMMYFUNCTION("QUERY('Volunteer Survey'!N7)"),"")</f>
        <v/>
      </c>
      <c r="AN8" s="183" t="str">
        <f>IFERROR(__xludf.DUMMYFUNCTION("QUERY('Volunteer Survey'!O7)"),"No")</f>
        <v>No</v>
      </c>
      <c r="AO8" s="183" t="str">
        <f>IFERROR(__xludf.DUMMYFUNCTION("QUERY('Volunteer Survey'!P7)"),"Autism and Intellectual Disability")</f>
        <v>Autism and Intellectual Disability</v>
      </c>
    </row>
    <row r="9">
      <c r="A9" s="50">
        <f>IFERROR(__xludf.DUMMYFUNCTION("QUERY('Volunteer Survey'!A8)"),43378.48075231482)</f>
        <v>43378.48075</v>
      </c>
      <c r="B9" s="48" t="s">
        <v>125</v>
      </c>
      <c r="C9" s="79">
        <v>43411.0</v>
      </c>
      <c r="D9" s="56">
        <v>43446.0</v>
      </c>
      <c r="E9" s="48" t="s">
        <v>117</v>
      </c>
      <c r="F9" s="48" t="s">
        <v>117</v>
      </c>
      <c r="G9" s="48" t="s">
        <v>122</v>
      </c>
      <c r="H9" s="51" t="s">
        <v>20</v>
      </c>
      <c r="I9" s="51" t="s">
        <v>139</v>
      </c>
      <c r="J9" s="56">
        <v>43592.0</v>
      </c>
      <c r="K9" s="56">
        <v>43713.0</v>
      </c>
      <c r="L9" s="55" t="str">
        <f>IFERROR(__xludf.DUMMYFUNCTION("QUERY('Volunteer Survey'!B8)"),"Kalpana Panneerselvam")</f>
        <v>Kalpana Panneerselvam</v>
      </c>
      <c r="M9" s="55" t="str">
        <f>IFERROR(__xludf.DUMMYFUNCTION("QUERY('Volunteer Survey'!E8)"),"kalpanarpanneerselvam@gmail.com")</f>
        <v>kalpanarpanneerselvam@gmail.com</v>
      </c>
      <c r="N9" s="55" t="str">
        <f>IFERROR(__xludf.DUMMYFUNCTION("QUERY('Volunteer Survey'!F8)"),"Biocurator")</f>
        <v>Biocurator</v>
      </c>
      <c r="O9" s="48" t="str">
        <f>IFERROR(__xludf.DUMMYFUNCTION("QUERY('Volunteer Survey'!H8)"),"Comprehensive")</f>
        <v>Comprehensive</v>
      </c>
      <c r="P9" s="55" t="str">
        <f>IFERROR(__xludf.DUMMYFUNCTION("QUERY('Volunteer Survey'!I8)"),"Gene-Disease Validity")</f>
        <v>Gene-Disease Validity</v>
      </c>
      <c r="Q9" s="60" t="str">
        <f>IFERROR(__xludf.DUMMYFUNCTION("QUERY('Volunteer Survey'!J8)"),"Clinical Actionability")</f>
        <v>Clinical Actionability</v>
      </c>
      <c r="R9" s="55" t="str">
        <f>IFERROR(__xludf.DUMMYFUNCTION("QUERY('Volunteer Survey'!K8)"),"Variant Pathogenicity")</f>
        <v>Variant Pathogenicity</v>
      </c>
      <c r="S9" s="55" t="str">
        <f>IFERROR(__xludf.DUMMYFUNCTION("QUERY('Volunteer Survey'!L8)"),"Dosage Sensitivity")</f>
        <v>Dosage Sensitivity</v>
      </c>
      <c r="T9" s="55" t="str">
        <f>IFERROR(__xludf.DUMMYFUNCTION("QUERY('Volunteer Survey'!M8)"),"Somatic Cancer")</f>
        <v>Somatic Cancer</v>
      </c>
      <c r="U9" s="64" t="str">
        <f>IFERROR(__xludf.DUMMYFUNCTION("QUERY('Volunteer Survey'!N8)"),"I have worked as curator for Ingenuity Variant Analysis product by Qiagen ")</f>
        <v>I have worked as curator for Ingenuity Variant Analysis product by Qiagen </v>
      </c>
      <c r="V9" s="55" t="str">
        <f>IFERROR(__xludf.DUMMYFUNCTION("QUERY('Volunteer Survey'!O8)"),"Possibly")</f>
        <v>Possibly</v>
      </c>
      <c r="W9" s="66" t="str">
        <f>IFERROR(__xludf.DUMMYFUNCTION("QUERY('Volunteer Survey'!P8)"),"Mitochondrial diseases ")</f>
        <v>Mitochondrial diseases </v>
      </c>
      <c r="X9" s="64" t="str">
        <f>IFERROR(__xludf.DUMMYFUNCTION("QUERY('Volunteer Survey'!R8)"),"Yes- I am willing to volunteer with any available ClinGen group")</f>
        <v>Yes- I am willing to volunteer with any available ClinGen group</v>
      </c>
      <c r="Y9" s="51" t="s">
        <v>295</v>
      </c>
      <c r="Z9" s="182">
        <f>IFERROR(__xludf.DUMMYFUNCTION("QUERY('Volunteer Survey'!A8)"),43378.48075231482)</f>
        <v>43378.48075</v>
      </c>
      <c r="AA9" s="183" t="str">
        <f>IFERROR(__xludf.DUMMYFUNCTION("QUERY('Volunteer Survey'!B8)"),"Kalpana Panneerselvam")</f>
        <v>Kalpana Panneerselvam</v>
      </c>
      <c r="AB9" s="183" t="str">
        <f>IFERROR(__xludf.DUMMYFUNCTION("QUERY('Volunteer Survey'!C8)"),"Excelra knowledge solutions ")</f>
        <v>Excelra knowledge solutions </v>
      </c>
      <c r="AC9" s="183" t="str">
        <f>IFERROR(__xludf.DUMMYFUNCTION("QUERY('Volunteer Survey'!D8)"),"India")</f>
        <v>India</v>
      </c>
      <c r="AD9" s="183" t="str">
        <f>IFERROR(__xludf.DUMMYFUNCTION("QUERY('Volunteer Survey'!E8)"),"kalpanarpanneerselvam@gmail.com")</f>
        <v>kalpanarpanneerselvam@gmail.com</v>
      </c>
      <c r="AE9" s="183" t="str">
        <f>IFERROR(__xludf.DUMMYFUNCTION("QUERY('Volunteer Survey'!F8)"),"Biocurator")</f>
        <v>Biocurator</v>
      </c>
      <c r="AF9" s="183" t="str">
        <f>IFERROR(__xludf.DUMMYFUNCTION("QUERY('Volunteer Survey'!G8)"),"While browsing about institutions that are involved in curating genetic variants, I got to know about ClinGen. I would like to explore how I can work towards bringing more clarity on gene-disease and gene-drug relationship; I am open to work with any dise"&amp;"ase or gene")</f>
        <v>While browsing about institutions that are involved in curating genetic variants, I got to know about ClinGen. I would like to explore how I can work towards bringing more clarity on gene-disease and gene-drug relationship; I am open to work with any disease or gene</v>
      </c>
      <c r="AG9" s="183" t="str">
        <f>IFERROR(__xludf.DUMMYFUNCTION("QUERY('Volunteer Survey'!H8)"),"Comprehensive")</f>
        <v>Comprehensive</v>
      </c>
      <c r="AH9" s="183" t="str">
        <f>IFERROR(__xludf.DUMMYFUNCTION("QUERY('Volunteer Survey'!I8)"),"Gene-Disease Validity")</f>
        <v>Gene-Disease Validity</v>
      </c>
      <c r="AI9" s="183" t="str">
        <f>IFERROR(__xludf.DUMMYFUNCTION("QUERY('Volunteer Survey'!J8)"),"Clinical Actionability")</f>
        <v>Clinical Actionability</v>
      </c>
      <c r="AJ9" s="183" t="str">
        <f>IFERROR(__xludf.DUMMYFUNCTION("QUERY('Volunteer Survey'!K8)"),"Variant Pathogenicity")</f>
        <v>Variant Pathogenicity</v>
      </c>
      <c r="AK9" s="183" t="str">
        <f>IFERROR(__xludf.DUMMYFUNCTION("QUERY('Volunteer Survey'!L8)"),"Dosage Sensitivity")</f>
        <v>Dosage Sensitivity</v>
      </c>
      <c r="AL9" s="183" t="str">
        <f>IFERROR(__xludf.DUMMYFUNCTION("QUERY('Volunteer Survey'!M8)"),"Somatic Cancer")</f>
        <v>Somatic Cancer</v>
      </c>
      <c r="AM9" s="183" t="str">
        <f>IFERROR(__xludf.DUMMYFUNCTION("QUERY('Volunteer Survey'!N8)"),"I have worked as curator for Ingenuity Variant Analysis product by Qiagen ")</f>
        <v>I have worked as curator for Ingenuity Variant Analysis product by Qiagen </v>
      </c>
      <c r="AN9" s="183" t="str">
        <f>IFERROR(__xludf.DUMMYFUNCTION("QUERY('Volunteer Survey'!O8)"),"Possibly")</f>
        <v>Possibly</v>
      </c>
      <c r="AO9" s="183" t="str">
        <f>IFERROR(__xludf.DUMMYFUNCTION("QUERY('Volunteer Survey'!P8)"),"Mitochondrial diseases ")</f>
        <v>Mitochondrial diseases </v>
      </c>
    </row>
    <row r="10">
      <c r="A10" s="50">
        <f>IFERROR(__xludf.DUMMYFUNCTION("QUERY('Volunteer Survey'!A9)"),43447.71939452546)</f>
        <v>43447.71939</v>
      </c>
      <c r="B10" s="48" t="s">
        <v>160</v>
      </c>
      <c r="C10" s="53"/>
      <c r="D10" s="65">
        <v>43580.0</v>
      </c>
      <c r="E10" s="48" t="s">
        <v>117</v>
      </c>
      <c r="F10" s="48" t="s">
        <v>117</v>
      </c>
      <c r="G10" s="48" t="s">
        <v>163</v>
      </c>
      <c r="H10" s="51" t="s">
        <v>164</v>
      </c>
      <c r="I10" s="51" t="s">
        <v>139</v>
      </c>
      <c r="J10" s="56">
        <v>43712.0</v>
      </c>
      <c r="K10" s="56"/>
      <c r="L10" s="55" t="str">
        <f>IFERROR(__xludf.DUMMYFUNCTION("QUERY('Volunteer Survey'!B9)"),"Justin Schleede Phd")</f>
        <v>Justin Schleede Phd</v>
      </c>
      <c r="M10" s="55" t="str">
        <f>IFERROR(__xludf.DUMMYFUNCTION("QUERY('Volunteer Survey'!E9)"),"schleej@labcorp.com")</f>
        <v>schleej@labcorp.com</v>
      </c>
      <c r="N10" s="55" t="str">
        <f>IFERROR(__xludf.DUMMYFUNCTION("QUERY('Volunteer Survey'!F9)"),"Clinical laboratory geneticist")</f>
        <v>Clinical laboratory geneticist</v>
      </c>
      <c r="O10" s="48" t="str">
        <f>IFERROR(__xludf.DUMMYFUNCTION("QUERY('Volunteer Survey'!H9)"),"Comprehensive")</f>
        <v>Comprehensive</v>
      </c>
      <c r="P10" s="55" t="str">
        <f>IFERROR(__xludf.DUMMYFUNCTION("QUERY('Volunteer Survey'!I9)"),"Dosage Sensitivity")</f>
        <v>Dosage Sensitivity</v>
      </c>
      <c r="Q10" s="60" t="str">
        <f>IFERROR(__xludf.DUMMYFUNCTION("QUERY('Volunteer Survey'!J9)"),"Variant Pathogenicity")</f>
        <v>Variant Pathogenicity</v>
      </c>
      <c r="R10" s="55" t="str">
        <f>IFERROR(__xludf.DUMMYFUNCTION("QUERY('Volunteer Survey'!K9)"),"Somatic Cancer")</f>
        <v>Somatic Cancer</v>
      </c>
      <c r="S10" s="55" t="str">
        <f>IFERROR(__xludf.DUMMYFUNCTION("QUERY('Volunteer Survey'!L9)"),"Clinical Actionability")</f>
        <v>Clinical Actionability</v>
      </c>
      <c r="T10" s="55" t="str">
        <f>IFERROR(__xludf.DUMMYFUNCTION("QUERY('Volunteer Survey'!M9)"),"Gene-Disease Validity")</f>
        <v>Gene-Disease Validity</v>
      </c>
      <c r="U10" s="64" t="str">
        <f>IFERROR(__xludf.DUMMYFUNCTION("QUERY('Volunteer Survey'!N9)"),"Yes, I review literature and classify genes as part of my daily workflow")</f>
        <v>Yes, I review literature and classify genes as part of my daily workflow</v>
      </c>
      <c r="V10" s="55" t="str">
        <f>IFERROR(__xludf.DUMMYFUNCTION("QUERY('Volunteer Survey'!O9)"),"No")</f>
        <v>No</v>
      </c>
      <c r="W10" s="66" t="str">
        <f>IFERROR(__xludf.DUMMYFUNCTION("QUERY('Volunteer Survey'!P9)"),"")</f>
        <v/>
      </c>
      <c r="X10" s="64" t="str">
        <f>IFERROR(__xludf.DUMMYFUNCTION("QUERY('Volunteer Survey'!R9)"),"Maybe -- please contact me with other options, and I will decide based on what is available")</f>
        <v>Maybe -- please contact me with other options, and I will decide based on what is available</v>
      </c>
      <c r="Y10" s="53"/>
      <c r="Z10" s="182">
        <f>IFERROR(__xludf.DUMMYFUNCTION("QUERY('Volunteer Survey'!A9)"),43447.71939452546)</f>
        <v>43447.71939</v>
      </c>
      <c r="AA10" s="183" t="str">
        <f>IFERROR(__xludf.DUMMYFUNCTION("QUERY('Volunteer Survey'!B9)"),"Justin Schleede Phd")</f>
        <v>Justin Schleede Phd</v>
      </c>
      <c r="AB10" s="183" t="str">
        <f>IFERROR(__xludf.DUMMYFUNCTION("QUERY('Volunteer Survey'!C9)"),"LabCorp")</f>
        <v>LabCorp</v>
      </c>
      <c r="AC10" s="183" t="str">
        <f>IFERROR(__xludf.DUMMYFUNCTION("QUERY('Volunteer Survey'!D9)"),"")</f>
        <v/>
      </c>
      <c r="AD10" s="183" t="str">
        <f>IFERROR(__xludf.DUMMYFUNCTION("QUERY('Volunteer Survey'!E9)"),"schleej@labcorp.com")</f>
        <v>schleej@labcorp.com</v>
      </c>
      <c r="AE10" s="183" t="str">
        <f>IFERROR(__xludf.DUMMYFUNCTION("QUERY('Volunteer Survey'!F9)"),"Clinical laboratory geneticist")</f>
        <v>Clinical laboratory geneticist</v>
      </c>
      <c r="AF10" s="183" t="str">
        <f>IFERROR(__xludf.DUMMYFUNCTION("QUERY('Volunteer Survey'!G9)"),"I have access to a huge database and feel my input would be of value to the group.")</f>
        <v>I have access to a huge database and feel my input would be of value to the group.</v>
      </c>
      <c r="AG10" s="183" t="str">
        <f>IFERROR(__xludf.DUMMYFUNCTION("QUERY('Volunteer Survey'!H9)"),"Comprehensive")</f>
        <v>Comprehensive</v>
      </c>
      <c r="AH10" s="183" t="str">
        <f>IFERROR(__xludf.DUMMYFUNCTION("QUERY('Volunteer Survey'!I9)"),"Dosage Sensitivity")</f>
        <v>Dosage Sensitivity</v>
      </c>
      <c r="AI10" s="183" t="str">
        <f>IFERROR(__xludf.DUMMYFUNCTION("QUERY('Volunteer Survey'!J9)"),"Variant Pathogenicity")</f>
        <v>Variant Pathogenicity</v>
      </c>
      <c r="AJ10" s="183" t="str">
        <f>IFERROR(__xludf.DUMMYFUNCTION("QUERY('Volunteer Survey'!K9)"),"Somatic Cancer")</f>
        <v>Somatic Cancer</v>
      </c>
      <c r="AK10" s="183" t="str">
        <f>IFERROR(__xludf.DUMMYFUNCTION("QUERY('Volunteer Survey'!L9)"),"Clinical Actionability")</f>
        <v>Clinical Actionability</v>
      </c>
      <c r="AL10" s="183" t="str">
        <f>IFERROR(__xludf.DUMMYFUNCTION("QUERY('Volunteer Survey'!M9)"),"Gene-Disease Validity")</f>
        <v>Gene-Disease Validity</v>
      </c>
      <c r="AM10" s="183" t="str">
        <f>IFERROR(__xludf.DUMMYFUNCTION("QUERY('Volunteer Survey'!N9)"),"Yes, I review literature and classify genes as part of my daily workflow")</f>
        <v>Yes, I review literature and classify genes as part of my daily workflow</v>
      </c>
      <c r="AN10" s="183" t="str">
        <f>IFERROR(__xludf.DUMMYFUNCTION("QUERY('Volunteer Survey'!O9)"),"No")</f>
        <v>No</v>
      </c>
      <c r="AO10" s="183" t="str">
        <f>IFERROR(__xludf.DUMMYFUNCTION("QUERY('Volunteer Survey'!P9)"),"")</f>
        <v/>
      </c>
    </row>
    <row r="11">
      <c r="A11" s="50">
        <f>IFERROR(__xludf.DUMMYFUNCTION("QUERY('Volunteer Survey'!A11)"),43452.62491731482)</f>
        <v>43452.62492</v>
      </c>
      <c r="B11" s="48" t="s">
        <v>108</v>
      </c>
      <c r="C11" s="53"/>
      <c r="D11" s="65">
        <v>43678.0</v>
      </c>
      <c r="E11" s="48" t="s">
        <v>117</v>
      </c>
      <c r="F11" s="48" t="s">
        <v>130</v>
      </c>
      <c r="G11" s="48" t="s">
        <v>19</v>
      </c>
      <c r="H11" s="69"/>
      <c r="I11" s="69" t="s">
        <v>139</v>
      </c>
      <c r="J11" s="55"/>
      <c r="K11" s="55"/>
      <c r="L11" s="55" t="str">
        <f>IFERROR(__xludf.DUMMYFUNCTION("QUERY('Volunteer Survey'!B11)"),"Juan Carlos Diaz ")</f>
        <v>Juan Carlos Diaz </v>
      </c>
      <c r="M11" s="55" t="str">
        <f>IFERROR(__xludf.DUMMYFUNCTION("QUERY('Volunteer Survey'!E11)"),"cuallijuan@hotmail.com ")</f>
        <v>cuallijuan@hotmail.com </v>
      </c>
      <c r="N11" s="55" t="str">
        <f>IFERROR(__xludf.DUMMYFUNCTION("QUERY('Volunteer Survey'!F11)"),"Scientific Researcher")</f>
        <v>Scientific Researcher</v>
      </c>
      <c r="O11" s="48" t="str">
        <f>IFERROR(__xludf.DUMMYFUNCTION("QUERY('Volunteer Survey'!H11)"),"Comprehensive")</f>
        <v>Comprehensive</v>
      </c>
      <c r="P11" s="55" t="str">
        <f>IFERROR(__xludf.DUMMYFUNCTION("QUERY('Volunteer Survey'!I11)"),"Clinical Actionability")</f>
        <v>Clinical Actionability</v>
      </c>
      <c r="Q11" s="60" t="str">
        <f>IFERROR(__xludf.DUMMYFUNCTION("QUERY('Volunteer Survey'!J11)"),"Dosage Sensitivity")</f>
        <v>Dosage Sensitivity</v>
      </c>
      <c r="R11" s="55" t="str">
        <f>IFERROR(__xludf.DUMMYFUNCTION("QUERY('Volunteer Survey'!K11)"),"Somatic Cancer")</f>
        <v>Somatic Cancer</v>
      </c>
      <c r="S11" s="55" t="str">
        <f>IFERROR(__xludf.DUMMYFUNCTION("QUERY('Volunteer Survey'!L11)"),"Gene-Disease Validity")</f>
        <v>Gene-Disease Validity</v>
      </c>
      <c r="T11" s="55" t="str">
        <f>IFERROR(__xludf.DUMMYFUNCTION("QUERY('Volunteer Survey'!M11)"),"Variant Pathogenicity")</f>
        <v>Variant Pathogenicity</v>
      </c>
      <c r="U11" s="64" t="str">
        <f>IFERROR(__xludf.DUMMYFUNCTION("QUERY('Volunteer Survey'!N11)"),"No ")</f>
        <v>No </v>
      </c>
      <c r="V11" s="55" t="str">
        <f>IFERROR(__xludf.DUMMYFUNCTION("QUERY('Volunteer Survey'!O11)"),"Yes")</f>
        <v>Yes</v>
      </c>
      <c r="W11" s="66" t="str">
        <f>IFERROR(__xludf.DUMMYFUNCTION("QUERY('Volunteer Survey'!P11)"),"Gene Curation Expert Panels")</f>
        <v>Gene Curation Expert Panels</v>
      </c>
      <c r="X11" s="64" t="str">
        <f>IFERROR(__xludf.DUMMYFUNCTION("QUERY('Volunteer Survey'!R11)"),"Yes- I am willing to volunteer with any available ClinGen group")</f>
        <v>Yes- I am willing to volunteer with any available ClinGen group</v>
      </c>
      <c r="Y11" s="53"/>
      <c r="Z11" s="182">
        <f>IFERROR(__xludf.DUMMYFUNCTION("QUERY('Volunteer Survey'!A10)"),43452.621421400465)</f>
        <v>43452.62142</v>
      </c>
      <c r="AA11" s="183" t="str">
        <f>IFERROR(__xludf.DUMMYFUNCTION("QUERY('Volunteer Survey'!B10)"),"Juan Carlos Diaz ")</f>
        <v>Juan Carlos Diaz </v>
      </c>
      <c r="AB11" s="183" t="str">
        <f>IFERROR(__xludf.DUMMYFUNCTION("QUERY('Volunteer Survey'!C10)"),"looking for a postdoc ")</f>
        <v>looking for a postdoc </v>
      </c>
      <c r="AC11" s="183" t="str">
        <f>IFERROR(__xludf.DUMMYFUNCTION("QUERY('Volunteer Survey'!D10)"),"80 Behr apt 301 San Francisco, CA. Zip 94131")</f>
        <v>80 Behr apt 301 San Francisco, CA. Zip 94131</v>
      </c>
      <c r="AD11" s="183" t="str">
        <f>IFERROR(__xludf.DUMMYFUNCTION("QUERY('Volunteer Survey'!E10)"),"cuallijuan@hotmail.com ")</f>
        <v>cuallijuan@hotmail.com </v>
      </c>
      <c r="AE11" s="183" t="str">
        <f>IFERROR(__xludf.DUMMYFUNCTION("QUERY('Volunteer Survey'!F10)"),"Scientific Researcher")</f>
        <v>Scientific Researcher</v>
      </c>
      <c r="AF11" s="183" t="str">
        <f>IFERROR(__xludf.DUMMYFUNCTION("QUERY('Volunteer Survey'!G10)"),"I have a PhD from Rice University in Biosciences. I found new missense mutations in the gene Vkorc1 in rodents, Mus musculus, in the USA that I am working to publish. I am really interested to work in ClinGen because I would like to keep myself updated an"&amp;"d learning. I think I can participate in the curation for anticoagulants resistant if is a plan to do that, I understand well the system and the genes involved but I don't mind helping in other gene systems. I am interested in the genes associated with ob"&amp;"esity as well. ")</f>
        <v>I have a PhD from Rice University in Biosciences. I found new missense mutations in the gene Vkorc1 in rodents, Mus musculus, in the USA that I am working to publish. I am really interested to work in ClinGen because I would like to keep myself updated and learning. I think I can participate in the curation for anticoagulants resistant if is a plan to do that, I understand well the system and the genes involved but I don't mind helping in other gene systems. I am interested in the genes associated with obesity as well. </v>
      </c>
      <c r="AG11" s="183" t="str">
        <f>IFERROR(__xludf.DUMMYFUNCTION("QUERY('Volunteer Survey'!H10)"),"Comprehensive")</f>
        <v>Comprehensive</v>
      </c>
      <c r="AH11" s="183" t="str">
        <f>IFERROR(__xludf.DUMMYFUNCTION("QUERY('Volunteer Survey'!I10)"),"Clinical Actionability")</f>
        <v>Clinical Actionability</v>
      </c>
      <c r="AI11" s="183" t="str">
        <f>IFERROR(__xludf.DUMMYFUNCTION("QUERY('Volunteer Survey'!J10)"),"Dosage Sensitivity")</f>
        <v>Dosage Sensitivity</v>
      </c>
      <c r="AJ11" s="183" t="str">
        <f>IFERROR(__xludf.DUMMYFUNCTION("QUERY('Volunteer Survey'!K10)"),"Somatic Cancer")</f>
        <v>Somatic Cancer</v>
      </c>
      <c r="AK11" s="183" t="str">
        <f>IFERROR(__xludf.DUMMYFUNCTION("QUERY('Volunteer Survey'!L10)"),"Gene-Disease Validity")</f>
        <v>Gene-Disease Validity</v>
      </c>
      <c r="AL11" s="183" t="str">
        <f>IFERROR(__xludf.DUMMYFUNCTION("QUERY('Volunteer Survey'!M10)"),"Variant Pathogenicity")</f>
        <v>Variant Pathogenicity</v>
      </c>
      <c r="AM11" s="183" t="str">
        <f>IFERROR(__xludf.DUMMYFUNCTION("QUERY('Volunteer Survey'!N10)"),"No ")</f>
        <v>No </v>
      </c>
      <c r="AN11" s="183" t="str">
        <f>IFERROR(__xludf.DUMMYFUNCTION("QUERY('Volunteer Survey'!O10)"),"Yes")</f>
        <v>Yes</v>
      </c>
      <c r="AO11" s="183" t="str">
        <f>IFERROR(__xludf.DUMMYFUNCTION("QUERY('Volunteer Survey'!P10)"),"Gene Curation Expert Panels")</f>
        <v>Gene Curation Expert Panels</v>
      </c>
    </row>
    <row r="12">
      <c r="A12" s="50">
        <f>IFERROR(__xludf.DUMMYFUNCTION("QUERY('Volunteer Survey'!A12)"),43453.176856516206)</f>
        <v>43453.17686</v>
      </c>
      <c r="B12" s="48" t="s">
        <v>108</v>
      </c>
      <c r="C12" s="53"/>
      <c r="D12" s="55"/>
      <c r="E12" s="48" t="s">
        <v>130</v>
      </c>
      <c r="F12" s="48" t="s">
        <v>130</v>
      </c>
      <c r="G12" s="48" t="s">
        <v>202</v>
      </c>
      <c r="H12" s="53"/>
      <c r="I12" s="51" t="s">
        <v>139</v>
      </c>
      <c r="J12" s="55"/>
      <c r="K12" s="55"/>
      <c r="L12" s="55" t="str">
        <f>IFERROR(__xludf.DUMMYFUNCTION("QUERY('Volunteer Survey'!B12)"),"Indu Raja")</f>
        <v>Indu Raja</v>
      </c>
      <c r="M12" s="55" t="str">
        <f>IFERROR(__xludf.DUMMYFUNCTION("QUERY('Volunteer Survey'!E12)"),"indudraja@gmail.com")</f>
        <v>indudraja@gmail.com</v>
      </c>
      <c r="N12" s="55" t="str">
        <f>IFERROR(__xludf.DUMMYFUNCTION("QUERY('Volunteer Survey'!F12)"),"laboratory technologist")</f>
        <v>laboratory technologist</v>
      </c>
      <c r="O12" s="48" t="str">
        <f>IFERROR(__xludf.DUMMYFUNCTION("QUERY('Volunteer Survey'!H12)"),"Baseline")</f>
        <v>Baseline</v>
      </c>
      <c r="P12" s="55" t="str">
        <f>IFERROR(__xludf.DUMMYFUNCTION("QUERY('Volunteer Survey'!I12)"),"Clinical Actionability")</f>
        <v>Clinical Actionability</v>
      </c>
      <c r="Q12" s="60" t="str">
        <f>IFERROR(__xludf.DUMMYFUNCTION("QUERY('Volunteer Survey'!J12)"),"Variant Pathogenicity")</f>
        <v>Variant Pathogenicity</v>
      </c>
      <c r="R12" s="55" t="str">
        <f>IFERROR(__xludf.DUMMYFUNCTION("QUERY('Volunteer Survey'!K12)"),"Dosage Sensitivity")</f>
        <v>Dosage Sensitivity</v>
      </c>
      <c r="S12" s="55" t="str">
        <f>IFERROR(__xludf.DUMMYFUNCTION("QUERY('Volunteer Survey'!L12)"),"Gene-Disease Validity")</f>
        <v>Gene-Disease Validity</v>
      </c>
      <c r="T12" s="55" t="str">
        <f>IFERROR(__xludf.DUMMYFUNCTION("QUERY('Volunteer Survey'!M12)"),"")</f>
        <v/>
      </c>
      <c r="U12" s="64" t="str">
        <f>IFERROR(__xludf.DUMMYFUNCTION("QUERY('Volunteer Survey'!N12)"),"No")</f>
        <v>No</v>
      </c>
      <c r="V12" s="55" t="str">
        <f>IFERROR(__xludf.DUMMYFUNCTION("QUERY('Volunteer Survey'!O12)"),"Possibly")</f>
        <v>Possibly</v>
      </c>
      <c r="W12" s="66" t="str">
        <f>IFERROR(__xludf.DUMMYFUNCTION("QUERY('Volunteer Survey'!P12)"),"")</f>
        <v/>
      </c>
      <c r="X12" s="64" t="str">
        <f>IFERROR(__xludf.DUMMYFUNCTION("QUERY('Volunteer Survey'!R12)"),"Maybe -- please contact me with other options, and I will decide based on what is available")</f>
        <v>Maybe -- please contact me with other options, and I will decide based on what is available</v>
      </c>
      <c r="Y12" s="53"/>
      <c r="Z12" s="182">
        <f>IFERROR(__xludf.DUMMYFUNCTION("QUERY('Volunteer Survey'!A11)"),43452.62491731482)</f>
        <v>43452.62492</v>
      </c>
      <c r="AA12" s="183" t="str">
        <f>IFERROR(__xludf.DUMMYFUNCTION("QUERY('Volunteer Survey'!B11)"),"Juan Carlos Diaz ")</f>
        <v>Juan Carlos Diaz </v>
      </c>
      <c r="AB12" s="183" t="str">
        <f>IFERROR(__xludf.DUMMYFUNCTION("QUERY('Volunteer Survey'!C11)"),"looking for a postdoc ")</f>
        <v>looking for a postdoc </v>
      </c>
      <c r="AC12" s="183" t="str">
        <f>IFERROR(__xludf.DUMMYFUNCTION("QUERY('Volunteer Survey'!D11)"),"80 Behr apt 301 San Francisco, CA. Zip 94131")</f>
        <v>80 Behr apt 301 San Francisco, CA. Zip 94131</v>
      </c>
      <c r="AD12" s="183" t="str">
        <f>IFERROR(__xludf.DUMMYFUNCTION("QUERY('Volunteer Survey'!E11)"),"cuallijuan@hotmail.com ")</f>
        <v>cuallijuan@hotmail.com </v>
      </c>
      <c r="AE12" s="183" t="str">
        <f>IFERROR(__xludf.DUMMYFUNCTION("QUERY('Volunteer Survey'!F11)"),"Scientific Researcher")</f>
        <v>Scientific Researcher</v>
      </c>
      <c r="AF12" s="183" t="str">
        <f>IFERROR(__xludf.DUMMYFUNCTION("QUERY('Volunteer Survey'!G11)"),"I have a PhD from Rice University in Biosciences. I found new missense mutations in the gene Vkorc1 in rodents, Mus musculus, in the USA that I am working to publish. I am really interested to work in ClinGen because I would like to keep myself updated an"&amp;"d learning. I think I can participate in the curation for anticoagulants resistant if is a plan to do that, I understand well the system and the genes involved but I don't mind helping in other gene systems. I am interested in the genes associated with ob"&amp;"esity as well. ")</f>
        <v>I have a PhD from Rice University in Biosciences. I found new missense mutations in the gene Vkorc1 in rodents, Mus musculus, in the USA that I am working to publish. I am really interested to work in ClinGen because I would like to keep myself updated and learning. I think I can participate in the curation for anticoagulants resistant if is a plan to do that, I understand well the system and the genes involved but I don't mind helping in other gene systems. I am interested in the genes associated with obesity as well. </v>
      </c>
      <c r="AG12" s="183" t="str">
        <f>IFERROR(__xludf.DUMMYFUNCTION("QUERY('Volunteer Survey'!H11)"),"Comprehensive")</f>
        <v>Comprehensive</v>
      </c>
      <c r="AH12" s="183" t="str">
        <f>IFERROR(__xludf.DUMMYFUNCTION("QUERY('Volunteer Survey'!I11)"),"Clinical Actionability")</f>
        <v>Clinical Actionability</v>
      </c>
      <c r="AI12" s="183" t="str">
        <f>IFERROR(__xludf.DUMMYFUNCTION("QUERY('Volunteer Survey'!J11)"),"Dosage Sensitivity")</f>
        <v>Dosage Sensitivity</v>
      </c>
      <c r="AJ12" s="183" t="str">
        <f>IFERROR(__xludf.DUMMYFUNCTION("QUERY('Volunteer Survey'!K11)"),"Somatic Cancer")</f>
        <v>Somatic Cancer</v>
      </c>
      <c r="AK12" s="183" t="str">
        <f>IFERROR(__xludf.DUMMYFUNCTION("QUERY('Volunteer Survey'!L11)"),"Gene-Disease Validity")</f>
        <v>Gene-Disease Validity</v>
      </c>
      <c r="AL12" s="183" t="str">
        <f>IFERROR(__xludf.DUMMYFUNCTION("QUERY('Volunteer Survey'!M11)"),"Variant Pathogenicity")</f>
        <v>Variant Pathogenicity</v>
      </c>
      <c r="AM12" s="183" t="str">
        <f>IFERROR(__xludf.DUMMYFUNCTION("QUERY('Volunteer Survey'!N11)"),"No ")</f>
        <v>No </v>
      </c>
      <c r="AN12" s="183" t="str">
        <f>IFERROR(__xludf.DUMMYFUNCTION("QUERY('Volunteer Survey'!O11)"),"Yes")</f>
        <v>Yes</v>
      </c>
      <c r="AO12" s="183" t="str">
        <f>IFERROR(__xludf.DUMMYFUNCTION("QUERY('Volunteer Survey'!P11)"),"Gene Curation Expert Panels")</f>
        <v>Gene Curation Expert Panels</v>
      </c>
    </row>
    <row r="13">
      <c r="A13" s="50">
        <f>IFERROR(__xludf.DUMMYFUNCTION("QUERY('Volunteer Survey'!A13)"),43453.554362870374)</f>
        <v>43453.55436</v>
      </c>
      <c r="B13" s="48" t="s">
        <v>108</v>
      </c>
      <c r="C13" s="53"/>
      <c r="D13" s="65">
        <v>43570.0</v>
      </c>
      <c r="E13" s="48" t="s">
        <v>117</v>
      </c>
      <c r="F13" s="48" t="s">
        <v>117</v>
      </c>
      <c r="G13" s="48" t="s">
        <v>122</v>
      </c>
      <c r="H13" s="51" t="s">
        <v>173</v>
      </c>
      <c r="I13" s="51" t="s">
        <v>299</v>
      </c>
      <c r="J13" s="56">
        <v>43712.0</v>
      </c>
      <c r="K13" s="56"/>
      <c r="L13" s="55" t="str">
        <f>IFERROR(__xludf.DUMMYFUNCTION("QUERY('Volunteer Survey'!B13)"),"Tomohiko Ai")</f>
        <v>Tomohiko Ai</v>
      </c>
      <c r="M13" s="55" t="str">
        <f>IFERROR(__xludf.DUMMYFUNCTION("QUERY('Volunteer Survey'!E13)"),"Tomohiko.Ai@osumc.edu")</f>
        <v>Tomohiko.Ai@osumc.edu</v>
      </c>
      <c r="N13" s="55" t="str">
        <f>IFERROR(__xludf.DUMMYFUNCTION("QUERY('Volunteer Survey'!F13)"),"Scientific Researcher")</f>
        <v>Scientific Researcher</v>
      </c>
      <c r="O13" s="48" t="str">
        <f>IFERROR(__xludf.DUMMYFUNCTION("QUERY('Volunteer Survey'!H13)"),"Comprehensive")</f>
        <v>Comprehensive</v>
      </c>
      <c r="P13" s="55" t="str">
        <f>IFERROR(__xludf.DUMMYFUNCTION("QUERY('Volunteer Survey'!I13)"),"Gene-Disease Validity")</f>
        <v>Gene-Disease Validity</v>
      </c>
      <c r="Q13" s="60" t="str">
        <f>IFERROR(__xludf.DUMMYFUNCTION("QUERY('Volunteer Survey'!J13)"),"Variant Pathogenicity")</f>
        <v>Variant Pathogenicity</v>
      </c>
      <c r="R13" s="55" t="str">
        <f>IFERROR(__xludf.DUMMYFUNCTION("QUERY('Volunteer Survey'!K13)"),"")</f>
        <v/>
      </c>
      <c r="S13" s="55" t="str">
        <f>IFERROR(__xludf.DUMMYFUNCTION("QUERY('Volunteer Survey'!L13)"),"")</f>
        <v/>
      </c>
      <c r="T13" s="55" t="str">
        <f>IFERROR(__xludf.DUMMYFUNCTION("QUERY('Volunteer Survey'!M13)"),"")</f>
        <v/>
      </c>
      <c r="U13" s="64" t="str">
        <f>IFERROR(__xludf.DUMMYFUNCTION("QUERY('Volunteer Survey'!N13)"),"I have experiences with variant pathogenicity.")</f>
        <v>I have experiences with variant pathogenicity.</v>
      </c>
      <c r="V13" s="55" t="str">
        <f>IFERROR(__xludf.DUMMYFUNCTION("QUERY('Volunteer Survey'!O13)"),"Possibly")</f>
        <v>Possibly</v>
      </c>
      <c r="W13" s="66" t="str">
        <f>IFERROR(__xludf.DUMMYFUNCTION("QUERY('Volunteer Survey'!P13)"),"Cardiovascular")</f>
        <v>Cardiovascular</v>
      </c>
      <c r="X13" s="64" t="str">
        <f>IFERROR(__xludf.DUMMYFUNCTION("QUERY('Volunteer Survey'!R13)"),"Maybe -- please contact me with other options, and I will decide based on what is available")</f>
        <v>Maybe -- please contact me with other options, and I will decide based on what is available</v>
      </c>
      <c r="Y13" s="53"/>
      <c r="Z13" s="182">
        <f>IFERROR(__xludf.DUMMYFUNCTION("QUERY('Volunteer Survey'!A12)"),43453.176856516206)</f>
        <v>43453.17686</v>
      </c>
      <c r="AA13" s="183" t="str">
        <f>IFERROR(__xludf.DUMMYFUNCTION("QUERY('Volunteer Survey'!B12)"),"Indu Raja")</f>
        <v>Indu Raja</v>
      </c>
      <c r="AB13" s="183" t="str">
        <f>IFERROR(__xludf.DUMMYFUNCTION("QUERY('Volunteer Survey'!C12)"),"Sidra Medicine")</f>
        <v>Sidra Medicine</v>
      </c>
      <c r="AC13" s="183" t="str">
        <f>IFERROR(__xludf.DUMMYFUNCTION("QUERY('Volunteer Survey'!D12)"),"")</f>
        <v/>
      </c>
      <c r="AD13" s="183" t="str">
        <f>IFERROR(__xludf.DUMMYFUNCTION("QUERY('Volunteer Survey'!E12)"),"indudraja@gmail.com")</f>
        <v>indudraja@gmail.com</v>
      </c>
      <c r="AE13" s="183" t="str">
        <f>IFERROR(__xludf.DUMMYFUNCTION("QUERY('Volunteer Survey'!F12)"),"laboratory technologist")</f>
        <v>laboratory technologist</v>
      </c>
      <c r="AF13" s="183" t="str">
        <f>IFERROR(__xludf.DUMMYFUNCTION("QUERY('Volunteer Survey'!G12)"),"ClinGen Genome Dosage resources are used by our lab for microarray data analysis. As there is an explosion of big data with newer technologies and research, it is imperative that this information be translated into a clinical setting in a meaningful way, "&amp;"hence I would be interested in doing my part in curation and making the data publicly available. Neurodevelopmental disorders/ASD/leukemia's are some of my areas of interest.")</f>
        <v>ClinGen Genome Dosage resources are used by our lab for microarray data analysis. As there is an explosion of big data with newer technologies and research, it is imperative that this information be translated into a clinical setting in a meaningful way, hence I would be interested in doing my part in curation and making the data publicly available. Neurodevelopmental disorders/ASD/leukemia's are some of my areas of interest.</v>
      </c>
      <c r="AG13" s="183" t="str">
        <f>IFERROR(__xludf.DUMMYFUNCTION("QUERY('Volunteer Survey'!H12)"),"Baseline")</f>
        <v>Baseline</v>
      </c>
      <c r="AH13" s="183" t="str">
        <f>IFERROR(__xludf.DUMMYFUNCTION("QUERY('Volunteer Survey'!I12)"),"Clinical Actionability")</f>
        <v>Clinical Actionability</v>
      </c>
      <c r="AI13" s="183" t="str">
        <f>IFERROR(__xludf.DUMMYFUNCTION("QUERY('Volunteer Survey'!J12)"),"Variant Pathogenicity")</f>
        <v>Variant Pathogenicity</v>
      </c>
      <c r="AJ13" s="183" t="str">
        <f>IFERROR(__xludf.DUMMYFUNCTION("QUERY('Volunteer Survey'!K12)"),"Dosage Sensitivity")</f>
        <v>Dosage Sensitivity</v>
      </c>
      <c r="AK13" s="183" t="str">
        <f>IFERROR(__xludf.DUMMYFUNCTION("QUERY('Volunteer Survey'!L12)"),"Gene-Disease Validity")</f>
        <v>Gene-Disease Validity</v>
      </c>
      <c r="AL13" s="183" t="str">
        <f>IFERROR(__xludf.DUMMYFUNCTION("QUERY('Volunteer Survey'!M12)"),"")</f>
        <v/>
      </c>
      <c r="AM13" s="183" t="str">
        <f>IFERROR(__xludf.DUMMYFUNCTION("QUERY('Volunteer Survey'!N12)"),"No")</f>
        <v>No</v>
      </c>
      <c r="AN13" s="183" t="str">
        <f>IFERROR(__xludf.DUMMYFUNCTION("QUERY('Volunteer Survey'!O12)"),"Possibly")</f>
        <v>Possibly</v>
      </c>
      <c r="AO13" s="183" t="str">
        <f>IFERROR(__xludf.DUMMYFUNCTION("QUERY('Volunteer Survey'!P12)"),"")</f>
        <v/>
      </c>
    </row>
    <row r="14">
      <c r="A14" s="50">
        <f>IFERROR(__xludf.DUMMYFUNCTION("QUERY('Volunteer Survey'!A14)"),43404.87436342593)</f>
        <v>43404.87436</v>
      </c>
      <c r="B14" s="48" t="s">
        <v>168</v>
      </c>
      <c r="C14" s="79">
        <v>43474.0</v>
      </c>
      <c r="D14" s="49">
        <v>43476.0</v>
      </c>
      <c r="E14" s="48" t="s">
        <v>117</v>
      </c>
      <c r="F14" s="48" t="s">
        <v>130</v>
      </c>
      <c r="G14" s="48" t="s">
        <v>136</v>
      </c>
      <c r="H14" s="51" t="s">
        <v>179</v>
      </c>
      <c r="I14" s="51" t="s">
        <v>139</v>
      </c>
      <c r="J14" s="56">
        <v>43592.0</v>
      </c>
      <c r="K14" s="48" t="s">
        <v>300</v>
      </c>
      <c r="L14" s="55" t="str">
        <f>IFERROR(__xludf.DUMMYFUNCTION("QUERY('Volunteer Survey'!B14)"),"Rajavarman Kittu")</f>
        <v>Rajavarman Kittu</v>
      </c>
      <c r="M14" s="55" t="str">
        <f>IFERROR(__xludf.DUMMYFUNCTION("QUERY('Volunteer Survey'!E14)"),"rajavarman21@gmail.com")</f>
        <v>rajavarman21@gmail.com</v>
      </c>
      <c r="N14" s="55" t="str">
        <f>IFERROR(__xludf.DUMMYFUNCTION("QUERY('Volunteer Survey'!F14)"),"Variant Analyst/Scientist")</f>
        <v>Variant Analyst/Scientist</v>
      </c>
      <c r="O14" s="48" t="str">
        <f>IFERROR(__xludf.DUMMYFUNCTION("QUERY('Volunteer Survey'!H14)"),"Comprehensive")</f>
        <v>Comprehensive</v>
      </c>
      <c r="P14" s="48" t="s">
        <v>136</v>
      </c>
      <c r="Q14" s="81" t="s">
        <v>251</v>
      </c>
      <c r="R14" s="55" t="str">
        <f>IFERROR(__xludf.DUMMYFUNCTION("QUERY('Volunteer Survey'!K14)"),"Clinical Actionability")</f>
        <v>Clinical Actionability</v>
      </c>
      <c r="S14" s="55" t="str">
        <f>IFERROR(__xludf.DUMMYFUNCTION("QUERY('Volunteer Survey'!L14)"),"Gene-Disease Validity")</f>
        <v>Gene-Disease Validity</v>
      </c>
      <c r="T14" s="55" t="str">
        <f>IFERROR(__xludf.DUMMYFUNCTION("QUERY('Volunteer Survey'!M14)"),"Dosage Sensitivity")</f>
        <v>Dosage Sensitivity</v>
      </c>
      <c r="U14" s="64" t="str">
        <f>IFERROR(__xludf.DUMMYFUNCTION("QUERY('Volunteer Survey'!N14)"),"Yea being variant analyst I'm doing curation in and out before reporting any patient observed in patient")</f>
        <v>Yea being variant analyst I'm doing curation in and out before reporting any patient observed in patient</v>
      </c>
      <c r="V14" s="55" t="str">
        <f>IFERROR(__xludf.DUMMYFUNCTION("QUERY('Volunteer Survey'!O14)"),"Possibly")</f>
        <v>Possibly</v>
      </c>
      <c r="W14" s="66" t="str">
        <f>IFERROR(__xludf.DUMMYFUNCTION("QUERY('Volunteer Survey'!P14)"),"As mentioned above in the table( ranking) i prefer to contribute. if that is not possible i would like to be any ClinGen Expert Panel/Working Group where there is need for help.")</f>
        <v>As mentioned above in the table( ranking) i prefer to contribute. if that is not possible i would like to be any ClinGen Expert Panel/Working Group where there is need for help.</v>
      </c>
      <c r="X14" s="64" t="str">
        <f>IFERROR(__xludf.DUMMYFUNCTION("QUERY('Volunteer Survey'!R14)"),"Yes- I am willing to volunteer with any available ClinGen group")</f>
        <v>Yes- I am willing to volunteer with any available ClinGen group</v>
      </c>
      <c r="Y14" s="80" t="s">
        <v>301</v>
      </c>
      <c r="Z14" s="182">
        <f>IFERROR(__xludf.DUMMYFUNCTION("QUERY('Volunteer Survey'!A13)"),43453.554362870374)</f>
        <v>43453.55436</v>
      </c>
      <c r="AA14" s="183" t="str">
        <f>IFERROR(__xludf.DUMMYFUNCTION("QUERY('Volunteer Survey'!B13)"),"Tomohiko Ai")</f>
        <v>Tomohiko Ai</v>
      </c>
      <c r="AB14" s="183" t="str">
        <f>IFERROR(__xludf.DUMMYFUNCTION("QUERY('Volunteer Survey'!C13)"),"Ohio State University")</f>
        <v>Ohio State University</v>
      </c>
      <c r="AC14" s="183" t="str">
        <f>IFERROR(__xludf.DUMMYFUNCTION("QUERY('Volunteer Survey'!D13)"),"336 BRT W. 12 Ave. Columbus, Ohio 43210")</f>
        <v>336 BRT W. 12 Ave. Columbus, Ohio 43210</v>
      </c>
      <c r="AD14" s="183" t="str">
        <f>IFERROR(__xludf.DUMMYFUNCTION("QUERY('Volunteer Survey'!E13)"),"Tomohiko.Ai@osumc.edu")</f>
        <v>Tomohiko.Ai@osumc.edu</v>
      </c>
      <c r="AE14" s="183" t="str">
        <f>IFERROR(__xludf.DUMMYFUNCTION("QUERY('Volunteer Survey'!F13)"),"Scientific Researcher")</f>
        <v>Scientific Researcher</v>
      </c>
      <c r="AF14" s="183" t="str">
        <f>IFERROR(__xludf.DUMMYFUNCTION("QUERY('Volunteer Survey'!G13)"),"I have been adjudicating variants of DCM at Ohio State University. I have been performing translational research in cardiovascular medicine. I am interested in underling molecular mechanisms of cardiomayopathy and arrhythmias.")</f>
        <v>I have been adjudicating variants of DCM at Ohio State University. I have been performing translational research in cardiovascular medicine. I am interested in underling molecular mechanisms of cardiomayopathy and arrhythmias.</v>
      </c>
      <c r="AG14" s="183" t="str">
        <f>IFERROR(__xludf.DUMMYFUNCTION("QUERY('Volunteer Survey'!H13)"),"Comprehensive")</f>
        <v>Comprehensive</v>
      </c>
      <c r="AH14" s="183" t="str">
        <f>IFERROR(__xludf.DUMMYFUNCTION("QUERY('Volunteer Survey'!I13)"),"Gene-Disease Validity")</f>
        <v>Gene-Disease Validity</v>
      </c>
      <c r="AI14" s="183" t="str">
        <f>IFERROR(__xludf.DUMMYFUNCTION("QUERY('Volunteer Survey'!J13)"),"Variant Pathogenicity")</f>
        <v>Variant Pathogenicity</v>
      </c>
      <c r="AJ14" s="183" t="str">
        <f>IFERROR(__xludf.DUMMYFUNCTION("QUERY('Volunteer Survey'!K13)"),"")</f>
        <v/>
      </c>
      <c r="AK14" s="183" t="str">
        <f>IFERROR(__xludf.DUMMYFUNCTION("QUERY('Volunteer Survey'!L13)"),"")</f>
        <v/>
      </c>
      <c r="AL14" s="183" t="str">
        <f>IFERROR(__xludf.DUMMYFUNCTION("QUERY('Volunteer Survey'!M13)"),"")</f>
        <v/>
      </c>
      <c r="AM14" s="183" t="str">
        <f>IFERROR(__xludf.DUMMYFUNCTION("QUERY('Volunteer Survey'!N13)"),"I have experiences with variant pathogenicity.")</f>
        <v>I have experiences with variant pathogenicity.</v>
      </c>
      <c r="AN14" s="183" t="str">
        <f>IFERROR(__xludf.DUMMYFUNCTION("QUERY('Volunteer Survey'!O13)"),"Possibly")</f>
        <v>Possibly</v>
      </c>
      <c r="AO14" s="183" t="str">
        <f>IFERROR(__xludf.DUMMYFUNCTION("QUERY('Volunteer Survey'!P13)"),"Cardiovascular")</f>
        <v>Cardiovascular</v>
      </c>
    </row>
    <row r="15">
      <c r="A15" s="50">
        <f>IFERROR(__xludf.DUMMYFUNCTION("QUERY('Volunteer Survey'!A15)"),43454.651333263886)</f>
        <v>43454.65133</v>
      </c>
      <c r="B15" s="48" t="s">
        <v>108</v>
      </c>
      <c r="C15" s="53"/>
      <c r="D15" s="65">
        <v>43678.0</v>
      </c>
      <c r="E15" s="48" t="s">
        <v>117</v>
      </c>
      <c r="F15" s="48" t="s">
        <v>130</v>
      </c>
      <c r="G15" s="48" t="s">
        <v>19</v>
      </c>
      <c r="H15" s="69"/>
      <c r="I15" s="69" t="s">
        <v>139</v>
      </c>
      <c r="J15" s="55"/>
      <c r="K15" s="55"/>
      <c r="L15" s="55" t="str">
        <f>IFERROR(__xludf.DUMMYFUNCTION("QUERY('Volunteer Survey'!B15)"),"Rhea Vallente")</f>
        <v>Rhea Vallente</v>
      </c>
      <c r="M15" s="55" t="str">
        <f>IFERROR(__xludf.DUMMYFUNCTION("QUERY('Volunteer Survey'!E15)"),"rvallente@fulgentgenetics.com")</f>
        <v>rvallente@fulgentgenetics.com</v>
      </c>
      <c r="N15" s="55" t="str">
        <f>IFERROR(__xludf.DUMMYFUNCTION("QUERY('Volunteer Survey'!F15)"),"Variant Analyst/Scientist")</f>
        <v>Variant Analyst/Scientist</v>
      </c>
      <c r="O15" s="48" t="str">
        <f>IFERROR(__xludf.DUMMYFUNCTION("QUERY('Volunteer Survey'!H15)"),"Comprehensive")</f>
        <v>Comprehensive</v>
      </c>
      <c r="P15" s="55" t="str">
        <f>IFERROR(__xludf.DUMMYFUNCTION("QUERY('Volunteer Survey'!I15)"),"Clinical Actionability")</f>
        <v>Clinical Actionability</v>
      </c>
      <c r="Q15" s="60" t="str">
        <f>IFERROR(__xludf.DUMMYFUNCTION("QUERY('Volunteer Survey'!J15)"),"Gene-Disease Validity")</f>
        <v>Gene-Disease Validity</v>
      </c>
      <c r="R15" s="55" t="str">
        <f>IFERROR(__xludf.DUMMYFUNCTION("QUERY('Volunteer Survey'!K15)"),"Variant Pathogenicity")</f>
        <v>Variant Pathogenicity</v>
      </c>
      <c r="S15" s="55" t="str">
        <f>IFERROR(__xludf.DUMMYFUNCTION("QUERY('Volunteer Survey'!L15)"),"Dosage Sensitivity")</f>
        <v>Dosage Sensitivity</v>
      </c>
      <c r="T15" s="55" t="str">
        <f>IFERROR(__xludf.DUMMYFUNCTION("QUERY('Volunteer Survey'!M15)"),"Somatic Cancer")</f>
        <v>Somatic Cancer</v>
      </c>
      <c r="U15" s="64" t="str">
        <f>IFERROR(__xludf.DUMMYFUNCTION("QUERY('Volunteer Survey'!N15)"),"Yes. I have been curating variants for five years, starting at PreventionGenetics, then I moved to EGL Genetics, and now I'm working for Fulgent Genetics.")</f>
        <v>Yes. I have been curating variants for five years, starting at PreventionGenetics, then I moved to EGL Genetics, and now I'm working for Fulgent Genetics.</v>
      </c>
      <c r="V15" s="55" t="str">
        <f>IFERROR(__xludf.DUMMYFUNCTION("QUERY('Volunteer Survey'!O15)"),"Yes")</f>
        <v>Yes</v>
      </c>
      <c r="W15" s="66" t="str">
        <f>IFERROR(__xludf.DUMMYFUNCTION("QUERY('Volunteer Survey'!P15)"),"Hearing loss")</f>
        <v>Hearing loss</v>
      </c>
      <c r="X15" s="64" t="str">
        <f>IFERROR(__xludf.DUMMYFUNCTION("QUERY('Volunteer Survey'!R15)"),"Yes- I am willing to volunteer with any available ClinGen group")</f>
        <v>Yes- I am willing to volunteer with any available ClinGen group</v>
      </c>
      <c r="Y15" s="53"/>
      <c r="Z15" s="182">
        <f>IFERROR(__xludf.DUMMYFUNCTION("QUERY('Volunteer Survey'!A14)"),43404.87436342593)</f>
        <v>43404.87436</v>
      </c>
      <c r="AA15" s="183" t="str">
        <f>IFERROR(__xludf.DUMMYFUNCTION("QUERY('Volunteer Survey'!B14)"),"Rajavarman Kittu")</f>
        <v>Rajavarman Kittu</v>
      </c>
      <c r="AB15" s="183" t="str">
        <f>IFERROR(__xludf.DUMMYFUNCTION("QUERY('Volunteer Survey'!C14)"),"kokilaben dhirubhai ambani hospital and medical research centre")</f>
        <v>kokilaben dhirubhai ambani hospital and medical research centre</v>
      </c>
      <c r="AC15" s="183" t="str">
        <f>IFERROR(__xludf.DUMMYFUNCTION("QUERY('Volunteer Survey'!D14)"),"Four Bungalows, Andheri West, Mumbai, Maharashtra, India 400053")</f>
        <v>Four Bungalows, Andheri West, Mumbai, Maharashtra, India 400053</v>
      </c>
      <c r="AD15" s="183" t="str">
        <f>IFERROR(__xludf.DUMMYFUNCTION("QUERY('Volunteer Survey'!E14)"),"rajavarman21@gmail.com")</f>
        <v>rajavarman21@gmail.com</v>
      </c>
      <c r="AE15" s="183" t="str">
        <f>IFERROR(__xludf.DUMMYFUNCTION("QUERY('Volunteer Survey'!F14)"),"Variant Analyst/Scientist")</f>
        <v>Variant Analyst/Scientist</v>
      </c>
      <c r="AF15" s="183" t="str">
        <f>IFERROR(__xludf.DUMMYFUNCTION("QUERY('Volunteer Survey'!G14)"),"when i attended the webinar meeting realised there are bunch of interesting people working behind clingen. My passion is to work in clinical genomics space.Also, I strongly believe   my contributing  to ClinGen would  help the clingen database to improve "&amp;"better at the same time, my knowledge and understanding over the variant interpretation skills will also get improve.So considering the mutual benefits i would like to be active member of the ClinGen team and contributing as much as i can.")</f>
        <v>when i attended the webinar meeting realised there are bunch of interesting people working behind clingen. My passion is to work in clinical genomics space.Also, I strongly believe   my contributing  to ClinGen would  help the clingen database to improve better at the same time, my knowledge and understanding over the variant interpretation skills will also get improve.So considering the mutual benefits i would like to be active member of the ClinGen team and contributing as much as i can.</v>
      </c>
      <c r="AG15" s="183" t="str">
        <f>IFERROR(__xludf.DUMMYFUNCTION("QUERY('Volunteer Survey'!H14)"),"Comprehensive")</f>
        <v>Comprehensive</v>
      </c>
      <c r="AH15" s="183" t="str">
        <f>IFERROR(__xludf.DUMMYFUNCTION("QUERY('Volunteer Survey'!I14)"),"Variant Pathogenicity")</f>
        <v>Variant Pathogenicity</v>
      </c>
      <c r="AI15" s="183" t="str">
        <f>IFERROR(__xludf.DUMMYFUNCTION("QUERY('Volunteer Survey'!J14)"),"Somatic Cancer")</f>
        <v>Somatic Cancer</v>
      </c>
      <c r="AJ15" s="183" t="str">
        <f>IFERROR(__xludf.DUMMYFUNCTION("QUERY('Volunteer Survey'!K14)"),"Clinical Actionability")</f>
        <v>Clinical Actionability</v>
      </c>
      <c r="AK15" s="183" t="str">
        <f>IFERROR(__xludf.DUMMYFUNCTION("QUERY('Volunteer Survey'!L14)"),"Gene-Disease Validity")</f>
        <v>Gene-Disease Validity</v>
      </c>
      <c r="AL15" s="183" t="str">
        <f>IFERROR(__xludf.DUMMYFUNCTION("QUERY('Volunteer Survey'!M14)"),"Dosage Sensitivity")</f>
        <v>Dosage Sensitivity</v>
      </c>
      <c r="AM15" s="183" t="str">
        <f>IFERROR(__xludf.DUMMYFUNCTION("QUERY('Volunteer Survey'!N14)"),"Yea being variant analyst I'm doing curation in and out before reporting any patient observed in patient")</f>
        <v>Yea being variant analyst I'm doing curation in and out before reporting any patient observed in patient</v>
      </c>
      <c r="AN15" s="183" t="str">
        <f>IFERROR(__xludf.DUMMYFUNCTION("QUERY('Volunteer Survey'!O14)"),"Possibly")</f>
        <v>Possibly</v>
      </c>
      <c r="AO15" s="183" t="str">
        <f>IFERROR(__xludf.DUMMYFUNCTION("QUERY('Volunteer Survey'!P14)"),"As mentioned above in the table( ranking) i prefer to contribute. if that is not possible i would like to be any ClinGen Expert Panel/Working Group where there is need for help.")</f>
        <v>As mentioned above in the table( ranking) i prefer to contribute. if that is not possible i would like to be any ClinGen Expert Panel/Working Group where there is need for help.</v>
      </c>
    </row>
    <row r="16">
      <c r="A16" s="50">
        <f>IFERROR(__xludf.DUMMYFUNCTION("QUERY('Volunteer Survey'!A16)"),43462.7220768287)</f>
        <v>43462.72208</v>
      </c>
      <c r="B16" s="48" t="s">
        <v>125</v>
      </c>
      <c r="C16" s="53"/>
      <c r="D16" s="56">
        <v>43585.0</v>
      </c>
      <c r="E16" s="48" t="s">
        <v>117</v>
      </c>
      <c r="F16" s="48" t="s">
        <v>117</v>
      </c>
      <c r="G16" s="48" t="s">
        <v>122</v>
      </c>
      <c r="H16" s="51" t="s">
        <v>197</v>
      </c>
      <c r="I16" s="51" t="s">
        <v>139</v>
      </c>
      <c r="J16" s="56">
        <v>43712.0</v>
      </c>
      <c r="K16" s="56"/>
      <c r="L16" s="55" t="str">
        <f>IFERROR(__xludf.DUMMYFUNCTION("QUERY('Volunteer Survey'!B16)"),"Caitlin Hale")</f>
        <v>Caitlin Hale</v>
      </c>
      <c r="M16" s="55" t="str">
        <f>IFERROR(__xludf.DUMMYFUNCTION("QUERY('Volunteer Survey'!E16)"),"CHale@stanfordchildrens.org")</f>
        <v>CHale@stanfordchildrens.org</v>
      </c>
      <c r="N16" s="55" t="str">
        <f>IFERROR(__xludf.DUMMYFUNCTION("QUERY('Volunteer Survey'!F16)"),"Genetic counselor")</f>
        <v>Genetic counselor</v>
      </c>
      <c r="O16" s="48" t="str">
        <f>IFERROR(__xludf.DUMMYFUNCTION("QUERY('Volunteer Survey'!H16)"),"Comprehensive")</f>
        <v>Comprehensive</v>
      </c>
      <c r="P16" s="55" t="str">
        <f>IFERROR(__xludf.DUMMYFUNCTION("QUERY('Volunteer Survey'!I16)"),"Gene-Disease Validity")</f>
        <v>Gene-Disease Validity</v>
      </c>
      <c r="Q16" s="60" t="str">
        <f>IFERROR(__xludf.DUMMYFUNCTION("QUERY('Volunteer Survey'!J16)"),"Variant Pathogenicity")</f>
        <v>Variant Pathogenicity</v>
      </c>
      <c r="R16" s="55" t="str">
        <f>IFERROR(__xludf.DUMMYFUNCTION("QUERY('Volunteer Survey'!K16)"),"Dosage Sensitivity")</f>
        <v>Dosage Sensitivity</v>
      </c>
      <c r="S16" s="55" t="str">
        <f>IFERROR(__xludf.DUMMYFUNCTION("QUERY('Volunteer Survey'!L16)"),"Clinical Actionability")</f>
        <v>Clinical Actionability</v>
      </c>
      <c r="T16" s="55" t="str">
        <f>IFERROR(__xludf.DUMMYFUNCTION("QUERY('Volunteer Survey'!M16)"),"Somatic Cancer")</f>
        <v>Somatic Cancer</v>
      </c>
      <c r="U16" s="64" t="str">
        <f>IFERROR(__xludf.DUMMYFUNCTION("QUERY('Volunteer Survey'!N16)"),"I have 3.5 years of experience as a pediatric genetic counselor. In this position, I have gained significant experience in interpreting lab results and conducting curation activity via literature searches, database searches, etc. to ensure that our clinic"&amp;"al interpretation is in agreement with the lab's interpretation.")</f>
        <v>I have 3.5 years of experience as a pediatric genetic counselor. In this position, I have gained significant experience in interpreting lab results and conducting curation activity via literature searches, database searches, etc. to ensure that our clinical interpretation is in agreement with the lab's interpretation.</v>
      </c>
      <c r="V16" s="55" t="str">
        <f>IFERROR(__xludf.DUMMYFUNCTION("QUERY('Volunteer Survey'!O16)"),"Possibly")</f>
        <v>Possibly</v>
      </c>
      <c r="W16" s="66" t="str">
        <f>IFERROR(__xludf.DUMMYFUNCTION("QUERY('Volunteer Survey'!P16)"),"I would be most interested in areas related to pediatric medical genetics (autism, ID, neurodevelopmental disorders), but I am open to  any group that is accepting volunteers.")</f>
        <v>I would be most interested in areas related to pediatric medical genetics (autism, ID, neurodevelopmental disorders), but I am open to  any group that is accepting volunteers.</v>
      </c>
      <c r="X16" s="64" t="str">
        <f>IFERROR(__xludf.DUMMYFUNCTION("QUERY('Volunteer Survey'!R16)"),"Yes- I am willing to volunteer with any available ClinGen group")</f>
        <v>Yes- I am willing to volunteer with any available ClinGen group</v>
      </c>
      <c r="Y16" s="53"/>
      <c r="Z16" s="182">
        <f>IFERROR(__xludf.DUMMYFUNCTION("QUERY('Volunteer Survey'!A15)"),43454.651333263886)</f>
        <v>43454.65133</v>
      </c>
      <c r="AA16" s="183" t="str">
        <f>IFERROR(__xludf.DUMMYFUNCTION("QUERY('Volunteer Survey'!B15)"),"Rhea Vallente")</f>
        <v>Rhea Vallente</v>
      </c>
      <c r="AB16" s="183" t="str">
        <f>IFERROR(__xludf.DUMMYFUNCTION("QUERY('Volunteer Survey'!C15)"),"Fulgent Genetics")</f>
        <v>Fulgent Genetics</v>
      </c>
      <c r="AC16" s="183" t="str">
        <f>IFERROR(__xludf.DUMMYFUNCTION("QUERY('Volunteer Survey'!D15)"),"")</f>
        <v/>
      </c>
      <c r="AD16" s="183" t="str">
        <f>IFERROR(__xludf.DUMMYFUNCTION("QUERY('Volunteer Survey'!E15)"),"rvallente@fulgentgenetics.com")</f>
        <v>rvallente@fulgentgenetics.com</v>
      </c>
      <c r="AE16" s="183" t="str">
        <f>IFERROR(__xludf.DUMMYFUNCTION("QUERY('Volunteer Survey'!F15)"),"Variant Analyst/Scientist")</f>
        <v>Variant Analyst/Scientist</v>
      </c>
      <c r="AF16" s="183" t="str">
        <f>IFERROR(__xludf.DUMMYFUNCTION("QUERY('Volunteer Survey'!G15)"),"I would like to help out in curating variants related to hearing loss because I managed a next-gen hearing loss panel when I worked as a Human Molecular Geneticist at PreventionGenetics. I am now working as a Genomic Curation Scientist at FulgentGenetics.")</f>
        <v>I would like to help out in curating variants related to hearing loss because I managed a next-gen hearing loss panel when I worked as a Human Molecular Geneticist at PreventionGenetics. I am now working as a Genomic Curation Scientist at FulgentGenetics.</v>
      </c>
      <c r="AG16" s="183" t="str">
        <f>IFERROR(__xludf.DUMMYFUNCTION("QUERY('Volunteer Survey'!H15)"),"Comprehensive")</f>
        <v>Comprehensive</v>
      </c>
      <c r="AH16" s="183" t="str">
        <f>IFERROR(__xludf.DUMMYFUNCTION("QUERY('Volunteer Survey'!I15)"),"Clinical Actionability")</f>
        <v>Clinical Actionability</v>
      </c>
      <c r="AI16" s="183" t="str">
        <f>IFERROR(__xludf.DUMMYFUNCTION("QUERY('Volunteer Survey'!J15)"),"Gene-Disease Validity")</f>
        <v>Gene-Disease Validity</v>
      </c>
      <c r="AJ16" s="183" t="str">
        <f>IFERROR(__xludf.DUMMYFUNCTION("QUERY('Volunteer Survey'!K15)"),"Variant Pathogenicity")</f>
        <v>Variant Pathogenicity</v>
      </c>
      <c r="AK16" s="183" t="str">
        <f>IFERROR(__xludf.DUMMYFUNCTION("QUERY('Volunteer Survey'!L15)"),"Dosage Sensitivity")</f>
        <v>Dosage Sensitivity</v>
      </c>
      <c r="AL16" s="183" t="str">
        <f>IFERROR(__xludf.DUMMYFUNCTION("QUERY('Volunteer Survey'!M15)"),"Somatic Cancer")</f>
        <v>Somatic Cancer</v>
      </c>
      <c r="AM16" s="183" t="str">
        <f>IFERROR(__xludf.DUMMYFUNCTION("QUERY('Volunteer Survey'!N15)"),"Yes. I have been curating variants for five years, starting at PreventionGenetics, then I moved to EGL Genetics, and now I'm working for Fulgent Genetics.")</f>
        <v>Yes. I have been curating variants for five years, starting at PreventionGenetics, then I moved to EGL Genetics, and now I'm working for Fulgent Genetics.</v>
      </c>
      <c r="AN16" s="183" t="str">
        <f>IFERROR(__xludf.DUMMYFUNCTION("QUERY('Volunteer Survey'!O15)"),"Yes")</f>
        <v>Yes</v>
      </c>
      <c r="AO16" s="183" t="str">
        <f>IFERROR(__xludf.DUMMYFUNCTION("QUERY('Volunteer Survey'!P15)"),"Hearing loss")</f>
        <v>Hearing loss</v>
      </c>
    </row>
    <row r="17">
      <c r="A17" s="50">
        <f>IFERROR(__xludf.DUMMYFUNCTION("QUERY('Volunteer Survey'!A17)"),43465.469464884256)</f>
        <v>43465.46946</v>
      </c>
      <c r="B17" s="48" t="s">
        <v>108</v>
      </c>
      <c r="C17" s="53"/>
      <c r="D17" s="73">
        <v>43567.0</v>
      </c>
      <c r="E17" s="48" t="s">
        <v>117</v>
      </c>
      <c r="F17" s="48" t="s">
        <v>117</v>
      </c>
      <c r="G17" s="48" t="s">
        <v>19</v>
      </c>
      <c r="H17" s="69" t="s">
        <v>19</v>
      </c>
      <c r="I17" s="69" t="s">
        <v>139</v>
      </c>
      <c r="J17" s="56">
        <v>43712.0</v>
      </c>
      <c r="K17" s="56"/>
      <c r="L17" s="55" t="str">
        <f>IFERROR(__xludf.DUMMYFUNCTION("QUERY('Volunteer Survey'!B17)"),"Melissa Murfin")</f>
        <v>Melissa Murfin</v>
      </c>
      <c r="M17" s="55" t="str">
        <f>IFERROR(__xludf.DUMMYFUNCTION("QUERY('Volunteer Survey'!E17)"),"mmurfin@elon.edu")</f>
        <v>mmurfin@elon.edu</v>
      </c>
      <c r="N17" s="55" t="str">
        <f>IFERROR(__xludf.DUMMYFUNCTION("QUERY('Volunteer Survey'!F17)"),"Pharmacist/PA-C, PA program director")</f>
        <v>Pharmacist/PA-C, PA program director</v>
      </c>
      <c r="O17" s="48" t="str">
        <f>IFERROR(__xludf.DUMMYFUNCTION("QUERY('Volunteer Survey'!H17)"),"Comprehensive")</f>
        <v>Comprehensive</v>
      </c>
      <c r="P17" s="55" t="str">
        <f>IFERROR(__xludf.DUMMYFUNCTION("QUERY('Volunteer Survey'!I17)"),"Clinical Actionability")</f>
        <v>Clinical Actionability</v>
      </c>
      <c r="Q17" s="60" t="str">
        <f>IFERROR(__xludf.DUMMYFUNCTION("QUERY('Volunteer Survey'!J17)"),"Dosage Sensitivity")</f>
        <v>Dosage Sensitivity</v>
      </c>
      <c r="R17" s="55" t="str">
        <f>IFERROR(__xludf.DUMMYFUNCTION("QUERY('Volunteer Survey'!K17)"),"Gene-Disease Validity")</f>
        <v>Gene-Disease Validity</v>
      </c>
      <c r="S17" s="55" t="str">
        <f>IFERROR(__xludf.DUMMYFUNCTION("QUERY('Volunteer Survey'!L17)"),"Variant Pathogenicity")</f>
        <v>Variant Pathogenicity</v>
      </c>
      <c r="T17" s="55" t="str">
        <f>IFERROR(__xludf.DUMMYFUNCTION("QUERY('Volunteer Survey'!M17)"),"Somatic Cancer")</f>
        <v>Somatic Cancer</v>
      </c>
      <c r="U17" s="64" t="str">
        <f>IFERROR(__xludf.DUMMYFUNCTION("QUERY('Volunteer Survey'!N17)"),"")</f>
        <v/>
      </c>
      <c r="V17" s="55" t="str">
        <f>IFERROR(__xludf.DUMMYFUNCTION("QUERY('Volunteer Survey'!O17)"),"Possibly")</f>
        <v>Possibly</v>
      </c>
      <c r="W17" s="66" t="str">
        <f>IFERROR(__xludf.DUMMYFUNCTION("QUERY('Volunteer Survey'!P17)"),"I am open to any opportunity")</f>
        <v>I am open to any opportunity</v>
      </c>
      <c r="X17" s="64" t="str">
        <f>IFERROR(__xludf.DUMMYFUNCTION("QUERY('Volunteer Survey'!R17)"),"Yes- I am willing to volunteer with any available ClinGen group")</f>
        <v>Yes- I am willing to volunteer with any available ClinGen group</v>
      </c>
      <c r="Y17" s="53"/>
      <c r="Z17" s="182">
        <f>IFERROR(__xludf.DUMMYFUNCTION("QUERY('Volunteer Survey'!A16)"),43462.7220768287)</f>
        <v>43462.72208</v>
      </c>
      <c r="AA17" s="183" t="str">
        <f>IFERROR(__xludf.DUMMYFUNCTION("QUERY('Volunteer Survey'!B16)"),"Caitlin Hale")</f>
        <v>Caitlin Hale</v>
      </c>
      <c r="AB17" s="183" t="str">
        <f>IFERROR(__xludf.DUMMYFUNCTION("QUERY('Volunteer Survey'!C16)"),"Lucile Packard Children's Hospital Stanford")</f>
        <v>Lucile Packard Children's Hospital Stanford</v>
      </c>
      <c r="AC17" s="183" t="str">
        <f>IFERROR(__xludf.DUMMYFUNCTION("QUERY('Volunteer Survey'!D16)"),"CHale@stanfordchildrens.org")</f>
        <v>CHale@stanfordchildrens.org</v>
      </c>
      <c r="AD17" s="183" t="str">
        <f>IFERROR(__xludf.DUMMYFUNCTION("QUERY('Volunteer Survey'!E16)"),"CHale@stanfordchildrens.org")</f>
        <v>CHale@stanfordchildrens.org</v>
      </c>
      <c r="AE17" s="183" t="str">
        <f>IFERROR(__xludf.DUMMYFUNCTION("QUERY('Volunteer Survey'!F16)"),"Genetic counselor")</f>
        <v>Genetic counselor</v>
      </c>
      <c r="AF17" s="183" t="str">
        <f>IFERROR(__xludf.DUMMYFUNCTION("QUERY('Volunteer Survey'!G16)"),"I heard about ClinGen from a colleague. As a clinical genetic counselor, I am often in the frustrating position of discussing results of unknown significance. I appreciate ClinGen's efforts to standardize and improve variant interpretation. I am particula"&amp;"rly interested in genes associated with syndromic forms of intellectual disability.")</f>
        <v>I heard about ClinGen from a colleague. As a clinical genetic counselor, I am often in the frustrating position of discussing results of unknown significance. I appreciate ClinGen's efforts to standardize and improve variant interpretation. I am particularly interested in genes associated with syndromic forms of intellectual disability.</v>
      </c>
      <c r="AG17" s="183" t="str">
        <f>IFERROR(__xludf.DUMMYFUNCTION("QUERY('Volunteer Survey'!H16)"),"Comprehensive")</f>
        <v>Comprehensive</v>
      </c>
      <c r="AH17" s="183" t="str">
        <f>IFERROR(__xludf.DUMMYFUNCTION("QUERY('Volunteer Survey'!I16)"),"Gene-Disease Validity")</f>
        <v>Gene-Disease Validity</v>
      </c>
      <c r="AI17" s="183" t="str">
        <f>IFERROR(__xludf.DUMMYFUNCTION("QUERY('Volunteer Survey'!J16)"),"Variant Pathogenicity")</f>
        <v>Variant Pathogenicity</v>
      </c>
      <c r="AJ17" s="183" t="str">
        <f>IFERROR(__xludf.DUMMYFUNCTION("QUERY('Volunteer Survey'!K16)"),"Dosage Sensitivity")</f>
        <v>Dosage Sensitivity</v>
      </c>
      <c r="AK17" s="183" t="str">
        <f>IFERROR(__xludf.DUMMYFUNCTION("QUERY('Volunteer Survey'!L16)"),"Clinical Actionability")</f>
        <v>Clinical Actionability</v>
      </c>
      <c r="AL17" s="183" t="str">
        <f>IFERROR(__xludf.DUMMYFUNCTION("QUERY('Volunteer Survey'!M16)"),"Somatic Cancer")</f>
        <v>Somatic Cancer</v>
      </c>
      <c r="AM17" s="183" t="str">
        <f>IFERROR(__xludf.DUMMYFUNCTION("QUERY('Volunteer Survey'!N16)"),"I have 3.5 years of experience as a pediatric genetic counselor. In this position, I have gained significant experience in interpreting lab results and conducting curation activity via literature searches, database searches, etc. to ensure that our clinic"&amp;"al interpretation is in agreement with the lab's interpretation.")</f>
        <v>I have 3.5 years of experience as a pediatric genetic counselor. In this position, I have gained significant experience in interpreting lab results and conducting curation activity via literature searches, database searches, etc. to ensure that our clinical interpretation is in agreement with the lab's interpretation.</v>
      </c>
      <c r="AN17" s="183" t="str">
        <f>IFERROR(__xludf.DUMMYFUNCTION("QUERY('Volunteer Survey'!O16)"),"Possibly")</f>
        <v>Possibly</v>
      </c>
      <c r="AO17" s="183" t="str">
        <f>IFERROR(__xludf.DUMMYFUNCTION("QUERY('Volunteer Survey'!P16)"),"I would be most interested in areas related to pediatric medical genetics (autism, ID, neurodevelopmental disorders), but I am open to  any group that is accepting volunteers.")</f>
        <v>I would be most interested in areas related to pediatric medical genetics (autism, ID, neurodevelopmental disorders), but I am open to  any group that is accepting volunteers.</v>
      </c>
    </row>
    <row r="18">
      <c r="A18" s="50">
        <f>IFERROR(__xludf.DUMMYFUNCTION("QUERY('Volunteer Survey'!A18)"),43467.289876111114)</f>
        <v>43467.28988</v>
      </c>
      <c r="B18" s="48" t="s">
        <v>108</v>
      </c>
      <c r="C18" s="53"/>
      <c r="D18" s="65">
        <v>43585.0</v>
      </c>
      <c r="E18" s="48" t="s">
        <v>117</v>
      </c>
      <c r="F18" s="48" t="s">
        <v>117</v>
      </c>
      <c r="G18" s="48" t="s">
        <v>122</v>
      </c>
      <c r="H18" s="51" t="s">
        <v>220</v>
      </c>
      <c r="I18" s="51" t="s">
        <v>139</v>
      </c>
      <c r="J18" s="56">
        <v>43712.0</v>
      </c>
      <c r="K18" s="56"/>
      <c r="L18" s="55" t="str">
        <f>IFERROR(__xludf.DUMMYFUNCTION("QUERY('Volunteer Survey'!B18)"),"Ana León")</f>
        <v>Ana León</v>
      </c>
      <c r="M18" s="55" t="str">
        <f>IFERROR(__xludf.DUMMYFUNCTION("QUERY('Volunteer Survey'!E18)"),"aleon@pros.upv.es")</f>
        <v>aleon@pros.upv.es</v>
      </c>
      <c r="N18" s="55" t="str">
        <f>IFERROR(__xludf.DUMMYFUNCTION("QUERY('Volunteer Survey'!F18)"),"PhD Student")</f>
        <v>PhD Student</v>
      </c>
      <c r="O18" s="48" t="str">
        <f>IFERROR(__xludf.DUMMYFUNCTION("QUERY('Volunteer Survey'!H18)"),"Comprehensive")</f>
        <v>Comprehensive</v>
      </c>
      <c r="P18" s="55" t="str">
        <f>IFERROR(__xludf.DUMMYFUNCTION("QUERY('Volunteer Survey'!I18)"),"Gene-Disease Validity")</f>
        <v>Gene-Disease Validity</v>
      </c>
      <c r="Q18" s="60" t="str">
        <f>IFERROR(__xludf.DUMMYFUNCTION("QUERY('Volunteer Survey'!J18)"),"")</f>
        <v/>
      </c>
      <c r="R18" s="55" t="str">
        <f>IFERROR(__xludf.DUMMYFUNCTION("QUERY('Volunteer Survey'!K18)"),"")</f>
        <v/>
      </c>
      <c r="S18" s="55" t="str">
        <f>IFERROR(__xludf.DUMMYFUNCTION("QUERY('Volunteer Survey'!L18)"),"")</f>
        <v/>
      </c>
      <c r="T18" s="55" t="str">
        <f>IFERROR(__xludf.DUMMYFUNCTION("QUERY('Volunteer Survey'!M18)"),"")</f>
        <v/>
      </c>
      <c r="U18" s="64" t="str">
        <f>IFERROR(__xludf.DUMMYFUNCTION("QUERY('Volunteer Survey'!N18)"),"During my research I worked in the identification of variants and genes associated with the studied diseases.")</f>
        <v>During my research I worked in the identification of variants and genes associated with the studied diseases.</v>
      </c>
      <c r="V18" s="55" t="str">
        <f>IFERROR(__xludf.DUMMYFUNCTION("QUERY('Volunteer Survey'!O18)"),"Yes")</f>
        <v>Yes</v>
      </c>
      <c r="W18" s="66" t="str">
        <f>IFERROR(__xludf.DUMMYFUNCTION("QUERY('Volunteer Survey'!P18)"),"")</f>
        <v/>
      </c>
      <c r="X18" s="64" t="str">
        <f>IFERROR(__xludf.DUMMYFUNCTION("QUERY('Volunteer Survey'!R18)"),"Maybe -- please contact me with other options, and I will decide based on what is available")</f>
        <v>Maybe -- please contact me with other options, and I will decide based on what is available</v>
      </c>
      <c r="Y18" s="53"/>
      <c r="Z18" s="182">
        <f>IFERROR(__xludf.DUMMYFUNCTION("QUERY('Volunteer Survey'!A17)"),43465.469464884256)</f>
        <v>43465.46946</v>
      </c>
      <c r="AA18" s="183" t="str">
        <f>IFERROR(__xludf.DUMMYFUNCTION("QUERY('Volunteer Survey'!B17)"),"Melissa Murfin")</f>
        <v>Melissa Murfin</v>
      </c>
      <c r="AB18" s="183" t="str">
        <f>IFERROR(__xludf.DUMMYFUNCTION("QUERY('Volunteer Survey'!C17)"),"Elon University")</f>
        <v>Elon University</v>
      </c>
      <c r="AC18" s="183" t="str">
        <f>IFERROR(__xludf.DUMMYFUNCTION("QUERY('Volunteer Survey'!D17)"),"Department of Physician Assistant Studies
2087 Campus Box")</f>
        <v>Department of Physician Assistant Studies
2087 Campus Box</v>
      </c>
      <c r="AD18" s="183" t="str">
        <f>IFERROR(__xludf.DUMMYFUNCTION("QUERY('Volunteer Survey'!E17)"),"mmurfin@elon.edu")</f>
        <v>mmurfin@elon.edu</v>
      </c>
      <c r="AE18" s="183" t="str">
        <f>IFERROR(__xludf.DUMMYFUNCTION("QUERY('Volunteer Survey'!F17)"),"Pharmacist/PA-C, PA program director")</f>
        <v>Pharmacist/PA-C, PA program director</v>
      </c>
      <c r="AF18" s="183" t="str">
        <f>IFERROR(__xludf.DUMMYFUNCTION("QUERY('Volunteer Survey'!G17)"),"I am interested in being part of bringing personalized medicine to prescribers and patients to improve outcomes and care. I found you on the NHGRI website. I would love to see everyone get a PGx profile so that we as providers can make more informed treat"&amp;"ment choices for our patients. I'm most interested in clinically actionable pharmacogenetic areas. ")</f>
        <v>I am interested in being part of bringing personalized medicine to prescribers and patients to improve outcomes and care. I found you on the NHGRI website. I would love to see everyone get a PGx profile so that we as providers can make more informed treatment choices for our patients. I'm most interested in clinically actionable pharmacogenetic areas. </v>
      </c>
      <c r="AG18" s="183" t="str">
        <f>IFERROR(__xludf.DUMMYFUNCTION("QUERY('Volunteer Survey'!H17)"),"Comprehensive")</f>
        <v>Comprehensive</v>
      </c>
      <c r="AH18" s="183" t="str">
        <f>IFERROR(__xludf.DUMMYFUNCTION("QUERY('Volunteer Survey'!I17)"),"Clinical Actionability")</f>
        <v>Clinical Actionability</v>
      </c>
      <c r="AI18" s="183" t="str">
        <f>IFERROR(__xludf.DUMMYFUNCTION("QUERY('Volunteer Survey'!J17)"),"Dosage Sensitivity")</f>
        <v>Dosage Sensitivity</v>
      </c>
      <c r="AJ18" s="183" t="str">
        <f>IFERROR(__xludf.DUMMYFUNCTION("QUERY('Volunteer Survey'!K17)"),"Gene-Disease Validity")</f>
        <v>Gene-Disease Validity</v>
      </c>
      <c r="AK18" s="183" t="str">
        <f>IFERROR(__xludf.DUMMYFUNCTION("QUERY('Volunteer Survey'!L17)"),"Variant Pathogenicity")</f>
        <v>Variant Pathogenicity</v>
      </c>
      <c r="AL18" s="183" t="str">
        <f>IFERROR(__xludf.DUMMYFUNCTION("QUERY('Volunteer Survey'!M17)"),"Somatic Cancer")</f>
        <v>Somatic Cancer</v>
      </c>
      <c r="AM18" s="183" t="str">
        <f>IFERROR(__xludf.DUMMYFUNCTION("QUERY('Volunteer Survey'!N17)"),"")</f>
        <v/>
      </c>
      <c r="AN18" s="183" t="str">
        <f>IFERROR(__xludf.DUMMYFUNCTION("QUERY('Volunteer Survey'!O17)"),"Possibly")</f>
        <v>Possibly</v>
      </c>
      <c r="AO18" s="183" t="str">
        <f>IFERROR(__xludf.DUMMYFUNCTION("QUERY('Volunteer Survey'!P17)"),"I am open to any opportunity")</f>
        <v>I am open to any opportunity</v>
      </c>
    </row>
    <row r="19">
      <c r="A19" s="50">
        <f>IFERROR(__xludf.DUMMYFUNCTION("QUERY('Volunteer Survey'!A19)"),43469.322247662036)</f>
        <v>43469.32225</v>
      </c>
      <c r="B19" s="48" t="s">
        <v>160</v>
      </c>
      <c r="C19" s="79">
        <v>43437.0</v>
      </c>
      <c r="D19" s="56">
        <v>43446.0</v>
      </c>
      <c r="E19" s="48" t="s">
        <v>117</v>
      </c>
      <c r="F19" s="48" t="s">
        <v>117</v>
      </c>
      <c r="G19" s="48" t="s">
        <v>122</v>
      </c>
      <c r="H19" s="51" t="s">
        <v>143</v>
      </c>
      <c r="I19" s="51" t="s">
        <v>139</v>
      </c>
      <c r="J19" s="48"/>
      <c r="K19" s="48"/>
      <c r="L19" s="55" t="str">
        <f>IFERROR(__xludf.DUMMYFUNCTION("QUERY('Volunteer Survey'!B19)"),"Catalina Betancur")</f>
        <v>Catalina Betancur</v>
      </c>
      <c r="M19" s="55" t="str">
        <f>IFERROR(__xludf.DUMMYFUNCTION("QUERY('Volunteer Survey'!E19)"),"Catalina.Betancur@inserm.fr")</f>
        <v>Catalina.Betancur@inserm.fr</v>
      </c>
      <c r="N19" s="55" t="str">
        <f>IFERROR(__xludf.DUMMYFUNCTION("QUERY('Volunteer Survey'!F19)"),"NA")</f>
        <v>NA</v>
      </c>
      <c r="O19" s="48" t="str">
        <f>IFERROR(__xludf.DUMMYFUNCTION("QUERY('Volunteer Survey'!H19)"),"Comprehensive")</f>
        <v>Comprehensive</v>
      </c>
      <c r="P19" s="55" t="str">
        <f>IFERROR(__xludf.DUMMYFUNCTION("QUERY('Volunteer Survey'!I19)"),"Gene-Disease Validity")</f>
        <v>Gene-Disease Validity</v>
      </c>
      <c r="Q19" s="60" t="str">
        <f>IFERROR(__xludf.DUMMYFUNCTION("QUERY('Volunteer Survey'!J19)"),"")</f>
        <v/>
      </c>
      <c r="R19" s="55" t="str">
        <f>IFERROR(__xludf.DUMMYFUNCTION("QUERY('Volunteer Survey'!K19)"),"")</f>
        <v/>
      </c>
      <c r="S19" s="55" t="str">
        <f>IFERROR(__xludf.DUMMYFUNCTION("QUERY('Volunteer Survey'!L19)"),"")</f>
        <v/>
      </c>
      <c r="T19" s="55" t="str">
        <f>IFERROR(__xludf.DUMMYFUNCTION("QUERY('Volunteer Survey'!M19)"),"")</f>
        <v/>
      </c>
      <c r="U19" s="64" t="str">
        <f>IFERROR(__xludf.DUMMYFUNCTION("QUERY('Volunteer Survey'!N19)"),"")</f>
        <v/>
      </c>
      <c r="V19" s="55" t="str">
        <f>IFERROR(__xludf.DUMMYFUNCTION("QUERY('Volunteer Survey'!O19)"),"")</f>
        <v/>
      </c>
      <c r="W19" s="66" t="str">
        <f>IFERROR(__xludf.DUMMYFUNCTION("QUERY('Volunteer Survey'!P19)"),"ID Autism")</f>
        <v>ID Autism</v>
      </c>
      <c r="X19" s="64" t="str">
        <f>IFERROR(__xludf.DUMMYFUNCTION("QUERY('Volunteer Survey'!R19)"),"")</f>
        <v/>
      </c>
      <c r="Y19" s="51" t="s">
        <v>307</v>
      </c>
      <c r="Z19" s="182">
        <f>IFERROR(__xludf.DUMMYFUNCTION("QUERY('Volunteer Survey'!A18)"),43467.289876111114)</f>
        <v>43467.28988</v>
      </c>
      <c r="AA19" s="183" t="str">
        <f>IFERROR(__xludf.DUMMYFUNCTION("QUERY('Volunteer Survey'!B18)"),"Ana León")</f>
        <v>Ana León</v>
      </c>
      <c r="AB19" s="183" t="str">
        <f>IFERROR(__xludf.DUMMYFUNCTION("QUERY('Volunteer Survey'!C18)"),"Universidad Politécnica de Valencia")</f>
        <v>Universidad Politécnica de Valencia</v>
      </c>
      <c r="AC19" s="183" t="str">
        <f>IFERROR(__xludf.DUMMYFUNCTION("QUERY('Volunteer Survey'!D18)"),"")</f>
        <v/>
      </c>
      <c r="AD19" s="183" t="str">
        <f>IFERROR(__xludf.DUMMYFUNCTION("QUERY('Volunteer Survey'!E18)"),"aleon@pros.upv.es")</f>
        <v>aleon@pros.upv.es</v>
      </c>
      <c r="AE19" s="183" t="str">
        <f>IFERROR(__xludf.DUMMYFUNCTION("QUERY('Volunteer Survey'!F18)"),"PhD Student")</f>
        <v>PhD Student</v>
      </c>
      <c r="AF19" s="183" t="str">
        <f>IFERROR(__xludf.DUMMYFUNCTION("QUERY('Volunteer Survey'!G18)"),"I am finishing my PhD in Computer Science. The topic of my thesis is the development of a method to build Genomic Information Systems to support the identification of relevant variants involved in the development of diseases. I am working with experts in "&amp;"the identification of variants associated to epilepsy, breast cancer, migraine, Alzheimer and Crohn's disease. I would like to get involved in the curation process of Clingen to improve my skills and identify new areas were Information Systems could be us"&amp;"eful to automate and support the work of the clinicians and geneticists.")</f>
        <v>I am finishing my PhD in Computer Science. The topic of my thesis is the development of a method to build Genomic Information Systems to support the identification of relevant variants involved in the development of diseases. I am working with experts in the identification of variants associated to epilepsy, breast cancer, migraine, Alzheimer and Crohn's disease. I would like to get involved in the curation process of Clingen to improve my skills and identify new areas were Information Systems could be useful to automate and support the work of the clinicians and geneticists.</v>
      </c>
      <c r="AG19" s="183" t="str">
        <f>IFERROR(__xludf.DUMMYFUNCTION("QUERY('Volunteer Survey'!H18)"),"Comprehensive")</f>
        <v>Comprehensive</v>
      </c>
      <c r="AH19" s="183" t="str">
        <f>IFERROR(__xludf.DUMMYFUNCTION("QUERY('Volunteer Survey'!I18)"),"Gene-Disease Validity")</f>
        <v>Gene-Disease Validity</v>
      </c>
      <c r="AI19" s="183" t="str">
        <f>IFERROR(__xludf.DUMMYFUNCTION("QUERY('Volunteer Survey'!J18)"),"")</f>
        <v/>
      </c>
      <c r="AJ19" s="183" t="str">
        <f>IFERROR(__xludf.DUMMYFUNCTION("QUERY('Volunteer Survey'!K18)"),"")</f>
        <v/>
      </c>
      <c r="AK19" s="183" t="str">
        <f>IFERROR(__xludf.DUMMYFUNCTION("QUERY('Volunteer Survey'!L18)"),"")</f>
        <v/>
      </c>
      <c r="AL19" s="183" t="str">
        <f>IFERROR(__xludf.DUMMYFUNCTION("QUERY('Volunteer Survey'!M18)"),"")</f>
        <v/>
      </c>
      <c r="AM19" s="183" t="str">
        <f>IFERROR(__xludf.DUMMYFUNCTION("QUERY('Volunteer Survey'!N18)"),"During my research I worked in the identification of variants and genes associated with the studied diseases.")</f>
        <v>During my research I worked in the identification of variants and genes associated with the studied diseases.</v>
      </c>
      <c r="AN19" s="183" t="str">
        <f>IFERROR(__xludf.DUMMYFUNCTION("QUERY('Volunteer Survey'!O18)"),"Yes")</f>
        <v>Yes</v>
      </c>
      <c r="AO19" s="183" t="str">
        <f>IFERROR(__xludf.DUMMYFUNCTION("QUERY('Volunteer Survey'!P18)"),"")</f>
        <v/>
      </c>
    </row>
    <row r="20">
      <c r="A20" s="50">
        <f>IFERROR(__xludf.DUMMYFUNCTION("QUERY('Volunteer Survey'!A20)"),43469.47069386574)</f>
        <v>43469.47069</v>
      </c>
      <c r="B20" s="48" t="s">
        <v>108</v>
      </c>
      <c r="C20" s="53"/>
      <c r="D20" s="55"/>
      <c r="E20" s="48" t="s">
        <v>130</v>
      </c>
      <c r="F20" s="48" t="s">
        <v>130</v>
      </c>
      <c r="G20" s="48" t="s">
        <v>202</v>
      </c>
      <c r="H20" s="53"/>
      <c r="I20" s="51" t="s">
        <v>139</v>
      </c>
      <c r="J20" s="55"/>
      <c r="K20" s="55"/>
      <c r="L20" s="55" t="str">
        <f>IFERROR(__xludf.DUMMYFUNCTION("QUERY('Volunteer Survey'!B20)"),"Casey Brew")</f>
        <v>Casey Brew</v>
      </c>
      <c r="M20" s="55" t="str">
        <f>IFERROR(__xludf.DUMMYFUNCTION("QUERY('Volunteer Survey'!E20)"),"cbrew@luriechildrens.org")</f>
        <v>cbrew@luriechildrens.org</v>
      </c>
      <c r="N20" s="55" t="str">
        <f>IFERROR(__xludf.DUMMYFUNCTION("QUERY('Volunteer Survey'!F20)"),"Genetic counselor")</f>
        <v>Genetic counselor</v>
      </c>
      <c r="O20" s="48" t="str">
        <f>IFERROR(__xludf.DUMMYFUNCTION("QUERY('Volunteer Survey'!H20)"),"Baseline")</f>
        <v>Baseline</v>
      </c>
      <c r="P20" s="55" t="str">
        <f>IFERROR(__xludf.DUMMYFUNCTION("QUERY('Volunteer Survey'!I20)"),"Variant Pathogenicity")</f>
        <v>Variant Pathogenicity</v>
      </c>
      <c r="Q20" s="60" t="str">
        <f>IFERROR(__xludf.DUMMYFUNCTION("QUERY('Volunteer Survey'!J20)"),"Gene-Disease Validity")</f>
        <v>Gene-Disease Validity</v>
      </c>
      <c r="R20" s="55" t="str">
        <f>IFERROR(__xludf.DUMMYFUNCTION("QUERY('Volunteer Survey'!K20)"),"Clinical Actionability")</f>
        <v>Clinical Actionability</v>
      </c>
      <c r="S20" s="55" t="str">
        <f>IFERROR(__xludf.DUMMYFUNCTION("QUERY('Volunteer Survey'!L20)"),"")</f>
        <v/>
      </c>
      <c r="T20" s="55" t="str">
        <f>IFERROR(__xludf.DUMMYFUNCTION("QUERY('Volunteer Survey'!M20)"),"")</f>
        <v/>
      </c>
      <c r="U20" s="64" t="str">
        <f>IFERROR(__xludf.DUMMYFUNCTION("QUERY('Volunteer Survey'!N20)"),"I have experience in sequence variant interpretation and report writing for clinical cases through our in-house molecular diagnostics lab. ")</f>
        <v>I have experience in sequence variant interpretation and report writing for clinical cases through our in-house molecular diagnostics lab. </v>
      </c>
      <c r="V20" s="55" t="str">
        <f>IFERROR(__xludf.DUMMYFUNCTION("QUERY('Volunteer Survey'!O20)"),"Possibly")</f>
        <v>Possibly</v>
      </c>
      <c r="W20" s="66" t="str">
        <f>IFERROR(__xludf.DUMMYFUNCTION("QUERY('Volunteer Survey'!P20)"),"I would be most interested in the Inherited Cardiomyopathy Variant Curation Expert Panel, but I am open to just about anything.")</f>
        <v>I would be most interested in the Inherited Cardiomyopathy Variant Curation Expert Panel, but I am open to just about anything.</v>
      </c>
      <c r="X20" s="64" t="str">
        <f>IFERROR(__xludf.DUMMYFUNCTION("QUERY('Volunteer Survey'!R20)"),"Yes- I am willing to volunteer with any available ClinGen group")</f>
        <v>Yes- I am willing to volunteer with any available ClinGen group</v>
      </c>
      <c r="Y20" s="53"/>
      <c r="Z20" s="182">
        <f>IFERROR(__xludf.DUMMYFUNCTION("QUERY('Volunteer Survey'!A19)"),43469.322247662036)</f>
        <v>43469.32225</v>
      </c>
      <c r="AA20" s="183" t="str">
        <f>IFERROR(__xludf.DUMMYFUNCTION("QUERY('Volunteer Survey'!B19)"),"Catalina Betancur")</f>
        <v>Catalina Betancur</v>
      </c>
      <c r="AB20" s="183" t="str">
        <f>IFERROR(__xludf.DUMMYFUNCTION("QUERY('Volunteer Survey'!C19)"),"NA")</f>
        <v>NA</v>
      </c>
      <c r="AC20" s="183" t="str">
        <f>IFERROR(__xludf.DUMMYFUNCTION("QUERY('Volunteer Survey'!D19)"),"France")</f>
        <v>France</v>
      </c>
      <c r="AD20" s="183" t="str">
        <f>IFERROR(__xludf.DUMMYFUNCTION("QUERY('Volunteer Survey'!E19)"),"Catalina.Betancur@inserm.fr")</f>
        <v>Catalina.Betancur@inserm.fr</v>
      </c>
      <c r="AE20" s="183" t="str">
        <f>IFERROR(__xludf.DUMMYFUNCTION("QUERY('Volunteer Survey'!F19)"),"NA")</f>
        <v>NA</v>
      </c>
      <c r="AF20" s="183" t="str">
        <f>IFERROR(__xludf.DUMMYFUNCTION("QUERY('Volunteer Survey'!G19)"),"NA")</f>
        <v>NA</v>
      </c>
      <c r="AG20" s="183" t="str">
        <f>IFERROR(__xludf.DUMMYFUNCTION("QUERY('Volunteer Survey'!H19)"),"Comprehensive")</f>
        <v>Comprehensive</v>
      </c>
      <c r="AH20" s="183" t="str">
        <f>IFERROR(__xludf.DUMMYFUNCTION("QUERY('Volunteer Survey'!I19)"),"Gene-Disease Validity")</f>
        <v>Gene-Disease Validity</v>
      </c>
      <c r="AI20" s="183" t="str">
        <f>IFERROR(__xludf.DUMMYFUNCTION("QUERY('Volunteer Survey'!J19)"),"")</f>
        <v/>
      </c>
      <c r="AJ20" s="183" t="str">
        <f>IFERROR(__xludf.DUMMYFUNCTION("QUERY('Volunteer Survey'!K19)"),"")</f>
        <v/>
      </c>
      <c r="AK20" s="183" t="str">
        <f>IFERROR(__xludf.DUMMYFUNCTION("QUERY('Volunteer Survey'!L19)"),"")</f>
        <v/>
      </c>
      <c r="AL20" s="183" t="str">
        <f>IFERROR(__xludf.DUMMYFUNCTION("QUERY('Volunteer Survey'!M19)"),"")</f>
        <v/>
      </c>
      <c r="AM20" s="183" t="str">
        <f>IFERROR(__xludf.DUMMYFUNCTION("QUERY('Volunteer Survey'!N19)"),"")</f>
        <v/>
      </c>
      <c r="AN20" s="183" t="str">
        <f>IFERROR(__xludf.DUMMYFUNCTION("QUERY('Volunteer Survey'!O19)"),"")</f>
        <v/>
      </c>
      <c r="AO20" s="183" t="str">
        <f>IFERROR(__xludf.DUMMYFUNCTION("QUERY('Volunteer Survey'!P19)"),"ID Autism")</f>
        <v>ID Autism</v>
      </c>
    </row>
    <row r="21">
      <c r="A21" s="50">
        <f>IFERROR(__xludf.DUMMYFUNCTION("QUERY('Volunteer Survey'!A21)"),43472.425777592594)</f>
        <v>43472.42578</v>
      </c>
      <c r="B21" s="48" t="s">
        <v>108</v>
      </c>
      <c r="C21" s="53"/>
      <c r="D21" s="65">
        <v>43580.0</v>
      </c>
      <c r="E21" s="48" t="s">
        <v>117</v>
      </c>
      <c r="F21" s="48" t="s">
        <v>117</v>
      </c>
      <c r="G21" s="48" t="s">
        <v>163</v>
      </c>
      <c r="H21" s="53"/>
      <c r="I21" s="51" t="s">
        <v>139</v>
      </c>
      <c r="J21" s="56">
        <v>43712.0</v>
      </c>
      <c r="K21" s="56"/>
      <c r="L21" s="55" t="str">
        <f>IFERROR(__xludf.DUMMYFUNCTION("QUERY('Volunteer Survey'!B21)"),"Shulin Zhang")</f>
        <v>Shulin Zhang</v>
      </c>
      <c r="M21" s="55" t="str">
        <f>IFERROR(__xludf.DUMMYFUNCTION("QUERY('Volunteer Survey'!E21)"),"shulin.zhang@uky.edu")</f>
        <v>shulin.zhang@uky.edu</v>
      </c>
      <c r="N21" s="55" t="str">
        <f>IFERROR(__xludf.DUMMYFUNCTION("QUERY('Volunteer Survey'!F21)"),"Clinical laboratory geneticist")</f>
        <v>Clinical laboratory geneticist</v>
      </c>
      <c r="O21" s="48" t="str">
        <f>IFERROR(__xludf.DUMMYFUNCTION("QUERY('Volunteer Survey'!H21)"),"Comprehensive")</f>
        <v>Comprehensive</v>
      </c>
      <c r="P21" s="55" t="str">
        <f>IFERROR(__xludf.DUMMYFUNCTION("QUERY('Volunteer Survey'!I21)"),"Dosage Sensitivity")</f>
        <v>Dosage Sensitivity</v>
      </c>
      <c r="Q21" s="60" t="str">
        <f>IFERROR(__xludf.DUMMYFUNCTION("QUERY('Volunteer Survey'!J21)"),"Variant Pathogenicity")</f>
        <v>Variant Pathogenicity</v>
      </c>
      <c r="R21" s="55" t="str">
        <f>IFERROR(__xludf.DUMMYFUNCTION("QUERY('Volunteer Survey'!K21)"),"Gene-Disease Validity")</f>
        <v>Gene-Disease Validity</v>
      </c>
      <c r="S21" s="55" t="str">
        <f>IFERROR(__xludf.DUMMYFUNCTION("QUERY('Volunteer Survey'!L21)"),"Somatic Cancer")</f>
        <v>Somatic Cancer</v>
      </c>
      <c r="T21" s="55" t="str">
        <f>IFERROR(__xludf.DUMMYFUNCTION("QUERY('Volunteer Survey'!M21)"),"Clinical Actionability")</f>
        <v>Clinical Actionability</v>
      </c>
      <c r="U21" s="64" t="str">
        <f>IFERROR(__xludf.DUMMYFUNCTION("QUERY('Volunteer Survey'!N21)"),"No")</f>
        <v>No</v>
      </c>
      <c r="V21" s="55" t="str">
        <f>IFERROR(__xludf.DUMMYFUNCTION("QUERY('Volunteer Survey'!O21)"),"No")</f>
        <v>No</v>
      </c>
      <c r="W21" s="66" t="str">
        <f>IFERROR(__xludf.DUMMYFUNCTION("QUERY('Volunteer Survey'!P21)"),"1) Dosage sensitivity working group expert panel (inherited cancers) 2) Colorectal cancer 3) mitochondrial diseases")</f>
        <v>1) Dosage sensitivity working group expert panel (inherited cancers) 2) Colorectal cancer 3) mitochondrial diseases</v>
      </c>
      <c r="X21" s="64" t="str">
        <f>IFERROR(__xludf.DUMMYFUNCTION("QUERY('Volunteer Survey'!R21)"),"Maybe -- please contact me with other options, and I will decide based on what is available")</f>
        <v>Maybe -- please contact me with other options, and I will decide based on what is available</v>
      </c>
      <c r="Y21" s="53"/>
      <c r="Z21" s="182">
        <f>IFERROR(__xludf.DUMMYFUNCTION("QUERY('Volunteer Survey'!A20)"),43469.47069386574)</f>
        <v>43469.47069</v>
      </c>
      <c r="AA21" s="183" t="str">
        <f>IFERROR(__xludf.DUMMYFUNCTION("QUERY('Volunteer Survey'!B20)"),"Casey Brew")</f>
        <v>Casey Brew</v>
      </c>
      <c r="AB21" s="183" t="str">
        <f>IFERROR(__xludf.DUMMYFUNCTION("QUERY('Volunteer Survey'!C20)"),"Ann &amp; Robert H. Lurie Children's Hospital")</f>
        <v>Ann &amp; Robert H. Lurie Children's Hospital</v>
      </c>
      <c r="AC21" s="183" t="str">
        <f>IFERROR(__xludf.DUMMYFUNCTION("QUERY('Volunteer Survey'!D20)"),"426 W. Belmont Ave Apt 1408, Chicago, IL, 60657")</f>
        <v>426 W. Belmont Ave Apt 1408, Chicago, IL, 60657</v>
      </c>
      <c r="AD21" s="183" t="str">
        <f>IFERROR(__xludf.DUMMYFUNCTION("QUERY('Volunteer Survey'!E20)"),"cbrew@luriechildrens.org")</f>
        <v>cbrew@luriechildrens.org</v>
      </c>
      <c r="AE21" s="183" t="str">
        <f>IFERROR(__xludf.DUMMYFUNCTION("QUERY('Volunteer Survey'!F20)"),"Genetic counselor")</f>
        <v>Genetic counselor</v>
      </c>
      <c r="AF21" s="183" t="str">
        <f>IFERROR(__xludf.DUMMYFUNCTION("QUERY('Volunteer Survey'!G20)"),"I started working as a laboratory genetic counseling doing variant interpretation about 6 months ago, mainly specializing in connective tissue disorders and cardiomyopathy. ClinGen and ClinVar have been regular resources for me in this position. I am inte"&amp;"rested in continuing to learn more about the process of gene/variant curation as well as to continue building my expertise in the connective tissue/cardiology areas. ")</f>
        <v>I started working as a laboratory genetic counseling doing variant interpretation about 6 months ago, mainly specializing in connective tissue disorders and cardiomyopathy. ClinGen and ClinVar have been regular resources for me in this position. I am interested in continuing to learn more about the process of gene/variant curation as well as to continue building my expertise in the connective tissue/cardiology areas. </v>
      </c>
      <c r="AG21" s="183" t="str">
        <f>IFERROR(__xludf.DUMMYFUNCTION("QUERY('Volunteer Survey'!H20)"),"Baseline")</f>
        <v>Baseline</v>
      </c>
      <c r="AH21" s="183" t="str">
        <f>IFERROR(__xludf.DUMMYFUNCTION("QUERY('Volunteer Survey'!I20)"),"Variant Pathogenicity")</f>
        <v>Variant Pathogenicity</v>
      </c>
      <c r="AI21" s="183" t="str">
        <f>IFERROR(__xludf.DUMMYFUNCTION("QUERY('Volunteer Survey'!J20)"),"Gene-Disease Validity")</f>
        <v>Gene-Disease Validity</v>
      </c>
      <c r="AJ21" s="183" t="str">
        <f>IFERROR(__xludf.DUMMYFUNCTION("QUERY('Volunteer Survey'!K20)"),"Clinical Actionability")</f>
        <v>Clinical Actionability</v>
      </c>
      <c r="AK21" s="183" t="str">
        <f>IFERROR(__xludf.DUMMYFUNCTION("QUERY('Volunteer Survey'!L20)"),"")</f>
        <v/>
      </c>
      <c r="AL21" s="183" t="str">
        <f>IFERROR(__xludf.DUMMYFUNCTION("QUERY('Volunteer Survey'!M20)"),"")</f>
        <v/>
      </c>
      <c r="AM21" s="183" t="str">
        <f>IFERROR(__xludf.DUMMYFUNCTION("QUERY('Volunteer Survey'!N20)"),"I have experience in sequence variant interpretation and report writing for clinical cases through our in-house molecular diagnostics lab. ")</f>
        <v>I have experience in sequence variant interpretation and report writing for clinical cases through our in-house molecular diagnostics lab. </v>
      </c>
      <c r="AN21" s="183" t="str">
        <f>IFERROR(__xludf.DUMMYFUNCTION("QUERY('Volunteer Survey'!O20)"),"Possibly")</f>
        <v>Possibly</v>
      </c>
      <c r="AO21" s="183" t="str">
        <f>IFERROR(__xludf.DUMMYFUNCTION("QUERY('Volunteer Survey'!P20)"),"I would be most interested in the Inherited Cardiomyopathy Variant Curation Expert Panel, but I am open to just about anything.")</f>
        <v>I would be most interested in the Inherited Cardiomyopathy Variant Curation Expert Panel, but I am open to just about anything.</v>
      </c>
    </row>
    <row r="22">
      <c r="A22" s="50">
        <f>IFERROR(__xludf.DUMMYFUNCTION("QUERY('Volunteer Survey'!A22)"),43472.537255601856)</f>
        <v>43472.53726</v>
      </c>
      <c r="B22" s="48" t="s">
        <v>108</v>
      </c>
      <c r="C22" s="53"/>
      <c r="D22" s="73">
        <v>43567.0</v>
      </c>
      <c r="E22" s="48" t="s">
        <v>117</v>
      </c>
      <c r="F22" s="48" t="s">
        <v>130</v>
      </c>
      <c r="G22" s="48" t="s">
        <v>19</v>
      </c>
      <c r="H22" s="69"/>
      <c r="I22" s="69" t="s">
        <v>139</v>
      </c>
      <c r="J22" s="55"/>
      <c r="K22" s="55"/>
      <c r="L22" s="55" t="str">
        <f>IFERROR(__xludf.DUMMYFUNCTION("QUERY('Volunteer Survey'!B22)"),"Marwan Shinawi")</f>
        <v>Marwan Shinawi</v>
      </c>
      <c r="M22" s="55" t="str">
        <f>IFERROR(__xludf.DUMMYFUNCTION("QUERY('Volunteer Survey'!E22)"),"mshinawi@wustl.edu")</f>
        <v>mshinawi@wustl.edu</v>
      </c>
      <c r="N22" s="55" t="str">
        <f>IFERROR(__xludf.DUMMYFUNCTION("QUERY('Volunteer Survey'!F22)"),"Clinical Medical Geneticist")</f>
        <v>Clinical Medical Geneticist</v>
      </c>
      <c r="O22" s="48" t="str">
        <f>IFERROR(__xludf.DUMMYFUNCTION("QUERY('Volunteer Survey'!H22)"),"Comprehensive")</f>
        <v>Comprehensive</v>
      </c>
      <c r="P22" s="55" t="str">
        <f>IFERROR(__xludf.DUMMYFUNCTION("QUERY('Volunteer Survey'!I22)"),"Clinical Actionability")</f>
        <v>Clinical Actionability</v>
      </c>
      <c r="Q22" s="60" t="str">
        <f>IFERROR(__xludf.DUMMYFUNCTION("QUERY('Volunteer Survey'!J22)"),"Gene-Disease Validity")</f>
        <v>Gene-Disease Validity</v>
      </c>
      <c r="R22" s="55" t="str">
        <f>IFERROR(__xludf.DUMMYFUNCTION("QUERY('Volunteer Survey'!K22)"),"Variant Pathogenicity")</f>
        <v>Variant Pathogenicity</v>
      </c>
      <c r="S22" s="55" t="str">
        <f>IFERROR(__xludf.DUMMYFUNCTION("QUERY('Volunteer Survey'!L22)"),"Dosage Sensitivity")</f>
        <v>Dosage Sensitivity</v>
      </c>
      <c r="T22" s="55" t="str">
        <f>IFERROR(__xludf.DUMMYFUNCTION("QUERY('Volunteer Survey'!M22)"),"Somatic Cancer")</f>
        <v>Somatic Cancer</v>
      </c>
      <c r="U22" s="64" t="str">
        <f>IFERROR(__xludf.DUMMYFUNCTION("QUERY('Volunteer Survey'!N22)"),"To some extent")</f>
        <v>To some extent</v>
      </c>
      <c r="V22" s="55" t="str">
        <f>IFERROR(__xludf.DUMMYFUNCTION("QUERY('Volunteer Survey'!O22)"),"Yes")</f>
        <v>Yes</v>
      </c>
      <c r="W22" s="66" t="str">
        <f>IFERROR(__xludf.DUMMYFUNCTION("QUERY('Volunteer Survey'!P22)"),"Autism and Intellectual Disability Gene Curation Expert Panel")</f>
        <v>Autism and Intellectual Disability Gene Curation Expert Panel</v>
      </c>
      <c r="X22" s="64" t="str">
        <f>IFERROR(__xludf.DUMMYFUNCTION("QUERY('Volunteer Survey'!R22)"),"No - I am only interested in the group(s) I previously indicated")</f>
        <v>No - I am only interested in the group(s) I previously indicated</v>
      </c>
      <c r="Y22" s="53"/>
      <c r="Z22" s="182">
        <f>IFERROR(__xludf.DUMMYFUNCTION("QUERY('Volunteer Survey'!A21)"),43472.425777592594)</f>
        <v>43472.42578</v>
      </c>
      <c r="AA22" s="183" t="str">
        <f>IFERROR(__xludf.DUMMYFUNCTION("QUERY('Volunteer Survey'!B21)"),"Shulin Zhang")</f>
        <v>Shulin Zhang</v>
      </c>
      <c r="AB22" s="183" t="str">
        <f>IFERROR(__xludf.DUMMYFUNCTION("QUERY('Volunteer Survey'!C21)"),"University of Kentucky, UKHealthCare")</f>
        <v>University of Kentucky, UKHealthCare</v>
      </c>
      <c r="AC22" s="183" t="str">
        <f>IFERROR(__xludf.DUMMYFUNCTION("QUERY('Volunteer Survey'!D21)"),"800 Rose Street, MS117, Lexington KY, 40536")</f>
        <v>800 Rose Street, MS117, Lexington KY, 40536</v>
      </c>
      <c r="AD22" s="183" t="str">
        <f>IFERROR(__xludf.DUMMYFUNCTION("QUERY('Volunteer Survey'!E21)"),"shulin.zhang@uky.edu")</f>
        <v>shulin.zhang@uky.edu</v>
      </c>
      <c r="AE22" s="183" t="str">
        <f>IFERROR(__xludf.DUMMYFUNCTION("QUERY('Volunteer Survey'!F21)"),"Clinical laboratory geneticist")</f>
        <v>Clinical laboratory geneticist</v>
      </c>
      <c r="AF22" s="183" t="str">
        <f>IFERROR(__xludf.DUMMYFUNCTION("QUERY('Volunteer Survey'!G21)"),"ClinGen curation expert panel's guidelines/recommendations play an indispensable role in the variant curation process in my laboratory. My lab at University of Kentucky offers genetic testing for both somatic and inherited conditions. Since I joined this "&amp;"laboratory in June 2018, my main goals focus on the developing genetic testing for cardiovascular conditions, mitochondrial/metabolic conditions, ophthalmological conditions, neonatal WES, cancer predispositions and pediatric cancers. Currently, I am part"&amp;"icularly interested in joining the curation expert panel  for 1) dosage sensitive genes 2) mitochondrial conditions 3) cardiovascular conditions. ")</f>
        <v>ClinGen curation expert panel's guidelines/recommendations play an indispensable role in the variant curation process in my laboratory. My lab at University of Kentucky offers genetic testing for both somatic and inherited conditions. Since I joined this laboratory in June 2018, my main goals focus on the developing genetic testing for cardiovascular conditions, mitochondrial/metabolic conditions, ophthalmological conditions, neonatal WES, cancer predispositions and pediatric cancers. Currently, I am particularly interested in joining the curation expert panel  for 1) dosage sensitive genes 2) mitochondrial conditions 3) cardiovascular conditions. </v>
      </c>
      <c r="AG22" s="183" t="str">
        <f>IFERROR(__xludf.DUMMYFUNCTION("QUERY('Volunteer Survey'!H21)"),"Comprehensive")</f>
        <v>Comprehensive</v>
      </c>
      <c r="AH22" s="183" t="str">
        <f>IFERROR(__xludf.DUMMYFUNCTION("QUERY('Volunteer Survey'!I21)"),"Dosage Sensitivity")</f>
        <v>Dosage Sensitivity</v>
      </c>
      <c r="AI22" s="183" t="str">
        <f>IFERROR(__xludf.DUMMYFUNCTION("QUERY('Volunteer Survey'!J21)"),"Variant Pathogenicity")</f>
        <v>Variant Pathogenicity</v>
      </c>
      <c r="AJ22" s="183" t="str">
        <f>IFERROR(__xludf.DUMMYFUNCTION("QUERY('Volunteer Survey'!K21)"),"Gene-Disease Validity")</f>
        <v>Gene-Disease Validity</v>
      </c>
      <c r="AK22" s="183" t="str">
        <f>IFERROR(__xludf.DUMMYFUNCTION("QUERY('Volunteer Survey'!L21)"),"Somatic Cancer")</f>
        <v>Somatic Cancer</v>
      </c>
      <c r="AL22" s="183" t="str">
        <f>IFERROR(__xludf.DUMMYFUNCTION("QUERY('Volunteer Survey'!M21)"),"Clinical Actionability")</f>
        <v>Clinical Actionability</v>
      </c>
      <c r="AM22" s="183" t="str">
        <f>IFERROR(__xludf.DUMMYFUNCTION("QUERY('Volunteer Survey'!N21)"),"No")</f>
        <v>No</v>
      </c>
      <c r="AN22" s="183" t="str">
        <f>IFERROR(__xludf.DUMMYFUNCTION("QUERY('Volunteer Survey'!O21)"),"No")</f>
        <v>No</v>
      </c>
      <c r="AO22" s="183" t="str">
        <f>IFERROR(__xludf.DUMMYFUNCTION("QUERY('Volunteer Survey'!P21)"),"1) Dosage sensitivity working group expert panel (inherited cancers) 2) Colorectal cancer 3) mitochondrial diseases")</f>
        <v>1) Dosage sensitivity working group expert panel (inherited cancers) 2) Colorectal cancer 3) mitochondrial diseases</v>
      </c>
    </row>
    <row r="23">
      <c r="A23" s="50">
        <f>IFERROR(__xludf.DUMMYFUNCTION("QUERY('Volunteer Survey'!A23)"),43473.39076508102)</f>
        <v>43473.39077</v>
      </c>
      <c r="B23" s="48" t="s">
        <v>108</v>
      </c>
      <c r="C23" s="53"/>
      <c r="D23" s="65">
        <v>43605.0</v>
      </c>
      <c r="E23" s="48" t="s">
        <v>117</v>
      </c>
      <c r="F23" s="48" t="s">
        <v>117</v>
      </c>
      <c r="G23" s="48" t="s">
        <v>251</v>
      </c>
      <c r="H23" s="51" t="s">
        <v>252</v>
      </c>
      <c r="I23" s="51" t="s">
        <v>139</v>
      </c>
      <c r="J23" s="56">
        <v>43712.0</v>
      </c>
      <c r="K23" s="56"/>
      <c r="L23" s="55" t="str">
        <f>IFERROR(__xludf.DUMMYFUNCTION("QUERY('Volunteer Survey'!B23)"),"Adam Coovadia")</f>
        <v>Adam Coovadia</v>
      </c>
      <c r="M23" s="55" t="str">
        <f>IFERROR(__xludf.DUMMYFUNCTION("QUERY('Volunteer Survey'!E23)"),"coovadiaa@gmail.com")</f>
        <v>coovadiaa@gmail.com</v>
      </c>
      <c r="N23" s="55" t="str">
        <f>IFERROR(__xludf.DUMMYFUNCTION("QUERY('Volunteer Survey'!F23)"),"Former Lab Operations Director/Molecular Genetics Lab Supervisor and College Professor of Bioinformatics, Genetics, Cell Biology, Biotechnology")</f>
        <v>Former Lab Operations Director/Molecular Genetics Lab Supervisor and College Professor of Bioinformatics, Genetics, Cell Biology, Biotechnology</v>
      </c>
      <c r="O23" s="48" t="str">
        <f>IFERROR(__xludf.DUMMYFUNCTION("QUERY('Volunteer Survey'!H23)"),"Comprehensive")</f>
        <v>Comprehensive</v>
      </c>
      <c r="P23" s="55" t="str">
        <f>IFERROR(__xludf.DUMMYFUNCTION("QUERY('Volunteer Survey'!I23)"),"Variant Pathogenicity")</f>
        <v>Variant Pathogenicity</v>
      </c>
      <c r="Q23" s="60" t="str">
        <f>IFERROR(__xludf.DUMMYFUNCTION("QUERY('Volunteer Survey'!J23)"),"Gene-Disease Validity")</f>
        <v>Gene-Disease Validity</v>
      </c>
      <c r="R23" s="55" t="str">
        <f>IFERROR(__xludf.DUMMYFUNCTION("QUERY('Volunteer Survey'!K23)"),"Somatic Cancer")</f>
        <v>Somatic Cancer</v>
      </c>
      <c r="S23" s="55" t="str">
        <f>IFERROR(__xludf.DUMMYFUNCTION("QUERY('Volunteer Survey'!L23)"),"Clinical Actionability")</f>
        <v>Clinical Actionability</v>
      </c>
      <c r="T23" s="55" t="str">
        <f>IFERROR(__xludf.DUMMYFUNCTION("QUERY('Volunteer Survey'!M23)"),"Dosage Sensitivity")</f>
        <v>Dosage Sensitivity</v>
      </c>
      <c r="U23" s="64" t="str">
        <f>IFERROR(__xludf.DUMMYFUNCTION("QUERY('Volunteer Survey'!N23)"),"")</f>
        <v/>
      </c>
      <c r="V23" s="55" t="str">
        <f>IFERROR(__xludf.DUMMYFUNCTION("QUERY('Volunteer Survey'!O23)"),"Yes")</f>
        <v>Yes</v>
      </c>
      <c r="W23" s="66" t="str">
        <f>IFERROR(__xludf.DUMMYFUNCTION("QUERY('Volunteer Survey'!P23)"),"")</f>
        <v/>
      </c>
      <c r="X23" s="64" t="str">
        <f>IFERROR(__xludf.DUMMYFUNCTION("QUERY('Volunteer Survey'!R23)"),"Yes- I am willing to volunteer with any available ClinGen group")</f>
        <v>Yes- I am willing to volunteer with any available ClinGen group</v>
      </c>
      <c r="Y23" s="53"/>
      <c r="Z23" s="182">
        <f>IFERROR(__xludf.DUMMYFUNCTION("QUERY('Volunteer Survey'!A22)"),43472.537255601856)</f>
        <v>43472.53726</v>
      </c>
      <c r="AA23" s="183" t="str">
        <f>IFERROR(__xludf.DUMMYFUNCTION("QUERY('Volunteer Survey'!B22)"),"Marwan Shinawi")</f>
        <v>Marwan Shinawi</v>
      </c>
      <c r="AB23" s="183" t="str">
        <f>IFERROR(__xludf.DUMMYFUNCTION("QUERY('Volunteer Survey'!C22)"),"Washington University School of Medicine")</f>
        <v>Washington University School of Medicine</v>
      </c>
      <c r="AC23" s="183" t="str">
        <f>IFERROR(__xludf.DUMMYFUNCTION("QUERY('Volunteer Survey'!D22)"),"One Childrens Place, Northwest Tower, 9132")</f>
        <v>One Childrens Place, Northwest Tower, 9132</v>
      </c>
      <c r="AD23" s="183" t="str">
        <f>IFERROR(__xludf.DUMMYFUNCTION("QUERY('Volunteer Survey'!E22)"),"mshinawi@wustl.edu")</f>
        <v>mshinawi@wustl.edu</v>
      </c>
      <c r="AE23" s="183" t="str">
        <f>IFERROR(__xludf.DUMMYFUNCTION("QUERY('Volunteer Survey'!F22)"),"Clinical Medical Geneticist")</f>
        <v>Clinical Medical Geneticist</v>
      </c>
      <c r="AF23" s="183" t="str">
        <f>IFERROR(__xludf.DUMMYFUNCTION("QUERY('Volunteer Survey'!G22)"),"I am a clinical geneticist and have special interest in genomic medicine and disease gene discovery. I lead the effort to establish an exome clinic five years ago at Washington University School of Medicine. I have good experience in interpretation of exo"&amp;"me results, exploring genotype phenotype correlation, and using in silico tools for variant classification. I hear about ClinGen through scientific conferences and colleagues in the field of medical genetics.   ")</f>
        <v>I am a clinical geneticist and have special interest in genomic medicine and disease gene discovery. I lead the effort to establish an exome clinic five years ago at Washington University School of Medicine. I have good experience in interpretation of exome results, exploring genotype phenotype correlation, and using in silico tools for variant classification. I hear about ClinGen through scientific conferences and colleagues in the field of medical genetics.   </v>
      </c>
      <c r="AG23" s="183" t="str">
        <f>IFERROR(__xludf.DUMMYFUNCTION("QUERY('Volunteer Survey'!H22)"),"Comprehensive")</f>
        <v>Comprehensive</v>
      </c>
      <c r="AH23" s="183" t="str">
        <f>IFERROR(__xludf.DUMMYFUNCTION("QUERY('Volunteer Survey'!I22)"),"Clinical Actionability")</f>
        <v>Clinical Actionability</v>
      </c>
      <c r="AI23" s="183" t="str">
        <f>IFERROR(__xludf.DUMMYFUNCTION("QUERY('Volunteer Survey'!J22)"),"Gene-Disease Validity")</f>
        <v>Gene-Disease Validity</v>
      </c>
      <c r="AJ23" s="183" t="str">
        <f>IFERROR(__xludf.DUMMYFUNCTION("QUERY('Volunteer Survey'!K22)"),"Variant Pathogenicity")</f>
        <v>Variant Pathogenicity</v>
      </c>
      <c r="AK23" s="183" t="str">
        <f>IFERROR(__xludf.DUMMYFUNCTION("QUERY('Volunteer Survey'!L22)"),"Dosage Sensitivity")</f>
        <v>Dosage Sensitivity</v>
      </c>
      <c r="AL23" s="183" t="str">
        <f>IFERROR(__xludf.DUMMYFUNCTION("QUERY('Volunteer Survey'!M22)"),"Somatic Cancer")</f>
        <v>Somatic Cancer</v>
      </c>
      <c r="AM23" s="183" t="str">
        <f>IFERROR(__xludf.DUMMYFUNCTION("QUERY('Volunteer Survey'!N22)"),"To some extent")</f>
        <v>To some extent</v>
      </c>
      <c r="AN23" s="183" t="str">
        <f>IFERROR(__xludf.DUMMYFUNCTION("QUERY('Volunteer Survey'!O22)"),"Yes")</f>
        <v>Yes</v>
      </c>
      <c r="AO23" s="183" t="str">
        <f>IFERROR(__xludf.DUMMYFUNCTION("QUERY('Volunteer Survey'!P22)"),"Autism and Intellectual Disability Gene Curation Expert Panel")</f>
        <v>Autism and Intellectual Disability Gene Curation Expert Panel</v>
      </c>
    </row>
    <row r="24">
      <c r="A24" s="50">
        <f>IFERROR(__xludf.DUMMYFUNCTION("QUERY('Volunteer Survey'!A24)"),43332.58121527778)</f>
        <v>43332.58122</v>
      </c>
      <c r="B24" s="48" t="s">
        <v>160</v>
      </c>
      <c r="C24" s="79">
        <v>43446.0</v>
      </c>
      <c r="D24" s="56">
        <v>43446.0</v>
      </c>
      <c r="E24" s="48" t="s">
        <v>117</v>
      </c>
      <c r="F24" s="48" t="s">
        <v>117</v>
      </c>
      <c r="G24" s="48" t="s">
        <v>122</v>
      </c>
      <c r="H24" s="51" t="s">
        <v>20</v>
      </c>
      <c r="I24" s="51" t="s">
        <v>139</v>
      </c>
      <c r="J24" s="56">
        <v>43592.0</v>
      </c>
      <c r="K24" s="56">
        <v>43713.0</v>
      </c>
      <c r="L24" s="55" t="str">
        <f>IFERROR(__xludf.DUMMYFUNCTION("QUERY('Volunteer Survey'!B24)"),"Volkan Okur")</f>
        <v>Volkan Okur</v>
      </c>
      <c r="M24" s="55" t="str">
        <f>IFERROR(__xludf.DUMMYFUNCTION("QUERY('Volunteer Survey'!E24)"),"vokur@bcm.edu")</f>
        <v>vokur@bcm.edu</v>
      </c>
      <c r="N24" s="55" t="str">
        <f>IFERROR(__xludf.DUMMYFUNCTION("QUERY('Volunteer Survey'!F24)"),"Clinical medical geneticist/Clinical laboratory geneticist/Post Doc/Resident/Fellow (MD and/or Phd)/Scientific Researcher/Variant Analyst/Scientist")</f>
        <v>Clinical medical geneticist/Clinical laboratory geneticist/Post Doc/Resident/Fellow (MD and/or Phd)/Scientific Researcher/Variant Analyst/Scientist</v>
      </c>
      <c r="O24" s="48" t="str">
        <f>IFERROR(__xludf.DUMMYFUNCTION("QUERY('Volunteer Survey'!H24)"),"Comprehensive")</f>
        <v>Comprehensive</v>
      </c>
      <c r="P24" s="55" t="str">
        <f>IFERROR(__xludf.DUMMYFUNCTION("QUERY('Volunteer Survey'!I24)"),"Gene-Disease Validity")</f>
        <v>Gene-Disease Validity</v>
      </c>
      <c r="Q24" s="60" t="str">
        <f>IFERROR(__xludf.DUMMYFUNCTION("QUERY('Volunteer Survey'!J24)"),"Variant Pathogenicity")</f>
        <v>Variant Pathogenicity</v>
      </c>
      <c r="R24" s="55" t="str">
        <f>IFERROR(__xludf.DUMMYFUNCTION("QUERY('Volunteer Survey'!K24)"),"Actionability")</f>
        <v>Actionability</v>
      </c>
      <c r="S24" s="55" t="str">
        <f>IFERROR(__xludf.DUMMYFUNCTION("QUERY('Volunteer Survey'!L24)"),"Somatic Cancer")</f>
        <v>Somatic Cancer</v>
      </c>
      <c r="T24" s="55" t="str">
        <f>IFERROR(__xludf.DUMMYFUNCTION("QUERY('Volunteer Survey'!M24)"),"Dosage Sensitivity")</f>
        <v>Dosage Sensitivity</v>
      </c>
      <c r="U24" s="64" t="str">
        <f>IFERROR(__xludf.DUMMYFUNCTION("QUERY('Volunteer Survey'!N24)"),"Yes")</f>
        <v>Yes</v>
      </c>
      <c r="V24" s="55" t="str">
        <f>IFERROR(__xludf.DUMMYFUNCTION("QUERY('Volunteer Survey'!O24)"),"")</f>
        <v/>
      </c>
      <c r="W24" s="66" t="str">
        <f>IFERROR(__xludf.DUMMYFUNCTION("QUERY('Volunteer Survey'!P24)"),"any expert panel of hereditary cancer and/or inborn errors of metabolism domains. ClinVar experts can decide where I would be of the most help.")</f>
        <v>any expert panel of hereditary cancer and/or inborn errors of metabolism domains. ClinVar experts can decide where I would be of the most help.</v>
      </c>
      <c r="X24" s="64" t="str">
        <f>IFERROR(__xludf.DUMMYFUNCTION("QUERY('Volunteer Survey'!R24)"),"")</f>
        <v/>
      </c>
      <c r="Y24" s="53"/>
      <c r="Z24" s="182">
        <f>IFERROR(__xludf.DUMMYFUNCTION("QUERY('Volunteer Survey'!A23)"),43473.39076508102)</f>
        <v>43473.39077</v>
      </c>
      <c r="AA24" s="183" t="str">
        <f>IFERROR(__xludf.DUMMYFUNCTION("QUERY('Volunteer Survey'!B23)"),"Adam Coovadia")</f>
        <v>Adam Coovadia</v>
      </c>
      <c r="AB24" s="183" t="str">
        <f>IFERROR(__xludf.DUMMYFUNCTION("QUERY('Volunteer Survey'!C23)"),"Saint Petersburg College")</f>
        <v>Saint Petersburg College</v>
      </c>
      <c r="AC24" s="183" t="str">
        <f>IFERROR(__xludf.DUMMYFUNCTION("QUERY('Volunteer Survey'!D23)"),"1201 Fairway Ave South")</f>
        <v>1201 Fairway Ave South</v>
      </c>
      <c r="AD24" s="183" t="str">
        <f>IFERROR(__xludf.DUMMYFUNCTION("QUERY('Volunteer Survey'!E23)"),"coovadiaa@gmail.com")</f>
        <v>coovadiaa@gmail.com</v>
      </c>
      <c r="AE24" s="183" t="str">
        <f>IFERROR(__xludf.DUMMYFUNCTION("QUERY('Volunteer Survey'!F23)"),"Former Lab Operations Director/Molecular Genetics Lab Supervisor and College Professor of Bioinformatics, Genetics, Cell Biology, Biotechnology")</f>
        <v>Former Lab Operations Director/Molecular Genetics Lab Supervisor and College Professor of Bioinformatics, Genetics, Cell Biology, Biotechnology</v>
      </c>
      <c r="AF24" s="183" t="str">
        <f>IFERROR(__xludf.DUMMYFUNCTION("QUERY('Volunteer Survey'!G23)"),"I have been involved with variant science for 13 years both as the Supervisor of the clinical molecular genetics lab at Johns Hopkins Medicine/All Children's Hospital and the Director of Lab Operations at EvolveGene/Cooper Genomics. In addition, I have be"&amp;"en an active CAP lab inspector of molecular labs for 10 years now. I have contributed to HGMD, ClinVar and other databases. I am interested in assisting with this project so as to help resolve and or reduce variant discrepancies and learn something along "&amp;"the way! While my experience is in germ line variants for genes typically associated with carrier tests and or esoteric tests, I am open to assisting with any gene and or disease, as needed.  ")</f>
        <v>I have been involved with variant science for 13 years both as the Supervisor of the clinical molecular genetics lab at Johns Hopkins Medicine/All Children's Hospital and the Director of Lab Operations at EvolveGene/Cooper Genomics. In addition, I have been an active CAP lab inspector of molecular labs for 10 years now. I have contributed to HGMD, ClinVar and other databases. I am interested in assisting with this project so as to help resolve and or reduce variant discrepancies and learn something along the way! While my experience is in germ line variants for genes typically associated with carrier tests and or esoteric tests, I am open to assisting with any gene and or disease, as needed.  </v>
      </c>
      <c r="AG24" s="183" t="str">
        <f>IFERROR(__xludf.DUMMYFUNCTION("QUERY('Volunteer Survey'!H23)"),"Comprehensive")</f>
        <v>Comprehensive</v>
      </c>
      <c r="AH24" s="183" t="str">
        <f>IFERROR(__xludf.DUMMYFUNCTION("QUERY('Volunteer Survey'!I23)"),"Variant Pathogenicity")</f>
        <v>Variant Pathogenicity</v>
      </c>
      <c r="AI24" s="183" t="str">
        <f>IFERROR(__xludf.DUMMYFUNCTION("QUERY('Volunteer Survey'!J23)"),"Gene-Disease Validity")</f>
        <v>Gene-Disease Validity</v>
      </c>
      <c r="AJ24" s="183" t="str">
        <f>IFERROR(__xludf.DUMMYFUNCTION("QUERY('Volunteer Survey'!K23)"),"Somatic Cancer")</f>
        <v>Somatic Cancer</v>
      </c>
      <c r="AK24" s="183" t="str">
        <f>IFERROR(__xludf.DUMMYFUNCTION("QUERY('Volunteer Survey'!L23)"),"Clinical Actionability")</f>
        <v>Clinical Actionability</v>
      </c>
      <c r="AL24" s="183" t="str">
        <f>IFERROR(__xludf.DUMMYFUNCTION("QUERY('Volunteer Survey'!M23)"),"Dosage Sensitivity")</f>
        <v>Dosage Sensitivity</v>
      </c>
      <c r="AM24" s="183" t="str">
        <f>IFERROR(__xludf.DUMMYFUNCTION("QUERY('Volunteer Survey'!N23)"),"")</f>
        <v/>
      </c>
      <c r="AN24" s="183" t="str">
        <f>IFERROR(__xludf.DUMMYFUNCTION("QUERY('Volunteer Survey'!O23)"),"Yes")</f>
        <v>Yes</v>
      </c>
      <c r="AO24" s="183" t="str">
        <f>IFERROR(__xludf.DUMMYFUNCTION("QUERY('Volunteer Survey'!P23)"),"")</f>
        <v/>
      </c>
    </row>
    <row r="25">
      <c r="A25" s="50">
        <f>IFERROR(__xludf.DUMMYFUNCTION("QUERY('Volunteer Survey'!A25)"),43332.58226851852)</f>
        <v>43332.58227</v>
      </c>
      <c r="B25" s="48" t="s">
        <v>160</v>
      </c>
      <c r="C25" s="79">
        <v>43411.0</v>
      </c>
      <c r="D25" s="56">
        <v>43446.0</v>
      </c>
      <c r="E25" s="48" t="s">
        <v>117</v>
      </c>
      <c r="F25" s="48" t="s">
        <v>117</v>
      </c>
      <c r="G25" s="48" t="s">
        <v>122</v>
      </c>
      <c r="H25" s="51" t="s">
        <v>197</v>
      </c>
      <c r="I25" s="51" t="s">
        <v>139</v>
      </c>
      <c r="J25" s="56">
        <v>43592.0</v>
      </c>
      <c r="K25" s="56">
        <v>43713.0</v>
      </c>
      <c r="L25" s="55" t="str">
        <f>IFERROR(__xludf.DUMMYFUNCTION("QUERY('Volunteer Survey'!B25)"),"Mythily Ganapathi")</f>
        <v>Mythily Ganapathi</v>
      </c>
      <c r="M25" s="55" t="str">
        <f>IFERROR(__xludf.DUMMYFUNCTION("QUERY('Volunteer Survey'!E25)"),"mg3560@cumc.columbia.edu")</f>
        <v>mg3560@cumc.columbia.edu</v>
      </c>
      <c r="N25" s="55" t="str">
        <f>IFERROR(__xludf.DUMMYFUNCTION("QUERY('Volunteer Survey'!F25)"),"Clinical laboratory geneticist")</f>
        <v>Clinical laboratory geneticist</v>
      </c>
      <c r="O25" s="48" t="str">
        <f>IFERROR(__xludf.DUMMYFUNCTION("QUERY('Volunteer Survey'!H25)"),"Comprehensive")</f>
        <v>Comprehensive</v>
      </c>
      <c r="P25" s="55" t="str">
        <f>IFERROR(__xludf.DUMMYFUNCTION("QUERY('Volunteer Survey'!I25)"),"Gene-Disease Validity")</f>
        <v>Gene-Disease Validity</v>
      </c>
      <c r="Q25" s="60" t="str">
        <f>IFERROR(__xludf.DUMMYFUNCTION("QUERY('Volunteer Survey'!J25)"),"Variant Pathogenicity")</f>
        <v>Variant Pathogenicity</v>
      </c>
      <c r="R25" s="55" t="str">
        <f>IFERROR(__xludf.DUMMYFUNCTION("QUERY('Volunteer Survey'!K25)"),"Actionability")</f>
        <v>Actionability</v>
      </c>
      <c r="S25" s="55" t="str">
        <f>IFERROR(__xludf.DUMMYFUNCTION("QUERY('Volunteer Survey'!L25)"),"")</f>
        <v/>
      </c>
      <c r="T25" s="55" t="str">
        <f>IFERROR(__xludf.DUMMYFUNCTION("QUERY('Volunteer Survey'!M25)"),"")</f>
        <v/>
      </c>
      <c r="U25" s="64" t="str">
        <f>IFERROR(__xludf.DUMMYFUNCTION("QUERY('Volunteer Survey'!N25)"),"Yes")</f>
        <v>Yes</v>
      </c>
      <c r="V25" s="55" t="str">
        <f>IFERROR(__xludf.DUMMYFUNCTION("QUERY('Volunteer Survey'!O25)"),"")</f>
        <v/>
      </c>
      <c r="W25" s="66" t="str">
        <f>IFERROR(__xludf.DUMMYFUNCTION("QUERY('Volunteer Survey'!P25)"),"Cardiovascular Dilated Cardiomyopathy Gene Curation Expert Panel (In progress) Cardiovascular Familial Hypercholesterolemia Variant Curation Expert Panel (In progress) Cardiovascular KCNQ1 Variant Curation Expert Panel (In progress) Cardiovascular LQTS Ge"&amp;"ne Curation Expert Panel (In progress) Cardiovascular KCNQ1 Variant Curation Expert Panel")</f>
        <v>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v>
      </c>
      <c r="X25" s="64" t="str">
        <f>IFERROR(__xludf.DUMMYFUNCTION("QUERY('Volunteer Survey'!R25)"),"")</f>
        <v/>
      </c>
      <c r="Y25" s="53"/>
      <c r="Z25" s="182">
        <f>IFERROR(__xludf.DUMMYFUNCTION("QUERY('Volunteer Survey'!A24)"),43332.58121527778)</f>
        <v>43332.58122</v>
      </c>
      <c r="AA25" s="183" t="str">
        <f>IFERROR(__xludf.DUMMYFUNCTION("QUERY('Volunteer Survey'!B24)"),"Volkan Okur")</f>
        <v>Volkan Okur</v>
      </c>
      <c r="AB25" s="183" t="str">
        <f>IFERROR(__xludf.DUMMYFUNCTION("QUERY('Volunteer Survey'!C24)"),"Baylor college of Medicine")</f>
        <v>Baylor college of Medicine</v>
      </c>
      <c r="AC25" s="183" t="str">
        <f>IFERROR(__xludf.DUMMYFUNCTION("QUERY('Volunteer Survey'!D24)"),"Houston, Texas")</f>
        <v>Houston, Texas</v>
      </c>
      <c r="AD25" s="183" t="str">
        <f>IFERROR(__xludf.DUMMYFUNCTION("QUERY('Volunteer Survey'!E24)"),"vokur@bcm.edu")</f>
        <v>vokur@bcm.edu</v>
      </c>
      <c r="AE25" s="183" t="str">
        <f>IFERROR(__xludf.DUMMYFUNCTION("QUERY('Volunteer Survey'!F24)"),"Clinical medical geneticist/Clinical laboratory geneticist/Post Doc/Resident/Fellow (MD and/or Phd)/Scientific Researcher/Variant Analyst/Scientist")</f>
        <v>Clinical medical geneticist/Clinical laboratory geneticist/Post Doc/Resident/Fellow (MD and/or Phd)/Scientific Researcher/Variant Analyst/Scientist</v>
      </c>
      <c r="AF25" s="183" t="str">
        <f>IFERROR(__xludf.DUMMYFUNCTION("QUERY('Volunteer Survey'!G24)"),"any expert panel of hereditary cancer and/or inborn errors of metabolism domains. ClinVar experts can decide where I would be of the most help.")</f>
        <v>any expert panel of hereditary cancer and/or inborn errors of metabolism domains. ClinVar experts can decide where I would be of the most help.</v>
      </c>
      <c r="AG25" s="183" t="str">
        <f>IFERROR(__xludf.DUMMYFUNCTION("QUERY('Volunteer Survey'!H24)"),"Comprehensive")</f>
        <v>Comprehensive</v>
      </c>
      <c r="AH25" s="183" t="str">
        <f>IFERROR(__xludf.DUMMYFUNCTION("QUERY('Volunteer Survey'!I24)"),"Gene-Disease Validity")</f>
        <v>Gene-Disease Validity</v>
      </c>
      <c r="AI25" s="183" t="str">
        <f>IFERROR(__xludf.DUMMYFUNCTION("QUERY('Volunteer Survey'!J24)"),"Variant Pathogenicity")</f>
        <v>Variant Pathogenicity</v>
      </c>
      <c r="AJ25" s="183" t="str">
        <f>IFERROR(__xludf.DUMMYFUNCTION("QUERY('Volunteer Survey'!K24)"),"Actionability")</f>
        <v>Actionability</v>
      </c>
      <c r="AK25" s="183" t="str">
        <f>IFERROR(__xludf.DUMMYFUNCTION("QUERY('Volunteer Survey'!L24)"),"Somatic Cancer")</f>
        <v>Somatic Cancer</v>
      </c>
      <c r="AL25" s="183" t="str">
        <f>IFERROR(__xludf.DUMMYFUNCTION("QUERY('Volunteer Survey'!M24)"),"Dosage Sensitivity")</f>
        <v>Dosage Sensitivity</v>
      </c>
      <c r="AM25" s="183" t="str">
        <f>IFERROR(__xludf.DUMMYFUNCTION("QUERY('Volunteer Survey'!N24)"),"Yes")</f>
        <v>Yes</v>
      </c>
      <c r="AN25" s="183" t="str">
        <f>IFERROR(__xludf.DUMMYFUNCTION("QUERY('Volunteer Survey'!O24)"),"")</f>
        <v/>
      </c>
      <c r="AO25" s="183" t="str">
        <f>IFERROR(__xludf.DUMMYFUNCTION("QUERY('Volunteer Survey'!P24)"),"any expert panel of hereditary cancer and/or inborn errors of metabolism domains. ClinVar experts can decide where I would be of the most help.")</f>
        <v>any expert panel of hereditary cancer and/or inborn errors of metabolism domains. ClinVar experts can decide where I would be of the most help.</v>
      </c>
    </row>
    <row r="26">
      <c r="A26" s="86">
        <f>IFERROR(__xludf.DUMMYFUNCTION("QUERY('Volunteer Survey'!A26)"),43332.58315972222)</f>
        <v>43332.58316</v>
      </c>
      <c r="B26" s="48" t="s">
        <v>168</v>
      </c>
      <c r="C26" s="87"/>
      <c r="D26" s="65">
        <v>43585.0</v>
      </c>
      <c r="E26" s="48" t="s">
        <v>117</v>
      </c>
      <c r="F26" s="48" t="s">
        <v>130</v>
      </c>
      <c r="G26" s="48" t="s">
        <v>122</v>
      </c>
      <c r="H26" s="53"/>
      <c r="I26" s="51" t="s">
        <v>139</v>
      </c>
      <c r="J26" s="55"/>
      <c r="K26" s="55"/>
      <c r="L26" s="55" t="str">
        <f>IFERROR(__xludf.DUMMYFUNCTION("QUERY('Volunteer Survey'!B26)"),"Leslie Oldfield")</f>
        <v>Leslie Oldfield</v>
      </c>
      <c r="M26" s="55" t="str">
        <f>IFERROR(__xludf.DUMMYFUNCTION("QUERY('Volunteer Survey'!E26)"),"leslie.oldfield@gmail.com")</f>
        <v>leslie.oldfield@gmail.com</v>
      </c>
      <c r="N26" s="55" t="str">
        <f>IFERROR(__xludf.DUMMYFUNCTION("QUERY('Volunteer Survey'!F26)"),"Research Associate")</f>
        <v>Research Associate</v>
      </c>
      <c r="O26" s="48" t="str">
        <f>IFERROR(__xludf.DUMMYFUNCTION("QUERY('Volunteer Survey'!H26)"),"Comprehensive")</f>
        <v>Comprehensive</v>
      </c>
      <c r="P26" s="55" t="str">
        <f>IFERROR(__xludf.DUMMYFUNCTION("QUERY('Volunteer Survey'!I26)"),"Gene-Disease Validity")</f>
        <v>Gene-Disease Validity</v>
      </c>
      <c r="Q26" s="60" t="str">
        <f>IFERROR(__xludf.DUMMYFUNCTION("QUERY('Volunteer Survey'!J26)"),"Variant Pathogenicity")</f>
        <v>Variant Pathogenicity</v>
      </c>
      <c r="R26" s="55" t="str">
        <f>IFERROR(__xludf.DUMMYFUNCTION("QUERY('Volunteer Survey'!K26)"),"Actionability")</f>
        <v>Actionability</v>
      </c>
      <c r="S26" s="55" t="str">
        <f>IFERROR(__xludf.DUMMYFUNCTION("QUERY('Volunteer Survey'!L26)"),"Somatic Cancer")</f>
        <v>Somatic Cancer</v>
      </c>
      <c r="T26" s="55" t="str">
        <f>IFERROR(__xludf.DUMMYFUNCTION("QUERY('Volunteer Survey'!M26)"),"")</f>
        <v/>
      </c>
      <c r="U26" s="64" t="str">
        <f>IFERROR(__xludf.DUMMYFUNCTION("QUERY('Volunteer Survey'!N26)"),"Yes")</f>
        <v>Yes</v>
      </c>
      <c r="V26" s="55" t="str">
        <f>IFERROR(__xludf.DUMMYFUNCTION("QUERY('Volunteer Survey'!O26)"),"")</f>
        <v/>
      </c>
      <c r="W26" s="66" t="str">
        <f>IFERROR(__xludf.DUMMYFUNCTION("QUERY('Volunteer Survey'!P26)"),"Breast and Ovarian Cancer Gene Curation Expert Panel, Colon Cancer and Polyposis Gene Curation Expert Panel, and the Hereditary Cancer Gene Curation Expert Pane")</f>
        <v>Breast and Ovarian Cancer Gene Curation Expert Panel, Colon Cancer and Polyposis Gene Curation Expert Panel, and the Hereditary Cancer Gene Curation Expert Pane</v>
      </c>
      <c r="X26" s="64" t="str">
        <f>IFERROR(__xludf.DUMMYFUNCTION("QUERY('Volunteer Survey'!R26)"),"")</f>
        <v/>
      </c>
      <c r="Y26" s="53"/>
      <c r="Z26" s="182">
        <f>IFERROR(__xludf.DUMMYFUNCTION("QUERY('Volunteer Survey'!A25)"),43332.58226851852)</f>
        <v>43332.58227</v>
      </c>
      <c r="AA26" s="183" t="str">
        <f>IFERROR(__xludf.DUMMYFUNCTION("QUERY('Volunteer Survey'!B25)"),"Mythily Ganapathi")</f>
        <v>Mythily Ganapathi</v>
      </c>
      <c r="AB26" s="183" t="str">
        <f>IFERROR(__xludf.DUMMYFUNCTION("QUERY('Volunteer Survey'!C25)"),"Columbia University Medical Center")</f>
        <v>Columbia University Medical Center</v>
      </c>
      <c r="AC26" s="183" t="str">
        <f>IFERROR(__xludf.DUMMYFUNCTION("QUERY('Volunteer Survey'!D25)"),"New York CIty")</f>
        <v>New York CIty</v>
      </c>
      <c r="AD26" s="183" t="str">
        <f>IFERROR(__xludf.DUMMYFUNCTION("QUERY('Volunteer Survey'!E25)"),"mg3560@cumc.columbia.edu")</f>
        <v>mg3560@cumc.columbia.edu</v>
      </c>
      <c r="AE26" s="183" t="str">
        <f>IFERROR(__xludf.DUMMYFUNCTION("QUERY('Volunteer Survey'!F25)"),"Clinical laboratory geneticist")</f>
        <v>Clinical laboratory geneticist</v>
      </c>
      <c r="AF26" s="183" t="str">
        <f>IFERROR(__xludf.DUMMYFUNCTION("QUERY('Volunteer Survey'!G25)"),"Cardiovascular Dilated Cardiomyopathy Gene Curation Expert Panel (In progress) Cardiovascular Familial Hypercholesterolemia Variant Curation Expert Panel (In progress) Cardiovascular KCNQ1 Variant Curation Expert Panel (In progress) Cardiovascular LQTS Ge"&amp;"ne Curation Expert Panel (In progress) Cardiovascular KCNQ1 Variant Curation Expert Panel")</f>
        <v>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v>
      </c>
      <c r="AG26" s="183" t="str">
        <f>IFERROR(__xludf.DUMMYFUNCTION("QUERY('Volunteer Survey'!H25)"),"Comprehensive")</f>
        <v>Comprehensive</v>
      </c>
      <c r="AH26" s="183" t="str">
        <f>IFERROR(__xludf.DUMMYFUNCTION("QUERY('Volunteer Survey'!I25)"),"Gene-Disease Validity")</f>
        <v>Gene-Disease Validity</v>
      </c>
      <c r="AI26" s="183" t="str">
        <f>IFERROR(__xludf.DUMMYFUNCTION("QUERY('Volunteer Survey'!J25)"),"Variant Pathogenicity")</f>
        <v>Variant Pathogenicity</v>
      </c>
      <c r="AJ26" s="183" t="str">
        <f>IFERROR(__xludf.DUMMYFUNCTION("QUERY('Volunteer Survey'!K25)"),"Actionability")</f>
        <v>Actionability</v>
      </c>
      <c r="AK26" s="183" t="str">
        <f>IFERROR(__xludf.DUMMYFUNCTION("QUERY('Volunteer Survey'!L25)"),"")</f>
        <v/>
      </c>
      <c r="AL26" s="183" t="str">
        <f>IFERROR(__xludf.DUMMYFUNCTION("QUERY('Volunteer Survey'!M25)"),"")</f>
        <v/>
      </c>
      <c r="AM26" s="183" t="str">
        <f>IFERROR(__xludf.DUMMYFUNCTION("QUERY('Volunteer Survey'!N25)"),"Yes")</f>
        <v>Yes</v>
      </c>
      <c r="AN26" s="183" t="str">
        <f>IFERROR(__xludf.DUMMYFUNCTION("QUERY('Volunteer Survey'!O25)"),"")</f>
        <v/>
      </c>
      <c r="AO26" s="183" t="str">
        <f>IFERROR(__xludf.DUMMYFUNCTION("QUERY('Volunteer Survey'!P25)"),"Cardiovascular Dilated Cardiomyopathy Gene Curation Expert Panel (In progress) Cardiovascular Familial Hypercholesterolemia Variant Curation Expert Panel (In progress) Cardiovascular KCNQ1 Variant Curation Expert Panel (In progress) Cardiovascular LQTS Ge"&amp;"ne Curation Expert Panel (In progress) Cardiovascular KCNQ1 Variant Curation Expert Panel")</f>
        <v>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v>
      </c>
    </row>
    <row r="27">
      <c r="A27" s="50">
        <f>IFERROR(__xludf.DUMMYFUNCTION("QUERY('Volunteer Survey'!A27)"),43333.58667824074)</f>
        <v>43333.58668</v>
      </c>
      <c r="B27" s="48" t="s">
        <v>160</v>
      </c>
      <c r="C27" s="87">
        <v>43411.0</v>
      </c>
      <c r="D27" s="56">
        <v>43446.0</v>
      </c>
      <c r="E27" s="48" t="s">
        <v>117</v>
      </c>
      <c r="F27" s="48" t="s">
        <v>117</v>
      </c>
      <c r="G27" s="48" t="s">
        <v>122</v>
      </c>
      <c r="H27" s="51" t="s">
        <v>287</v>
      </c>
      <c r="I27" s="51" t="s">
        <v>139</v>
      </c>
      <c r="J27" s="56">
        <v>43592.0</v>
      </c>
      <c r="K27" s="56">
        <v>43713.0</v>
      </c>
      <c r="L27" s="55" t="str">
        <f>IFERROR(__xludf.DUMMYFUNCTION("QUERY('Volunteer Survey'!B27)"),"John Shoffner")</f>
        <v>John Shoffner</v>
      </c>
      <c r="M27" s="55" t="str">
        <f>IFERROR(__xludf.DUMMYFUNCTION("QUERY('Volunteer Survey'!E27)"),"jmsiv9903@icloud.com")</f>
        <v>jmsiv9903@icloud.com</v>
      </c>
      <c r="N27" s="55" t="str">
        <f>IFERROR(__xludf.DUMMYFUNCTION("QUERY('Volunteer Survey'!F27)"),"Clinical medical geneticist/Clinical laboratory geneticist and Neurology, Biochemical and Molecular Genetics")</f>
        <v>Clinical medical geneticist/Clinical laboratory geneticist and Neurology, Biochemical and Molecular Genetics</v>
      </c>
      <c r="O27" s="48" t="str">
        <f>IFERROR(__xludf.DUMMYFUNCTION("QUERY('Volunteer Survey'!H27)"),"Comprehensive")</f>
        <v>Comprehensive</v>
      </c>
      <c r="P27" s="55" t="str">
        <f>IFERROR(__xludf.DUMMYFUNCTION("QUERY('Volunteer Survey'!I27)"),"Gene-Disease Validity")</f>
        <v>Gene-Disease Validity</v>
      </c>
      <c r="Q27" s="60" t="str">
        <f>IFERROR(__xludf.DUMMYFUNCTION("QUERY('Volunteer Survey'!J27)"),"Variant Pathogenicity")</f>
        <v>Variant Pathogenicity</v>
      </c>
      <c r="R27" s="55" t="str">
        <f>IFERROR(__xludf.DUMMYFUNCTION("QUERY('Volunteer Survey'!K27)"),"Actionability")</f>
        <v>Actionability</v>
      </c>
      <c r="S27" s="55" t="str">
        <f>IFERROR(__xludf.DUMMYFUNCTION("QUERY('Volunteer Survey'!L27)"),"Dosage Sensitivity")</f>
        <v>Dosage Sensitivity</v>
      </c>
      <c r="T27" s="55" t="str">
        <f>IFERROR(__xludf.DUMMYFUNCTION("QUERY('Volunteer Survey'!M27)"),"")</f>
        <v/>
      </c>
      <c r="U27" s="64" t="str">
        <f>IFERROR(__xludf.DUMMYFUNCTION("QUERY('Volunteer Survey'!N27)"),"Yes")</f>
        <v>Yes</v>
      </c>
      <c r="V27" s="55" t="str">
        <f>IFERROR(__xludf.DUMMYFUNCTION("QUERY('Volunteer Survey'!O27)"),"")</f>
        <v/>
      </c>
      <c r="W27" s="66" t="str">
        <f>IFERROR(__xludf.DUMMYFUNCTION("QUERY('Volunteer Survey'!P27)"),"Mitochondrial disease gene and variant expert curation panel; Dilated cardiomyopathy; Fatty acid oxidation; Neuromuscular disease")</f>
        <v>Mitochondrial disease gene and variant expert curation panel; Dilated cardiomyopathy; Fatty acid oxidation; Neuromuscular disease</v>
      </c>
      <c r="X27" s="64" t="str">
        <f>IFERROR(__xludf.DUMMYFUNCTION("QUERY('Volunteer Survey'!R27)"),"")</f>
        <v/>
      </c>
      <c r="Y27" s="53"/>
      <c r="Z27" s="184">
        <f>IFERROR(__xludf.DUMMYFUNCTION("QUERY('Volunteer Survey'!A26)"),43332.58315972222)</f>
        <v>43332.58316</v>
      </c>
      <c r="AA27" s="183" t="str">
        <f>IFERROR(__xludf.DUMMYFUNCTION("QUERY('Volunteer Survey'!B26)"),"Leslie Oldfield")</f>
        <v>Leslie Oldfield</v>
      </c>
      <c r="AB27" s="183" t="str">
        <f>IFERROR(__xludf.DUMMYFUNCTION("QUERY('Volunteer Survey'!C26)"),"UHN")</f>
        <v>UHN</v>
      </c>
      <c r="AC27" s="183" t="str">
        <f>IFERROR(__xludf.DUMMYFUNCTION("QUERY('Volunteer Survey'!D26)"),"Toronto, Canada")</f>
        <v>Toronto, Canada</v>
      </c>
      <c r="AD27" s="183" t="str">
        <f>IFERROR(__xludf.DUMMYFUNCTION("QUERY('Volunteer Survey'!E26)"),"leslie.oldfield@gmail.com")</f>
        <v>leslie.oldfield@gmail.com</v>
      </c>
      <c r="AE27" s="183" t="str">
        <f>IFERROR(__xludf.DUMMYFUNCTION("QUERY('Volunteer Survey'!F26)"),"Research Associate")</f>
        <v>Research Associate</v>
      </c>
      <c r="AF27" s="183" t="str">
        <f>IFERROR(__xludf.DUMMYFUNCTION("QUERY('Volunteer Survey'!G26)"),"Breast and Ovarian Cancer Gene Curation Expert Panel, Colon Cancer and Polyposis Gene Curation Expert Panel, and the Hereditary Cancer Gene Curation Expert Panel")</f>
        <v>Breast and Ovarian Cancer Gene Curation Expert Panel, Colon Cancer and Polyposis Gene Curation Expert Panel, and the Hereditary Cancer Gene Curation Expert Panel</v>
      </c>
      <c r="AG27" s="183" t="str">
        <f>IFERROR(__xludf.DUMMYFUNCTION("QUERY('Volunteer Survey'!H26)"),"Comprehensive")</f>
        <v>Comprehensive</v>
      </c>
      <c r="AH27" s="183" t="str">
        <f>IFERROR(__xludf.DUMMYFUNCTION("QUERY('Volunteer Survey'!I26)"),"Gene-Disease Validity")</f>
        <v>Gene-Disease Validity</v>
      </c>
      <c r="AI27" s="183" t="str">
        <f>IFERROR(__xludf.DUMMYFUNCTION("QUERY('Volunteer Survey'!J26)"),"Variant Pathogenicity")</f>
        <v>Variant Pathogenicity</v>
      </c>
      <c r="AJ27" s="183" t="str">
        <f>IFERROR(__xludf.DUMMYFUNCTION("QUERY('Volunteer Survey'!K26)"),"Actionability")</f>
        <v>Actionability</v>
      </c>
      <c r="AK27" s="183" t="str">
        <f>IFERROR(__xludf.DUMMYFUNCTION("QUERY('Volunteer Survey'!L26)"),"Somatic Cancer")</f>
        <v>Somatic Cancer</v>
      </c>
      <c r="AL27" s="183" t="str">
        <f>IFERROR(__xludf.DUMMYFUNCTION("QUERY('Volunteer Survey'!M26)"),"")</f>
        <v/>
      </c>
      <c r="AM27" s="183" t="str">
        <f>IFERROR(__xludf.DUMMYFUNCTION("QUERY('Volunteer Survey'!N26)"),"Yes")</f>
        <v>Yes</v>
      </c>
      <c r="AN27" s="183" t="str">
        <f>IFERROR(__xludf.DUMMYFUNCTION("QUERY('Volunteer Survey'!O26)"),"")</f>
        <v/>
      </c>
      <c r="AO27" s="183" t="str">
        <f>IFERROR(__xludf.DUMMYFUNCTION("QUERY('Volunteer Survey'!P26)"),"Breast and Ovarian Cancer Gene Curation Expert Panel, Colon Cancer and Polyposis Gene Curation Expert Panel, and the Hereditary Cancer Gene Curation Expert Pane")</f>
        <v>Breast and Ovarian Cancer Gene Curation Expert Panel, Colon Cancer and Polyposis Gene Curation Expert Panel, and the Hereditary Cancer Gene Curation Expert Pane</v>
      </c>
    </row>
    <row r="28">
      <c r="A28" s="50">
        <f>IFERROR(__xludf.DUMMYFUNCTION("QUERY('Volunteer Survey'!A28)"),43335.587488425925)</f>
        <v>43335.58749</v>
      </c>
      <c r="B28" s="48" t="s">
        <v>160</v>
      </c>
      <c r="C28" s="87">
        <v>43411.0</v>
      </c>
      <c r="D28" s="56">
        <v>43446.0</v>
      </c>
      <c r="E28" s="48" t="s">
        <v>117</v>
      </c>
      <c r="F28" s="48" t="s">
        <v>117</v>
      </c>
      <c r="G28" s="48" t="s">
        <v>122</v>
      </c>
      <c r="H28" s="51" t="s">
        <v>287</v>
      </c>
      <c r="I28" s="51" t="s">
        <v>139</v>
      </c>
      <c r="J28" s="56">
        <v>43592.0</v>
      </c>
      <c r="K28" s="56">
        <v>43713.0</v>
      </c>
      <c r="L28" s="55" t="str">
        <f>IFERROR(__xludf.DUMMYFUNCTION("QUERY('Volunteer Survey'!B28)"),"Isabelle Thiffault")</f>
        <v>Isabelle Thiffault</v>
      </c>
      <c r="M28" s="55" t="str">
        <f>IFERROR(__xludf.DUMMYFUNCTION("QUERY('Volunteer Survey'!E28)"),"ithiffault@cmh.edu")</f>
        <v>ithiffault@cmh.edu</v>
      </c>
      <c r="N28" s="55" t="str">
        <f>IFERROR(__xludf.DUMMYFUNCTION("QUERY('Volunteer Survey'!F28)"),"Undergraduate")</f>
        <v>Undergraduate</v>
      </c>
      <c r="O28" s="48" t="str">
        <f>IFERROR(__xludf.DUMMYFUNCTION("QUERY('Volunteer Survey'!H28)"),"Comprehensive")</f>
        <v>Comprehensive</v>
      </c>
      <c r="P28" s="55" t="str">
        <f>IFERROR(__xludf.DUMMYFUNCTION("QUERY('Volunteer Survey'!I28)"),"Gene-Disease Validity")</f>
        <v>Gene-Disease Validity</v>
      </c>
      <c r="Q28" s="60" t="str">
        <f>IFERROR(__xludf.DUMMYFUNCTION("QUERY('Volunteer Survey'!J28)"),"Variant Pathogenicity")</f>
        <v>Variant Pathogenicity</v>
      </c>
      <c r="R28" s="55" t="str">
        <f>IFERROR(__xludf.DUMMYFUNCTION("QUERY('Volunteer Survey'!K28)"),"Actionability")</f>
        <v>Actionability</v>
      </c>
      <c r="S28" s="55" t="str">
        <f>IFERROR(__xludf.DUMMYFUNCTION("QUERY('Volunteer Survey'!L28)"),"Dosage Sensitivity")</f>
        <v>Dosage Sensitivity</v>
      </c>
      <c r="T28" s="55" t="str">
        <f>IFERROR(__xludf.DUMMYFUNCTION("QUERY('Volunteer Survey'!M28)"),"Somatic Cancer")</f>
        <v>Somatic Cancer</v>
      </c>
      <c r="U28" s="64" t="str">
        <f>IFERROR(__xludf.DUMMYFUNCTION("QUERY('Volunteer Survey'!N28)"),"Yes")</f>
        <v>Yes</v>
      </c>
      <c r="V28" s="55" t="str">
        <f>IFERROR(__xludf.DUMMYFUNCTION("QUERY('Volunteer Survey'!O28)"),"")</f>
        <v/>
      </c>
      <c r="W28" s="66" t="str">
        <f>IFERROR(__xludf.DUMMYFUNCTION("QUERY('Volunteer Survey'!P28)"),"Mitochondrial or ASD/ID")</f>
        <v>Mitochondrial or ASD/ID</v>
      </c>
      <c r="X28" s="64" t="str">
        <f>IFERROR(__xludf.DUMMYFUNCTION("QUERY('Volunteer Survey'!R28)"),"")</f>
        <v/>
      </c>
      <c r="Y28" s="53"/>
      <c r="Z28" s="182">
        <f>IFERROR(__xludf.DUMMYFUNCTION("QUERY('Volunteer Survey'!A27)"),43333.58667824074)</f>
        <v>43333.58668</v>
      </c>
      <c r="AA28" s="183" t="str">
        <f>IFERROR(__xludf.DUMMYFUNCTION("QUERY('Volunteer Survey'!B27)"),"John Shoffner")</f>
        <v>John Shoffner</v>
      </c>
      <c r="AB28" s="183" t="str">
        <f>IFERROR(__xludf.DUMMYFUNCTION("QUERY('Volunteer Survey'!C27)"),"N/A")</f>
        <v>N/A</v>
      </c>
      <c r="AC28" s="183" t="str">
        <f>IFERROR(__xludf.DUMMYFUNCTION("QUERY('Volunteer Survey'!D27)"),"Georgia")</f>
        <v>Georgia</v>
      </c>
      <c r="AD28" s="183" t="str">
        <f>IFERROR(__xludf.DUMMYFUNCTION("QUERY('Volunteer Survey'!E27)"),"jmsiv9903@icloud.com")</f>
        <v>jmsiv9903@icloud.com</v>
      </c>
      <c r="AE28" s="183" t="str">
        <f>IFERROR(__xludf.DUMMYFUNCTION("QUERY('Volunteer Survey'!F27)"),"Clinical medical geneticist/Clinical laboratory geneticist and Neurology, Biochemical and Molecular Genetics")</f>
        <v>Clinical medical geneticist/Clinical laboratory geneticist and Neurology, Biochemical and Molecular Genetics</v>
      </c>
      <c r="AF28" s="183" t="str">
        <f>IFERROR(__xludf.DUMMYFUNCTION("QUERY('Volunteer Survey'!G27)"),"Mitochondrial disease gene and variant expert curation panel; Dilated cardiomyopathy; Fatty acid oxidation; Neuromuscular disease")</f>
        <v>Mitochondrial disease gene and variant expert curation panel; Dilated cardiomyopathy; Fatty acid oxidation; Neuromuscular disease</v>
      </c>
      <c r="AG28" s="183" t="str">
        <f>IFERROR(__xludf.DUMMYFUNCTION("QUERY('Volunteer Survey'!H27)"),"Comprehensive")</f>
        <v>Comprehensive</v>
      </c>
      <c r="AH28" s="183" t="str">
        <f>IFERROR(__xludf.DUMMYFUNCTION("QUERY('Volunteer Survey'!I27)"),"Gene-Disease Validity")</f>
        <v>Gene-Disease Validity</v>
      </c>
      <c r="AI28" s="183" t="str">
        <f>IFERROR(__xludf.DUMMYFUNCTION("QUERY('Volunteer Survey'!J27)"),"Variant Pathogenicity")</f>
        <v>Variant Pathogenicity</v>
      </c>
      <c r="AJ28" s="183" t="str">
        <f>IFERROR(__xludf.DUMMYFUNCTION("QUERY('Volunteer Survey'!K27)"),"Actionability")</f>
        <v>Actionability</v>
      </c>
      <c r="AK28" s="183" t="str">
        <f>IFERROR(__xludf.DUMMYFUNCTION("QUERY('Volunteer Survey'!L27)"),"Dosage Sensitivity")</f>
        <v>Dosage Sensitivity</v>
      </c>
      <c r="AL28" s="183" t="str">
        <f>IFERROR(__xludf.DUMMYFUNCTION("QUERY('Volunteer Survey'!M27)"),"")</f>
        <v/>
      </c>
      <c r="AM28" s="183" t="str">
        <f>IFERROR(__xludf.DUMMYFUNCTION("QUERY('Volunteer Survey'!N27)"),"Yes")</f>
        <v>Yes</v>
      </c>
      <c r="AN28" s="183" t="str">
        <f>IFERROR(__xludf.DUMMYFUNCTION("QUERY('Volunteer Survey'!O27)"),"")</f>
        <v/>
      </c>
      <c r="AO28" s="183" t="str">
        <f>IFERROR(__xludf.DUMMYFUNCTION("QUERY('Volunteer Survey'!P27)"),"Mitochondrial disease gene and variant expert curation panel; Dilated cardiomyopathy; Fatty acid oxidation; Neuromuscular disease")</f>
        <v>Mitochondrial disease gene and variant expert curation panel; Dilated cardiomyopathy; Fatty acid oxidation; Neuromuscular disease</v>
      </c>
    </row>
    <row r="29">
      <c r="A29" s="50">
        <f>IFERROR(__xludf.DUMMYFUNCTION("QUERY('Volunteer Survey'!A29)"),43339.58819444444)</f>
        <v>43339.58819</v>
      </c>
      <c r="B29" s="48" t="s">
        <v>160</v>
      </c>
      <c r="C29" s="51" t="s">
        <v>315</v>
      </c>
      <c r="D29" s="48" t="s">
        <v>291</v>
      </c>
      <c r="E29" s="48" t="s">
        <v>130</v>
      </c>
      <c r="F29" s="48" t="s">
        <v>130</v>
      </c>
      <c r="G29" s="48" t="s">
        <v>122</v>
      </c>
      <c r="H29" s="51" t="s">
        <v>20</v>
      </c>
      <c r="I29" s="51" t="s">
        <v>139</v>
      </c>
      <c r="J29" s="56">
        <v>43592.0</v>
      </c>
      <c r="K29" s="56">
        <v>43713.0</v>
      </c>
      <c r="L29" s="55" t="str">
        <f>IFERROR(__xludf.DUMMYFUNCTION("QUERY('Volunteer Survey'!B29)"),"Ye Cao")</f>
        <v>Ye Cao</v>
      </c>
      <c r="M29" s="55" t="str">
        <f>IFERROR(__xludf.DUMMYFUNCTION("QUERY('Volunteer Survey'!E29)"),"ye.cao@bcm.edu")</f>
        <v>ye.cao@bcm.edu</v>
      </c>
      <c r="N29" s="55" t="str">
        <f>IFERROR(__xludf.DUMMYFUNCTION("QUERY('Volunteer Survey'!F29)"),"Clinical laboratory geneticist and Post Doc/Resident/Fellow (MD and/or PhD)")</f>
        <v>Clinical laboratory geneticist and Post Doc/Resident/Fellow (MD and/or PhD)</v>
      </c>
      <c r="O29" s="48" t="str">
        <f>IFERROR(__xludf.DUMMYFUNCTION("QUERY('Volunteer Survey'!H29)"),"Comprehensive")</f>
        <v>Comprehensive</v>
      </c>
      <c r="P29" s="55" t="str">
        <f>IFERROR(__xludf.DUMMYFUNCTION("QUERY('Volunteer Survey'!I29)"),"Gene-Disease Validity")</f>
        <v>Gene-Disease Validity</v>
      </c>
      <c r="Q29" s="60" t="str">
        <f>IFERROR(__xludf.DUMMYFUNCTION("QUERY('Volunteer Survey'!J29)"),"Dosage Sensitivity")</f>
        <v>Dosage Sensitivity</v>
      </c>
      <c r="R29" s="55" t="str">
        <f>IFERROR(__xludf.DUMMYFUNCTION("QUERY('Volunteer Survey'!K29)"),"")</f>
        <v/>
      </c>
      <c r="S29" s="55" t="str">
        <f>IFERROR(__xludf.DUMMYFUNCTION("QUERY('Volunteer Survey'!L29)"),"")</f>
        <v/>
      </c>
      <c r="T29" s="55" t="str">
        <f>IFERROR(__xludf.DUMMYFUNCTION("QUERY('Volunteer Survey'!M29)"),"")</f>
        <v/>
      </c>
      <c r="U29" s="64" t="str">
        <f>IFERROR(__xludf.DUMMYFUNCTION("QUERY('Volunteer Survey'!N29)"),"Yes")</f>
        <v>Yes</v>
      </c>
      <c r="V29" s="55" t="str">
        <f>IFERROR(__xludf.DUMMYFUNCTION("QUERY('Volunteer Survey'!O29)"),"")</f>
        <v/>
      </c>
      <c r="W29" s="66" t="str">
        <f>IFERROR(__xludf.DUMMYFUNCTION("QUERY('Volunteer Survey'!P29)"),"Hereditary Cancer Gene Curation Expert Panel")</f>
        <v>Hereditary Cancer Gene Curation Expert Panel</v>
      </c>
      <c r="X29" s="64" t="str">
        <f>IFERROR(__xludf.DUMMYFUNCTION("QUERY('Volunteer Survey'!R29)"),"")</f>
        <v/>
      </c>
      <c r="Y29" s="53"/>
      <c r="Z29" s="182">
        <f>IFERROR(__xludf.DUMMYFUNCTION("QUERY('Volunteer Survey'!A28)"),43335.587488425925)</f>
        <v>43335.58749</v>
      </c>
      <c r="AA29" s="183" t="str">
        <f>IFERROR(__xludf.DUMMYFUNCTION("QUERY('Volunteer Survey'!B28)"),"Isabelle Thiffault")</f>
        <v>Isabelle Thiffault</v>
      </c>
      <c r="AB29" s="183" t="str">
        <f>IFERROR(__xludf.DUMMYFUNCTION("QUERY('Volunteer Survey'!C28)"),"Children's Mercy Hospital")</f>
        <v>Children's Mercy Hospital</v>
      </c>
      <c r="AC29" s="183" t="str">
        <f>IFERROR(__xludf.DUMMYFUNCTION("QUERY('Volunteer Survey'!D28)"),"Kansas CIty, MO")</f>
        <v>Kansas CIty, MO</v>
      </c>
      <c r="AD29" s="183" t="str">
        <f>IFERROR(__xludf.DUMMYFUNCTION("QUERY('Volunteer Survey'!E28)"),"ithiffault@cmh.edu")</f>
        <v>ithiffault@cmh.edu</v>
      </c>
      <c r="AE29" s="183" t="str">
        <f>IFERROR(__xludf.DUMMYFUNCTION("QUERY('Volunteer Survey'!F28)"),"Undergraduate")</f>
        <v>Undergraduate</v>
      </c>
      <c r="AF29" s="183" t="str">
        <f>IFERROR(__xludf.DUMMYFUNCTION("QUERY('Volunteer Survey'!G28)"),"Mitochondrial or ASD/ID")</f>
        <v>Mitochondrial or ASD/ID</v>
      </c>
      <c r="AG29" s="183" t="str">
        <f>IFERROR(__xludf.DUMMYFUNCTION("QUERY('Volunteer Survey'!H28)"),"Comprehensive")</f>
        <v>Comprehensive</v>
      </c>
      <c r="AH29" s="183" t="str">
        <f>IFERROR(__xludf.DUMMYFUNCTION("QUERY('Volunteer Survey'!I28)"),"Gene-Disease Validity")</f>
        <v>Gene-Disease Validity</v>
      </c>
      <c r="AI29" s="183" t="str">
        <f>IFERROR(__xludf.DUMMYFUNCTION("QUERY('Volunteer Survey'!J28)"),"Variant Pathogenicity")</f>
        <v>Variant Pathogenicity</v>
      </c>
      <c r="AJ29" s="183" t="str">
        <f>IFERROR(__xludf.DUMMYFUNCTION("QUERY('Volunteer Survey'!K28)"),"Actionability")</f>
        <v>Actionability</v>
      </c>
      <c r="AK29" s="183" t="str">
        <f>IFERROR(__xludf.DUMMYFUNCTION("QUERY('Volunteer Survey'!L28)"),"Dosage Sensitivity")</f>
        <v>Dosage Sensitivity</v>
      </c>
      <c r="AL29" s="183" t="str">
        <f>IFERROR(__xludf.DUMMYFUNCTION("QUERY('Volunteer Survey'!M28)"),"Somatic Cancer")</f>
        <v>Somatic Cancer</v>
      </c>
      <c r="AM29" s="183" t="str">
        <f>IFERROR(__xludf.DUMMYFUNCTION("QUERY('Volunteer Survey'!N28)"),"Yes")</f>
        <v>Yes</v>
      </c>
      <c r="AN29" s="183" t="str">
        <f>IFERROR(__xludf.DUMMYFUNCTION("QUERY('Volunteer Survey'!O28)"),"")</f>
        <v/>
      </c>
      <c r="AO29" s="183" t="str">
        <f>IFERROR(__xludf.DUMMYFUNCTION("QUERY('Volunteer Survey'!P28)"),"Mitochondrial or ASD/ID")</f>
        <v>Mitochondrial or ASD/ID</v>
      </c>
    </row>
    <row r="30">
      <c r="A30" s="50">
        <f>IFERROR(__xludf.DUMMYFUNCTION("QUERY('Volunteer Survey'!A30)"),43343.589641203704)</f>
        <v>43343.58964</v>
      </c>
      <c r="B30" s="48" t="s">
        <v>168</v>
      </c>
      <c r="C30" s="87">
        <v>43411.0</v>
      </c>
      <c r="D30" s="56">
        <v>43446.0</v>
      </c>
      <c r="E30" s="48" t="s">
        <v>130</v>
      </c>
      <c r="F30" s="48" t="s">
        <v>130</v>
      </c>
      <c r="G30" s="48" t="s">
        <v>122</v>
      </c>
      <c r="H30" s="53"/>
      <c r="I30" s="51" t="s">
        <v>139</v>
      </c>
      <c r="J30" s="55"/>
      <c r="K30" s="55"/>
      <c r="L30" s="55" t="str">
        <f>IFERROR(__xludf.DUMMYFUNCTION("QUERY('Volunteer Survey'!B30)"),"Samar Khalefa")</f>
        <v>Samar Khalefa</v>
      </c>
      <c r="M30" s="55" t="str">
        <f>IFERROR(__xludf.DUMMYFUNCTION("QUERY('Volunteer Survey'!E30)"),"samarkhalifa@hotmail.com")</f>
        <v>samarkhalifa@hotmail.com</v>
      </c>
      <c r="N30" s="55" t="str">
        <f>IFERROR(__xludf.DUMMYFUNCTION("QUERY('Volunteer Survey'!F30)"),"High School Student")</f>
        <v>High School Student</v>
      </c>
      <c r="O30" s="48" t="str">
        <f>IFERROR(__xludf.DUMMYFUNCTION("QUERY('Volunteer Survey'!H30)"),"Comprehensive")</f>
        <v>Comprehensive</v>
      </c>
      <c r="P30" s="55" t="str">
        <f>IFERROR(__xludf.DUMMYFUNCTION("QUERY('Volunteer Survey'!I30)"),"Gene-Disease Validity")</f>
        <v>Gene-Disease Validity</v>
      </c>
      <c r="Q30" s="60" t="str">
        <f>IFERROR(__xludf.DUMMYFUNCTION("QUERY('Volunteer Survey'!J30)"),"Actionability")</f>
        <v>Actionability</v>
      </c>
      <c r="R30" s="55" t="str">
        <f>IFERROR(__xludf.DUMMYFUNCTION("QUERY('Volunteer Survey'!K30)"),"Dosage Sensitivity")</f>
        <v>Dosage Sensitivity</v>
      </c>
      <c r="S30" s="55" t="str">
        <f>IFERROR(__xludf.DUMMYFUNCTION("QUERY('Volunteer Survey'!L30)"),"Somatic Cancer")</f>
        <v>Somatic Cancer</v>
      </c>
      <c r="T30" s="55" t="str">
        <f>IFERROR(__xludf.DUMMYFUNCTION("QUERY('Volunteer Survey'!M30)"),"Variant Pathogenicity")</f>
        <v>Variant Pathogenicity</v>
      </c>
      <c r="U30" s="64" t="str">
        <f>IFERROR(__xludf.DUMMYFUNCTION("QUERY('Volunteer Survey'!N30)"),"No")</f>
        <v>No</v>
      </c>
      <c r="V30" s="55" t="str">
        <f>IFERROR(__xludf.DUMMYFUNCTION("QUERY('Volunteer Survey'!O30)"),"")</f>
        <v/>
      </c>
      <c r="W30" s="66" t="str">
        <f>IFERROR(__xludf.DUMMYFUNCTION("QUERY('Volunteer Survey'!P30)"),"Autism and Intellectual Disability Gene Curation Expert Panel. I hope to involve in all Expert Panels/Working Groups related to brain genome.")</f>
        <v>Autism and Intellectual Disability Gene Curation Expert Panel. I hope to involve in all Expert Panels/Working Groups related to brain genome.</v>
      </c>
      <c r="X30" s="64" t="str">
        <f>IFERROR(__xludf.DUMMYFUNCTION("QUERY('Volunteer Survey'!R30)"),"")</f>
        <v/>
      </c>
      <c r="Y30" s="51" t="s">
        <v>316</v>
      </c>
      <c r="Z30" s="182">
        <f>IFERROR(__xludf.DUMMYFUNCTION("QUERY('Volunteer Survey'!A29)"),43339.58819444444)</f>
        <v>43339.58819</v>
      </c>
      <c r="AA30" s="183" t="str">
        <f>IFERROR(__xludf.DUMMYFUNCTION("QUERY('Volunteer Survey'!B29)"),"Ye Cao")</f>
        <v>Ye Cao</v>
      </c>
      <c r="AB30" s="183" t="str">
        <f>IFERROR(__xludf.DUMMYFUNCTION("QUERY('Volunteer Survey'!C29)"),"Baylor college of Medicine")</f>
        <v>Baylor college of Medicine</v>
      </c>
      <c r="AC30" s="183" t="str">
        <f>IFERROR(__xludf.DUMMYFUNCTION("QUERY('Volunteer Survey'!D29)"),"Houston, Texas")</f>
        <v>Houston, Texas</v>
      </c>
      <c r="AD30" s="183" t="str">
        <f>IFERROR(__xludf.DUMMYFUNCTION("QUERY('Volunteer Survey'!E29)"),"ye.cao@bcm.edu")</f>
        <v>ye.cao@bcm.edu</v>
      </c>
      <c r="AE30" s="183" t="str">
        <f>IFERROR(__xludf.DUMMYFUNCTION("QUERY('Volunteer Survey'!F29)"),"Clinical laboratory geneticist and Post Doc/Resident/Fellow (MD and/or PhD)")</f>
        <v>Clinical laboratory geneticist and Post Doc/Resident/Fellow (MD and/or PhD)</v>
      </c>
      <c r="AF30" s="183" t="str">
        <f>IFERROR(__xludf.DUMMYFUNCTION("QUERY('Volunteer Survey'!G29)"),"Hereditary Cancer Gene Curation Expert Panel")</f>
        <v>Hereditary Cancer Gene Curation Expert Panel</v>
      </c>
      <c r="AG30" s="183" t="str">
        <f>IFERROR(__xludf.DUMMYFUNCTION("QUERY('Volunteer Survey'!H29)"),"Comprehensive")</f>
        <v>Comprehensive</v>
      </c>
      <c r="AH30" s="183" t="str">
        <f>IFERROR(__xludf.DUMMYFUNCTION("QUERY('Volunteer Survey'!I29)"),"Gene-Disease Validity")</f>
        <v>Gene-Disease Validity</v>
      </c>
      <c r="AI30" s="183" t="str">
        <f>IFERROR(__xludf.DUMMYFUNCTION("QUERY('Volunteer Survey'!J29)"),"Dosage Sensitivity")</f>
        <v>Dosage Sensitivity</v>
      </c>
      <c r="AJ30" s="183" t="str">
        <f>IFERROR(__xludf.DUMMYFUNCTION("QUERY('Volunteer Survey'!K29)"),"")</f>
        <v/>
      </c>
      <c r="AK30" s="183" t="str">
        <f>IFERROR(__xludf.DUMMYFUNCTION("QUERY('Volunteer Survey'!L29)"),"")</f>
        <v/>
      </c>
      <c r="AL30" s="183" t="str">
        <f>IFERROR(__xludf.DUMMYFUNCTION("QUERY('Volunteer Survey'!M29)"),"")</f>
        <v/>
      </c>
      <c r="AM30" s="183" t="str">
        <f>IFERROR(__xludf.DUMMYFUNCTION("QUERY('Volunteer Survey'!N29)"),"Yes")</f>
        <v>Yes</v>
      </c>
      <c r="AN30" s="183" t="str">
        <f>IFERROR(__xludf.DUMMYFUNCTION("QUERY('Volunteer Survey'!O29)"),"")</f>
        <v/>
      </c>
      <c r="AO30" s="183" t="str">
        <f>IFERROR(__xludf.DUMMYFUNCTION("QUERY('Volunteer Survey'!P29)"),"Hereditary Cancer Gene Curation Expert Panel")</f>
        <v>Hereditary Cancer Gene Curation Expert Panel</v>
      </c>
    </row>
    <row r="31">
      <c r="A31" s="50">
        <f>IFERROR(__xludf.DUMMYFUNCTION("QUERY('Volunteer Survey'!A31)"),43350.59027777778)</f>
        <v>43350.59028</v>
      </c>
      <c r="B31" s="48" t="s">
        <v>160</v>
      </c>
      <c r="C31" s="87">
        <v>43350.0</v>
      </c>
      <c r="D31" s="56">
        <v>43446.0</v>
      </c>
      <c r="E31" s="48" t="s">
        <v>117</v>
      </c>
      <c r="F31" s="48" t="s">
        <v>117</v>
      </c>
      <c r="G31" s="48" t="s">
        <v>122</v>
      </c>
      <c r="H31" s="51" t="s">
        <v>104</v>
      </c>
      <c r="I31" s="51" t="s">
        <v>139</v>
      </c>
      <c r="J31" s="56">
        <v>43592.0</v>
      </c>
      <c r="K31" s="56">
        <v>43713.0</v>
      </c>
      <c r="L31" s="55" t="str">
        <f>IFERROR(__xludf.DUMMYFUNCTION("QUERY('Volunteer Survey'!B31)"),"Colin Ellis")</f>
        <v>Colin Ellis</v>
      </c>
      <c r="M31" s="55" t="str">
        <f>IFERROR(__xludf.DUMMYFUNCTION("QUERY('Volunteer Survey'!E31)"),"colin.ellis@uphs.upenn.edu")</f>
        <v>colin.ellis@uphs.upenn.edu</v>
      </c>
      <c r="N31" s="55" t="str">
        <f>IFERROR(__xludf.DUMMYFUNCTION("QUERY('Volunteer Survey'!F31)"),"Physician (Non-geneticist)")</f>
        <v>Physician (Non-geneticist)</v>
      </c>
      <c r="O31" s="48" t="str">
        <f>IFERROR(__xludf.DUMMYFUNCTION("QUERY('Volunteer Survey'!H31)"),"Comprehensive")</f>
        <v>Comprehensive</v>
      </c>
      <c r="P31" s="55" t="str">
        <f>IFERROR(__xludf.DUMMYFUNCTION("QUERY('Volunteer Survey'!I31)"),"Gene-Disease Validity")</f>
        <v>Gene-Disease Validity</v>
      </c>
      <c r="Q31" s="60" t="str">
        <f>IFERROR(__xludf.DUMMYFUNCTION("QUERY('Volunteer Survey'!J31)"),"Dosage Sensitivity")</f>
        <v>Dosage Sensitivity</v>
      </c>
      <c r="R31" s="55" t="str">
        <f>IFERROR(__xludf.DUMMYFUNCTION("QUERY('Volunteer Survey'!K31)"),"Variant Pathogenicity")</f>
        <v>Variant Pathogenicity</v>
      </c>
      <c r="S31" s="55" t="str">
        <f>IFERROR(__xludf.DUMMYFUNCTION("QUERY('Volunteer Survey'!L31)"),"")</f>
        <v/>
      </c>
      <c r="T31" s="55" t="str">
        <f>IFERROR(__xludf.DUMMYFUNCTION("QUERY('Volunteer Survey'!M31)"),"")</f>
        <v/>
      </c>
      <c r="U31" s="64" t="str">
        <f>IFERROR(__xludf.DUMMYFUNCTION("QUERY('Volunteer Survey'!N31)"),"Yes")</f>
        <v>Yes</v>
      </c>
      <c r="V31" s="55" t="str">
        <f>IFERROR(__xludf.DUMMYFUNCTION("QUERY('Volunteer Survey'!O31)"),"")</f>
        <v/>
      </c>
      <c r="W31" s="66" t="str">
        <f>IFERROR(__xludf.DUMMYFUNCTION("QUERY('Volunteer Survey'!P31)"),"Epilepsy WG")</f>
        <v>Epilepsy WG</v>
      </c>
      <c r="X31" s="64" t="str">
        <f>IFERROR(__xludf.DUMMYFUNCTION("QUERY('Volunteer Survey'!R31)"),"")</f>
        <v/>
      </c>
      <c r="Y31" s="53"/>
      <c r="Z31" s="182">
        <f>IFERROR(__xludf.DUMMYFUNCTION("QUERY('Volunteer Survey'!A30)"),43343.589641203704)</f>
        <v>43343.58964</v>
      </c>
      <c r="AA31" s="183" t="str">
        <f>IFERROR(__xludf.DUMMYFUNCTION("QUERY('Volunteer Survey'!B30)"),"Samar Khalefa")</f>
        <v>Samar Khalefa</v>
      </c>
      <c r="AB31" s="183" t="str">
        <f>IFERROR(__xludf.DUMMYFUNCTION("QUERY('Volunteer Survey'!C30)"),"NA")</f>
        <v>NA</v>
      </c>
      <c r="AC31" s="183" t="str">
        <f>IFERROR(__xludf.DUMMYFUNCTION("QUERY('Volunteer Survey'!D30)"),"Egypt")</f>
        <v>Egypt</v>
      </c>
      <c r="AD31" s="183" t="str">
        <f>IFERROR(__xludf.DUMMYFUNCTION("QUERY('Volunteer Survey'!E30)"),"samarkhalifa@hotmail.com")</f>
        <v>samarkhalifa@hotmail.com</v>
      </c>
      <c r="AE31" s="183" t="str">
        <f>IFERROR(__xludf.DUMMYFUNCTION("QUERY('Volunteer Survey'!F30)"),"High School Student")</f>
        <v>High School Student</v>
      </c>
      <c r="AF31" s="183" t="str">
        <f>IFERROR(__xludf.DUMMYFUNCTION("QUERY('Volunteer Survey'!G30)"),"Autism and Intellectual Disability Gene Curation Expert Panel. I hope to involve in all Expert Panels/Working Groups related to brain genome.")</f>
        <v>Autism and Intellectual Disability Gene Curation Expert Panel. I hope to involve in all Expert Panels/Working Groups related to brain genome.</v>
      </c>
      <c r="AG31" s="183" t="str">
        <f>IFERROR(__xludf.DUMMYFUNCTION("QUERY('Volunteer Survey'!H30)"),"Comprehensive")</f>
        <v>Comprehensive</v>
      </c>
      <c r="AH31" s="183" t="str">
        <f>IFERROR(__xludf.DUMMYFUNCTION("QUERY('Volunteer Survey'!I30)"),"Gene-Disease Validity")</f>
        <v>Gene-Disease Validity</v>
      </c>
      <c r="AI31" s="183" t="str">
        <f>IFERROR(__xludf.DUMMYFUNCTION("QUERY('Volunteer Survey'!J30)"),"Actionability")</f>
        <v>Actionability</v>
      </c>
      <c r="AJ31" s="183" t="str">
        <f>IFERROR(__xludf.DUMMYFUNCTION("QUERY('Volunteer Survey'!K30)"),"Dosage Sensitivity")</f>
        <v>Dosage Sensitivity</v>
      </c>
      <c r="AK31" s="183" t="str">
        <f>IFERROR(__xludf.DUMMYFUNCTION("QUERY('Volunteer Survey'!L30)"),"Somatic Cancer")</f>
        <v>Somatic Cancer</v>
      </c>
      <c r="AL31" s="183" t="str">
        <f>IFERROR(__xludf.DUMMYFUNCTION("QUERY('Volunteer Survey'!M30)"),"Variant Pathogenicity")</f>
        <v>Variant Pathogenicity</v>
      </c>
      <c r="AM31" s="183" t="str">
        <f>IFERROR(__xludf.DUMMYFUNCTION("QUERY('Volunteer Survey'!N30)"),"No")</f>
        <v>No</v>
      </c>
      <c r="AN31" s="183" t="str">
        <f>IFERROR(__xludf.DUMMYFUNCTION("QUERY('Volunteer Survey'!O30)"),"")</f>
        <v/>
      </c>
      <c r="AO31" s="183" t="str">
        <f>IFERROR(__xludf.DUMMYFUNCTION("QUERY('Volunteer Survey'!P30)"),"Autism and Intellectual Disability Gene Curation Expert Panel. I hope to involve in all Expert Panels/Working Groups related to brain genome.")</f>
        <v>Autism and Intellectual Disability Gene Curation Expert Panel. I hope to involve in all Expert Panels/Working Groups related to brain genome.</v>
      </c>
    </row>
    <row r="32">
      <c r="A32" s="50">
        <f>IFERROR(__xludf.DUMMYFUNCTION("QUERY('Volunteer Survey'!A32)"),43354.59087962963)</f>
        <v>43354.59088</v>
      </c>
      <c r="B32" s="48" t="s">
        <v>125</v>
      </c>
      <c r="C32" s="87">
        <v>43411.0</v>
      </c>
      <c r="D32" s="56">
        <v>43446.0</v>
      </c>
      <c r="E32" s="48" t="s">
        <v>117</v>
      </c>
      <c r="F32" s="48" t="s">
        <v>117</v>
      </c>
      <c r="G32" s="48" t="s">
        <v>122</v>
      </c>
      <c r="H32" s="51" t="s">
        <v>20</v>
      </c>
      <c r="I32" s="51" t="s">
        <v>139</v>
      </c>
      <c r="J32" s="56">
        <v>43592.0</v>
      </c>
      <c r="K32" s="56">
        <v>43713.0</v>
      </c>
      <c r="L32" s="55" t="str">
        <f>IFERROR(__xludf.DUMMYFUNCTION("QUERY('Volunteer Survey'!B32)"),"Mansour Zamanpoor")</f>
        <v>Mansour Zamanpoor</v>
      </c>
      <c r="M32" s="55" t="str">
        <f>IFERROR(__xludf.DUMMYFUNCTION("QUERY('Volunteer Survey'!E32)"),"mansour.zamanpoor@ccdhb.org.nz")</f>
        <v>mansour.zamanpoor@ccdhb.org.nz</v>
      </c>
      <c r="N32" s="55" t="str">
        <f>IFERROR(__xludf.DUMMYFUNCTION("QUERY('Volunteer Survey'!F32)"),"Clinical laboratory genetist, PhD candidate")</f>
        <v>Clinical laboratory genetist, PhD candidate</v>
      </c>
      <c r="O32" s="48" t="str">
        <f>IFERROR(__xludf.DUMMYFUNCTION("QUERY('Volunteer Survey'!H32)"),"Comprehensive")</f>
        <v>Comprehensive</v>
      </c>
      <c r="P32" s="55" t="str">
        <f>IFERROR(__xludf.DUMMYFUNCTION("QUERY('Volunteer Survey'!I32)"),"Gene-Disease Validity")</f>
        <v>Gene-Disease Validity</v>
      </c>
      <c r="Q32" s="60" t="str">
        <f>IFERROR(__xludf.DUMMYFUNCTION("QUERY('Volunteer Survey'!J32)"),"Variant Pathogenicity")</f>
        <v>Variant Pathogenicity</v>
      </c>
      <c r="R32" s="55" t="str">
        <f>IFERROR(__xludf.DUMMYFUNCTION("QUERY('Volunteer Survey'!K32)"),"")</f>
        <v/>
      </c>
      <c r="S32" s="55" t="str">
        <f>IFERROR(__xludf.DUMMYFUNCTION("QUERY('Volunteer Survey'!L32)"),"")</f>
        <v/>
      </c>
      <c r="T32" s="55" t="str">
        <f>IFERROR(__xludf.DUMMYFUNCTION("QUERY('Volunteer Survey'!M32)"),"")</f>
        <v/>
      </c>
      <c r="U32" s="64" t="str">
        <f>IFERROR(__xludf.DUMMYFUNCTION("QUERY('Volunteer Survey'!N32)"),"Yes")</f>
        <v>Yes</v>
      </c>
      <c r="V32" s="55" t="str">
        <f>IFERROR(__xludf.DUMMYFUNCTION("QUERY('Volunteer Survey'!O32)"),"")</f>
        <v/>
      </c>
      <c r="W32" s="66" t="str">
        <f>IFERROR(__xludf.DUMMYFUNCTION("QUERY('Volunteer Survey'!P32)"),"Hereditary cancer and neuro-developmental disorders")</f>
        <v>Hereditary cancer and neuro-developmental disorders</v>
      </c>
      <c r="X32" s="64" t="str">
        <f>IFERROR(__xludf.DUMMYFUNCTION("QUERY('Volunteer Survey'!R32)"),"")</f>
        <v/>
      </c>
      <c r="Y32" s="88" t="s">
        <v>318</v>
      </c>
      <c r="Z32" s="182">
        <f>IFERROR(__xludf.DUMMYFUNCTION("QUERY('Volunteer Survey'!A31)"),43350.59027777778)</f>
        <v>43350.59028</v>
      </c>
      <c r="AA32" s="183" t="str">
        <f>IFERROR(__xludf.DUMMYFUNCTION("QUERY('Volunteer Survey'!B31)"),"Colin Ellis")</f>
        <v>Colin Ellis</v>
      </c>
      <c r="AB32" s="183" t="str">
        <f>IFERROR(__xludf.DUMMYFUNCTION("QUERY('Volunteer Survey'!C31)"),"University of Pennsylvania")</f>
        <v>University of Pennsylvania</v>
      </c>
      <c r="AC32" s="183" t="str">
        <f>IFERROR(__xludf.DUMMYFUNCTION("QUERY('Volunteer Survey'!D31)"),"PA")</f>
        <v>PA</v>
      </c>
      <c r="AD32" s="183" t="str">
        <f>IFERROR(__xludf.DUMMYFUNCTION("QUERY('Volunteer Survey'!E31)"),"colin.ellis@uphs.upenn.edu")</f>
        <v>colin.ellis@uphs.upenn.edu</v>
      </c>
      <c r="AE32" s="183" t="str">
        <f>IFERROR(__xludf.DUMMYFUNCTION("QUERY('Volunteer Survey'!F31)"),"Physician (Non-geneticist)")</f>
        <v>Physician (Non-geneticist)</v>
      </c>
      <c r="AF32" s="183" t="str">
        <f>IFERROR(__xludf.DUMMYFUNCTION("QUERY('Volunteer Survey'!G31)"),"Epilepsy WG")</f>
        <v>Epilepsy WG</v>
      </c>
      <c r="AG32" s="183" t="str">
        <f>IFERROR(__xludf.DUMMYFUNCTION("QUERY('Volunteer Survey'!H31)"),"Comprehensive")</f>
        <v>Comprehensive</v>
      </c>
      <c r="AH32" s="183" t="str">
        <f>IFERROR(__xludf.DUMMYFUNCTION("QUERY('Volunteer Survey'!I31)"),"Gene-Disease Validity")</f>
        <v>Gene-Disease Validity</v>
      </c>
      <c r="AI32" s="183" t="str">
        <f>IFERROR(__xludf.DUMMYFUNCTION("QUERY('Volunteer Survey'!J31)"),"Dosage Sensitivity")</f>
        <v>Dosage Sensitivity</v>
      </c>
      <c r="AJ32" s="183" t="str">
        <f>IFERROR(__xludf.DUMMYFUNCTION("QUERY('Volunteer Survey'!K31)"),"Variant Pathogenicity")</f>
        <v>Variant Pathogenicity</v>
      </c>
      <c r="AK32" s="183" t="str">
        <f>IFERROR(__xludf.DUMMYFUNCTION("QUERY('Volunteer Survey'!L31)"),"")</f>
        <v/>
      </c>
      <c r="AL32" s="183" t="str">
        <f>IFERROR(__xludf.DUMMYFUNCTION("QUERY('Volunteer Survey'!M31)"),"")</f>
        <v/>
      </c>
      <c r="AM32" s="183" t="str">
        <f>IFERROR(__xludf.DUMMYFUNCTION("QUERY('Volunteer Survey'!N31)"),"Yes")</f>
        <v>Yes</v>
      </c>
      <c r="AN32" s="183" t="str">
        <f>IFERROR(__xludf.DUMMYFUNCTION("QUERY('Volunteer Survey'!O31)"),"")</f>
        <v/>
      </c>
      <c r="AO32" s="183" t="str">
        <f>IFERROR(__xludf.DUMMYFUNCTION("QUERY('Volunteer Survey'!P31)"),"Epilepsy WG")</f>
        <v>Epilepsy WG</v>
      </c>
    </row>
    <row r="33">
      <c r="A33" s="50">
        <f>IFERROR(__xludf.DUMMYFUNCTION("QUERY('Volunteer Survey'!A33)"),43356.59159722222)</f>
        <v>43356.5916</v>
      </c>
      <c r="B33" s="48" t="s">
        <v>160</v>
      </c>
      <c r="C33" s="87">
        <v>43411.0</v>
      </c>
      <c r="D33" s="56">
        <v>43446.0</v>
      </c>
      <c r="E33" s="48" t="s">
        <v>117</v>
      </c>
      <c r="F33" s="48" t="s">
        <v>117</v>
      </c>
      <c r="G33" s="48" t="s">
        <v>122</v>
      </c>
      <c r="H33" s="51" t="s">
        <v>293</v>
      </c>
      <c r="I33" s="51" t="s">
        <v>139</v>
      </c>
      <c r="J33" s="56">
        <v>43592.0</v>
      </c>
      <c r="K33" s="56">
        <v>43713.0</v>
      </c>
      <c r="L33" s="55" t="str">
        <f>IFERROR(__xludf.DUMMYFUNCTION("QUERY('Volunteer Survey'!B33)"),"Benjamin Kang")</f>
        <v>Benjamin Kang</v>
      </c>
      <c r="M33" s="55" t="str">
        <f>IFERROR(__xludf.DUMMYFUNCTION("QUERY('Volunteer Survey'!E33)"),"bekang@emory.edu")</f>
        <v>bekang@emory.edu</v>
      </c>
      <c r="N33" s="55" t="str">
        <f>IFERROR(__xludf.DUMMYFUNCTION("QUERY('Volunteer Survey'!F33)"),"Post Doc/Resident/Fellow (MD and/or PhD)")</f>
        <v>Post Doc/Resident/Fellow (MD and/or PhD)</v>
      </c>
      <c r="O33" s="48" t="str">
        <f>IFERROR(__xludf.DUMMYFUNCTION("QUERY('Volunteer Survey'!H33)"),"Comprehensive")</f>
        <v>Comprehensive</v>
      </c>
      <c r="P33" s="55" t="str">
        <f>IFERROR(__xludf.DUMMYFUNCTION("QUERY('Volunteer Survey'!I33)"),"Gene-Disease Validity")</f>
        <v>Gene-Disease Validity</v>
      </c>
      <c r="Q33" s="60" t="str">
        <f>IFERROR(__xludf.DUMMYFUNCTION("QUERY('Volunteer Survey'!J33)"),"Variant Pathogenicity")</f>
        <v>Variant Pathogenicity</v>
      </c>
      <c r="R33" s="55" t="str">
        <f>IFERROR(__xludf.DUMMYFUNCTION("QUERY('Volunteer Survey'!K33)"),"Dosage Sensitivity")</f>
        <v>Dosage Sensitivity</v>
      </c>
      <c r="S33" s="55" t="str">
        <f>IFERROR(__xludf.DUMMYFUNCTION("QUERY('Volunteer Survey'!L33)"),"Actionability")</f>
        <v>Actionability</v>
      </c>
      <c r="T33" s="55" t="str">
        <f>IFERROR(__xludf.DUMMYFUNCTION("QUERY('Volunteer Survey'!M33)"),"Somatic Cancer")</f>
        <v>Somatic Cancer</v>
      </c>
      <c r="U33" s="64" t="str">
        <f>IFERROR(__xludf.DUMMYFUNCTION("QUERY('Volunteer Survey'!N33)"),"Yes")</f>
        <v>Yes</v>
      </c>
      <c r="V33" s="55" t="str">
        <f>IFERROR(__xludf.DUMMYFUNCTION("QUERY('Volunteer Survey'!O33)"),"")</f>
        <v/>
      </c>
      <c r="W33" s="66" t="str">
        <f>IFERROR(__xludf.DUMMYFUNCTION("QUERY('Volunteer Survey'!P33)"),"I am interested in a couple of ClinGen Expert Panel/Working Group, 1)Cardiovascular Dilated Cardiomyopathy Gene Curation Expert Panel, 2) Rett Angelman Variant Curation Expert Panel. However, if there is any other expert panel/working group needs my help,"&amp;" I am more than happy to participate in it.")</f>
        <v>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v>
      </c>
      <c r="X33" s="64" t="str">
        <f>IFERROR(__xludf.DUMMYFUNCTION("QUERY('Volunteer Survey'!R33)"),"")</f>
        <v/>
      </c>
      <c r="Y33" s="53"/>
      <c r="Z33" s="182">
        <f>IFERROR(__xludf.DUMMYFUNCTION("QUERY('Volunteer Survey'!A32)"),43354.59087962963)</f>
        <v>43354.59088</v>
      </c>
      <c r="AA33" s="183" t="str">
        <f>IFERROR(__xludf.DUMMYFUNCTION("QUERY('Volunteer Survey'!B32)"),"Mansour Zamanpoor")</f>
        <v>Mansour Zamanpoor</v>
      </c>
      <c r="AB33" s="183" t="str">
        <f>IFERROR(__xludf.DUMMYFUNCTION("QUERY('Volunteer Survey'!C32)"),"WRGL")</f>
        <v>WRGL</v>
      </c>
      <c r="AC33" s="183" t="str">
        <f>IFERROR(__xludf.DUMMYFUNCTION("QUERY('Volunteer Survey'!D32)"),"New Zealand")</f>
        <v>New Zealand</v>
      </c>
      <c r="AD33" s="183" t="str">
        <f>IFERROR(__xludf.DUMMYFUNCTION("QUERY('Volunteer Survey'!E32)"),"mansour.zamanpoor@ccdhb.org.nz")</f>
        <v>mansour.zamanpoor@ccdhb.org.nz</v>
      </c>
      <c r="AE33" s="183" t="str">
        <f>IFERROR(__xludf.DUMMYFUNCTION("QUERY('Volunteer Survey'!F32)"),"Clinical laboratory genetist, PhD candidate")</f>
        <v>Clinical laboratory genetist, PhD candidate</v>
      </c>
      <c r="AF33" s="183" t="str">
        <f>IFERROR(__xludf.DUMMYFUNCTION("QUERY('Volunteer Survey'!G32)"),"Hereditary cancer and neuro-developmental disorders")</f>
        <v>Hereditary cancer and neuro-developmental disorders</v>
      </c>
      <c r="AG33" s="183" t="str">
        <f>IFERROR(__xludf.DUMMYFUNCTION("QUERY('Volunteer Survey'!H32)"),"Comprehensive")</f>
        <v>Comprehensive</v>
      </c>
      <c r="AH33" s="183" t="str">
        <f>IFERROR(__xludf.DUMMYFUNCTION("QUERY('Volunteer Survey'!I32)"),"Gene-Disease Validity")</f>
        <v>Gene-Disease Validity</v>
      </c>
      <c r="AI33" s="183" t="str">
        <f>IFERROR(__xludf.DUMMYFUNCTION("QUERY('Volunteer Survey'!J32)"),"Variant Pathogenicity")</f>
        <v>Variant Pathogenicity</v>
      </c>
      <c r="AJ33" s="183" t="str">
        <f>IFERROR(__xludf.DUMMYFUNCTION("QUERY('Volunteer Survey'!K32)"),"")</f>
        <v/>
      </c>
      <c r="AK33" s="183" t="str">
        <f>IFERROR(__xludf.DUMMYFUNCTION("QUERY('Volunteer Survey'!L32)"),"")</f>
        <v/>
      </c>
      <c r="AL33" s="183" t="str">
        <f>IFERROR(__xludf.DUMMYFUNCTION("QUERY('Volunteer Survey'!M32)"),"")</f>
        <v/>
      </c>
      <c r="AM33" s="183" t="str">
        <f>IFERROR(__xludf.DUMMYFUNCTION("QUERY('Volunteer Survey'!N32)"),"Yes")</f>
        <v>Yes</v>
      </c>
      <c r="AN33" s="183" t="str">
        <f>IFERROR(__xludf.DUMMYFUNCTION("QUERY('Volunteer Survey'!O32)"),"")</f>
        <v/>
      </c>
      <c r="AO33" s="183" t="str">
        <f>IFERROR(__xludf.DUMMYFUNCTION("QUERY('Volunteer Survey'!P32)"),"Hereditary cancer and neuro-developmental disorders")</f>
        <v>Hereditary cancer and neuro-developmental disorders</v>
      </c>
    </row>
    <row r="34">
      <c r="A34" s="50">
        <f>IFERROR(__xludf.DUMMYFUNCTION("QUERY('Volunteer Survey'!A34)"),43357.59306712963)</f>
        <v>43357.59307</v>
      </c>
      <c r="B34" s="48" t="s">
        <v>108</v>
      </c>
      <c r="C34" s="53"/>
      <c r="D34" s="56">
        <v>43585.0</v>
      </c>
      <c r="E34" s="48" t="s">
        <v>117</v>
      </c>
      <c r="F34" s="48" t="s">
        <v>117</v>
      </c>
      <c r="G34" s="48" t="s">
        <v>122</v>
      </c>
      <c r="H34" s="51" t="s">
        <v>294</v>
      </c>
      <c r="I34" s="51" t="s">
        <v>299</v>
      </c>
      <c r="J34" s="55"/>
      <c r="K34" s="55"/>
      <c r="L34" s="55" t="str">
        <f>IFERROR(__xludf.DUMMYFUNCTION("QUERY('Volunteer Survey'!B34)"),"Ljubica Caldovic")</f>
        <v>Ljubica Caldovic</v>
      </c>
      <c r="M34" s="55" t="str">
        <f>IFERROR(__xludf.DUMMYFUNCTION("QUERY('Volunteer Survey'!E34)"),"lcaldovic@childrensnational.org")</f>
        <v>lcaldovic@childrensnational.org</v>
      </c>
      <c r="N34" s="55" t="str">
        <f>IFERROR(__xludf.DUMMYFUNCTION("QUERY('Volunteer Survey'!F34)"),"Scientific Researcher, Variant Analyst/Scientist")</f>
        <v>Scientific Researcher, Variant Analyst/Scientist</v>
      </c>
      <c r="O34" s="48" t="str">
        <f>IFERROR(__xludf.DUMMYFUNCTION("QUERY('Volunteer Survey'!H34)"),"Comprehensive")</f>
        <v>Comprehensive</v>
      </c>
      <c r="P34" s="55" t="str">
        <f>IFERROR(__xludf.DUMMYFUNCTION("QUERY('Volunteer Survey'!I34)"),"Gene-Disease Validity")</f>
        <v>Gene-Disease Validity</v>
      </c>
      <c r="Q34" s="60" t="str">
        <f>IFERROR(__xludf.DUMMYFUNCTION("QUERY('Volunteer Survey'!J34)"),"Variant Pathogenicity")</f>
        <v>Variant Pathogenicity</v>
      </c>
      <c r="R34" s="55" t="str">
        <f>IFERROR(__xludf.DUMMYFUNCTION("QUERY('Volunteer Survey'!K34)"),"Dosage Sensitivity")</f>
        <v>Dosage Sensitivity</v>
      </c>
      <c r="S34" s="55" t="str">
        <f>IFERROR(__xludf.DUMMYFUNCTION("QUERY('Volunteer Survey'!L34)"),"")</f>
        <v/>
      </c>
      <c r="T34" s="55" t="str">
        <f>IFERROR(__xludf.DUMMYFUNCTION("QUERY('Volunteer Survey'!M34)"),"")</f>
        <v/>
      </c>
      <c r="U34" s="64" t="str">
        <f>IFERROR(__xludf.DUMMYFUNCTION("QUERY('Volunteer Survey'!N34)"),"No")</f>
        <v>No</v>
      </c>
      <c r="V34" s="55" t="str">
        <f>IFERROR(__xludf.DUMMYFUNCTION("QUERY('Volunteer Survey'!O34)"),"")</f>
        <v/>
      </c>
      <c r="W34" s="66" t="str">
        <f>IFERROR(__xludf.DUMMYFUNCTION("QUERY('Volunteer Survey'!P34)"),"Aminoacidopathy working group/expert panel; Metabolism expert panel")</f>
        <v>Aminoacidopathy working group/expert panel; Metabolism expert panel</v>
      </c>
      <c r="X34" s="64" t="str">
        <f>IFERROR(__xludf.DUMMYFUNCTION("QUERY('Volunteer Survey'!R34)"),"")</f>
        <v/>
      </c>
      <c r="Y34" s="53"/>
      <c r="Z34" s="182">
        <f>IFERROR(__xludf.DUMMYFUNCTION("QUERY('Volunteer Survey'!A33)"),43356.59159722222)</f>
        <v>43356.5916</v>
      </c>
      <c r="AA34" s="183" t="str">
        <f>IFERROR(__xludf.DUMMYFUNCTION("QUERY('Volunteer Survey'!B33)"),"Benjamin Kang")</f>
        <v>Benjamin Kang</v>
      </c>
      <c r="AB34" s="183" t="str">
        <f>IFERROR(__xludf.DUMMYFUNCTION("QUERY('Volunteer Survey'!C33)"),"EGL Genetics/Emory University SOM")</f>
        <v>EGL Genetics/Emory University SOM</v>
      </c>
      <c r="AC34" s="183" t="str">
        <f>IFERROR(__xludf.DUMMYFUNCTION("QUERY('Volunteer Survey'!D33)"),"GA")</f>
        <v>GA</v>
      </c>
      <c r="AD34" s="183" t="str">
        <f>IFERROR(__xludf.DUMMYFUNCTION("QUERY('Volunteer Survey'!E33)"),"bekang@emory.edu")</f>
        <v>bekang@emory.edu</v>
      </c>
      <c r="AE34" s="183" t="str">
        <f>IFERROR(__xludf.DUMMYFUNCTION("QUERY('Volunteer Survey'!F33)"),"Post Doc/Resident/Fellow (MD and/or PhD)")</f>
        <v>Post Doc/Resident/Fellow (MD and/or PhD)</v>
      </c>
      <c r="AF34" s="183" t="str">
        <f>IFERROR(__xludf.DUMMYFUNCTION("QUERY('Volunteer Survey'!G33)"),"I am interested in a couple of ClinGen Expert Panel/Working Group, 1)Cardiovascular Dilated Cardiomyopathy Gene Curation Expert Panel, 2) Rett Angelman Variant Curation Expert Panel. However, if there is any other expert panel/working group needs my help,"&amp;" I am more than happy to participate in it.")</f>
        <v>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v>
      </c>
      <c r="AG34" s="183" t="str">
        <f>IFERROR(__xludf.DUMMYFUNCTION("QUERY('Volunteer Survey'!H33)"),"Comprehensive")</f>
        <v>Comprehensive</v>
      </c>
      <c r="AH34" s="183" t="str">
        <f>IFERROR(__xludf.DUMMYFUNCTION("QUERY('Volunteer Survey'!I33)"),"Gene-Disease Validity")</f>
        <v>Gene-Disease Validity</v>
      </c>
      <c r="AI34" s="183" t="str">
        <f>IFERROR(__xludf.DUMMYFUNCTION("QUERY('Volunteer Survey'!J33)"),"Variant Pathogenicity")</f>
        <v>Variant Pathogenicity</v>
      </c>
      <c r="AJ34" s="183" t="str">
        <f>IFERROR(__xludf.DUMMYFUNCTION("QUERY('Volunteer Survey'!K33)"),"Dosage Sensitivity")</f>
        <v>Dosage Sensitivity</v>
      </c>
      <c r="AK34" s="183" t="str">
        <f>IFERROR(__xludf.DUMMYFUNCTION("QUERY('Volunteer Survey'!L33)"),"Actionability")</f>
        <v>Actionability</v>
      </c>
      <c r="AL34" s="183" t="str">
        <f>IFERROR(__xludf.DUMMYFUNCTION("QUERY('Volunteer Survey'!M33)"),"Somatic Cancer")</f>
        <v>Somatic Cancer</v>
      </c>
      <c r="AM34" s="183" t="str">
        <f>IFERROR(__xludf.DUMMYFUNCTION("QUERY('Volunteer Survey'!N33)"),"Yes")</f>
        <v>Yes</v>
      </c>
      <c r="AN34" s="183" t="str">
        <f>IFERROR(__xludf.DUMMYFUNCTION("QUERY('Volunteer Survey'!O33)"),"")</f>
        <v/>
      </c>
      <c r="AO34" s="183" t="str">
        <f>IFERROR(__xludf.DUMMYFUNCTION("QUERY('Volunteer Survey'!P33)"),"I am interested in a couple of ClinGen Expert Panel/Working Group, 1)Cardiovascular Dilated Cardiomyopathy Gene Curation Expert Panel, 2) Rett Angelman Variant Curation Expert Panel. However, if there is any other expert panel/working group needs my help,"&amp;" I am more than happy to participate in it.")</f>
        <v>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v>
      </c>
    </row>
    <row r="35">
      <c r="A35" s="50">
        <f>IFERROR(__xludf.DUMMYFUNCTION("QUERY('Volunteer Survey'!A35)"),43359.59390046296)</f>
        <v>43359.5939</v>
      </c>
      <c r="B35" s="48" t="s">
        <v>160</v>
      </c>
      <c r="C35" s="87">
        <v>43347.0</v>
      </c>
      <c r="D35" s="56">
        <v>43446.0</v>
      </c>
      <c r="E35" s="48" t="s">
        <v>130</v>
      </c>
      <c r="F35" s="48" t="s">
        <v>130</v>
      </c>
      <c r="G35" s="48" t="s">
        <v>122</v>
      </c>
      <c r="H35" s="51" t="s">
        <v>293</v>
      </c>
      <c r="I35" s="51" t="s">
        <v>139</v>
      </c>
      <c r="J35" s="48"/>
      <c r="K35" s="48"/>
      <c r="L35" s="55" t="str">
        <f>IFERROR(__xludf.DUMMYFUNCTION("QUERY('Volunteer Survey'!B35)"),"John Millichap")</f>
        <v>John Millichap</v>
      </c>
      <c r="M35" s="55" t="str">
        <f>IFERROR(__xludf.DUMMYFUNCTION("QUERY('Volunteer Survey'!E35)"),"jmillichap@luriechildrens.org")</f>
        <v>jmillichap@luriechildrens.org</v>
      </c>
      <c r="N35" s="55" t="str">
        <f>IFERROR(__xludf.DUMMYFUNCTION("QUERY('Volunteer Survey'!F35)"),"Physician (Non-geneticist)")</f>
        <v>Physician (Non-geneticist)</v>
      </c>
      <c r="O35" s="48" t="str">
        <f>IFERROR(__xludf.DUMMYFUNCTION("QUERY('Volunteer Survey'!H35)"),"Comprehensive")</f>
        <v>Comprehensive</v>
      </c>
      <c r="P35" s="55" t="str">
        <f>IFERROR(__xludf.DUMMYFUNCTION("QUERY('Volunteer Survey'!I35)"),"Gene-Disease Validity")</f>
        <v>Gene-Disease Validity</v>
      </c>
      <c r="Q35" s="60" t="str">
        <f>IFERROR(__xludf.DUMMYFUNCTION("QUERY('Volunteer Survey'!J35)"),"Actionability")</f>
        <v>Actionability</v>
      </c>
      <c r="R35" s="55" t="str">
        <f>IFERROR(__xludf.DUMMYFUNCTION("QUERY('Volunteer Survey'!K35)"),"Variant Pathogenicity")</f>
        <v>Variant Pathogenicity</v>
      </c>
      <c r="S35" s="55" t="str">
        <f>IFERROR(__xludf.DUMMYFUNCTION("QUERY('Volunteer Survey'!L35)"),"Dosage Sensitivity")</f>
        <v>Dosage Sensitivity</v>
      </c>
      <c r="T35" s="55" t="str">
        <f>IFERROR(__xludf.DUMMYFUNCTION("QUERY('Volunteer Survey'!M35)"),"")</f>
        <v/>
      </c>
      <c r="U35" s="64" t="str">
        <f>IFERROR(__xludf.DUMMYFUNCTION("QUERY('Volunteer Survey'!N35)"),"Yes")</f>
        <v>Yes</v>
      </c>
      <c r="V35" s="55" t="str">
        <f>IFERROR(__xludf.DUMMYFUNCTION("QUERY('Volunteer Survey'!O35)"),"")</f>
        <v/>
      </c>
      <c r="W35" s="66" t="str">
        <f>IFERROR(__xludf.DUMMYFUNCTION("QUERY('Volunteer Survey'!P35)"),"Epilepsy WG/EP")</f>
        <v>Epilepsy WG/EP</v>
      </c>
      <c r="X35" s="64" t="str">
        <f>IFERROR(__xludf.DUMMYFUNCTION("QUERY('Volunteer Survey'!R35)"),"")</f>
        <v/>
      </c>
      <c r="Y35" s="51" t="s">
        <v>323</v>
      </c>
      <c r="Z35" s="182">
        <f>IFERROR(__xludf.DUMMYFUNCTION("QUERY('Volunteer Survey'!A34)"),43357.59306712963)</f>
        <v>43357.59307</v>
      </c>
      <c r="AA35" s="183" t="str">
        <f>IFERROR(__xludf.DUMMYFUNCTION("QUERY('Volunteer Survey'!B34)"),"Ljubica Caldovic")</f>
        <v>Ljubica Caldovic</v>
      </c>
      <c r="AB35" s="183" t="str">
        <f>IFERROR(__xludf.DUMMYFUNCTION("QUERY('Volunteer Survey'!C34)"),"Children's National Medical Center")</f>
        <v>Children's National Medical Center</v>
      </c>
      <c r="AC35" s="183" t="str">
        <f>IFERROR(__xludf.DUMMYFUNCTION("QUERY('Volunteer Survey'!D34)"),"Washington, DC")</f>
        <v>Washington, DC</v>
      </c>
      <c r="AD35" s="183" t="str">
        <f>IFERROR(__xludf.DUMMYFUNCTION("QUERY('Volunteer Survey'!E34)"),"lcaldovic@childrensnational.org")</f>
        <v>lcaldovic@childrensnational.org</v>
      </c>
      <c r="AE35" s="183" t="str">
        <f>IFERROR(__xludf.DUMMYFUNCTION("QUERY('Volunteer Survey'!F34)"),"Scientific Researcher, Variant Analyst/Scientist")</f>
        <v>Scientific Researcher, Variant Analyst/Scientist</v>
      </c>
      <c r="AF35" s="183" t="str">
        <f>IFERROR(__xludf.DUMMYFUNCTION("QUERY('Volunteer Survey'!G34)"),"Aminoacidopathy working group/expert panel; Metabolism expert panel")</f>
        <v>Aminoacidopathy working group/expert panel; Metabolism expert panel</v>
      </c>
      <c r="AG35" s="183" t="str">
        <f>IFERROR(__xludf.DUMMYFUNCTION("QUERY('Volunteer Survey'!H34)"),"Comprehensive")</f>
        <v>Comprehensive</v>
      </c>
      <c r="AH35" s="183" t="str">
        <f>IFERROR(__xludf.DUMMYFUNCTION("QUERY('Volunteer Survey'!I34)"),"Gene-Disease Validity")</f>
        <v>Gene-Disease Validity</v>
      </c>
      <c r="AI35" s="183" t="str">
        <f>IFERROR(__xludf.DUMMYFUNCTION("QUERY('Volunteer Survey'!J34)"),"Variant Pathogenicity")</f>
        <v>Variant Pathogenicity</v>
      </c>
      <c r="AJ35" s="183" t="str">
        <f>IFERROR(__xludf.DUMMYFUNCTION("QUERY('Volunteer Survey'!K34)"),"Dosage Sensitivity")</f>
        <v>Dosage Sensitivity</v>
      </c>
      <c r="AK35" s="183" t="str">
        <f>IFERROR(__xludf.DUMMYFUNCTION("QUERY('Volunteer Survey'!L34)"),"")</f>
        <v/>
      </c>
      <c r="AL35" s="183" t="str">
        <f>IFERROR(__xludf.DUMMYFUNCTION("QUERY('Volunteer Survey'!M34)"),"")</f>
        <v/>
      </c>
      <c r="AM35" s="183" t="str">
        <f>IFERROR(__xludf.DUMMYFUNCTION("QUERY('Volunteer Survey'!N34)"),"No")</f>
        <v>No</v>
      </c>
      <c r="AN35" s="183" t="str">
        <f>IFERROR(__xludf.DUMMYFUNCTION("QUERY('Volunteer Survey'!O34)"),"")</f>
        <v/>
      </c>
      <c r="AO35" s="183" t="str">
        <f>IFERROR(__xludf.DUMMYFUNCTION("QUERY('Volunteer Survey'!P34)"),"Aminoacidopathy working group/expert panel; Metabolism expert panel")</f>
        <v>Aminoacidopathy working group/expert panel; Metabolism expert panel</v>
      </c>
    </row>
    <row r="36">
      <c r="A36" s="50">
        <f>IFERROR(__xludf.DUMMYFUNCTION("QUERY('Volunteer Survey'!A36)"),43363.59516203703)</f>
        <v>43363.59516</v>
      </c>
      <c r="B36" s="48" t="s">
        <v>108</v>
      </c>
      <c r="C36" s="87">
        <v>43411.0</v>
      </c>
      <c r="D36" s="56">
        <v>43446.0</v>
      </c>
      <c r="E36" s="48" t="s">
        <v>130</v>
      </c>
      <c r="F36" s="48" t="s">
        <v>130</v>
      </c>
      <c r="G36" s="48" t="s">
        <v>313</v>
      </c>
      <c r="H36" s="53"/>
      <c r="I36" s="51" t="s">
        <v>139</v>
      </c>
      <c r="J36" s="55"/>
      <c r="K36" s="55"/>
      <c r="L36" s="55" t="str">
        <f>IFERROR(__xludf.DUMMYFUNCTION("QUERY('Volunteer Survey'!B36)"),"Vladimir Lialine")</f>
        <v>Vladimir Lialine</v>
      </c>
      <c r="M36" s="55" t="str">
        <f>IFERROR(__xludf.DUMMYFUNCTION("QUERY('Volunteer Survey'!E36)"),"vlad@twixsoft.com")</f>
        <v>vlad@twixsoft.com</v>
      </c>
      <c r="N36" s="55" t="str">
        <f>IFERROR(__xludf.DUMMYFUNCTION("QUERY('Volunteer Survey'!F36)"),"Scientific Researcher, Graduate Student, Citizen Scientist/Patient Advocate")</f>
        <v>Scientific Researcher, Graduate Student, Citizen Scientist/Patient Advocate</v>
      </c>
      <c r="O36" s="55" t="str">
        <f>IFERROR(__xludf.DUMMYFUNCTION("QUERY('Volunteer Survey'!H36)"),"Comprehensive")</f>
        <v>Comprehensive</v>
      </c>
      <c r="P36" s="55" t="str">
        <f>IFERROR(__xludf.DUMMYFUNCTION("QUERY('Volunteer Survey'!I36)"),"Gene-Disease Validity")</f>
        <v>Gene-Disease Validity</v>
      </c>
      <c r="Q36" s="60" t="str">
        <f>IFERROR(__xludf.DUMMYFUNCTION("QUERY('Volunteer Survey'!J36)"),"Somatic Cancer")</f>
        <v>Somatic Cancer</v>
      </c>
      <c r="R36" s="55" t="str">
        <f>IFERROR(__xludf.DUMMYFUNCTION("QUERY('Volunteer Survey'!K36)"),"Dosage Sensitivity")</f>
        <v>Dosage Sensitivity</v>
      </c>
      <c r="S36" s="55" t="str">
        <f>IFERROR(__xludf.DUMMYFUNCTION("QUERY('Volunteer Survey'!L36)"),"Actionability")</f>
        <v>Actionability</v>
      </c>
      <c r="T36" s="55" t="str">
        <f>IFERROR(__xludf.DUMMYFUNCTION("QUERY('Volunteer Survey'!M36)"),"Variant Pathogenicity")</f>
        <v>Variant Pathogenicity</v>
      </c>
      <c r="U36" s="64" t="str">
        <f>IFERROR(__xludf.DUMMYFUNCTION("QUERY('Volunteer Survey'!N36)"),"No")</f>
        <v>No</v>
      </c>
      <c r="V36" s="55" t="str">
        <f>IFERROR(__xludf.DUMMYFUNCTION("QUERY('Volunteer Survey'!O36)"),"Yes")</f>
        <v>Yes</v>
      </c>
      <c r="W36" s="66" t="str">
        <f>IFERROR(__xludf.DUMMYFUNCTION("QUERY('Volunteer Survey'!P36)"),"No")</f>
        <v>No</v>
      </c>
      <c r="X36" s="64" t="str">
        <f>IFERROR(__xludf.DUMMYFUNCTION("QUERY('Volunteer Survey'!R36)"),"")</f>
        <v/>
      </c>
      <c r="Y36" s="53"/>
      <c r="Z36" s="182">
        <f>IFERROR(__xludf.DUMMYFUNCTION("QUERY('Volunteer Survey'!A35)"),43359.59390046296)</f>
        <v>43359.5939</v>
      </c>
      <c r="AA36" s="183" t="str">
        <f>IFERROR(__xludf.DUMMYFUNCTION("QUERY('Volunteer Survey'!B35)"),"John Millichap")</f>
        <v>John Millichap</v>
      </c>
      <c r="AB36" s="183" t="str">
        <f>IFERROR(__xludf.DUMMYFUNCTION("QUERY('Volunteer Survey'!C35)"),"Ann &amp; Robert H. Lurie Children's Hospital of Chicago")</f>
        <v>Ann &amp; Robert H. Lurie Children's Hospital of Chicago</v>
      </c>
      <c r="AC36" s="183" t="str">
        <f>IFERROR(__xludf.DUMMYFUNCTION("QUERY('Volunteer Survey'!D35)"),"Chicago, IL")</f>
        <v>Chicago, IL</v>
      </c>
      <c r="AD36" s="183" t="str">
        <f>IFERROR(__xludf.DUMMYFUNCTION("QUERY('Volunteer Survey'!E35)"),"jmillichap@luriechildrens.org")</f>
        <v>jmillichap@luriechildrens.org</v>
      </c>
      <c r="AE36" s="183" t="str">
        <f>IFERROR(__xludf.DUMMYFUNCTION("QUERY('Volunteer Survey'!F35)"),"Physician (Non-geneticist)")</f>
        <v>Physician (Non-geneticist)</v>
      </c>
      <c r="AF36" s="183" t="str">
        <f>IFERROR(__xludf.DUMMYFUNCTION("QUERY('Volunteer Survey'!G35)"),"Epilepsy WG/EP")</f>
        <v>Epilepsy WG/EP</v>
      </c>
      <c r="AG36" s="183" t="str">
        <f>IFERROR(__xludf.DUMMYFUNCTION("QUERY('Volunteer Survey'!H35)"),"Comprehensive")</f>
        <v>Comprehensive</v>
      </c>
      <c r="AH36" s="183" t="str">
        <f>IFERROR(__xludf.DUMMYFUNCTION("QUERY('Volunteer Survey'!I35)"),"Gene-Disease Validity")</f>
        <v>Gene-Disease Validity</v>
      </c>
      <c r="AI36" s="183" t="str">
        <f>IFERROR(__xludf.DUMMYFUNCTION("QUERY('Volunteer Survey'!J35)"),"Actionability")</f>
        <v>Actionability</v>
      </c>
      <c r="AJ36" s="183" t="str">
        <f>IFERROR(__xludf.DUMMYFUNCTION("QUERY('Volunteer Survey'!K35)"),"Variant Pathogenicity")</f>
        <v>Variant Pathogenicity</v>
      </c>
      <c r="AK36" s="183" t="str">
        <f>IFERROR(__xludf.DUMMYFUNCTION("QUERY('Volunteer Survey'!L35)"),"Dosage Sensitivity")</f>
        <v>Dosage Sensitivity</v>
      </c>
      <c r="AL36" s="183" t="str">
        <f>IFERROR(__xludf.DUMMYFUNCTION("QUERY('Volunteer Survey'!M35)"),"")</f>
        <v/>
      </c>
      <c r="AM36" s="183" t="str">
        <f>IFERROR(__xludf.DUMMYFUNCTION("QUERY('Volunteer Survey'!N35)"),"Yes")</f>
        <v>Yes</v>
      </c>
      <c r="AN36" s="183" t="str">
        <f>IFERROR(__xludf.DUMMYFUNCTION("QUERY('Volunteer Survey'!O35)"),"")</f>
        <v/>
      </c>
      <c r="AO36" s="183" t="str">
        <f>IFERROR(__xludf.DUMMYFUNCTION("QUERY('Volunteer Survey'!P35)"),"Epilepsy WG/EP")</f>
        <v>Epilepsy WG/EP</v>
      </c>
    </row>
    <row r="37">
      <c r="A37" s="50">
        <f>IFERROR(__xludf.DUMMYFUNCTION("QUERY('Volunteer Survey'!A38)"),43384.5971412037)</f>
        <v>43384.59714</v>
      </c>
      <c r="B37" s="48" t="s">
        <v>108</v>
      </c>
      <c r="C37" s="79">
        <v>43430.0</v>
      </c>
      <c r="D37" s="56">
        <v>43446.0</v>
      </c>
      <c r="E37" s="48" t="s">
        <v>117</v>
      </c>
      <c r="F37" s="48" t="s">
        <v>130</v>
      </c>
      <c r="G37" s="48" t="s">
        <v>122</v>
      </c>
      <c r="H37" s="53"/>
      <c r="I37" s="51" t="s">
        <v>139</v>
      </c>
      <c r="J37" s="55"/>
      <c r="K37" s="55"/>
      <c r="L37" s="55" t="str">
        <f>IFERROR(__xludf.DUMMYFUNCTION("QUERY('Volunteer Survey'!B38)"),"Vaidehi Jobanputra")</f>
        <v>Vaidehi Jobanputra</v>
      </c>
      <c r="M37" s="55" t="str">
        <f>IFERROR(__xludf.DUMMYFUNCTION("QUERY('Volunteer Survey'!E38)"),"vjobanputra@nygenome.org")</f>
        <v>vjobanputra@nygenome.org</v>
      </c>
      <c r="N37" s="55" t="str">
        <f>IFERROR(__xludf.DUMMYFUNCTION("QUERY('Volunteer Survey'!F38)"),"Clinical laboratory geneticist")</f>
        <v>Clinical laboratory geneticist</v>
      </c>
      <c r="O37" s="48" t="str">
        <f>IFERROR(__xludf.DUMMYFUNCTION("QUERY('Volunteer Survey'!H38)"),"Comprehensive")</f>
        <v>Comprehensive</v>
      </c>
      <c r="P37" s="55" t="str">
        <f>IFERROR(__xludf.DUMMYFUNCTION("QUERY('Volunteer Survey'!I38)"),"Gene-Disease Validity")</f>
        <v>Gene-Disease Validity</v>
      </c>
      <c r="Q37" s="60" t="str">
        <f>IFERROR(__xludf.DUMMYFUNCTION("QUERY('Volunteer Survey'!J38)"),"")</f>
        <v/>
      </c>
      <c r="R37" s="55" t="str">
        <f>IFERROR(__xludf.DUMMYFUNCTION("QUERY('Volunteer Survey'!K38)"),"")</f>
        <v/>
      </c>
      <c r="S37" s="55" t="str">
        <f>IFERROR(__xludf.DUMMYFUNCTION("QUERY('Volunteer Survey'!L38)"),"")</f>
        <v/>
      </c>
      <c r="T37" s="55" t="str">
        <f>IFERROR(__xludf.DUMMYFUNCTION("QUERY('Volunteer Survey'!M38)"),"")</f>
        <v/>
      </c>
      <c r="U37" s="64" t="str">
        <f>IFERROR(__xludf.DUMMYFUNCTION("QUERY('Volunteer Survey'!N38)"),"Yes")</f>
        <v>Yes</v>
      </c>
      <c r="V37" s="55" t="str">
        <f>IFERROR(__xludf.DUMMYFUNCTION("QUERY('Volunteer Survey'!O38)"),"")</f>
        <v/>
      </c>
      <c r="W37" s="66" t="str">
        <f>IFERROR(__xludf.DUMMYFUNCTION("QUERY('Volunteer Survey'!P38)"),"No")</f>
        <v>No</v>
      </c>
      <c r="X37" s="64" t="str">
        <f>IFERROR(__xludf.DUMMYFUNCTION("QUERY('Volunteer Survey'!R38)"),"")</f>
        <v/>
      </c>
      <c r="Y37" s="53"/>
      <c r="Z37" s="182">
        <f>IFERROR(__xludf.DUMMYFUNCTION("QUERY('Volunteer Survey'!A36)"),43363.59516203703)</f>
        <v>43363.59516</v>
      </c>
      <c r="AA37" s="183" t="str">
        <f>IFERROR(__xludf.DUMMYFUNCTION("QUERY('Volunteer Survey'!B36)"),"Vladimir Lialine")</f>
        <v>Vladimir Lialine</v>
      </c>
      <c r="AB37" s="183" t="str">
        <f>IFERROR(__xludf.DUMMYFUNCTION("QUERY('Volunteer Survey'!C36)"),"Twixsoft LLC")</f>
        <v>Twixsoft LLC</v>
      </c>
      <c r="AC37" s="183" t="str">
        <f>IFERROR(__xludf.DUMMYFUNCTION("QUERY('Volunteer Survey'!D36)"),"Connecticut")</f>
        <v>Connecticut</v>
      </c>
      <c r="AD37" s="183" t="str">
        <f>IFERROR(__xludf.DUMMYFUNCTION("QUERY('Volunteer Survey'!E36)"),"vlad@twixsoft.com")</f>
        <v>vlad@twixsoft.com</v>
      </c>
      <c r="AE37" s="183" t="str">
        <f>IFERROR(__xludf.DUMMYFUNCTION("QUERY('Volunteer Survey'!F36)"),"Scientific Researcher, Graduate Student, Citizen Scientist/Patient Advocate")</f>
        <v>Scientific Researcher, Graduate Student, Citizen Scientist/Patient Advocate</v>
      </c>
      <c r="AF37" s="183" t="str">
        <f>IFERROR(__xludf.DUMMYFUNCTION("QUERY('Volunteer Survey'!G36)"),"No")</f>
        <v>No</v>
      </c>
      <c r="AG37" s="183" t="str">
        <f>IFERROR(__xludf.DUMMYFUNCTION("QUERY('Volunteer Survey'!H36)"),"Comprehensive")</f>
        <v>Comprehensive</v>
      </c>
      <c r="AH37" s="183" t="str">
        <f>IFERROR(__xludf.DUMMYFUNCTION("QUERY('Volunteer Survey'!I36)"),"Gene-Disease Validity")</f>
        <v>Gene-Disease Validity</v>
      </c>
      <c r="AI37" s="183" t="str">
        <f>IFERROR(__xludf.DUMMYFUNCTION("QUERY('Volunteer Survey'!J36)"),"Somatic Cancer")</f>
        <v>Somatic Cancer</v>
      </c>
      <c r="AJ37" s="183" t="str">
        <f>IFERROR(__xludf.DUMMYFUNCTION("QUERY('Volunteer Survey'!K36)"),"Dosage Sensitivity")</f>
        <v>Dosage Sensitivity</v>
      </c>
      <c r="AK37" s="183" t="str">
        <f>IFERROR(__xludf.DUMMYFUNCTION("QUERY('Volunteer Survey'!L36)"),"Actionability")</f>
        <v>Actionability</v>
      </c>
      <c r="AL37" s="183" t="str">
        <f>IFERROR(__xludf.DUMMYFUNCTION("QUERY('Volunteer Survey'!M36)"),"Variant Pathogenicity")</f>
        <v>Variant Pathogenicity</v>
      </c>
      <c r="AM37" s="183" t="str">
        <f>IFERROR(__xludf.DUMMYFUNCTION("QUERY('Volunteer Survey'!N36)"),"No")</f>
        <v>No</v>
      </c>
      <c r="AN37" s="183" t="str">
        <f>IFERROR(__xludf.DUMMYFUNCTION("QUERY('Volunteer Survey'!O36)"),"Yes")</f>
        <v>Yes</v>
      </c>
      <c r="AO37" s="183" t="str">
        <f>IFERROR(__xludf.DUMMYFUNCTION("QUERY('Volunteer Survey'!P36)"),"No")</f>
        <v>No</v>
      </c>
    </row>
    <row r="38">
      <c r="A38" s="50">
        <f>IFERROR(__xludf.DUMMYFUNCTION("QUERY('Volunteer Survey'!A39)"),43401.5984837963)</f>
        <v>43401.59848</v>
      </c>
      <c r="B38" s="48" t="s">
        <v>108</v>
      </c>
      <c r="C38" s="51" t="s">
        <v>3145</v>
      </c>
      <c r="D38" s="56">
        <v>43446.0</v>
      </c>
      <c r="E38" s="48" t="s">
        <v>130</v>
      </c>
      <c r="F38" s="48" t="s">
        <v>130</v>
      </c>
      <c r="G38" s="48" t="s">
        <v>122</v>
      </c>
      <c r="H38" s="53"/>
      <c r="I38" s="51" t="s">
        <v>139</v>
      </c>
      <c r="J38" s="55"/>
      <c r="K38" s="55"/>
      <c r="L38" s="55" t="str">
        <f>IFERROR(__xludf.DUMMYFUNCTION("QUERY('Volunteer Survey'!B39)"),"Khushnooda Ramzan")</f>
        <v>Khushnooda Ramzan</v>
      </c>
      <c r="M38" s="55" t="str">
        <f>IFERROR(__xludf.DUMMYFUNCTION("QUERY('Volunteer Survey'!E39)"),"khushnooda@gmail.com")</f>
        <v>khushnooda@gmail.com</v>
      </c>
      <c r="N38" s="55" t="str">
        <f>IFERROR(__xludf.DUMMYFUNCTION("QUERY('Volunteer Survey'!F39)"),"Scientific Research/ Variant Analyst")</f>
        <v>Scientific Research/ Variant Analyst</v>
      </c>
      <c r="O38" s="48" t="str">
        <f>IFERROR(__xludf.DUMMYFUNCTION("QUERY('Volunteer Survey'!H39)"),"Comprehensive")</f>
        <v>Comprehensive</v>
      </c>
      <c r="P38" s="55" t="str">
        <f>IFERROR(__xludf.DUMMYFUNCTION("QUERY('Volunteer Survey'!I39)"),"Gene-Disease Validity")</f>
        <v>Gene-Disease Validity</v>
      </c>
      <c r="Q38" s="60" t="str">
        <f>IFERROR(__xludf.DUMMYFUNCTION("QUERY('Volunteer Survey'!J39)"),"Variant Pathogenicity")</f>
        <v>Variant Pathogenicity</v>
      </c>
      <c r="R38" s="55" t="str">
        <f>IFERROR(__xludf.DUMMYFUNCTION("QUERY('Volunteer Survey'!K39)"),"")</f>
        <v/>
      </c>
      <c r="S38" s="55" t="str">
        <f>IFERROR(__xludf.DUMMYFUNCTION("QUERY('Volunteer Survey'!L39)"),"")</f>
        <v/>
      </c>
      <c r="T38" s="55" t="str">
        <f>IFERROR(__xludf.DUMMYFUNCTION("QUERY('Volunteer Survey'!M39)"),"")</f>
        <v/>
      </c>
      <c r="U38" s="64" t="str">
        <f>IFERROR(__xludf.DUMMYFUNCTION("QUERY('Volunteer Survey'!N39)"),"")</f>
        <v/>
      </c>
      <c r="V38" s="55" t="str">
        <f>IFERROR(__xludf.DUMMYFUNCTION("QUERY('Volunteer Survey'!O39)"),"")</f>
        <v/>
      </c>
      <c r="W38" s="66" t="str">
        <f>IFERROR(__xludf.DUMMYFUNCTION("QUERY('Volunteer Survey'!P39)"),"Experience with Mendelian disorders, not noted for curation. Hearing Loss (most experience with pubs), Cardiovascular KCNQ1 Variant
Storage Diseases Variant Curation Expert Panel")</f>
        <v>Experience with Mendelian disorders, not noted for curation. Hearing Loss (most experience with pubs), Cardiovascular KCNQ1 Variant
Storage Diseases Variant Curation Expert Panel</v>
      </c>
      <c r="X38" s="64" t="str">
        <f>IFERROR(__xludf.DUMMYFUNCTION("QUERY('Volunteer Survey'!R39)"),"")</f>
        <v/>
      </c>
      <c r="Y38" s="53"/>
      <c r="Z38" s="182">
        <f>IFERROR(__xludf.DUMMYFUNCTION("QUERY('Volunteer Survey'!A37)"),43473.59608081018)</f>
        <v>43473.59608</v>
      </c>
      <c r="AA38" s="183" t="str">
        <f>IFERROR(__xludf.DUMMYFUNCTION("QUERY('Volunteer Survey'!B37)"),"Kalpana Panneerselvam")</f>
        <v>Kalpana Panneerselvam</v>
      </c>
      <c r="AB38" s="183" t="str">
        <f>IFERROR(__xludf.DUMMYFUNCTION("QUERY('Volunteer Survey'!C37)"),"Excelra Knowledge Solutions")</f>
        <v>Excelra Knowledge Solutions</v>
      </c>
      <c r="AC38" s="183" t="str">
        <f>IFERROR(__xludf.DUMMYFUNCTION("QUERY('Volunteer Survey'!D37)"),"India")</f>
        <v>India</v>
      </c>
      <c r="AD38" s="183" t="str">
        <f>IFERROR(__xludf.DUMMYFUNCTION("QUERY('Volunteer Survey'!E37)"),"kalpanarpanneerselvam@gmail.com")</f>
        <v>kalpanarpanneerselvam@gmail.com</v>
      </c>
      <c r="AE38" s="183" t="str">
        <f>IFERROR(__xludf.DUMMYFUNCTION("QUERY('Volunteer Survey'!F37)"),"Biocurator, Variant Analyst/Scientist")</f>
        <v>Biocurator, Variant Analyst/Scientist</v>
      </c>
      <c r="AF38" s="183" t="str">
        <f>IFERROR(__xludf.DUMMYFUNCTION("QUERY('Volunteer Survey'!G37)"),"Somatic/Germline Variant Curation Group; Hereditary Cancer Gene Curation Expert Panel")</f>
        <v>Somatic/Germline Variant Curation Group; Hereditary Cancer Gene Curation Expert Panel</v>
      </c>
      <c r="AG38" s="183" t="str">
        <f>IFERROR(__xludf.DUMMYFUNCTION("QUERY('Volunteer Survey'!H37)"),"Comprehensive")</f>
        <v>Comprehensive</v>
      </c>
      <c r="AH38" s="183" t="str">
        <f>IFERROR(__xludf.DUMMYFUNCTION("QUERY('Volunteer Survey'!I37)"),"Gene-Disease Validity")</f>
        <v>Gene-Disease Validity</v>
      </c>
      <c r="AI38" s="183" t="str">
        <f>IFERROR(__xludf.DUMMYFUNCTION("QUERY('Volunteer Survey'!J37)"),"Somatic Cancer")</f>
        <v>Somatic Cancer</v>
      </c>
      <c r="AJ38" s="183" t="str">
        <f>IFERROR(__xludf.DUMMYFUNCTION("QUERY('Volunteer Survey'!K37)"),"Variant Pathogenicity")</f>
        <v>Variant Pathogenicity</v>
      </c>
      <c r="AK38" s="183" t="str">
        <f>IFERROR(__xludf.DUMMYFUNCTION("QUERY('Volunteer Survey'!L37)"),"Actionability")</f>
        <v>Actionability</v>
      </c>
      <c r="AL38" s="183" t="str">
        <f>IFERROR(__xludf.DUMMYFUNCTION("QUERY('Volunteer Survey'!M37)"),"Dosage Sensitivity")</f>
        <v>Dosage Sensitivity</v>
      </c>
      <c r="AM38" s="183" t="str">
        <f>IFERROR(__xludf.DUMMYFUNCTION("QUERY('Volunteer Survey'!N37)"),"Yes")</f>
        <v>Yes</v>
      </c>
      <c r="AN38" s="183" t="str">
        <f>IFERROR(__xludf.DUMMYFUNCTION("QUERY('Volunteer Survey'!O37)"),"")</f>
        <v/>
      </c>
      <c r="AO38" s="183" t="str">
        <f>IFERROR(__xludf.DUMMYFUNCTION("QUERY('Volunteer Survey'!P37)"),"Somatic/Germline Variant Curation Group; Hereditary Cancer Gene Curation Expert Panel")</f>
        <v>Somatic/Germline Variant Curation Group; Hereditary Cancer Gene Curation Expert Panel</v>
      </c>
    </row>
    <row r="39">
      <c r="A39" s="50">
        <f>IFERROR(__xludf.DUMMYFUNCTION("QUERY('Volunteer Survey'!A40)"),43413.59946759259)</f>
        <v>43413.59947</v>
      </c>
      <c r="B39" s="48" t="s">
        <v>108</v>
      </c>
      <c r="C39" s="79"/>
      <c r="D39" s="65">
        <v>43585.0</v>
      </c>
      <c r="E39" s="48" t="s">
        <v>117</v>
      </c>
      <c r="F39" s="48" t="s">
        <v>130</v>
      </c>
      <c r="G39" s="48" t="s">
        <v>122</v>
      </c>
      <c r="H39" s="51" t="s">
        <v>123</v>
      </c>
      <c r="I39" s="51" t="s">
        <v>139</v>
      </c>
      <c r="J39" s="56">
        <v>43712.0</v>
      </c>
      <c r="K39" s="56"/>
      <c r="L39" s="55" t="str">
        <f>IFERROR(__xludf.DUMMYFUNCTION("QUERY('Volunteer Survey'!B40)"),"Erik Thorland")</f>
        <v>Erik Thorland</v>
      </c>
      <c r="M39" s="55" t="str">
        <f>IFERROR(__xludf.DUMMYFUNCTION("QUERY('Volunteer Survey'!E40)"),"thorland.erik@mayo.edu")</f>
        <v>thorland.erik@mayo.edu</v>
      </c>
      <c r="N39" s="55" t="str">
        <f>IFERROR(__xludf.DUMMYFUNCTION("QUERY('Volunteer Survey'!F40)"),"Clinical laboratory geneticist")</f>
        <v>Clinical laboratory geneticist</v>
      </c>
      <c r="O39" s="48" t="str">
        <f>IFERROR(__xludf.DUMMYFUNCTION("QUERY('Volunteer Survey'!H40)"),"Comprehensive")</f>
        <v>Comprehensive</v>
      </c>
      <c r="P39" s="55" t="str">
        <f>IFERROR(__xludf.DUMMYFUNCTION("QUERY('Volunteer Survey'!I40)"),"Gene-Disease Validity")</f>
        <v>Gene-Disease Validity</v>
      </c>
      <c r="Q39" s="60" t="str">
        <f>IFERROR(__xludf.DUMMYFUNCTION("QUERY('Volunteer Survey'!J40)"),"Variant Pathogenicity")</f>
        <v>Variant Pathogenicity</v>
      </c>
      <c r="R39" s="55" t="str">
        <f>IFERROR(__xludf.DUMMYFUNCTION("QUERY('Volunteer Survey'!K40)"),"")</f>
        <v/>
      </c>
      <c r="S39" s="55" t="str">
        <f>IFERROR(__xludf.DUMMYFUNCTION("QUERY('Volunteer Survey'!L40)"),"")</f>
        <v/>
      </c>
      <c r="T39" s="55" t="str">
        <f>IFERROR(__xludf.DUMMYFUNCTION("QUERY('Volunteer Survey'!M40)"),"")</f>
        <v/>
      </c>
      <c r="U39" s="64" t="str">
        <f>IFERROR(__xludf.DUMMYFUNCTION("QUERY('Volunteer Survey'!N40)"),"Yes")</f>
        <v>Yes</v>
      </c>
      <c r="V39" s="55" t="str">
        <f>IFERROR(__xludf.DUMMYFUNCTION("QUERY('Volunteer Survey'!O40)"),"")</f>
        <v/>
      </c>
      <c r="W39" s="66" t="str">
        <f>IFERROR(__xludf.DUMMYFUNCTION("QUERY('Volunteer Survey'!P40)"),"I'm specifically interested in the epilespy gene curation group.  I'm already involved in the dosage sensitivity working group.")</f>
        <v>I'm specifically interested in the epilespy gene curation group.  I'm already involved in the dosage sensitivity working group.</v>
      </c>
      <c r="X39" s="64" t="str">
        <f>IFERROR(__xludf.DUMMYFUNCTION("QUERY('Volunteer Survey'!R40)"),"")</f>
        <v/>
      </c>
      <c r="Y39" s="51" t="s">
        <v>325</v>
      </c>
      <c r="Z39" s="182">
        <f>IFERROR(__xludf.DUMMYFUNCTION("QUERY('Volunteer Survey'!A38)"),43384.5971412037)</f>
        <v>43384.59714</v>
      </c>
      <c r="AA39" s="183" t="str">
        <f>IFERROR(__xludf.DUMMYFUNCTION("QUERY('Volunteer Survey'!B38)"),"Vaidehi Jobanputra")</f>
        <v>Vaidehi Jobanputra</v>
      </c>
      <c r="AB39" s="183" t="str">
        <f>IFERROR(__xludf.DUMMYFUNCTION("QUERY('Volunteer Survey'!C38)"),"New York Genome Center")</f>
        <v>New York Genome Center</v>
      </c>
      <c r="AC39" s="183" t="str">
        <f>IFERROR(__xludf.DUMMYFUNCTION("QUERY('Volunteer Survey'!D38)"),"New York  ")</f>
        <v>New York  </v>
      </c>
      <c r="AD39" s="183" t="str">
        <f>IFERROR(__xludf.DUMMYFUNCTION("QUERY('Volunteer Survey'!E38)"),"vjobanputra@nygenome.org")</f>
        <v>vjobanputra@nygenome.org</v>
      </c>
      <c r="AE39" s="183" t="str">
        <f>IFERROR(__xludf.DUMMYFUNCTION("QUERY('Volunteer Survey'!F38)"),"Clinical laboratory geneticist")</f>
        <v>Clinical laboratory geneticist</v>
      </c>
      <c r="AF39" s="183" t="str">
        <f>IFERROR(__xludf.DUMMYFUNCTION("QUERY('Volunteer Survey'!G38)"),"No")</f>
        <v>No</v>
      </c>
      <c r="AG39" s="183" t="str">
        <f>IFERROR(__xludf.DUMMYFUNCTION("QUERY('Volunteer Survey'!H38)"),"Comprehensive")</f>
        <v>Comprehensive</v>
      </c>
      <c r="AH39" s="183" t="str">
        <f>IFERROR(__xludf.DUMMYFUNCTION("QUERY('Volunteer Survey'!I38)"),"Gene-Disease Validity")</f>
        <v>Gene-Disease Validity</v>
      </c>
      <c r="AI39" s="183" t="str">
        <f>IFERROR(__xludf.DUMMYFUNCTION("QUERY('Volunteer Survey'!J38)"),"")</f>
        <v/>
      </c>
      <c r="AJ39" s="183" t="str">
        <f>IFERROR(__xludf.DUMMYFUNCTION("QUERY('Volunteer Survey'!K38)"),"")</f>
        <v/>
      </c>
      <c r="AK39" s="183" t="str">
        <f>IFERROR(__xludf.DUMMYFUNCTION("QUERY('Volunteer Survey'!L38)"),"")</f>
        <v/>
      </c>
      <c r="AL39" s="183" t="str">
        <f>IFERROR(__xludf.DUMMYFUNCTION("QUERY('Volunteer Survey'!M38)"),"")</f>
        <v/>
      </c>
      <c r="AM39" s="183" t="str">
        <f>IFERROR(__xludf.DUMMYFUNCTION("QUERY('Volunteer Survey'!N38)"),"Yes")</f>
        <v>Yes</v>
      </c>
      <c r="AN39" s="183" t="str">
        <f>IFERROR(__xludf.DUMMYFUNCTION("QUERY('Volunteer Survey'!O38)"),"")</f>
        <v/>
      </c>
      <c r="AO39" s="183" t="str">
        <f>IFERROR(__xludf.DUMMYFUNCTION("QUERY('Volunteer Survey'!P38)"),"No")</f>
        <v>No</v>
      </c>
    </row>
    <row r="40">
      <c r="A40" s="50">
        <f>IFERROR(__xludf.DUMMYFUNCTION("QUERY('Volunteer Survey'!A41)"),43434.60061342592)</f>
        <v>43434.60061</v>
      </c>
      <c r="B40" s="48" t="s">
        <v>160</v>
      </c>
      <c r="C40" s="87">
        <v>43437.0</v>
      </c>
      <c r="D40" s="56">
        <v>43446.0</v>
      </c>
      <c r="E40" s="48" t="s">
        <v>117</v>
      </c>
      <c r="F40" s="48" t="s">
        <v>117</v>
      </c>
      <c r="G40" s="48" t="s">
        <v>122</v>
      </c>
      <c r="H40" s="51" t="s">
        <v>143</v>
      </c>
      <c r="I40" s="51" t="s">
        <v>299</v>
      </c>
      <c r="J40" s="56">
        <v>43592.0</v>
      </c>
      <c r="K40" s="56">
        <v>43713.0</v>
      </c>
      <c r="L40" s="55" t="str">
        <f>IFERROR(__xludf.DUMMYFUNCTION("QUERY('Volunteer Survey'!B41)"),"Olivia Rennie")</f>
        <v>Olivia Rennie</v>
      </c>
      <c r="M40" s="55" t="str">
        <f>IFERROR(__xludf.DUMMYFUNCTION("QUERY('Volunteer Survey'!E41)"),"olivia.rennie@sickkids.ca")</f>
        <v>olivia.rennie@sickkids.ca</v>
      </c>
      <c r="N40" s="55" t="str">
        <f>IFERROR(__xludf.DUMMYFUNCTION("QUERY('Volunteer Survey'!F41)"),"Variant Analyst/Scientist")</f>
        <v>Variant Analyst/Scientist</v>
      </c>
      <c r="O40" s="48" t="str">
        <f>IFERROR(__xludf.DUMMYFUNCTION("QUERY('Volunteer Survey'!H41)"),"Comprehensive")</f>
        <v>Comprehensive</v>
      </c>
      <c r="P40" s="55" t="str">
        <f>IFERROR(__xludf.DUMMYFUNCTION("QUERY('Volunteer Survey'!I41)"),"Gene-Disease Validity")</f>
        <v>Gene-Disease Validity</v>
      </c>
      <c r="Q40" s="60" t="str">
        <f>IFERROR(__xludf.DUMMYFUNCTION("QUERY('Volunteer Survey'!J41)"),"Somatic Cancer")</f>
        <v>Somatic Cancer</v>
      </c>
      <c r="R40" s="55" t="str">
        <f>IFERROR(__xludf.DUMMYFUNCTION("QUERY('Volunteer Survey'!K41)"),"Dosage Sensitivity")</f>
        <v>Dosage Sensitivity</v>
      </c>
      <c r="S40" s="55" t="str">
        <f>IFERROR(__xludf.DUMMYFUNCTION("QUERY('Volunteer Survey'!L41)"),"Variant Pathogenicity")</f>
        <v>Variant Pathogenicity</v>
      </c>
      <c r="T40" s="55" t="str">
        <f>IFERROR(__xludf.DUMMYFUNCTION("QUERY('Volunteer Survey'!M41)"),"Actionability")</f>
        <v>Actionability</v>
      </c>
      <c r="U40" s="64" t="str">
        <f>IFERROR(__xludf.DUMMYFUNCTION("QUERY('Volunteer Survey'!N41)"),"No")</f>
        <v>No</v>
      </c>
      <c r="V40" s="55" t="str">
        <f>IFERROR(__xludf.DUMMYFUNCTION("QUERY('Volunteer Survey'!O41)"),"")</f>
        <v/>
      </c>
      <c r="W40" s="66" t="str">
        <f>IFERROR(__xludf.DUMMYFUNCTION("QUERY('Volunteer Survey'!P41)"),"ID/Autism Gene Curation Expert Panel")</f>
        <v>ID/Autism Gene Curation Expert Panel</v>
      </c>
      <c r="X40" s="64" t="str">
        <f>IFERROR(__xludf.DUMMYFUNCTION("QUERY('Volunteer Survey'!R41)"),"")</f>
        <v/>
      </c>
      <c r="Y40" s="53"/>
      <c r="Z40" s="182">
        <f>IFERROR(__xludf.DUMMYFUNCTION("QUERY('Volunteer Survey'!A39)"),43401.5984837963)</f>
        <v>43401.59848</v>
      </c>
      <c r="AA40" s="183" t="str">
        <f>IFERROR(__xludf.DUMMYFUNCTION("QUERY('Volunteer Survey'!B39)"),"Khushnooda Ramzan")</f>
        <v>Khushnooda Ramzan</v>
      </c>
      <c r="AB40" s="183" t="str">
        <f>IFERROR(__xludf.DUMMYFUNCTION("QUERY('Volunteer Survey'!C39)"),"King Faisal Specialist Hospital and Research Centre")</f>
        <v>King Faisal Specialist Hospital and Research Centre</v>
      </c>
      <c r="AC40" s="183" t="str">
        <f>IFERROR(__xludf.DUMMYFUNCTION("QUERY('Volunteer Survey'!D39)"),"Saudi Arabia")</f>
        <v>Saudi Arabia</v>
      </c>
      <c r="AD40" s="183" t="str">
        <f>IFERROR(__xludf.DUMMYFUNCTION("QUERY('Volunteer Survey'!E39)"),"khushnooda@gmail.com")</f>
        <v>khushnooda@gmail.com</v>
      </c>
      <c r="AE40" s="183" t="str">
        <f>IFERROR(__xludf.DUMMYFUNCTION("QUERY('Volunteer Survey'!F39)"),"Scientific Research/ Variant Analyst")</f>
        <v>Scientific Research/ Variant Analyst</v>
      </c>
      <c r="AF40" s="183" t="str">
        <f>IFERROR(__xludf.DUMMYFUNCTION("QUERY('Volunteer Survey'!G39)"),"Experience with Mendelian disorders, not noted for curation. Hearing Loss (most experience with pubs), Cardiovascular KCNQ1 Variant
Storage Diseases Variant Curation Expert Panel")</f>
        <v>Experience with Mendelian disorders, not noted for curation. Hearing Loss (most experience with pubs), Cardiovascular KCNQ1 Variant
Storage Diseases Variant Curation Expert Panel</v>
      </c>
      <c r="AG40" s="183" t="str">
        <f>IFERROR(__xludf.DUMMYFUNCTION("QUERY('Volunteer Survey'!H39)"),"Comprehensive")</f>
        <v>Comprehensive</v>
      </c>
      <c r="AH40" s="183" t="str">
        <f>IFERROR(__xludf.DUMMYFUNCTION("QUERY('Volunteer Survey'!I39)"),"Gene-Disease Validity")</f>
        <v>Gene-Disease Validity</v>
      </c>
      <c r="AI40" s="183" t="str">
        <f>IFERROR(__xludf.DUMMYFUNCTION("QUERY('Volunteer Survey'!J39)"),"Variant Pathogenicity")</f>
        <v>Variant Pathogenicity</v>
      </c>
      <c r="AJ40" s="183" t="str">
        <f>IFERROR(__xludf.DUMMYFUNCTION("QUERY('Volunteer Survey'!K39)"),"")</f>
        <v/>
      </c>
      <c r="AK40" s="183" t="str">
        <f>IFERROR(__xludf.DUMMYFUNCTION("QUERY('Volunteer Survey'!L39)"),"")</f>
        <v/>
      </c>
      <c r="AL40" s="183" t="str">
        <f>IFERROR(__xludf.DUMMYFUNCTION("QUERY('Volunteer Survey'!M39)"),"")</f>
        <v/>
      </c>
      <c r="AM40" s="183" t="str">
        <f>IFERROR(__xludf.DUMMYFUNCTION("QUERY('Volunteer Survey'!N39)"),"")</f>
        <v/>
      </c>
      <c r="AN40" s="183" t="str">
        <f>IFERROR(__xludf.DUMMYFUNCTION("QUERY('Volunteer Survey'!O39)"),"")</f>
        <v/>
      </c>
      <c r="AO40" s="183" t="str">
        <f>IFERROR(__xludf.DUMMYFUNCTION("QUERY('Volunteer Survey'!P39)"),"Experience with Mendelian disorders, not noted for curation. Hearing Loss (most experience with pubs), Cardiovascular KCNQ1 Variant
Storage Diseases Variant Curation Expert Panel")</f>
        <v>Experience with Mendelian disorders, not noted for curation. Hearing Loss (most experience with pubs), Cardiovascular KCNQ1 Variant
Storage Diseases Variant Curation Expert Panel</v>
      </c>
    </row>
    <row r="41">
      <c r="A41" s="50">
        <f>IFERROR(__xludf.DUMMYFUNCTION("QUERY('Volunteer Survey'!A42)"),43473.60137534723)</f>
        <v>43473.60138</v>
      </c>
      <c r="B41" s="48" t="s">
        <v>125</v>
      </c>
      <c r="C41" s="87">
        <v>43437.0</v>
      </c>
      <c r="D41" s="56">
        <v>43446.0</v>
      </c>
      <c r="E41" s="48" t="s">
        <v>117</v>
      </c>
      <c r="F41" s="48" t="s">
        <v>117</v>
      </c>
      <c r="G41" s="48" t="s">
        <v>122</v>
      </c>
      <c r="H41" s="51" t="s">
        <v>143</v>
      </c>
      <c r="I41" s="51" t="s">
        <v>139</v>
      </c>
      <c r="J41" s="56">
        <v>43592.0</v>
      </c>
      <c r="K41" s="56">
        <v>43713.0</v>
      </c>
      <c r="L41" s="55" t="str">
        <f>IFERROR(__xludf.DUMMYFUNCTION("QUERY('Volunteer Survey'!B42)"),"Kira Dies")</f>
        <v>Kira Dies</v>
      </c>
      <c r="M41" s="55" t="str">
        <f>IFERROR(__xludf.DUMMYFUNCTION("QUERY('Volunteer Survey'!E42)"),"Kira.Dies@childrens.harvard.edu")</f>
        <v>Kira.Dies@childrens.harvard.edu</v>
      </c>
      <c r="N41" s="55" t="str">
        <f>IFERROR(__xludf.DUMMYFUNCTION("QUERY('Volunteer Survey'!F42)"),"Genetic counselor")</f>
        <v>Genetic counselor</v>
      </c>
      <c r="O41" s="48" t="s">
        <v>63</v>
      </c>
      <c r="P41" s="55" t="str">
        <f>IFERROR(__xludf.DUMMYFUNCTION("QUERY('Volunteer Survey'!I42)"),"Gene-Disease Validity")</f>
        <v>Gene-Disease Validity</v>
      </c>
      <c r="Q41" s="60" t="str">
        <f>IFERROR(__xludf.DUMMYFUNCTION("QUERY('Volunteer Survey'!J42)"),"Actionability")</f>
        <v>Actionability</v>
      </c>
      <c r="R41" s="55" t="str">
        <f>IFERROR(__xludf.DUMMYFUNCTION("QUERY('Volunteer Survey'!K42)"),"")</f>
        <v/>
      </c>
      <c r="S41" s="55" t="str">
        <f>IFERROR(__xludf.DUMMYFUNCTION("QUERY('Volunteer Survey'!L42)"),"")</f>
        <v/>
      </c>
      <c r="T41" s="55" t="str">
        <f>IFERROR(__xludf.DUMMYFUNCTION("QUERY('Volunteer Survey'!M42)"),"")</f>
        <v/>
      </c>
      <c r="U41" s="64" t="str">
        <f>IFERROR(__xludf.DUMMYFUNCTION("QUERY('Volunteer Survey'!N42)"),"No")</f>
        <v>No</v>
      </c>
      <c r="V41" s="55" t="str">
        <f>IFERROR(__xludf.DUMMYFUNCTION("QUERY('Volunteer Survey'!O42)"),"")</f>
        <v/>
      </c>
      <c r="W41" s="66" t="str">
        <f>IFERROR(__xludf.DUMMYFUNCTION("QUERY('Volunteer Survey'!P42)"),"ASD/NDD")</f>
        <v>ASD/NDD</v>
      </c>
      <c r="X41" s="64" t="str">
        <f>IFERROR(__xludf.DUMMYFUNCTION("QUERY('Volunteer Survey'!R42)"),"")</f>
        <v/>
      </c>
      <c r="Y41" s="51" t="s">
        <v>326</v>
      </c>
      <c r="Z41" s="182">
        <f>IFERROR(__xludf.DUMMYFUNCTION("QUERY('Volunteer Survey'!A40)"),43413.59946759259)</f>
        <v>43413.59947</v>
      </c>
      <c r="AA41" s="183" t="str">
        <f>IFERROR(__xludf.DUMMYFUNCTION("QUERY('Volunteer Survey'!B40)"),"Erik Thorland")</f>
        <v>Erik Thorland</v>
      </c>
      <c r="AB41" s="183" t="str">
        <f>IFERROR(__xludf.DUMMYFUNCTION("QUERY('Volunteer Survey'!C40)"),"Mayo Clinic ")</f>
        <v>Mayo Clinic </v>
      </c>
      <c r="AC41" s="183" t="str">
        <f>IFERROR(__xludf.DUMMYFUNCTION("QUERY('Volunteer Survey'!D40)"),"MN")</f>
        <v>MN</v>
      </c>
      <c r="AD41" s="183" t="str">
        <f>IFERROR(__xludf.DUMMYFUNCTION("QUERY('Volunteer Survey'!E40)"),"thorland.erik@mayo.edu")</f>
        <v>thorland.erik@mayo.edu</v>
      </c>
      <c r="AE41" s="183" t="str">
        <f>IFERROR(__xludf.DUMMYFUNCTION("QUERY('Volunteer Survey'!F40)"),"Clinical laboratory geneticist")</f>
        <v>Clinical laboratory geneticist</v>
      </c>
      <c r="AF41" s="183" t="str">
        <f>IFERROR(__xludf.DUMMYFUNCTION("QUERY('Volunteer Survey'!G40)"),"I'm specifically interested in the epilespy gene curation group.  I'm already involved in the dosage sensitivity working group.")</f>
        <v>I'm specifically interested in the epilespy gene curation group.  I'm already involved in the dosage sensitivity working group.</v>
      </c>
      <c r="AG41" s="183" t="str">
        <f>IFERROR(__xludf.DUMMYFUNCTION("QUERY('Volunteer Survey'!H40)"),"Comprehensive")</f>
        <v>Comprehensive</v>
      </c>
      <c r="AH41" s="183" t="str">
        <f>IFERROR(__xludf.DUMMYFUNCTION("QUERY('Volunteer Survey'!I40)"),"Gene-Disease Validity")</f>
        <v>Gene-Disease Validity</v>
      </c>
      <c r="AI41" s="183" t="str">
        <f>IFERROR(__xludf.DUMMYFUNCTION("QUERY('Volunteer Survey'!J40)"),"Variant Pathogenicity")</f>
        <v>Variant Pathogenicity</v>
      </c>
      <c r="AJ41" s="183" t="str">
        <f>IFERROR(__xludf.DUMMYFUNCTION("QUERY('Volunteer Survey'!K40)"),"")</f>
        <v/>
      </c>
      <c r="AK41" s="183" t="str">
        <f>IFERROR(__xludf.DUMMYFUNCTION("QUERY('Volunteer Survey'!L40)"),"")</f>
        <v/>
      </c>
      <c r="AL41" s="183" t="str">
        <f>IFERROR(__xludf.DUMMYFUNCTION("QUERY('Volunteer Survey'!M40)"),"")</f>
        <v/>
      </c>
      <c r="AM41" s="183" t="str">
        <f>IFERROR(__xludf.DUMMYFUNCTION("QUERY('Volunteer Survey'!N40)"),"Yes")</f>
        <v>Yes</v>
      </c>
      <c r="AN41" s="183" t="str">
        <f>IFERROR(__xludf.DUMMYFUNCTION("QUERY('Volunteer Survey'!O40)"),"")</f>
        <v/>
      </c>
      <c r="AO41" s="183" t="str">
        <f>IFERROR(__xludf.DUMMYFUNCTION("QUERY('Volunteer Survey'!P40)"),"I'm specifically interested in the epilespy gene curation group.  I'm already involved in the dosage sensitivity working group.")</f>
        <v>I'm specifically interested in the epilespy gene curation group.  I'm already involved in the dosage sensitivity working group.</v>
      </c>
    </row>
    <row r="42">
      <c r="A42" s="50">
        <f>IFERROR(__xludf.DUMMYFUNCTION("QUERY('Volunteer Survey'!A46)"),43335.60587962963)</f>
        <v>43335.60588</v>
      </c>
      <c r="B42" s="48" t="s">
        <v>160</v>
      </c>
      <c r="C42" s="87">
        <v>43341.0</v>
      </c>
      <c r="D42" s="73">
        <v>43341.0</v>
      </c>
      <c r="E42" s="48" t="s">
        <v>117</v>
      </c>
      <c r="F42" s="48" t="s">
        <v>117</v>
      </c>
      <c r="G42" s="48" t="s">
        <v>122</v>
      </c>
      <c r="H42" s="80" t="s">
        <v>20</v>
      </c>
      <c r="I42" s="80" t="s">
        <v>139</v>
      </c>
      <c r="J42" s="89">
        <v>43592.0</v>
      </c>
      <c r="K42" s="56">
        <v>43713.0</v>
      </c>
      <c r="L42" s="55" t="str">
        <f>IFERROR(__xludf.DUMMYFUNCTION("QUERY('Volunteer Survey'!B46)"),"Sainan Wei")</f>
        <v>Sainan Wei</v>
      </c>
      <c r="M42" s="55" t="str">
        <f>IFERROR(__xludf.DUMMYFUNCTION("QUERY('Volunteer Survey'!E46)"),"sainan.wei@uky.edu ")</f>
        <v>sainan.wei@uky.edu </v>
      </c>
      <c r="N42" s="55" t="str">
        <f>IFERROR(__xludf.DUMMYFUNCTION("QUERY('Volunteer Survey'!F46)"),"Clinical laboratory geneticist")</f>
        <v>Clinical laboratory geneticist</v>
      </c>
      <c r="O42" s="48" t="str">
        <f>IFERROR(__xludf.DUMMYFUNCTION("QUERY('Volunteer Survey'!H46)"),"Comprehensive")</f>
        <v>Comprehensive</v>
      </c>
      <c r="P42" s="55" t="str">
        <f>IFERROR(__xludf.DUMMYFUNCTION("QUERY('Volunteer Survey'!I46)"),"Gene-Disease Validity")</f>
        <v>Gene-Disease Validity</v>
      </c>
      <c r="Q42" s="60" t="str">
        <f>IFERROR(__xludf.DUMMYFUNCTION("QUERY('Volunteer Survey'!J46)"),"Dosage Sensitivity")</f>
        <v>Dosage Sensitivity</v>
      </c>
      <c r="R42" s="55" t="str">
        <f>IFERROR(__xludf.DUMMYFUNCTION("QUERY('Volunteer Survey'!K46)"),"Variant Pathogenicity")</f>
        <v>Variant Pathogenicity</v>
      </c>
      <c r="S42" s="55" t="str">
        <f>IFERROR(__xludf.DUMMYFUNCTION("QUERY('Volunteer Survey'!L46)"),"Actionability")</f>
        <v>Actionability</v>
      </c>
      <c r="T42" s="55" t="str">
        <f>IFERROR(__xludf.DUMMYFUNCTION("QUERY('Volunteer Survey'!M46)"),"Somatic Cancer")</f>
        <v>Somatic Cancer</v>
      </c>
      <c r="U42" s="64" t="str">
        <f>IFERROR(__xludf.DUMMYFUNCTION("QUERY('Volunteer Survey'!N46)"),"No")</f>
        <v>No</v>
      </c>
      <c r="V42" s="55" t="str">
        <f>IFERROR(__xludf.DUMMYFUNCTION("QUERY('Volunteer Survey'!O46)"),"")</f>
        <v/>
      </c>
      <c r="W42" s="66" t="str">
        <f>IFERROR(__xludf.DUMMYFUNCTION("QUERY('Volunteer Survey'!P46)"),"Hereditary cancer gene Aminoacidopathy gene fatty acid oxidation gene")</f>
        <v>Hereditary cancer gene Aminoacidopathy gene fatty acid oxidation gene</v>
      </c>
      <c r="X42" s="64" t="str">
        <f>IFERROR(__xludf.DUMMYFUNCTION("QUERY('Volunteer Survey'!R46)"),"")</f>
        <v/>
      </c>
      <c r="Y42" s="53"/>
      <c r="Z42" s="182">
        <f>IFERROR(__xludf.DUMMYFUNCTION("QUERY('Volunteer Survey'!A41)"),43434.60061342592)</f>
        <v>43434.60061</v>
      </c>
      <c r="AA42" s="183" t="str">
        <f>IFERROR(__xludf.DUMMYFUNCTION("QUERY('Volunteer Survey'!B41)"),"Olivia Rennie")</f>
        <v>Olivia Rennie</v>
      </c>
      <c r="AB42" s="183" t="str">
        <f>IFERROR(__xludf.DUMMYFUNCTION("QUERY('Volunteer Survey'!C41)"),"The Hospital for Sick Children")</f>
        <v>The Hospital for Sick Children</v>
      </c>
      <c r="AC42" s="183" t="str">
        <f>IFERROR(__xludf.DUMMYFUNCTION("QUERY('Volunteer Survey'!D41)"),"Toronto, Canada")</f>
        <v>Toronto, Canada</v>
      </c>
      <c r="AD42" s="183" t="str">
        <f>IFERROR(__xludf.DUMMYFUNCTION("QUERY('Volunteer Survey'!E41)"),"olivia.rennie@sickkids.ca")</f>
        <v>olivia.rennie@sickkids.ca</v>
      </c>
      <c r="AE42" s="183" t="str">
        <f>IFERROR(__xludf.DUMMYFUNCTION("QUERY('Volunteer Survey'!F41)"),"Variant Analyst/Scientist")</f>
        <v>Variant Analyst/Scientist</v>
      </c>
      <c r="AF42" s="183" t="str">
        <f>IFERROR(__xludf.DUMMYFUNCTION("QUERY('Volunteer Survey'!G41)"),"ID/Autism Gene Curation Expert Panel")</f>
        <v>ID/Autism Gene Curation Expert Panel</v>
      </c>
      <c r="AG42" s="183" t="str">
        <f>IFERROR(__xludf.DUMMYFUNCTION("QUERY('Volunteer Survey'!H41)"),"Comprehensive")</f>
        <v>Comprehensive</v>
      </c>
      <c r="AH42" s="183" t="str">
        <f>IFERROR(__xludf.DUMMYFUNCTION("QUERY('Volunteer Survey'!I41)"),"Gene-Disease Validity")</f>
        <v>Gene-Disease Validity</v>
      </c>
      <c r="AI42" s="183" t="str">
        <f>IFERROR(__xludf.DUMMYFUNCTION("QUERY('Volunteer Survey'!J41)"),"Somatic Cancer")</f>
        <v>Somatic Cancer</v>
      </c>
      <c r="AJ42" s="183" t="str">
        <f>IFERROR(__xludf.DUMMYFUNCTION("QUERY('Volunteer Survey'!K41)"),"Dosage Sensitivity")</f>
        <v>Dosage Sensitivity</v>
      </c>
      <c r="AK42" s="183" t="str">
        <f>IFERROR(__xludf.DUMMYFUNCTION("QUERY('Volunteer Survey'!L41)"),"Variant Pathogenicity")</f>
        <v>Variant Pathogenicity</v>
      </c>
      <c r="AL42" s="183" t="str">
        <f>IFERROR(__xludf.DUMMYFUNCTION("QUERY('Volunteer Survey'!M41)"),"Actionability")</f>
        <v>Actionability</v>
      </c>
      <c r="AM42" s="183" t="str">
        <f>IFERROR(__xludf.DUMMYFUNCTION("QUERY('Volunteer Survey'!N41)"),"No")</f>
        <v>No</v>
      </c>
      <c r="AN42" s="183" t="str">
        <f>IFERROR(__xludf.DUMMYFUNCTION("QUERY('Volunteer Survey'!O41)"),"")</f>
        <v/>
      </c>
      <c r="AO42" s="183" t="str">
        <f>IFERROR(__xludf.DUMMYFUNCTION("QUERY('Volunteer Survey'!P41)"),"ID/Autism Gene Curation Expert Panel")</f>
        <v>ID/Autism Gene Curation Expert Panel</v>
      </c>
    </row>
    <row r="43">
      <c r="A43" s="50">
        <f>IFERROR(__xludf.DUMMYFUNCTION("QUERY('Volunteer Survey'!A47)"),43339.60663194444)</f>
        <v>43339.60663</v>
      </c>
      <c r="B43" s="48" t="s">
        <v>160</v>
      </c>
      <c r="C43" s="87">
        <v>43411.0</v>
      </c>
      <c r="D43" s="56">
        <v>43453.0</v>
      </c>
      <c r="E43" s="48" t="s">
        <v>117</v>
      </c>
      <c r="F43" s="48" t="s">
        <v>117</v>
      </c>
      <c r="G43" s="48" t="s">
        <v>163</v>
      </c>
      <c r="H43" s="53"/>
      <c r="I43" s="51" t="s">
        <v>139</v>
      </c>
      <c r="J43" s="56">
        <v>43592.0</v>
      </c>
      <c r="K43" s="56">
        <v>43713.0</v>
      </c>
      <c r="L43" s="55" t="str">
        <f>IFERROR(__xludf.DUMMYFUNCTION("QUERY('Volunteer Survey'!B47)"),"Preti Jain")</f>
        <v>Preti Jain</v>
      </c>
      <c r="M43" s="55" t="str">
        <f>IFERROR(__xludf.DUMMYFUNCTION("QUERY('Volunteer Survey'!E47)"),"preti.jain@yale.edu")</f>
        <v>preti.jain@yale.edu</v>
      </c>
      <c r="N43" s="55" t="str">
        <f>IFERROR(__xludf.DUMMYFUNCTION("QUERY('Volunteer Survey'!F47)"),"Clinical laboratory geneticist")</f>
        <v>Clinical laboratory geneticist</v>
      </c>
      <c r="O43" s="48" t="str">
        <f>IFERROR(__xludf.DUMMYFUNCTION("QUERY('Volunteer Survey'!H47)"),"Comprehensive")</f>
        <v>Comprehensive</v>
      </c>
      <c r="P43" s="55" t="str">
        <f>IFERROR(__xludf.DUMMYFUNCTION("QUERY('Volunteer Survey'!I47)"),"Dosage Sensitivity")</f>
        <v>Dosage Sensitivity</v>
      </c>
      <c r="Q43" s="60" t="str">
        <f>IFERROR(__xludf.DUMMYFUNCTION("QUERY('Volunteer Survey'!J47)"),"")</f>
        <v/>
      </c>
      <c r="R43" s="55" t="str">
        <f>IFERROR(__xludf.DUMMYFUNCTION("QUERY('Volunteer Survey'!K47)"),"")</f>
        <v/>
      </c>
      <c r="S43" s="55" t="str">
        <f>IFERROR(__xludf.DUMMYFUNCTION("QUERY('Volunteer Survey'!L47)"),"")</f>
        <v/>
      </c>
      <c r="T43" s="55" t="str">
        <f>IFERROR(__xludf.DUMMYFUNCTION("QUERY('Volunteer Survey'!M47)"),"")</f>
        <v/>
      </c>
      <c r="U43" s="64" t="str">
        <f>IFERROR(__xludf.DUMMYFUNCTION("QUERY('Volunteer Survey'!N47)"),"Yes")</f>
        <v>Yes</v>
      </c>
      <c r="V43" s="55" t="str">
        <f>IFERROR(__xludf.DUMMYFUNCTION("QUERY('Volunteer Survey'!O47)"),"")</f>
        <v/>
      </c>
      <c r="W43" s="66" t="str">
        <f>IFERROR(__xludf.DUMMYFUNCTION("QUERY('Volunteer Survey'!P47)"),"cardiomyopathy, Somatic/Germline Variant Curation, Hereditary Cancer")</f>
        <v>cardiomyopathy, Somatic/Germline Variant Curation, Hereditary Cancer</v>
      </c>
      <c r="X43" s="64" t="str">
        <f>IFERROR(__xludf.DUMMYFUNCTION("QUERY('Volunteer Survey'!R47)"),"")</f>
        <v/>
      </c>
      <c r="Y43" s="53"/>
      <c r="Z43" s="182">
        <f>IFERROR(__xludf.DUMMYFUNCTION("QUERY('Volunteer Survey'!A42)"),43473.60137534723)</f>
        <v>43473.60138</v>
      </c>
      <c r="AA43" s="183" t="str">
        <f>IFERROR(__xludf.DUMMYFUNCTION("QUERY('Volunteer Survey'!B42)"),"Kira Dies")</f>
        <v>Kira Dies</v>
      </c>
      <c r="AB43" s="183" t="str">
        <f>IFERROR(__xludf.DUMMYFUNCTION("QUERY('Volunteer Survey'!C42)"),"Boston Children's Hospital")</f>
        <v>Boston Children's Hospital</v>
      </c>
      <c r="AC43" s="183" t="str">
        <f>IFERROR(__xludf.DUMMYFUNCTION("QUERY('Volunteer Survey'!D42)"),"Boston, MA")</f>
        <v>Boston, MA</v>
      </c>
      <c r="AD43" s="183" t="str">
        <f>IFERROR(__xludf.DUMMYFUNCTION("QUERY('Volunteer Survey'!E42)"),"Kira.Dies@childrens.harvard.edu")</f>
        <v>Kira.Dies@childrens.harvard.edu</v>
      </c>
      <c r="AE43" s="183" t="str">
        <f>IFERROR(__xludf.DUMMYFUNCTION("QUERY('Volunteer Survey'!F42)"),"Genetic counselor")</f>
        <v>Genetic counselor</v>
      </c>
      <c r="AF43" s="183" t="str">
        <f>IFERROR(__xludf.DUMMYFUNCTION("QUERY('Volunteer Survey'!G42)"),"ASD/NDD")</f>
        <v>ASD/NDD</v>
      </c>
      <c r="AG43" s="183" t="str">
        <f>IFERROR(__xludf.DUMMYFUNCTION("QUERY('Volunteer Survey'!H42)"),"Comprehensive")</f>
        <v>Comprehensive</v>
      </c>
      <c r="AH43" s="183" t="str">
        <f>IFERROR(__xludf.DUMMYFUNCTION("QUERY('Volunteer Survey'!I42)"),"Gene-Disease Validity")</f>
        <v>Gene-Disease Validity</v>
      </c>
      <c r="AI43" s="183" t="str">
        <f>IFERROR(__xludf.DUMMYFUNCTION("QUERY('Volunteer Survey'!J42)"),"Actionability")</f>
        <v>Actionability</v>
      </c>
      <c r="AJ43" s="183" t="str">
        <f>IFERROR(__xludf.DUMMYFUNCTION("QUERY('Volunteer Survey'!K42)"),"")</f>
        <v/>
      </c>
      <c r="AK43" s="183" t="str">
        <f>IFERROR(__xludf.DUMMYFUNCTION("QUERY('Volunteer Survey'!L42)"),"")</f>
        <v/>
      </c>
      <c r="AL43" s="183" t="str">
        <f>IFERROR(__xludf.DUMMYFUNCTION("QUERY('Volunteer Survey'!M42)"),"")</f>
        <v/>
      </c>
      <c r="AM43" s="183" t="str">
        <f>IFERROR(__xludf.DUMMYFUNCTION("QUERY('Volunteer Survey'!N42)"),"No")</f>
        <v>No</v>
      </c>
      <c r="AN43" s="183" t="str">
        <f>IFERROR(__xludf.DUMMYFUNCTION("QUERY('Volunteer Survey'!O42)"),"")</f>
        <v/>
      </c>
      <c r="AO43" s="183" t="str">
        <f>IFERROR(__xludf.DUMMYFUNCTION("QUERY('Volunteer Survey'!P42)"),"ASD/NDD")</f>
        <v>ASD/NDD</v>
      </c>
    </row>
    <row r="44">
      <c r="A44" s="50">
        <f>IFERROR(__xludf.DUMMYFUNCTION("QUERY('Volunteer Survey'!A48)"),43355.61038194444)</f>
        <v>43355.61038</v>
      </c>
      <c r="B44" s="48" t="s">
        <v>160</v>
      </c>
      <c r="C44" s="87">
        <v>43356.0</v>
      </c>
      <c r="D44" s="73">
        <v>43341.0</v>
      </c>
      <c r="E44" s="48" t="s">
        <v>117</v>
      </c>
      <c r="F44" s="48" t="s">
        <v>117</v>
      </c>
      <c r="G44" s="48" t="s">
        <v>163</v>
      </c>
      <c r="H44" s="53"/>
      <c r="I44" s="51" t="s">
        <v>139</v>
      </c>
      <c r="J44" s="56">
        <v>43592.0</v>
      </c>
      <c r="K44" s="56">
        <v>43713.0</v>
      </c>
      <c r="L44" s="55" t="str">
        <f>IFERROR(__xludf.DUMMYFUNCTION("QUERY('Volunteer Survey'!B48)"),"Andrea Vaags")</f>
        <v>Andrea Vaags</v>
      </c>
      <c r="M44" s="55" t="str">
        <f>IFERROR(__xludf.DUMMYFUNCTION("QUERY('Volunteer Survey'!E48)"),"andrea.vaags@thp.ca")</f>
        <v>andrea.vaags@thp.ca</v>
      </c>
      <c r="N44" s="55" t="str">
        <f>IFERROR(__xludf.DUMMYFUNCTION("QUERY('Volunteer Survey'!F48)"),"Clinical laboratory geneticist")</f>
        <v>Clinical laboratory geneticist</v>
      </c>
      <c r="O44" s="48" t="str">
        <f>IFERROR(__xludf.DUMMYFUNCTION("QUERY('Volunteer Survey'!H48)"),"Comprehensive")</f>
        <v>Comprehensive</v>
      </c>
      <c r="P44" s="55" t="str">
        <f>IFERROR(__xludf.DUMMYFUNCTION("QUERY('Volunteer Survey'!I48)"),"Dosage Sensitivity")</f>
        <v>Dosage Sensitivity</v>
      </c>
      <c r="Q44" s="60" t="str">
        <f>IFERROR(__xludf.DUMMYFUNCTION("QUERY('Volunteer Survey'!J48)"),"")</f>
        <v/>
      </c>
      <c r="R44" s="55" t="str">
        <f>IFERROR(__xludf.DUMMYFUNCTION("QUERY('Volunteer Survey'!K48)"),"")</f>
        <v/>
      </c>
      <c r="S44" s="55" t="str">
        <f>IFERROR(__xludf.DUMMYFUNCTION("QUERY('Volunteer Survey'!L48)"),"")</f>
        <v/>
      </c>
      <c r="T44" s="55" t="str">
        <f>IFERROR(__xludf.DUMMYFUNCTION("QUERY('Volunteer Survey'!M48)"),"")</f>
        <v/>
      </c>
      <c r="U44" s="64" t="str">
        <f>IFERROR(__xludf.DUMMYFUNCTION("QUERY('Volunteer Survey'!N48)"),"Yes")</f>
        <v>Yes</v>
      </c>
      <c r="V44" s="55" t="str">
        <f>IFERROR(__xludf.DUMMYFUNCTION("QUERY('Volunteer Survey'!O48)"),"")</f>
        <v/>
      </c>
      <c r="W44" s="66" t="str">
        <f>IFERROR(__xludf.DUMMYFUNCTION("QUERY('Volunteer Survey'!P48)"),"Somatic/Germline Variant Curation Group (In progress); Breast and Ovarian Cancer Gene Curation Expert Panel; Hereditary Cancer Gene Curation Expert Panel (In progress); Somatic/Germline Variant Curation Group (In progress)")</f>
        <v>Somatic/Germline Variant Curation Group (In progress); Breast and Ovarian Cancer Gene Curation Expert Panel; Hereditary Cancer Gene Curation Expert Panel (In progress); Somatic/Germline Variant Curation Group (In progress)</v>
      </c>
      <c r="X44" s="64" t="str">
        <f>IFERROR(__xludf.DUMMYFUNCTION("QUERY('Volunteer Survey'!R48)"),"")</f>
        <v/>
      </c>
      <c r="Y44" s="53"/>
      <c r="Z44" s="182">
        <f>IFERROR(__xludf.DUMMYFUNCTION("QUERY('Volunteer Survey'!A43)"),43434.60207175926)</f>
        <v>43434.60207</v>
      </c>
      <c r="AA44" s="183" t="str">
        <f>IFERROR(__xludf.DUMMYFUNCTION("QUERY('Volunteer Survey'!B43)"),"Jennifer Howe")</f>
        <v>Jennifer Howe</v>
      </c>
      <c r="AB44" s="183" t="str">
        <f>IFERROR(__xludf.DUMMYFUNCTION("QUERY('Volunteer Survey'!C43)"),"The Hospital for Sick Children")</f>
        <v>The Hospital for Sick Children</v>
      </c>
      <c r="AC44" s="183" t="str">
        <f>IFERROR(__xludf.DUMMYFUNCTION("QUERY('Volunteer Survey'!D43)"),"")</f>
        <v/>
      </c>
      <c r="AD44" s="183" t="str">
        <f>IFERROR(__xludf.DUMMYFUNCTION("QUERY('Volunteer Survey'!E43)"),"jhowe@sickkids.ca")</f>
        <v>jhowe@sickkids.ca</v>
      </c>
      <c r="AE44" s="183" t="str">
        <f>IFERROR(__xludf.DUMMYFUNCTION("QUERY('Volunteer Survey'!F43)"),"Senior Project Manager")</f>
        <v>Senior Project Manager</v>
      </c>
      <c r="AF44" s="183" t="str">
        <f>IFERROR(__xludf.DUMMYFUNCTION("QUERY('Volunteer Survey'!G43)"),"ID/Autism Expert Panel")</f>
        <v>ID/Autism Expert Panel</v>
      </c>
      <c r="AG44" s="183" t="str">
        <f>IFERROR(__xludf.DUMMYFUNCTION("QUERY('Volunteer Survey'!H43)"),"Comprehensive")</f>
        <v>Comprehensive</v>
      </c>
      <c r="AH44" s="183" t="str">
        <f>IFERROR(__xludf.DUMMYFUNCTION("QUERY('Volunteer Survey'!I43)"),"Gene-Disease Validity")</f>
        <v>Gene-Disease Validity</v>
      </c>
      <c r="AI44" s="183" t="str">
        <f>IFERROR(__xludf.DUMMYFUNCTION("QUERY('Volunteer Survey'!J43)"),"")</f>
        <v/>
      </c>
      <c r="AJ44" s="183" t="str">
        <f>IFERROR(__xludf.DUMMYFUNCTION("QUERY('Volunteer Survey'!K43)"),"")</f>
        <v/>
      </c>
      <c r="AK44" s="183" t="str">
        <f>IFERROR(__xludf.DUMMYFUNCTION("QUERY('Volunteer Survey'!L43)"),"")</f>
        <v/>
      </c>
      <c r="AL44" s="183" t="str">
        <f>IFERROR(__xludf.DUMMYFUNCTION("QUERY('Volunteer Survey'!M43)"),"")</f>
        <v/>
      </c>
      <c r="AM44" s="183" t="str">
        <f>IFERROR(__xludf.DUMMYFUNCTION("QUERY('Volunteer Survey'!N43)"),"Yes")</f>
        <v>Yes</v>
      </c>
      <c r="AN44" s="183" t="str">
        <f>IFERROR(__xludf.DUMMYFUNCTION("QUERY('Volunteer Survey'!O43)"),"")</f>
        <v/>
      </c>
      <c r="AO44" s="183" t="str">
        <f>IFERROR(__xludf.DUMMYFUNCTION("QUERY('Volunteer Survey'!P43)"),"ID/Autism Expert Panel")</f>
        <v>ID/Autism Expert Panel</v>
      </c>
    </row>
    <row r="45">
      <c r="A45" s="50">
        <f>IFERROR(__xludf.DUMMYFUNCTION("QUERY('Volunteer Survey'!A49)"),43402.61143518519)</f>
        <v>43402.61144</v>
      </c>
      <c r="B45" s="48" t="s">
        <v>160</v>
      </c>
      <c r="C45" s="87">
        <v>43411.0</v>
      </c>
      <c r="D45" s="56">
        <v>43453.0</v>
      </c>
      <c r="E45" s="48" t="s">
        <v>117</v>
      </c>
      <c r="F45" s="48" t="s">
        <v>117</v>
      </c>
      <c r="G45" s="48" t="s">
        <v>163</v>
      </c>
      <c r="H45" s="53"/>
      <c r="I45" s="51" t="s">
        <v>139</v>
      </c>
      <c r="J45" s="56">
        <v>43592.0</v>
      </c>
      <c r="K45" s="56">
        <v>43713.0</v>
      </c>
      <c r="L45" s="55" t="str">
        <f>IFERROR(__xludf.DUMMYFUNCTION("QUERY('Volunteer Survey'!B49)"),"George Burghel")</f>
        <v>George Burghel</v>
      </c>
      <c r="M45" s="55" t="str">
        <f>IFERROR(__xludf.DUMMYFUNCTION("QUERY('Volunteer Survey'!E49)"),"george.burghel@mft.nhs.uk")</f>
        <v>george.burghel@mft.nhs.uk</v>
      </c>
      <c r="N45" s="55" t="str">
        <f>IFERROR(__xludf.DUMMYFUNCTION("QUERY('Volunteer Survey'!F49)"),"Clinical laboratory geneticist")</f>
        <v>Clinical laboratory geneticist</v>
      </c>
      <c r="O45" s="48" t="str">
        <f>IFERROR(__xludf.DUMMYFUNCTION("QUERY('Volunteer Survey'!H49)"),"Comprehensive")</f>
        <v>Comprehensive</v>
      </c>
      <c r="P45" s="55" t="str">
        <f>IFERROR(__xludf.DUMMYFUNCTION("QUERY('Volunteer Survey'!I49)"),"Dosage Sensitivity")</f>
        <v>Dosage Sensitivity</v>
      </c>
      <c r="Q45" s="60" t="str">
        <f>IFERROR(__xludf.DUMMYFUNCTION("QUERY('Volunteer Survey'!J49)"),"")</f>
        <v/>
      </c>
      <c r="R45" s="55" t="str">
        <f>IFERROR(__xludf.DUMMYFUNCTION("QUERY('Volunteer Survey'!K49)"),"")</f>
        <v/>
      </c>
      <c r="S45" s="55" t="str">
        <f>IFERROR(__xludf.DUMMYFUNCTION("QUERY('Volunteer Survey'!L49)"),"")</f>
        <v/>
      </c>
      <c r="T45" s="55" t="str">
        <f>IFERROR(__xludf.DUMMYFUNCTION("QUERY('Volunteer Survey'!M49)"),"")</f>
        <v/>
      </c>
      <c r="U45" s="64" t="str">
        <f>IFERROR(__xludf.DUMMYFUNCTION("QUERY('Volunteer Survey'!N49)"),"Yes")</f>
        <v>Yes</v>
      </c>
      <c r="V45" s="55" t="str">
        <f>IFERROR(__xludf.DUMMYFUNCTION("QUERY('Volunteer Survey'!O49)"),"")</f>
        <v/>
      </c>
      <c r="W45" s="66" t="str">
        <f>IFERROR(__xludf.DUMMYFUNCTION("QUERY('Volunteer Survey'!P49)"),"Experience with Dosage sensistivy but not curation. ")</f>
        <v>Experience with Dosage sensistivy but not curation. </v>
      </c>
      <c r="X45" s="64" t="str">
        <f>IFERROR(__xludf.DUMMYFUNCTION("QUERY('Volunteer Survey'!R49)"),"")</f>
        <v/>
      </c>
      <c r="Y45" s="53"/>
      <c r="Z45" s="182">
        <f>IFERROR(__xludf.DUMMYFUNCTION("QUERY('Volunteer Survey'!A44)"),43434.60393518519)</f>
        <v>43434.60394</v>
      </c>
      <c r="AA45" s="183" t="str">
        <f>IFERROR(__xludf.DUMMYFUNCTION("QUERY('Volunteer Survey'!B44)"),"Ny Hoang")</f>
        <v>Ny Hoang</v>
      </c>
      <c r="AB45" s="183" t="str">
        <f>IFERROR(__xludf.DUMMYFUNCTION("QUERY('Volunteer Survey'!C44)"),"The Hospital for Sick Children")</f>
        <v>The Hospital for Sick Children</v>
      </c>
      <c r="AC45" s="183" t="str">
        <f>IFERROR(__xludf.DUMMYFUNCTION("QUERY('Volunteer Survey'!D44)"),"Toronto, Canada")</f>
        <v>Toronto, Canada</v>
      </c>
      <c r="AD45" s="183" t="str">
        <f>IFERROR(__xludf.DUMMYFUNCTION("QUERY('Volunteer Survey'!E44)"),"ny.hoang@sickkids.ca")</f>
        <v>ny.hoang@sickkids.ca</v>
      </c>
      <c r="AE45" s="183" t="str">
        <f>IFERROR(__xludf.DUMMYFUNCTION("QUERY('Volunteer Survey'!F44)"),"Genetic counselor")</f>
        <v>Genetic counselor</v>
      </c>
      <c r="AF45" s="183" t="str">
        <f>IFERROR(__xludf.DUMMYFUNCTION("QUERY('Volunteer Survey'!G44)"),"Autism and ID working group")</f>
        <v>Autism and ID working group</v>
      </c>
      <c r="AG45" s="183" t="str">
        <f>IFERROR(__xludf.DUMMYFUNCTION("QUERY('Volunteer Survey'!H44)"),"Comprehensive")</f>
        <v>Comprehensive</v>
      </c>
      <c r="AH45" s="183" t="str">
        <f>IFERROR(__xludf.DUMMYFUNCTION("QUERY('Volunteer Survey'!I44)"),"Gene-Disease Validity")</f>
        <v>Gene-Disease Validity</v>
      </c>
      <c r="AI45" s="183" t="str">
        <f>IFERROR(__xludf.DUMMYFUNCTION("QUERY('Volunteer Survey'!J44)"),"")</f>
        <v/>
      </c>
      <c r="AJ45" s="183" t="str">
        <f>IFERROR(__xludf.DUMMYFUNCTION("QUERY('Volunteer Survey'!K44)"),"")</f>
        <v/>
      </c>
      <c r="AK45" s="183" t="str">
        <f>IFERROR(__xludf.DUMMYFUNCTION("QUERY('Volunteer Survey'!L44)"),"")</f>
        <v/>
      </c>
      <c r="AL45" s="183" t="str">
        <f>IFERROR(__xludf.DUMMYFUNCTION("QUERY('Volunteer Survey'!M44)"),"")</f>
        <v/>
      </c>
      <c r="AM45" s="183" t="str">
        <f>IFERROR(__xludf.DUMMYFUNCTION("QUERY('Volunteer Survey'!N44)"),"Yes")</f>
        <v>Yes</v>
      </c>
      <c r="AN45" s="183" t="str">
        <f>IFERROR(__xludf.DUMMYFUNCTION("QUERY('Volunteer Survey'!O44)"),"")</f>
        <v/>
      </c>
      <c r="AO45" s="183" t="str">
        <f>IFERROR(__xludf.DUMMYFUNCTION("QUERY('Volunteer Survey'!P44)"),"Autism and ID working group")</f>
        <v>Autism and ID working group</v>
      </c>
    </row>
    <row r="46">
      <c r="A46" s="50">
        <f>IFERROR(__xludf.DUMMYFUNCTION("QUERY('Volunteer Survey'!A50)"),43417.612164351856)</f>
        <v>43417.61216</v>
      </c>
      <c r="B46" s="48" t="s">
        <v>160</v>
      </c>
      <c r="C46" s="79">
        <v>43430.0</v>
      </c>
      <c r="D46" s="56">
        <v>43453.0</v>
      </c>
      <c r="E46" s="48" t="s">
        <v>117</v>
      </c>
      <c r="F46" s="48" t="s">
        <v>117</v>
      </c>
      <c r="G46" s="48" t="s">
        <v>163</v>
      </c>
      <c r="H46" s="51"/>
      <c r="I46" s="51" t="s">
        <v>299</v>
      </c>
      <c r="J46" s="56">
        <v>43592.0</v>
      </c>
      <c r="K46" s="56">
        <v>43713.0</v>
      </c>
      <c r="L46" s="55" t="str">
        <f>IFERROR(__xludf.DUMMYFUNCTION("QUERY('Volunteer Survey'!B50)"),"Coumarane Mani")</f>
        <v>Coumarane Mani</v>
      </c>
      <c r="M46" s="55" t="str">
        <f>IFERROR(__xludf.DUMMYFUNCTION("QUERY('Volunteer Survey'!E50)"),"coumarane.mani@aruplab.com")</f>
        <v>coumarane.mani@aruplab.com</v>
      </c>
      <c r="N46" s="55" t="str">
        <f>IFERROR(__xludf.DUMMYFUNCTION("QUERY('Volunteer Survey'!F50)"),"Variant Analyst/Scientist")</f>
        <v>Variant Analyst/Scientist</v>
      </c>
      <c r="O46" s="48" t="str">
        <f>IFERROR(__xludf.DUMMYFUNCTION("QUERY('Volunteer Survey'!H50)"),"Comprehensive")</f>
        <v>Comprehensive</v>
      </c>
      <c r="P46" s="55" t="str">
        <f>IFERROR(__xludf.DUMMYFUNCTION("QUERY('Volunteer Survey'!I50)"),"Dosage Sensitivity")</f>
        <v>Dosage Sensitivity</v>
      </c>
      <c r="Q46" s="60" t="str">
        <f>IFERROR(__xludf.DUMMYFUNCTION("QUERY('Volunteer Survey'!J50)"),"")</f>
        <v/>
      </c>
      <c r="R46" s="55" t="str">
        <f>IFERROR(__xludf.DUMMYFUNCTION("QUERY('Volunteer Survey'!K50)"),"")</f>
        <v/>
      </c>
      <c r="S46" s="55" t="str">
        <f>IFERROR(__xludf.DUMMYFUNCTION("QUERY('Volunteer Survey'!L50)"),"")</f>
        <v/>
      </c>
      <c r="T46" s="55" t="str">
        <f>IFERROR(__xludf.DUMMYFUNCTION("QUERY('Volunteer Survey'!M50)"),"")</f>
        <v/>
      </c>
      <c r="U46" s="64" t="str">
        <f>IFERROR(__xludf.DUMMYFUNCTION("QUERY('Volunteer Survey'!N50)"),"Yes")</f>
        <v>Yes</v>
      </c>
      <c r="V46" s="55" t="str">
        <f>IFERROR(__xludf.DUMMYFUNCTION("QUERY('Volunteer Survey'!O50)"),"")</f>
        <v/>
      </c>
      <c r="W46" s="66" t="str">
        <f>IFERROR(__xludf.DUMMYFUNCTION("QUERY('Volunteer Survey'!P50)"),"1. Somatic/Germline Variant Curation Group 2. Myeloid Malignancy Variant Curation Expert Panel")</f>
        <v>1. Somatic/Germline Variant Curation Group 2. Myeloid Malignancy Variant Curation Expert Panel</v>
      </c>
      <c r="X46" s="64" t="str">
        <f>IFERROR(__xludf.DUMMYFUNCTION("QUERY('Volunteer Survey'!R50)"),"")</f>
        <v/>
      </c>
      <c r="Y46" s="53"/>
      <c r="Z46" s="182">
        <f>IFERROR(__xludf.DUMMYFUNCTION("QUERY('Volunteer Survey'!A45)"),43434.60476851852)</f>
        <v>43434.60477</v>
      </c>
      <c r="AA46" s="183" t="str">
        <f>IFERROR(__xludf.DUMMYFUNCTION("QUERY('Volunteer Survey'!B45)"),"Jacob Vorstman")</f>
        <v>Jacob Vorstman</v>
      </c>
      <c r="AB46" s="183" t="str">
        <f>IFERROR(__xludf.DUMMYFUNCTION("QUERY('Volunteer Survey'!C45)"),"The Hospital for Sick Children")</f>
        <v>The Hospital for Sick Children</v>
      </c>
      <c r="AC46" s="183" t="str">
        <f>IFERROR(__xludf.DUMMYFUNCTION("QUERY('Volunteer Survey'!D45)"),"Toronto, Canada")</f>
        <v>Toronto, Canada</v>
      </c>
      <c r="AD46" s="183" t="str">
        <f>IFERROR(__xludf.DUMMYFUNCTION("QUERY('Volunteer Survey'!E45)"),"jacob.vorstman@sickkids.ca")</f>
        <v>jacob.vorstman@sickkids.ca</v>
      </c>
      <c r="AE46" s="183" t="str">
        <f>IFERROR(__xludf.DUMMYFUNCTION("QUERY('Volunteer Survey'!F45)"),"Post Doc/Resident/Fellow (MD and/or Phd), Scientific Researcher, Physician (non-geneticist)")</f>
        <v>Post Doc/Resident/Fellow (MD and/or Phd), Scientific Researcher, Physician (non-geneticist)</v>
      </c>
      <c r="AF46" s="183" t="str">
        <f>IFERROR(__xludf.DUMMYFUNCTION("QUERY('Volunteer Survey'!G45)"),"Autism Spectrum Disorder - see previous and ongoing discussions following the Toronto ASD gene list meeting this fall")</f>
        <v>Autism Spectrum Disorder - see previous and ongoing discussions following the Toronto ASD gene list meeting this fall</v>
      </c>
      <c r="AG46" s="183" t="str">
        <f>IFERROR(__xludf.DUMMYFUNCTION("QUERY('Volunteer Survey'!H45)"),"Comprehensive")</f>
        <v>Comprehensive</v>
      </c>
      <c r="AH46" s="183" t="str">
        <f>IFERROR(__xludf.DUMMYFUNCTION("QUERY('Volunteer Survey'!I45)"),"Gene-Disease Validity")</f>
        <v>Gene-Disease Validity</v>
      </c>
      <c r="AI46" s="183" t="str">
        <f>IFERROR(__xludf.DUMMYFUNCTION("QUERY('Volunteer Survey'!J45)"),"")</f>
        <v/>
      </c>
      <c r="AJ46" s="183" t="str">
        <f>IFERROR(__xludf.DUMMYFUNCTION("QUERY('Volunteer Survey'!K45)"),"")</f>
        <v/>
      </c>
      <c r="AK46" s="183" t="str">
        <f>IFERROR(__xludf.DUMMYFUNCTION("QUERY('Volunteer Survey'!L45)"),"")</f>
        <v/>
      </c>
      <c r="AL46" s="183" t="str">
        <f>IFERROR(__xludf.DUMMYFUNCTION("QUERY('Volunteer Survey'!M45)"),"")</f>
        <v/>
      </c>
      <c r="AM46" s="183" t="str">
        <f>IFERROR(__xludf.DUMMYFUNCTION("QUERY('Volunteer Survey'!N45)"),"Yes")</f>
        <v>Yes</v>
      </c>
      <c r="AN46" s="183" t="str">
        <f>IFERROR(__xludf.DUMMYFUNCTION("QUERY('Volunteer Survey'!O45)"),"")</f>
        <v/>
      </c>
      <c r="AO46" s="183" t="str">
        <f>IFERROR(__xludf.DUMMYFUNCTION("QUERY('Volunteer Survey'!P45)"),"Autism Spectrum Disorder - see previous and ongoing discussions following the Toronto ASD gene list meeting this fall")</f>
        <v>Autism Spectrum Disorder - see previous and ongoing discussions following the Toronto ASD gene list meeting this fall</v>
      </c>
    </row>
    <row r="47">
      <c r="A47" s="50">
        <f>IFERROR(__xludf.DUMMYFUNCTION("QUERY('Volunteer Survey'!A51)"),43438.613125)</f>
        <v>43438.61313</v>
      </c>
      <c r="B47" s="48" t="s">
        <v>160</v>
      </c>
      <c r="C47" s="53"/>
      <c r="D47" s="56">
        <v>43453.0</v>
      </c>
      <c r="E47" s="48" t="s">
        <v>117</v>
      </c>
      <c r="F47" s="48" t="s">
        <v>117</v>
      </c>
      <c r="G47" s="48" t="s">
        <v>163</v>
      </c>
      <c r="H47" s="53"/>
      <c r="I47" s="51" t="s">
        <v>139</v>
      </c>
      <c r="J47" s="56">
        <v>43592.0</v>
      </c>
      <c r="K47" s="56">
        <v>43713.0</v>
      </c>
      <c r="L47" s="55" t="str">
        <f>IFERROR(__xludf.DUMMYFUNCTION("QUERY('Volunteer Survey'!B51)"),"Mahesh Iddawela")</f>
        <v>Mahesh Iddawela</v>
      </c>
      <c r="M47" s="55" t="str">
        <f>IFERROR(__xludf.DUMMYFUNCTION("QUERY('Volunteer Survey'!E51)"),"mahesh.iddawela@monash.edu")</f>
        <v>mahesh.iddawela@monash.edu</v>
      </c>
      <c r="N47" s="55" t="str">
        <f>IFERROR(__xludf.DUMMYFUNCTION("QUERY('Volunteer Survey'!F51)"),"Clinician Scientist Medical Oncology")</f>
        <v>Clinician Scientist Medical Oncology</v>
      </c>
      <c r="O47" s="48" t="str">
        <f>IFERROR(__xludf.DUMMYFUNCTION("QUERY('Volunteer Survey'!H51)"),"Comprehensive")</f>
        <v>Comprehensive</v>
      </c>
      <c r="P47" s="55" t="str">
        <f>IFERROR(__xludf.DUMMYFUNCTION("QUERY('Volunteer Survey'!I51)"),"Dosage Sensitivity")</f>
        <v>Dosage Sensitivity</v>
      </c>
      <c r="Q47" s="60" t="str">
        <f>IFERROR(__xludf.DUMMYFUNCTION("QUERY('Volunteer Survey'!J51)"),"")</f>
        <v/>
      </c>
      <c r="R47" s="55" t="str">
        <f>IFERROR(__xludf.DUMMYFUNCTION("QUERY('Volunteer Survey'!K51)"),"")</f>
        <v/>
      </c>
      <c r="S47" s="55" t="str">
        <f>IFERROR(__xludf.DUMMYFUNCTION("QUERY('Volunteer Survey'!L51)"),"")</f>
        <v/>
      </c>
      <c r="T47" s="55" t="str">
        <f>IFERROR(__xludf.DUMMYFUNCTION("QUERY('Volunteer Survey'!M51)"),"")</f>
        <v/>
      </c>
      <c r="U47" s="64" t="str">
        <f>IFERROR(__xludf.DUMMYFUNCTION("QUERY('Volunteer Survey'!N51)"),"No")</f>
        <v>No</v>
      </c>
      <c r="V47" s="55" t="str">
        <f>IFERROR(__xludf.DUMMYFUNCTION("QUERY('Volunteer Survey'!O51)"),"")</f>
        <v/>
      </c>
      <c r="W47" s="66" t="str">
        <f>IFERROR(__xludf.DUMMYFUNCTION("QUERY('Volunteer Survey'!P51)"),"Somatic Cancer (TP53), Breast/Ovarian cancer")</f>
        <v>Somatic Cancer (TP53), Breast/Ovarian cancer</v>
      </c>
      <c r="X47" s="64" t="str">
        <f>IFERROR(__xludf.DUMMYFUNCTION("QUERY('Volunteer Survey'!R51)"),"")</f>
        <v/>
      </c>
      <c r="Y47" s="53"/>
      <c r="Z47" s="182">
        <f>IFERROR(__xludf.DUMMYFUNCTION("QUERY('Volunteer Survey'!A46)"),43335.60587962963)</f>
        <v>43335.60588</v>
      </c>
      <c r="AA47" s="183" t="str">
        <f>IFERROR(__xludf.DUMMYFUNCTION("QUERY('Volunteer Survey'!B46)"),"Sainan Wei")</f>
        <v>Sainan Wei</v>
      </c>
      <c r="AB47" s="183" t="str">
        <f>IFERROR(__xludf.DUMMYFUNCTION("QUERY('Volunteer Survey'!C46)"),"University of Kentucky")</f>
        <v>University of Kentucky</v>
      </c>
      <c r="AC47" s="183" t="str">
        <f>IFERROR(__xludf.DUMMYFUNCTION("QUERY('Volunteer Survey'!D46)"),"Kentucky")</f>
        <v>Kentucky</v>
      </c>
      <c r="AD47" s="183" t="str">
        <f>IFERROR(__xludf.DUMMYFUNCTION("QUERY('Volunteer Survey'!E46)"),"sainan.wei@uky.edu ")</f>
        <v>sainan.wei@uky.edu </v>
      </c>
      <c r="AE47" s="183" t="str">
        <f>IFERROR(__xludf.DUMMYFUNCTION("QUERY('Volunteer Survey'!F46)"),"Clinical laboratory geneticist")</f>
        <v>Clinical laboratory geneticist</v>
      </c>
      <c r="AF47" s="183" t="str">
        <f>IFERROR(__xludf.DUMMYFUNCTION("QUERY('Volunteer Survey'!G46)"),"Hereditary cancer gene Acinoacidopathy gene fatty acid oxidation gene")</f>
        <v>Hereditary cancer gene Acinoacidopathy gene fatty acid oxidation gene</v>
      </c>
      <c r="AG47" s="183" t="str">
        <f>IFERROR(__xludf.DUMMYFUNCTION("QUERY('Volunteer Survey'!H46)"),"Comprehensive")</f>
        <v>Comprehensive</v>
      </c>
      <c r="AH47" s="183" t="str">
        <f>IFERROR(__xludf.DUMMYFUNCTION("QUERY('Volunteer Survey'!I46)"),"Gene-Disease Validity")</f>
        <v>Gene-Disease Validity</v>
      </c>
      <c r="AI47" s="183" t="str">
        <f>IFERROR(__xludf.DUMMYFUNCTION("QUERY('Volunteer Survey'!J46)"),"Dosage Sensitivity")</f>
        <v>Dosage Sensitivity</v>
      </c>
      <c r="AJ47" s="183" t="str">
        <f>IFERROR(__xludf.DUMMYFUNCTION("QUERY('Volunteer Survey'!K46)"),"Variant Pathogenicity")</f>
        <v>Variant Pathogenicity</v>
      </c>
      <c r="AK47" s="183" t="str">
        <f>IFERROR(__xludf.DUMMYFUNCTION("QUERY('Volunteer Survey'!L46)"),"Actionability")</f>
        <v>Actionability</v>
      </c>
      <c r="AL47" s="183" t="str">
        <f>IFERROR(__xludf.DUMMYFUNCTION("QUERY('Volunteer Survey'!M46)"),"Somatic Cancer")</f>
        <v>Somatic Cancer</v>
      </c>
      <c r="AM47" s="183" t="str">
        <f>IFERROR(__xludf.DUMMYFUNCTION("QUERY('Volunteer Survey'!N46)"),"No")</f>
        <v>No</v>
      </c>
      <c r="AN47" s="183" t="str">
        <f>IFERROR(__xludf.DUMMYFUNCTION("QUERY('Volunteer Survey'!O46)"),"")</f>
        <v/>
      </c>
      <c r="AO47" s="183" t="str">
        <f>IFERROR(__xludf.DUMMYFUNCTION("QUERY('Volunteer Survey'!P46)"),"Hereditary cancer gene Aminoacidopathy gene fatty acid oxidation gene")</f>
        <v>Hereditary cancer gene Aminoacidopathy gene fatty acid oxidation gene</v>
      </c>
    </row>
    <row r="48">
      <c r="A48" s="50">
        <f>IFERROR(__xludf.DUMMYFUNCTION("QUERY('Volunteer Survey'!A52)"),43440.61386574074)</f>
        <v>43440.61387</v>
      </c>
      <c r="B48" s="48" t="s">
        <v>160</v>
      </c>
      <c r="C48" s="53"/>
      <c r="D48" s="56">
        <v>43453.0</v>
      </c>
      <c r="E48" s="48" t="s">
        <v>117</v>
      </c>
      <c r="F48" s="48" t="s">
        <v>117</v>
      </c>
      <c r="G48" s="48" t="s">
        <v>163</v>
      </c>
      <c r="H48" s="51"/>
      <c r="I48" s="51" t="s">
        <v>299</v>
      </c>
      <c r="J48" s="56">
        <v>43592.0</v>
      </c>
      <c r="K48" s="56">
        <v>43713.0</v>
      </c>
      <c r="L48" s="55" t="str">
        <f>IFERROR(__xludf.DUMMYFUNCTION("QUERY('Volunteer Survey'!B52)"),"Diogo Ventura Lovato")</f>
        <v>Diogo Ventura Lovato</v>
      </c>
      <c r="M48" s="55" t="str">
        <f>IFERROR(__xludf.DUMMYFUNCTION("QUERY('Volunteer Survey'!E52)"),"diogo.v.lovato@gmail.com")</f>
        <v>diogo.v.lovato@gmail.com</v>
      </c>
      <c r="N48" s="55" t="str">
        <f>IFERROR(__xludf.DUMMYFUNCTION("QUERY('Volunteer Survey'!F52)"),"Clinical laboratory geneticist, Scientific Researcher, Biocurator, Variant Analyst/Scientist")</f>
        <v>Clinical laboratory geneticist, Scientific Researcher, Biocurator, Variant Analyst/Scientist</v>
      </c>
      <c r="O48" s="48" t="str">
        <f>IFERROR(__xludf.DUMMYFUNCTION("QUERY('Volunteer Survey'!H52)"),"Comprehensive")</f>
        <v>Comprehensive</v>
      </c>
      <c r="P48" s="55" t="str">
        <f>IFERROR(__xludf.DUMMYFUNCTION("QUERY('Volunteer Survey'!I52)"),"Dosage Sensitivity")</f>
        <v>Dosage Sensitivity</v>
      </c>
      <c r="Q48" s="60" t="str">
        <f>IFERROR(__xludf.DUMMYFUNCTION("QUERY('Volunteer Survey'!J52)"),"")</f>
        <v/>
      </c>
      <c r="R48" s="55" t="str">
        <f>IFERROR(__xludf.DUMMYFUNCTION("QUERY('Volunteer Survey'!K52)"),"")</f>
        <v/>
      </c>
      <c r="S48" s="55" t="str">
        <f>IFERROR(__xludf.DUMMYFUNCTION("QUERY('Volunteer Survey'!L52)"),"")</f>
        <v/>
      </c>
      <c r="T48" s="55" t="str">
        <f>IFERROR(__xludf.DUMMYFUNCTION("QUERY('Volunteer Survey'!M52)"),"")</f>
        <v/>
      </c>
      <c r="U48" s="64" t="str">
        <f>IFERROR(__xludf.DUMMYFUNCTION("QUERY('Volunteer Survey'!N52)"),"Yes")</f>
        <v>Yes</v>
      </c>
      <c r="V48" s="55" t="str">
        <f>IFERROR(__xludf.DUMMYFUNCTION("QUERY('Volunteer Survey'!O52)"),"")</f>
        <v/>
      </c>
      <c r="W48" s="66" t="str">
        <f>IFERROR(__xludf.DUMMYFUNCTION("QUERY('Volunteer Survey'!P52)"),"Autism and Intellectual Disability, Epilepsy")</f>
        <v>Autism and Intellectual Disability, Epilepsy</v>
      </c>
      <c r="X48" s="64" t="str">
        <f>IFERROR(__xludf.DUMMYFUNCTION("QUERY('Volunteer Survey'!R52)"),"")</f>
        <v/>
      </c>
      <c r="Y48" s="53"/>
      <c r="Z48" s="182">
        <f>IFERROR(__xludf.DUMMYFUNCTION("QUERY('Volunteer Survey'!A47)"),43339.60663194444)</f>
        <v>43339.60663</v>
      </c>
      <c r="AA48" s="183" t="str">
        <f>IFERROR(__xludf.DUMMYFUNCTION("QUERY('Volunteer Survey'!B47)"),"Preti Jain")</f>
        <v>Preti Jain</v>
      </c>
      <c r="AB48" s="183" t="str">
        <f>IFERROR(__xludf.DUMMYFUNCTION("QUERY('Volunteer Survey'!C47)"),"Yale University")</f>
        <v>Yale University</v>
      </c>
      <c r="AC48" s="183" t="str">
        <f>IFERROR(__xludf.DUMMYFUNCTION("QUERY('Volunteer Survey'!D47)"),"Connecticut")</f>
        <v>Connecticut</v>
      </c>
      <c r="AD48" s="183" t="str">
        <f>IFERROR(__xludf.DUMMYFUNCTION("QUERY('Volunteer Survey'!E47)"),"preti.jain@yale.edu")</f>
        <v>preti.jain@yale.edu</v>
      </c>
      <c r="AE48" s="183" t="str">
        <f>IFERROR(__xludf.DUMMYFUNCTION("QUERY('Volunteer Survey'!F47)"),"Clinical laboratory geneticist")</f>
        <v>Clinical laboratory geneticist</v>
      </c>
      <c r="AF48" s="183" t="str">
        <f>IFERROR(__xludf.DUMMYFUNCTION("QUERY('Volunteer Survey'!G47)"),"cardiomyopathy, Somatic/Germline Variant Curation, Hereditary Cancer")</f>
        <v>cardiomyopathy, Somatic/Germline Variant Curation, Hereditary Cancer</v>
      </c>
      <c r="AG48" s="183" t="str">
        <f>IFERROR(__xludf.DUMMYFUNCTION("QUERY('Volunteer Survey'!H47)"),"Comprehensive")</f>
        <v>Comprehensive</v>
      </c>
      <c r="AH48" s="183" t="str">
        <f>IFERROR(__xludf.DUMMYFUNCTION("QUERY('Volunteer Survey'!I47)"),"Dosage Sensitivity")</f>
        <v>Dosage Sensitivity</v>
      </c>
      <c r="AI48" s="183" t="str">
        <f>IFERROR(__xludf.DUMMYFUNCTION("QUERY('Volunteer Survey'!J47)"),"")</f>
        <v/>
      </c>
      <c r="AJ48" s="183" t="str">
        <f>IFERROR(__xludf.DUMMYFUNCTION("QUERY('Volunteer Survey'!K47)"),"")</f>
        <v/>
      </c>
      <c r="AK48" s="183" t="str">
        <f>IFERROR(__xludf.DUMMYFUNCTION("QUERY('Volunteer Survey'!L47)"),"")</f>
        <v/>
      </c>
      <c r="AL48" s="183" t="str">
        <f>IFERROR(__xludf.DUMMYFUNCTION("QUERY('Volunteer Survey'!M47)"),"")</f>
        <v/>
      </c>
      <c r="AM48" s="183" t="str">
        <f>IFERROR(__xludf.DUMMYFUNCTION("QUERY('Volunteer Survey'!N47)"),"Yes")</f>
        <v>Yes</v>
      </c>
      <c r="AN48" s="183" t="str">
        <f>IFERROR(__xludf.DUMMYFUNCTION("QUERY('Volunteer Survey'!O47)"),"")</f>
        <v/>
      </c>
      <c r="AO48" s="183" t="str">
        <f>IFERROR(__xludf.DUMMYFUNCTION("QUERY('Volunteer Survey'!P47)"),"cardiomyopathy, Somatic/Germline Variant Curation, Hereditary Cancer")</f>
        <v>cardiomyopathy, Somatic/Germline Variant Curation, Hereditary Cancer</v>
      </c>
    </row>
    <row r="49">
      <c r="A49" s="50">
        <f>IFERROR(__xludf.DUMMYFUNCTION("QUERY('Volunteer Survey'!A54)"),43343.39832175926)</f>
        <v>43343.39832</v>
      </c>
      <c r="B49" s="48" t="s">
        <v>168</v>
      </c>
      <c r="C49" s="90">
        <v>43476.0</v>
      </c>
      <c r="D49" s="49">
        <v>43476.0</v>
      </c>
      <c r="E49" s="48" t="s">
        <v>117</v>
      </c>
      <c r="F49" s="48" t="s">
        <v>130</v>
      </c>
      <c r="G49" s="48" t="s">
        <v>136</v>
      </c>
      <c r="H49" s="51" t="s">
        <v>296</v>
      </c>
      <c r="I49" s="51" t="s">
        <v>139</v>
      </c>
      <c r="J49" s="56">
        <v>43592.0</v>
      </c>
      <c r="K49" s="48" t="s">
        <v>300</v>
      </c>
      <c r="L49" s="55" t="str">
        <f>IFERROR(__xludf.DUMMYFUNCTION("QUERY('Volunteer Survey'!B54)"),"Sameeha Shirwadkar")</f>
        <v>Sameeha Shirwadkar</v>
      </c>
      <c r="M49" s="55" t="str">
        <f>IFERROR(__xludf.DUMMYFUNCTION("QUERY('Volunteer Survey'!E54)"),"sameeha9@gmail.com")</f>
        <v>sameeha9@gmail.com</v>
      </c>
      <c r="N49" s="55" t="str">
        <f>IFERROR(__xludf.DUMMYFUNCTION("QUERY('Volunteer Survey'!F54)"),"Biocurator and Variant Analyst Scientist")</f>
        <v>Biocurator and Variant Analyst Scientist</v>
      </c>
      <c r="O49" s="48" t="str">
        <f>IFERROR(__xludf.DUMMYFUNCTION("QUERY('Volunteer Survey'!H54)"),"Comprehensive")</f>
        <v>Comprehensive</v>
      </c>
      <c r="P49" s="55" t="str">
        <f>IFERROR(__xludf.DUMMYFUNCTION("QUERY('Volunteer Survey'!I54)"),"Somatic Cancer")</f>
        <v>Somatic Cancer</v>
      </c>
      <c r="Q49" s="60" t="str">
        <f>IFERROR(__xludf.DUMMYFUNCTION("QUERY('Volunteer Survey'!J54)"),"Clinical Actionability")</f>
        <v>Clinical Actionability</v>
      </c>
      <c r="R49" s="55" t="str">
        <f>IFERROR(__xludf.DUMMYFUNCTION("QUERY('Volunteer Survey'!K54)"),"Variant Pathogenicity")</f>
        <v>Variant Pathogenicity</v>
      </c>
      <c r="S49" s="55" t="str">
        <f>IFERROR(__xludf.DUMMYFUNCTION("QUERY('Volunteer Survey'!L54)"),"Gene-Disease Validity")</f>
        <v>Gene-Disease Validity</v>
      </c>
      <c r="T49" s="55" t="str">
        <f>IFERROR(__xludf.DUMMYFUNCTION("QUERY('Volunteer Survey'!M54)"),"")</f>
        <v/>
      </c>
      <c r="U49" s="64" t="str">
        <f>IFERROR(__xludf.DUMMYFUNCTION("QUERY('Volunteer Survey'!N54)"),"yes")</f>
        <v>yes</v>
      </c>
      <c r="V49" s="55" t="str">
        <f>IFERROR(__xludf.DUMMYFUNCTION("QUERY('Volunteer Survey'!O54)"),"Yes")</f>
        <v>Yes</v>
      </c>
      <c r="W49" s="66" t="str">
        <f>IFERROR(__xludf.DUMMYFUNCTION("QUERY('Volunteer Survey'!P54)"),"Somatic/Germline Variant Curation Group and TP53 Variant Curation Expert Panel")</f>
        <v>Somatic/Germline Variant Curation Group and TP53 Variant Curation Expert Panel</v>
      </c>
      <c r="X49" s="64" t="str">
        <f>IFERROR(__xludf.DUMMYFUNCTION("QUERY('Volunteer Survey'!R54)"),"Maybe -- please contact me with other options, and I will decide based on what is available")</f>
        <v>Maybe -- please contact me with other options, and I will decide based on what is available</v>
      </c>
      <c r="Y49" s="53"/>
      <c r="Z49" s="182">
        <f>IFERROR(__xludf.DUMMYFUNCTION("QUERY('Volunteer Survey'!A48)"),43355.61038194444)</f>
        <v>43355.61038</v>
      </c>
      <c r="AA49" s="183" t="str">
        <f>IFERROR(__xludf.DUMMYFUNCTION("QUERY('Volunteer Survey'!B48)"),"Andrea Vaags")</f>
        <v>Andrea Vaags</v>
      </c>
      <c r="AB49" s="183" t="str">
        <f>IFERROR(__xludf.DUMMYFUNCTION("QUERY('Volunteer Survey'!C48)"),"Trillium Health Partners - Credit Valley Hospital")</f>
        <v>Trillium Health Partners - Credit Valley Hospital</v>
      </c>
      <c r="AC49" s="183" t="str">
        <f>IFERROR(__xludf.DUMMYFUNCTION("QUERY('Volunteer Survey'!D48)"),"Canada")</f>
        <v>Canada</v>
      </c>
      <c r="AD49" s="183" t="str">
        <f>IFERROR(__xludf.DUMMYFUNCTION("QUERY('Volunteer Survey'!E48)"),"andrea.vaags@thp.ca")</f>
        <v>andrea.vaags@thp.ca</v>
      </c>
      <c r="AE49" s="183" t="str">
        <f>IFERROR(__xludf.DUMMYFUNCTION("QUERY('Volunteer Survey'!F48)"),"Clinical laboratory geneticist")</f>
        <v>Clinical laboratory geneticist</v>
      </c>
      <c r="AF49" s="183" t="str">
        <f>IFERROR(__xludf.DUMMYFUNCTION("QUERY('Volunteer Survey'!G48)"),"Somatic/Germline Variant Curation Group (In progress); Breast and Ovarian Cancer Gene Curation Expert Panel; Hereditary Cancer Gene Curation Expert Panel (In progress); Somatic/Germline Variant Curation Group (In progress)")</f>
        <v>Somatic/Germline Variant Curation Group (In progress); Breast and Ovarian Cancer Gene Curation Expert Panel; Hereditary Cancer Gene Curation Expert Panel (In progress); Somatic/Germline Variant Curation Group (In progress)</v>
      </c>
      <c r="AG49" s="183" t="str">
        <f>IFERROR(__xludf.DUMMYFUNCTION("QUERY('Volunteer Survey'!H48)"),"Comprehensive")</f>
        <v>Comprehensive</v>
      </c>
      <c r="AH49" s="183" t="str">
        <f>IFERROR(__xludf.DUMMYFUNCTION("QUERY('Volunteer Survey'!I48)"),"Dosage Sensitivity")</f>
        <v>Dosage Sensitivity</v>
      </c>
      <c r="AI49" s="183" t="str">
        <f>IFERROR(__xludf.DUMMYFUNCTION("QUERY('Volunteer Survey'!J48)"),"")</f>
        <v/>
      </c>
      <c r="AJ49" s="183" t="str">
        <f>IFERROR(__xludf.DUMMYFUNCTION("QUERY('Volunteer Survey'!K48)"),"")</f>
        <v/>
      </c>
      <c r="AK49" s="183" t="str">
        <f>IFERROR(__xludf.DUMMYFUNCTION("QUERY('Volunteer Survey'!L48)"),"")</f>
        <v/>
      </c>
      <c r="AL49" s="183" t="str">
        <f>IFERROR(__xludf.DUMMYFUNCTION("QUERY('Volunteer Survey'!M48)"),"")</f>
        <v/>
      </c>
      <c r="AM49" s="183" t="str">
        <f>IFERROR(__xludf.DUMMYFUNCTION("QUERY('Volunteer Survey'!N48)"),"Yes")</f>
        <v>Yes</v>
      </c>
      <c r="AN49" s="183" t="str">
        <f>IFERROR(__xludf.DUMMYFUNCTION("QUERY('Volunteer Survey'!O48)"),"")</f>
        <v/>
      </c>
      <c r="AO49" s="183" t="str">
        <f>IFERROR(__xludf.DUMMYFUNCTION("QUERY('Volunteer Survey'!P48)"),"Somatic/Germline Variant Curation Group (In progress); Breast and Ovarian Cancer Gene Curation Expert Panel; Hereditary Cancer Gene Curation Expert Panel (In progress); Somatic/Germline Variant Curation Group (In progress)")</f>
        <v>Somatic/Germline Variant Curation Group (In progress); Breast and Ovarian Cancer Gene Curation Expert Panel; Hereditary Cancer Gene Curation Expert Panel (In progress); Somatic/Germline Variant Curation Group (In progress)</v>
      </c>
    </row>
    <row r="50">
      <c r="A50" s="50">
        <f>IFERROR(__xludf.DUMMYFUNCTION("QUERY('Volunteer Survey'!A55)"),43365.400613425925)</f>
        <v>43365.40061</v>
      </c>
      <c r="B50" s="48" t="s">
        <v>168</v>
      </c>
      <c r="C50" s="53"/>
      <c r="D50" s="49"/>
      <c r="E50" s="48" t="s">
        <v>130</v>
      </c>
      <c r="F50" s="48" t="s">
        <v>130</v>
      </c>
      <c r="G50" s="48" t="s">
        <v>136</v>
      </c>
      <c r="H50" s="51" t="s">
        <v>297</v>
      </c>
      <c r="I50" s="51" t="s">
        <v>139</v>
      </c>
      <c r="J50" s="55"/>
      <c r="K50" s="55"/>
      <c r="L50" s="55" t="str">
        <f>IFERROR(__xludf.DUMMYFUNCTION("QUERY('Volunteer Survey'!B55)"),"Heather Williams")</f>
        <v>Heather Williams</v>
      </c>
      <c r="M50" s="55" t="str">
        <f>IFERROR(__xludf.DUMMYFUNCTION("QUERY('Volunteer Survey'!E55)"),"heather.williams30@nhs.net")</f>
        <v>heather.williams30@nhs.net</v>
      </c>
      <c r="N50" s="55" t="str">
        <f>IFERROR(__xludf.DUMMYFUNCTION("QUERY('Volunteer Survey'!F55)"),"Clinical laboratory geneticist")</f>
        <v>Clinical laboratory geneticist</v>
      </c>
      <c r="O50" s="48" t="str">
        <f>IFERROR(__xludf.DUMMYFUNCTION("QUERY('Volunteer Survey'!H55)"),"Comprehensive")</f>
        <v>Comprehensive</v>
      </c>
      <c r="P50" s="55" t="str">
        <f>IFERROR(__xludf.DUMMYFUNCTION("QUERY('Volunteer Survey'!I55)"),"Somatic Cancer")</f>
        <v>Somatic Cancer</v>
      </c>
      <c r="Q50" s="60" t="str">
        <f>IFERROR(__xludf.DUMMYFUNCTION("QUERY('Volunteer Survey'!J55)"),"Variant Pathogenicity")</f>
        <v>Variant Pathogenicity</v>
      </c>
      <c r="R50" s="55" t="str">
        <f>IFERROR(__xludf.DUMMYFUNCTION("QUERY('Volunteer Survey'!K55)"),"Clinical Actionability")</f>
        <v>Clinical Actionability</v>
      </c>
      <c r="S50" s="55" t="str">
        <f>IFERROR(__xludf.DUMMYFUNCTION("QUERY('Volunteer Survey'!L55)"),"Gene-Disease Validity")</f>
        <v>Gene-Disease Validity</v>
      </c>
      <c r="T50" s="55" t="str">
        <f>IFERROR(__xludf.DUMMYFUNCTION("QUERY('Volunteer Survey'!M55)"),"Dosage Sensitivity")</f>
        <v>Dosage Sensitivity</v>
      </c>
      <c r="U50" s="64" t="str">
        <f>IFERROR(__xludf.DUMMYFUNCTION("QUERY('Volunteer Survey'!N55)"),"yes")</f>
        <v>yes</v>
      </c>
      <c r="V50" s="55" t="str">
        <f>IFERROR(__xludf.DUMMYFUNCTION("QUERY('Volunteer Survey'!O55)"),"Yes")</f>
        <v>Yes</v>
      </c>
      <c r="W50" s="66" t="str">
        <f>IFERROR(__xludf.DUMMYFUNCTION("QUERY('Volunteer Survey'!P55)"),"Myeloid Malignancy Variant Curation Expert Panel Somatic/Germline Variant Curation Group")</f>
        <v>Myeloid Malignancy Variant Curation Expert Panel Somatic/Germline Variant Curation Group</v>
      </c>
      <c r="X50" s="64" t="str">
        <f>IFERROR(__xludf.DUMMYFUNCTION("QUERY('Volunteer Survey'!R55)"),"Yes- I am willing to volunteer with any available ClinGen group")</f>
        <v>Yes- I am willing to volunteer with any available ClinGen group</v>
      </c>
      <c r="Y50" s="53"/>
      <c r="Z50" s="182">
        <f>IFERROR(__xludf.DUMMYFUNCTION("QUERY('Volunteer Survey'!A49)"),43402.61143518519)</f>
        <v>43402.61144</v>
      </c>
      <c r="AA50" s="183" t="str">
        <f>IFERROR(__xludf.DUMMYFUNCTION("QUERY('Volunteer Survey'!B49)"),"George Burghel")</f>
        <v>George Burghel</v>
      </c>
      <c r="AB50" s="183" t="str">
        <f>IFERROR(__xludf.DUMMYFUNCTION("QUERY('Volunteer Survey'!C49)"),"Manchester Centre for Genomic Medicine")</f>
        <v>Manchester Centre for Genomic Medicine</v>
      </c>
      <c r="AC50" s="183" t="str">
        <f>IFERROR(__xludf.DUMMYFUNCTION("QUERY('Volunteer Survey'!D49)"),"Manchester, UK")</f>
        <v>Manchester, UK</v>
      </c>
      <c r="AD50" s="183" t="str">
        <f>IFERROR(__xludf.DUMMYFUNCTION("QUERY('Volunteer Survey'!E49)"),"george.burghel@mft.nhs.uk")</f>
        <v>george.burghel@mft.nhs.uk</v>
      </c>
      <c r="AE50" s="183" t="str">
        <f>IFERROR(__xludf.DUMMYFUNCTION("QUERY('Volunteer Survey'!F49)"),"Clinical laboratory geneticist")</f>
        <v>Clinical laboratory geneticist</v>
      </c>
      <c r="AF50" s="183" t="str">
        <f>IFERROR(__xludf.DUMMYFUNCTION("QUERY('Volunteer Survey'!G49)"),"Experience with Dosage sensitivity but not curation. ")</f>
        <v>Experience with Dosage sensitivity but not curation. </v>
      </c>
      <c r="AG50" s="183" t="str">
        <f>IFERROR(__xludf.DUMMYFUNCTION("QUERY('Volunteer Survey'!H49)"),"Comprehensive")</f>
        <v>Comprehensive</v>
      </c>
      <c r="AH50" s="183" t="str">
        <f>IFERROR(__xludf.DUMMYFUNCTION("QUERY('Volunteer Survey'!I49)"),"Dosage Sensitivity")</f>
        <v>Dosage Sensitivity</v>
      </c>
      <c r="AI50" s="183" t="str">
        <f>IFERROR(__xludf.DUMMYFUNCTION("QUERY('Volunteer Survey'!J49)"),"")</f>
        <v/>
      </c>
      <c r="AJ50" s="183" t="str">
        <f>IFERROR(__xludf.DUMMYFUNCTION("QUERY('Volunteer Survey'!K49)"),"")</f>
        <v/>
      </c>
      <c r="AK50" s="183" t="str">
        <f>IFERROR(__xludf.DUMMYFUNCTION("QUERY('Volunteer Survey'!L49)"),"")</f>
        <v/>
      </c>
      <c r="AL50" s="183" t="str">
        <f>IFERROR(__xludf.DUMMYFUNCTION("QUERY('Volunteer Survey'!M49)"),"")</f>
        <v/>
      </c>
      <c r="AM50" s="183" t="str">
        <f>IFERROR(__xludf.DUMMYFUNCTION("QUERY('Volunteer Survey'!N49)"),"Yes")</f>
        <v>Yes</v>
      </c>
      <c r="AN50" s="183" t="str">
        <f>IFERROR(__xludf.DUMMYFUNCTION("QUERY('Volunteer Survey'!O49)"),"")</f>
        <v/>
      </c>
      <c r="AO50" s="183" t="str">
        <f>IFERROR(__xludf.DUMMYFUNCTION("QUERY('Volunteer Survey'!P49)"),"Experience with Dosage sensistivy but not curation. ")</f>
        <v>Experience with Dosage sensistivy but not curation. </v>
      </c>
    </row>
    <row r="51">
      <c r="A51" s="50">
        <f>IFERROR(__xludf.DUMMYFUNCTION("QUERY('Volunteer Survey'!A56)"),43368.40216435185)</f>
        <v>43368.40216</v>
      </c>
      <c r="B51" s="48" t="s">
        <v>168</v>
      </c>
      <c r="C51" s="87">
        <v>43411.0</v>
      </c>
      <c r="D51" s="49">
        <v>43476.0</v>
      </c>
      <c r="E51" s="48" t="s">
        <v>117</v>
      </c>
      <c r="F51" s="48" t="s">
        <v>130</v>
      </c>
      <c r="G51" s="48" t="s">
        <v>136</v>
      </c>
      <c r="H51" s="51" t="s">
        <v>297</v>
      </c>
      <c r="I51" s="51" t="s">
        <v>139</v>
      </c>
      <c r="J51" s="56">
        <v>43592.0</v>
      </c>
      <c r="K51" s="56">
        <v>43713.0</v>
      </c>
      <c r="L51" s="55" t="str">
        <f>IFERROR(__xludf.DUMMYFUNCTION("QUERY('Volunteer Survey'!B56)"),"Laura Richards")</f>
        <v>Laura Richards</v>
      </c>
      <c r="M51" s="55" t="str">
        <f>IFERROR(__xludf.DUMMYFUNCTION("QUERY('Volunteer Survey'!E56)"),"lauram.richards@mail.utoronto.ca")</f>
        <v>lauram.richards@mail.utoronto.ca</v>
      </c>
      <c r="N51" s="55" t="str">
        <f>IFERROR(__xludf.DUMMYFUNCTION("QUERY('Volunteer Survey'!F56)"),"Graduate Student")</f>
        <v>Graduate Student</v>
      </c>
      <c r="O51" s="48" t="str">
        <f>IFERROR(__xludf.DUMMYFUNCTION("QUERY('Volunteer Survey'!H56)"),"Comprehensive")</f>
        <v>Comprehensive</v>
      </c>
      <c r="P51" s="55" t="str">
        <f>IFERROR(__xludf.DUMMYFUNCTION("QUERY('Volunteer Survey'!I56)"),"Somatic Cancer")</f>
        <v>Somatic Cancer</v>
      </c>
      <c r="Q51" s="60" t="str">
        <f>IFERROR(__xludf.DUMMYFUNCTION("QUERY('Volunteer Survey'!J56)"),"Clinical Actionability")</f>
        <v>Clinical Actionability</v>
      </c>
      <c r="R51" s="55" t="str">
        <f>IFERROR(__xludf.DUMMYFUNCTION("QUERY('Volunteer Survey'!K56)"),"Variant Pathogenicity")</f>
        <v>Variant Pathogenicity</v>
      </c>
      <c r="S51" s="55" t="str">
        <f>IFERROR(__xludf.DUMMYFUNCTION("QUERY('Volunteer Survey'!L56)"),"Gene-Disease Validity")</f>
        <v>Gene-Disease Validity</v>
      </c>
      <c r="T51" s="55" t="str">
        <f>IFERROR(__xludf.DUMMYFUNCTION("QUERY('Volunteer Survey'!M56)"),"Dosage Sensitivity")</f>
        <v>Dosage Sensitivity</v>
      </c>
      <c r="U51" s="64" t="str">
        <f>IFERROR(__xludf.DUMMYFUNCTION("QUERY('Volunteer Survey'!N56)"),"yes")</f>
        <v>yes</v>
      </c>
      <c r="V51" s="55" t="str">
        <f>IFERROR(__xludf.DUMMYFUNCTION("QUERY('Volunteer Survey'!O56)"),"Yes")</f>
        <v>Yes</v>
      </c>
      <c r="W51" s="66" t="str">
        <f>IFERROR(__xludf.DUMMYFUNCTION("QUERY('Volunteer Survey'!P56)"),"All expert panels in Hereditary Cancer CDWG")</f>
        <v>All expert panels in Hereditary Cancer CDWG</v>
      </c>
      <c r="X51" s="64" t="str">
        <f>IFERROR(__xludf.DUMMYFUNCTION("QUERY('Volunteer Survey'!R56)"),"Yes- I am willing to volunteer with any available ClinGen group")</f>
        <v>Yes- I am willing to volunteer with any available ClinGen group</v>
      </c>
      <c r="Y51" s="92" t="s">
        <v>328</v>
      </c>
      <c r="Z51" s="182">
        <f>IFERROR(__xludf.DUMMYFUNCTION("QUERY('Volunteer Survey'!A50)"),43417.612164351856)</f>
        <v>43417.61216</v>
      </c>
      <c r="AA51" s="183" t="str">
        <f>IFERROR(__xludf.DUMMYFUNCTION("QUERY('Volunteer Survey'!B50)"),"Coumarane Mani")</f>
        <v>Coumarane Mani</v>
      </c>
      <c r="AB51" s="183" t="str">
        <f>IFERROR(__xludf.DUMMYFUNCTION("QUERY('Volunteer Survey'!C50)"),"ARUP Laboratories")</f>
        <v>ARUP Laboratories</v>
      </c>
      <c r="AC51" s="183" t="str">
        <f>IFERROR(__xludf.DUMMYFUNCTION("QUERY('Volunteer Survey'!D50)"),"SLC, Utah")</f>
        <v>SLC, Utah</v>
      </c>
      <c r="AD51" s="183" t="str">
        <f>IFERROR(__xludf.DUMMYFUNCTION("QUERY('Volunteer Survey'!E50)"),"coumarane.mani@aruplab.com")</f>
        <v>coumarane.mani@aruplab.com</v>
      </c>
      <c r="AE51" s="183" t="str">
        <f>IFERROR(__xludf.DUMMYFUNCTION("QUERY('Volunteer Survey'!F50)"),"Variant Analyst/Scientist")</f>
        <v>Variant Analyst/Scientist</v>
      </c>
      <c r="AF51" s="183" t="str">
        <f>IFERROR(__xludf.DUMMYFUNCTION("QUERY('Volunteer Survey'!G50)"),"1. Somatic/Germline Variant Curation Group 2. Myeloid Malignancy Variant Curation Expert Panel")</f>
        <v>1. Somatic/Germline Variant Curation Group 2. Myeloid Malignancy Variant Curation Expert Panel</v>
      </c>
      <c r="AG51" s="183" t="str">
        <f>IFERROR(__xludf.DUMMYFUNCTION("QUERY('Volunteer Survey'!H50)"),"Comprehensive")</f>
        <v>Comprehensive</v>
      </c>
      <c r="AH51" s="183" t="str">
        <f>IFERROR(__xludf.DUMMYFUNCTION("QUERY('Volunteer Survey'!I50)"),"Dosage Sensitivity")</f>
        <v>Dosage Sensitivity</v>
      </c>
      <c r="AI51" s="183" t="str">
        <f>IFERROR(__xludf.DUMMYFUNCTION("QUERY('Volunteer Survey'!J50)"),"")</f>
        <v/>
      </c>
      <c r="AJ51" s="183" t="str">
        <f>IFERROR(__xludf.DUMMYFUNCTION("QUERY('Volunteer Survey'!K50)"),"")</f>
        <v/>
      </c>
      <c r="AK51" s="183" t="str">
        <f>IFERROR(__xludf.DUMMYFUNCTION("QUERY('Volunteer Survey'!L50)"),"")</f>
        <v/>
      </c>
      <c r="AL51" s="183" t="str">
        <f>IFERROR(__xludf.DUMMYFUNCTION("QUERY('Volunteer Survey'!M50)"),"")</f>
        <v/>
      </c>
      <c r="AM51" s="183" t="str">
        <f>IFERROR(__xludf.DUMMYFUNCTION("QUERY('Volunteer Survey'!N50)"),"Yes")</f>
        <v>Yes</v>
      </c>
      <c r="AN51" s="183" t="str">
        <f>IFERROR(__xludf.DUMMYFUNCTION("QUERY('Volunteer Survey'!O50)"),"")</f>
        <v/>
      </c>
      <c r="AO51" s="183" t="str">
        <f>IFERROR(__xludf.DUMMYFUNCTION("QUERY('Volunteer Survey'!P50)"),"1. Somatic/Germline Variant Curation Group 2. Myeloid Malignancy Variant Curation Expert Panel")</f>
        <v>1. Somatic/Germline Variant Curation Group 2. Myeloid Malignancy Variant Curation Expert Panel</v>
      </c>
    </row>
    <row r="52">
      <c r="A52" s="50">
        <f>IFERROR(__xludf.DUMMYFUNCTION("QUERY('Volunteer Survey'!A57)"),43370.40420138889)</f>
        <v>43370.4042</v>
      </c>
      <c r="B52" s="48" t="s">
        <v>168</v>
      </c>
      <c r="C52" s="87">
        <v>43411.0</v>
      </c>
      <c r="D52" s="49"/>
      <c r="E52" s="48" t="s">
        <v>130</v>
      </c>
      <c r="F52" s="48" t="s">
        <v>130</v>
      </c>
      <c r="G52" s="48" t="s">
        <v>136</v>
      </c>
      <c r="H52" s="53"/>
      <c r="I52" s="51" t="s">
        <v>139</v>
      </c>
      <c r="J52" s="55"/>
      <c r="K52" s="55"/>
      <c r="L52" s="55" t="str">
        <f>IFERROR(__xludf.DUMMYFUNCTION("QUERY('Volunteer Survey'!B57)"),"Aysegul Ozanturk")</f>
        <v>Aysegul Ozanturk</v>
      </c>
      <c r="M52" s="55" t="str">
        <f>IFERROR(__xludf.DUMMYFUNCTION("QUERY('Volunteer Survey'!E57)"),"aozanturk@gmail.com")</f>
        <v>aozanturk@gmail.com</v>
      </c>
      <c r="N52" s="55" t="str">
        <f>IFERROR(__xludf.DUMMYFUNCTION("QUERY('Volunteer Survey'!F57)"),"Scientific Researcher, Variant Analyst/Scientist")</f>
        <v>Scientific Researcher, Variant Analyst/Scientist</v>
      </c>
      <c r="O52" s="48" t="str">
        <f>IFERROR(__xludf.DUMMYFUNCTION("QUERY('Volunteer Survey'!H57)"),"Comprehensive")</f>
        <v>Comprehensive</v>
      </c>
      <c r="P52" s="55" t="str">
        <f>IFERROR(__xludf.DUMMYFUNCTION("QUERY('Volunteer Survey'!I57)"),"Somatic Cancer")</f>
        <v>Somatic Cancer</v>
      </c>
      <c r="Q52" s="60" t="str">
        <f>IFERROR(__xludf.DUMMYFUNCTION("QUERY('Volunteer Survey'!J57)"),"Dosage Sensitivity")</f>
        <v>Dosage Sensitivity</v>
      </c>
      <c r="R52" s="55" t="str">
        <f>IFERROR(__xludf.DUMMYFUNCTION("QUERY('Volunteer Survey'!K57)"),"Clinical Actionability")</f>
        <v>Clinical Actionability</v>
      </c>
      <c r="S52" s="55" t="str">
        <f>IFERROR(__xludf.DUMMYFUNCTION("QUERY('Volunteer Survey'!L57)"),"")</f>
        <v/>
      </c>
      <c r="T52" s="55" t="str">
        <f>IFERROR(__xludf.DUMMYFUNCTION("QUERY('Volunteer Survey'!M57)"),"")</f>
        <v/>
      </c>
      <c r="U52" s="64" t="str">
        <f>IFERROR(__xludf.DUMMYFUNCTION("QUERY('Volunteer Survey'!N57)"),"yes")</f>
        <v>yes</v>
      </c>
      <c r="V52" s="55" t="str">
        <f>IFERROR(__xludf.DUMMYFUNCTION("QUERY('Volunteer Survey'!O57)"),"Possibly")</f>
        <v>Possibly</v>
      </c>
      <c r="W52" s="66" t="str">
        <f>IFERROR(__xludf.DUMMYFUNCTION("QUERY('Volunteer Survey'!P57)"),"I would say mostly rare disorders. I have an expertise on ciliary disorders/ Syndromic IDs/ inborn error of metabolic disorders. Happy to share my resume.")</f>
        <v>I would say mostly rare disorders. I have an expertise on ciliary disorders/ Syndromic IDs/ inborn error of metabolic disorders. Happy to share my resume.</v>
      </c>
      <c r="X52" s="64" t="str">
        <f>IFERROR(__xludf.DUMMYFUNCTION("QUERY('Volunteer Survey'!R57)"),"Yes- I am willing to volunteer with any available ClinGen group")</f>
        <v>Yes- I am willing to volunteer with any available ClinGen group</v>
      </c>
      <c r="Y52" s="53"/>
      <c r="Z52" s="182">
        <f>IFERROR(__xludf.DUMMYFUNCTION("QUERY('Volunteer Survey'!A51)"),43438.613125)</f>
        <v>43438.61313</v>
      </c>
      <c r="AA52" s="183" t="str">
        <f>IFERROR(__xludf.DUMMYFUNCTION("QUERY('Volunteer Survey'!B51)"),"Mahesh Iddawela")</f>
        <v>Mahesh Iddawela</v>
      </c>
      <c r="AB52" s="183" t="str">
        <f>IFERROR(__xludf.DUMMYFUNCTION("QUERY('Volunteer Survey'!C51)"),"Monash University")</f>
        <v>Monash University</v>
      </c>
      <c r="AC52" s="183" t="str">
        <f>IFERROR(__xludf.DUMMYFUNCTION("QUERY('Volunteer Survey'!D51)"),"Victoria, Australia")</f>
        <v>Victoria, Australia</v>
      </c>
      <c r="AD52" s="183" t="str">
        <f>IFERROR(__xludf.DUMMYFUNCTION("QUERY('Volunteer Survey'!E51)"),"mahesh.iddawela@monash.edu")</f>
        <v>mahesh.iddawela@monash.edu</v>
      </c>
      <c r="AE52" s="183" t="str">
        <f>IFERROR(__xludf.DUMMYFUNCTION("QUERY('Volunteer Survey'!F51)"),"Clinician Scientist Medical Oncology")</f>
        <v>Clinician Scientist Medical Oncology</v>
      </c>
      <c r="AF52" s="183" t="str">
        <f>IFERROR(__xludf.DUMMYFUNCTION("QUERY('Volunteer Survey'!G51)"),"Somatic Cancer (TP53), Breast/Ovarian cancer")</f>
        <v>Somatic Cancer (TP53), Breast/Ovarian cancer</v>
      </c>
      <c r="AG52" s="183" t="str">
        <f>IFERROR(__xludf.DUMMYFUNCTION("QUERY('Volunteer Survey'!H51)"),"Comprehensive")</f>
        <v>Comprehensive</v>
      </c>
      <c r="AH52" s="183" t="str">
        <f>IFERROR(__xludf.DUMMYFUNCTION("QUERY('Volunteer Survey'!I51)"),"Dosage Sensitivity")</f>
        <v>Dosage Sensitivity</v>
      </c>
      <c r="AI52" s="183" t="str">
        <f>IFERROR(__xludf.DUMMYFUNCTION("QUERY('Volunteer Survey'!J51)"),"")</f>
        <v/>
      </c>
      <c r="AJ52" s="183" t="str">
        <f>IFERROR(__xludf.DUMMYFUNCTION("QUERY('Volunteer Survey'!K51)"),"")</f>
        <v/>
      </c>
      <c r="AK52" s="183" t="str">
        <f>IFERROR(__xludf.DUMMYFUNCTION("QUERY('Volunteer Survey'!L51)"),"")</f>
        <v/>
      </c>
      <c r="AL52" s="183" t="str">
        <f>IFERROR(__xludf.DUMMYFUNCTION("QUERY('Volunteer Survey'!M51)"),"")</f>
        <v/>
      </c>
      <c r="AM52" s="183" t="str">
        <f>IFERROR(__xludf.DUMMYFUNCTION("QUERY('Volunteer Survey'!N51)"),"No")</f>
        <v>No</v>
      </c>
      <c r="AN52" s="183" t="str">
        <f>IFERROR(__xludf.DUMMYFUNCTION("QUERY('Volunteer Survey'!O51)"),"")</f>
        <v/>
      </c>
      <c r="AO52" s="183" t="str">
        <f>IFERROR(__xludf.DUMMYFUNCTION("QUERY('Volunteer Survey'!P51)"),"Somatic Cancer (TP53), Breast/Ovarian cancer")</f>
        <v>Somatic Cancer (TP53), Breast/Ovarian cancer</v>
      </c>
    </row>
    <row r="53">
      <c r="A53" s="50">
        <f>IFERROR(__xludf.DUMMYFUNCTION("QUERY('Volunteer Survey'!A58)"),43382.413773148146)</f>
        <v>43382.41377</v>
      </c>
      <c r="B53" s="48" t="s">
        <v>125</v>
      </c>
      <c r="C53" s="87">
        <v>43411.0</v>
      </c>
      <c r="D53" s="49">
        <v>43476.0</v>
      </c>
      <c r="E53" s="48" t="s">
        <v>117</v>
      </c>
      <c r="F53" s="48" t="s">
        <v>130</v>
      </c>
      <c r="G53" s="48" t="s">
        <v>136</v>
      </c>
      <c r="H53" s="51" t="s">
        <v>296</v>
      </c>
      <c r="I53" s="51" t="s">
        <v>139</v>
      </c>
      <c r="J53" s="56">
        <v>43592.0</v>
      </c>
      <c r="K53" s="48" t="s">
        <v>300</v>
      </c>
      <c r="L53" s="55" t="str">
        <f>IFERROR(__xludf.DUMMYFUNCTION("QUERY('Volunteer Survey'!B58)"),"Kaylee Barber")</f>
        <v>Kaylee Barber</v>
      </c>
      <c r="M53" s="55" t="str">
        <f>IFERROR(__xludf.DUMMYFUNCTION("QUERY('Volunteer Survey'!E58)"),"kbarber@bioreference.com")</f>
        <v>kbarber@bioreference.com</v>
      </c>
      <c r="N53" s="55" t="str">
        <f>IFERROR(__xludf.DUMMYFUNCTION("QUERY('Volunteer Survey'!F58)"),"Genetic counselor")</f>
        <v>Genetic counselor</v>
      </c>
      <c r="O53" s="48" t="str">
        <f>IFERROR(__xludf.DUMMYFUNCTION("QUERY('Volunteer Survey'!H58)"),"Comprehensive")</f>
        <v>Comprehensive</v>
      </c>
      <c r="P53" s="55" t="str">
        <f>IFERROR(__xludf.DUMMYFUNCTION("QUERY('Volunteer Survey'!I58)"),"Somatic Cancer")</f>
        <v>Somatic Cancer</v>
      </c>
      <c r="Q53" s="60" t="str">
        <f>IFERROR(__xludf.DUMMYFUNCTION("QUERY('Volunteer Survey'!J58)"),"Clinical Actionability")</f>
        <v>Clinical Actionability</v>
      </c>
      <c r="R53" s="55" t="str">
        <f>IFERROR(__xludf.DUMMYFUNCTION("QUERY('Volunteer Survey'!K58)"),"Gene-Disease Validity")</f>
        <v>Gene-Disease Validity</v>
      </c>
      <c r="S53" s="55" t="str">
        <f>IFERROR(__xludf.DUMMYFUNCTION("QUERY('Volunteer Survey'!L58)"),"")</f>
        <v/>
      </c>
      <c r="T53" s="55" t="str">
        <f>IFERROR(__xludf.DUMMYFUNCTION("QUERY('Volunteer Survey'!M58)"),"")</f>
        <v/>
      </c>
      <c r="U53" s="64" t="str">
        <f>IFERROR(__xludf.DUMMYFUNCTION("QUERY('Volunteer Survey'!N58)"),"yes")</f>
        <v>yes</v>
      </c>
      <c r="V53" s="55" t="str">
        <f>IFERROR(__xludf.DUMMYFUNCTION("QUERY('Volunteer Survey'!O58)"),"Possibly")</f>
        <v>Possibly</v>
      </c>
      <c r="W53" s="66" t="str">
        <f>IFERROR(__xludf.DUMMYFUNCTION("QUERY('Volunteer Survey'!P58)"),"Somatic Cancer Working Group, Somatic/Germline Variant Curation Group")</f>
        <v>Somatic Cancer Working Group, Somatic/Germline Variant Curation Group</v>
      </c>
      <c r="X53" s="64" t="str">
        <f>IFERROR(__xludf.DUMMYFUNCTION("QUERY('Volunteer Survey'!R58)"),"No - I am only interested in the group(s) I previously indicated")</f>
        <v>No - I am only interested in the group(s) I previously indicated</v>
      </c>
      <c r="Y53" s="92" t="s">
        <v>318</v>
      </c>
      <c r="Z53" s="182">
        <f>IFERROR(__xludf.DUMMYFUNCTION("QUERY('Volunteer Survey'!A52)"),43440.61386574074)</f>
        <v>43440.61387</v>
      </c>
      <c r="AA53" s="183" t="str">
        <f>IFERROR(__xludf.DUMMYFUNCTION("QUERY('Volunteer Survey'!B52)"),"Diogo Ventura Lovato")</f>
        <v>Diogo Ventura Lovato</v>
      </c>
      <c r="AB53" s="183" t="str">
        <f>IFERROR(__xludf.DUMMYFUNCTION("QUERY('Volunteer Survey'!C52)"),"Tismoo Biotech")</f>
        <v>Tismoo Biotech</v>
      </c>
      <c r="AC53" s="183" t="str">
        <f>IFERROR(__xludf.DUMMYFUNCTION("QUERY('Volunteer Survey'!D52)"),"Brazil")</f>
        <v>Brazil</v>
      </c>
      <c r="AD53" s="183" t="str">
        <f>IFERROR(__xludf.DUMMYFUNCTION("QUERY('Volunteer Survey'!E52)"),"diogo.v.lovato@gmail.com")</f>
        <v>diogo.v.lovato@gmail.com</v>
      </c>
      <c r="AE53" s="183" t="str">
        <f>IFERROR(__xludf.DUMMYFUNCTION("QUERY('Volunteer Survey'!F52)"),"Clinical laboratory geneticist, Scientific Researcher, Biocurator, Variant Analyst/Scientist")</f>
        <v>Clinical laboratory geneticist, Scientific Researcher, Biocurator, Variant Analyst/Scientist</v>
      </c>
      <c r="AF53" s="183" t="str">
        <f>IFERROR(__xludf.DUMMYFUNCTION("QUERY('Volunteer Survey'!G52)"),"Autism and Intellectual Disability, Epilepsy")</f>
        <v>Autism and Intellectual Disability, Epilepsy</v>
      </c>
      <c r="AG53" s="183" t="str">
        <f>IFERROR(__xludf.DUMMYFUNCTION("QUERY('Volunteer Survey'!H52)"),"Comprehensive")</f>
        <v>Comprehensive</v>
      </c>
      <c r="AH53" s="183" t="str">
        <f>IFERROR(__xludf.DUMMYFUNCTION("QUERY('Volunteer Survey'!I52)"),"Dosage Sensitivity")</f>
        <v>Dosage Sensitivity</v>
      </c>
      <c r="AI53" s="183" t="str">
        <f>IFERROR(__xludf.DUMMYFUNCTION("QUERY('Volunteer Survey'!J52)"),"")</f>
        <v/>
      </c>
      <c r="AJ53" s="183" t="str">
        <f>IFERROR(__xludf.DUMMYFUNCTION("QUERY('Volunteer Survey'!K52)"),"")</f>
        <v/>
      </c>
      <c r="AK53" s="183" t="str">
        <f>IFERROR(__xludf.DUMMYFUNCTION("QUERY('Volunteer Survey'!L52)"),"")</f>
        <v/>
      </c>
      <c r="AL53" s="183" t="str">
        <f>IFERROR(__xludf.DUMMYFUNCTION("QUERY('Volunteer Survey'!M52)"),"")</f>
        <v/>
      </c>
      <c r="AM53" s="183" t="str">
        <f>IFERROR(__xludf.DUMMYFUNCTION("QUERY('Volunteer Survey'!N52)"),"Yes")</f>
        <v>Yes</v>
      </c>
      <c r="AN53" s="183" t="str">
        <f>IFERROR(__xludf.DUMMYFUNCTION("QUERY('Volunteer Survey'!O52)"),"")</f>
        <v/>
      </c>
      <c r="AO53" s="183" t="str">
        <f>IFERROR(__xludf.DUMMYFUNCTION("QUERY('Volunteer Survey'!P52)"),"Autism and Intellectual Disability, Epilepsy")</f>
        <v>Autism and Intellectual Disability, Epilepsy</v>
      </c>
    </row>
    <row r="54">
      <c r="A54" s="50">
        <f>IFERROR(__xludf.DUMMYFUNCTION("QUERY('Volunteer Survey'!A59)"),43395.41673611111)</f>
        <v>43395.41674</v>
      </c>
      <c r="B54" s="48" t="s">
        <v>160</v>
      </c>
      <c r="C54" s="87">
        <v>43411.0</v>
      </c>
      <c r="D54" s="49">
        <v>43476.0</v>
      </c>
      <c r="E54" s="48" t="s">
        <v>117</v>
      </c>
      <c r="F54" s="48" t="s">
        <v>130</v>
      </c>
      <c r="G54" s="48" t="s">
        <v>136</v>
      </c>
      <c r="H54" s="51" t="s">
        <v>298</v>
      </c>
      <c r="I54" s="51" t="s">
        <v>139</v>
      </c>
      <c r="J54" s="56">
        <v>43592.0</v>
      </c>
      <c r="K54" s="56">
        <v>43713.0</v>
      </c>
      <c r="L54" s="55" t="str">
        <f>IFERROR(__xludf.DUMMYFUNCTION("QUERY('Volunteer Survey'!B59)"),"Wan-Hsin Lin")</f>
        <v>Wan-Hsin Lin</v>
      </c>
      <c r="M54" s="55" t="str">
        <f>IFERROR(__xludf.DUMMYFUNCTION("QUERY('Volunteer Survey'!E59)"),"lin.wanhsin@mayo.edu")</f>
        <v>lin.wanhsin@mayo.edu</v>
      </c>
      <c r="N54" s="55" t="str">
        <f>IFERROR(__xludf.DUMMYFUNCTION("QUERY('Volunteer Survey'!F59)"),"Post Doc/Resident/Fellow (MD and/or PhD)")</f>
        <v>Post Doc/Resident/Fellow (MD and/or PhD)</v>
      </c>
      <c r="O54" s="48" t="str">
        <f>IFERROR(__xludf.DUMMYFUNCTION("QUERY('Volunteer Survey'!H59)"),"Comprehensive")</f>
        <v>Comprehensive</v>
      </c>
      <c r="P54" s="55" t="str">
        <f>IFERROR(__xludf.DUMMYFUNCTION("QUERY('Volunteer Survey'!I59)"),"Somatic Cancer")</f>
        <v>Somatic Cancer</v>
      </c>
      <c r="Q54" s="60" t="str">
        <f>IFERROR(__xludf.DUMMYFUNCTION("QUERY('Volunteer Survey'!J59)"),"Variant Pathogenicity")</f>
        <v>Variant Pathogenicity</v>
      </c>
      <c r="R54" s="55" t="str">
        <f>IFERROR(__xludf.DUMMYFUNCTION("QUERY('Volunteer Survey'!K59)"),"Clinical Actionability")</f>
        <v>Clinical Actionability</v>
      </c>
      <c r="S54" s="55" t="str">
        <f>IFERROR(__xludf.DUMMYFUNCTION("QUERY('Volunteer Survey'!L59)"),"Gene-Disease Validity")</f>
        <v>Gene-Disease Validity</v>
      </c>
      <c r="T54" s="55" t="str">
        <f>IFERROR(__xludf.DUMMYFUNCTION("QUERY('Volunteer Survey'!M59)"),"")</f>
        <v/>
      </c>
      <c r="U54" s="64" t="str">
        <f>IFERROR(__xludf.DUMMYFUNCTION("QUERY('Volunteer Survey'!N59)"),"no")</f>
        <v>no</v>
      </c>
      <c r="V54" s="55" t="str">
        <f>IFERROR(__xludf.DUMMYFUNCTION("QUERY('Volunteer Survey'!O59)"),"Possibly")</f>
        <v>Possibly</v>
      </c>
      <c r="W54" s="66" t="str">
        <f>IFERROR(__xludf.DUMMYFUNCTION("QUERY('Volunteer Survey'!P59)"),"The Expert Panels/Working Groups that I am interested in are listed below. 1. ""Clinical Domain Working Groups""-Hereditary Cancer CDWG: Hereditary Cancer Gene Curation Expert Panel, Myeloid Malignancy Variant Curation Expert Panel, Somatic/Germline Varia"&amp;"nt Curation Group. 2. Gene Curation Working Group 3. Somatic Cancer Working Group")</f>
        <v>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v>
      </c>
      <c r="X54" s="64" t="str">
        <f>IFERROR(__xludf.DUMMYFUNCTION("QUERY('Volunteer Survey'!R59)"),"Maybe -- please contact me with other options, and I will decide based on what is available")</f>
        <v>Maybe -- please contact me with other options, and I will decide based on what is available</v>
      </c>
      <c r="Y54" s="53"/>
      <c r="Z54" s="182">
        <f>IFERROR(__xludf.DUMMYFUNCTION("QUERY('Volunteer Survey'!A53)"),43369.796423611115)</f>
        <v>43369.79642</v>
      </c>
      <c r="AA54" s="183" t="str">
        <f>IFERROR(__xludf.DUMMYFUNCTION("QUERY('Volunteer Survey'!B53)"),"Rhonda N.T. Lassiter, PhD")</f>
        <v>Rhonda N.T. Lassiter, PhD</v>
      </c>
      <c r="AB54" s="183" t="str">
        <f>IFERROR(__xludf.DUMMYFUNCTION("QUERY('Volunteer Survey'!C53)"),"Ambry Genetics")</f>
        <v>Ambry Genetics</v>
      </c>
      <c r="AC54" s="183" t="str">
        <f>IFERROR(__xludf.DUMMYFUNCTION("QUERY('Volunteer Survey'!D53)"),"15 Argonaut, CA")</f>
        <v>15 Argonaut, CA</v>
      </c>
      <c r="AD54" s="183" t="str">
        <f>IFERROR(__xludf.DUMMYFUNCTION("QUERY('Volunteer Survey'!E53)"),"rlassiter@ambrygen.com")</f>
        <v>rlassiter@ambrygen.com</v>
      </c>
      <c r="AE54" s="183" t="str">
        <f>IFERROR(__xludf.DUMMYFUNCTION("QUERY('Volunteer Survey'!F53)"),"Variant Analyst/Scientist")</f>
        <v>Variant Analyst/Scientist</v>
      </c>
      <c r="AF54" s="183" t="str">
        <f>IFERROR(__xludf.DUMMYFUNCTION("QUERY('Volunteer Survey'!G53)"),"I currently use ClinGen as a significant resource and would like to contribute to the progress of gene and variant curation. I am interested in Neurogenetics.")</f>
        <v>I currently use ClinGen as a significant resource and would like to contribute to the progress of gene and variant curation. I am interested in Neurogenetics.</v>
      </c>
      <c r="AG54" s="183" t="str">
        <f>IFERROR(__xludf.DUMMYFUNCTION("QUERY('Volunteer Survey'!H53)"),"Comprehensive")</f>
        <v>Comprehensive</v>
      </c>
      <c r="AH54" s="183" t="str">
        <f>IFERROR(__xludf.DUMMYFUNCTION("QUERY('Volunteer Survey'!I53)"),"Variant Pathogenicity")</f>
        <v>Variant Pathogenicity</v>
      </c>
      <c r="AI54" s="183" t="str">
        <f>IFERROR(__xludf.DUMMYFUNCTION("QUERY('Volunteer Survey'!J53)"),"Gene-Disease Validity")</f>
        <v>Gene-Disease Validity</v>
      </c>
      <c r="AJ54" s="183" t="str">
        <f>IFERROR(__xludf.DUMMYFUNCTION("QUERY('Volunteer Survey'!K53)"),"Dosage Sensitivity")</f>
        <v>Dosage Sensitivity</v>
      </c>
      <c r="AK54" s="183" t="str">
        <f>IFERROR(__xludf.DUMMYFUNCTION("QUERY('Volunteer Survey'!L53)"),"Somatic Cancer")</f>
        <v>Somatic Cancer</v>
      </c>
      <c r="AL54" s="183" t="str">
        <f>IFERROR(__xludf.DUMMYFUNCTION("QUERY('Volunteer Survey'!M53)"),"Clinical Actionability")</f>
        <v>Clinical Actionability</v>
      </c>
      <c r="AM54" s="183" t="str">
        <f>IFERROR(__xludf.DUMMYFUNCTION("QUERY('Volunteer Survey'!N53)"),"Yes, I am employed as a Variant Scientist. I work on variant and gene curation for neurology panels and exome. ")</f>
        <v>Yes, I am employed as a Variant Scientist. I work on variant and gene curation for neurology panels and exome. </v>
      </c>
      <c r="AN54" s="183" t="str">
        <f>IFERROR(__xludf.DUMMYFUNCTION("QUERY('Volunteer Survey'!O53)"),"Yes")</f>
        <v>Yes</v>
      </c>
      <c r="AO54" s="183" t="str">
        <f>IFERROR(__xludf.DUMMYFUNCTION("QUERY('Volunteer Survey'!P53)"),"Autism and ID, Epilepsy, RASopathy, Pediatric, Neurodevelopmental")</f>
        <v>Autism and ID, Epilepsy, RASopathy, Pediatric, Neurodevelopmental</v>
      </c>
    </row>
    <row r="55" ht="20.25" customHeight="1">
      <c r="A55" s="50">
        <f>IFERROR(__xludf.DUMMYFUNCTION("QUERY('Volunteer Survey'!A60)"),43398.4188425926)</f>
        <v>43398.41884</v>
      </c>
      <c r="B55" s="48" t="s">
        <v>168</v>
      </c>
      <c r="C55" s="87">
        <v>43411.0</v>
      </c>
      <c r="D55" s="49">
        <v>43476.0</v>
      </c>
      <c r="E55" s="48" t="s">
        <v>117</v>
      </c>
      <c r="F55" s="48" t="s">
        <v>130</v>
      </c>
      <c r="G55" s="48" t="s">
        <v>136</v>
      </c>
      <c r="H55" s="51" t="s">
        <v>297</v>
      </c>
      <c r="I55" s="51" t="s">
        <v>139</v>
      </c>
      <c r="J55" s="56">
        <v>43592.0</v>
      </c>
      <c r="K55" s="56">
        <v>43713.0</v>
      </c>
      <c r="L55" s="55" t="str">
        <f>IFERROR(__xludf.DUMMYFUNCTION("QUERY('Volunteer Survey'!B60)"),"Stefan Rentas")</f>
        <v>Stefan Rentas</v>
      </c>
      <c r="M55" s="55" t="str">
        <f>IFERROR(__xludf.DUMMYFUNCTION("QUERY('Volunteer Survey'!E60)"),"rentass@email.chop.edu")</f>
        <v>rentass@email.chop.edu</v>
      </c>
      <c r="N55" s="55" t="str">
        <f>IFERROR(__xludf.DUMMYFUNCTION("QUERY('Volunteer Survey'!F60)"),"Post Doc/Resident/Fellow (MD and/or PhD)")</f>
        <v>Post Doc/Resident/Fellow (MD and/or PhD)</v>
      </c>
      <c r="O55" s="48" t="str">
        <f>IFERROR(__xludf.DUMMYFUNCTION("QUERY('Volunteer Survey'!H60)"),"Comprehensive")</f>
        <v>Comprehensive</v>
      </c>
      <c r="P55" s="55" t="str">
        <f>IFERROR(__xludf.DUMMYFUNCTION("QUERY('Volunteer Survey'!I60)"),"Somatic Cancer")</f>
        <v>Somatic Cancer</v>
      </c>
      <c r="Q55" s="60" t="str">
        <f>IFERROR(__xludf.DUMMYFUNCTION("QUERY('Volunteer Survey'!J60)"),"Dosage Sensitivity")</f>
        <v>Dosage Sensitivity</v>
      </c>
      <c r="R55" s="55" t="str">
        <f>IFERROR(__xludf.DUMMYFUNCTION("QUERY('Volunteer Survey'!K60)"),"Gene-Disease Validity")</f>
        <v>Gene-Disease Validity</v>
      </c>
      <c r="S55" s="55" t="str">
        <f>IFERROR(__xludf.DUMMYFUNCTION("QUERY('Volunteer Survey'!L60)"),"Variant Pathogenicity")</f>
        <v>Variant Pathogenicity</v>
      </c>
      <c r="T55" s="55" t="str">
        <f>IFERROR(__xludf.DUMMYFUNCTION("QUERY('Volunteer Survey'!M60)"),"Clinical Actionability")</f>
        <v>Clinical Actionability</v>
      </c>
      <c r="U55" s="64" t="str">
        <f>IFERROR(__xludf.DUMMYFUNCTION("QUERY('Volunteer Survey'!N60)"),"yes")</f>
        <v>yes</v>
      </c>
      <c r="V55" s="55" t="str">
        <f>IFERROR(__xludf.DUMMYFUNCTION("QUERY('Volunteer Survey'!O60)"),"Possibly")</f>
        <v>Possibly</v>
      </c>
      <c r="W55" s="66" t="str">
        <f>IFERROR(__xludf.DUMMYFUNCTION("QUERY('Volunteer Survey'!P60)"),"As a current trainee in laboratory genomics I think it would be a fantastic experience to get involved in the ClinGen community. I have interest in assisting and volunteering with the Hereditary Cancer Gene Curation Expert Panel, Somatic/Germline Variant "&amp;"Curation Group, Myeloid Malignancy Variant Curation Expert Panel, or the Dosage Sensitivity Curation team.")</f>
        <v>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v>
      </c>
      <c r="X55" s="64" t="str">
        <f>IFERROR(__xludf.DUMMYFUNCTION("QUERY('Volunteer Survey'!R60)"),"Maybe -- please contact me with other options, and I will decide based on what is available")</f>
        <v>Maybe -- please contact me with other options, and I will decide based on what is available</v>
      </c>
      <c r="Y55" s="92" t="s">
        <v>328</v>
      </c>
      <c r="Z55" s="182">
        <f>IFERROR(__xludf.DUMMYFUNCTION("QUERY('Volunteer Survey'!A54)"),43343.39832175926)</f>
        <v>43343.39832</v>
      </c>
      <c r="AA55" s="183" t="str">
        <f>IFERROR(__xludf.DUMMYFUNCTION("QUERY('Volunteer Survey'!B54)"),"Sameeha Shirwadkar")</f>
        <v>Sameeha Shirwadkar</v>
      </c>
      <c r="AB55" s="183" t="str">
        <f>IFERROR(__xludf.DUMMYFUNCTION("QUERY('Volunteer Survey'!C54)"),"NA")</f>
        <v>NA</v>
      </c>
      <c r="AC55" s="183" t="str">
        <f>IFERROR(__xludf.DUMMYFUNCTION("QUERY('Volunteer Survey'!D54)"),"India")</f>
        <v>India</v>
      </c>
      <c r="AD55" s="183" t="str">
        <f>IFERROR(__xludf.DUMMYFUNCTION("QUERY('Volunteer Survey'!E54)"),"sameeha9@gmail.com")</f>
        <v>sameeha9@gmail.com</v>
      </c>
      <c r="AE55" s="183" t="str">
        <f>IFERROR(__xludf.DUMMYFUNCTION("QUERY('Volunteer Survey'!F54)"),"Biocurator and Variant Analyst Scientist")</f>
        <v>Biocurator and Variant Analyst Scientist</v>
      </c>
      <c r="AF55" s="183" t="str">
        <f>IFERROR(__xludf.DUMMYFUNCTION("QUERY('Volunteer Survey'!G54)"),"NA")</f>
        <v>NA</v>
      </c>
      <c r="AG55" s="183" t="str">
        <f>IFERROR(__xludf.DUMMYFUNCTION("QUERY('Volunteer Survey'!H54)"),"Comprehensive")</f>
        <v>Comprehensive</v>
      </c>
      <c r="AH55" s="183" t="str">
        <f>IFERROR(__xludf.DUMMYFUNCTION("QUERY('Volunteer Survey'!I54)"),"Somatic Cancer")</f>
        <v>Somatic Cancer</v>
      </c>
      <c r="AI55" s="183" t="str">
        <f>IFERROR(__xludf.DUMMYFUNCTION("QUERY('Volunteer Survey'!J54)"),"Clinical Actionability")</f>
        <v>Clinical Actionability</v>
      </c>
      <c r="AJ55" s="183" t="str">
        <f>IFERROR(__xludf.DUMMYFUNCTION("QUERY('Volunteer Survey'!K54)"),"Variant Pathogenicity")</f>
        <v>Variant Pathogenicity</v>
      </c>
      <c r="AK55" s="183" t="str">
        <f>IFERROR(__xludf.DUMMYFUNCTION("QUERY('Volunteer Survey'!L54)"),"Gene-Disease Validity")</f>
        <v>Gene-Disease Validity</v>
      </c>
      <c r="AL55" s="183" t="str">
        <f>IFERROR(__xludf.DUMMYFUNCTION("QUERY('Volunteer Survey'!M54)"),"")</f>
        <v/>
      </c>
      <c r="AM55" s="183" t="str">
        <f>IFERROR(__xludf.DUMMYFUNCTION("QUERY('Volunteer Survey'!N54)"),"yes")</f>
        <v>yes</v>
      </c>
      <c r="AN55" s="183" t="str">
        <f>IFERROR(__xludf.DUMMYFUNCTION("QUERY('Volunteer Survey'!O54)"),"Yes")</f>
        <v>Yes</v>
      </c>
      <c r="AO55" s="183" t="str">
        <f>IFERROR(__xludf.DUMMYFUNCTION("QUERY('Volunteer Survey'!P54)"),"Somatic/Germline Variant Curation Group and TP53 Variant Curation Expert Panel")</f>
        <v>Somatic/Germline Variant Curation Group and TP53 Variant Curation Expert Panel</v>
      </c>
    </row>
    <row r="56">
      <c r="A56" s="50">
        <f>IFERROR(__xludf.DUMMYFUNCTION("QUERY('Volunteer Survey'!A61)"),43414.42046296297)</f>
        <v>43414.42046</v>
      </c>
      <c r="B56" s="48" t="s">
        <v>168</v>
      </c>
      <c r="C56" s="79">
        <v>43434.0</v>
      </c>
      <c r="D56" s="49"/>
      <c r="E56" s="48" t="s">
        <v>130</v>
      </c>
      <c r="F56" s="48" t="s">
        <v>130</v>
      </c>
      <c r="G56" s="48" t="s">
        <v>136</v>
      </c>
      <c r="H56" s="53"/>
      <c r="I56" s="51" t="s">
        <v>139</v>
      </c>
      <c r="J56" s="55"/>
      <c r="K56" s="55"/>
      <c r="L56" s="55" t="str">
        <f>IFERROR(__xludf.DUMMYFUNCTION("QUERY('Volunteer Survey'!B61)"),"Willonie Mendonca")</f>
        <v>Willonie Mendonca</v>
      </c>
      <c r="M56" s="55" t="str">
        <f>IFERROR(__xludf.DUMMYFUNCTION("QUERY('Volunteer Survey'!E61)"),"willonie@gmail.com")</f>
        <v>willonie@gmail.com</v>
      </c>
      <c r="N56" s="55" t="str">
        <f>IFERROR(__xludf.DUMMYFUNCTION("QUERY('Volunteer Survey'!F61)"),"Genetic counselor")</f>
        <v>Genetic counselor</v>
      </c>
      <c r="O56" s="48" t="str">
        <f>IFERROR(__xludf.DUMMYFUNCTION("QUERY('Volunteer Survey'!H61)"),"Comprehensive")</f>
        <v>Comprehensive</v>
      </c>
      <c r="P56" s="55" t="str">
        <f>IFERROR(__xludf.DUMMYFUNCTION("QUERY('Volunteer Survey'!I61)"),"Somatic Cancer")</f>
        <v>Somatic Cancer</v>
      </c>
      <c r="Q56" s="60" t="str">
        <f>IFERROR(__xludf.DUMMYFUNCTION("QUERY('Volunteer Survey'!J61)"),"Variant Pathogenicity")</f>
        <v>Variant Pathogenicity</v>
      </c>
      <c r="R56" s="55" t="str">
        <f>IFERROR(__xludf.DUMMYFUNCTION("QUERY('Volunteer Survey'!K61)"),"Clinical Actionability")</f>
        <v>Clinical Actionability</v>
      </c>
      <c r="S56" s="55" t="str">
        <f>IFERROR(__xludf.DUMMYFUNCTION("QUERY('Volunteer Survey'!L61)"),"Gene-Disease Validity")</f>
        <v>Gene-Disease Validity</v>
      </c>
      <c r="T56" s="55" t="str">
        <f>IFERROR(__xludf.DUMMYFUNCTION("QUERY('Volunteer Survey'!M61)"),"Dosage Sensitivity")</f>
        <v>Dosage Sensitivity</v>
      </c>
      <c r="U56" s="64" t="str">
        <f>IFERROR(__xludf.DUMMYFUNCTION("QUERY('Volunteer Survey'!N61)"),"yes")</f>
        <v>yes</v>
      </c>
      <c r="V56" s="55" t="str">
        <f>IFERROR(__xludf.DUMMYFUNCTION("QUERY('Volunteer Survey'!O61)"),"Possibly")</f>
        <v>Possibly</v>
      </c>
      <c r="W56" s="66" t="str">
        <f>IFERROR(__xludf.DUMMYFUNCTION("QUERY('Volunteer Survey'!P61)"),"Somatic cancer working groupHereditary cancer working group")</f>
        <v>Somatic cancer working groupHereditary cancer working group</v>
      </c>
      <c r="X56" s="64" t="str">
        <f>IFERROR(__xludf.DUMMYFUNCTION("QUERY('Volunteer Survey'!R61)"),"Maybe -- please contact me with other options, and I will decide based on what is available")</f>
        <v>Maybe -- please contact me with other options, and I will decide based on what is available</v>
      </c>
      <c r="Y56" s="53"/>
      <c r="Z56" s="182">
        <f>IFERROR(__xludf.DUMMYFUNCTION("QUERY('Volunteer Survey'!A55)"),43365.400613425925)</f>
        <v>43365.40061</v>
      </c>
      <c r="AA56" s="183" t="str">
        <f>IFERROR(__xludf.DUMMYFUNCTION("QUERY('Volunteer Survey'!B55)"),"Heather Williams")</f>
        <v>Heather Williams</v>
      </c>
      <c r="AB56" s="183" t="str">
        <f>IFERROR(__xludf.DUMMYFUNCTION("QUERY('Volunteer Survey'!C55)"),"King's College Hospital")</f>
        <v>King's College Hospital</v>
      </c>
      <c r="AC56" s="183" t="str">
        <f>IFERROR(__xludf.DUMMYFUNCTION("QUERY('Volunteer Survey'!D55)"),"London, UK")</f>
        <v>London, UK</v>
      </c>
      <c r="AD56" s="183" t="str">
        <f>IFERROR(__xludf.DUMMYFUNCTION("QUERY('Volunteer Survey'!E55)"),"heather.williams30@nhs.net")</f>
        <v>heather.williams30@nhs.net</v>
      </c>
      <c r="AE56" s="183" t="str">
        <f>IFERROR(__xludf.DUMMYFUNCTION("QUERY('Volunteer Survey'!F55)"),"Clinical laboratory geneticist")</f>
        <v>Clinical laboratory geneticist</v>
      </c>
      <c r="AF56" s="183" t="str">
        <f>IFERROR(__xludf.DUMMYFUNCTION("QUERY('Volunteer Survey'!G55)"),"NA")</f>
        <v>NA</v>
      </c>
      <c r="AG56" s="183" t="str">
        <f>IFERROR(__xludf.DUMMYFUNCTION("QUERY('Volunteer Survey'!H55)"),"Comprehensive")</f>
        <v>Comprehensive</v>
      </c>
      <c r="AH56" s="183" t="str">
        <f>IFERROR(__xludf.DUMMYFUNCTION("QUERY('Volunteer Survey'!I55)"),"Somatic Cancer")</f>
        <v>Somatic Cancer</v>
      </c>
      <c r="AI56" s="183" t="str">
        <f>IFERROR(__xludf.DUMMYFUNCTION("QUERY('Volunteer Survey'!J55)"),"Variant Pathogenicity")</f>
        <v>Variant Pathogenicity</v>
      </c>
      <c r="AJ56" s="183" t="str">
        <f>IFERROR(__xludf.DUMMYFUNCTION("QUERY('Volunteer Survey'!K55)"),"Clinical Actionability")</f>
        <v>Clinical Actionability</v>
      </c>
      <c r="AK56" s="183" t="str">
        <f>IFERROR(__xludf.DUMMYFUNCTION("QUERY('Volunteer Survey'!L55)"),"Gene-Disease Validity")</f>
        <v>Gene-Disease Validity</v>
      </c>
      <c r="AL56" s="183" t="str">
        <f>IFERROR(__xludf.DUMMYFUNCTION("QUERY('Volunteer Survey'!M55)"),"Dosage Sensitivity")</f>
        <v>Dosage Sensitivity</v>
      </c>
      <c r="AM56" s="183" t="str">
        <f>IFERROR(__xludf.DUMMYFUNCTION("QUERY('Volunteer Survey'!N55)"),"yes")</f>
        <v>yes</v>
      </c>
      <c r="AN56" s="183" t="str">
        <f>IFERROR(__xludf.DUMMYFUNCTION("QUERY('Volunteer Survey'!O55)"),"Yes")</f>
        <v>Yes</v>
      </c>
      <c r="AO56" s="183" t="str">
        <f>IFERROR(__xludf.DUMMYFUNCTION("QUERY('Volunteer Survey'!P55)"),"Myeloid Malignancy Variant Curation Expert Panel Somatic/Germline Variant Curation Group")</f>
        <v>Myeloid Malignancy Variant Curation Expert Panel Somatic/Germline Variant Curation Group</v>
      </c>
    </row>
    <row r="57" ht="18.75" customHeight="1">
      <c r="A57" s="50">
        <f>IFERROR(__xludf.DUMMYFUNCTION("QUERY('Volunteer Survey'!A62)"),43422.42162037037)</f>
        <v>43422.42162</v>
      </c>
      <c r="B57" s="48" t="s">
        <v>168</v>
      </c>
      <c r="C57" s="79">
        <v>43434.0</v>
      </c>
      <c r="D57" s="49">
        <v>43476.0</v>
      </c>
      <c r="E57" s="48" t="s">
        <v>117</v>
      </c>
      <c r="F57" s="48" t="s">
        <v>130</v>
      </c>
      <c r="G57" s="48" t="s">
        <v>136</v>
      </c>
      <c r="H57" s="51" t="s">
        <v>296</v>
      </c>
      <c r="I57" s="51" t="s">
        <v>139</v>
      </c>
      <c r="J57" s="56">
        <v>43592.0</v>
      </c>
      <c r="K57" s="48" t="s">
        <v>300</v>
      </c>
      <c r="L57" s="55" t="str">
        <f>IFERROR(__xludf.DUMMYFUNCTION("QUERY('Volunteer Survey'!B62)"),"Iman Haroun")</f>
        <v>Iman Haroun</v>
      </c>
      <c r="M57" s="55" t="str">
        <f>IFERROR(__xludf.DUMMYFUNCTION("QUERY('Volunteer Survey'!E62)"),"iman.haroun@readinghealth.org")</f>
        <v>iman.haroun@readinghealth.org</v>
      </c>
      <c r="N57" s="55" t="str">
        <f>IFERROR(__xludf.DUMMYFUNCTION("QUERY('Volunteer Survey'!F62)"),"Genetic counselor")</f>
        <v>Genetic counselor</v>
      </c>
      <c r="O57" s="48" t="str">
        <f>IFERROR(__xludf.DUMMYFUNCTION("QUERY('Volunteer Survey'!H62)"),"Comprehensive")</f>
        <v>Comprehensive</v>
      </c>
      <c r="P57" s="55" t="str">
        <f>IFERROR(__xludf.DUMMYFUNCTION("QUERY('Volunteer Survey'!I62)"),"Somatic Cancer")</f>
        <v>Somatic Cancer</v>
      </c>
      <c r="Q57" s="60" t="str">
        <f>IFERROR(__xludf.DUMMYFUNCTION("QUERY('Volunteer Survey'!J62)"),"Variant Pathogenicity")</f>
        <v>Variant Pathogenicity</v>
      </c>
      <c r="R57" s="55" t="str">
        <f>IFERROR(__xludf.DUMMYFUNCTION("QUERY('Volunteer Survey'!K62)"),"Gene-Disease Validity")</f>
        <v>Gene-Disease Validity</v>
      </c>
      <c r="S57" s="55" t="str">
        <f>IFERROR(__xludf.DUMMYFUNCTION("QUERY('Volunteer Survey'!L62)"),"Dosage Sensitivity")</f>
        <v>Dosage Sensitivity</v>
      </c>
      <c r="T57" s="55" t="str">
        <f>IFERROR(__xludf.DUMMYFUNCTION("QUERY('Volunteer Survey'!M62)"),"")</f>
        <v/>
      </c>
      <c r="U57" s="64" t="str">
        <f>IFERROR(__xludf.DUMMYFUNCTION("QUERY('Volunteer Survey'!N62)"),"No")</f>
        <v>No</v>
      </c>
      <c r="V57" s="55" t="str">
        <f>IFERROR(__xludf.DUMMYFUNCTION("QUERY('Volunteer Survey'!O62)"),"Possibly")</f>
        <v>Possibly</v>
      </c>
      <c r="W57" s="66" t="str">
        <f>IFERROR(__xludf.DUMMYFUNCTION("QUERY('Volunteer Survey'!P62)"),"Somatic Cancer, Pancreatic")</f>
        <v>Somatic Cancer, Pancreatic</v>
      </c>
      <c r="X57" s="64" t="str">
        <f>IFERROR(__xludf.DUMMYFUNCTION("QUERY('Volunteer Survey'!R62)"),"Yes- I am willing to volunteer with any available ClinGen group")</f>
        <v>Yes- I am willing to volunteer with any available ClinGen group</v>
      </c>
      <c r="Y57" s="53"/>
      <c r="Z57" s="182">
        <f>IFERROR(__xludf.DUMMYFUNCTION("QUERY('Volunteer Survey'!A56)"),43368.40216435185)</f>
        <v>43368.40216</v>
      </c>
      <c r="AA57" s="183" t="str">
        <f>IFERROR(__xludf.DUMMYFUNCTION("QUERY('Volunteer Survey'!B56)"),"Laura Richards")</f>
        <v>Laura Richards</v>
      </c>
      <c r="AB57" s="183" t="str">
        <f>IFERROR(__xludf.DUMMYFUNCTION("QUERY('Volunteer Survey'!C56)"),"University of Toronto / Princess Margaret Cancer Centre")</f>
        <v>University of Toronto / Princess Margaret Cancer Centre</v>
      </c>
      <c r="AC57" s="183" t="str">
        <f>IFERROR(__xludf.DUMMYFUNCTION("QUERY('Volunteer Survey'!D56)"),"Canada")</f>
        <v>Canada</v>
      </c>
      <c r="AD57" s="183" t="str">
        <f>IFERROR(__xludf.DUMMYFUNCTION("QUERY('Volunteer Survey'!E56)"),"lauram.richards@mail.utoronto.ca")</f>
        <v>lauram.richards@mail.utoronto.ca</v>
      </c>
      <c r="AE57" s="183" t="str">
        <f>IFERROR(__xludf.DUMMYFUNCTION("QUERY('Volunteer Survey'!F56)"),"Graduate Student")</f>
        <v>Graduate Student</v>
      </c>
      <c r="AF57" s="183" t="str">
        <f>IFERROR(__xludf.DUMMYFUNCTION("QUERY('Volunteer Survey'!G56)"),"NA")</f>
        <v>NA</v>
      </c>
      <c r="AG57" s="183" t="str">
        <f>IFERROR(__xludf.DUMMYFUNCTION("QUERY('Volunteer Survey'!H56)"),"Comprehensive")</f>
        <v>Comprehensive</v>
      </c>
      <c r="AH57" s="183" t="str">
        <f>IFERROR(__xludf.DUMMYFUNCTION("QUERY('Volunteer Survey'!I56)"),"Somatic Cancer")</f>
        <v>Somatic Cancer</v>
      </c>
      <c r="AI57" s="183" t="str">
        <f>IFERROR(__xludf.DUMMYFUNCTION("QUERY('Volunteer Survey'!J56)"),"Clinical Actionability")</f>
        <v>Clinical Actionability</v>
      </c>
      <c r="AJ57" s="183" t="str">
        <f>IFERROR(__xludf.DUMMYFUNCTION("QUERY('Volunteer Survey'!K56)"),"Variant Pathogenicity")</f>
        <v>Variant Pathogenicity</v>
      </c>
      <c r="AK57" s="183" t="str">
        <f>IFERROR(__xludf.DUMMYFUNCTION("QUERY('Volunteer Survey'!L56)"),"Gene-Disease Validity")</f>
        <v>Gene-Disease Validity</v>
      </c>
      <c r="AL57" s="183" t="str">
        <f>IFERROR(__xludf.DUMMYFUNCTION("QUERY('Volunteer Survey'!M56)"),"Dosage Sensitivity")</f>
        <v>Dosage Sensitivity</v>
      </c>
      <c r="AM57" s="183" t="str">
        <f>IFERROR(__xludf.DUMMYFUNCTION("QUERY('Volunteer Survey'!N56)"),"yes")</f>
        <v>yes</v>
      </c>
      <c r="AN57" s="183" t="str">
        <f>IFERROR(__xludf.DUMMYFUNCTION("QUERY('Volunteer Survey'!O56)"),"Yes")</f>
        <v>Yes</v>
      </c>
      <c r="AO57" s="183" t="str">
        <f>IFERROR(__xludf.DUMMYFUNCTION("QUERY('Volunteer Survey'!P56)"),"All expert panels in Hereditary Cancer CDWG")</f>
        <v>All expert panels in Hereditary Cancer CDWG</v>
      </c>
    </row>
    <row r="58">
      <c r="A58" s="50">
        <f>IFERROR(__xludf.DUMMYFUNCTION("QUERY('Volunteer Survey'!A63)"),43357.42855324074)</f>
        <v>43357.42855</v>
      </c>
      <c r="B58" s="48" t="s">
        <v>168</v>
      </c>
      <c r="C58" s="87">
        <v>43439.0</v>
      </c>
      <c r="D58" s="55"/>
      <c r="E58" s="48" t="s">
        <v>130</v>
      </c>
      <c r="F58" s="48" t="s">
        <v>130</v>
      </c>
      <c r="G58" s="48" t="s">
        <v>251</v>
      </c>
      <c r="H58" s="53"/>
      <c r="I58" s="51" t="s">
        <v>139</v>
      </c>
      <c r="J58" s="55"/>
      <c r="K58" s="55"/>
      <c r="L58" s="55" t="str">
        <f>IFERROR(__xludf.DUMMYFUNCTION("QUERY('Volunteer Survey'!B63)"),"Daniel Bellissimo")</f>
        <v>Daniel Bellissimo</v>
      </c>
      <c r="M58" s="55" t="str">
        <f>IFERROR(__xludf.DUMMYFUNCTION("QUERY('Volunteer Survey'!E63)"),"BELLISSIMOD@MAIL.MAGEE.EDU")</f>
        <v>BELLISSIMOD@MAIL.MAGEE.EDU</v>
      </c>
      <c r="N58" s="55" t="str">
        <f>IFERROR(__xludf.DUMMYFUNCTION("QUERY('Volunteer Survey'!F63)"),"Clinical laboratory geneticist")</f>
        <v>Clinical laboratory geneticist</v>
      </c>
      <c r="O58" s="48" t="str">
        <f>IFERROR(__xludf.DUMMYFUNCTION("QUERY('Volunteer Survey'!H63)"),"Comprehensive")</f>
        <v>Comprehensive</v>
      </c>
      <c r="P58" s="55" t="str">
        <f>IFERROR(__xludf.DUMMYFUNCTION("QUERY('Volunteer Survey'!I63)"),"Variant Pathogenicity")</f>
        <v>Variant Pathogenicity</v>
      </c>
      <c r="Q58" s="60" t="str">
        <f>IFERROR(__xludf.DUMMYFUNCTION("QUERY('Volunteer Survey'!J63)"),"Gene-Disease Validity")</f>
        <v>Gene-Disease Validity</v>
      </c>
      <c r="R58" s="55" t="str">
        <f>IFERROR(__xludf.DUMMYFUNCTION("QUERY('Volunteer Survey'!K63)"),"Clinical Actionability")</f>
        <v>Clinical Actionability</v>
      </c>
      <c r="S58" s="55" t="str">
        <f>IFERROR(__xludf.DUMMYFUNCTION("QUERY('Volunteer Survey'!L63)"),"Dosage Sensitivity")</f>
        <v>Dosage Sensitivity</v>
      </c>
      <c r="T58" s="55" t="str">
        <f>IFERROR(__xludf.DUMMYFUNCTION("QUERY('Volunteer Survey'!M63)"),"Somatic Cancer")</f>
        <v>Somatic Cancer</v>
      </c>
      <c r="U58" s="64" t="str">
        <f>IFERROR(__xludf.DUMMYFUNCTION("QUERY('Volunteer Survey'!N63)"),"yes")</f>
        <v>yes</v>
      </c>
      <c r="V58" s="55" t="str">
        <f>IFERROR(__xludf.DUMMYFUNCTION("QUERY('Volunteer Survey'!O63)"),"No")</f>
        <v>No</v>
      </c>
      <c r="W58" s="66" t="str">
        <f>IFERROR(__xludf.DUMMYFUNCTION("QUERY('Volunteer Survey'!P63)"),"I was told work groups were being formed for Platelet/Bleeding Disorders and VWD. I would be interested in those work groups.")</f>
        <v>I was told work groups were being formed for Platelet/Bleeding Disorders and VWD. I would be interested in those work groups.</v>
      </c>
      <c r="X58" s="64" t="str">
        <f>IFERROR(__xludf.DUMMYFUNCTION("QUERY('Volunteer Survey'!R63)"),"Maybe -- please contact me with other options, and I will decide based on what is available")</f>
        <v>Maybe -- please contact me with other options, and I will decide based on what is available</v>
      </c>
      <c r="Y58" s="53"/>
      <c r="Z58" s="182">
        <f>IFERROR(__xludf.DUMMYFUNCTION("QUERY('Volunteer Survey'!A57)"),43370.40420138889)</f>
        <v>43370.4042</v>
      </c>
      <c r="AA58" s="183" t="str">
        <f>IFERROR(__xludf.DUMMYFUNCTION("QUERY('Volunteer Survey'!B57)"),"Aysegul Ozanturk")</f>
        <v>Aysegul Ozanturk</v>
      </c>
      <c r="AB58" s="183" t="str">
        <f>IFERROR(__xludf.DUMMYFUNCTION("QUERY('Volunteer Survey'!C57)"),"Invitae")</f>
        <v>Invitae</v>
      </c>
      <c r="AC58" s="183" t="str">
        <f>IFERROR(__xludf.DUMMYFUNCTION("QUERY('Volunteer Survey'!D57)"),"MA")</f>
        <v>MA</v>
      </c>
      <c r="AD58" s="183" t="str">
        <f>IFERROR(__xludf.DUMMYFUNCTION("QUERY('Volunteer Survey'!E57)"),"aozanturk@gmail.com")</f>
        <v>aozanturk@gmail.com</v>
      </c>
      <c r="AE58" s="183" t="str">
        <f>IFERROR(__xludf.DUMMYFUNCTION("QUERY('Volunteer Survey'!F57)"),"Scientific Researcher, Variant Analyst/Scientist")</f>
        <v>Scientific Researcher, Variant Analyst/Scientist</v>
      </c>
      <c r="AF58" s="183" t="str">
        <f>IFERROR(__xludf.DUMMYFUNCTION("QUERY('Volunteer Survey'!G57)"),"NA")</f>
        <v>NA</v>
      </c>
      <c r="AG58" s="183" t="str">
        <f>IFERROR(__xludf.DUMMYFUNCTION("QUERY('Volunteer Survey'!H57)"),"Comprehensive")</f>
        <v>Comprehensive</v>
      </c>
      <c r="AH58" s="183" t="str">
        <f>IFERROR(__xludf.DUMMYFUNCTION("QUERY('Volunteer Survey'!I57)"),"Somatic Cancer")</f>
        <v>Somatic Cancer</v>
      </c>
      <c r="AI58" s="183" t="str">
        <f>IFERROR(__xludf.DUMMYFUNCTION("QUERY('Volunteer Survey'!J57)"),"Dosage Sensitivity")</f>
        <v>Dosage Sensitivity</v>
      </c>
      <c r="AJ58" s="183" t="str">
        <f>IFERROR(__xludf.DUMMYFUNCTION("QUERY('Volunteer Survey'!K57)"),"Clinical Actionability")</f>
        <v>Clinical Actionability</v>
      </c>
      <c r="AK58" s="183" t="str">
        <f>IFERROR(__xludf.DUMMYFUNCTION("QUERY('Volunteer Survey'!L57)"),"")</f>
        <v/>
      </c>
      <c r="AL58" s="183" t="str">
        <f>IFERROR(__xludf.DUMMYFUNCTION("QUERY('Volunteer Survey'!M57)"),"")</f>
        <v/>
      </c>
      <c r="AM58" s="183" t="str">
        <f>IFERROR(__xludf.DUMMYFUNCTION("QUERY('Volunteer Survey'!N57)"),"yes")</f>
        <v>yes</v>
      </c>
      <c r="AN58" s="183" t="str">
        <f>IFERROR(__xludf.DUMMYFUNCTION("QUERY('Volunteer Survey'!O57)"),"Possibly")</f>
        <v>Possibly</v>
      </c>
      <c r="AO58" s="183" t="str">
        <f>IFERROR(__xludf.DUMMYFUNCTION("QUERY('Volunteer Survey'!P57)"),"I would say mostly rare disorders. I have an expertise on ciliary disorders/ Syndromic IDs/ inborn error of metabolic disorders. Happy to share my resume.")</f>
        <v>I would say mostly rare disorders. I have an expertise on ciliary disorders/ Syndromic IDs/ inborn error of metabolic disorders. Happy to share my resume.</v>
      </c>
    </row>
    <row r="59">
      <c r="A59" s="50">
        <f>IFERROR(__xludf.DUMMYFUNCTION("QUERY('Volunteer Survey'!A64)"),43332.43167824074)</f>
        <v>43332.43168</v>
      </c>
      <c r="B59" s="48" t="s">
        <v>108</v>
      </c>
      <c r="C59" s="87">
        <v>43439.0</v>
      </c>
      <c r="D59" s="55"/>
      <c r="E59" s="48" t="s">
        <v>130</v>
      </c>
      <c r="F59" s="48" t="s">
        <v>130</v>
      </c>
      <c r="G59" s="48" t="s">
        <v>251</v>
      </c>
      <c r="H59" s="53"/>
      <c r="I59" s="51" t="s">
        <v>139</v>
      </c>
      <c r="J59" s="55"/>
      <c r="K59" s="55"/>
      <c r="L59" s="55" t="str">
        <f>IFERROR(__xludf.DUMMYFUNCTION("QUERY('Volunteer Survey'!B64)"),"Alexa Dickson ")</f>
        <v>Alexa Dickson </v>
      </c>
      <c r="M59" s="55" t="str">
        <f>IFERROR(__xludf.DUMMYFUNCTION("QUERY('Volunteer Survey'!E64)"),"alexa.dickson@aruplab.com")</f>
        <v>alexa.dickson@aruplab.com</v>
      </c>
      <c r="N59" s="55" t="str">
        <f>IFERROR(__xludf.DUMMYFUNCTION("QUERY('Volunteer Survey'!F64)"),"Clinical laboratory geneticist")</f>
        <v>Clinical laboratory geneticist</v>
      </c>
      <c r="O59" s="48" t="str">
        <f>IFERROR(__xludf.DUMMYFUNCTION("QUERY('Volunteer Survey'!H64)"),"Comprehensive")</f>
        <v>Comprehensive</v>
      </c>
      <c r="P59" s="55" t="str">
        <f>IFERROR(__xludf.DUMMYFUNCTION("QUERY('Volunteer Survey'!I64)"),"Variant Pathogenicity")</f>
        <v>Variant Pathogenicity</v>
      </c>
      <c r="Q59" s="60" t="str">
        <f>IFERROR(__xludf.DUMMYFUNCTION("QUERY('Volunteer Survey'!J64)"),"Gene-Disease Validity")</f>
        <v>Gene-Disease Validity</v>
      </c>
      <c r="R59" s="55" t="str">
        <f>IFERROR(__xludf.DUMMYFUNCTION("QUERY('Volunteer Survey'!K64)"),"Clinical Actionability")</f>
        <v>Clinical Actionability</v>
      </c>
      <c r="S59" s="55" t="str">
        <f>IFERROR(__xludf.DUMMYFUNCTION("QUERY('Volunteer Survey'!L64)"),"Dosage Sensitivity")</f>
        <v>Dosage Sensitivity</v>
      </c>
      <c r="T59" s="55" t="str">
        <f>IFERROR(__xludf.DUMMYFUNCTION("QUERY('Volunteer Survey'!M64)"),"Somatic Cancer")</f>
        <v>Somatic Cancer</v>
      </c>
      <c r="U59" s="64" t="str">
        <f>IFERROR(__xludf.DUMMYFUNCTION("QUERY('Volunteer Survey'!N64)"),"yes")</f>
        <v>yes</v>
      </c>
      <c r="V59" s="55" t="str">
        <f>IFERROR(__xludf.DUMMYFUNCTION("QUERY('Volunteer Survey'!O64)"),"Yes")</f>
        <v>Yes</v>
      </c>
      <c r="W59" s="66" t="str">
        <f>IFERROR(__xludf.DUMMYFUNCTION("QUERY('Volunteer Survey'!P64)"),"retinal disease working group")</f>
        <v>retinal disease working group</v>
      </c>
      <c r="X59" s="64" t="str">
        <f>IFERROR(__xludf.DUMMYFUNCTION("QUERY('Volunteer Survey'!R64)"),"Yes- I am willing to volunteer with any available ClinGen group")</f>
        <v>Yes- I am willing to volunteer with any available ClinGen group</v>
      </c>
      <c r="Y59" s="53"/>
      <c r="Z59" s="182">
        <f>IFERROR(__xludf.DUMMYFUNCTION("QUERY('Volunteer Survey'!A58)"),43382.413773148146)</f>
        <v>43382.41377</v>
      </c>
      <c r="AA59" s="183" t="str">
        <f>IFERROR(__xludf.DUMMYFUNCTION("QUERY('Volunteer Survey'!B58)"),"Kaylee Barber")</f>
        <v>Kaylee Barber</v>
      </c>
      <c r="AB59" s="183" t="str">
        <f>IFERROR(__xludf.DUMMYFUNCTION("QUERY('Volunteer Survey'!C58)"),"GenPath/BioReference")</f>
        <v>GenPath/BioReference</v>
      </c>
      <c r="AC59" s="183" t="str">
        <f>IFERROR(__xludf.DUMMYFUNCTION("QUERY('Volunteer Survey'!D58)"),"NJ")</f>
        <v>NJ</v>
      </c>
      <c r="AD59" s="183" t="str">
        <f>IFERROR(__xludf.DUMMYFUNCTION("QUERY('Volunteer Survey'!E58)"),"kbarber@bioreference.com")</f>
        <v>kbarber@bioreference.com</v>
      </c>
      <c r="AE59" s="183" t="str">
        <f>IFERROR(__xludf.DUMMYFUNCTION("QUERY('Volunteer Survey'!F58)"),"Genetic counselor")</f>
        <v>Genetic counselor</v>
      </c>
      <c r="AF59" s="183" t="str">
        <f>IFERROR(__xludf.DUMMYFUNCTION("QUERY('Volunteer Survey'!G58)"),"NA")</f>
        <v>NA</v>
      </c>
      <c r="AG59" s="183" t="str">
        <f>IFERROR(__xludf.DUMMYFUNCTION("QUERY('Volunteer Survey'!H58)"),"Comprehensive")</f>
        <v>Comprehensive</v>
      </c>
      <c r="AH59" s="183" t="str">
        <f>IFERROR(__xludf.DUMMYFUNCTION("QUERY('Volunteer Survey'!I58)"),"Somatic Cancer")</f>
        <v>Somatic Cancer</v>
      </c>
      <c r="AI59" s="183" t="str">
        <f>IFERROR(__xludf.DUMMYFUNCTION("QUERY('Volunteer Survey'!J58)"),"Clinical Actionability")</f>
        <v>Clinical Actionability</v>
      </c>
      <c r="AJ59" s="183" t="str">
        <f>IFERROR(__xludf.DUMMYFUNCTION("QUERY('Volunteer Survey'!K58)"),"Gene-Disease Validity")</f>
        <v>Gene-Disease Validity</v>
      </c>
      <c r="AK59" s="183" t="str">
        <f>IFERROR(__xludf.DUMMYFUNCTION("QUERY('Volunteer Survey'!L58)"),"")</f>
        <v/>
      </c>
      <c r="AL59" s="183" t="str">
        <f>IFERROR(__xludf.DUMMYFUNCTION("QUERY('Volunteer Survey'!M58)"),"")</f>
        <v/>
      </c>
      <c r="AM59" s="183" t="str">
        <f>IFERROR(__xludf.DUMMYFUNCTION("QUERY('Volunteer Survey'!N58)"),"yes")</f>
        <v>yes</v>
      </c>
      <c r="AN59" s="183" t="str">
        <f>IFERROR(__xludf.DUMMYFUNCTION("QUERY('Volunteer Survey'!O58)"),"Possibly")</f>
        <v>Possibly</v>
      </c>
      <c r="AO59" s="183" t="str">
        <f>IFERROR(__xludf.DUMMYFUNCTION("QUERY('Volunteer Survey'!P58)"),"Somatic Cancer Working Group, Somatic/Germline Variant Curation Group")</f>
        <v>Somatic Cancer Working Group, Somatic/Germline Variant Curation Group</v>
      </c>
    </row>
    <row r="60">
      <c r="A60" s="50">
        <f>IFERROR(__xludf.DUMMYFUNCTION("QUERY('Volunteer Survey'!A65)"),43334.433587962965)</f>
        <v>43334.43359</v>
      </c>
      <c r="B60" s="48" t="s">
        <v>168</v>
      </c>
      <c r="C60" s="87">
        <v>43439.0</v>
      </c>
      <c r="D60" s="65">
        <v>43605.0</v>
      </c>
      <c r="E60" s="48" t="s">
        <v>117</v>
      </c>
      <c r="F60" s="48" t="s">
        <v>117</v>
      </c>
      <c r="G60" s="48" t="s">
        <v>251</v>
      </c>
      <c r="H60" s="53"/>
      <c r="I60" s="51" t="s">
        <v>139</v>
      </c>
      <c r="J60" s="55"/>
      <c r="K60" s="55"/>
      <c r="L60" s="55" t="str">
        <f>IFERROR(__xludf.DUMMYFUNCTION("QUERY('Volunteer Survey'!B65)"),"Luke Drury")</f>
        <v>Luke Drury</v>
      </c>
      <c r="M60" s="55" t="str">
        <f>IFERROR(__xludf.DUMMYFUNCTION("QUERY('Volunteer Survey'!E65)"),"luke.drury@preventiongenetics.com")</f>
        <v>luke.drury@preventiongenetics.com</v>
      </c>
      <c r="N60" s="55" t="str">
        <f>IFERROR(__xludf.DUMMYFUNCTION("QUERY('Volunteer Survey'!F65)"),"Variant Analyst/Scientist")</f>
        <v>Variant Analyst/Scientist</v>
      </c>
      <c r="O60" s="48" t="str">
        <f>IFERROR(__xludf.DUMMYFUNCTION("QUERY('Volunteer Survey'!H65)"),"Comprehensive")</f>
        <v>Comprehensive</v>
      </c>
      <c r="P60" s="55" t="str">
        <f>IFERROR(__xludf.DUMMYFUNCTION("QUERY('Volunteer Survey'!I65)"),"Variant Pathogenicity")</f>
        <v>Variant Pathogenicity</v>
      </c>
      <c r="Q60" s="60" t="str">
        <f>IFERROR(__xludf.DUMMYFUNCTION("QUERY('Volunteer Survey'!J65)"),"Gene-Disease Validity")</f>
        <v>Gene-Disease Validity</v>
      </c>
      <c r="R60" s="55" t="str">
        <f>IFERROR(__xludf.DUMMYFUNCTION("QUERY('Volunteer Survey'!K65)"),"Clinical Actionability")</f>
        <v>Clinical Actionability</v>
      </c>
      <c r="S60" s="55" t="str">
        <f>IFERROR(__xludf.DUMMYFUNCTION("QUERY('Volunteer Survey'!L65)"),"Dosage Sensitivity")</f>
        <v>Dosage Sensitivity</v>
      </c>
      <c r="T60" s="55" t="str">
        <f>IFERROR(__xludf.DUMMYFUNCTION("QUERY('Volunteer Survey'!M65)"),"Somatic Cancer")</f>
        <v>Somatic Cancer</v>
      </c>
      <c r="U60" s="64" t="str">
        <f>IFERROR(__xludf.DUMMYFUNCTION("QUERY('Volunteer Survey'!N65)"),"yes")</f>
        <v>yes</v>
      </c>
      <c r="V60" s="55" t="str">
        <f>IFERROR(__xludf.DUMMYFUNCTION("QUERY('Volunteer Survey'!O65)"),"No")</f>
        <v>No</v>
      </c>
      <c r="W60" s="66" t="str">
        <f>IFERROR(__xludf.DUMMYFUNCTION("QUERY('Volunteer Survey'!P65)"),"any WG")</f>
        <v>any WG</v>
      </c>
      <c r="X60" s="64" t="str">
        <f>IFERROR(__xludf.DUMMYFUNCTION("QUERY('Volunteer Survey'!R65)"),"Maybe -- please contact me with other options, and I will decide based on what is available")</f>
        <v>Maybe -- please contact me with other options, and I will decide based on what is available</v>
      </c>
      <c r="Y60" s="53"/>
      <c r="Z60" s="182">
        <f>IFERROR(__xludf.DUMMYFUNCTION("QUERY('Volunteer Survey'!A59)"),43395.41673611111)</f>
        <v>43395.41674</v>
      </c>
      <c r="AA60" s="183" t="str">
        <f>IFERROR(__xludf.DUMMYFUNCTION("QUERY('Volunteer Survey'!B59)"),"Wan-Hsin Lin")</f>
        <v>Wan-Hsin Lin</v>
      </c>
      <c r="AB60" s="183" t="str">
        <f>IFERROR(__xludf.DUMMYFUNCTION("QUERY('Volunteer Survey'!C59)"),"Mayo Clinic")</f>
        <v>Mayo Clinic</v>
      </c>
      <c r="AC60" s="183" t="str">
        <f>IFERROR(__xludf.DUMMYFUNCTION("QUERY('Volunteer Survey'!D59)"),"Jacksonville, FL")</f>
        <v>Jacksonville, FL</v>
      </c>
      <c r="AD60" s="183" t="str">
        <f>IFERROR(__xludf.DUMMYFUNCTION("QUERY('Volunteer Survey'!E59)"),"lin.wanhsin@mayo.edu")</f>
        <v>lin.wanhsin@mayo.edu</v>
      </c>
      <c r="AE60" s="183" t="str">
        <f>IFERROR(__xludf.DUMMYFUNCTION("QUERY('Volunteer Survey'!F59)"),"Post Doc/Resident/Fellow (MD and/or PhD)")</f>
        <v>Post Doc/Resident/Fellow (MD and/or PhD)</v>
      </c>
      <c r="AF60" s="183" t="str">
        <f>IFERROR(__xludf.DUMMYFUNCTION("QUERY('Volunteer Survey'!G59)"),"NA")</f>
        <v>NA</v>
      </c>
      <c r="AG60" s="183" t="str">
        <f>IFERROR(__xludf.DUMMYFUNCTION("QUERY('Volunteer Survey'!H59)"),"Comprehensive")</f>
        <v>Comprehensive</v>
      </c>
      <c r="AH60" s="183" t="str">
        <f>IFERROR(__xludf.DUMMYFUNCTION("QUERY('Volunteer Survey'!I59)"),"Somatic Cancer")</f>
        <v>Somatic Cancer</v>
      </c>
      <c r="AI60" s="183" t="str">
        <f>IFERROR(__xludf.DUMMYFUNCTION("QUERY('Volunteer Survey'!J59)"),"Variant Pathogenicity")</f>
        <v>Variant Pathogenicity</v>
      </c>
      <c r="AJ60" s="183" t="str">
        <f>IFERROR(__xludf.DUMMYFUNCTION("QUERY('Volunteer Survey'!K59)"),"Clinical Actionability")</f>
        <v>Clinical Actionability</v>
      </c>
      <c r="AK60" s="183" t="str">
        <f>IFERROR(__xludf.DUMMYFUNCTION("QUERY('Volunteer Survey'!L59)"),"Gene-Disease Validity")</f>
        <v>Gene-Disease Validity</v>
      </c>
      <c r="AL60" s="183" t="str">
        <f>IFERROR(__xludf.DUMMYFUNCTION("QUERY('Volunteer Survey'!M59)"),"")</f>
        <v/>
      </c>
      <c r="AM60" s="183" t="str">
        <f>IFERROR(__xludf.DUMMYFUNCTION("QUERY('Volunteer Survey'!N59)"),"no")</f>
        <v>no</v>
      </c>
      <c r="AN60" s="183" t="str">
        <f>IFERROR(__xludf.DUMMYFUNCTION("QUERY('Volunteer Survey'!O59)"),"Possibly")</f>
        <v>Possibly</v>
      </c>
      <c r="AO60" s="183" t="str">
        <f>IFERROR(__xludf.DUMMYFUNCTION("QUERY('Volunteer Survey'!P59)"),"The Expert Panels/Working Groups that I am interested in are listed below. 1. ""Clinical Domain Working Groups""-Hereditary Cancer CDWG: Hereditary Cancer Gene Curation Expert Panel, Myeloid Malignancy Variant Curation Expert Panel, Somatic/Germline Varia"&amp;"nt Curation Group. 2. Gene Curation Working Group 3. Somatic Cancer Working Group")</f>
        <v>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v>
      </c>
    </row>
    <row r="61">
      <c r="A61" s="50">
        <f>IFERROR(__xludf.DUMMYFUNCTION("QUERY('Volunteer Survey'!A66)"),43336.43583333334)</f>
        <v>43336.43583</v>
      </c>
      <c r="B61" s="48" t="s">
        <v>160</v>
      </c>
      <c r="C61" s="87">
        <v>43439.0</v>
      </c>
      <c r="D61" s="65">
        <v>43605.0</v>
      </c>
      <c r="E61" s="48" t="s">
        <v>117</v>
      </c>
      <c r="F61" s="48" t="s">
        <v>117</v>
      </c>
      <c r="G61" s="48" t="s">
        <v>251</v>
      </c>
      <c r="H61" s="51" t="s">
        <v>248</v>
      </c>
      <c r="I61" s="51" t="s">
        <v>139</v>
      </c>
      <c r="J61" s="56">
        <v>43712.0</v>
      </c>
      <c r="K61" s="56"/>
      <c r="L61" s="55" t="str">
        <f>IFERROR(__xludf.DUMMYFUNCTION("QUERY('Volunteer Survey'!B66)"),"Lynne Rosenblum")</f>
        <v>Lynne Rosenblum</v>
      </c>
      <c r="M61" s="55" t="str">
        <f>IFERROR(__xludf.DUMMYFUNCTION("QUERY('Volunteer Survey'!E66)"),"lynne.rosenblum@integratedgenetics.com")</f>
        <v>lynne.rosenblum@integratedgenetics.com</v>
      </c>
      <c r="N61" s="55" t="str">
        <f>IFERROR(__xludf.DUMMYFUNCTION("QUERY('Volunteer Survey'!F66)"),"Clinical laboratory geneticist")</f>
        <v>Clinical laboratory geneticist</v>
      </c>
      <c r="O61" s="48" t="str">
        <f>IFERROR(__xludf.DUMMYFUNCTION("QUERY('Volunteer Survey'!H66)"),"Comprehensive")</f>
        <v>Comprehensive</v>
      </c>
      <c r="P61" s="55" t="str">
        <f>IFERROR(__xludf.DUMMYFUNCTION("QUERY('Volunteer Survey'!I66)"),"Variant Pathogenicity")</f>
        <v>Variant Pathogenicity</v>
      </c>
      <c r="Q61" s="60" t="str">
        <f>IFERROR(__xludf.DUMMYFUNCTION("QUERY('Volunteer Survey'!J66)"),"Clinical Actionability")</f>
        <v>Clinical Actionability</v>
      </c>
      <c r="R61" s="55" t="str">
        <f>IFERROR(__xludf.DUMMYFUNCTION("QUERY('Volunteer Survey'!K66)"),"Dosage Sensitivity")</f>
        <v>Dosage Sensitivity</v>
      </c>
      <c r="S61" s="55" t="str">
        <f>IFERROR(__xludf.DUMMYFUNCTION("QUERY('Volunteer Survey'!L66)"),"Gene-Disease Validity")</f>
        <v>Gene-Disease Validity</v>
      </c>
      <c r="T61" s="55" t="str">
        <f>IFERROR(__xludf.DUMMYFUNCTION("QUERY('Volunteer Survey'!M66)"),"Somatic Cancer")</f>
        <v>Somatic Cancer</v>
      </c>
      <c r="U61" s="64" t="str">
        <f>IFERROR(__xludf.DUMMYFUNCTION("QUERY('Volunteer Survey'!N66)"),"yes")</f>
        <v>yes</v>
      </c>
      <c r="V61" s="55" t="str">
        <f>IFERROR(__xludf.DUMMYFUNCTION("QUERY('Volunteer Survey'!O66)"),"Possibly")</f>
        <v>Possibly</v>
      </c>
      <c r="W61" s="66" t="str">
        <f>IFERROR(__xludf.DUMMYFUNCTION("QUERY('Volunteer Survey'!P66)"),"storage disease and somatic/germline working groups, but am open to other opportunities.")</f>
        <v>storage disease and somatic/germline working groups, but am open to other opportunities.</v>
      </c>
      <c r="X61" s="64" t="str">
        <f>IFERROR(__xludf.DUMMYFUNCTION("QUERY('Volunteer Survey'!R66)"),"Maybe -- please contact me with other options, and I will decide based on what is available")</f>
        <v>Maybe -- please contact me with other options, and I will decide based on what is available</v>
      </c>
      <c r="Y61" s="53"/>
      <c r="Z61" s="182">
        <f>IFERROR(__xludf.DUMMYFUNCTION("QUERY('Volunteer Survey'!A60)"),43398.4188425926)</f>
        <v>43398.41884</v>
      </c>
      <c r="AA61" s="183" t="str">
        <f>IFERROR(__xludf.DUMMYFUNCTION("QUERY('Volunteer Survey'!B60)"),"Stefan Rentas")</f>
        <v>Stefan Rentas</v>
      </c>
      <c r="AB61" s="183" t="str">
        <f>IFERROR(__xludf.DUMMYFUNCTION("QUERY('Volunteer Survey'!C60)"),"The Children's Hospital of Philadelphia")</f>
        <v>The Children's Hospital of Philadelphia</v>
      </c>
      <c r="AC61" s="183" t="str">
        <f>IFERROR(__xludf.DUMMYFUNCTION("QUERY('Volunteer Survey'!D60)"),"PA")</f>
        <v>PA</v>
      </c>
      <c r="AD61" s="183" t="str">
        <f>IFERROR(__xludf.DUMMYFUNCTION("QUERY('Volunteer Survey'!E60)"),"rentass@email.chop.edu")</f>
        <v>rentass@email.chop.edu</v>
      </c>
      <c r="AE61" s="183" t="str">
        <f>IFERROR(__xludf.DUMMYFUNCTION("QUERY('Volunteer Survey'!F60)"),"Post Doc/Resident/Fellow (MD and/or PhD)")</f>
        <v>Post Doc/Resident/Fellow (MD and/or PhD)</v>
      </c>
      <c r="AF61" s="183" t="str">
        <f>IFERROR(__xludf.DUMMYFUNCTION("QUERY('Volunteer Survey'!G60)"),"NA")</f>
        <v>NA</v>
      </c>
      <c r="AG61" s="183" t="str">
        <f>IFERROR(__xludf.DUMMYFUNCTION("QUERY('Volunteer Survey'!H60)"),"Comprehensive")</f>
        <v>Comprehensive</v>
      </c>
      <c r="AH61" s="183" t="str">
        <f>IFERROR(__xludf.DUMMYFUNCTION("QUERY('Volunteer Survey'!I60)"),"Somatic Cancer")</f>
        <v>Somatic Cancer</v>
      </c>
      <c r="AI61" s="183" t="str">
        <f>IFERROR(__xludf.DUMMYFUNCTION("QUERY('Volunteer Survey'!J60)"),"Dosage Sensitivity")</f>
        <v>Dosage Sensitivity</v>
      </c>
      <c r="AJ61" s="183" t="str">
        <f>IFERROR(__xludf.DUMMYFUNCTION("QUERY('Volunteer Survey'!K60)"),"Gene-Disease Validity")</f>
        <v>Gene-Disease Validity</v>
      </c>
      <c r="AK61" s="183" t="str">
        <f>IFERROR(__xludf.DUMMYFUNCTION("QUERY('Volunteer Survey'!L60)"),"Variant Pathogenicity")</f>
        <v>Variant Pathogenicity</v>
      </c>
      <c r="AL61" s="183" t="str">
        <f>IFERROR(__xludf.DUMMYFUNCTION("QUERY('Volunteer Survey'!M60)"),"Clinical Actionability")</f>
        <v>Clinical Actionability</v>
      </c>
      <c r="AM61" s="183" t="str">
        <f>IFERROR(__xludf.DUMMYFUNCTION("QUERY('Volunteer Survey'!N60)"),"yes")</f>
        <v>yes</v>
      </c>
      <c r="AN61" s="183" t="str">
        <f>IFERROR(__xludf.DUMMYFUNCTION("QUERY('Volunteer Survey'!O60)"),"Possibly")</f>
        <v>Possibly</v>
      </c>
      <c r="AO61" s="183" t="str">
        <f>IFERROR(__xludf.DUMMYFUNCTION("QUERY('Volunteer Survey'!P60)"),"As a current trainee in laboratory genomics I think it would be a fantastic experience to get involved in the ClinGen community. I have interest in assisting and volunteering with the Hereditary Cancer Gene Curation Expert Panel, Somatic/Germline Variant "&amp;"Curation Group, Myeloid Malignancy Variant Curation Expert Panel, or the Dosage Sensitivity Curation team.")</f>
        <v>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v>
      </c>
    </row>
    <row r="62">
      <c r="A62" s="50">
        <f>IFERROR(__xludf.DUMMYFUNCTION("QUERY('Volunteer Survey'!A67)"),43340.43892361112)</f>
        <v>43340.43892</v>
      </c>
      <c r="B62" s="48" t="s">
        <v>160</v>
      </c>
      <c r="C62" s="87">
        <v>43439.0</v>
      </c>
      <c r="D62" s="65">
        <v>43605.0</v>
      </c>
      <c r="E62" s="48" t="s">
        <v>117</v>
      </c>
      <c r="F62" s="48" t="s">
        <v>130</v>
      </c>
      <c r="G62" s="48" t="s">
        <v>251</v>
      </c>
      <c r="H62" s="51" t="s">
        <v>169</v>
      </c>
      <c r="I62" s="51" t="s">
        <v>139</v>
      </c>
      <c r="J62" s="56">
        <v>43712.0</v>
      </c>
      <c r="K62" s="56"/>
      <c r="L62" s="55" t="str">
        <f>IFERROR(__xludf.DUMMYFUNCTION("QUERY('Volunteer Survey'!B67)"),"Yang Wang")</f>
        <v>Yang Wang</v>
      </c>
      <c r="M62" s="55" t="str">
        <f>IFERROR(__xludf.DUMMYFUNCTION("QUERY('Volunteer Survey'!E67)"),"yangwangcmg@gmail.com")</f>
        <v>yangwangcmg@gmail.com</v>
      </c>
      <c r="N62" s="55" t="str">
        <f>IFERROR(__xludf.DUMMYFUNCTION("QUERY('Volunteer Survey'!F67)"),"Clinical laboratory geneticist")</f>
        <v>Clinical laboratory geneticist</v>
      </c>
      <c r="O62" s="48" t="str">
        <f>IFERROR(__xludf.DUMMYFUNCTION("QUERY('Volunteer Survey'!H67)"),"Comprehensive")</f>
        <v>Comprehensive</v>
      </c>
      <c r="P62" s="55" t="str">
        <f>IFERROR(__xludf.DUMMYFUNCTION("QUERY('Volunteer Survey'!I67)"),"Variant Pathogenicity")</f>
        <v>Variant Pathogenicity</v>
      </c>
      <c r="Q62" s="60" t="str">
        <f>IFERROR(__xludf.DUMMYFUNCTION("QUERY('Volunteer Survey'!J67)"),"Gene-Disease Validity")</f>
        <v>Gene-Disease Validity</v>
      </c>
      <c r="R62" s="55" t="str">
        <f>IFERROR(__xludf.DUMMYFUNCTION("QUERY('Volunteer Survey'!K67)"),"Clinical Actionability")</f>
        <v>Clinical Actionability</v>
      </c>
      <c r="S62" s="55" t="str">
        <f>IFERROR(__xludf.DUMMYFUNCTION("QUERY('Volunteer Survey'!L67)"),"Dosage Sensitivity")</f>
        <v>Dosage Sensitivity</v>
      </c>
      <c r="T62" s="55" t="str">
        <f>IFERROR(__xludf.DUMMYFUNCTION("QUERY('Volunteer Survey'!M67)"),"Somatic Cancer")</f>
        <v>Somatic Cancer</v>
      </c>
      <c r="U62" s="64" t="str">
        <f>IFERROR(__xludf.DUMMYFUNCTION("QUERY('Volunteer Survey'!N67)"),"yes")</f>
        <v>yes</v>
      </c>
      <c r="V62" s="55" t="str">
        <f>IFERROR(__xludf.DUMMYFUNCTION("QUERY('Volunteer Survey'!O67)"),"Possibly")</f>
        <v>Possibly</v>
      </c>
      <c r="W62" s="66" t="str">
        <f>IFERROR(__xludf.DUMMYFUNCTION("QUERY('Volunteer Survey'!P67)"),"hereditary cancer panel and inborn error of metabolism, if not a Baseline Biocurator")</f>
        <v>hereditary cancer panel and inborn error of metabolism, if not a Baseline Biocurator</v>
      </c>
      <c r="X62" s="64" t="str">
        <f>IFERROR(__xludf.DUMMYFUNCTION("QUERY('Volunteer Survey'!R67)"),"Yes- I am willing to volunteer with any available ClinGen group")</f>
        <v>Yes- I am willing to volunteer with any available ClinGen group</v>
      </c>
      <c r="Y62" s="53"/>
      <c r="Z62" s="182">
        <f>IFERROR(__xludf.DUMMYFUNCTION("QUERY('Volunteer Survey'!A61)"),43414.42046296297)</f>
        <v>43414.42046</v>
      </c>
      <c r="AA62" s="183" t="str">
        <f>IFERROR(__xludf.DUMMYFUNCTION("QUERY('Volunteer Survey'!B61)"),"Willonie Mendonca")</f>
        <v>Willonie Mendonca</v>
      </c>
      <c r="AB62" s="183" t="str">
        <f>IFERROR(__xludf.DUMMYFUNCTION("QUERY('Volunteer Survey'!C61)"),"Genedx/BioReference Labs")</f>
        <v>Genedx/BioReference Labs</v>
      </c>
      <c r="AC62" s="183" t="str">
        <f>IFERROR(__xludf.DUMMYFUNCTION("QUERY('Volunteer Survey'!D61)"),"Seattle, WA")</f>
        <v>Seattle, WA</v>
      </c>
      <c r="AD62" s="183" t="str">
        <f>IFERROR(__xludf.DUMMYFUNCTION("QUERY('Volunteer Survey'!E61)"),"willonie@gmail.com")</f>
        <v>willonie@gmail.com</v>
      </c>
      <c r="AE62" s="183" t="str">
        <f>IFERROR(__xludf.DUMMYFUNCTION("QUERY('Volunteer Survey'!F61)"),"Genetic counselor")</f>
        <v>Genetic counselor</v>
      </c>
      <c r="AF62" s="183" t="str">
        <f>IFERROR(__xludf.DUMMYFUNCTION("QUERY('Volunteer Survey'!G61)"),"NA")</f>
        <v>NA</v>
      </c>
      <c r="AG62" s="183" t="str">
        <f>IFERROR(__xludf.DUMMYFUNCTION("QUERY('Volunteer Survey'!H61)"),"Comprehensive")</f>
        <v>Comprehensive</v>
      </c>
      <c r="AH62" s="183" t="str">
        <f>IFERROR(__xludf.DUMMYFUNCTION("QUERY('Volunteer Survey'!I61)"),"Somatic Cancer")</f>
        <v>Somatic Cancer</v>
      </c>
      <c r="AI62" s="183" t="str">
        <f>IFERROR(__xludf.DUMMYFUNCTION("QUERY('Volunteer Survey'!J61)"),"Variant Pathogenicity")</f>
        <v>Variant Pathogenicity</v>
      </c>
      <c r="AJ62" s="183" t="str">
        <f>IFERROR(__xludf.DUMMYFUNCTION("QUERY('Volunteer Survey'!K61)"),"Clinical Actionability")</f>
        <v>Clinical Actionability</v>
      </c>
      <c r="AK62" s="183" t="str">
        <f>IFERROR(__xludf.DUMMYFUNCTION("QUERY('Volunteer Survey'!L61)"),"Gene-Disease Validity")</f>
        <v>Gene-Disease Validity</v>
      </c>
      <c r="AL62" s="183" t="str">
        <f>IFERROR(__xludf.DUMMYFUNCTION("QUERY('Volunteer Survey'!M61)"),"Dosage Sensitivity")</f>
        <v>Dosage Sensitivity</v>
      </c>
      <c r="AM62" s="183" t="str">
        <f>IFERROR(__xludf.DUMMYFUNCTION("QUERY('Volunteer Survey'!N61)"),"yes")</f>
        <v>yes</v>
      </c>
      <c r="AN62" s="183" t="str">
        <f>IFERROR(__xludf.DUMMYFUNCTION("QUERY('Volunteer Survey'!O61)"),"Possibly")</f>
        <v>Possibly</v>
      </c>
      <c r="AO62" s="183" t="str">
        <f>IFERROR(__xludf.DUMMYFUNCTION("QUERY('Volunteer Survey'!P61)"),"Somatic cancer working groupHereditary cancer working group")</f>
        <v>Somatic cancer working groupHereditary cancer working group</v>
      </c>
    </row>
    <row r="63">
      <c r="A63" s="95">
        <f>IFERROR(__xludf.DUMMYFUNCTION("QUERY('Volunteer Survey'!A68)"),43340.441666666666)</f>
        <v>43340.44167</v>
      </c>
      <c r="B63" s="82" t="s">
        <v>108</v>
      </c>
      <c r="C63" s="96">
        <v>43439.0</v>
      </c>
      <c r="D63" s="83">
        <v>43446.0</v>
      </c>
      <c r="E63" s="82" t="s">
        <v>117</v>
      </c>
      <c r="F63" s="82" t="s">
        <v>130</v>
      </c>
      <c r="G63" s="82" t="s">
        <v>122</v>
      </c>
      <c r="H63" s="84"/>
      <c r="I63" s="84" t="s">
        <v>299</v>
      </c>
      <c r="J63" s="85"/>
      <c r="K63" s="85"/>
      <c r="L63" s="85" t="str">
        <f>IFERROR(__xludf.DUMMYFUNCTION("QUERY('Volunteer Survey'!B68)"),"Elaine Spector ")</f>
        <v>Elaine Spector </v>
      </c>
      <c r="M63" s="85" t="str">
        <f>IFERROR(__xludf.DUMMYFUNCTION("QUERY('Volunteer Survey'!E68)"),"elaine.spector@childrenscolorado.org")</f>
        <v>elaine.spector@childrenscolorado.org</v>
      </c>
      <c r="N63" s="85" t="str">
        <f>IFERROR(__xludf.DUMMYFUNCTION("QUERY('Volunteer Survey'!F68)"),"Clinical laboratory geneticist")</f>
        <v>Clinical laboratory geneticist</v>
      </c>
      <c r="O63" s="82" t="str">
        <f>IFERROR(__xludf.DUMMYFUNCTION("QUERY('Volunteer Survey'!H68)"),"Comprehensive")</f>
        <v>Comprehensive</v>
      </c>
      <c r="P63" s="85" t="str">
        <f>IFERROR(__xludf.DUMMYFUNCTION("QUERY('Volunteer Survey'!I68)"),"Gene-Disease Validity")</f>
        <v>Gene-Disease Validity</v>
      </c>
      <c r="Q63" s="97" t="str">
        <f>IFERROR(__xludf.DUMMYFUNCTION("QUERY('Volunteer Survey'!J68)"),"Variant Pathogenicity")</f>
        <v>Variant Pathogenicity</v>
      </c>
      <c r="R63" s="85" t="str">
        <f>IFERROR(__xludf.DUMMYFUNCTION("QUERY('Volunteer Survey'!K68)"),"Clinical Actionability")</f>
        <v>Clinical Actionability</v>
      </c>
      <c r="S63" s="85" t="str">
        <f>IFERROR(__xludf.DUMMYFUNCTION("QUERY('Volunteer Survey'!L68)"),"Dosage Sensitivity")</f>
        <v>Dosage Sensitivity</v>
      </c>
      <c r="T63" s="85" t="str">
        <f>IFERROR(__xludf.DUMMYFUNCTION("QUERY('Volunteer Survey'!M68)"),"Somatic Cancer")</f>
        <v>Somatic Cancer</v>
      </c>
      <c r="U63" s="98" t="str">
        <f>IFERROR(__xludf.DUMMYFUNCTION("QUERY('Volunteer Survey'!N68)"),"yes")</f>
        <v>yes</v>
      </c>
      <c r="V63" s="85" t="str">
        <f>IFERROR(__xludf.DUMMYFUNCTION("QUERY('Volunteer Survey'!O68)"),"")</f>
        <v/>
      </c>
      <c r="W63" s="99" t="str">
        <f>IFERROR(__xludf.DUMMYFUNCTION("QUERY('Volunteer Survey'!P68)"),"Inborn Errors of Metabolism Clinical Domain Working Group . Amino Acid and Fatty Acid Working Groups.")</f>
        <v>Inborn Errors of Metabolism Clinical Domain Working Group . Amino Acid and Fatty Acid Working Groups.</v>
      </c>
      <c r="X63" s="98" t="str">
        <f>IFERROR(__xludf.DUMMYFUNCTION("QUERY('Volunteer Survey'!R68)"),"Yes- I am willing to volunteer with any available ClinGen group")</f>
        <v>Yes- I am willing to volunteer with any available ClinGen group</v>
      </c>
      <c r="Y63" s="100"/>
      <c r="Z63" s="182">
        <f>IFERROR(__xludf.DUMMYFUNCTION("QUERY('Volunteer Survey'!A62)"),43422.42162037037)</f>
        <v>43422.42162</v>
      </c>
      <c r="AA63" s="183" t="str">
        <f>IFERROR(__xludf.DUMMYFUNCTION("QUERY('Volunteer Survey'!B62)"),"Iman Haroun")</f>
        <v>Iman Haroun</v>
      </c>
      <c r="AB63" s="183" t="str">
        <f>IFERROR(__xludf.DUMMYFUNCTION("QUERY('Volunteer Survey'!C62)"),"Reading Hospital")</f>
        <v>Reading Hospital</v>
      </c>
      <c r="AC63" s="183" t="str">
        <f>IFERROR(__xludf.DUMMYFUNCTION("QUERY('Volunteer Survey'!D62)"),"PA")</f>
        <v>PA</v>
      </c>
      <c r="AD63" s="183" t="str">
        <f>IFERROR(__xludf.DUMMYFUNCTION("QUERY('Volunteer Survey'!E62)"),"iman.haroun@readinghealth.org")</f>
        <v>iman.haroun@readinghealth.org</v>
      </c>
      <c r="AE63" s="183" t="str">
        <f>IFERROR(__xludf.DUMMYFUNCTION("QUERY('Volunteer Survey'!F62)"),"Genetic counselor")</f>
        <v>Genetic counselor</v>
      </c>
      <c r="AF63" s="183" t="str">
        <f>IFERROR(__xludf.DUMMYFUNCTION("QUERY('Volunteer Survey'!G62)"),"NA")</f>
        <v>NA</v>
      </c>
      <c r="AG63" s="183" t="str">
        <f>IFERROR(__xludf.DUMMYFUNCTION("QUERY('Volunteer Survey'!H62)"),"Comprehensive")</f>
        <v>Comprehensive</v>
      </c>
      <c r="AH63" s="183" t="str">
        <f>IFERROR(__xludf.DUMMYFUNCTION("QUERY('Volunteer Survey'!I62)"),"Somatic Cancer")</f>
        <v>Somatic Cancer</v>
      </c>
      <c r="AI63" s="183" t="str">
        <f>IFERROR(__xludf.DUMMYFUNCTION("QUERY('Volunteer Survey'!J62)"),"Variant Pathogenicity")</f>
        <v>Variant Pathogenicity</v>
      </c>
      <c r="AJ63" s="183" t="str">
        <f>IFERROR(__xludf.DUMMYFUNCTION("QUERY('Volunteer Survey'!K62)"),"Gene-Disease Validity")</f>
        <v>Gene-Disease Validity</v>
      </c>
      <c r="AK63" s="183" t="str">
        <f>IFERROR(__xludf.DUMMYFUNCTION("QUERY('Volunteer Survey'!L62)"),"Dosage Sensitivity")</f>
        <v>Dosage Sensitivity</v>
      </c>
      <c r="AL63" s="183" t="str">
        <f>IFERROR(__xludf.DUMMYFUNCTION("QUERY('Volunteer Survey'!M62)"),"")</f>
        <v/>
      </c>
      <c r="AM63" s="183" t="str">
        <f>IFERROR(__xludf.DUMMYFUNCTION("QUERY('Volunteer Survey'!N62)"),"No")</f>
        <v>No</v>
      </c>
      <c r="AN63" s="183" t="str">
        <f>IFERROR(__xludf.DUMMYFUNCTION("QUERY('Volunteer Survey'!O62)"),"Possibly")</f>
        <v>Possibly</v>
      </c>
      <c r="AO63" s="183" t="str">
        <f>IFERROR(__xludf.DUMMYFUNCTION("QUERY('Volunteer Survey'!P62)"),"Somatic Cancer, Pancreatic")</f>
        <v>Somatic Cancer, Pancreatic</v>
      </c>
    </row>
    <row r="64">
      <c r="A64" s="50">
        <f>IFERROR(__xludf.DUMMYFUNCTION("QUERY('Volunteer Survey'!A69)"),43349.4431712963)</f>
        <v>43349.44317</v>
      </c>
      <c r="B64" s="48" t="s">
        <v>168</v>
      </c>
      <c r="C64" s="87">
        <v>43439.0</v>
      </c>
      <c r="D64" s="55"/>
      <c r="E64" s="48" t="s">
        <v>130</v>
      </c>
      <c r="F64" s="48" t="s">
        <v>130</v>
      </c>
      <c r="G64" s="48" t="s">
        <v>251</v>
      </c>
      <c r="H64" s="53"/>
      <c r="I64" s="53"/>
      <c r="J64" s="55"/>
      <c r="K64" s="55"/>
      <c r="L64" s="55" t="str">
        <f>IFERROR(__xludf.DUMMYFUNCTION("QUERY('Volunteer Survey'!B69)"),"Samya Chakravorty")</f>
        <v>Samya Chakravorty</v>
      </c>
      <c r="M64" s="55" t="str">
        <f>IFERROR(__xludf.DUMMYFUNCTION("QUERY('Volunteer Survey'!E69)"),"samya.chakravorty@emory.edu")</f>
        <v>samya.chakravorty@emory.edu</v>
      </c>
      <c r="N64" s="55" t="str">
        <f>IFERROR(__xludf.DUMMYFUNCTION("QUERY('Volunteer Survey'!F69)"),"Post Doc/Resident/Fellow (MD and/or PhD)")</f>
        <v>Post Doc/Resident/Fellow (MD and/or PhD)</v>
      </c>
      <c r="O64" s="48" t="str">
        <f>IFERROR(__xludf.DUMMYFUNCTION("QUERY('Volunteer Survey'!H69)"),"Comprehensive")</f>
        <v>Comprehensive</v>
      </c>
      <c r="P64" s="55" t="str">
        <f>IFERROR(__xludf.DUMMYFUNCTION("QUERY('Volunteer Survey'!I69)"),"Variant Pathogenicity")</f>
        <v>Variant Pathogenicity</v>
      </c>
      <c r="Q64" s="60" t="str">
        <f>IFERROR(__xludf.DUMMYFUNCTION("QUERY('Volunteer Survey'!J69)"),"Gene-Disease Validity")</f>
        <v>Gene-Disease Validity</v>
      </c>
      <c r="R64" s="55" t="str">
        <f>IFERROR(__xludf.DUMMYFUNCTION("QUERY('Volunteer Survey'!K69)"),"Dosage Sensitivity")</f>
        <v>Dosage Sensitivity</v>
      </c>
      <c r="S64" s="55" t="str">
        <f>IFERROR(__xludf.DUMMYFUNCTION("QUERY('Volunteer Survey'!L69)"),"Somatic Cancer")</f>
        <v>Somatic Cancer</v>
      </c>
      <c r="T64" s="55" t="str">
        <f>IFERROR(__xludf.DUMMYFUNCTION("QUERY('Volunteer Survey'!M69)"),"Clinical Actionability")</f>
        <v>Clinical Actionability</v>
      </c>
      <c r="U64" s="64" t="str">
        <f>IFERROR(__xludf.DUMMYFUNCTION("QUERY('Volunteer Survey'!N69)"),"yes")</f>
        <v>yes</v>
      </c>
      <c r="V64" s="55" t="str">
        <f>IFERROR(__xludf.DUMMYFUNCTION("QUERY('Volunteer Survey'!O69)"),"Yes")</f>
        <v>Yes</v>
      </c>
      <c r="W64" s="66" t="str">
        <f>IFERROR(__xludf.DUMMYFUNCTION("QUERY('Volunteer Survey'!P69)"),"1. Storage Diseases Variant Curation Expert Panel 2. Epilepsy Gene Curation Expert Panel 3. Cardiovascular Dilated Cardiomyopathy Gene Curation Expert Panel")</f>
        <v>1. Storage Diseases Variant Curation Expert Panel 2. Epilepsy Gene Curation Expert Panel 3. Cardiovascular Dilated Cardiomyopathy Gene Curation Expert Panel</v>
      </c>
      <c r="X64" s="64" t="str">
        <f>IFERROR(__xludf.DUMMYFUNCTION("QUERY('Volunteer Survey'!R69)"),"Maybe -- please contact me with other options, and I will decide based on what is available")</f>
        <v>Maybe -- please contact me with other options, and I will decide based on what is available</v>
      </c>
      <c r="Y64" s="53"/>
      <c r="Z64" s="182">
        <f>IFERROR(__xludf.DUMMYFUNCTION("QUERY('Volunteer Survey'!A63)"),43357.42855324074)</f>
        <v>43357.42855</v>
      </c>
      <c r="AA64" s="183" t="str">
        <f>IFERROR(__xludf.DUMMYFUNCTION("QUERY('Volunteer Survey'!B63)"),"Daniel Bellissimo")</f>
        <v>Daniel Bellissimo</v>
      </c>
      <c r="AB64" s="183" t="str">
        <f>IFERROR(__xludf.DUMMYFUNCTION("QUERY('Volunteer Survey'!C63)"),"University of Pittsburgh  ")</f>
        <v>University of Pittsburgh  </v>
      </c>
      <c r="AC64" s="183" t="str">
        <f>IFERROR(__xludf.DUMMYFUNCTION("QUERY('Volunteer Survey'!D63)"),"PA")</f>
        <v>PA</v>
      </c>
      <c r="AD64" s="183" t="str">
        <f>IFERROR(__xludf.DUMMYFUNCTION("QUERY('Volunteer Survey'!E63)"),"BELLISSIMOD@MAIL.MAGEE.EDU")</f>
        <v>BELLISSIMOD@MAIL.MAGEE.EDU</v>
      </c>
      <c r="AE64" s="183" t="str">
        <f>IFERROR(__xludf.DUMMYFUNCTION("QUERY('Volunteer Survey'!F63)"),"Clinical laboratory geneticist")</f>
        <v>Clinical laboratory geneticist</v>
      </c>
      <c r="AF64" s="183" t="str">
        <f>IFERROR(__xludf.DUMMYFUNCTION("QUERY('Volunteer Survey'!G63)"),"n/a")</f>
        <v>n/a</v>
      </c>
      <c r="AG64" s="183" t="str">
        <f>IFERROR(__xludf.DUMMYFUNCTION("QUERY('Volunteer Survey'!H63)"),"Comprehensive")</f>
        <v>Comprehensive</v>
      </c>
      <c r="AH64" s="183" t="str">
        <f>IFERROR(__xludf.DUMMYFUNCTION("QUERY('Volunteer Survey'!I63)"),"Variant Pathogenicity")</f>
        <v>Variant Pathogenicity</v>
      </c>
      <c r="AI64" s="183" t="str">
        <f>IFERROR(__xludf.DUMMYFUNCTION("QUERY('Volunteer Survey'!J63)"),"Gene-Disease Validity")</f>
        <v>Gene-Disease Validity</v>
      </c>
      <c r="AJ64" s="183" t="str">
        <f>IFERROR(__xludf.DUMMYFUNCTION("QUERY('Volunteer Survey'!K63)"),"Clinical Actionability")</f>
        <v>Clinical Actionability</v>
      </c>
      <c r="AK64" s="183" t="str">
        <f>IFERROR(__xludf.DUMMYFUNCTION("QUERY('Volunteer Survey'!L63)"),"Dosage Sensitivity")</f>
        <v>Dosage Sensitivity</v>
      </c>
      <c r="AL64" s="183" t="str">
        <f>IFERROR(__xludf.DUMMYFUNCTION("QUERY('Volunteer Survey'!M63)"),"Somatic Cancer")</f>
        <v>Somatic Cancer</v>
      </c>
      <c r="AM64" s="183" t="str">
        <f>IFERROR(__xludf.DUMMYFUNCTION("QUERY('Volunteer Survey'!N63)"),"yes")</f>
        <v>yes</v>
      </c>
      <c r="AN64" s="183" t="str">
        <f>IFERROR(__xludf.DUMMYFUNCTION("QUERY('Volunteer Survey'!O63)"),"No")</f>
        <v>No</v>
      </c>
      <c r="AO64" s="183" t="str">
        <f>IFERROR(__xludf.DUMMYFUNCTION("QUERY('Volunteer Survey'!P63)"),"I was told work groups were being formed for Platelet/Bleeding Disorders and VWD. I would be interested in those work groups.")</f>
        <v>I was told work groups were being formed for Platelet/Bleeding Disorders and VWD. I would be interested in those work groups.</v>
      </c>
    </row>
    <row r="65">
      <c r="A65" s="50">
        <f>IFERROR(__xludf.DUMMYFUNCTION("QUERY('Volunteer Survey'!A70)"),43362.44483796296)</f>
        <v>43362.44484</v>
      </c>
      <c r="B65" s="48" t="s">
        <v>168</v>
      </c>
      <c r="C65" s="87">
        <v>43439.0</v>
      </c>
      <c r="D65" s="55"/>
      <c r="E65" s="48" t="s">
        <v>130</v>
      </c>
      <c r="F65" s="48" t="s">
        <v>130</v>
      </c>
      <c r="G65" s="48" t="s">
        <v>251</v>
      </c>
      <c r="H65" s="53"/>
      <c r="I65" s="51" t="s">
        <v>139</v>
      </c>
      <c r="J65" s="55"/>
      <c r="K65" s="55"/>
      <c r="L65" s="55" t="str">
        <f>IFERROR(__xludf.DUMMYFUNCTION("QUERY('Volunteer Survey'!B70)"),"Marco Leung")</f>
        <v>Marco Leung</v>
      </c>
      <c r="M65" s="55" t="str">
        <f>IFERROR(__xludf.DUMMYFUNCTION("QUERY('Volunteer Survey'!E70)"),"leungm@email.chop.edu")</f>
        <v>leungm@email.chop.edu</v>
      </c>
      <c r="N65" s="55" t="str">
        <f>IFERROR(__xludf.DUMMYFUNCTION("QUERY('Volunteer Survey'!F70)"),"Clinical laboratory geneticist")</f>
        <v>Clinical laboratory geneticist</v>
      </c>
      <c r="O65" s="48" t="str">
        <f>IFERROR(__xludf.DUMMYFUNCTION("QUERY('Volunteer Survey'!H70)"),"Comprehensive")</f>
        <v>Comprehensive</v>
      </c>
      <c r="P65" s="55" t="str">
        <f>IFERROR(__xludf.DUMMYFUNCTION("QUERY('Volunteer Survey'!I70)"),"Variant Pathogenicity")</f>
        <v>Variant Pathogenicity</v>
      </c>
      <c r="Q65" s="60" t="str">
        <f>IFERROR(__xludf.DUMMYFUNCTION("QUERY('Volunteer Survey'!J70)"),"Gene-Disease Validity")</f>
        <v>Gene-Disease Validity</v>
      </c>
      <c r="R65" s="55" t="str">
        <f>IFERROR(__xludf.DUMMYFUNCTION("QUERY('Volunteer Survey'!K70)"),"Dosage Sensitivity")</f>
        <v>Dosage Sensitivity</v>
      </c>
      <c r="S65" s="55" t="str">
        <f>IFERROR(__xludf.DUMMYFUNCTION("QUERY('Volunteer Survey'!L70)"),"Clinical Actionability")</f>
        <v>Clinical Actionability</v>
      </c>
      <c r="T65" s="55" t="str">
        <f>IFERROR(__xludf.DUMMYFUNCTION("QUERY('Volunteer Survey'!M70)"),"Somatic Cancer")</f>
        <v>Somatic Cancer</v>
      </c>
      <c r="U65" s="64" t="str">
        <f>IFERROR(__xludf.DUMMYFUNCTION("QUERY('Volunteer Survey'!N70)"),"yes")</f>
        <v>yes</v>
      </c>
      <c r="V65" s="55" t="str">
        <f>IFERROR(__xludf.DUMMYFUNCTION("QUERY('Volunteer Survey'!O70)"),"Yes")</f>
        <v>Yes</v>
      </c>
      <c r="W65" s="66" t="str">
        <f>IFERROR(__xludf.DUMMYFUNCTION("QUERY('Volunteer Survey'!P70)"),"Hereditary cancers; neurodevelopmental disorders; polivy making")</f>
        <v>Hereditary cancers; neurodevelopmental disorders; polivy making</v>
      </c>
      <c r="X65" s="64" t="str">
        <f>IFERROR(__xludf.DUMMYFUNCTION("QUERY('Volunteer Survey'!R70)"),"Yes- I am willing to volunteer with any available ClinGen group")</f>
        <v>Yes- I am willing to volunteer with any available ClinGen group</v>
      </c>
      <c r="Y65" s="53"/>
      <c r="Z65" s="182">
        <f>IFERROR(__xludf.DUMMYFUNCTION("QUERY('Volunteer Survey'!A64)"),43332.43167824074)</f>
        <v>43332.43168</v>
      </c>
      <c r="AA65" s="183" t="str">
        <f>IFERROR(__xludf.DUMMYFUNCTION("QUERY('Volunteer Survey'!B64)"),"Alexa Dickson ")</f>
        <v>Alexa Dickson </v>
      </c>
      <c r="AB65" s="183" t="str">
        <f>IFERROR(__xludf.DUMMYFUNCTION("QUERY('Volunteer Survey'!C64)"),"ARUP Laboratories")</f>
        <v>ARUP Laboratories</v>
      </c>
      <c r="AC65" s="183" t="str">
        <f>IFERROR(__xludf.DUMMYFUNCTION("QUERY('Volunteer Survey'!D64)"),"MO")</f>
        <v>MO</v>
      </c>
      <c r="AD65" s="183" t="str">
        <f>IFERROR(__xludf.DUMMYFUNCTION("QUERY('Volunteer Survey'!E64)"),"alexa.dickson@aruplab.com")</f>
        <v>alexa.dickson@aruplab.com</v>
      </c>
      <c r="AE65" s="183" t="str">
        <f>IFERROR(__xludf.DUMMYFUNCTION("QUERY('Volunteer Survey'!F64)"),"Clinical laboratory geneticist")</f>
        <v>Clinical laboratory geneticist</v>
      </c>
      <c r="AF65" s="183" t="str">
        <f>IFERROR(__xludf.DUMMYFUNCTION("QUERY('Volunteer Survey'!G64)"),"n/a")</f>
        <v>n/a</v>
      </c>
      <c r="AG65" s="183" t="str">
        <f>IFERROR(__xludf.DUMMYFUNCTION("QUERY('Volunteer Survey'!H64)"),"Comprehensive")</f>
        <v>Comprehensive</v>
      </c>
      <c r="AH65" s="183" t="str">
        <f>IFERROR(__xludf.DUMMYFUNCTION("QUERY('Volunteer Survey'!I64)"),"Variant Pathogenicity")</f>
        <v>Variant Pathogenicity</v>
      </c>
      <c r="AI65" s="183" t="str">
        <f>IFERROR(__xludf.DUMMYFUNCTION("QUERY('Volunteer Survey'!J64)"),"Gene-Disease Validity")</f>
        <v>Gene-Disease Validity</v>
      </c>
      <c r="AJ65" s="183" t="str">
        <f>IFERROR(__xludf.DUMMYFUNCTION("QUERY('Volunteer Survey'!K64)"),"Clinical Actionability")</f>
        <v>Clinical Actionability</v>
      </c>
      <c r="AK65" s="183" t="str">
        <f>IFERROR(__xludf.DUMMYFUNCTION("QUERY('Volunteer Survey'!L64)"),"Dosage Sensitivity")</f>
        <v>Dosage Sensitivity</v>
      </c>
      <c r="AL65" s="183" t="str">
        <f>IFERROR(__xludf.DUMMYFUNCTION("QUERY('Volunteer Survey'!M64)"),"Somatic Cancer")</f>
        <v>Somatic Cancer</v>
      </c>
      <c r="AM65" s="183" t="str">
        <f>IFERROR(__xludf.DUMMYFUNCTION("QUERY('Volunteer Survey'!N64)"),"yes")</f>
        <v>yes</v>
      </c>
      <c r="AN65" s="183" t="str">
        <f>IFERROR(__xludf.DUMMYFUNCTION("QUERY('Volunteer Survey'!O64)"),"Yes")</f>
        <v>Yes</v>
      </c>
      <c r="AO65" s="183" t="str">
        <f>IFERROR(__xludf.DUMMYFUNCTION("QUERY('Volunteer Survey'!P64)"),"retinal disease working group")</f>
        <v>retinal disease working group</v>
      </c>
    </row>
    <row r="66">
      <c r="A66" s="50">
        <f>IFERROR(__xludf.DUMMYFUNCTION("QUERY('Volunteer Survey'!A71)"),43364.44614583333)</f>
        <v>43364.44615</v>
      </c>
      <c r="B66" s="48" t="s">
        <v>168</v>
      </c>
      <c r="C66" s="87">
        <v>43439.0</v>
      </c>
      <c r="D66" s="55"/>
      <c r="E66" s="48" t="s">
        <v>130</v>
      </c>
      <c r="F66" s="48" t="s">
        <v>130</v>
      </c>
      <c r="G66" s="48" t="s">
        <v>251</v>
      </c>
      <c r="H66" s="53"/>
      <c r="I66" s="51" t="s">
        <v>139</v>
      </c>
      <c r="J66" s="55"/>
      <c r="K66" s="55"/>
      <c r="L66" s="55" t="str">
        <f>IFERROR(__xludf.DUMMYFUNCTION("QUERY('Volunteer Survey'!B71)"),"Emily Groopman")</f>
        <v>Emily Groopman</v>
      </c>
      <c r="M66" s="55" t="str">
        <f>IFERROR(__xludf.DUMMYFUNCTION("QUERY('Volunteer Survey'!E71)"),"ee.groopman@gmail.com")</f>
        <v>ee.groopman@gmail.com</v>
      </c>
      <c r="N66" s="55" t="str">
        <f>IFERROR(__xludf.DUMMYFUNCTION("QUERY('Volunteer Survey'!F71)"),"Post Doc/Resident/Fellow (MD and/or PhD)")</f>
        <v>Post Doc/Resident/Fellow (MD and/or PhD)</v>
      </c>
      <c r="O66" s="48" t="str">
        <f>IFERROR(__xludf.DUMMYFUNCTION("QUERY('Volunteer Survey'!H71)"),"Comprehensive")</f>
        <v>Comprehensive</v>
      </c>
      <c r="P66" s="55" t="str">
        <f>IFERROR(__xludf.DUMMYFUNCTION("QUERY('Volunteer Survey'!I71)"),"Variant Pathogenicity")</f>
        <v>Variant Pathogenicity</v>
      </c>
      <c r="Q66" s="60" t="str">
        <f>IFERROR(__xludf.DUMMYFUNCTION("QUERY('Volunteer Survey'!J71)"),"Gene-Disease Validity")</f>
        <v>Gene-Disease Validity</v>
      </c>
      <c r="R66" s="55" t="str">
        <f>IFERROR(__xludf.DUMMYFUNCTION("QUERY('Volunteer Survey'!K71)"),"Dosage Sensitivity")</f>
        <v>Dosage Sensitivity</v>
      </c>
      <c r="S66" s="55" t="str">
        <f>IFERROR(__xludf.DUMMYFUNCTION("QUERY('Volunteer Survey'!L71)"),"Clinical Actionability")</f>
        <v>Clinical Actionability</v>
      </c>
      <c r="T66" s="55" t="str">
        <f>IFERROR(__xludf.DUMMYFUNCTION("QUERY('Volunteer Survey'!M71)"),"Somatic Cancer")</f>
        <v>Somatic Cancer</v>
      </c>
      <c r="U66" s="64" t="str">
        <f>IFERROR(__xludf.DUMMYFUNCTION("QUERY('Volunteer Survey'!N71)"),"yes")</f>
        <v>yes</v>
      </c>
      <c r="V66" s="55" t="str">
        <f>IFERROR(__xludf.DUMMYFUNCTION("QUERY('Volunteer Survey'!O71)"),"Yes")</f>
        <v>Yes</v>
      </c>
      <c r="W66" s="66" t="str">
        <f>IFERROR(__xludf.DUMMYFUNCTION("QUERY('Volunteer Survey'!P71)"),"Aminoacidopathy Gene Curation Expert Panel, Storage Diseases Variant Curation Expert Panel, and Hereditary Cancer Gene Curation Expert Pane")</f>
        <v>Aminoacidopathy Gene Curation Expert Panel, Storage Diseases Variant Curation Expert Panel, and Hereditary Cancer Gene Curation Expert Pane</v>
      </c>
      <c r="X66" s="64" t="str">
        <f>IFERROR(__xludf.DUMMYFUNCTION("QUERY('Volunteer Survey'!R71)"),"Yes- I am willing to volunteer with any available ClinGen group")</f>
        <v>Yes- I am willing to volunteer with any available ClinGen group</v>
      </c>
      <c r="Y66" s="53"/>
      <c r="Z66" s="182">
        <f>IFERROR(__xludf.DUMMYFUNCTION("QUERY('Volunteer Survey'!A65)"),43334.433587962965)</f>
        <v>43334.43359</v>
      </c>
      <c r="AA66" s="183" t="str">
        <f>IFERROR(__xludf.DUMMYFUNCTION("QUERY('Volunteer Survey'!B65)"),"Luke Drury")</f>
        <v>Luke Drury</v>
      </c>
      <c r="AB66" s="183" t="str">
        <f>IFERROR(__xludf.DUMMYFUNCTION("QUERY('Volunteer Survey'!C65)"),"Prevention Genetics")</f>
        <v>Prevention Genetics</v>
      </c>
      <c r="AC66" s="183" t="str">
        <f>IFERROR(__xludf.DUMMYFUNCTION("QUERY('Volunteer Survey'!D65)"),"WI")</f>
        <v>WI</v>
      </c>
      <c r="AD66" s="183" t="str">
        <f>IFERROR(__xludf.DUMMYFUNCTION("QUERY('Volunteer Survey'!E65)"),"luke.drury@preventiongenetics.com")</f>
        <v>luke.drury@preventiongenetics.com</v>
      </c>
      <c r="AE66" s="183" t="str">
        <f>IFERROR(__xludf.DUMMYFUNCTION("QUERY('Volunteer Survey'!F65)"),"Variant Analyst/Scientist")</f>
        <v>Variant Analyst/Scientist</v>
      </c>
      <c r="AF66" s="183" t="str">
        <f>IFERROR(__xludf.DUMMYFUNCTION("QUERY('Volunteer Survey'!G65)"),"n/a")</f>
        <v>n/a</v>
      </c>
      <c r="AG66" s="183" t="str">
        <f>IFERROR(__xludf.DUMMYFUNCTION("QUERY('Volunteer Survey'!H65)"),"Comprehensive")</f>
        <v>Comprehensive</v>
      </c>
      <c r="AH66" s="183" t="str">
        <f>IFERROR(__xludf.DUMMYFUNCTION("QUERY('Volunteer Survey'!I65)"),"Variant Pathogenicity")</f>
        <v>Variant Pathogenicity</v>
      </c>
      <c r="AI66" s="183" t="str">
        <f>IFERROR(__xludf.DUMMYFUNCTION("QUERY('Volunteer Survey'!J65)"),"Gene-Disease Validity")</f>
        <v>Gene-Disease Validity</v>
      </c>
      <c r="AJ66" s="183" t="str">
        <f>IFERROR(__xludf.DUMMYFUNCTION("QUERY('Volunteer Survey'!K65)"),"Clinical Actionability")</f>
        <v>Clinical Actionability</v>
      </c>
      <c r="AK66" s="183" t="str">
        <f>IFERROR(__xludf.DUMMYFUNCTION("QUERY('Volunteer Survey'!L65)"),"Dosage Sensitivity")</f>
        <v>Dosage Sensitivity</v>
      </c>
      <c r="AL66" s="183" t="str">
        <f>IFERROR(__xludf.DUMMYFUNCTION("QUERY('Volunteer Survey'!M65)"),"Somatic Cancer")</f>
        <v>Somatic Cancer</v>
      </c>
      <c r="AM66" s="183" t="str">
        <f>IFERROR(__xludf.DUMMYFUNCTION("QUERY('Volunteer Survey'!N65)"),"yes")</f>
        <v>yes</v>
      </c>
      <c r="AN66" s="183" t="str">
        <f>IFERROR(__xludf.DUMMYFUNCTION("QUERY('Volunteer Survey'!O65)"),"No")</f>
        <v>No</v>
      </c>
      <c r="AO66" s="183" t="str">
        <f>IFERROR(__xludf.DUMMYFUNCTION("QUERY('Volunteer Survey'!P65)"),"any WG")</f>
        <v>any WG</v>
      </c>
    </row>
    <row r="67">
      <c r="A67" s="50">
        <f>IFERROR(__xludf.DUMMYFUNCTION("QUERY('Volunteer Survey'!A72)"),43369.4483449074)</f>
        <v>43369.44834</v>
      </c>
      <c r="B67" s="48" t="s">
        <v>160</v>
      </c>
      <c r="C67" s="87">
        <v>43439.0</v>
      </c>
      <c r="D67" s="65">
        <v>43608.0</v>
      </c>
      <c r="E67" s="48" t="s">
        <v>117</v>
      </c>
      <c r="F67" s="48" t="s">
        <v>117</v>
      </c>
      <c r="G67" s="48" t="s">
        <v>251</v>
      </c>
      <c r="H67" s="51" t="s">
        <v>302</v>
      </c>
      <c r="I67" s="51" t="s">
        <v>139</v>
      </c>
      <c r="J67" s="56">
        <v>43712.0</v>
      </c>
      <c r="K67" s="56"/>
      <c r="L67" s="55" t="str">
        <f>IFERROR(__xludf.DUMMYFUNCTION("QUERY('Volunteer Survey'!B72)"),"Rhonda Lassiter ")</f>
        <v>Rhonda Lassiter </v>
      </c>
      <c r="M67" s="55" t="str">
        <f>IFERROR(__xludf.DUMMYFUNCTION("QUERY('Volunteer Survey'!E72)"),"rlassiter@ambrygen.com")</f>
        <v>rlassiter@ambrygen.com</v>
      </c>
      <c r="N67" s="55" t="str">
        <f>IFERROR(__xludf.DUMMYFUNCTION("QUERY('Volunteer Survey'!F72)"),"Variant Analyst/Scientist")</f>
        <v>Variant Analyst/Scientist</v>
      </c>
      <c r="O67" s="48" t="str">
        <f>IFERROR(__xludf.DUMMYFUNCTION("QUERY('Volunteer Survey'!H72)"),"Comprehensive")</f>
        <v>Comprehensive</v>
      </c>
      <c r="P67" s="55" t="str">
        <f>IFERROR(__xludf.DUMMYFUNCTION("QUERY('Volunteer Survey'!I72)"),"Variant Pathogenicity")</f>
        <v>Variant Pathogenicity</v>
      </c>
      <c r="Q67" s="101" t="str">
        <f>IFERROR(__xludf.DUMMYFUNCTION("QUERY('Volunteer Survey'!J72)"),"Gene-Disease Validity")</f>
        <v>Gene-Disease Validity</v>
      </c>
      <c r="R67" s="55" t="str">
        <f>IFERROR(__xludf.DUMMYFUNCTION("QUERY('Volunteer Survey'!K72)"),"Dosage Sensitivity")</f>
        <v>Dosage Sensitivity</v>
      </c>
      <c r="S67" s="55" t="str">
        <f>IFERROR(__xludf.DUMMYFUNCTION("QUERY('Volunteer Survey'!L72)"),"Clinical Actionability")</f>
        <v>Clinical Actionability</v>
      </c>
      <c r="T67" s="55" t="str">
        <f>IFERROR(__xludf.DUMMYFUNCTION("QUERY('Volunteer Survey'!M72)"),"Somatic Cancer")</f>
        <v>Somatic Cancer</v>
      </c>
      <c r="U67" s="64" t="str">
        <f>IFERROR(__xludf.DUMMYFUNCTION("QUERY('Volunteer Survey'!N72)"),"yes")</f>
        <v>yes</v>
      </c>
      <c r="V67" s="55" t="str">
        <f>IFERROR(__xludf.DUMMYFUNCTION("QUERY('Volunteer Survey'!O72)"),"Yes")</f>
        <v>Yes</v>
      </c>
      <c r="W67" s="102" t="str">
        <f>IFERROR(__xludf.DUMMYFUNCTION("QUERY('Volunteer Survey'!P72)"),"I am interested in any of the Neurodevelopmental Disorders CDWG's. I am happy to help wherever there is a need.")</f>
        <v>I am interested in any of the Neurodevelopmental Disorders CDWG's. I am happy to help wherever there is a need.</v>
      </c>
      <c r="X67" s="64" t="str">
        <f>IFERROR(__xludf.DUMMYFUNCTION("QUERY('Volunteer Survey'!R72)"),"Yes- I am willing to volunteer with any available ClinGen group")</f>
        <v>Yes- I am willing to volunteer with any available ClinGen group</v>
      </c>
      <c r="Y67" s="53"/>
      <c r="Z67" s="182">
        <f>IFERROR(__xludf.DUMMYFUNCTION("QUERY('Volunteer Survey'!A66)"),43336.43583333334)</f>
        <v>43336.43583</v>
      </c>
      <c r="AA67" s="183" t="str">
        <f>IFERROR(__xludf.DUMMYFUNCTION("QUERY('Volunteer Survey'!B66)"),"Lynne Rosenblum")</f>
        <v>Lynne Rosenblum</v>
      </c>
      <c r="AB67" s="183" t="str">
        <f>IFERROR(__xludf.DUMMYFUNCTION("QUERY('Volunteer Survey'!C66)"),"Integrated Genetics/LabCorp")</f>
        <v>Integrated Genetics/LabCorp</v>
      </c>
      <c r="AC67" s="183" t="str">
        <f>IFERROR(__xludf.DUMMYFUNCTION("QUERY('Volunteer Survey'!D66)"),"MA")</f>
        <v>MA</v>
      </c>
      <c r="AD67" s="183" t="str">
        <f>IFERROR(__xludf.DUMMYFUNCTION("QUERY('Volunteer Survey'!E66)"),"lynne.rosenblum@integratedgenetics.com")</f>
        <v>lynne.rosenblum@integratedgenetics.com</v>
      </c>
      <c r="AE67" s="183" t="str">
        <f>IFERROR(__xludf.DUMMYFUNCTION("QUERY('Volunteer Survey'!F66)"),"Clinical laboratory geneticist")</f>
        <v>Clinical laboratory geneticist</v>
      </c>
      <c r="AF67" s="183" t="str">
        <f>IFERROR(__xludf.DUMMYFUNCTION("QUERY('Volunteer Survey'!G66)"),"n/a")</f>
        <v>n/a</v>
      </c>
      <c r="AG67" s="183" t="str">
        <f>IFERROR(__xludf.DUMMYFUNCTION("QUERY('Volunteer Survey'!H66)"),"Comprehensive")</f>
        <v>Comprehensive</v>
      </c>
      <c r="AH67" s="183" t="str">
        <f>IFERROR(__xludf.DUMMYFUNCTION("QUERY('Volunteer Survey'!I66)"),"Variant Pathogenicity")</f>
        <v>Variant Pathogenicity</v>
      </c>
      <c r="AI67" s="183" t="str">
        <f>IFERROR(__xludf.DUMMYFUNCTION("QUERY('Volunteer Survey'!J66)"),"Clinical Actionability")</f>
        <v>Clinical Actionability</v>
      </c>
      <c r="AJ67" s="183" t="str">
        <f>IFERROR(__xludf.DUMMYFUNCTION("QUERY('Volunteer Survey'!K66)"),"Dosage Sensitivity")</f>
        <v>Dosage Sensitivity</v>
      </c>
      <c r="AK67" s="183" t="str">
        <f>IFERROR(__xludf.DUMMYFUNCTION("QUERY('Volunteer Survey'!L66)"),"Gene-Disease Validity")</f>
        <v>Gene-Disease Validity</v>
      </c>
      <c r="AL67" s="183" t="str">
        <f>IFERROR(__xludf.DUMMYFUNCTION("QUERY('Volunteer Survey'!M66)"),"Somatic Cancer")</f>
        <v>Somatic Cancer</v>
      </c>
      <c r="AM67" s="183" t="str">
        <f>IFERROR(__xludf.DUMMYFUNCTION("QUERY('Volunteer Survey'!N66)"),"yes")</f>
        <v>yes</v>
      </c>
      <c r="AN67" s="183" t="str">
        <f>IFERROR(__xludf.DUMMYFUNCTION("QUERY('Volunteer Survey'!O66)"),"Possibly")</f>
        <v>Possibly</v>
      </c>
      <c r="AO67" s="183" t="str">
        <f>IFERROR(__xludf.DUMMYFUNCTION("QUERY('Volunteer Survey'!P66)"),"storage disease and somatic/germline working groups, but am open to other opportunities.")</f>
        <v>storage disease and somatic/germline working groups, but am open to other opportunities.</v>
      </c>
    </row>
    <row r="68">
      <c r="A68" s="50">
        <f>IFERROR(__xludf.DUMMYFUNCTION("QUERY('Volunteer Survey'!A74)"),43389.45233796297)</f>
        <v>43389.45234</v>
      </c>
      <c r="B68" s="48" t="s">
        <v>108</v>
      </c>
      <c r="C68" s="87">
        <v>43439.0</v>
      </c>
      <c r="D68" s="65">
        <v>43608.0</v>
      </c>
      <c r="E68" s="48" t="s">
        <v>117</v>
      </c>
      <c r="F68" s="48" t="s">
        <v>117</v>
      </c>
      <c r="G68" s="48" t="s">
        <v>251</v>
      </c>
      <c r="H68" s="51" t="s">
        <v>303</v>
      </c>
      <c r="I68" s="51" t="s">
        <v>299</v>
      </c>
      <c r="J68" s="56">
        <v>43712.0</v>
      </c>
      <c r="K68" s="56"/>
      <c r="L68" s="55" t="str">
        <f>IFERROR(__xludf.DUMMYFUNCTION("QUERY('Volunteer Survey'!B74)"),"Emma Reble ")</f>
        <v>Emma Reble </v>
      </c>
      <c r="M68" s="55" t="str">
        <f>IFERROR(__xludf.DUMMYFUNCTION("QUERY('Volunteer Survey'!E74)"),"reblee@smh.ca")</f>
        <v>reblee@smh.ca</v>
      </c>
      <c r="N68" s="55" t="str">
        <f>IFERROR(__xludf.DUMMYFUNCTION("QUERY('Volunteer Survey'!F74)"),"Variant Analyst/Scientist")</f>
        <v>Variant Analyst/Scientist</v>
      </c>
      <c r="O68" s="48" t="str">
        <f>IFERROR(__xludf.DUMMYFUNCTION("QUERY('Volunteer Survey'!H74)"),"Comprehensive")</f>
        <v>Comprehensive</v>
      </c>
      <c r="P68" s="55" t="str">
        <f>IFERROR(__xludf.DUMMYFUNCTION("QUERY('Volunteer Survey'!I74)"),"Variant Pathogenicity")</f>
        <v>Variant Pathogenicity</v>
      </c>
      <c r="Q68" s="60" t="str">
        <f>IFERROR(__xludf.DUMMYFUNCTION("QUERY('Volunteer Survey'!J74)"),"Gene-Disease Validity")</f>
        <v>Gene-Disease Validity</v>
      </c>
      <c r="R68" s="55" t="str">
        <f>IFERROR(__xludf.DUMMYFUNCTION("QUERY('Volunteer Survey'!K74)"),"Clinical Actionability")</f>
        <v>Clinical Actionability</v>
      </c>
      <c r="S68" s="55" t="str">
        <f>IFERROR(__xludf.DUMMYFUNCTION("QUERY('Volunteer Survey'!L74)"),"Dosage Sensitivity")</f>
        <v>Dosage Sensitivity</v>
      </c>
      <c r="T68" s="55" t="str">
        <f>IFERROR(__xludf.DUMMYFUNCTION("QUERY('Volunteer Survey'!M74)"),"Somatic Cancer")</f>
        <v>Somatic Cancer</v>
      </c>
      <c r="U68" s="64" t="str">
        <f>IFERROR(__xludf.DUMMYFUNCTION("QUERY('Volunteer Survey'!N74)"),"yes")</f>
        <v>yes</v>
      </c>
      <c r="V68" s="55" t="str">
        <f>IFERROR(__xludf.DUMMYFUNCTION("QUERY('Volunteer Survey'!O74)"),"Yes")</f>
        <v>Yes</v>
      </c>
      <c r="W68" s="66" t="str">
        <f>IFERROR(__xludf.DUMMYFUNCTION("QUERY('Volunteer Survey'!P74)"),"I am interest in the neurodevelopmental disorder CDWG, particularly the Autism and ID group.")</f>
        <v>I am interest in the neurodevelopmental disorder CDWG, particularly the Autism and ID group.</v>
      </c>
      <c r="X68" s="64" t="str">
        <f>IFERROR(__xludf.DUMMYFUNCTION("QUERY('Volunteer Survey'!R74)"),"Maybe -- please contact me with other options, and I will decide based on what is available")</f>
        <v>Maybe -- please contact me with other options, and I will decide based on what is available</v>
      </c>
      <c r="Y68" s="53"/>
      <c r="Z68" s="182">
        <f>IFERROR(__xludf.DUMMYFUNCTION("QUERY('Volunteer Survey'!A67)"),43340.43892361112)</f>
        <v>43340.43892</v>
      </c>
      <c r="AA68" s="183" t="str">
        <f>IFERROR(__xludf.DUMMYFUNCTION("QUERY('Volunteer Survey'!B67)"),"Yang Wang")</f>
        <v>Yang Wang</v>
      </c>
      <c r="AB68" s="183" t="str">
        <f>IFERROR(__xludf.DUMMYFUNCTION("QUERY('Volunteer Survey'!C67)"),"PerkinElmer Genomics")</f>
        <v>PerkinElmer Genomics</v>
      </c>
      <c r="AC68" s="183" t="str">
        <f>IFERROR(__xludf.DUMMYFUNCTION("QUERY('Volunteer Survey'!D67)"),"GA")</f>
        <v>GA</v>
      </c>
      <c r="AD68" s="183" t="str">
        <f>IFERROR(__xludf.DUMMYFUNCTION("QUERY('Volunteer Survey'!E67)"),"yangwangcmg@gmail.com")</f>
        <v>yangwangcmg@gmail.com</v>
      </c>
      <c r="AE68" s="183" t="str">
        <f>IFERROR(__xludf.DUMMYFUNCTION("QUERY('Volunteer Survey'!F67)"),"Clinical laboratory geneticist")</f>
        <v>Clinical laboratory geneticist</v>
      </c>
      <c r="AF68" s="183" t="str">
        <f>IFERROR(__xludf.DUMMYFUNCTION("QUERY('Volunteer Survey'!G67)"),"n/a")</f>
        <v>n/a</v>
      </c>
      <c r="AG68" s="183" t="str">
        <f>IFERROR(__xludf.DUMMYFUNCTION("QUERY('Volunteer Survey'!H67)"),"Comprehensive")</f>
        <v>Comprehensive</v>
      </c>
      <c r="AH68" s="183" t="str">
        <f>IFERROR(__xludf.DUMMYFUNCTION("QUERY('Volunteer Survey'!I67)"),"Variant Pathogenicity")</f>
        <v>Variant Pathogenicity</v>
      </c>
      <c r="AI68" s="183" t="str">
        <f>IFERROR(__xludf.DUMMYFUNCTION("QUERY('Volunteer Survey'!J67)"),"Gene-Disease Validity")</f>
        <v>Gene-Disease Validity</v>
      </c>
      <c r="AJ68" s="183" t="str">
        <f>IFERROR(__xludf.DUMMYFUNCTION("QUERY('Volunteer Survey'!K67)"),"Clinical Actionability")</f>
        <v>Clinical Actionability</v>
      </c>
      <c r="AK68" s="183" t="str">
        <f>IFERROR(__xludf.DUMMYFUNCTION("QUERY('Volunteer Survey'!L67)"),"Dosage Sensitivity")</f>
        <v>Dosage Sensitivity</v>
      </c>
      <c r="AL68" s="183" t="str">
        <f>IFERROR(__xludf.DUMMYFUNCTION("QUERY('Volunteer Survey'!M67)"),"Somatic Cancer")</f>
        <v>Somatic Cancer</v>
      </c>
      <c r="AM68" s="183" t="str">
        <f>IFERROR(__xludf.DUMMYFUNCTION("QUERY('Volunteer Survey'!N67)"),"yes")</f>
        <v>yes</v>
      </c>
      <c r="AN68" s="183" t="str">
        <f>IFERROR(__xludf.DUMMYFUNCTION("QUERY('Volunteer Survey'!O67)"),"Possibly")</f>
        <v>Possibly</v>
      </c>
      <c r="AO68" s="183" t="str">
        <f>IFERROR(__xludf.DUMMYFUNCTION("QUERY('Volunteer Survey'!P67)"),"hereditary cancer panel and inborn error of metabolism, if not a Baseline Biocurator")</f>
        <v>hereditary cancer panel and inborn error of metabolism, if not a Baseline Biocurator</v>
      </c>
    </row>
    <row r="69">
      <c r="A69" s="50">
        <f>IFERROR(__xludf.DUMMYFUNCTION("QUERY('Volunteer Survey'!A75)"),43373.450949074075)</f>
        <v>43373.45095</v>
      </c>
      <c r="B69" s="48" t="s">
        <v>168</v>
      </c>
      <c r="C69" s="87">
        <v>43439.0</v>
      </c>
      <c r="D69" s="65"/>
      <c r="E69" s="48" t="s">
        <v>130</v>
      </c>
      <c r="F69" s="48" t="s">
        <v>130</v>
      </c>
      <c r="G69" s="48" t="s">
        <v>251</v>
      </c>
      <c r="H69" s="53"/>
      <c r="I69" s="51" t="s">
        <v>139</v>
      </c>
      <c r="J69" s="55"/>
      <c r="K69" s="55"/>
      <c r="L69" s="55" t="str">
        <f>IFERROR(__xludf.DUMMYFUNCTION("QUERY('Volunteer Survey'!B75)"),"Bryony Thompson")</f>
        <v>Bryony Thompson</v>
      </c>
      <c r="M69" s="55" t="str">
        <f>IFERROR(__xludf.DUMMYFUNCTION("QUERY('Volunteer Survey'!E75)"),"Bryony.Thompson@mh.org.au")</f>
        <v>Bryony.Thompson@mh.org.au</v>
      </c>
      <c r="N69" s="55" t="str">
        <f>IFERROR(__xludf.DUMMYFUNCTION("QUERY('Volunteer Survey'!F75)"),"Post Doc/Resident/Fellow (MD and/or PhD)")</f>
        <v>Post Doc/Resident/Fellow (MD and/or PhD)</v>
      </c>
      <c r="O69" s="48" t="str">
        <f>IFERROR(__xludf.DUMMYFUNCTION("QUERY('Volunteer Survey'!H75)"),"Comprehensive")</f>
        <v>Comprehensive</v>
      </c>
      <c r="P69" s="55" t="str">
        <f>IFERROR(__xludf.DUMMYFUNCTION("QUERY('Volunteer Survey'!I75)"),"Variant Pathogenicity")</f>
        <v>Variant Pathogenicity</v>
      </c>
      <c r="Q69" s="60" t="str">
        <f>IFERROR(__xludf.DUMMYFUNCTION("QUERY('Volunteer Survey'!J75)"),"")</f>
        <v/>
      </c>
      <c r="R69" s="55" t="str">
        <f>IFERROR(__xludf.DUMMYFUNCTION("QUERY('Volunteer Survey'!K75)"),"")</f>
        <v/>
      </c>
      <c r="S69" s="55" t="str">
        <f>IFERROR(__xludf.DUMMYFUNCTION("QUERY('Volunteer Survey'!L75)"),"")</f>
        <v/>
      </c>
      <c r="T69" s="55" t="str">
        <f>IFERROR(__xludf.DUMMYFUNCTION("QUERY('Volunteer Survey'!M75)"),"")</f>
        <v/>
      </c>
      <c r="U69" s="64" t="str">
        <f>IFERROR(__xludf.DUMMYFUNCTION("QUERY('Volunteer Survey'!N75)"),"yes")</f>
        <v>yes</v>
      </c>
      <c r="V69" s="55" t="str">
        <f>IFERROR(__xludf.DUMMYFUNCTION("QUERY('Volunteer Survey'!O75)"),"No")</f>
        <v>No</v>
      </c>
      <c r="W69" s="66" t="str">
        <f>IFERROR(__xludf.DUMMYFUNCTION("QUERY('Volunteer Survey'!P75)"),"CDH1 Variant Curation Expert Panel")</f>
        <v>CDH1 Variant Curation Expert Panel</v>
      </c>
      <c r="X69" s="64" t="str">
        <f>IFERROR(__xludf.DUMMYFUNCTION("QUERY('Volunteer Survey'!R75)"),"No - I am only interested in the group(s) I previously indicated")</f>
        <v>No - I am only interested in the group(s) I previously indicated</v>
      </c>
      <c r="Y69" s="53"/>
      <c r="Z69" s="182">
        <f>IFERROR(__xludf.DUMMYFUNCTION("QUERY('Volunteer Survey'!A68)"),43340.441666666666)</f>
        <v>43340.44167</v>
      </c>
      <c r="AA69" s="183" t="str">
        <f>IFERROR(__xludf.DUMMYFUNCTION("QUERY('Volunteer Survey'!B68)"),"Elaine Spector ")</f>
        <v>Elaine Spector </v>
      </c>
      <c r="AB69" s="183" t="str">
        <f>IFERROR(__xludf.DUMMYFUNCTION("QUERY('Volunteer Survey'!C68)"),"Univ of Colorado, Children's Hospital")</f>
        <v>Univ of Colorado, Children's Hospital</v>
      </c>
      <c r="AC69" s="183" t="str">
        <f>IFERROR(__xludf.DUMMYFUNCTION("QUERY('Volunteer Survey'!D68)"),"CO")</f>
        <v>CO</v>
      </c>
      <c r="AD69" s="183" t="str">
        <f>IFERROR(__xludf.DUMMYFUNCTION("QUERY('Volunteer Survey'!E68)"),"elaine.spector@childrenscolorado.org")</f>
        <v>elaine.spector@childrenscolorado.org</v>
      </c>
      <c r="AE69" s="183" t="str">
        <f>IFERROR(__xludf.DUMMYFUNCTION("QUERY('Volunteer Survey'!F68)"),"Clinical laboratory geneticist")</f>
        <v>Clinical laboratory geneticist</v>
      </c>
      <c r="AF69" s="183" t="str">
        <f>IFERROR(__xludf.DUMMYFUNCTION("QUERY('Volunteer Survey'!G68)"),"n/a")</f>
        <v>n/a</v>
      </c>
      <c r="AG69" s="183" t="str">
        <f>IFERROR(__xludf.DUMMYFUNCTION("QUERY('Volunteer Survey'!H68)"),"Comprehensive")</f>
        <v>Comprehensive</v>
      </c>
      <c r="AH69" s="183" t="str">
        <f>IFERROR(__xludf.DUMMYFUNCTION("QUERY('Volunteer Survey'!I68)"),"Gene-Disease Validity")</f>
        <v>Gene-Disease Validity</v>
      </c>
      <c r="AI69" s="183" t="str">
        <f>IFERROR(__xludf.DUMMYFUNCTION("QUERY('Volunteer Survey'!J68)"),"Variant Pathogenicity")</f>
        <v>Variant Pathogenicity</v>
      </c>
      <c r="AJ69" s="183" t="str">
        <f>IFERROR(__xludf.DUMMYFUNCTION("QUERY('Volunteer Survey'!K68)"),"Clinical Actionability")</f>
        <v>Clinical Actionability</v>
      </c>
      <c r="AK69" s="183" t="str">
        <f>IFERROR(__xludf.DUMMYFUNCTION("QUERY('Volunteer Survey'!L68)"),"Dosage Sensitivity")</f>
        <v>Dosage Sensitivity</v>
      </c>
      <c r="AL69" s="183" t="str">
        <f>IFERROR(__xludf.DUMMYFUNCTION("QUERY('Volunteer Survey'!M68)"),"Somatic Cancer")</f>
        <v>Somatic Cancer</v>
      </c>
      <c r="AM69" s="183" t="str">
        <f>IFERROR(__xludf.DUMMYFUNCTION("QUERY('Volunteer Survey'!N68)"),"yes")</f>
        <v>yes</v>
      </c>
      <c r="AN69" s="183" t="str">
        <f>IFERROR(__xludf.DUMMYFUNCTION("QUERY('Volunteer Survey'!O68)"),"")</f>
        <v/>
      </c>
      <c r="AO69" s="183" t="str">
        <f>IFERROR(__xludf.DUMMYFUNCTION("QUERY('Volunteer Survey'!P68)"),"Inborn Errors of Metabolism Clinical Domain Working Group . Amino Acid and Fatty Acid Working Groups.")</f>
        <v>Inborn Errors of Metabolism Clinical Domain Working Group . Amino Acid and Fatty Acid Working Groups.</v>
      </c>
    </row>
    <row r="70">
      <c r="A70" s="50">
        <f>IFERROR(__xludf.DUMMYFUNCTION("QUERY('Volunteer Survey'!A76)"),43395.455196759256)</f>
        <v>43395.4552</v>
      </c>
      <c r="B70" s="48" t="s">
        <v>160</v>
      </c>
      <c r="C70" s="87">
        <v>43439.0</v>
      </c>
      <c r="D70" s="65">
        <v>43608.0</v>
      </c>
      <c r="E70" s="48" t="s">
        <v>117</v>
      </c>
      <c r="F70" s="48" t="s">
        <v>117</v>
      </c>
      <c r="G70" s="48" t="s">
        <v>251</v>
      </c>
      <c r="H70" s="51" t="s">
        <v>304</v>
      </c>
      <c r="I70" s="51" t="s">
        <v>139</v>
      </c>
      <c r="J70" s="56">
        <v>43712.0</v>
      </c>
      <c r="K70" s="56"/>
      <c r="L70" s="55" t="str">
        <f>IFERROR(__xludf.DUMMYFUNCTION("QUERY('Volunteer Survey'!B76)"),"Qiliang Ding")</f>
        <v>Qiliang Ding</v>
      </c>
      <c r="M70" s="55" t="str">
        <f>IFERROR(__xludf.DUMMYFUNCTION("QUERY('Volunteer Survey'!E76)"),"qd29@cornell.edu")</f>
        <v>qd29@cornell.edu</v>
      </c>
      <c r="N70" s="55" t="str">
        <f>IFERROR(__xludf.DUMMYFUNCTION("QUERY('Volunteer Survey'!F76)"),"Graduate Student")</f>
        <v>Graduate Student</v>
      </c>
      <c r="O70" s="48" t="str">
        <f>IFERROR(__xludf.DUMMYFUNCTION("QUERY('Volunteer Survey'!H76)"),"Comprehensive")</f>
        <v>Comprehensive</v>
      </c>
      <c r="P70" s="55" t="str">
        <f>IFERROR(__xludf.DUMMYFUNCTION("QUERY('Volunteer Survey'!I76)"),"Variant Pathogenicity")</f>
        <v>Variant Pathogenicity</v>
      </c>
      <c r="Q70" s="60" t="str">
        <f>IFERROR(__xludf.DUMMYFUNCTION("QUERY('Volunteer Survey'!J76)"),"Somatic Cancer")</f>
        <v>Somatic Cancer</v>
      </c>
      <c r="R70" s="55" t="str">
        <f>IFERROR(__xludf.DUMMYFUNCTION("QUERY('Volunteer Survey'!K76)"),"Gene-Disease Validity")</f>
        <v>Gene-Disease Validity</v>
      </c>
      <c r="S70" s="55" t="str">
        <f>IFERROR(__xludf.DUMMYFUNCTION("QUERY('Volunteer Survey'!L76)"),"Clinical Actionability")</f>
        <v>Clinical Actionability</v>
      </c>
      <c r="T70" s="55" t="str">
        <f>IFERROR(__xludf.DUMMYFUNCTION("QUERY('Volunteer Survey'!M76)"),"Dosage Sensitivity")</f>
        <v>Dosage Sensitivity</v>
      </c>
      <c r="U70" s="64" t="str">
        <f>IFERROR(__xludf.DUMMYFUNCTION("QUERY('Volunteer Survey'!N76)"),"yes")</f>
        <v>yes</v>
      </c>
      <c r="V70" s="55" t="str">
        <f>IFERROR(__xludf.DUMMYFUNCTION("QUERY('Volunteer Survey'!O76)"),"Yes")</f>
        <v>Yes</v>
      </c>
      <c r="W70" s="66" t="str">
        <f>IFERROR(__xludf.DUMMYFUNCTION("QUERY('Volunteer Survey'!P76)"),"I am interested in all working groups.")</f>
        <v>I am interested in all working groups.</v>
      </c>
      <c r="X70" s="64" t="str">
        <f>IFERROR(__xludf.DUMMYFUNCTION("QUERY('Volunteer Survey'!R76)"),"Yes- I am willing to volunteer with any available ClinGen group")</f>
        <v>Yes- I am willing to volunteer with any available ClinGen group</v>
      </c>
      <c r="Y70" s="53"/>
      <c r="Z70" s="182">
        <f>IFERROR(__xludf.DUMMYFUNCTION("QUERY('Volunteer Survey'!A69)"),43349.4431712963)</f>
        <v>43349.44317</v>
      </c>
      <c r="AA70" s="183" t="str">
        <f>IFERROR(__xludf.DUMMYFUNCTION("QUERY('Volunteer Survey'!B69)"),"Samya Chakravorty")</f>
        <v>Samya Chakravorty</v>
      </c>
      <c r="AB70" s="183" t="str">
        <f>IFERROR(__xludf.DUMMYFUNCTION("QUERY('Volunteer Survey'!C69)"),"Emory University School of Medicine, Department of Human Genetics")</f>
        <v>Emory University School of Medicine, Department of Human Genetics</v>
      </c>
      <c r="AC70" s="183" t="str">
        <f>IFERROR(__xludf.DUMMYFUNCTION("QUERY('Volunteer Survey'!D69)"),"GA")</f>
        <v>GA</v>
      </c>
      <c r="AD70" s="183" t="str">
        <f>IFERROR(__xludf.DUMMYFUNCTION("QUERY('Volunteer Survey'!E69)"),"samya.chakravorty@emory.edu")</f>
        <v>samya.chakravorty@emory.edu</v>
      </c>
      <c r="AE70" s="183" t="str">
        <f>IFERROR(__xludf.DUMMYFUNCTION("QUERY('Volunteer Survey'!F69)"),"Post Doc/Resident/Fellow (MD and/or PhD)")</f>
        <v>Post Doc/Resident/Fellow (MD and/or PhD)</v>
      </c>
      <c r="AF70" s="183" t="str">
        <f>IFERROR(__xludf.DUMMYFUNCTION("QUERY('Volunteer Survey'!G69)"),"n/a")</f>
        <v>n/a</v>
      </c>
      <c r="AG70" s="183" t="str">
        <f>IFERROR(__xludf.DUMMYFUNCTION("QUERY('Volunteer Survey'!H69)"),"Comprehensive")</f>
        <v>Comprehensive</v>
      </c>
      <c r="AH70" s="183" t="str">
        <f>IFERROR(__xludf.DUMMYFUNCTION("QUERY('Volunteer Survey'!I69)"),"Variant Pathogenicity")</f>
        <v>Variant Pathogenicity</v>
      </c>
      <c r="AI70" s="183" t="str">
        <f>IFERROR(__xludf.DUMMYFUNCTION("QUERY('Volunteer Survey'!J69)"),"Gene-Disease Validity")</f>
        <v>Gene-Disease Validity</v>
      </c>
      <c r="AJ70" s="183" t="str">
        <f>IFERROR(__xludf.DUMMYFUNCTION("QUERY('Volunteer Survey'!K69)"),"Dosage Sensitivity")</f>
        <v>Dosage Sensitivity</v>
      </c>
      <c r="AK70" s="183" t="str">
        <f>IFERROR(__xludf.DUMMYFUNCTION("QUERY('Volunteer Survey'!L69)"),"Somatic Cancer")</f>
        <v>Somatic Cancer</v>
      </c>
      <c r="AL70" s="183" t="str">
        <f>IFERROR(__xludf.DUMMYFUNCTION("QUERY('Volunteer Survey'!M69)"),"Clinical Actionability")</f>
        <v>Clinical Actionability</v>
      </c>
      <c r="AM70" s="183" t="str">
        <f>IFERROR(__xludf.DUMMYFUNCTION("QUERY('Volunteer Survey'!N69)"),"yes")</f>
        <v>yes</v>
      </c>
      <c r="AN70" s="183" t="str">
        <f>IFERROR(__xludf.DUMMYFUNCTION("QUERY('Volunteer Survey'!O69)"),"Yes")</f>
        <v>Yes</v>
      </c>
      <c r="AO70" s="183" t="str">
        <f>IFERROR(__xludf.DUMMYFUNCTION("QUERY('Volunteer Survey'!P69)"),"1. Storage Diseases Variant Curation Expert Panel 2. Epilepsy Gene Curation Expert Panel 3. Cardiovascular Dilated Cardiomyopathy Gene Curation Expert Panel")</f>
        <v>1. Storage Diseases Variant Curation Expert Panel 2. Epilepsy Gene Curation Expert Panel 3. Cardiovascular Dilated Cardiomyopathy Gene Curation Expert Panel</v>
      </c>
    </row>
    <row r="71">
      <c r="A71" s="50">
        <f>IFERROR(__xludf.DUMMYFUNCTION("QUERY('Volunteer Survey'!A77)"),43398.45934027778)</f>
        <v>43398.45934</v>
      </c>
      <c r="B71" s="48" t="s">
        <v>108</v>
      </c>
      <c r="C71" s="87">
        <v>43439.0</v>
      </c>
      <c r="D71" s="65">
        <v>43608.0</v>
      </c>
      <c r="E71" s="48" t="s">
        <v>117</v>
      </c>
      <c r="F71" s="48" t="s">
        <v>130</v>
      </c>
      <c r="G71" s="48" t="s">
        <v>251</v>
      </c>
      <c r="H71" s="53"/>
      <c r="I71" s="51" t="s">
        <v>139</v>
      </c>
      <c r="J71" s="55"/>
      <c r="K71" s="55"/>
      <c r="L71" s="55" t="str">
        <f>IFERROR(__xludf.DUMMYFUNCTION("QUERY('Volunteer Survey'!B77)"),"Amy Donahue")</f>
        <v>Amy Donahue</v>
      </c>
      <c r="M71" s="55" t="str">
        <f>IFERROR(__xludf.DUMMYFUNCTION("QUERY('Volunteer Survey'!E77)"),"adonahue@mcw.edu")</f>
        <v>adonahue@mcw.edu</v>
      </c>
      <c r="N71" s="55" t="str">
        <f>IFERROR(__xludf.DUMMYFUNCTION("QUERY('Volunteer Survey'!F77)"),"Genetic counselor")</f>
        <v>Genetic counselor</v>
      </c>
      <c r="O71" s="48" t="str">
        <f>IFERROR(__xludf.DUMMYFUNCTION("QUERY('Volunteer Survey'!H77)"),"Comprehensive")</f>
        <v>Comprehensive</v>
      </c>
      <c r="P71" s="55" t="str">
        <f>IFERROR(__xludf.DUMMYFUNCTION("QUERY('Volunteer Survey'!I77)"),"Variant Pathogenicity")</f>
        <v>Variant Pathogenicity</v>
      </c>
      <c r="Q71" s="60" t="str">
        <f>IFERROR(__xludf.DUMMYFUNCTION("QUERY('Volunteer Survey'!J77)"),"Gene-Disease Validity")</f>
        <v>Gene-Disease Validity</v>
      </c>
      <c r="R71" s="55" t="str">
        <f>IFERROR(__xludf.DUMMYFUNCTION("QUERY('Volunteer Survey'!K77)"),"Clinical Actionability")</f>
        <v>Clinical Actionability</v>
      </c>
      <c r="S71" s="55" t="str">
        <f>IFERROR(__xludf.DUMMYFUNCTION("QUERY('Volunteer Survey'!L77)"),"Dosage Sensitivity")</f>
        <v>Dosage Sensitivity</v>
      </c>
      <c r="T71" s="55" t="str">
        <f>IFERROR(__xludf.DUMMYFUNCTION("QUERY('Volunteer Survey'!M77)"),"Somatic Cancer")</f>
        <v>Somatic Cancer</v>
      </c>
      <c r="U71" s="64" t="str">
        <f>IFERROR(__xludf.DUMMYFUNCTION("QUERY('Volunteer Survey'!N77)"),"yes")</f>
        <v>yes</v>
      </c>
      <c r="V71" s="55" t="str">
        <f>IFERROR(__xludf.DUMMYFUNCTION("QUERY('Volunteer Survey'!O77)"),"Possibly")</f>
        <v>Possibly</v>
      </c>
      <c r="W71" s="66" t="str">
        <f>IFERROR(__xludf.DUMMYFUNCTION("QUERY('Volunteer Survey'!P77)"),"Any of the cardiac or neuro as well as the mitochondrial and monogenetic diabetes groups would fit within my clinical specialties. If there is the potential to start an ophthalmology/eye disorders group, I would love to be involved there. Thank you for th"&amp;"e opportunity!")</f>
        <v>Any of the cardiac or neuro as well as the mitochondrial and monogenetic diabetes groups would fit within my clinical specialties. If there is the potential to start an ophthalmology/eye disorders group, I would love to be involved there. Thank you for the opportunity!</v>
      </c>
      <c r="X71" s="64" t="str">
        <f>IFERROR(__xludf.DUMMYFUNCTION("QUERY('Volunteer Survey'!R77)"),"Maybe -- please contact me with other options, and I will decide based on what is available")</f>
        <v>Maybe -- please contact me with other options, and I will decide based on what is available</v>
      </c>
      <c r="Y71" s="51" t="s">
        <v>329</v>
      </c>
      <c r="Z71" s="182">
        <f>IFERROR(__xludf.DUMMYFUNCTION("QUERY('Volunteer Survey'!A70)"),43362.44483796296)</f>
        <v>43362.44484</v>
      </c>
      <c r="AA71" s="183" t="str">
        <f>IFERROR(__xludf.DUMMYFUNCTION("QUERY('Volunteer Survey'!B70)"),"Marco Leung")</f>
        <v>Marco Leung</v>
      </c>
      <c r="AB71" s="183" t="str">
        <f>IFERROR(__xludf.DUMMYFUNCTION("QUERY('Volunteer Survey'!C70)"),"Center for Applied Genomics - Children's Hospital of Philadelphia")</f>
        <v>Center for Applied Genomics - Children's Hospital of Philadelphia</v>
      </c>
      <c r="AC71" s="183" t="str">
        <f>IFERROR(__xludf.DUMMYFUNCTION("QUERY('Volunteer Survey'!D70)"),"PA")</f>
        <v>PA</v>
      </c>
      <c r="AD71" s="183" t="str">
        <f>IFERROR(__xludf.DUMMYFUNCTION("QUERY('Volunteer Survey'!E70)"),"leungm@email.chop.edu")</f>
        <v>leungm@email.chop.edu</v>
      </c>
      <c r="AE71" s="183" t="str">
        <f>IFERROR(__xludf.DUMMYFUNCTION("QUERY('Volunteer Survey'!F70)"),"Clinical laboratory geneticist")</f>
        <v>Clinical laboratory geneticist</v>
      </c>
      <c r="AF71" s="183" t="str">
        <f>IFERROR(__xludf.DUMMYFUNCTION("QUERY('Volunteer Survey'!G70)"),"n/a")</f>
        <v>n/a</v>
      </c>
      <c r="AG71" s="183" t="str">
        <f>IFERROR(__xludf.DUMMYFUNCTION("QUERY('Volunteer Survey'!H70)"),"Comprehensive")</f>
        <v>Comprehensive</v>
      </c>
      <c r="AH71" s="183" t="str">
        <f>IFERROR(__xludf.DUMMYFUNCTION("QUERY('Volunteer Survey'!I70)"),"Variant Pathogenicity")</f>
        <v>Variant Pathogenicity</v>
      </c>
      <c r="AI71" s="183" t="str">
        <f>IFERROR(__xludf.DUMMYFUNCTION("QUERY('Volunteer Survey'!J70)"),"Gene-Disease Validity")</f>
        <v>Gene-Disease Validity</v>
      </c>
      <c r="AJ71" s="183" t="str">
        <f>IFERROR(__xludf.DUMMYFUNCTION("QUERY('Volunteer Survey'!K70)"),"Dosage Sensitivity")</f>
        <v>Dosage Sensitivity</v>
      </c>
      <c r="AK71" s="183" t="str">
        <f>IFERROR(__xludf.DUMMYFUNCTION("QUERY('Volunteer Survey'!L70)"),"Clinical Actionability")</f>
        <v>Clinical Actionability</v>
      </c>
      <c r="AL71" s="183" t="str">
        <f>IFERROR(__xludf.DUMMYFUNCTION("QUERY('Volunteer Survey'!M70)"),"Somatic Cancer")</f>
        <v>Somatic Cancer</v>
      </c>
      <c r="AM71" s="183" t="str">
        <f>IFERROR(__xludf.DUMMYFUNCTION("QUERY('Volunteer Survey'!N70)"),"yes")</f>
        <v>yes</v>
      </c>
      <c r="AN71" s="183" t="str">
        <f>IFERROR(__xludf.DUMMYFUNCTION("QUERY('Volunteer Survey'!O70)"),"Yes")</f>
        <v>Yes</v>
      </c>
      <c r="AO71" s="183" t="str">
        <f>IFERROR(__xludf.DUMMYFUNCTION("QUERY('Volunteer Survey'!P70)"),"Hereditary cancers; neurodevelopmental disorders; polivy making")</f>
        <v>Hereditary cancers; neurodevelopmental disorders; polivy making</v>
      </c>
    </row>
    <row r="72">
      <c r="A72" s="50">
        <f>IFERROR(__xludf.DUMMYFUNCTION("QUERY('Volunteer Survey'!A78)"),43409.46091435185)</f>
        <v>43409.46091</v>
      </c>
      <c r="B72" s="48" t="s">
        <v>160</v>
      </c>
      <c r="C72" s="87">
        <v>43109.0</v>
      </c>
      <c r="D72" s="65">
        <v>43605.0</v>
      </c>
      <c r="E72" s="48" t="s">
        <v>117</v>
      </c>
      <c r="F72" s="48" t="s">
        <v>117</v>
      </c>
      <c r="G72" s="48" t="s">
        <v>251</v>
      </c>
      <c r="H72" s="51" t="s">
        <v>303</v>
      </c>
      <c r="I72" s="51" t="s">
        <v>139</v>
      </c>
      <c r="J72" s="56">
        <v>43712.0</v>
      </c>
      <c r="K72" s="56"/>
      <c r="L72" s="55" t="str">
        <f>IFERROR(__xludf.DUMMYFUNCTION("QUERY('Volunteer Survey'!B78)"),"Dave Ferguson")</f>
        <v>Dave Ferguson</v>
      </c>
      <c r="M72" s="55" t="str">
        <f>IFERROR(__xludf.DUMMYFUNCTION("QUERY('Volunteer Survey'!E78)"),"dferguso@uci.edu")</f>
        <v>dferguso@uci.edu</v>
      </c>
      <c r="N72" s="55" t="str">
        <f>IFERROR(__xludf.DUMMYFUNCTION("QUERY('Volunteer Survey'!F78)"),"Scientific Researcher")</f>
        <v>Scientific Researcher</v>
      </c>
      <c r="O72" s="48" t="str">
        <f>IFERROR(__xludf.DUMMYFUNCTION("QUERY('Volunteer Survey'!H78)"),"Comprehensive")</f>
        <v>Comprehensive</v>
      </c>
      <c r="P72" s="55" t="str">
        <f>IFERROR(__xludf.DUMMYFUNCTION("QUERY('Volunteer Survey'!I78)"),"Variant Pathogenicity")</f>
        <v>Variant Pathogenicity</v>
      </c>
      <c r="Q72" s="60" t="str">
        <f>IFERROR(__xludf.DUMMYFUNCTION("QUERY('Volunteer Survey'!J78)"),"Clinical Actionability")</f>
        <v>Clinical Actionability</v>
      </c>
      <c r="R72" s="55" t="str">
        <f>IFERROR(__xludf.DUMMYFUNCTION("QUERY('Volunteer Survey'!K78)"),"Gene-Disease Validity")</f>
        <v>Gene-Disease Validity</v>
      </c>
      <c r="S72" s="55" t="str">
        <f>IFERROR(__xludf.DUMMYFUNCTION("QUERY('Volunteer Survey'!L78)"),"Dosage Sensitivity")</f>
        <v>Dosage Sensitivity</v>
      </c>
      <c r="T72" s="55" t="str">
        <f>IFERROR(__xludf.DUMMYFUNCTION("QUERY('Volunteer Survey'!M78)"),"Somatic Cancer")</f>
        <v>Somatic Cancer</v>
      </c>
      <c r="U72" s="64" t="str">
        <f>IFERROR(__xludf.DUMMYFUNCTION("QUERY('Volunteer Survey'!N78)"),"No")</f>
        <v>No</v>
      </c>
      <c r="V72" s="55" t="str">
        <f>IFERROR(__xludf.DUMMYFUNCTION("QUERY('Volunteer Survey'!O78)"),"Yes")</f>
        <v>Yes</v>
      </c>
      <c r="W72" s="66" t="str">
        <f>IFERROR(__xludf.DUMMYFUNCTION("QUERY('Volunteer Survey'!P78)"),"Mitochondrial Disease Variant Curation Expert Panel (In progress) Autism and Intellectual Disability Gene Curation Expert Panel")</f>
        <v>Mitochondrial Disease Variant Curation Expert Panel (In progress) Autism and Intellectual Disability Gene Curation Expert Panel</v>
      </c>
      <c r="X72" s="64" t="str">
        <f>IFERROR(__xludf.DUMMYFUNCTION("QUERY('Volunteer Survey'!R78)"),"Yes- I am willing to volunteer with any available ClinGen group")</f>
        <v>Yes- I am willing to volunteer with any available ClinGen group</v>
      </c>
      <c r="Y72" s="53"/>
      <c r="Z72" s="182">
        <f>IFERROR(__xludf.DUMMYFUNCTION("QUERY('Volunteer Survey'!A71)"),43364.44614583333)</f>
        <v>43364.44615</v>
      </c>
      <c r="AA72" s="183" t="str">
        <f>IFERROR(__xludf.DUMMYFUNCTION("QUERY('Volunteer Survey'!B71)"),"Emily Groopman")</f>
        <v>Emily Groopman</v>
      </c>
      <c r="AB72" s="183" t="str">
        <f>IFERROR(__xludf.DUMMYFUNCTION("QUERY('Volunteer Survey'!C71)"),"NA")</f>
        <v>NA</v>
      </c>
      <c r="AC72" s="183" t="str">
        <f>IFERROR(__xludf.DUMMYFUNCTION("QUERY('Volunteer Survey'!D71)"),"NY")</f>
        <v>NY</v>
      </c>
      <c r="AD72" s="183" t="str">
        <f>IFERROR(__xludf.DUMMYFUNCTION("QUERY('Volunteer Survey'!E71)"),"ee.groopman@gmail.com")</f>
        <v>ee.groopman@gmail.com</v>
      </c>
      <c r="AE72" s="183" t="str">
        <f>IFERROR(__xludf.DUMMYFUNCTION("QUERY('Volunteer Survey'!F71)"),"Post Doc/Resident/Fellow (MD and/or PhD)")</f>
        <v>Post Doc/Resident/Fellow (MD and/or PhD)</v>
      </c>
      <c r="AF72" s="183" t="str">
        <f>IFERROR(__xludf.DUMMYFUNCTION("QUERY('Volunteer Survey'!G71)"),"n/a")</f>
        <v>n/a</v>
      </c>
      <c r="AG72" s="183" t="str">
        <f>IFERROR(__xludf.DUMMYFUNCTION("QUERY('Volunteer Survey'!H71)"),"Comprehensive")</f>
        <v>Comprehensive</v>
      </c>
      <c r="AH72" s="183" t="str">
        <f>IFERROR(__xludf.DUMMYFUNCTION("QUERY('Volunteer Survey'!I71)"),"Variant Pathogenicity")</f>
        <v>Variant Pathogenicity</v>
      </c>
      <c r="AI72" s="183" t="str">
        <f>IFERROR(__xludf.DUMMYFUNCTION("QUERY('Volunteer Survey'!J71)"),"Gene-Disease Validity")</f>
        <v>Gene-Disease Validity</v>
      </c>
      <c r="AJ72" s="183" t="str">
        <f>IFERROR(__xludf.DUMMYFUNCTION("QUERY('Volunteer Survey'!K71)"),"Dosage Sensitivity")</f>
        <v>Dosage Sensitivity</v>
      </c>
      <c r="AK72" s="183" t="str">
        <f>IFERROR(__xludf.DUMMYFUNCTION("QUERY('Volunteer Survey'!L71)"),"Clinical Actionability")</f>
        <v>Clinical Actionability</v>
      </c>
      <c r="AL72" s="183" t="str">
        <f>IFERROR(__xludf.DUMMYFUNCTION("QUERY('Volunteer Survey'!M71)"),"Somatic Cancer")</f>
        <v>Somatic Cancer</v>
      </c>
      <c r="AM72" s="183" t="str">
        <f>IFERROR(__xludf.DUMMYFUNCTION("QUERY('Volunteer Survey'!N71)"),"yes")</f>
        <v>yes</v>
      </c>
      <c r="AN72" s="183" t="str">
        <f>IFERROR(__xludf.DUMMYFUNCTION("QUERY('Volunteer Survey'!O71)"),"Yes")</f>
        <v>Yes</v>
      </c>
      <c r="AO72" s="183" t="str">
        <f>IFERROR(__xludf.DUMMYFUNCTION("QUERY('Volunteer Survey'!P71)"),"Aminoacidopathy Gene Curation Expert Panel, Storage Diseases Variant Curation Expert Panel, and Hereditary Cancer Gene Curation Expert Pane")</f>
        <v>Aminoacidopathy Gene Curation Expert Panel, Storage Diseases Variant Curation Expert Panel, and Hereditary Cancer Gene Curation Expert Pane</v>
      </c>
    </row>
    <row r="73">
      <c r="A73" s="50">
        <f>IFERROR(__xludf.DUMMYFUNCTION("QUERY('Volunteer Survey'!A79)"),43413.46214120371)</f>
        <v>43413.46214</v>
      </c>
      <c r="B73" s="48" t="s">
        <v>168</v>
      </c>
      <c r="C73" s="87">
        <v>43109.0</v>
      </c>
      <c r="D73" s="55"/>
      <c r="E73" s="48" t="s">
        <v>130</v>
      </c>
      <c r="F73" s="48" t="s">
        <v>130</v>
      </c>
      <c r="G73" s="48" t="s">
        <v>251</v>
      </c>
      <c r="H73" s="53"/>
      <c r="I73" s="51" t="s">
        <v>139</v>
      </c>
      <c r="J73" s="55"/>
      <c r="K73" s="55"/>
      <c r="L73" s="55" t="str">
        <f>IFERROR(__xludf.DUMMYFUNCTION("QUERY('Volunteer Survey'!B79)"),"Santhi Ramachandran")</f>
        <v>Santhi Ramachandran</v>
      </c>
      <c r="M73" s="55" t="str">
        <f>IFERROR(__xludf.DUMMYFUNCTION("QUERY('Volunteer Survey'!E79)"),"santhialways4u@gmail.com")</f>
        <v>santhialways4u@gmail.com</v>
      </c>
      <c r="N73" s="55" t="str">
        <f>IFERROR(__xludf.DUMMYFUNCTION("QUERY('Volunteer Survey'!F79)"),"Biocurator")</f>
        <v>Biocurator</v>
      </c>
      <c r="O73" s="48" t="str">
        <f>IFERROR(__xludf.DUMMYFUNCTION("QUERY('Volunteer Survey'!H79)"),"Comprehensive")</f>
        <v>Comprehensive</v>
      </c>
      <c r="P73" s="55" t="str">
        <f>IFERROR(__xludf.DUMMYFUNCTION("QUERY('Volunteer Survey'!I79)"),"Variant Pathogenicity")</f>
        <v>Variant Pathogenicity</v>
      </c>
      <c r="Q73" s="60" t="str">
        <f>IFERROR(__xludf.DUMMYFUNCTION("QUERY('Volunteer Survey'!J79)"),"Gene-Disease Validity")</f>
        <v>Gene-Disease Validity</v>
      </c>
      <c r="R73" s="55" t="str">
        <f>IFERROR(__xludf.DUMMYFUNCTION("QUERY('Volunteer Survey'!K79)"),"Clinical Actionability")</f>
        <v>Clinical Actionability</v>
      </c>
      <c r="S73" s="55" t="str">
        <f>IFERROR(__xludf.DUMMYFUNCTION("QUERY('Volunteer Survey'!L79)"),"Dosage Sensitivity")</f>
        <v>Dosage Sensitivity</v>
      </c>
      <c r="T73" s="55" t="str">
        <f>IFERROR(__xludf.DUMMYFUNCTION("QUERY('Volunteer Survey'!M79)"),"Somatic Cancer")</f>
        <v>Somatic Cancer</v>
      </c>
      <c r="U73" s="64" t="str">
        <f>IFERROR(__xludf.DUMMYFUNCTION("QUERY('Volunteer Survey'!N79)"),"yes")</f>
        <v>yes</v>
      </c>
      <c r="V73" s="55" t="str">
        <f>IFERROR(__xludf.DUMMYFUNCTION("QUERY('Volunteer Survey'!O79)"),"Possibly")</f>
        <v>Possibly</v>
      </c>
      <c r="W73" s="66" t="str">
        <f>IFERROR(__xludf.DUMMYFUNCTION("QUERY('Volunteer Survey'!P79)"),"I would like to work with variant curation expert panel or gene curation expert panel")</f>
        <v>I would like to work with variant curation expert panel or gene curation expert panel</v>
      </c>
      <c r="X73" s="64" t="str">
        <f>IFERROR(__xludf.DUMMYFUNCTION("QUERY('Volunteer Survey'!R79)"),"Yes- I am willing to volunteer with any available ClinGen group")</f>
        <v>Yes- I am willing to volunteer with any available ClinGen group</v>
      </c>
      <c r="Y73" s="53"/>
      <c r="Z73" s="182">
        <f>IFERROR(__xludf.DUMMYFUNCTION("QUERY('Volunteer Survey'!A72)"),43369.4483449074)</f>
        <v>43369.44834</v>
      </c>
      <c r="AA73" s="183" t="str">
        <f>IFERROR(__xludf.DUMMYFUNCTION("QUERY('Volunteer Survey'!B72)"),"Rhonda Lassiter ")</f>
        <v>Rhonda Lassiter </v>
      </c>
      <c r="AB73" s="183" t="str">
        <f>IFERROR(__xludf.DUMMYFUNCTION("QUERY('Volunteer Survey'!C72)"),"Ambry Genetics")</f>
        <v>Ambry Genetics</v>
      </c>
      <c r="AC73" s="183" t="str">
        <f>IFERROR(__xludf.DUMMYFUNCTION("QUERY('Volunteer Survey'!D72)"),"CA")</f>
        <v>CA</v>
      </c>
      <c r="AD73" s="183" t="str">
        <f>IFERROR(__xludf.DUMMYFUNCTION("QUERY('Volunteer Survey'!E72)"),"rlassiter@ambrygen.com")</f>
        <v>rlassiter@ambrygen.com</v>
      </c>
      <c r="AE73" s="183" t="str">
        <f>IFERROR(__xludf.DUMMYFUNCTION("QUERY('Volunteer Survey'!F72)"),"Variant Analyst/Scientist")</f>
        <v>Variant Analyst/Scientist</v>
      </c>
      <c r="AF73" s="183" t="str">
        <f>IFERROR(__xludf.DUMMYFUNCTION("QUERY('Volunteer Survey'!G72)"),"n/a")</f>
        <v>n/a</v>
      </c>
      <c r="AG73" s="183" t="str">
        <f>IFERROR(__xludf.DUMMYFUNCTION("QUERY('Volunteer Survey'!H72)"),"Comprehensive")</f>
        <v>Comprehensive</v>
      </c>
      <c r="AH73" s="183" t="str">
        <f>IFERROR(__xludf.DUMMYFUNCTION("QUERY('Volunteer Survey'!I72)"),"Variant Pathogenicity")</f>
        <v>Variant Pathogenicity</v>
      </c>
      <c r="AI73" s="183" t="str">
        <f>IFERROR(__xludf.DUMMYFUNCTION("QUERY('Volunteer Survey'!J72)"),"Gene-Disease Validity")</f>
        <v>Gene-Disease Validity</v>
      </c>
      <c r="AJ73" s="183" t="str">
        <f>IFERROR(__xludf.DUMMYFUNCTION("QUERY('Volunteer Survey'!K72)"),"Dosage Sensitivity")</f>
        <v>Dosage Sensitivity</v>
      </c>
      <c r="AK73" s="183" t="str">
        <f>IFERROR(__xludf.DUMMYFUNCTION("QUERY('Volunteer Survey'!L72)"),"Clinical Actionability")</f>
        <v>Clinical Actionability</v>
      </c>
      <c r="AL73" s="183" t="str">
        <f>IFERROR(__xludf.DUMMYFUNCTION("QUERY('Volunteer Survey'!M72)"),"Somatic Cancer")</f>
        <v>Somatic Cancer</v>
      </c>
      <c r="AM73" s="183" t="str">
        <f>IFERROR(__xludf.DUMMYFUNCTION("QUERY('Volunteer Survey'!N72)"),"yes")</f>
        <v>yes</v>
      </c>
      <c r="AN73" s="183" t="str">
        <f>IFERROR(__xludf.DUMMYFUNCTION("QUERY('Volunteer Survey'!O72)"),"Yes")</f>
        <v>Yes</v>
      </c>
      <c r="AO73" s="183" t="str">
        <f>IFERROR(__xludf.DUMMYFUNCTION("QUERY('Volunteer Survey'!P72)"),"I am interested in any of the Neurodevelopmental Disorders CDWG's. I am happy to help wherever there is a need.")</f>
        <v>I am interested in any of the Neurodevelopmental Disorders CDWG's. I am happy to help wherever there is a need.</v>
      </c>
    </row>
    <row r="74">
      <c r="A74" s="50">
        <f>IFERROR(__xludf.DUMMYFUNCTION("QUERY('Volunteer Survey'!A80)"),43413.46335648149)</f>
        <v>43413.46336</v>
      </c>
      <c r="B74" s="48" t="s">
        <v>168</v>
      </c>
      <c r="C74" s="87">
        <v>43439.0</v>
      </c>
      <c r="D74" s="55"/>
      <c r="E74" s="48" t="s">
        <v>130</v>
      </c>
      <c r="F74" s="48" t="s">
        <v>130</v>
      </c>
      <c r="G74" s="48" t="s">
        <v>251</v>
      </c>
      <c r="H74" s="53"/>
      <c r="I74" s="51" t="s">
        <v>139</v>
      </c>
      <c r="J74" s="55"/>
      <c r="K74" s="55"/>
      <c r="L74" s="55" t="str">
        <f>IFERROR(__xludf.DUMMYFUNCTION("QUERY('Volunteer Survey'!B80)"),"Megan Nathan")</f>
        <v>Megan Nathan</v>
      </c>
      <c r="M74" s="55" t="str">
        <f>IFERROR(__xludf.DUMMYFUNCTION("QUERY('Volunteer Survey'!E80)"),"mlnathan.genetics@gmail.com")</f>
        <v>mlnathan.genetics@gmail.com</v>
      </c>
      <c r="N74" s="55" t="str">
        <f>IFERROR(__xludf.DUMMYFUNCTION("QUERY('Volunteer Survey'!F80)"),"Genetic counselor")</f>
        <v>Genetic counselor</v>
      </c>
      <c r="O74" s="48" t="str">
        <f>IFERROR(__xludf.DUMMYFUNCTION("QUERY('Volunteer Survey'!H80)"),"Comprehensive")</f>
        <v>Comprehensive</v>
      </c>
      <c r="P74" s="55" t="str">
        <f>IFERROR(__xludf.DUMMYFUNCTION("QUERY('Volunteer Survey'!I80)"),"Variant Pathogenicity")</f>
        <v>Variant Pathogenicity</v>
      </c>
      <c r="Q74" s="60" t="str">
        <f>IFERROR(__xludf.DUMMYFUNCTION("QUERY('Volunteer Survey'!J80)"),"Somatic Cancer")</f>
        <v>Somatic Cancer</v>
      </c>
      <c r="R74" s="55" t="str">
        <f>IFERROR(__xludf.DUMMYFUNCTION("QUERY('Volunteer Survey'!K80)"),"Dosage Sensitivity")</f>
        <v>Dosage Sensitivity</v>
      </c>
      <c r="S74" s="55" t="str">
        <f>IFERROR(__xludf.DUMMYFUNCTION("QUERY('Volunteer Survey'!L80)"),"Gene-Disease Validity")</f>
        <v>Gene-Disease Validity</v>
      </c>
      <c r="T74" s="55" t="str">
        <f>IFERROR(__xludf.DUMMYFUNCTION("QUERY('Volunteer Survey'!M80)"),"Clinical Actionability")</f>
        <v>Clinical Actionability</v>
      </c>
      <c r="U74" s="64" t="str">
        <f>IFERROR(__xludf.DUMMYFUNCTION("QUERY('Volunteer Survey'!N80)"),"yes")</f>
        <v>yes</v>
      </c>
      <c r="V74" s="55" t="str">
        <f>IFERROR(__xludf.DUMMYFUNCTION("QUERY('Volunteer Survey'!O80)"),"")</f>
        <v/>
      </c>
      <c r="W74" s="66" t="str">
        <f>IFERROR(__xludf.DUMMYFUNCTION("QUERY('Volunteer Survey'!P80)"),"I would be most interested in the following groups (1 = top choice; 5 = last choice) 1. Breast/Ovarian Cancer (newly forming) 2. Colorectal Cancer (newly forming) 3. PTEN* 4. CDH1 5. VHL (Von Hippel-Lindau)*")</f>
        <v>I would be most interested in the following groups (1 = top choice; 5 = last choice) 1. Breast/Ovarian Cancer (newly forming) 2. Colorectal Cancer (newly forming) 3. PTEN* 4. CDH1 5. VHL (Von Hippel-Lindau)*</v>
      </c>
      <c r="X74" s="64" t="str">
        <f>IFERROR(__xludf.DUMMYFUNCTION("QUERY('Volunteer Survey'!R80)"),"Maybe -- please contact me with other options, and I will decide based on what is available")</f>
        <v>Maybe -- please contact me with other options, and I will decide based on what is available</v>
      </c>
      <c r="Y74" s="53"/>
      <c r="Z74" s="182">
        <f>IFERROR(__xludf.DUMMYFUNCTION("QUERY('Volunteer Survey'!A73)"),43369.44918981481)</f>
        <v>43369.44919</v>
      </c>
      <c r="AA74" s="183" t="str">
        <f>IFERROR(__xludf.DUMMYFUNCTION("QUERY('Volunteer Survey'!B73)"),"Rhonda Lassiter ")</f>
        <v>Rhonda Lassiter </v>
      </c>
      <c r="AB74" s="183" t="str">
        <f>IFERROR(__xludf.DUMMYFUNCTION("QUERY('Volunteer Survey'!C73)"),"Ambry Genetics")</f>
        <v>Ambry Genetics</v>
      </c>
      <c r="AC74" s="183" t="str">
        <f>IFERROR(__xludf.DUMMYFUNCTION("QUERY('Volunteer Survey'!D73)"),"CA")</f>
        <v>CA</v>
      </c>
      <c r="AD74" s="183" t="str">
        <f>IFERROR(__xludf.DUMMYFUNCTION("QUERY('Volunteer Survey'!E73)"),"rlassiter@ambrygen.com")</f>
        <v>rlassiter@ambrygen.com</v>
      </c>
      <c r="AE74" s="183" t="str">
        <f>IFERROR(__xludf.DUMMYFUNCTION("QUERY('Volunteer Survey'!F73)"),"Variant Analyst/Scientist")</f>
        <v>Variant Analyst/Scientist</v>
      </c>
      <c r="AF74" s="183" t="str">
        <f>IFERROR(__xludf.DUMMYFUNCTION("QUERY('Volunteer Survey'!G73)"),"n/a")</f>
        <v>n/a</v>
      </c>
      <c r="AG74" s="183" t="str">
        <f>IFERROR(__xludf.DUMMYFUNCTION("QUERY('Volunteer Survey'!H73)"),"Comprehensive")</f>
        <v>Comprehensive</v>
      </c>
      <c r="AH74" s="183" t="str">
        <f>IFERROR(__xludf.DUMMYFUNCTION("QUERY('Volunteer Survey'!I73)"),"Variant Pathogenicity")</f>
        <v>Variant Pathogenicity</v>
      </c>
      <c r="AI74" s="183" t="str">
        <f>IFERROR(__xludf.DUMMYFUNCTION("QUERY('Volunteer Survey'!J73)"),"Gene-Disease Validity")</f>
        <v>Gene-Disease Validity</v>
      </c>
      <c r="AJ74" s="183" t="str">
        <f>IFERROR(__xludf.DUMMYFUNCTION("QUERY('Volunteer Survey'!K73)"),"Dosage Sensitivity")</f>
        <v>Dosage Sensitivity</v>
      </c>
      <c r="AK74" s="183" t="str">
        <f>IFERROR(__xludf.DUMMYFUNCTION("QUERY('Volunteer Survey'!L73)"),"Clinical Actionability")</f>
        <v>Clinical Actionability</v>
      </c>
      <c r="AL74" s="183" t="str">
        <f>IFERROR(__xludf.DUMMYFUNCTION("QUERY('Volunteer Survey'!M73)"),"Somatic Cancer")</f>
        <v>Somatic Cancer</v>
      </c>
      <c r="AM74" s="183" t="str">
        <f>IFERROR(__xludf.DUMMYFUNCTION("QUERY('Volunteer Survey'!N73)"),"yes")</f>
        <v>yes</v>
      </c>
      <c r="AN74" s="183" t="str">
        <f>IFERROR(__xludf.DUMMYFUNCTION("QUERY('Volunteer Survey'!O73)"),"Yes")</f>
        <v>Yes</v>
      </c>
      <c r="AO74" s="183" t="str">
        <f>IFERROR(__xludf.DUMMYFUNCTION("QUERY('Volunteer Survey'!P73)"),"I am interested in any of the Neurodevelopmental Disorders CDWG's. I am happy to help wherever there is a need.")</f>
        <v>I am interested in any of the Neurodevelopmental Disorders CDWG's. I am happy to help wherever there is a need.</v>
      </c>
    </row>
    <row r="75">
      <c r="A75" s="50">
        <f>IFERROR(__xludf.DUMMYFUNCTION("QUERY('Volunteer Survey'!A81)"),43416.46445601852)</f>
        <v>43416.46446</v>
      </c>
      <c r="B75" s="48" t="s">
        <v>168</v>
      </c>
      <c r="C75" s="51" t="s">
        <v>3146</v>
      </c>
      <c r="D75" s="55"/>
      <c r="E75" s="48" t="s">
        <v>130</v>
      </c>
      <c r="F75" s="48" t="s">
        <v>130</v>
      </c>
      <c r="G75" s="48" t="s">
        <v>251</v>
      </c>
      <c r="H75" s="53"/>
      <c r="I75" s="51" t="s">
        <v>139</v>
      </c>
      <c r="J75" s="55"/>
      <c r="K75" s="55"/>
      <c r="L75" s="55" t="str">
        <f>IFERROR(__xludf.DUMMYFUNCTION("QUERY('Volunteer Survey'!B81)"),"Ellen Xu")</f>
        <v>Ellen Xu</v>
      </c>
      <c r="M75" s="55" t="str">
        <f>IFERROR(__xludf.DUMMYFUNCTION("QUERY('Volunteer Survey'!E81)"),"")</f>
        <v/>
      </c>
      <c r="N75" s="55" t="str">
        <f>IFERROR(__xludf.DUMMYFUNCTION("QUERY('Volunteer Survey'!F81)"),"Genetic counselor")</f>
        <v>Genetic counselor</v>
      </c>
      <c r="O75" s="48" t="str">
        <f>IFERROR(__xludf.DUMMYFUNCTION("QUERY('Volunteer Survey'!H81)"),"Comprehensive")</f>
        <v>Comprehensive</v>
      </c>
      <c r="P75" s="55" t="str">
        <f>IFERROR(__xludf.DUMMYFUNCTION("QUERY('Volunteer Survey'!I81)"),"Variant Pathogenicity")</f>
        <v>Variant Pathogenicity</v>
      </c>
      <c r="Q75" s="60" t="str">
        <f>IFERROR(__xludf.DUMMYFUNCTION("QUERY('Volunteer Survey'!J81)"),"Clinical Actionability")</f>
        <v>Clinical Actionability</v>
      </c>
      <c r="R75" s="55" t="str">
        <f>IFERROR(__xludf.DUMMYFUNCTION("QUERY('Volunteer Survey'!K81)"),"Gene-Disease Validity")</f>
        <v>Gene-Disease Validity</v>
      </c>
      <c r="S75" s="55" t="str">
        <f>IFERROR(__xludf.DUMMYFUNCTION("QUERY('Volunteer Survey'!L81)"),"Dosage Sensitivity")</f>
        <v>Dosage Sensitivity</v>
      </c>
      <c r="T75" s="55" t="str">
        <f>IFERROR(__xludf.DUMMYFUNCTION("QUERY('Volunteer Survey'!M81)"),"Somatic Cancer")</f>
        <v>Somatic Cancer</v>
      </c>
      <c r="U75" s="64" t="str">
        <f>IFERROR(__xludf.DUMMYFUNCTION("QUERY('Volunteer Survey'!N81)"),"yes")</f>
        <v>yes</v>
      </c>
      <c r="V75" s="55" t="str">
        <f>IFERROR(__xludf.DUMMYFUNCTION("QUERY('Volunteer Survey'!O81)"),"Possibly")</f>
        <v>Possibly</v>
      </c>
      <c r="W75" s="66" t="str">
        <f>IFERROR(__xludf.DUMMYFUNCTION("QUERY('Volunteer Survey'!P81)"),"Dosage sensitivity, hereditary cancer")</f>
        <v>Dosage sensitivity, hereditary cancer</v>
      </c>
      <c r="X75" s="64" t="str">
        <f>IFERROR(__xludf.DUMMYFUNCTION("QUERY('Volunteer Survey'!R81)"),"Yes- I am willing to volunteer with any available ClinGen group")</f>
        <v>Yes- I am willing to volunteer with any available ClinGen group</v>
      </c>
      <c r="Y75" s="103" t="s">
        <v>3147</v>
      </c>
      <c r="Z75" s="182">
        <f>IFERROR(__xludf.DUMMYFUNCTION("QUERY('Volunteer Survey'!A74)"),43389.45233796297)</f>
        <v>43389.45234</v>
      </c>
      <c r="AA75" s="183" t="str">
        <f>IFERROR(__xludf.DUMMYFUNCTION("QUERY('Volunteer Survey'!B74)"),"Emma Reble ")</f>
        <v>Emma Reble </v>
      </c>
      <c r="AB75" s="183" t="str">
        <f>IFERROR(__xludf.DUMMYFUNCTION("QUERY('Volunteer Survey'!C74)"),"St. Michael's Hospital")</f>
        <v>St. Michael's Hospital</v>
      </c>
      <c r="AC75" s="183" t="str">
        <f>IFERROR(__xludf.DUMMYFUNCTION("QUERY('Volunteer Survey'!D74)"),"Toronto, Canada")</f>
        <v>Toronto, Canada</v>
      </c>
      <c r="AD75" s="183" t="str">
        <f>IFERROR(__xludf.DUMMYFUNCTION("QUERY('Volunteer Survey'!E74)"),"reblee@smh.ca")</f>
        <v>reblee@smh.ca</v>
      </c>
      <c r="AE75" s="183" t="str">
        <f>IFERROR(__xludf.DUMMYFUNCTION("QUERY('Volunteer Survey'!F74)"),"Variant Analyst/Scientist")</f>
        <v>Variant Analyst/Scientist</v>
      </c>
      <c r="AF75" s="183" t="str">
        <f>IFERROR(__xludf.DUMMYFUNCTION("QUERY('Volunteer Survey'!G74)"),"n/a")</f>
        <v>n/a</v>
      </c>
      <c r="AG75" s="183" t="str">
        <f>IFERROR(__xludf.DUMMYFUNCTION("QUERY('Volunteer Survey'!H74)"),"Comprehensive")</f>
        <v>Comprehensive</v>
      </c>
      <c r="AH75" s="183" t="str">
        <f>IFERROR(__xludf.DUMMYFUNCTION("QUERY('Volunteer Survey'!I74)"),"Variant Pathogenicity")</f>
        <v>Variant Pathogenicity</v>
      </c>
      <c r="AI75" s="183" t="str">
        <f>IFERROR(__xludf.DUMMYFUNCTION("QUERY('Volunteer Survey'!J74)"),"Gene-Disease Validity")</f>
        <v>Gene-Disease Validity</v>
      </c>
      <c r="AJ75" s="183" t="str">
        <f>IFERROR(__xludf.DUMMYFUNCTION("QUERY('Volunteer Survey'!K74)"),"Clinical Actionability")</f>
        <v>Clinical Actionability</v>
      </c>
      <c r="AK75" s="183" t="str">
        <f>IFERROR(__xludf.DUMMYFUNCTION("QUERY('Volunteer Survey'!L74)"),"Dosage Sensitivity")</f>
        <v>Dosage Sensitivity</v>
      </c>
      <c r="AL75" s="183" t="str">
        <f>IFERROR(__xludf.DUMMYFUNCTION("QUERY('Volunteer Survey'!M74)"),"Somatic Cancer")</f>
        <v>Somatic Cancer</v>
      </c>
      <c r="AM75" s="183" t="str">
        <f>IFERROR(__xludf.DUMMYFUNCTION("QUERY('Volunteer Survey'!N74)"),"yes")</f>
        <v>yes</v>
      </c>
      <c r="AN75" s="183" t="str">
        <f>IFERROR(__xludf.DUMMYFUNCTION("QUERY('Volunteer Survey'!O74)"),"Yes")</f>
        <v>Yes</v>
      </c>
      <c r="AO75" s="183" t="str">
        <f>IFERROR(__xludf.DUMMYFUNCTION("QUERY('Volunteer Survey'!P74)"),"I am interest in the neurodevelopmental disorder CDWG, particularly the Autism and ID group.")</f>
        <v>I am interest in the neurodevelopmental disorder CDWG, particularly the Autism and ID group.</v>
      </c>
    </row>
    <row r="76">
      <c r="A76" s="50">
        <f>IFERROR(__xludf.DUMMYFUNCTION("QUERY('Volunteer Survey'!A82)"),43418.46555555555)</f>
        <v>43418.46556</v>
      </c>
      <c r="B76" s="48" t="s">
        <v>160</v>
      </c>
      <c r="C76" s="87">
        <v>43109.0</v>
      </c>
      <c r="D76" s="65">
        <v>43608.0</v>
      </c>
      <c r="E76" s="48" t="s">
        <v>117</v>
      </c>
      <c r="F76" s="48" t="s">
        <v>117</v>
      </c>
      <c r="G76" s="48" t="s">
        <v>251</v>
      </c>
      <c r="H76" s="51" t="s">
        <v>305</v>
      </c>
      <c r="I76" s="51" t="s">
        <v>139</v>
      </c>
      <c r="J76" s="56">
        <v>43712.0</v>
      </c>
      <c r="K76" s="56"/>
      <c r="L76" s="55" t="str">
        <f>IFERROR(__xludf.DUMMYFUNCTION("QUERY('Volunteer Survey'!B82)"),"Alisdair Philp")</f>
        <v>Alisdair Philp</v>
      </c>
      <c r="M76" s="55" t="str">
        <f>IFERROR(__xludf.DUMMYFUNCTION("QUERY('Volunteer Survey'!E82)"),"arphilp@gmail.com")</f>
        <v>arphilp@gmail.com</v>
      </c>
      <c r="N76" s="55" t="str">
        <f>IFERROR(__xludf.DUMMYFUNCTION("QUERY('Volunteer Survey'!F82)"),"Genetic counselor")</f>
        <v>Genetic counselor</v>
      </c>
      <c r="O76" s="48" t="str">
        <f>IFERROR(__xludf.DUMMYFUNCTION("QUERY('Volunteer Survey'!H82)"),"Comprehensive")</f>
        <v>Comprehensive</v>
      </c>
      <c r="P76" s="55" t="str">
        <f>IFERROR(__xludf.DUMMYFUNCTION("QUERY('Volunteer Survey'!I82)"),"Variant Pathogenicity")</f>
        <v>Variant Pathogenicity</v>
      </c>
      <c r="Q76" s="60" t="str">
        <f>IFERROR(__xludf.DUMMYFUNCTION("QUERY('Volunteer Survey'!J82)"),"Gene-Disease Validity")</f>
        <v>Gene-Disease Validity</v>
      </c>
      <c r="R76" s="55" t="str">
        <f>IFERROR(__xludf.DUMMYFUNCTION("QUERY('Volunteer Survey'!K82)"),"Clinical Actionability")</f>
        <v>Clinical Actionability</v>
      </c>
      <c r="S76" s="55" t="str">
        <f>IFERROR(__xludf.DUMMYFUNCTION("QUERY('Volunteer Survey'!L82)"),"Dosage Sensitivity")</f>
        <v>Dosage Sensitivity</v>
      </c>
      <c r="T76" s="55" t="str">
        <f>IFERROR(__xludf.DUMMYFUNCTION("QUERY('Volunteer Survey'!M82)"),"Somatic Cancer")</f>
        <v>Somatic Cancer</v>
      </c>
      <c r="U76" s="64" t="str">
        <f>IFERROR(__xludf.DUMMYFUNCTION("QUERY('Volunteer Survey'!N82)"),"yes")</f>
        <v>yes</v>
      </c>
      <c r="V76" s="55" t="str">
        <f>IFERROR(__xludf.DUMMYFUNCTION("QUERY('Volunteer Survey'!O82)"),"No")</f>
        <v>No</v>
      </c>
      <c r="W76" s="66" t="str">
        <f>IFERROR(__xludf.DUMMYFUNCTION("QUERY('Volunteer Survey'!P82)"),"Cnv")</f>
        <v>Cnv</v>
      </c>
      <c r="X76" s="64" t="str">
        <f>IFERROR(__xludf.DUMMYFUNCTION("QUERY('Volunteer Survey'!R82)"),"Yes- I am willing to volunteer with any available ClinGen group")</f>
        <v>Yes- I am willing to volunteer with any available ClinGen group</v>
      </c>
      <c r="Y76" s="53"/>
      <c r="Z76" s="182">
        <f>IFERROR(__xludf.DUMMYFUNCTION("QUERY('Volunteer Survey'!A75)"),43373.450949074075)</f>
        <v>43373.45095</v>
      </c>
      <c r="AA76" s="183" t="str">
        <f>IFERROR(__xludf.DUMMYFUNCTION("QUERY('Volunteer Survey'!B75)"),"Bryony Thompson")</f>
        <v>Bryony Thompson</v>
      </c>
      <c r="AB76" s="183" t="str">
        <f>IFERROR(__xludf.DUMMYFUNCTION("QUERY('Volunteer Survey'!C75)"),"Department of Pathology, Royal Melbourne Hospital")</f>
        <v>Department of Pathology, Royal Melbourne Hospital</v>
      </c>
      <c r="AC76" s="183" t="str">
        <f>IFERROR(__xludf.DUMMYFUNCTION("QUERY('Volunteer Survey'!D75)"),"Victoria, Australia")</f>
        <v>Victoria, Australia</v>
      </c>
      <c r="AD76" s="183" t="str">
        <f>IFERROR(__xludf.DUMMYFUNCTION("QUERY('Volunteer Survey'!E75)"),"Bryony.Thompson@mh.org.au")</f>
        <v>Bryony.Thompson@mh.org.au</v>
      </c>
      <c r="AE76" s="183" t="str">
        <f>IFERROR(__xludf.DUMMYFUNCTION("QUERY('Volunteer Survey'!F75)"),"Post Doc/Resident/Fellow (MD and/or PhD)")</f>
        <v>Post Doc/Resident/Fellow (MD and/or PhD)</v>
      </c>
      <c r="AF76" s="183" t="str">
        <f>IFERROR(__xludf.DUMMYFUNCTION("QUERY('Volunteer Survey'!G75)"),"n/a")</f>
        <v>n/a</v>
      </c>
      <c r="AG76" s="183" t="str">
        <f>IFERROR(__xludf.DUMMYFUNCTION("QUERY('Volunteer Survey'!H75)"),"Comprehensive")</f>
        <v>Comprehensive</v>
      </c>
      <c r="AH76" s="183" t="str">
        <f>IFERROR(__xludf.DUMMYFUNCTION("QUERY('Volunteer Survey'!I75)"),"Variant Pathogenicity")</f>
        <v>Variant Pathogenicity</v>
      </c>
      <c r="AI76" s="183" t="str">
        <f>IFERROR(__xludf.DUMMYFUNCTION("QUERY('Volunteer Survey'!J75)"),"")</f>
        <v/>
      </c>
      <c r="AJ76" s="183" t="str">
        <f>IFERROR(__xludf.DUMMYFUNCTION("QUERY('Volunteer Survey'!K75)"),"")</f>
        <v/>
      </c>
      <c r="AK76" s="183" t="str">
        <f>IFERROR(__xludf.DUMMYFUNCTION("QUERY('Volunteer Survey'!L75)"),"")</f>
        <v/>
      </c>
      <c r="AL76" s="183" t="str">
        <f>IFERROR(__xludf.DUMMYFUNCTION("QUERY('Volunteer Survey'!M75)"),"")</f>
        <v/>
      </c>
      <c r="AM76" s="183" t="str">
        <f>IFERROR(__xludf.DUMMYFUNCTION("QUERY('Volunteer Survey'!N75)"),"yes")</f>
        <v>yes</v>
      </c>
      <c r="AN76" s="183" t="str">
        <f>IFERROR(__xludf.DUMMYFUNCTION("QUERY('Volunteer Survey'!O75)"),"No")</f>
        <v>No</v>
      </c>
      <c r="AO76" s="183" t="str">
        <f>IFERROR(__xludf.DUMMYFUNCTION("QUERY('Volunteer Survey'!P75)"),"CDH1 Variant Curation Expert Panel")</f>
        <v>CDH1 Variant Curation Expert Panel</v>
      </c>
    </row>
    <row r="77">
      <c r="A77" s="50">
        <f>IFERROR(__xludf.DUMMYFUNCTION("QUERY('Volunteer Survey'!A83)"),43418.467453703706)</f>
        <v>43418.46745</v>
      </c>
      <c r="B77" s="48" t="s">
        <v>168</v>
      </c>
      <c r="C77" s="87">
        <v>43109.0</v>
      </c>
      <c r="D77" s="55"/>
      <c r="E77" s="48" t="s">
        <v>130</v>
      </c>
      <c r="F77" s="48" t="s">
        <v>130</v>
      </c>
      <c r="G77" s="48" t="s">
        <v>163</v>
      </c>
      <c r="H77" s="53"/>
      <c r="I77" s="51" t="s">
        <v>139</v>
      </c>
      <c r="J77" s="55"/>
      <c r="K77" s="55"/>
      <c r="L77" s="55" t="str">
        <f>IFERROR(__xludf.DUMMYFUNCTION("QUERY('Volunteer Survey'!B83)"),"Jenna Guiltinan")</f>
        <v>Jenna Guiltinan</v>
      </c>
      <c r="M77" s="55" t="str">
        <f>IFERROR(__xludf.DUMMYFUNCTION("QUERY('Volunteer Survey'!E83)"),"jenna.guiltinan@invitae.com")</f>
        <v>jenna.guiltinan@invitae.com</v>
      </c>
      <c r="N77" s="55" t="str">
        <f>IFERROR(__xludf.DUMMYFUNCTION("QUERY('Volunteer Survey'!F83)"),"Variant Analyst/Scientist")</f>
        <v>Variant Analyst/Scientist</v>
      </c>
      <c r="O77" s="48" t="str">
        <f>IFERROR(__xludf.DUMMYFUNCTION("QUERY('Volunteer Survey'!H83)"),"Comprehensive")</f>
        <v>Comprehensive</v>
      </c>
      <c r="P77" s="55" t="str">
        <f>IFERROR(__xludf.DUMMYFUNCTION("QUERY('Volunteer Survey'!I83)"),"Dosage Sensitivity")</f>
        <v>Dosage Sensitivity</v>
      </c>
      <c r="Q77" s="60" t="str">
        <f>IFERROR(__xludf.DUMMYFUNCTION("QUERY('Volunteer Survey'!J83)"),"Variant Pathogenicity")</f>
        <v>Variant Pathogenicity</v>
      </c>
      <c r="R77" s="55" t="str">
        <f>IFERROR(__xludf.DUMMYFUNCTION("QUERY('Volunteer Survey'!K83)"),"Clinical Actionability")</f>
        <v>Clinical Actionability</v>
      </c>
      <c r="S77" s="55" t="str">
        <f>IFERROR(__xludf.DUMMYFUNCTION("QUERY('Volunteer Survey'!L83)"),"Gene-Disease Validity")</f>
        <v>Gene-Disease Validity</v>
      </c>
      <c r="T77" s="55" t="str">
        <f>IFERROR(__xludf.DUMMYFUNCTION("QUERY('Volunteer Survey'!M83)"),"Somatic Cancer")</f>
        <v>Somatic Cancer</v>
      </c>
      <c r="U77" s="64" t="str">
        <f>IFERROR(__xludf.DUMMYFUNCTION("QUERY('Volunteer Survey'!N83)"),"yes")</f>
        <v>yes</v>
      </c>
      <c r="V77" s="55" t="str">
        <f>IFERROR(__xludf.DUMMYFUNCTION("QUERY('Volunteer Survey'!O83)"),"No")</f>
        <v>No</v>
      </c>
      <c r="W77" s="66" t="str">
        <f>IFERROR(__xludf.DUMMYFUNCTION("QUERY('Volunteer Survey'!P83)"),"Dosage- Hereditary Cancer sounds the most interesting to me, but any of the dosage sensitivity working groups would be great!")</f>
        <v>Dosage- Hereditary Cancer sounds the most interesting to me, but any of the dosage sensitivity working groups would be great!</v>
      </c>
      <c r="X77" s="64" t="str">
        <f>IFERROR(__xludf.DUMMYFUNCTION("QUERY('Volunteer Survey'!R83)"),"Yes- I am willing to volunteer with any available ClinGen group")</f>
        <v>Yes- I am willing to volunteer with any available ClinGen group</v>
      </c>
      <c r="Y77" s="53"/>
      <c r="Z77" s="182">
        <f>IFERROR(__xludf.DUMMYFUNCTION("QUERY('Volunteer Survey'!A76)"),43395.455196759256)</f>
        <v>43395.4552</v>
      </c>
      <c r="AA77" s="183" t="str">
        <f>IFERROR(__xludf.DUMMYFUNCTION("QUERY('Volunteer Survey'!B76)"),"Qiliang Ding")</f>
        <v>Qiliang Ding</v>
      </c>
      <c r="AB77" s="183" t="str">
        <f>IFERROR(__xludf.DUMMYFUNCTION("QUERY('Volunteer Survey'!C76)"),"Cornell University ")</f>
        <v>Cornell University </v>
      </c>
      <c r="AC77" s="183" t="str">
        <f>IFERROR(__xludf.DUMMYFUNCTION("QUERY('Volunteer Survey'!D76)"),"NY")</f>
        <v>NY</v>
      </c>
      <c r="AD77" s="183" t="str">
        <f>IFERROR(__xludf.DUMMYFUNCTION("QUERY('Volunteer Survey'!E76)"),"qd29@cornell.edu")</f>
        <v>qd29@cornell.edu</v>
      </c>
      <c r="AE77" s="183" t="str">
        <f>IFERROR(__xludf.DUMMYFUNCTION("QUERY('Volunteer Survey'!F76)"),"Graduate Student")</f>
        <v>Graduate Student</v>
      </c>
      <c r="AF77" s="183" t="str">
        <f>IFERROR(__xludf.DUMMYFUNCTION("QUERY('Volunteer Survey'!G76)"),"n/a")</f>
        <v>n/a</v>
      </c>
      <c r="AG77" s="183" t="str">
        <f>IFERROR(__xludf.DUMMYFUNCTION("QUERY('Volunteer Survey'!H76)"),"Comprehensive")</f>
        <v>Comprehensive</v>
      </c>
      <c r="AH77" s="183" t="str">
        <f>IFERROR(__xludf.DUMMYFUNCTION("QUERY('Volunteer Survey'!I76)"),"Variant Pathogenicity")</f>
        <v>Variant Pathogenicity</v>
      </c>
      <c r="AI77" s="183" t="str">
        <f>IFERROR(__xludf.DUMMYFUNCTION("QUERY('Volunteer Survey'!J76)"),"Somatic Cancer")</f>
        <v>Somatic Cancer</v>
      </c>
      <c r="AJ77" s="183" t="str">
        <f>IFERROR(__xludf.DUMMYFUNCTION("QUERY('Volunteer Survey'!K76)"),"Gene-Disease Validity")</f>
        <v>Gene-Disease Validity</v>
      </c>
      <c r="AK77" s="183" t="str">
        <f>IFERROR(__xludf.DUMMYFUNCTION("QUERY('Volunteer Survey'!L76)"),"Clinical Actionability")</f>
        <v>Clinical Actionability</v>
      </c>
      <c r="AL77" s="183" t="str">
        <f>IFERROR(__xludf.DUMMYFUNCTION("QUERY('Volunteer Survey'!M76)"),"Dosage Sensitivity")</f>
        <v>Dosage Sensitivity</v>
      </c>
      <c r="AM77" s="183" t="str">
        <f>IFERROR(__xludf.DUMMYFUNCTION("QUERY('Volunteer Survey'!N76)"),"yes")</f>
        <v>yes</v>
      </c>
      <c r="AN77" s="183" t="str">
        <f>IFERROR(__xludf.DUMMYFUNCTION("QUERY('Volunteer Survey'!O76)"),"Yes")</f>
        <v>Yes</v>
      </c>
      <c r="AO77" s="183" t="str">
        <f>IFERROR(__xludf.DUMMYFUNCTION("QUERY('Volunteer Survey'!P76)"),"I am interested in all working groups.")</f>
        <v>I am interested in all working groups.</v>
      </c>
    </row>
    <row r="78">
      <c r="A78" s="50">
        <f>IFERROR(__xludf.DUMMYFUNCTION("QUERY('Volunteer Survey'!A84)"),43483.52609407408)</f>
        <v>43483.52609</v>
      </c>
      <c r="B78" s="48" t="s">
        <v>168</v>
      </c>
      <c r="C78" s="53"/>
      <c r="D78" s="55"/>
      <c r="E78" s="48" t="s">
        <v>130</v>
      </c>
      <c r="F78" s="48" t="s">
        <v>130</v>
      </c>
      <c r="G78" s="48" t="s">
        <v>251</v>
      </c>
      <c r="H78" s="53"/>
      <c r="I78" s="51" t="s">
        <v>139</v>
      </c>
      <c r="J78" s="55"/>
      <c r="K78" s="55"/>
      <c r="L78" s="55" t="str">
        <f>IFERROR(__xludf.DUMMYFUNCTION("QUERY('Volunteer Survey'!B84)"),"Ron Agatep")</f>
        <v>Ron Agatep</v>
      </c>
      <c r="M78" s="55" t="str">
        <f>IFERROR(__xludf.DUMMYFUNCTION("QUERY('Volunteer Survey'!E84)"),"ragatep@sharedhealthmb.ca")</f>
        <v>ragatep@sharedhealthmb.ca</v>
      </c>
      <c r="N78" s="55" t="str">
        <f>IFERROR(__xludf.DUMMYFUNCTION("QUERY('Volunteer Survey'!F84)"),"Clinical laboratory geneticist")</f>
        <v>Clinical laboratory geneticist</v>
      </c>
      <c r="O78" s="48" t="str">
        <f>IFERROR(__xludf.DUMMYFUNCTION("QUERY('Volunteer Survey'!H84)"),"Comprehensive")</f>
        <v>Comprehensive</v>
      </c>
      <c r="P78" s="55" t="str">
        <f>IFERROR(__xludf.DUMMYFUNCTION("QUERY('Volunteer Survey'!I84)"),"Variant Pathogenicity")</f>
        <v>Variant Pathogenicity</v>
      </c>
      <c r="Q78" s="60" t="str">
        <f>IFERROR(__xludf.DUMMYFUNCTION("QUERY('Volunteer Survey'!J84)"),"Gene-Disease Validity, Somatic Cancer")</f>
        <v>Gene-Disease Validity, Somatic Cancer</v>
      </c>
      <c r="R78" s="55" t="str">
        <f>IFERROR(__xludf.DUMMYFUNCTION("QUERY('Volunteer Survey'!K84)"),"")</f>
        <v/>
      </c>
      <c r="S78" s="55" t="str">
        <f>IFERROR(__xludf.DUMMYFUNCTION("QUERY('Volunteer Survey'!L84)"),"")</f>
        <v/>
      </c>
      <c r="T78" s="55" t="str">
        <f>IFERROR(__xludf.DUMMYFUNCTION("QUERY('Volunteer Survey'!M84)"),"")</f>
        <v/>
      </c>
      <c r="U78" s="64" t="str">
        <f>IFERROR(__xludf.DUMMYFUNCTION("QUERY('Volunteer Survey'!N84)"),"")</f>
        <v/>
      </c>
      <c r="V78" s="55" t="str">
        <f>IFERROR(__xludf.DUMMYFUNCTION("QUERY('Volunteer Survey'!O84)"),"Possibly")</f>
        <v>Possibly</v>
      </c>
      <c r="W78" s="66" t="str">
        <f>IFERROR(__xludf.DUMMYFUNCTION("QUERY('Volunteer Survey'!P84)"),"Hereditary Breast and Ovarian Cancer")</f>
        <v>Hereditary Breast and Ovarian Cancer</v>
      </c>
      <c r="X78" s="64" t="str">
        <f>IFERROR(__xludf.DUMMYFUNCTION("QUERY('Volunteer Survey'!R84)"),"Maybe -- please contact me with other options, and I will decide based on what is available")</f>
        <v>Maybe -- please contact me with other options, and I will decide based on what is available</v>
      </c>
      <c r="Y78" s="53"/>
      <c r="Z78" s="182">
        <f>IFERROR(__xludf.DUMMYFUNCTION("QUERY('Volunteer Survey'!A77)"),43398.45934027778)</f>
        <v>43398.45934</v>
      </c>
      <c r="AA78" s="183" t="str">
        <f>IFERROR(__xludf.DUMMYFUNCTION("QUERY('Volunteer Survey'!B77)"),"Amy Donahue")</f>
        <v>Amy Donahue</v>
      </c>
      <c r="AB78" s="183" t="str">
        <f>IFERROR(__xludf.DUMMYFUNCTION("QUERY('Volunteer Survey'!C77)"),"Froedtert &amp; The Medical College of Wisconsin")</f>
        <v>Froedtert &amp; The Medical College of Wisconsin</v>
      </c>
      <c r="AC78" s="183" t="str">
        <f>IFERROR(__xludf.DUMMYFUNCTION("QUERY('Volunteer Survey'!D77)"),"WI")</f>
        <v>WI</v>
      </c>
      <c r="AD78" s="183" t="str">
        <f>IFERROR(__xludf.DUMMYFUNCTION("QUERY('Volunteer Survey'!E77)"),"adonahue@mcw.edu")</f>
        <v>adonahue@mcw.edu</v>
      </c>
      <c r="AE78" s="183" t="str">
        <f>IFERROR(__xludf.DUMMYFUNCTION("QUERY('Volunteer Survey'!F77)"),"Genetic counselor")</f>
        <v>Genetic counselor</v>
      </c>
      <c r="AF78" s="183" t="str">
        <f>IFERROR(__xludf.DUMMYFUNCTION("QUERY('Volunteer Survey'!G77)"),"n/a")</f>
        <v>n/a</v>
      </c>
      <c r="AG78" s="183" t="str">
        <f>IFERROR(__xludf.DUMMYFUNCTION("QUERY('Volunteer Survey'!H77)"),"Comprehensive")</f>
        <v>Comprehensive</v>
      </c>
      <c r="AH78" s="183" t="str">
        <f>IFERROR(__xludf.DUMMYFUNCTION("QUERY('Volunteer Survey'!I77)"),"Variant Pathogenicity")</f>
        <v>Variant Pathogenicity</v>
      </c>
      <c r="AI78" s="183" t="str">
        <f>IFERROR(__xludf.DUMMYFUNCTION("QUERY('Volunteer Survey'!J77)"),"Gene-Disease Validity")</f>
        <v>Gene-Disease Validity</v>
      </c>
      <c r="AJ78" s="183" t="str">
        <f>IFERROR(__xludf.DUMMYFUNCTION("QUERY('Volunteer Survey'!K77)"),"Clinical Actionability")</f>
        <v>Clinical Actionability</v>
      </c>
      <c r="AK78" s="183" t="str">
        <f>IFERROR(__xludf.DUMMYFUNCTION("QUERY('Volunteer Survey'!L77)"),"Dosage Sensitivity")</f>
        <v>Dosage Sensitivity</v>
      </c>
      <c r="AL78" s="183" t="str">
        <f>IFERROR(__xludf.DUMMYFUNCTION("QUERY('Volunteer Survey'!M77)"),"Somatic Cancer")</f>
        <v>Somatic Cancer</v>
      </c>
      <c r="AM78" s="183" t="str">
        <f>IFERROR(__xludf.DUMMYFUNCTION("QUERY('Volunteer Survey'!N77)"),"yes")</f>
        <v>yes</v>
      </c>
      <c r="AN78" s="183" t="str">
        <f>IFERROR(__xludf.DUMMYFUNCTION("QUERY('Volunteer Survey'!O77)"),"Possibly")</f>
        <v>Possibly</v>
      </c>
      <c r="AO78" s="183" t="str">
        <f>IFERROR(__xludf.DUMMYFUNCTION("QUERY('Volunteer Survey'!P77)"),"Any of the cardiac or neuro as well as the mitochondrial and monogenetic diabetes groups would fit within my clinical specialties. If there is the potential to start an ophthalmology/eye disorders group, I would love to be involved there. Thank you for th"&amp;"e opportunity!")</f>
        <v>Any of the cardiac or neuro as well as the mitochondrial and monogenetic diabetes groups would fit within my clinical specialties. If there is the potential to start an ophthalmology/eye disorders group, I would love to be involved there. Thank you for the opportunity!</v>
      </c>
    </row>
    <row r="79">
      <c r="A79" s="50">
        <f>IFERROR(__xludf.DUMMYFUNCTION("QUERY('Volunteer Survey'!A85)"),43342.52626157408)</f>
        <v>43342.52626</v>
      </c>
      <c r="B79" s="48" t="s">
        <v>108</v>
      </c>
      <c r="C79" s="53"/>
      <c r="D79" s="55"/>
      <c r="E79" s="48" t="s">
        <v>130</v>
      </c>
      <c r="F79" s="48" t="s">
        <v>130</v>
      </c>
      <c r="G79" s="48" t="s">
        <v>202</v>
      </c>
      <c r="H79" s="53"/>
      <c r="I79" s="51" t="s">
        <v>139</v>
      </c>
      <c r="J79" s="55"/>
      <c r="K79" s="55"/>
      <c r="L79" s="55" t="str">
        <f>IFERROR(__xludf.DUMMYFUNCTION("QUERY('Volunteer Survey'!B85)"),"Danielle Croucher")</f>
        <v>Danielle Croucher</v>
      </c>
      <c r="M79" s="55" t="str">
        <f>IFERROR(__xludf.DUMMYFUNCTION("QUERY('Volunteer Survey'!E85)"),"d.croucher@mail.utoronto.ca")</f>
        <v>d.croucher@mail.utoronto.ca</v>
      </c>
      <c r="N79" s="55" t="str">
        <f>IFERROR(__xludf.DUMMYFUNCTION("QUERY('Volunteer Survey'!F85)"),"Graduate Student")</f>
        <v>Graduate Student</v>
      </c>
      <c r="O79" s="48" t="str">
        <f>IFERROR(__xludf.DUMMYFUNCTION("QUERY('Volunteer Survey'!H85)"),"Baseline")</f>
        <v>Baseline</v>
      </c>
      <c r="P79" s="55" t="str">
        <f>IFERROR(__xludf.DUMMYFUNCTION("QUERY('Volunteer Survey'!I85)"),"Clinical Actionability")</f>
        <v>Clinical Actionability</v>
      </c>
      <c r="Q79" s="60" t="str">
        <f>IFERROR(__xludf.DUMMYFUNCTION("QUERY('Volunteer Survey'!J85)"),"Gene-Disease Validity")</f>
        <v>Gene-Disease Validity</v>
      </c>
      <c r="R79" s="55" t="str">
        <f>IFERROR(__xludf.DUMMYFUNCTION("QUERY('Volunteer Survey'!K85)"),"Variant Pathogenicity")</f>
        <v>Variant Pathogenicity</v>
      </c>
      <c r="S79" s="55" t="str">
        <f>IFERROR(__xludf.DUMMYFUNCTION("QUERY('Volunteer Survey'!L85)"),"Somatic Cancer")</f>
        <v>Somatic Cancer</v>
      </c>
      <c r="T79" s="55" t="str">
        <f>IFERROR(__xludf.DUMMYFUNCTION("QUERY('Volunteer Survey'!M85)"),"")</f>
        <v/>
      </c>
      <c r="U79" s="64" t="str">
        <f>IFERROR(__xludf.DUMMYFUNCTION("QUERY('Volunteer Survey'!N85)"),"yes")</f>
        <v>yes</v>
      </c>
      <c r="V79" s="55" t="str">
        <f>IFERROR(__xludf.DUMMYFUNCTION("QUERY('Volunteer Survey'!O85)"),"Possibly")</f>
        <v>Possibly</v>
      </c>
      <c r="W79" s="66" t="str">
        <f>IFERROR(__xludf.DUMMYFUNCTION("QUERY('Volunteer Survey'!P85)"),"Myeloid Malignancy Variant Curation Expert Panel, Somatic/Germline Variant Curation Group, TP53 Variant Curation Expert Panel, Hereditary Cancer Gene Curation Expert Panel, Breast and Ovarian Cancer Gene Curation Expert Panel")</f>
        <v>Myeloid Malignancy Variant Curation Expert Panel, Somatic/Germline Variant Curation Group, TP53 Variant Curation Expert Panel, Hereditary Cancer Gene Curation Expert Panel, Breast and Ovarian Cancer Gene Curation Expert Panel</v>
      </c>
      <c r="X79" s="64" t="str">
        <f>IFERROR(__xludf.DUMMYFUNCTION("QUERY('Volunteer Survey'!R85)"),"Maybe -- please contact me with other options, and I will decide based on what is available")</f>
        <v>Maybe -- please contact me with other options, and I will decide based on what is available</v>
      </c>
      <c r="Y79" s="53"/>
      <c r="Z79" s="182">
        <f>IFERROR(__xludf.DUMMYFUNCTION("QUERY('Volunteer Survey'!A78)"),43409.46091435185)</f>
        <v>43409.46091</v>
      </c>
      <c r="AA79" s="183" t="str">
        <f>IFERROR(__xludf.DUMMYFUNCTION("QUERY('Volunteer Survey'!B78)"),"Dave Ferguson")</f>
        <v>Dave Ferguson</v>
      </c>
      <c r="AB79" s="183" t="str">
        <f>IFERROR(__xludf.DUMMYFUNCTION("QUERY('Volunteer Survey'!C78)"),"UCI")</f>
        <v>UCI</v>
      </c>
      <c r="AC79" s="183" t="str">
        <f>IFERROR(__xludf.DUMMYFUNCTION("QUERY('Volunteer Survey'!D78)"),"Irvine, CA")</f>
        <v>Irvine, CA</v>
      </c>
      <c r="AD79" s="183" t="str">
        <f>IFERROR(__xludf.DUMMYFUNCTION("QUERY('Volunteer Survey'!E78)"),"dferguso@uci.edu")</f>
        <v>dferguso@uci.edu</v>
      </c>
      <c r="AE79" s="183" t="str">
        <f>IFERROR(__xludf.DUMMYFUNCTION("QUERY('Volunteer Survey'!F78)"),"Scientific Researcher")</f>
        <v>Scientific Researcher</v>
      </c>
      <c r="AF79" s="183" t="str">
        <f>IFERROR(__xludf.DUMMYFUNCTION("QUERY('Volunteer Survey'!G78)"),"n/a")</f>
        <v>n/a</v>
      </c>
      <c r="AG79" s="183" t="str">
        <f>IFERROR(__xludf.DUMMYFUNCTION("QUERY('Volunteer Survey'!H78)"),"Comprehensive")</f>
        <v>Comprehensive</v>
      </c>
      <c r="AH79" s="183" t="str">
        <f>IFERROR(__xludf.DUMMYFUNCTION("QUERY('Volunteer Survey'!I78)"),"Variant Pathogenicity")</f>
        <v>Variant Pathogenicity</v>
      </c>
      <c r="AI79" s="183" t="str">
        <f>IFERROR(__xludf.DUMMYFUNCTION("QUERY('Volunteer Survey'!J78)"),"Clinical Actionability")</f>
        <v>Clinical Actionability</v>
      </c>
      <c r="AJ79" s="183" t="str">
        <f>IFERROR(__xludf.DUMMYFUNCTION("QUERY('Volunteer Survey'!K78)"),"Gene-Disease Validity")</f>
        <v>Gene-Disease Validity</v>
      </c>
      <c r="AK79" s="183" t="str">
        <f>IFERROR(__xludf.DUMMYFUNCTION("QUERY('Volunteer Survey'!L78)"),"Dosage Sensitivity")</f>
        <v>Dosage Sensitivity</v>
      </c>
      <c r="AL79" s="183" t="str">
        <f>IFERROR(__xludf.DUMMYFUNCTION("QUERY('Volunteer Survey'!M78)"),"Somatic Cancer")</f>
        <v>Somatic Cancer</v>
      </c>
      <c r="AM79" s="183" t="str">
        <f>IFERROR(__xludf.DUMMYFUNCTION("QUERY('Volunteer Survey'!N78)"),"No")</f>
        <v>No</v>
      </c>
      <c r="AN79" s="183" t="str">
        <f>IFERROR(__xludf.DUMMYFUNCTION("QUERY('Volunteer Survey'!O78)"),"Yes")</f>
        <v>Yes</v>
      </c>
      <c r="AO79" s="183" t="str">
        <f>IFERROR(__xludf.DUMMYFUNCTION("QUERY('Volunteer Survey'!P78)"),"Mitochondrial Disease Variant Curation Expert Panel (In progress) Autism and Intellectual Disability Gene Curation Expert Panel")</f>
        <v>Mitochondrial Disease Variant Curation Expert Panel (In progress) Autism and Intellectual Disability Gene Curation Expert Panel</v>
      </c>
    </row>
    <row r="80">
      <c r="A80" s="50">
        <f>IFERROR(__xludf.DUMMYFUNCTION("QUERY('Volunteer Survey'!A86)"),43339.52752314815)</f>
        <v>43339.52752</v>
      </c>
      <c r="B80" s="48" t="s">
        <v>108</v>
      </c>
      <c r="C80" s="53"/>
      <c r="D80" s="55"/>
      <c r="E80" s="48" t="s">
        <v>130</v>
      </c>
      <c r="F80" s="48" t="s">
        <v>130</v>
      </c>
      <c r="G80" s="48" t="s">
        <v>202</v>
      </c>
      <c r="H80" s="53"/>
      <c r="I80" s="51" t="s">
        <v>139</v>
      </c>
      <c r="J80" s="55"/>
      <c r="K80" s="55"/>
      <c r="L80" s="55" t="str">
        <f>IFERROR(__xludf.DUMMYFUNCTION("QUERY('Volunteer Survey'!B86)"),"Fadel Alyaquob")</f>
        <v>Fadel Alyaquob</v>
      </c>
      <c r="M80" s="55" t="str">
        <f>IFERROR(__xludf.DUMMYFUNCTION("QUERY('Volunteer Survey'!E86)"),"falyaqoub1@yahoo.com")</f>
        <v>falyaqoub1@yahoo.com</v>
      </c>
      <c r="N80" s="55" t="str">
        <f>IFERROR(__xludf.DUMMYFUNCTION("QUERY('Volunteer Survey'!F86)"),"Variant Analyst/Scientist")</f>
        <v>Variant Analyst/Scientist</v>
      </c>
      <c r="O80" s="48" t="str">
        <f>IFERROR(__xludf.DUMMYFUNCTION("QUERY('Volunteer Survey'!H86)"),"Baseline")</f>
        <v>Baseline</v>
      </c>
      <c r="P80" s="55" t="str">
        <f>IFERROR(__xludf.DUMMYFUNCTION("QUERY('Volunteer Survey'!I86)"),"Clinical Actionability")</f>
        <v>Clinical Actionability</v>
      </c>
      <c r="Q80" s="60" t="str">
        <f>IFERROR(__xludf.DUMMYFUNCTION("QUERY('Volunteer Survey'!J86)"),"Gene-Disease Validity")</f>
        <v>Gene-Disease Validity</v>
      </c>
      <c r="R80" s="55" t="str">
        <f>IFERROR(__xludf.DUMMYFUNCTION("QUERY('Volunteer Survey'!K86)"),"Variant Pathogenicity")</f>
        <v>Variant Pathogenicity</v>
      </c>
      <c r="S80" s="55" t="str">
        <f>IFERROR(__xludf.DUMMYFUNCTION("QUERY('Volunteer Survey'!L86)"),"Somatic Cancer")</f>
        <v>Somatic Cancer</v>
      </c>
      <c r="T80" s="55" t="str">
        <f>IFERROR(__xludf.DUMMYFUNCTION("QUERY('Volunteer Survey'!M86)"),"")</f>
        <v/>
      </c>
      <c r="U80" s="64" t="str">
        <f>IFERROR(__xludf.DUMMYFUNCTION("QUERY('Volunteer Survey'!N86)"),"yes")</f>
        <v>yes</v>
      </c>
      <c r="V80" s="55" t="str">
        <f>IFERROR(__xludf.DUMMYFUNCTION("QUERY('Volunteer Survey'!O86)"),"Possibly")</f>
        <v>Possibly</v>
      </c>
      <c r="W80" s="66" t="str">
        <f>IFERROR(__xludf.DUMMYFUNCTION("QUERY('Volunteer Survey'!P86)"),"No")</f>
        <v>No</v>
      </c>
      <c r="X80" s="64" t="str">
        <f>IFERROR(__xludf.DUMMYFUNCTION("QUERY('Volunteer Survey'!R86)"),"Maybe -- please contact me with other options, and I will decide based on what is available")</f>
        <v>Maybe -- please contact me with other options, and I will decide based on what is available</v>
      </c>
      <c r="Y80" s="53"/>
      <c r="Z80" s="182">
        <f>IFERROR(__xludf.DUMMYFUNCTION("QUERY('Volunteer Survey'!A79)"),43413.46214120371)</f>
        <v>43413.46214</v>
      </c>
      <c r="AA80" s="183" t="str">
        <f>IFERROR(__xludf.DUMMYFUNCTION("QUERY('Volunteer Survey'!B79)"),"Santhi Ramachandran")</f>
        <v>Santhi Ramachandran</v>
      </c>
      <c r="AB80" s="183" t="str">
        <f>IFERROR(__xludf.DUMMYFUNCTION("QUERY('Volunteer Survey'!C79)"),"n/a")</f>
        <v>n/a</v>
      </c>
      <c r="AC80" s="183" t="str">
        <f>IFERROR(__xludf.DUMMYFUNCTION("QUERY('Volunteer Survey'!D79)"),"Kerala, India")</f>
        <v>Kerala, India</v>
      </c>
      <c r="AD80" s="183" t="str">
        <f>IFERROR(__xludf.DUMMYFUNCTION("QUERY('Volunteer Survey'!E79)"),"santhialways4u@gmail.com")</f>
        <v>santhialways4u@gmail.com</v>
      </c>
      <c r="AE80" s="183" t="str">
        <f>IFERROR(__xludf.DUMMYFUNCTION("QUERY('Volunteer Survey'!F79)"),"Biocurator")</f>
        <v>Biocurator</v>
      </c>
      <c r="AF80" s="183" t="str">
        <f>IFERROR(__xludf.DUMMYFUNCTION("QUERY('Volunteer Survey'!G79)"),"n/a")</f>
        <v>n/a</v>
      </c>
      <c r="AG80" s="183" t="str">
        <f>IFERROR(__xludf.DUMMYFUNCTION("QUERY('Volunteer Survey'!H79)"),"Comprehensive")</f>
        <v>Comprehensive</v>
      </c>
      <c r="AH80" s="183" t="str">
        <f>IFERROR(__xludf.DUMMYFUNCTION("QUERY('Volunteer Survey'!I79)"),"Variant Pathogenicity")</f>
        <v>Variant Pathogenicity</v>
      </c>
      <c r="AI80" s="183" t="str">
        <f>IFERROR(__xludf.DUMMYFUNCTION("QUERY('Volunteer Survey'!J79)"),"Gene-Disease Validity")</f>
        <v>Gene-Disease Validity</v>
      </c>
      <c r="AJ80" s="183" t="str">
        <f>IFERROR(__xludf.DUMMYFUNCTION("QUERY('Volunteer Survey'!K79)"),"Clinical Actionability")</f>
        <v>Clinical Actionability</v>
      </c>
      <c r="AK80" s="183" t="str">
        <f>IFERROR(__xludf.DUMMYFUNCTION("QUERY('Volunteer Survey'!L79)"),"Dosage Sensitivity")</f>
        <v>Dosage Sensitivity</v>
      </c>
      <c r="AL80" s="183" t="str">
        <f>IFERROR(__xludf.DUMMYFUNCTION("QUERY('Volunteer Survey'!M79)"),"Somatic Cancer")</f>
        <v>Somatic Cancer</v>
      </c>
      <c r="AM80" s="183" t="str">
        <f>IFERROR(__xludf.DUMMYFUNCTION("QUERY('Volunteer Survey'!N79)"),"yes")</f>
        <v>yes</v>
      </c>
      <c r="AN80" s="183" t="str">
        <f>IFERROR(__xludf.DUMMYFUNCTION("QUERY('Volunteer Survey'!O79)"),"Possibly")</f>
        <v>Possibly</v>
      </c>
      <c r="AO80" s="183" t="str">
        <f>IFERROR(__xludf.DUMMYFUNCTION("QUERY('Volunteer Survey'!P79)"),"I would like to work with variant curation expert panel or gene curation expert panel")</f>
        <v>I would like to work with variant curation expert panel or gene curation expert panel</v>
      </c>
    </row>
    <row r="81">
      <c r="A81" s="50">
        <f>IFERROR(__xludf.DUMMYFUNCTION("QUERY('Volunteer Survey'!A87)"),43332.52856481481)</f>
        <v>43332.52856</v>
      </c>
      <c r="B81" s="48" t="s">
        <v>108</v>
      </c>
      <c r="C81" s="53"/>
      <c r="D81" s="55"/>
      <c r="E81" s="48" t="s">
        <v>130</v>
      </c>
      <c r="F81" s="48" t="s">
        <v>130</v>
      </c>
      <c r="G81" s="48" t="s">
        <v>202</v>
      </c>
      <c r="H81" s="53"/>
      <c r="I81" s="51" t="s">
        <v>139</v>
      </c>
      <c r="J81" s="55"/>
      <c r="K81" s="55"/>
      <c r="L81" s="55" t="str">
        <f>IFERROR(__xludf.DUMMYFUNCTION("QUERY('Volunteer Survey'!B87)"),"Hilary Racher")</f>
        <v>Hilary Racher</v>
      </c>
      <c r="M81" s="55" t="str">
        <f>IFERROR(__xludf.DUMMYFUNCTION("QUERY('Volunteer Survey'!E87)"),"racherh@dynacare.ca")</f>
        <v>racherh@dynacare.ca</v>
      </c>
      <c r="N81" s="55" t="str">
        <f>IFERROR(__xludf.DUMMYFUNCTION("QUERY('Volunteer Survey'!F87)"),"Clinical laboratory geneticist")</f>
        <v>Clinical laboratory geneticist</v>
      </c>
      <c r="O81" s="48" t="str">
        <f>IFERROR(__xludf.DUMMYFUNCTION("QUERY('Volunteer Survey'!H87)"),"Baseline")</f>
        <v>Baseline</v>
      </c>
      <c r="P81" s="55" t="str">
        <f>IFERROR(__xludf.DUMMYFUNCTION("QUERY('Volunteer Survey'!I87)"),"Variant Pathogenicity")</f>
        <v>Variant Pathogenicity</v>
      </c>
      <c r="Q81" s="60" t="str">
        <f>IFERROR(__xludf.DUMMYFUNCTION("QUERY('Volunteer Survey'!J87)"),"Somatic Cancer")</f>
        <v>Somatic Cancer</v>
      </c>
      <c r="R81" s="55" t="str">
        <f>IFERROR(__xludf.DUMMYFUNCTION("QUERY('Volunteer Survey'!K87)"),"")</f>
        <v/>
      </c>
      <c r="S81" s="55" t="str">
        <f>IFERROR(__xludf.DUMMYFUNCTION("QUERY('Volunteer Survey'!L87)"),"")</f>
        <v/>
      </c>
      <c r="T81" s="55" t="str">
        <f>IFERROR(__xludf.DUMMYFUNCTION("QUERY('Volunteer Survey'!M87)"),"")</f>
        <v/>
      </c>
      <c r="U81" s="64" t="str">
        <f>IFERROR(__xludf.DUMMYFUNCTION("QUERY('Volunteer Survey'!N87)"),"Yes")</f>
        <v>Yes</v>
      </c>
      <c r="V81" s="55" t="str">
        <f>IFERROR(__xludf.DUMMYFUNCTION("QUERY('Volunteer Survey'!O87)"),"Possibly")</f>
        <v>Possibly</v>
      </c>
      <c r="W81" s="66" t="str">
        <f>IFERROR(__xludf.DUMMYFUNCTION("QUERY('Volunteer Survey'!P87)"),"Somatic/Germline Variant Curation Group Hereditary Cancer Gene Curation Expert Panel Sequence Variant Interpretation")</f>
        <v>Somatic/Germline Variant Curation Group Hereditary Cancer Gene Curation Expert Panel Sequence Variant Interpretation</v>
      </c>
      <c r="X81" s="64" t="str">
        <f>IFERROR(__xludf.DUMMYFUNCTION("QUERY('Volunteer Survey'!R87)"),"Maybe -- please contact me with other options, and I will decide based on what is available")</f>
        <v>Maybe -- please contact me with other options, and I will decide based on what is available</v>
      </c>
      <c r="Y81" s="53"/>
      <c r="Z81" s="182">
        <f>IFERROR(__xludf.DUMMYFUNCTION("QUERY('Volunteer Survey'!A80)"),43413.46335648149)</f>
        <v>43413.46336</v>
      </c>
      <c r="AA81" s="183" t="str">
        <f>IFERROR(__xludf.DUMMYFUNCTION("QUERY('Volunteer Survey'!B80)"),"Megan Nathan")</f>
        <v>Megan Nathan</v>
      </c>
      <c r="AB81" s="183" t="str">
        <f>IFERROR(__xludf.DUMMYFUNCTION("QUERY('Volunteer Survey'!C80)"),"Providence Alaska Medical Center")</f>
        <v>Providence Alaska Medical Center</v>
      </c>
      <c r="AC81" s="183" t="str">
        <f>IFERROR(__xludf.DUMMYFUNCTION("QUERY('Volunteer Survey'!D80)"),"Anchorage, AK")</f>
        <v>Anchorage, AK</v>
      </c>
      <c r="AD81" s="183" t="str">
        <f>IFERROR(__xludf.DUMMYFUNCTION("QUERY('Volunteer Survey'!E80)"),"mlnathan.genetics@gmail.com")</f>
        <v>mlnathan.genetics@gmail.com</v>
      </c>
      <c r="AE81" s="183" t="str">
        <f>IFERROR(__xludf.DUMMYFUNCTION("QUERY('Volunteer Survey'!F80)"),"Genetic counselor")</f>
        <v>Genetic counselor</v>
      </c>
      <c r="AF81" s="183" t="str">
        <f>IFERROR(__xludf.DUMMYFUNCTION("QUERY('Volunteer Survey'!G80)"),"n/a")</f>
        <v>n/a</v>
      </c>
      <c r="AG81" s="183" t="str">
        <f>IFERROR(__xludf.DUMMYFUNCTION("QUERY('Volunteer Survey'!H80)"),"Comprehensive")</f>
        <v>Comprehensive</v>
      </c>
      <c r="AH81" s="183" t="str">
        <f>IFERROR(__xludf.DUMMYFUNCTION("QUERY('Volunteer Survey'!I80)"),"Variant Pathogenicity")</f>
        <v>Variant Pathogenicity</v>
      </c>
      <c r="AI81" s="183" t="str">
        <f>IFERROR(__xludf.DUMMYFUNCTION("QUERY('Volunteer Survey'!J80)"),"Somatic Cancer")</f>
        <v>Somatic Cancer</v>
      </c>
      <c r="AJ81" s="183" t="str">
        <f>IFERROR(__xludf.DUMMYFUNCTION("QUERY('Volunteer Survey'!K80)"),"Dosage Sensitivity")</f>
        <v>Dosage Sensitivity</v>
      </c>
      <c r="AK81" s="183" t="str">
        <f>IFERROR(__xludf.DUMMYFUNCTION("QUERY('Volunteer Survey'!L80)"),"Gene-Disease Validity")</f>
        <v>Gene-Disease Validity</v>
      </c>
      <c r="AL81" s="183" t="str">
        <f>IFERROR(__xludf.DUMMYFUNCTION("QUERY('Volunteer Survey'!M80)"),"Clinical Actionability")</f>
        <v>Clinical Actionability</v>
      </c>
      <c r="AM81" s="183" t="str">
        <f>IFERROR(__xludf.DUMMYFUNCTION("QUERY('Volunteer Survey'!N80)"),"yes")</f>
        <v>yes</v>
      </c>
      <c r="AN81" s="183" t="str">
        <f>IFERROR(__xludf.DUMMYFUNCTION("QUERY('Volunteer Survey'!O80)"),"")</f>
        <v/>
      </c>
      <c r="AO81" s="183" t="str">
        <f>IFERROR(__xludf.DUMMYFUNCTION("QUERY('Volunteer Survey'!P80)"),"I would be most interested in the following groups (1 = top choice; 5 = last choice) 1. Breast/Ovarian Cancer (newly forming) 2. Colorectal Cancer (newly forming) 3. PTEN* 4. CDH1 5. VHL (Von Hippel-Lindau)*")</f>
        <v>I would be most interested in the following groups (1 = top choice; 5 = last choice) 1. Breast/Ovarian Cancer (newly forming) 2. Colorectal Cancer (newly forming) 3. PTEN* 4. CDH1 5. VHL (Von Hippel-Lindau)*</v>
      </c>
    </row>
    <row r="82">
      <c r="A82" s="50">
        <f>IFERROR(__xludf.DUMMYFUNCTION("QUERY('Volunteer Survey'!A88)"),43332.52978009259)</f>
        <v>43332.52978</v>
      </c>
      <c r="B82" s="48" t="s">
        <v>108</v>
      </c>
      <c r="C82" s="53"/>
      <c r="D82" s="55"/>
      <c r="E82" s="48" t="s">
        <v>130</v>
      </c>
      <c r="F82" s="48" t="s">
        <v>130</v>
      </c>
      <c r="G82" s="48" t="s">
        <v>202</v>
      </c>
      <c r="H82" s="53"/>
      <c r="I82" s="51" t="s">
        <v>139</v>
      </c>
      <c r="J82" s="55"/>
      <c r="K82" s="55"/>
      <c r="L82" s="55" t="str">
        <f>IFERROR(__xludf.DUMMYFUNCTION("QUERY('Volunteer Survey'!B88)"),"Juan Dong")</f>
        <v>Juan Dong</v>
      </c>
      <c r="M82" s="55" t="str">
        <f>IFERROR(__xludf.DUMMYFUNCTION("QUERY('Volunteer Survey'!E88)"),"juan.dong@preventiongenetics.com")</f>
        <v>juan.dong@preventiongenetics.com</v>
      </c>
      <c r="N82" s="55" t="str">
        <f>IFERROR(__xludf.DUMMYFUNCTION("QUERY('Volunteer Survey'!F88)"),"Clinical laboratory geneticist")</f>
        <v>Clinical laboratory geneticist</v>
      </c>
      <c r="O82" s="48" t="str">
        <f>IFERROR(__xludf.DUMMYFUNCTION("QUERY('Volunteer Survey'!H88)"),"Baseline")</f>
        <v>Baseline</v>
      </c>
      <c r="P82" s="55" t="str">
        <f>IFERROR(__xludf.DUMMYFUNCTION("QUERY('Volunteer Survey'!I88)"),"Gene-Disease Validity")</f>
        <v>Gene-Disease Validity</v>
      </c>
      <c r="Q82" s="60" t="str">
        <f>IFERROR(__xludf.DUMMYFUNCTION("QUERY('Volunteer Survey'!J88)"),"Variant Pathogenicity")</f>
        <v>Variant Pathogenicity</v>
      </c>
      <c r="R82" s="55" t="str">
        <f>IFERROR(__xludf.DUMMYFUNCTION("QUERY('Volunteer Survey'!K88)"),"")</f>
        <v/>
      </c>
      <c r="S82" s="55" t="str">
        <f>IFERROR(__xludf.DUMMYFUNCTION("QUERY('Volunteer Survey'!L88)"),"")</f>
        <v/>
      </c>
      <c r="T82" s="55" t="str">
        <f>IFERROR(__xludf.DUMMYFUNCTION("QUERY('Volunteer Survey'!M88)"),"")</f>
        <v/>
      </c>
      <c r="U82" s="64" t="str">
        <f>IFERROR(__xludf.DUMMYFUNCTION("QUERY('Volunteer Survey'!N88)"),"Yes")</f>
        <v>Yes</v>
      </c>
      <c r="V82" s="55" t="str">
        <f>IFERROR(__xludf.DUMMYFUNCTION("QUERY('Volunteer Survey'!O88)"),"Possibly")</f>
        <v>Possibly</v>
      </c>
      <c r="W82" s="66" t="str">
        <f>IFERROR(__xludf.DUMMYFUNCTION("QUERY('Volunteer Survey'!P88)"),"Familial Thoracic Aortic Aneurysm and Dissection Gene Curation Expert Pane")</f>
        <v>Familial Thoracic Aortic Aneurysm and Dissection Gene Curation Expert Pane</v>
      </c>
      <c r="X82" s="64" t="str">
        <f>IFERROR(__xludf.DUMMYFUNCTION("QUERY('Volunteer Survey'!R88)"),"Maybe -- please contact me with other options, and I will decide based on what is available")</f>
        <v>Maybe -- please contact me with other options, and I will decide based on what is available</v>
      </c>
      <c r="Y82" s="53"/>
      <c r="Z82" s="182">
        <f>IFERROR(__xludf.DUMMYFUNCTION("QUERY('Volunteer Survey'!A81)"),43416.46445601852)</f>
        <v>43416.46446</v>
      </c>
      <c r="AA82" s="183" t="str">
        <f>IFERROR(__xludf.DUMMYFUNCTION("QUERY('Volunteer Survey'!B81)"),"Ellen Xu")</f>
        <v>Ellen Xu</v>
      </c>
      <c r="AB82" s="183" t="str">
        <f>IFERROR(__xludf.DUMMYFUNCTION("QUERY('Volunteer Survey'!C81)"),"Fulgent Genetics")</f>
        <v>Fulgent Genetics</v>
      </c>
      <c r="AC82" s="183" t="str">
        <f>IFERROR(__xludf.DUMMYFUNCTION("QUERY('Volunteer Survey'!D81)"),"CA ")</f>
        <v>CA </v>
      </c>
      <c r="AD82" s="183" t="str">
        <f>IFERROR(__xludf.DUMMYFUNCTION("QUERY('Volunteer Survey'!E81)"),"")</f>
        <v/>
      </c>
      <c r="AE82" s="183" t="str">
        <f>IFERROR(__xludf.DUMMYFUNCTION("QUERY('Volunteer Survey'!F81)"),"Genetic counselor")</f>
        <v>Genetic counselor</v>
      </c>
      <c r="AF82" s="183" t="str">
        <f>IFERROR(__xludf.DUMMYFUNCTION("QUERY('Volunteer Survey'!G81)"),"n/a")</f>
        <v>n/a</v>
      </c>
      <c r="AG82" s="183" t="str">
        <f>IFERROR(__xludf.DUMMYFUNCTION("QUERY('Volunteer Survey'!H81)"),"Comprehensive")</f>
        <v>Comprehensive</v>
      </c>
      <c r="AH82" s="183" t="str">
        <f>IFERROR(__xludf.DUMMYFUNCTION("QUERY('Volunteer Survey'!I81)"),"Variant Pathogenicity")</f>
        <v>Variant Pathogenicity</v>
      </c>
      <c r="AI82" s="183" t="str">
        <f>IFERROR(__xludf.DUMMYFUNCTION("QUERY('Volunteer Survey'!J81)"),"Clinical Actionability")</f>
        <v>Clinical Actionability</v>
      </c>
      <c r="AJ82" s="183" t="str">
        <f>IFERROR(__xludf.DUMMYFUNCTION("QUERY('Volunteer Survey'!K81)"),"Gene-Disease Validity")</f>
        <v>Gene-Disease Validity</v>
      </c>
      <c r="AK82" s="183" t="str">
        <f>IFERROR(__xludf.DUMMYFUNCTION("QUERY('Volunteer Survey'!L81)"),"Dosage Sensitivity")</f>
        <v>Dosage Sensitivity</v>
      </c>
      <c r="AL82" s="183" t="str">
        <f>IFERROR(__xludf.DUMMYFUNCTION("QUERY('Volunteer Survey'!M81)"),"Somatic Cancer")</f>
        <v>Somatic Cancer</v>
      </c>
      <c r="AM82" s="183" t="str">
        <f>IFERROR(__xludf.DUMMYFUNCTION("QUERY('Volunteer Survey'!N81)"),"yes")</f>
        <v>yes</v>
      </c>
      <c r="AN82" s="183" t="str">
        <f>IFERROR(__xludf.DUMMYFUNCTION("QUERY('Volunteer Survey'!O81)"),"Possibly")</f>
        <v>Possibly</v>
      </c>
      <c r="AO82" s="183" t="str">
        <f>IFERROR(__xludf.DUMMYFUNCTION("QUERY('Volunteer Survey'!P81)"),"Dosage sensitivity, hereditary cancer")</f>
        <v>Dosage sensitivity, hereditary cancer</v>
      </c>
    </row>
    <row r="83">
      <c r="A83" s="50">
        <f>IFERROR(__xludf.DUMMYFUNCTION("QUERY('Volunteer Survey'!A89)"),43332.53108796296)</f>
        <v>43332.53109</v>
      </c>
      <c r="B83" s="48" t="s">
        <v>108</v>
      </c>
      <c r="C83" s="53"/>
      <c r="D83" s="55"/>
      <c r="E83" s="48" t="s">
        <v>130</v>
      </c>
      <c r="F83" s="48" t="s">
        <v>130</v>
      </c>
      <c r="G83" s="48" t="s">
        <v>202</v>
      </c>
      <c r="H83" s="53"/>
      <c r="I83" s="51" t="s">
        <v>139</v>
      </c>
      <c r="J83" s="55"/>
      <c r="K83" s="55"/>
      <c r="L83" s="55" t="str">
        <f>IFERROR(__xludf.DUMMYFUNCTION("QUERY('Volunteer Survey'!B89)"),"Julie Kaylor")</f>
        <v>Julie Kaylor</v>
      </c>
      <c r="M83" s="55" t="str">
        <f>IFERROR(__xludf.DUMMYFUNCTION("QUERY('Volunteer Survey'!E89)"),"jkaylor@informeddna.com")</f>
        <v>jkaylor@informeddna.com</v>
      </c>
      <c r="N83" s="55" t="str">
        <f>IFERROR(__xludf.DUMMYFUNCTION("QUERY('Volunteer Survey'!F89)"),"Genetic counselor")</f>
        <v>Genetic counselor</v>
      </c>
      <c r="O83" s="48" t="str">
        <f>IFERROR(__xludf.DUMMYFUNCTION("QUERY('Volunteer Survey'!H89)"),"Baseline")</f>
        <v>Baseline</v>
      </c>
      <c r="P83" s="55" t="str">
        <f>IFERROR(__xludf.DUMMYFUNCTION("QUERY('Volunteer Survey'!I89)"),"Clinical Actionability")</f>
        <v>Clinical Actionability</v>
      </c>
      <c r="Q83" s="60" t="str">
        <f>IFERROR(__xludf.DUMMYFUNCTION("QUERY('Volunteer Survey'!J89)"),"Gene-Disease Validity")</f>
        <v>Gene-Disease Validity</v>
      </c>
      <c r="R83" s="55" t="str">
        <f>IFERROR(__xludf.DUMMYFUNCTION("QUERY('Volunteer Survey'!K89)"),"Variant Pathogenicity")</f>
        <v>Variant Pathogenicity</v>
      </c>
      <c r="S83" s="55" t="str">
        <f>IFERROR(__xludf.DUMMYFUNCTION("QUERY('Volunteer Survey'!L89)"),"")</f>
        <v/>
      </c>
      <c r="T83" s="55" t="str">
        <f>IFERROR(__xludf.DUMMYFUNCTION("QUERY('Volunteer Survey'!M89)"),"")</f>
        <v/>
      </c>
      <c r="U83" s="64" t="str">
        <f>IFERROR(__xludf.DUMMYFUNCTION("QUERY('Volunteer Survey'!N89)"),"Yes")</f>
        <v>Yes</v>
      </c>
      <c r="V83" s="55" t="str">
        <f>IFERROR(__xludf.DUMMYFUNCTION("QUERY('Volunteer Survey'!O89)"),"Possibly")</f>
        <v>Possibly</v>
      </c>
      <c r="W83" s="66" t="str">
        <f>IFERROR(__xludf.DUMMYFUNCTION("QUERY('Volunteer Survey'!P89)"),"NA")</f>
        <v>NA</v>
      </c>
      <c r="X83" s="64" t="str">
        <f>IFERROR(__xludf.DUMMYFUNCTION("QUERY('Volunteer Survey'!R89)"),"Maybe -- please contact me with other options, and I will decide based on what is available")</f>
        <v>Maybe -- please contact me with other options, and I will decide based on what is available</v>
      </c>
      <c r="Y83" s="53"/>
      <c r="Z83" s="182">
        <f>IFERROR(__xludf.DUMMYFUNCTION("QUERY('Volunteer Survey'!A82)"),43418.46555555555)</f>
        <v>43418.46556</v>
      </c>
      <c r="AA83" s="183" t="str">
        <f>IFERROR(__xludf.DUMMYFUNCTION("QUERY('Volunteer Survey'!B82)"),"Alisdair Philp")</f>
        <v>Alisdair Philp</v>
      </c>
      <c r="AB83" s="183" t="str">
        <f>IFERROR(__xludf.DUMMYFUNCTION("QUERY('Volunteer Survey'!C82)"),"University of Kansas Hospitals System")</f>
        <v>University of Kansas Hospitals System</v>
      </c>
      <c r="AC83" s="183" t="str">
        <f>IFERROR(__xludf.DUMMYFUNCTION("QUERY('Volunteer Survey'!D82)"),"Kansas City, MO")</f>
        <v>Kansas City, MO</v>
      </c>
      <c r="AD83" s="183" t="str">
        <f>IFERROR(__xludf.DUMMYFUNCTION("QUERY('Volunteer Survey'!E82)"),"arphilp@gmail.com")</f>
        <v>arphilp@gmail.com</v>
      </c>
      <c r="AE83" s="183" t="str">
        <f>IFERROR(__xludf.DUMMYFUNCTION("QUERY('Volunteer Survey'!F82)"),"Genetic counselor")</f>
        <v>Genetic counselor</v>
      </c>
      <c r="AF83" s="183" t="str">
        <f>IFERROR(__xludf.DUMMYFUNCTION("QUERY('Volunteer Survey'!G82)"),"n/a")</f>
        <v>n/a</v>
      </c>
      <c r="AG83" s="183" t="str">
        <f>IFERROR(__xludf.DUMMYFUNCTION("QUERY('Volunteer Survey'!H82)"),"Comprehensive")</f>
        <v>Comprehensive</v>
      </c>
      <c r="AH83" s="183" t="str">
        <f>IFERROR(__xludf.DUMMYFUNCTION("QUERY('Volunteer Survey'!I82)"),"Variant Pathogenicity")</f>
        <v>Variant Pathogenicity</v>
      </c>
      <c r="AI83" s="183" t="str">
        <f>IFERROR(__xludf.DUMMYFUNCTION("QUERY('Volunteer Survey'!J82)"),"Gene-Disease Validity")</f>
        <v>Gene-Disease Validity</v>
      </c>
      <c r="AJ83" s="183" t="str">
        <f>IFERROR(__xludf.DUMMYFUNCTION("QUERY('Volunteer Survey'!K82)"),"Clinical Actionability")</f>
        <v>Clinical Actionability</v>
      </c>
      <c r="AK83" s="183" t="str">
        <f>IFERROR(__xludf.DUMMYFUNCTION("QUERY('Volunteer Survey'!L82)"),"Dosage Sensitivity")</f>
        <v>Dosage Sensitivity</v>
      </c>
      <c r="AL83" s="183" t="str">
        <f>IFERROR(__xludf.DUMMYFUNCTION("QUERY('Volunteer Survey'!M82)"),"Somatic Cancer")</f>
        <v>Somatic Cancer</v>
      </c>
      <c r="AM83" s="183" t="str">
        <f>IFERROR(__xludf.DUMMYFUNCTION("QUERY('Volunteer Survey'!N82)"),"yes")</f>
        <v>yes</v>
      </c>
      <c r="AN83" s="183" t="str">
        <f>IFERROR(__xludf.DUMMYFUNCTION("QUERY('Volunteer Survey'!O82)"),"No")</f>
        <v>No</v>
      </c>
      <c r="AO83" s="183" t="str">
        <f>IFERROR(__xludf.DUMMYFUNCTION("QUERY('Volunteer Survey'!P82)"),"Cnv")</f>
        <v>Cnv</v>
      </c>
    </row>
    <row r="84">
      <c r="A84" s="50">
        <f>IFERROR(__xludf.DUMMYFUNCTION("QUERY('Volunteer Survey'!A90)"),43332.53284722222)</f>
        <v>43332.53285</v>
      </c>
      <c r="B84" s="48" t="s">
        <v>108</v>
      </c>
      <c r="C84" s="53"/>
      <c r="D84" s="55"/>
      <c r="E84" s="48" t="s">
        <v>130</v>
      </c>
      <c r="F84" s="48" t="s">
        <v>130</v>
      </c>
      <c r="G84" s="48" t="s">
        <v>202</v>
      </c>
      <c r="H84" s="53"/>
      <c r="I84" s="51" t="s">
        <v>139</v>
      </c>
      <c r="J84" s="55"/>
      <c r="K84" s="55"/>
      <c r="L84" s="55" t="str">
        <f>IFERROR(__xludf.DUMMYFUNCTION("QUERY('Volunteer Survey'!B90)"),"David Ng")</f>
        <v>David Ng</v>
      </c>
      <c r="M84" s="55" t="str">
        <f>IFERROR(__xludf.DUMMYFUNCTION("QUERY('Volunteer Survey'!E90)"),"davidng@mail.nih.gov")</f>
        <v>davidng@mail.nih.gov</v>
      </c>
      <c r="N84" s="55" t="str">
        <f>IFERROR(__xludf.DUMMYFUNCTION("QUERY('Volunteer Survey'!F90)"),"Clinical medical geneticist/Variant Analyst/Scientist")</f>
        <v>Clinical medical geneticist/Variant Analyst/Scientist</v>
      </c>
      <c r="O84" s="48" t="str">
        <f>IFERROR(__xludf.DUMMYFUNCTION("QUERY('Volunteer Survey'!H90)"),"Baseline")</f>
        <v>Baseline</v>
      </c>
      <c r="P84" s="55" t="str">
        <f>IFERROR(__xludf.DUMMYFUNCTION("QUERY('Volunteer Survey'!I90)"),"Clinical Actionability")</f>
        <v>Clinical Actionability</v>
      </c>
      <c r="Q84" s="60" t="str">
        <f>IFERROR(__xludf.DUMMYFUNCTION("QUERY('Volunteer Survey'!J90)"),"Gene-Disease Validity")</f>
        <v>Gene-Disease Validity</v>
      </c>
      <c r="R84" s="55" t="str">
        <f>IFERROR(__xludf.DUMMYFUNCTION("QUERY('Volunteer Survey'!K90)"),"Variant Pathogenicity")</f>
        <v>Variant Pathogenicity</v>
      </c>
      <c r="S84" s="55" t="str">
        <f>IFERROR(__xludf.DUMMYFUNCTION("QUERY('Volunteer Survey'!L90)"),"")</f>
        <v/>
      </c>
      <c r="T84" s="55" t="str">
        <f>IFERROR(__xludf.DUMMYFUNCTION("QUERY('Volunteer Survey'!M90)"),"")</f>
        <v/>
      </c>
      <c r="U84" s="64" t="str">
        <f>IFERROR(__xludf.DUMMYFUNCTION("QUERY('Volunteer Survey'!N90)"),"Yes")</f>
        <v>Yes</v>
      </c>
      <c r="V84" s="55" t="str">
        <f>IFERROR(__xludf.DUMMYFUNCTION("QUERY('Volunteer Survey'!O90)"),"Possibly")</f>
        <v>Possibly</v>
      </c>
      <c r="W84" s="66" t="str">
        <f>IFERROR(__xludf.DUMMYFUNCTION("QUERY('Volunteer Survey'!P90)"),"Cardiology.")</f>
        <v>Cardiology.</v>
      </c>
      <c r="X84" s="64" t="str">
        <f>IFERROR(__xludf.DUMMYFUNCTION("QUERY('Volunteer Survey'!R90)"),"Maybe -- please contact me with other options, and I will decide based on what is available")</f>
        <v>Maybe -- please contact me with other options, and I will decide based on what is available</v>
      </c>
      <c r="Y84" s="53"/>
      <c r="Z84" s="182">
        <f>IFERROR(__xludf.DUMMYFUNCTION("QUERY('Volunteer Survey'!A83)"),43418.467453703706)</f>
        <v>43418.46745</v>
      </c>
      <c r="AA84" s="183" t="str">
        <f>IFERROR(__xludf.DUMMYFUNCTION("QUERY('Volunteer Survey'!B83)"),"Jenna Guiltinan")</f>
        <v>Jenna Guiltinan</v>
      </c>
      <c r="AB84" s="183" t="str">
        <f>IFERROR(__xludf.DUMMYFUNCTION("QUERY('Volunteer Survey'!C83)"),"Invitae")</f>
        <v>Invitae</v>
      </c>
      <c r="AC84" s="183" t="str">
        <f>IFERROR(__xludf.DUMMYFUNCTION("QUERY('Volunteer Survey'!D83)"),"CA ")</f>
        <v>CA </v>
      </c>
      <c r="AD84" s="183" t="str">
        <f>IFERROR(__xludf.DUMMYFUNCTION("QUERY('Volunteer Survey'!E83)"),"jenna.guiltinan@invitae.com")</f>
        <v>jenna.guiltinan@invitae.com</v>
      </c>
      <c r="AE84" s="183" t="str">
        <f>IFERROR(__xludf.DUMMYFUNCTION("QUERY('Volunteer Survey'!F83)"),"Variant Analyst/Scientist")</f>
        <v>Variant Analyst/Scientist</v>
      </c>
      <c r="AF84" s="183" t="str">
        <f>IFERROR(__xludf.DUMMYFUNCTION("QUERY('Volunteer Survey'!G83)"),"n/a")</f>
        <v>n/a</v>
      </c>
      <c r="AG84" s="183" t="str">
        <f>IFERROR(__xludf.DUMMYFUNCTION("QUERY('Volunteer Survey'!H83)"),"Comprehensive")</f>
        <v>Comprehensive</v>
      </c>
      <c r="AH84" s="183" t="str">
        <f>IFERROR(__xludf.DUMMYFUNCTION("QUERY('Volunteer Survey'!I83)"),"Dosage Sensitivity")</f>
        <v>Dosage Sensitivity</v>
      </c>
      <c r="AI84" s="183" t="str">
        <f>IFERROR(__xludf.DUMMYFUNCTION("QUERY('Volunteer Survey'!J83)"),"Variant Pathogenicity")</f>
        <v>Variant Pathogenicity</v>
      </c>
      <c r="AJ84" s="183" t="str">
        <f>IFERROR(__xludf.DUMMYFUNCTION("QUERY('Volunteer Survey'!K83)"),"Clinical Actionability")</f>
        <v>Clinical Actionability</v>
      </c>
      <c r="AK84" s="183" t="str">
        <f>IFERROR(__xludf.DUMMYFUNCTION("QUERY('Volunteer Survey'!L83)"),"Gene-Disease Validity")</f>
        <v>Gene-Disease Validity</v>
      </c>
      <c r="AL84" s="183" t="str">
        <f>IFERROR(__xludf.DUMMYFUNCTION("QUERY('Volunteer Survey'!M83)"),"Somatic Cancer")</f>
        <v>Somatic Cancer</v>
      </c>
      <c r="AM84" s="183" t="str">
        <f>IFERROR(__xludf.DUMMYFUNCTION("QUERY('Volunteer Survey'!N83)"),"yes")</f>
        <v>yes</v>
      </c>
      <c r="AN84" s="183" t="str">
        <f>IFERROR(__xludf.DUMMYFUNCTION("QUERY('Volunteer Survey'!O83)"),"No")</f>
        <v>No</v>
      </c>
      <c r="AO84" s="183" t="str">
        <f>IFERROR(__xludf.DUMMYFUNCTION("QUERY('Volunteer Survey'!P83)"),"Dosage- Hereditary Cancer sounds the most interesting to me, but any of the dosage sensitivity working groups would be great!")</f>
        <v>Dosage- Hereditary Cancer sounds the most interesting to me, but any of the dosage sensitivity working groups would be great!</v>
      </c>
    </row>
    <row r="85">
      <c r="A85" s="50">
        <f>IFERROR(__xludf.DUMMYFUNCTION("QUERY('Volunteer Survey'!A91)"),43483.53342149306)</f>
        <v>43483.53342</v>
      </c>
      <c r="B85" s="48" t="s">
        <v>108</v>
      </c>
      <c r="C85" s="53"/>
      <c r="D85" s="65">
        <v>43580.0</v>
      </c>
      <c r="E85" s="48" t="s">
        <v>117</v>
      </c>
      <c r="F85" s="48" t="s">
        <v>117</v>
      </c>
      <c r="G85" s="48" t="s">
        <v>163</v>
      </c>
      <c r="H85" s="53"/>
      <c r="I85" s="51" t="s">
        <v>139</v>
      </c>
      <c r="J85" s="56">
        <v>43712.0</v>
      </c>
      <c r="K85" s="56"/>
      <c r="L85" s="55" t="str">
        <f>IFERROR(__xludf.DUMMYFUNCTION("QUERY('Volunteer Survey'!B91)"),"Nan Jiang")</f>
        <v>Nan Jiang</v>
      </c>
      <c r="M85" s="55" t="str">
        <f>IFERROR(__xludf.DUMMYFUNCTION("QUERY('Volunteer Survey'!E91)"),"naj018@ucsd.edu")</f>
        <v>naj018@ucsd.edu</v>
      </c>
      <c r="N85" s="55" t="str">
        <f>IFERROR(__xludf.DUMMYFUNCTION("QUERY('Volunteer Survey'!F91)"),"Post Doc/Resident/Fellow (MD and/or PhD)")</f>
        <v>Post Doc/Resident/Fellow (MD and/or PhD)</v>
      </c>
      <c r="O85" s="48" t="str">
        <f>IFERROR(__xludf.DUMMYFUNCTION("QUERY('Volunteer Survey'!H91)"),"Comprehensive")</f>
        <v>Comprehensive</v>
      </c>
      <c r="P85" s="55" t="str">
        <f>IFERROR(__xludf.DUMMYFUNCTION("QUERY('Volunteer Survey'!I91)"),"Dosage Sensitivity")</f>
        <v>Dosage Sensitivity</v>
      </c>
      <c r="Q85" s="60" t="str">
        <f>IFERROR(__xludf.DUMMYFUNCTION("QUERY('Volunteer Survey'!J91)"),"")</f>
        <v/>
      </c>
      <c r="R85" s="55" t="str">
        <f>IFERROR(__xludf.DUMMYFUNCTION("QUERY('Volunteer Survey'!K91)"),"Gene-Disease Validity")</f>
        <v>Gene-Disease Validity</v>
      </c>
      <c r="S85" s="55" t="str">
        <f>IFERROR(__xludf.DUMMYFUNCTION("QUERY('Volunteer Survey'!L91)"),"Somatic Cancer")</f>
        <v>Somatic Cancer</v>
      </c>
      <c r="T85" s="55" t="str">
        <f>IFERROR(__xludf.DUMMYFUNCTION("QUERY('Volunteer Survey'!M91)"),"Variant Pathogenicity")</f>
        <v>Variant Pathogenicity</v>
      </c>
      <c r="U85" s="64" t="str">
        <f>IFERROR(__xludf.DUMMYFUNCTION("QUERY('Volunteer Survey'!N91)"),"Yes. I work in a clinical genetics research lab identifying disease genes in pediatric neurological disorders using whole exome and whole genome sequencing. I do variants pathogenicity curation in daily bases. ")</f>
        <v>Yes. I work in a clinical genetics research lab identifying disease genes in pediatric neurological disorders using whole exome and whole genome sequencing. I do variants pathogenicity curation in daily bases. </v>
      </c>
      <c r="V85" s="55" t="str">
        <f>IFERROR(__xludf.DUMMYFUNCTION("QUERY('Volunteer Survey'!O91)"),"Possibly")</f>
        <v>Possibly</v>
      </c>
      <c r="W85" s="66" t="str">
        <f>IFERROR(__xludf.DUMMYFUNCTION("QUERY('Volunteer Survey'!P91)"),"I am particularly interested in the variant and gene curation expert panels under dosage sensitivity working group. ")</f>
        <v>I am particularly interested in the variant and gene curation expert panels under dosage sensitivity working group. </v>
      </c>
      <c r="X85" s="64" t="str">
        <f>IFERROR(__xludf.DUMMYFUNCTION("QUERY('Volunteer Survey'!R91)"),"Yes- I am willing to volunteer with any available ClinGen group")</f>
        <v>Yes- I am willing to volunteer with any available ClinGen group</v>
      </c>
      <c r="Y85" s="53"/>
      <c r="Z85" s="182">
        <f>IFERROR(__xludf.DUMMYFUNCTION("QUERY('Volunteer Survey'!A84)"),43483.52609407408)</f>
        <v>43483.52609</v>
      </c>
      <c r="AA85" s="183" t="str">
        <f>IFERROR(__xludf.DUMMYFUNCTION("QUERY('Volunteer Survey'!B84)"),"Ron Agatep")</f>
        <v>Ron Agatep</v>
      </c>
      <c r="AB85" s="183" t="str">
        <f>IFERROR(__xludf.DUMMYFUNCTION("QUERY('Volunteer Survey'!C84)"),"Shared Health Manitoba")</f>
        <v>Shared Health Manitoba</v>
      </c>
      <c r="AC85" s="183" t="str">
        <f>IFERROR(__xludf.DUMMYFUNCTION("QUERY('Volunteer Survey'!D84)"),"820 Sherbrook St.  ")</f>
        <v>820 Sherbrook St.  </v>
      </c>
      <c r="AD85" s="183" t="str">
        <f>IFERROR(__xludf.DUMMYFUNCTION("QUERY('Volunteer Survey'!E84)"),"ragatep@sharedhealthmb.ca")</f>
        <v>ragatep@sharedhealthmb.ca</v>
      </c>
      <c r="AE85" s="183" t="str">
        <f>IFERROR(__xludf.DUMMYFUNCTION("QUERY('Volunteer Survey'!F84)"),"Clinical laboratory geneticist")</f>
        <v>Clinical laboratory geneticist</v>
      </c>
      <c r="AF85" s="183" t="str">
        <f>IFERROR(__xludf.DUMMYFUNCTION("QUERY('Volunteer Survey'!G84)"),"I am a molecular geneticist interested in curation.  I have a specific interest in cancer with a PhD in melanoma genetics (CDK4, CDKN2A) and would be interested in contributing to these genes.  As a resident to Manitoba with several founder specific mutat"&amp;"ions I would also be interested in leading working on rare diseases specific to our region (possibly working with local experts).  Our centre has long history of performing HBOC.")</f>
        <v>I am a molecular geneticist interested in curation.  I have a specific interest in cancer with a PhD in melanoma genetics (CDK4, CDKN2A) and would be interested in contributing to these genes.  As a resident to Manitoba with several founder specific mutations I would also be interested in leading working on rare diseases specific to our region (possibly working with local experts).  Our centre has long history of performing HBOC.</v>
      </c>
      <c r="AG85" s="183" t="str">
        <f>IFERROR(__xludf.DUMMYFUNCTION("QUERY('Volunteer Survey'!H84)"),"Comprehensive")</f>
        <v>Comprehensive</v>
      </c>
      <c r="AH85" s="183" t="str">
        <f>IFERROR(__xludf.DUMMYFUNCTION("QUERY('Volunteer Survey'!I84)"),"Variant Pathogenicity")</f>
        <v>Variant Pathogenicity</v>
      </c>
      <c r="AI85" s="183" t="str">
        <f>IFERROR(__xludf.DUMMYFUNCTION("QUERY('Volunteer Survey'!J84)"),"Gene-Disease Validity, Somatic Cancer")</f>
        <v>Gene-Disease Validity, Somatic Cancer</v>
      </c>
      <c r="AJ85" s="183" t="str">
        <f>IFERROR(__xludf.DUMMYFUNCTION("QUERY('Volunteer Survey'!K84)"),"")</f>
        <v/>
      </c>
      <c r="AK85" s="183" t="str">
        <f>IFERROR(__xludf.DUMMYFUNCTION("QUERY('Volunteer Survey'!L84)"),"")</f>
        <v/>
      </c>
      <c r="AL85" s="183" t="str">
        <f>IFERROR(__xludf.DUMMYFUNCTION("QUERY('Volunteer Survey'!M84)"),"")</f>
        <v/>
      </c>
      <c r="AM85" s="183" t="str">
        <f>IFERROR(__xludf.DUMMYFUNCTION("QUERY('Volunteer Survey'!N84)"),"")</f>
        <v/>
      </c>
      <c r="AN85" s="183" t="str">
        <f>IFERROR(__xludf.DUMMYFUNCTION("QUERY('Volunteer Survey'!O84)"),"Possibly")</f>
        <v>Possibly</v>
      </c>
      <c r="AO85" s="183" t="str">
        <f>IFERROR(__xludf.DUMMYFUNCTION("QUERY('Volunteer Survey'!P84)"),"Hereditary Breast and Ovarian Cancer")</f>
        <v>Hereditary Breast and Ovarian Cancer</v>
      </c>
    </row>
    <row r="86">
      <c r="A86" s="50">
        <f>IFERROR(__xludf.DUMMYFUNCTION("QUERY('Volunteer Survey'!A92)"),43366.53592592593)</f>
        <v>43366.53593</v>
      </c>
      <c r="B86" s="48" t="s">
        <v>108</v>
      </c>
      <c r="C86" s="53"/>
      <c r="D86" s="55"/>
      <c r="E86" s="48" t="s">
        <v>130</v>
      </c>
      <c r="F86" s="48" t="s">
        <v>130</v>
      </c>
      <c r="G86" s="48" t="s">
        <v>202</v>
      </c>
      <c r="H86" s="53"/>
      <c r="I86" s="53"/>
      <c r="J86" s="55"/>
      <c r="K86" s="55"/>
      <c r="L86" s="55" t="str">
        <f>IFERROR(__xludf.DUMMYFUNCTION("QUERY('Volunteer Survey'!B92)"),"Michelle Green")</f>
        <v>Michelle Green</v>
      </c>
      <c r="M86" s="55" t="str">
        <f>IFERROR(__xludf.DUMMYFUNCTION("QUERY('Volunteer Survey'!E92)"),"Michelle.green@n-of-one.com")</f>
        <v>Michelle.green@n-of-one.com</v>
      </c>
      <c r="N86" s="55" t="str">
        <f>IFERROR(__xludf.DUMMYFUNCTION("QUERY('Volunteer Survey'!F92)"),"Biocurator, Variant Analyst/Scientist")</f>
        <v>Biocurator, Variant Analyst/Scientist</v>
      </c>
      <c r="O86" s="48" t="str">
        <f>IFERROR(__xludf.DUMMYFUNCTION("QUERY('Volunteer Survey'!H92)"),"Baseline")</f>
        <v>Baseline</v>
      </c>
      <c r="P86" s="55" t="str">
        <f>IFERROR(__xludf.DUMMYFUNCTION("QUERY('Volunteer Survey'!I92)"),"Variant Pathogenicity")</f>
        <v>Variant Pathogenicity</v>
      </c>
      <c r="Q86" s="60" t="str">
        <f>IFERROR(__xludf.DUMMYFUNCTION("QUERY('Volunteer Survey'!J92)"),"")</f>
        <v/>
      </c>
      <c r="R86" s="55" t="str">
        <f>IFERROR(__xludf.DUMMYFUNCTION("QUERY('Volunteer Survey'!K92)"),"")</f>
        <v/>
      </c>
      <c r="S86" s="55" t="str">
        <f>IFERROR(__xludf.DUMMYFUNCTION("QUERY('Volunteer Survey'!L92)"),"")</f>
        <v/>
      </c>
      <c r="T86" s="55" t="str">
        <f>IFERROR(__xludf.DUMMYFUNCTION("QUERY('Volunteer Survey'!M92)"),"")</f>
        <v/>
      </c>
      <c r="U86" s="64" t="str">
        <f>IFERROR(__xludf.DUMMYFUNCTION("QUERY('Volunteer Survey'!N92)"),"Yes")</f>
        <v>Yes</v>
      </c>
      <c r="V86" s="55" t="str">
        <f>IFERROR(__xludf.DUMMYFUNCTION("QUERY('Volunteer Survey'!O92)"),"Possibly")</f>
        <v>Possibly</v>
      </c>
      <c r="W86" s="66" t="str">
        <f>IFERROR(__xludf.DUMMYFUNCTION("QUERY('Volunteer Survey'!P92)"),"NA")</f>
        <v>NA</v>
      </c>
      <c r="X86" s="64" t="str">
        <f>IFERROR(__xludf.DUMMYFUNCTION("QUERY('Volunteer Survey'!R92)"),"Maybe -- please contact me with other options, and I will decide based on what is available")</f>
        <v>Maybe -- please contact me with other options, and I will decide based on what is available</v>
      </c>
      <c r="Y86" s="53"/>
      <c r="Z86" s="182">
        <f>IFERROR(__xludf.DUMMYFUNCTION("QUERY('Volunteer Survey'!A85)"),43342.52626157408)</f>
        <v>43342.52626</v>
      </c>
      <c r="AA86" s="183" t="str">
        <f>IFERROR(__xludf.DUMMYFUNCTION("QUERY('Volunteer Survey'!B85)"),"Danielle Croucher")</f>
        <v>Danielle Croucher</v>
      </c>
      <c r="AB86" s="183" t="str">
        <f>IFERROR(__xludf.DUMMYFUNCTION("QUERY('Volunteer Survey'!C85)"),"University of Toronto")</f>
        <v>University of Toronto</v>
      </c>
      <c r="AC86" s="183" t="str">
        <f>IFERROR(__xludf.DUMMYFUNCTION("QUERY('Volunteer Survey'!D85)"),"Toronto, Canada")</f>
        <v>Toronto, Canada</v>
      </c>
      <c r="AD86" s="183" t="str">
        <f>IFERROR(__xludf.DUMMYFUNCTION("QUERY('Volunteer Survey'!E85)"),"d.croucher@mail.utoronto.ca")</f>
        <v>d.croucher@mail.utoronto.ca</v>
      </c>
      <c r="AE86" s="183" t="str">
        <f>IFERROR(__xludf.DUMMYFUNCTION("QUERY('Volunteer Survey'!F85)"),"Graduate Student")</f>
        <v>Graduate Student</v>
      </c>
      <c r="AF86" s="183" t="str">
        <f>IFERROR(__xludf.DUMMYFUNCTION("QUERY('Volunteer Survey'!G85)"),"NA")</f>
        <v>NA</v>
      </c>
      <c r="AG86" s="183" t="str">
        <f>IFERROR(__xludf.DUMMYFUNCTION("QUERY('Volunteer Survey'!H85)"),"Baseline")</f>
        <v>Baseline</v>
      </c>
      <c r="AH86" s="183" t="str">
        <f>IFERROR(__xludf.DUMMYFUNCTION("QUERY('Volunteer Survey'!I85)"),"Clinical Actionability")</f>
        <v>Clinical Actionability</v>
      </c>
      <c r="AI86" s="183" t="str">
        <f>IFERROR(__xludf.DUMMYFUNCTION("QUERY('Volunteer Survey'!J85)"),"Gene-Disease Validity")</f>
        <v>Gene-Disease Validity</v>
      </c>
      <c r="AJ86" s="183" t="str">
        <f>IFERROR(__xludf.DUMMYFUNCTION("QUERY('Volunteer Survey'!K85)"),"Variant Pathogenicity")</f>
        <v>Variant Pathogenicity</v>
      </c>
      <c r="AK86" s="183" t="str">
        <f>IFERROR(__xludf.DUMMYFUNCTION("QUERY('Volunteer Survey'!L85)"),"Somatic Cancer")</f>
        <v>Somatic Cancer</v>
      </c>
      <c r="AL86" s="183" t="str">
        <f>IFERROR(__xludf.DUMMYFUNCTION("QUERY('Volunteer Survey'!M85)"),"")</f>
        <v/>
      </c>
      <c r="AM86" s="183" t="str">
        <f>IFERROR(__xludf.DUMMYFUNCTION("QUERY('Volunteer Survey'!N85)"),"yes")</f>
        <v>yes</v>
      </c>
      <c r="AN86" s="183" t="str">
        <f>IFERROR(__xludf.DUMMYFUNCTION("QUERY('Volunteer Survey'!O85)"),"Possibly")</f>
        <v>Possibly</v>
      </c>
      <c r="AO86" s="183" t="str">
        <f>IFERROR(__xludf.DUMMYFUNCTION("QUERY('Volunteer Survey'!P85)"),"Myeloid Malignancy Variant Curation Expert Panel, Somatic/Germline Variant Curation Group, TP53 Variant Curation Expert Panel, Hereditary Cancer Gene Curation Expert Panel, Breast and Ovarian Cancer Gene Curation Expert Panel")</f>
        <v>Myeloid Malignancy Variant Curation Expert Panel, Somatic/Germline Variant Curation Group, TP53 Variant Curation Expert Panel, Hereditary Cancer Gene Curation Expert Panel, Breast and Ovarian Cancer Gene Curation Expert Panel</v>
      </c>
    </row>
    <row r="87">
      <c r="A87" s="50">
        <f>IFERROR(__xludf.DUMMYFUNCTION("QUERY('Volunteer Survey'!A93)"),43371.53938657408)</f>
        <v>43371.53939</v>
      </c>
      <c r="B87" s="48" t="s">
        <v>108</v>
      </c>
      <c r="C87" s="53"/>
      <c r="D87" s="55"/>
      <c r="E87" s="48" t="s">
        <v>130</v>
      </c>
      <c r="F87" s="48" t="s">
        <v>130</v>
      </c>
      <c r="G87" s="48" t="s">
        <v>202</v>
      </c>
      <c r="H87" s="53"/>
      <c r="I87" s="51" t="s">
        <v>139</v>
      </c>
      <c r="J87" s="55"/>
      <c r="K87" s="55"/>
      <c r="L87" s="55" t="str">
        <f>IFERROR(__xludf.DUMMYFUNCTION("QUERY('Volunteer Survey'!B93)"),"Mahsa")</f>
        <v>Mahsa</v>
      </c>
      <c r="M87" s="55" t="str">
        <f>IFERROR(__xludf.DUMMYFUNCTION("QUERY('Volunteer Survey'!E93)"),"mahsash@nmsu.edu")</f>
        <v>mahsash@nmsu.edu</v>
      </c>
      <c r="N87" s="55" t="str">
        <f>IFERROR(__xludf.DUMMYFUNCTION("QUERY('Volunteer Survey'!F93)"),"Graduate Student")</f>
        <v>Graduate Student</v>
      </c>
      <c r="O87" s="48" t="str">
        <f>IFERROR(__xludf.DUMMYFUNCTION("QUERY('Volunteer Survey'!H93)"),"Baseline")</f>
        <v>Baseline</v>
      </c>
      <c r="P87" s="55" t="str">
        <f>IFERROR(__xludf.DUMMYFUNCTION("QUERY('Volunteer Survey'!I93)"),"")</f>
        <v/>
      </c>
      <c r="Q87" s="60" t="str">
        <f>IFERROR(__xludf.DUMMYFUNCTION("QUERY('Volunteer Survey'!J93)"),"")</f>
        <v/>
      </c>
      <c r="R87" s="55" t="str">
        <f>IFERROR(__xludf.DUMMYFUNCTION("QUERY('Volunteer Survey'!K93)"),"")</f>
        <v/>
      </c>
      <c r="S87" s="55" t="str">
        <f>IFERROR(__xludf.DUMMYFUNCTION("QUERY('Volunteer Survey'!L93)"),"")</f>
        <v/>
      </c>
      <c r="T87" s="55" t="str">
        <f>IFERROR(__xludf.DUMMYFUNCTION("QUERY('Volunteer Survey'!M93)"),"")</f>
        <v/>
      </c>
      <c r="U87" s="64" t="str">
        <f>IFERROR(__xludf.DUMMYFUNCTION("QUERY('Volunteer Survey'!N93)"),"No")</f>
        <v>No</v>
      </c>
      <c r="V87" s="55" t="str">
        <f>IFERROR(__xludf.DUMMYFUNCTION("QUERY('Volunteer Survey'!O93)"),"Possibly")</f>
        <v>Possibly</v>
      </c>
      <c r="W87" s="66" t="str">
        <f>IFERROR(__xludf.DUMMYFUNCTION("QUERY('Volunteer Survey'!P93)"),"NA")</f>
        <v>NA</v>
      </c>
      <c r="X87" s="64" t="str">
        <f>IFERROR(__xludf.DUMMYFUNCTION("QUERY('Volunteer Survey'!R93)"),"Maybe -- please contact me with other options, and I will decide based on what is available")</f>
        <v>Maybe -- please contact me with other options, and I will decide based on what is available</v>
      </c>
      <c r="Y87" s="53"/>
      <c r="Z87" s="182">
        <f>IFERROR(__xludf.DUMMYFUNCTION("QUERY('Volunteer Survey'!A86)"),43339.52752314815)</f>
        <v>43339.52752</v>
      </c>
      <c r="AA87" s="183" t="str">
        <f>IFERROR(__xludf.DUMMYFUNCTION("QUERY('Volunteer Survey'!B86)"),"Fadel Alyaquob")</f>
        <v>Fadel Alyaquob</v>
      </c>
      <c r="AB87" s="183" t="str">
        <f>IFERROR(__xludf.DUMMYFUNCTION("QUERY('Volunteer Survey'!C86)"),"NA")</f>
        <v>NA</v>
      </c>
      <c r="AC87" s="183" t="str">
        <f>IFERROR(__xludf.DUMMYFUNCTION("QUERY('Volunteer Survey'!D86)"),"MA")</f>
        <v>MA</v>
      </c>
      <c r="AD87" s="183" t="str">
        <f>IFERROR(__xludf.DUMMYFUNCTION("QUERY('Volunteer Survey'!E86)"),"falyaqoub1@yahoo.com")</f>
        <v>falyaqoub1@yahoo.com</v>
      </c>
      <c r="AE87" s="183" t="str">
        <f>IFERROR(__xludf.DUMMYFUNCTION("QUERY('Volunteer Survey'!F86)"),"Variant Analyst/Scientist")</f>
        <v>Variant Analyst/Scientist</v>
      </c>
      <c r="AF87" s="183" t="str">
        <f>IFERROR(__xludf.DUMMYFUNCTION("QUERY('Volunteer Survey'!G86)"),"NA")</f>
        <v>NA</v>
      </c>
      <c r="AG87" s="183" t="str">
        <f>IFERROR(__xludf.DUMMYFUNCTION("QUERY('Volunteer Survey'!H86)"),"Baseline")</f>
        <v>Baseline</v>
      </c>
      <c r="AH87" s="183" t="str">
        <f>IFERROR(__xludf.DUMMYFUNCTION("QUERY('Volunteer Survey'!I86)"),"Clinical Actionability")</f>
        <v>Clinical Actionability</v>
      </c>
      <c r="AI87" s="183" t="str">
        <f>IFERROR(__xludf.DUMMYFUNCTION("QUERY('Volunteer Survey'!J86)"),"Gene-Disease Validity")</f>
        <v>Gene-Disease Validity</v>
      </c>
      <c r="AJ87" s="183" t="str">
        <f>IFERROR(__xludf.DUMMYFUNCTION("QUERY('Volunteer Survey'!K86)"),"Variant Pathogenicity")</f>
        <v>Variant Pathogenicity</v>
      </c>
      <c r="AK87" s="183" t="str">
        <f>IFERROR(__xludf.DUMMYFUNCTION("QUERY('Volunteer Survey'!L86)"),"Somatic Cancer")</f>
        <v>Somatic Cancer</v>
      </c>
      <c r="AL87" s="183" t="str">
        <f>IFERROR(__xludf.DUMMYFUNCTION("QUERY('Volunteer Survey'!M86)"),"")</f>
        <v/>
      </c>
      <c r="AM87" s="183" t="str">
        <f>IFERROR(__xludf.DUMMYFUNCTION("QUERY('Volunteer Survey'!N86)"),"yes")</f>
        <v>yes</v>
      </c>
      <c r="AN87" s="183" t="str">
        <f>IFERROR(__xludf.DUMMYFUNCTION("QUERY('Volunteer Survey'!O86)"),"Possibly")</f>
        <v>Possibly</v>
      </c>
      <c r="AO87" s="183" t="str">
        <f>IFERROR(__xludf.DUMMYFUNCTION("QUERY('Volunteer Survey'!P86)"),"No")</f>
        <v>No</v>
      </c>
    </row>
    <row r="88">
      <c r="A88" s="50">
        <f>IFERROR(__xludf.DUMMYFUNCTION("QUERY('Volunteer Survey'!A94)"),43372.549050925925)</f>
        <v>43372.54905</v>
      </c>
      <c r="B88" s="48" t="s">
        <v>108</v>
      </c>
      <c r="C88" s="53"/>
      <c r="D88" s="55"/>
      <c r="E88" s="48" t="s">
        <v>130</v>
      </c>
      <c r="F88" s="48" t="s">
        <v>130</v>
      </c>
      <c r="G88" s="48" t="s">
        <v>202</v>
      </c>
      <c r="H88" s="53"/>
      <c r="I88" s="53"/>
      <c r="J88" s="55"/>
      <c r="K88" s="55"/>
      <c r="L88" s="55" t="str">
        <f>IFERROR(__xludf.DUMMYFUNCTION("QUERY('Volunteer Survey'!B94)"),"Michelle Green")</f>
        <v>Michelle Green</v>
      </c>
      <c r="M88" s="55" t="str">
        <f>IFERROR(__xludf.DUMMYFUNCTION("QUERY('Volunteer Survey'!E94)"),"mfgreen14@gmail.com")</f>
        <v>mfgreen14@gmail.com</v>
      </c>
      <c r="N88" s="55" t="str">
        <f>IFERROR(__xludf.DUMMYFUNCTION("QUERY('Volunteer Survey'!F94)"),"Biocurator, Variant Analyst/Scientist")</f>
        <v>Biocurator, Variant Analyst/Scientist</v>
      </c>
      <c r="O88" s="48" t="str">
        <f>IFERROR(__xludf.DUMMYFUNCTION("QUERY('Volunteer Survey'!H94)"),"Baseline")</f>
        <v>Baseline</v>
      </c>
      <c r="P88" s="55" t="str">
        <f>IFERROR(__xludf.DUMMYFUNCTION("QUERY('Volunteer Survey'!I94)"),"")</f>
        <v/>
      </c>
      <c r="Q88" s="60" t="str">
        <f>IFERROR(__xludf.DUMMYFUNCTION("QUERY('Volunteer Survey'!J94)"),"")</f>
        <v/>
      </c>
      <c r="R88" s="55" t="str">
        <f>IFERROR(__xludf.DUMMYFUNCTION("QUERY('Volunteer Survey'!K94)"),"")</f>
        <v/>
      </c>
      <c r="S88" s="55" t="str">
        <f>IFERROR(__xludf.DUMMYFUNCTION("QUERY('Volunteer Survey'!L94)"),"")</f>
        <v/>
      </c>
      <c r="T88" s="55" t="str">
        <f>IFERROR(__xludf.DUMMYFUNCTION("QUERY('Volunteer Survey'!M94)"),"")</f>
        <v/>
      </c>
      <c r="U88" s="64" t="str">
        <f>IFERROR(__xludf.DUMMYFUNCTION("QUERY('Volunteer Survey'!N94)"),"Yes")</f>
        <v>Yes</v>
      </c>
      <c r="V88" s="55" t="str">
        <f>IFERROR(__xludf.DUMMYFUNCTION("QUERY('Volunteer Survey'!O94)"),"Possibly")</f>
        <v>Possibly</v>
      </c>
      <c r="W88" s="66" t="str">
        <f>IFERROR(__xludf.DUMMYFUNCTION("QUERY('Volunteer Survey'!P94)"),"NA")</f>
        <v>NA</v>
      </c>
      <c r="X88" s="64" t="str">
        <f>IFERROR(__xludf.DUMMYFUNCTION("QUERY('Volunteer Survey'!R94)"),"Maybe -- please contact me with other options, and I will decide based on what is available")</f>
        <v>Maybe -- please contact me with other options, and I will decide based on what is available</v>
      </c>
      <c r="Y88" s="53"/>
      <c r="Z88" s="182">
        <f>IFERROR(__xludf.DUMMYFUNCTION("QUERY('Volunteer Survey'!A87)"),43332.52856481481)</f>
        <v>43332.52856</v>
      </c>
      <c r="AA88" s="183" t="str">
        <f>IFERROR(__xludf.DUMMYFUNCTION("QUERY('Volunteer Survey'!B87)"),"Hilary Racher")</f>
        <v>Hilary Racher</v>
      </c>
      <c r="AB88" s="183" t="str">
        <f>IFERROR(__xludf.DUMMYFUNCTION("QUERY('Volunteer Survey'!C87)"),"Impact Genetics")</f>
        <v>Impact Genetics</v>
      </c>
      <c r="AC88" s="183" t="str">
        <f>IFERROR(__xludf.DUMMYFUNCTION("QUERY('Volunteer Survey'!D87)"),"Canada")</f>
        <v>Canada</v>
      </c>
      <c r="AD88" s="183" t="str">
        <f>IFERROR(__xludf.DUMMYFUNCTION("QUERY('Volunteer Survey'!E87)"),"racherh@dynacare.ca")</f>
        <v>racherh@dynacare.ca</v>
      </c>
      <c r="AE88" s="183" t="str">
        <f>IFERROR(__xludf.DUMMYFUNCTION("QUERY('Volunteer Survey'!F87)"),"Clinical laboratory geneticist")</f>
        <v>Clinical laboratory geneticist</v>
      </c>
      <c r="AF88" s="183" t="str">
        <f>IFERROR(__xludf.DUMMYFUNCTION("QUERY('Volunteer Survey'!G87)"),"NA")</f>
        <v>NA</v>
      </c>
      <c r="AG88" s="183" t="str">
        <f>IFERROR(__xludf.DUMMYFUNCTION("QUERY('Volunteer Survey'!H87)"),"Baseline")</f>
        <v>Baseline</v>
      </c>
      <c r="AH88" s="183" t="str">
        <f>IFERROR(__xludf.DUMMYFUNCTION("QUERY('Volunteer Survey'!I87)"),"Variant Pathogenicity")</f>
        <v>Variant Pathogenicity</v>
      </c>
      <c r="AI88" s="183" t="str">
        <f>IFERROR(__xludf.DUMMYFUNCTION("QUERY('Volunteer Survey'!J87)"),"Somatic Cancer")</f>
        <v>Somatic Cancer</v>
      </c>
      <c r="AJ88" s="183" t="str">
        <f>IFERROR(__xludf.DUMMYFUNCTION("QUERY('Volunteer Survey'!K87)"),"")</f>
        <v/>
      </c>
      <c r="AK88" s="183" t="str">
        <f>IFERROR(__xludf.DUMMYFUNCTION("QUERY('Volunteer Survey'!L87)"),"")</f>
        <v/>
      </c>
      <c r="AL88" s="183" t="str">
        <f>IFERROR(__xludf.DUMMYFUNCTION("QUERY('Volunteer Survey'!M87)"),"")</f>
        <v/>
      </c>
      <c r="AM88" s="183" t="str">
        <f>IFERROR(__xludf.DUMMYFUNCTION("QUERY('Volunteer Survey'!N87)"),"Yes")</f>
        <v>Yes</v>
      </c>
      <c r="AN88" s="183" t="str">
        <f>IFERROR(__xludf.DUMMYFUNCTION("QUERY('Volunteer Survey'!O87)"),"Possibly")</f>
        <v>Possibly</v>
      </c>
      <c r="AO88" s="183" t="str">
        <f>IFERROR(__xludf.DUMMYFUNCTION("QUERY('Volunteer Survey'!P87)"),"Somatic/Germline Variant Curation Group Hereditary Cancer Gene Curation Expert Panel Sequence Variant Interpretation")</f>
        <v>Somatic/Germline Variant Curation Group Hereditary Cancer Gene Curation Expert Panel Sequence Variant Interpretation</v>
      </c>
    </row>
    <row r="89">
      <c r="A89" s="50">
        <f>IFERROR(__xludf.DUMMYFUNCTION("QUERY('Volunteer Survey'!A95)"),43389.55033564815)</f>
        <v>43389.55034</v>
      </c>
      <c r="B89" s="48" t="s">
        <v>108</v>
      </c>
      <c r="C89" s="53"/>
      <c r="D89" s="55"/>
      <c r="E89" s="48" t="s">
        <v>130</v>
      </c>
      <c r="F89" s="48" t="s">
        <v>130</v>
      </c>
      <c r="G89" s="48" t="s">
        <v>202</v>
      </c>
      <c r="H89" s="53"/>
      <c r="I89" s="51" t="s">
        <v>139</v>
      </c>
      <c r="J89" s="55"/>
      <c r="K89" s="55"/>
      <c r="L89" s="55" t="str">
        <f>IFERROR(__xludf.DUMMYFUNCTION("QUERY('Volunteer Survey'!B95)"),"Xinkun ""Sequen"" Wang")</f>
        <v>Xinkun "Sequen" Wang</v>
      </c>
      <c r="M89" s="55" t="str">
        <f>IFERROR(__xludf.DUMMYFUNCTION("QUERY('Volunteer Survey'!E95)"),"xinkun.wang@northwestern.edu")</f>
        <v>xinkun.wang@northwestern.edu</v>
      </c>
      <c r="N89" s="55" t="str">
        <f>IFERROR(__xludf.DUMMYFUNCTION("QUERY('Volunteer Survey'!F95)"),"Scientific Researcher")</f>
        <v>Scientific Researcher</v>
      </c>
      <c r="O89" s="48" t="str">
        <f>IFERROR(__xludf.DUMMYFUNCTION("QUERY('Volunteer Survey'!H95)"),"Baseline")</f>
        <v>Baseline</v>
      </c>
      <c r="P89" s="55" t="str">
        <f>IFERROR(__xludf.DUMMYFUNCTION("QUERY('Volunteer Survey'!I95)"),"")</f>
        <v/>
      </c>
      <c r="Q89" s="60" t="str">
        <f>IFERROR(__xludf.DUMMYFUNCTION("QUERY('Volunteer Survey'!J95)"),"")</f>
        <v/>
      </c>
      <c r="R89" s="55" t="str">
        <f>IFERROR(__xludf.DUMMYFUNCTION("QUERY('Volunteer Survey'!K95)"),"")</f>
        <v/>
      </c>
      <c r="S89" s="55" t="str">
        <f>IFERROR(__xludf.DUMMYFUNCTION("QUERY('Volunteer Survey'!L95)"),"")</f>
        <v/>
      </c>
      <c r="T89" s="55" t="str">
        <f>IFERROR(__xludf.DUMMYFUNCTION("QUERY('Volunteer Survey'!M95)"),"")</f>
        <v/>
      </c>
      <c r="U89" s="64" t="str">
        <f>IFERROR(__xludf.DUMMYFUNCTION("QUERY('Volunteer Survey'!N95)"),"No")</f>
        <v>No</v>
      </c>
      <c r="V89" s="55" t="str">
        <f>IFERROR(__xludf.DUMMYFUNCTION("QUERY('Volunteer Survey'!O95)"),"Possibly")</f>
        <v>Possibly</v>
      </c>
      <c r="W89" s="66" t="str">
        <f>IFERROR(__xludf.DUMMYFUNCTION("QUERY('Volunteer Survey'!P95)"),"Epilepsy Gene Curation Expert Panel Autism and Intellectual Disability Gene Curation Expert Panel")</f>
        <v>Epilepsy Gene Curation Expert Panel Autism and Intellectual Disability Gene Curation Expert Panel</v>
      </c>
      <c r="X89" s="64" t="str">
        <f>IFERROR(__xludf.DUMMYFUNCTION("QUERY('Volunteer Survey'!R95)"),"Maybe -- please contact me with other options, and I will decide based on what is available")</f>
        <v>Maybe -- please contact me with other options, and I will decide based on what is available</v>
      </c>
      <c r="Y89" s="53"/>
      <c r="Z89" s="182">
        <f>IFERROR(__xludf.DUMMYFUNCTION("QUERY('Volunteer Survey'!A88)"),43332.52978009259)</f>
        <v>43332.52978</v>
      </c>
      <c r="AA89" s="183" t="str">
        <f>IFERROR(__xludf.DUMMYFUNCTION("QUERY('Volunteer Survey'!B88)"),"Juan Dong")</f>
        <v>Juan Dong</v>
      </c>
      <c r="AB89" s="183" t="str">
        <f>IFERROR(__xludf.DUMMYFUNCTION("QUERY('Volunteer Survey'!C88)"),"NA")</f>
        <v>NA</v>
      </c>
      <c r="AC89" s="183" t="str">
        <f>IFERROR(__xludf.DUMMYFUNCTION("QUERY('Volunteer Survey'!D88)"),"WI")</f>
        <v>WI</v>
      </c>
      <c r="AD89" s="183" t="str">
        <f>IFERROR(__xludf.DUMMYFUNCTION("QUERY('Volunteer Survey'!E88)"),"juan.dong@preventiongenetics.com")</f>
        <v>juan.dong@preventiongenetics.com</v>
      </c>
      <c r="AE89" s="183" t="str">
        <f>IFERROR(__xludf.DUMMYFUNCTION("QUERY('Volunteer Survey'!F88)"),"Clinical laboratory geneticist")</f>
        <v>Clinical laboratory geneticist</v>
      </c>
      <c r="AF89" s="183" t="str">
        <f>IFERROR(__xludf.DUMMYFUNCTION("QUERY('Volunteer Survey'!G88)"),"NA")</f>
        <v>NA</v>
      </c>
      <c r="AG89" s="183" t="str">
        <f>IFERROR(__xludf.DUMMYFUNCTION("QUERY('Volunteer Survey'!H88)"),"Baseline")</f>
        <v>Baseline</v>
      </c>
      <c r="AH89" s="183" t="str">
        <f>IFERROR(__xludf.DUMMYFUNCTION("QUERY('Volunteer Survey'!I88)"),"Gene-Disease Validity")</f>
        <v>Gene-Disease Validity</v>
      </c>
      <c r="AI89" s="183" t="str">
        <f>IFERROR(__xludf.DUMMYFUNCTION("QUERY('Volunteer Survey'!J88)"),"Variant Pathogenicity")</f>
        <v>Variant Pathogenicity</v>
      </c>
      <c r="AJ89" s="183" t="str">
        <f>IFERROR(__xludf.DUMMYFUNCTION("QUERY('Volunteer Survey'!K88)"),"")</f>
        <v/>
      </c>
      <c r="AK89" s="183" t="str">
        <f>IFERROR(__xludf.DUMMYFUNCTION("QUERY('Volunteer Survey'!L88)"),"")</f>
        <v/>
      </c>
      <c r="AL89" s="183" t="str">
        <f>IFERROR(__xludf.DUMMYFUNCTION("QUERY('Volunteer Survey'!M88)"),"")</f>
        <v/>
      </c>
      <c r="AM89" s="183" t="str">
        <f>IFERROR(__xludf.DUMMYFUNCTION("QUERY('Volunteer Survey'!N88)"),"Yes")</f>
        <v>Yes</v>
      </c>
      <c r="AN89" s="183" t="str">
        <f>IFERROR(__xludf.DUMMYFUNCTION("QUERY('Volunteer Survey'!O88)"),"Possibly")</f>
        <v>Possibly</v>
      </c>
      <c r="AO89" s="183" t="str">
        <f>IFERROR(__xludf.DUMMYFUNCTION("QUERY('Volunteer Survey'!P88)"),"Familial Thoracic Aortic Aneurysm and Dissection Gene Curation Expert Pane")</f>
        <v>Familial Thoracic Aortic Aneurysm and Dissection Gene Curation Expert Pane</v>
      </c>
    </row>
    <row r="90">
      <c r="A90" s="50">
        <f>IFERROR(__xludf.DUMMYFUNCTION("QUERY('Volunteer Survey'!A96)"),43402.55109953704)</f>
        <v>43402.5511</v>
      </c>
      <c r="B90" s="48" t="s">
        <v>108</v>
      </c>
      <c r="C90" s="53"/>
      <c r="D90" s="55"/>
      <c r="E90" s="48" t="s">
        <v>130</v>
      </c>
      <c r="F90" s="48" t="s">
        <v>130</v>
      </c>
      <c r="G90" s="48" t="s">
        <v>202</v>
      </c>
      <c r="H90" s="53"/>
      <c r="I90" s="51" t="s">
        <v>139</v>
      </c>
      <c r="J90" s="55"/>
      <c r="K90" s="55"/>
      <c r="L90" s="55" t="str">
        <f>IFERROR(__xludf.DUMMYFUNCTION("QUERY('Volunteer Survey'!B96)"),"Siddharth Banka")</f>
        <v>Siddharth Banka</v>
      </c>
      <c r="M90" s="55" t="str">
        <f>IFERROR(__xludf.DUMMYFUNCTION("QUERY('Volunteer Survey'!E96)"),"Siddharth.Banka@manchester.ac.uk")</f>
        <v>Siddharth.Banka@manchester.ac.uk</v>
      </c>
      <c r="N90" s="55" t="str">
        <f>IFERROR(__xludf.DUMMYFUNCTION("QUERY('Volunteer Survey'!F96)"),"Clinical Medical Geneticist")</f>
        <v>Clinical Medical Geneticist</v>
      </c>
      <c r="O90" s="48" t="str">
        <f>IFERROR(__xludf.DUMMYFUNCTION("QUERY('Volunteer Survey'!H96)"),"Baseline")</f>
        <v>Baseline</v>
      </c>
      <c r="P90" s="55" t="str">
        <f>IFERROR(__xludf.DUMMYFUNCTION("QUERY('Volunteer Survey'!I96)"),"")</f>
        <v/>
      </c>
      <c r="Q90" s="60" t="str">
        <f>IFERROR(__xludf.DUMMYFUNCTION("QUERY('Volunteer Survey'!J96)"),"")</f>
        <v/>
      </c>
      <c r="R90" s="55" t="str">
        <f>IFERROR(__xludf.DUMMYFUNCTION("QUERY('Volunteer Survey'!K96)"),"")</f>
        <v/>
      </c>
      <c r="S90" s="55" t="str">
        <f>IFERROR(__xludf.DUMMYFUNCTION("QUERY('Volunteer Survey'!L96)"),"")</f>
        <v/>
      </c>
      <c r="T90" s="55" t="str">
        <f>IFERROR(__xludf.DUMMYFUNCTION("QUERY('Volunteer Survey'!M96)"),"")</f>
        <v/>
      </c>
      <c r="U90" s="64" t="str">
        <f>IFERROR(__xludf.DUMMYFUNCTION("QUERY('Volunteer Survey'!N96)"),"Yes")</f>
        <v>Yes</v>
      </c>
      <c r="V90" s="55" t="str">
        <f>IFERROR(__xludf.DUMMYFUNCTION("QUERY('Volunteer Survey'!O96)"),"Possibly")</f>
        <v>Possibly</v>
      </c>
      <c r="W90" s="66" t="str">
        <f>IFERROR(__xludf.DUMMYFUNCTION("QUERY('Volunteer Survey'!P96)"),"Neurodevelopmental Disorders, experience with curating CNVs (potentially Dosage)")</f>
        <v>Neurodevelopmental Disorders, experience with curating CNVs (potentially Dosage)</v>
      </c>
      <c r="X90" s="64" t="str">
        <f>IFERROR(__xludf.DUMMYFUNCTION("QUERY('Volunteer Survey'!R96)"),"Maybe -- please contact me with other options, and I will decide based on what is available")</f>
        <v>Maybe -- please contact me with other options, and I will decide based on what is available</v>
      </c>
      <c r="Y90" s="53"/>
      <c r="Z90" s="182">
        <f>IFERROR(__xludf.DUMMYFUNCTION("QUERY('Volunteer Survey'!A89)"),43332.53108796296)</f>
        <v>43332.53109</v>
      </c>
      <c r="AA90" s="183" t="str">
        <f>IFERROR(__xludf.DUMMYFUNCTION("QUERY('Volunteer Survey'!B89)"),"Julie Kaylor")</f>
        <v>Julie Kaylor</v>
      </c>
      <c r="AB90" s="183" t="str">
        <f>IFERROR(__xludf.DUMMYFUNCTION("QUERY('Volunteer Survey'!C89)"),"InformedDNA")</f>
        <v>InformedDNA</v>
      </c>
      <c r="AC90" s="183" t="str">
        <f>IFERROR(__xludf.DUMMYFUNCTION("QUERY('Volunteer Survey'!D89)"),"Arkansas")</f>
        <v>Arkansas</v>
      </c>
      <c r="AD90" s="183" t="str">
        <f>IFERROR(__xludf.DUMMYFUNCTION("QUERY('Volunteer Survey'!E89)"),"jkaylor@informeddna.com")</f>
        <v>jkaylor@informeddna.com</v>
      </c>
      <c r="AE90" s="183" t="str">
        <f>IFERROR(__xludf.DUMMYFUNCTION("QUERY('Volunteer Survey'!F89)"),"Genetic counselor")</f>
        <v>Genetic counselor</v>
      </c>
      <c r="AF90" s="183" t="str">
        <f>IFERROR(__xludf.DUMMYFUNCTION("QUERY('Volunteer Survey'!G89)"),"NA")</f>
        <v>NA</v>
      </c>
      <c r="AG90" s="183" t="str">
        <f>IFERROR(__xludf.DUMMYFUNCTION("QUERY('Volunteer Survey'!H89)"),"Baseline")</f>
        <v>Baseline</v>
      </c>
      <c r="AH90" s="183" t="str">
        <f>IFERROR(__xludf.DUMMYFUNCTION("QUERY('Volunteer Survey'!I89)"),"Clinical Actionability")</f>
        <v>Clinical Actionability</v>
      </c>
      <c r="AI90" s="183" t="str">
        <f>IFERROR(__xludf.DUMMYFUNCTION("QUERY('Volunteer Survey'!J89)"),"Gene-Disease Validity")</f>
        <v>Gene-Disease Validity</v>
      </c>
      <c r="AJ90" s="183" t="str">
        <f>IFERROR(__xludf.DUMMYFUNCTION("QUERY('Volunteer Survey'!K89)"),"Variant Pathogenicity")</f>
        <v>Variant Pathogenicity</v>
      </c>
      <c r="AK90" s="183" t="str">
        <f>IFERROR(__xludf.DUMMYFUNCTION("QUERY('Volunteer Survey'!L89)"),"")</f>
        <v/>
      </c>
      <c r="AL90" s="183" t="str">
        <f>IFERROR(__xludf.DUMMYFUNCTION("QUERY('Volunteer Survey'!M89)"),"")</f>
        <v/>
      </c>
      <c r="AM90" s="183" t="str">
        <f>IFERROR(__xludf.DUMMYFUNCTION("QUERY('Volunteer Survey'!N89)"),"Yes")</f>
        <v>Yes</v>
      </c>
      <c r="AN90" s="183" t="str">
        <f>IFERROR(__xludf.DUMMYFUNCTION("QUERY('Volunteer Survey'!O89)"),"Possibly")</f>
        <v>Possibly</v>
      </c>
      <c r="AO90" s="183" t="str">
        <f>IFERROR(__xludf.DUMMYFUNCTION("QUERY('Volunteer Survey'!P89)"),"NA")</f>
        <v>NA</v>
      </c>
    </row>
    <row r="91">
      <c r="A91" s="50">
        <f>IFERROR(__xludf.DUMMYFUNCTION("QUERY('Volunteer Survey'!A97)"),43426.55193287037)</f>
        <v>43426.55193</v>
      </c>
      <c r="B91" s="48" t="s">
        <v>168</v>
      </c>
      <c r="C91" s="53"/>
      <c r="D91" s="55"/>
      <c r="E91" s="48" t="s">
        <v>130</v>
      </c>
      <c r="F91" s="48" t="s">
        <v>130</v>
      </c>
      <c r="G91" s="48" t="s">
        <v>136</v>
      </c>
      <c r="H91" s="53"/>
      <c r="I91" s="51" t="s">
        <v>139</v>
      </c>
      <c r="J91" s="55"/>
      <c r="K91" s="55"/>
      <c r="L91" s="55" t="str">
        <f>IFERROR(__xludf.DUMMYFUNCTION("QUERY('Volunteer Survey'!B97)"),"Anna Tanska")</f>
        <v>Anna Tanska</v>
      </c>
      <c r="M91" s="55" t="str">
        <f>IFERROR(__xludf.DUMMYFUNCTION("QUERY('Volunteer Survey'!E97)"),"""anna.tanska@petermac.org """)</f>
        <v>"anna.tanska@petermac.org "</v>
      </c>
      <c r="N91" s="55" t="str">
        <f>IFERROR(__xludf.DUMMYFUNCTION("QUERY('Volunteer Survey'!F97)"),"Variant Analyst/Scientist")</f>
        <v>Variant Analyst/Scientist</v>
      </c>
      <c r="O91" s="48" t="str">
        <f>IFERROR(__xludf.DUMMYFUNCTION("QUERY('Volunteer Survey'!H97)"),"Comprehensive")</f>
        <v>Comprehensive</v>
      </c>
      <c r="P91" s="55" t="str">
        <f>IFERROR(__xludf.DUMMYFUNCTION("QUERY('Volunteer Survey'!I97)"),"")</f>
        <v/>
      </c>
      <c r="Q91" s="60" t="str">
        <f>IFERROR(__xludf.DUMMYFUNCTION("QUERY('Volunteer Survey'!J97)"),"")</f>
        <v/>
      </c>
      <c r="R91" s="55" t="str">
        <f>IFERROR(__xludf.DUMMYFUNCTION("QUERY('Volunteer Survey'!K97)"),"")</f>
        <v/>
      </c>
      <c r="S91" s="55" t="str">
        <f>IFERROR(__xludf.DUMMYFUNCTION("QUERY('Volunteer Survey'!L97)"),"")</f>
        <v/>
      </c>
      <c r="T91" s="55" t="str">
        <f>IFERROR(__xludf.DUMMYFUNCTION("QUERY('Volunteer Survey'!M97)"),"")</f>
        <v/>
      </c>
      <c r="U91" s="64" t="str">
        <f>IFERROR(__xludf.DUMMYFUNCTION("QUERY('Volunteer Survey'!N97)"),"Yes")</f>
        <v>Yes</v>
      </c>
      <c r="V91" s="55" t="str">
        <f>IFERROR(__xludf.DUMMYFUNCTION("QUERY('Volunteer Survey'!O97)"),"Possibly")</f>
        <v>Possibly</v>
      </c>
      <c r="W91" s="66" t="str">
        <f>IFERROR(__xludf.DUMMYFUNCTION("QUERY('Volunteer Survey'!P97)"),"Somatic cancer WG")</f>
        <v>Somatic cancer WG</v>
      </c>
      <c r="X91" s="64" t="str">
        <f>IFERROR(__xludf.DUMMYFUNCTION("QUERY('Volunteer Survey'!R97)"),"Maybe -- please contact me with other options, and I will decide based on what is available")</f>
        <v>Maybe -- please contact me with other options, and I will decide based on what is available</v>
      </c>
      <c r="Y91" s="53"/>
      <c r="Z91" s="182">
        <f>IFERROR(__xludf.DUMMYFUNCTION("QUERY('Volunteer Survey'!A90)"),43332.53284722222)</f>
        <v>43332.53285</v>
      </c>
      <c r="AA91" s="183" t="str">
        <f>IFERROR(__xludf.DUMMYFUNCTION("QUERY('Volunteer Survey'!B90)"),"David Ng")</f>
        <v>David Ng</v>
      </c>
      <c r="AB91" s="183" t="str">
        <f>IFERROR(__xludf.DUMMYFUNCTION("QUERY('Volunteer Survey'!C90)"),"NIH")</f>
        <v>NIH</v>
      </c>
      <c r="AC91" s="183" t="str">
        <f>IFERROR(__xludf.DUMMYFUNCTION("QUERY('Volunteer Survey'!D90)"),"MD")</f>
        <v>MD</v>
      </c>
      <c r="AD91" s="183" t="str">
        <f>IFERROR(__xludf.DUMMYFUNCTION("QUERY('Volunteer Survey'!E90)"),"davidng@mail.nih.gov")</f>
        <v>davidng@mail.nih.gov</v>
      </c>
      <c r="AE91" s="183" t="str">
        <f>IFERROR(__xludf.DUMMYFUNCTION("QUERY('Volunteer Survey'!F90)"),"Clinical medical geneticist/Variant Analyst/Scientist")</f>
        <v>Clinical medical geneticist/Variant Analyst/Scientist</v>
      </c>
      <c r="AF91" s="183" t="str">
        <f>IFERROR(__xludf.DUMMYFUNCTION("QUERY('Volunteer Survey'!G90)"),"NA")</f>
        <v>NA</v>
      </c>
      <c r="AG91" s="183" t="str">
        <f>IFERROR(__xludf.DUMMYFUNCTION("QUERY('Volunteer Survey'!H90)"),"Baseline")</f>
        <v>Baseline</v>
      </c>
      <c r="AH91" s="183" t="str">
        <f>IFERROR(__xludf.DUMMYFUNCTION("QUERY('Volunteer Survey'!I90)"),"Clinical Actionability")</f>
        <v>Clinical Actionability</v>
      </c>
      <c r="AI91" s="183" t="str">
        <f>IFERROR(__xludf.DUMMYFUNCTION("QUERY('Volunteer Survey'!J90)"),"Gene-Disease Validity")</f>
        <v>Gene-Disease Validity</v>
      </c>
      <c r="AJ91" s="183" t="str">
        <f>IFERROR(__xludf.DUMMYFUNCTION("QUERY('Volunteer Survey'!K90)"),"Variant Pathogenicity")</f>
        <v>Variant Pathogenicity</v>
      </c>
      <c r="AK91" s="183" t="str">
        <f>IFERROR(__xludf.DUMMYFUNCTION("QUERY('Volunteer Survey'!L90)"),"")</f>
        <v/>
      </c>
      <c r="AL91" s="183" t="str">
        <f>IFERROR(__xludf.DUMMYFUNCTION("QUERY('Volunteer Survey'!M90)"),"")</f>
        <v/>
      </c>
      <c r="AM91" s="183" t="str">
        <f>IFERROR(__xludf.DUMMYFUNCTION("QUERY('Volunteer Survey'!N90)"),"Yes")</f>
        <v>Yes</v>
      </c>
      <c r="AN91" s="183" t="str">
        <f>IFERROR(__xludf.DUMMYFUNCTION("QUERY('Volunteer Survey'!O90)"),"Possibly")</f>
        <v>Possibly</v>
      </c>
      <c r="AO91" s="183" t="str">
        <f>IFERROR(__xludf.DUMMYFUNCTION("QUERY('Volunteer Survey'!P90)"),"Cardiology.")</f>
        <v>Cardiology.</v>
      </c>
    </row>
    <row r="92">
      <c r="A92" s="50">
        <f>IFERROR(__xludf.DUMMYFUNCTION("QUERY('Volunteer Survey'!A98)"),43427.552870370375)</f>
        <v>43427.55287</v>
      </c>
      <c r="B92" s="48" t="s">
        <v>108</v>
      </c>
      <c r="C92" s="53"/>
      <c r="D92" s="55"/>
      <c r="E92" s="48" t="s">
        <v>130</v>
      </c>
      <c r="F92" s="48" t="s">
        <v>130</v>
      </c>
      <c r="G92" s="48" t="s">
        <v>202</v>
      </c>
      <c r="H92" s="53"/>
      <c r="I92" s="51" t="s">
        <v>139</v>
      </c>
      <c r="J92" s="55"/>
      <c r="K92" s="55"/>
      <c r="L92" s="55" t="str">
        <f>IFERROR(__xludf.DUMMYFUNCTION("QUERY('Volunteer Survey'!B98)"),"Amanda Fortier")</f>
        <v>Amanda Fortier</v>
      </c>
      <c r="M92" s="55" t="str">
        <f>IFERROR(__xludf.DUMMYFUNCTION("QUERY('Volunteer Survey'!E98)"),"amanda.fortier@advocatehealth.com")</f>
        <v>amanda.fortier@advocatehealth.com</v>
      </c>
      <c r="N92" s="55" t="str">
        <f>IFERROR(__xludf.DUMMYFUNCTION("QUERY('Volunteer Survey'!F98)"),"Clinical laboratory geneticist")</f>
        <v>Clinical laboratory geneticist</v>
      </c>
      <c r="O92" s="48" t="str">
        <f>IFERROR(__xludf.DUMMYFUNCTION("QUERY('Volunteer Survey'!H98)"),"Baseline")</f>
        <v>Baseline</v>
      </c>
      <c r="P92" s="55" t="str">
        <f>IFERROR(__xludf.DUMMYFUNCTION("QUERY('Volunteer Survey'!I98)"),"")</f>
        <v/>
      </c>
      <c r="Q92" s="60" t="str">
        <f>IFERROR(__xludf.DUMMYFUNCTION("QUERY('Volunteer Survey'!J98)"),"")</f>
        <v/>
      </c>
      <c r="R92" s="55" t="str">
        <f>IFERROR(__xludf.DUMMYFUNCTION("QUERY('Volunteer Survey'!K98)"),"")</f>
        <v/>
      </c>
      <c r="S92" s="55" t="str">
        <f>IFERROR(__xludf.DUMMYFUNCTION("QUERY('Volunteer Survey'!L98)"),"")</f>
        <v/>
      </c>
      <c r="T92" s="55" t="str">
        <f>IFERROR(__xludf.DUMMYFUNCTION("QUERY('Volunteer Survey'!M98)"),"")</f>
        <v/>
      </c>
      <c r="U92" s="64" t="str">
        <f>IFERROR(__xludf.DUMMYFUNCTION("QUERY('Volunteer Survey'!N98)"),"No")</f>
        <v>No</v>
      </c>
      <c r="V92" s="55" t="str">
        <f>IFERROR(__xludf.DUMMYFUNCTION("QUERY('Volunteer Survey'!O98)"),"Possibly")</f>
        <v>Possibly</v>
      </c>
      <c r="W92" s="66" t="str">
        <f>IFERROR(__xludf.DUMMYFUNCTION("QUERY('Volunteer Survey'!P98)"),"Yes, if needed. I am open to considering this type of activity.")</f>
        <v>Yes, if needed. I am open to considering this type of activity.</v>
      </c>
      <c r="X92" s="64" t="str">
        <f>IFERROR(__xludf.DUMMYFUNCTION("QUERY('Volunteer Survey'!R98)"),"Maybe -- please contact me with other options, and I will decide based on what is available")</f>
        <v>Maybe -- please contact me with other options, and I will decide based on what is available</v>
      </c>
      <c r="Y92" s="53"/>
      <c r="Z92" s="182">
        <f>IFERROR(__xludf.DUMMYFUNCTION("QUERY('Volunteer Survey'!A91)"),43483.53342149306)</f>
        <v>43483.53342</v>
      </c>
      <c r="AA92" s="183" t="str">
        <f>IFERROR(__xludf.DUMMYFUNCTION("QUERY('Volunteer Survey'!B91)"),"Nan Jiang")</f>
        <v>Nan Jiang</v>
      </c>
      <c r="AB92" s="183" t="str">
        <f>IFERROR(__xludf.DUMMYFUNCTION("QUERY('Volunteer Survey'!C91)"),"University of California, San Diego")</f>
        <v>University of California, San Diego</v>
      </c>
      <c r="AC92" s="183" t="str">
        <f>IFERROR(__xludf.DUMMYFUNCTION("QUERY('Volunteer Survey'!D91)"),"")</f>
        <v/>
      </c>
      <c r="AD92" s="183" t="str">
        <f>IFERROR(__xludf.DUMMYFUNCTION("QUERY('Volunteer Survey'!E91)"),"naj018@ucsd.edu")</f>
        <v>naj018@ucsd.edu</v>
      </c>
      <c r="AE92" s="183" t="str">
        <f>IFERROR(__xludf.DUMMYFUNCTION("QUERY('Volunteer Survey'!F91)"),"Post Doc/Resident/Fellow (MD and/or PhD)")</f>
        <v>Post Doc/Resident/Fellow (MD and/or PhD)</v>
      </c>
      <c r="AF92" s="183" t="str">
        <f>IFERROR(__xludf.DUMMYFUNCTION("QUERY('Volunteer Survey'!G91)"),"I heard about ClinGen from some published papers.I would like to contribute to the community with my experience and knowledge at the same time learn more about how to interpret genetic variants in a comprehensive way. I am particularly interested in neura"&amp;"l tube defect. ")</f>
        <v>I heard about ClinGen from some published papers.I would like to contribute to the community with my experience and knowledge at the same time learn more about how to interpret genetic variants in a comprehensive way. I am particularly interested in neural tube defect. </v>
      </c>
      <c r="AG92" s="183" t="str">
        <f>IFERROR(__xludf.DUMMYFUNCTION("QUERY('Volunteer Survey'!H91)"),"Comprehensive")</f>
        <v>Comprehensive</v>
      </c>
      <c r="AH92" s="183" t="str">
        <f>IFERROR(__xludf.DUMMYFUNCTION("QUERY('Volunteer Survey'!I91)"),"Dosage Sensitivity")</f>
        <v>Dosage Sensitivity</v>
      </c>
      <c r="AI92" s="183" t="str">
        <f>IFERROR(__xludf.DUMMYFUNCTION("QUERY('Volunteer Survey'!J91)"),"")</f>
        <v/>
      </c>
      <c r="AJ92" s="183" t="str">
        <f>IFERROR(__xludf.DUMMYFUNCTION("QUERY('Volunteer Survey'!K91)"),"Gene-Disease Validity")</f>
        <v>Gene-Disease Validity</v>
      </c>
      <c r="AK92" s="183" t="str">
        <f>IFERROR(__xludf.DUMMYFUNCTION("QUERY('Volunteer Survey'!L91)"),"Somatic Cancer")</f>
        <v>Somatic Cancer</v>
      </c>
      <c r="AL92" s="183" t="str">
        <f>IFERROR(__xludf.DUMMYFUNCTION("QUERY('Volunteer Survey'!M91)"),"Variant Pathogenicity")</f>
        <v>Variant Pathogenicity</v>
      </c>
      <c r="AM92" s="183" t="str">
        <f>IFERROR(__xludf.DUMMYFUNCTION("QUERY('Volunteer Survey'!N91)"),"Yes. I work in a clinical genetics research lab identifying disease genes in pediatric neurological disorders using whole exome and whole genome sequencing. I do variants pathogenicity curation in daily bases. ")</f>
        <v>Yes. I work in a clinical genetics research lab identifying disease genes in pediatric neurological disorders using whole exome and whole genome sequencing. I do variants pathogenicity curation in daily bases. </v>
      </c>
      <c r="AN92" s="183" t="str">
        <f>IFERROR(__xludf.DUMMYFUNCTION("QUERY('Volunteer Survey'!O91)"),"Possibly")</f>
        <v>Possibly</v>
      </c>
      <c r="AO92" s="183" t="str">
        <f>IFERROR(__xludf.DUMMYFUNCTION("QUERY('Volunteer Survey'!P91)"),"I am particularly interested in the variant and gene curation expert panels under dosage sensitivity working group. ")</f>
        <v>I am particularly interested in the variant and gene curation expert panels under dosage sensitivity working group. </v>
      </c>
    </row>
    <row r="93">
      <c r="A93" s="50">
        <f>IFERROR(__xludf.DUMMYFUNCTION("QUERY('Volunteer Survey'!A100)"),43483.55459590278)</f>
        <v>43483.5546</v>
      </c>
      <c r="B93" s="48" t="s">
        <v>125</v>
      </c>
      <c r="C93" s="87">
        <v>43437.0</v>
      </c>
      <c r="D93" s="56">
        <v>43446.0</v>
      </c>
      <c r="E93" s="48" t="s">
        <v>117</v>
      </c>
      <c r="F93" s="48" t="s">
        <v>117</v>
      </c>
      <c r="G93" s="48" t="s">
        <v>122</v>
      </c>
      <c r="H93" s="51" t="s">
        <v>143</v>
      </c>
      <c r="I93" s="51" t="s">
        <v>139</v>
      </c>
      <c r="J93" s="56">
        <v>43592.0</v>
      </c>
      <c r="K93" s="56">
        <v>43713.0</v>
      </c>
      <c r="L93" s="55" t="str">
        <f>IFERROR(__xludf.DUMMYFUNCTION("QUERY('Volunteer Survey'!B100)"),"Ny Hoang")</f>
        <v>Ny Hoang</v>
      </c>
      <c r="M93" s="55" t="str">
        <f>IFERROR(__xludf.DUMMYFUNCTION("QUERY('Volunteer Survey'!E100)"),"ny.hoang@sickkids.ca")</f>
        <v>ny.hoang@sickkids.ca</v>
      </c>
      <c r="N93" s="55" t="str">
        <f>IFERROR(__xludf.DUMMYFUNCTION("QUERY('Volunteer Survey'!F100)"),"Genetic counselor")</f>
        <v>Genetic counselor</v>
      </c>
      <c r="O93" s="48" t="s">
        <v>63</v>
      </c>
      <c r="P93" s="55" t="str">
        <f>IFERROR(__xludf.DUMMYFUNCTION("QUERY('Volunteer Survey'!I100)"),"Gene-Disease Validity")</f>
        <v>Gene-Disease Validity</v>
      </c>
      <c r="Q93" s="60" t="str">
        <f>IFERROR(__xludf.DUMMYFUNCTION("QUERY('Volunteer Survey'!J100)"),"")</f>
        <v/>
      </c>
      <c r="R93" s="55" t="str">
        <f>IFERROR(__xludf.DUMMYFUNCTION("QUERY('Volunteer Survey'!K100)"),"")</f>
        <v/>
      </c>
      <c r="S93" s="55" t="str">
        <f>IFERROR(__xludf.DUMMYFUNCTION("QUERY('Volunteer Survey'!L100)"),"")</f>
        <v/>
      </c>
      <c r="T93" s="55" t="str">
        <f>IFERROR(__xludf.DUMMYFUNCTION("QUERY('Volunteer Survey'!M100)"),"")</f>
        <v/>
      </c>
      <c r="U93" s="64" t="str">
        <f>IFERROR(__xludf.DUMMYFUNCTION("QUERY('Volunteer Survey'!N100)"),"Yes")</f>
        <v>Yes</v>
      </c>
      <c r="V93" s="55" t="str">
        <f>IFERROR(__xludf.DUMMYFUNCTION("QUERY('Volunteer Survey'!O100)"),"Possibly")</f>
        <v>Possibly</v>
      </c>
      <c r="W93" s="66" t="str">
        <f>IFERROR(__xludf.DUMMYFUNCTION("QUERY('Volunteer Survey'!P100)"),"Autism and ID working group")</f>
        <v>Autism and ID working group</v>
      </c>
      <c r="X93" s="64" t="str">
        <f>IFERROR(__xludf.DUMMYFUNCTION("QUERY('Volunteer Survey'!R100)"),"Maybe -- please contact me with other options, and I will decide based on what is available")</f>
        <v>Maybe -- please contact me with other options, and I will decide based on what is available</v>
      </c>
      <c r="Y93" s="51" t="s">
        <v>318</v>
      </c>
      <c r="Z93" s="182">
        <f>IFERROR(__xludf.DUMMYFUNCTION("QUERY('Volunteer Survey'!A92)"),43366.53592592593)</f>
        <v>43366.53593</v>
      </c>
      <c r="AA93" s="183" t="str">
        <f>IFERROR(__xludf.DUMMYFUNCTION("QUERY('Volunteer Survey'!B92)"),"Michelle Green")</f>
        <v>Michelle Green</v>
      </c>
      <c r="AB93" s="183" t="str">
        <f>IFERROR(__xludf.DUMMYFUNCTION("QUERY('Volunteer Survey'!C92)"),"NA")</f>
        <v>NA</v>
      </c>
      <c r="AC93" s="183" t="str">
        <f>IFERROR(__xludf.DUMMYFUNCTION("QUERY('Volunteer Survey'!D92)"),"NC")</f>
        <v>NC</v>
      </c>
      <c r="AD93" s="183" t="str">
        <f>IFERROR(__xludf.DUMMYFUNCTION("QUERY('Volunteer Survey'!E92)"),"Michelle.green@n-of-one.com")</f>
        <v>Michelle.green@n-of-one.com</v>
      </c>
      <c r="AE93" s="183" t="str">
        <f>IFERROR(__xludf.DUMMYFUNCTION("QUERY('Volunteer Survey'!F92)"),"Biocurator, Variant Analyst/Scientist")</f>
        <v>Biocurator, Variant Analyst/Scientist</v>
      </c>
      <c r="AF93" s="183" t="str">
        <f>IFERROR(__xludf.DUMMYFUNCTION("QUERY('Volunteer Survey'!G92)"),"NA")</f>
        <v>NA</v>
      </c>
      <c r="AG93" s="183" t="str">
        <f>IFERROR(__xludf.DUMMYFUNCTION("QUERY('Volunteer Survey'!H92)"),"Baseline")</f>
        <v>Baseline</v>
      </c>
      <c r="AH93" s="183" t="str">
        <f>IFERROR(__xludf.DUMMYFUNCTION("QUERY('Volunteer Survey'!I92)"),"Variant Pathogenicity")</f>
        <v>Variant Pathogenicity</v>
      </c>
      <c r="AI93" s="183" t="str">
        <f>IFERROR(__xludf.DUMMYFUNCTION("QUERY('Volunteer Survey'!J92)"),"")</f>
        <v/>
      </c>
      <c r="AJ93" s="183" t="str">
        <f>IFERROR(__xludf.DUMMYFUNCTION("QUERY('Volunteer Survey'!K92)"),"")</f>
        <v/>
      </c>
      <c r="AK93" s="183" t="str">
        <f>IFERROR(__xludf.DUMMYFUNCTION("QUERY('Volunteer Survey'!L92)"),"")</f>
        <v/>
      </c>
      <c r="AL93" s="183" t="str">
        <f>IFERROR(__xludf.DUMMYFUNCTION("QUERY('Volunteer Survey'!M92)"),"")</f>
        <v/>
      </c>
      <c r="AM93" s="183" t="str">
        <f>IFERROR(__xludf.DUMMYFUNCTION("QUERY('Volunteer Survey'!N92)"),"Yes")</f>
        <v>Yes</v>
      </c>
      <c r="AN93" s="183" t="str">
        <f>IFERROR(__xludf.DUMMYFUNCTION("QUERY('Volunteer Survey'!O92)"),"Possibly")</f>
        <v>Possibly</v>
      </c>
      <c r="AO93" s="183" t="str">
        <f>IFERROR(__xludf.DUMMYFUNCTION("QUERY('Volunteer Survey'!P92)"),"NA")</f>
        <v>NA</v>
      </c>
    </row>
    <row r="94">
      <c r="A94" s="50">
        <f>IFERROR(__xludf.DUMMYFUNCTION("QUERY('Volunteer Survey'!A101)"),43434.555347222224)</f>
        <v>43434.55535</v>
      </c>
      <c r="B94" s="48" t="s">
        <v>160</v>
      </c>
      <c r="C94" s="87">
        <v>43437.0</v>
      </c>
      <c r="D94" s="56">
        <v>43446.0</v>
      </c>
      <c r="E94" s="48" t="s">
        <v>130</v>
      </c>
      <c r="F94" s="48" t="s">
        <v>130</v>
      </c>
      <c r="G94" s="48" t="s">
        <v>122</v>
      </c>
      <c r="H94" s="51" t="s">
        <v>143</v>
      </c>
      <c r="I94" s="51" t="s">
        <v>139</v>
      </c>
      <c r="J94" s="48"/>
      <c r="K94" s="48"/>
      <c r="L94" s="55" t="str">
        <f>IFERROR(__xludf.DUMMYFUNCTION("QUERY('Volunteer Survey'!B101)"),"Jacob Vorstman")</f>
        <v>Jacob Vorstman</v>
      </c>
      <c r="M94" s="55" t="str">
        <f>IFERROR(__xludf.DUMMYFUNCTION("QUERY('Volunteer Survey'!E101)"),"jacob.vorstman@sickkids.ca")</f>
        <v>jacob.vorstman@sickkids.ca</v>
      </c>
      <c r="N94" s="55" t="str">
        <f>IFERROR(__xludf.DUMMYFUNCTION("QUERY('Volunteer Survey'!F101)"),"Post Doc/Resident/Fellow (MD and/or Phd), Scientific Researcher, Physician (non-geneticist)")</f>
        <v>Post Doc/Resident/Fellow (MD and/or Phd), Scientific Researcher, Physician (non-geneticist)</v>
      </c>
      <c r="O94" s="48" t="s">
        <v>63</v>
      </c>
      <c r="P94" s="55" t="str">
        <f>IFERROR(__xludf.DUMMYFUNCTION("QUERY('Volunteer Survey'!I101)"),"Gene-Disease Validity")</f>
        <v>Gene-Disease Validity</v>
      </c>
      <c r="Q94" s="60" t="str">
        <f>IFERROR(__xludf.DUMMYFUNCTION("QUERY('Volunteer Survey'!J101)"),"")</f>
        <v/>
      </c>
      <c r="R94" s="55" t="str">
        <f>IFERROR(__xludf.DUMMYFUNCTION("QUERY('Volunteer Survey'!K101)"),"")</f>
        <v/>
      </c>
      <c r="S94" s="55" t="str">
        <f>IFERROR(__xludf.DUMMYFUNCTION("QUERY('Volunteer Survey'!L101)"),"")</f>
        <v/>
      </c>
      <c r="T94" s="55" t="str">
        <f>IFERROR(__xludf.DUMMYFUNCTION("QUERY('Volunteer Survey'!M101)"),"")</f>
        <v/>
      </c>
      <c r="U94" s="64" t="str">
        <f>IFERROR(__xludf.DUMMYFUNCTION("QUERY('Volunteer Survey'!N101)"),"Yes")</f>
        <v>Yes</v>
      </c>
      <c r="V94" s="55" t="str">
        <f>IFERROR(__xludf.DUMMYFUNCTION("QUERY('Volunteer Survey'!O101)"),"Possibly")</f>
        <v>Possibly</v>
      </c>
      <c r="W94" s="66" t="str">
        <f>IFERROR(__xludf.DUMMYFUNCTION("QUERY('Volunteer Survey'!P101)"),"Autism Spectrum Disorder - see previous and ongoing discussions following the Toronto ASD gene list meeting this fall")</f>
        <v>Autism Spectrum Disorder - see previous and ongoing discussions following the Toronto ASD gene list meeting this fall</v>
      </c>
      <c r="X94" s="64" t="str">
        <f>IFERROR(__xludf.DUMMYFUNCTION("QUERY('Volunteer Survey'!R101)"),"Maybe -- please contact me with other options, and I will decide based on what is available")</f>
        <v>Maybe -- please contact me with other options, and I will decide based on what is available</v>
      </c>
      <c r="Y94" s="53"/>
      <c r="Z94" s="182">
        <f>IFERROR(__xludf.DUMMYFUNCTION("QUERY('Volunteer Survey'!A93)"),43371.53938657408)</f>
        <v>43371.53939</v>
      </c>
      <c r="AA94" s="183" t="str">
        <f>IFERROR(__xludf.DUMMYFUNCTION("QUERY('Volunteer Survey'!B93)"),"Mahsa")</f>
        <v>Mahsa</v>
      </c>
      <c r="AB94" s="183" t="str">
        <f>IFERROR(__xludf.DUMMYFUNCTION("QUERY('Volunteer Survey'!C93)"),"New Mexico State University")</f>
        <v>New Mexico State University</v>
      </c>
      <c r="AC94" s="183" t="str">
        <f>IFERROR(__xludf.DUMMYFUNCTION("QUERY('Volunteer Survey'!D93)"),"New Mexico")</f>
        <v>New Mexico</v>
      </c>
      <c r="AD94" s="183" t="str">
        <f>IFERROR(__xludf.DUMMYFUNCTION("QUERY('Volunteer Survey'!E93)"),"mahsash@nmsu.edu")</f>
        <v>mahsash@nmsu.edu</v>
      </c>
      <c r="AE94" s="183" t="str">
        <f>IFERROR(__xludf.DUMMYFUNCTION("QUERY('Volunteer Survey'!F93)"),"Graduate Student")</f>
        <v>Graduate Student</v>
      </c>
      <c r="AF94" s="183" t="str">
        <f>IFERROR(__xludf.DUMMYFUNCTION("QUERY('Volunteer Survey'!G93)"),"NA")</f>
        <v>NA</v>
      </c>
      <c r="AG94" s="183" t="str">
        <f>IFERROR(__xludf.DUMMYFUNCTION("QUERY('Volunteer Survey'!H93)"),"Baseline")</f>
        <v>Baseline</v>
      </c>
      <c r="AH94" s="183" t="str">
        <f>IFERROR(__xludf.DUMMYFUNCTION("QUERY('Volunteer Survey'!I93)"),"")</f>
        <v/>
      </c>
      <c r="AI94" s="183" t="str">
        <f>IFERROR(__xludf.DUMMYFUNCTION("QUERY('Volunteer Survey'!J93)"),"")</f>
        <v/>
      </c>
      <c r="AJ94" s="183" t="str">
        <f>IFERROR(__xludf.DUMMYFUNCTION("QUERY('Volunteer Survey'!K93)"),"")</f>
        <v/>
      </c>
      <c r="AK94" s="183" t="str">
        <f>IFERROR(__xludf.DUMMYFUNCTION("QUERY('Volunteer Survey'!L93)"),"")</f>
        <v/>
      </c>
      <c r="AL94" s="183" t="str">
        <f>IFERROR(__xludf.DUMMYFUNCTION("QUERY('Volunteer Survey'!M93)"),"")</f>
        <v/>
      </c>
      <c r="AM94" s="183" t="str">
        <f>IFERROR(__xludf.DUMMYFUNCTION("QUERY('Volunteer Survey'!N93)"),"No")</f>
        <v>No</v>
      </c>
      <c r="AN94" s="183" t="str">
        <f>IFERROR(__xludf.DUMMYFUNCTION("QUERY('Volunteer Survey'!O93)"),"Possibly")</f>
        <v>Possibly</v>
      </c>
      <c r="AO94" s="183" t="str">
        <f>IFERROR(__xludf.DUMMYFUNCTION("QUERY('Volunteer Survey'!P93)"),"NA")</f>
        <v>NA</v>
      </c>
    </row>
    <row r="95">
      <c r="A95" s="50">
        <f>IFERROR(__xludf.DUMMYFUNCTION("QUERY('Volunteer Survey'!A102)"),43485.69615496528)</f>
        <v>43485.69615</v>
      </c>
      <c r="B95" s="48" t="s">
        <v>108</v>
      </c>
      <c r="C95" s="53"/>
      <c r="D95" s="49">
        <v>43598.0</v>
      </c>
      <c r="E95" s="48" t="s">
        <v>117</v>
      </c>
      <c r="F95" s="48" t="s">
        <v>130</v>
      </c>
      <c r="G95" s="48" t="s">
        <v>136</v>
      </c>
      <c r="H95" s="53"/>
      <c r="I95" s="51" t="s">
        <v>139</v>
      </c>
      <c r="J95" s="56">
        <v>43712.0</v>
      </c>
      <c r="K95" s="56"/>
      <c r="L95" s="55" t="str">
        <f>IFERROR(__xludf.DUMMYFUNCTION("QUERY('Volunteer Survey'!B102)"),"Qiuxiang Ou")</f>
        <v>Qiuxiang Ou</v>
      </c>
      <c r="M95" s="55" t="str">
        <f>IFERROR(__xludf.DUMMYFUNCTION("QUERY('Volunteer Survey'!E102)"),"dorothy.ou@gmail.com")</f>
        <v>dorothy.ou@gmail.com</v>
      </c>
      <c r="N95" s="55" t="str">
        <f>IFERROR(__xludf.DUMMYFUNCTION("QUERY('Volunteer Survey'!F102)"),"Scientific Researcher")</f>
        <v>Scientific Researcher</v>
      </c>
      <c r="O95" s="48" t="str">
        <f>IFERROR(__xludf.DUMMYFUNCTION("QUERY('Volunteer Survey'!H102)"),"Comprehensive")</f>
        <v>Comprehensive</v>
      </c>
      <c r="P95" s="55" t="str">
        <f>IFERROR(__xludf.DUMMYFUNCTION("QUERY('Volunteer Survey'!I102)"),"Somatic Cancer")</f>
        <v>Somatic Cancer</v>
      </c>
      <c r="Q95" s="60" t="str">
        <f>IFERROR(__xludf.DUMMYFUNCTION("QUERY('Volunteer Survey'!J102)"),"Variant Pathogenicity")</f>
        <v>Variant Pathogenicity</v>
      </c>
      <c r="R95" s="55" t="str">
        <f>IFERROR(__xludf.DUMMYFUNCTION("QUERY('Volunteer Survey'!K102)"),"Clinical Actionability")</f>
        <v>Clinical Actionability</v>
      </c>
      <c r="S95" s="55" t="str">
        <f>IFERROR(__xludf.DUMMYFUNCTION("QUERY('Volunteer Survey'!L102)"),"Gene-Disease Validity")</f>
        <v>Gene-Disease Validity</v>
      </c>
      <c r="T95" s="55" t="str">
        <f>IFERROR(__xludf.DUMMYFUNCTION("QUERY('Volunteer Survey'!M102)"),"Dosage Sensitivity")</f>
        <v>Dosage Sensitivity</v>
      </c>
      <c r="U95" s="64" t="str">
        <f>IFERROR(__xludf.DUMMYFUNCTION("QUERY('Volunteer Survey'!N102)"),"")</f>
        <v/>
      </c>
      <c r="V95" s="55" t="str">
        <f>IFERROR(__xludf.DUMMYFUNCTION("QUERY('Volunteer Survey'!O102)"),"Possibly")</f>
        <v>Possibly</v>
      </c>
      <c r="W95" s="66" t="str">
        <f>IFERROR(__xludf.DUMMYFUNCTION("QUERY('Volunteer Survey'!P102)"),"Somatic Cancer Working Group")</f>
        <v>Somatic Cancer Working Group</v>
      </c>
      <c r="X95" s="64" t="str">
        <f>IFERROR(__xludf.DUMMYFUNCTION("QUERY('Volunteer Survey'!R102)"),"Yes- I am willing to volunteer with any available ClinGen group")</f>
        <v>Yes- I am willing to volunteer with any available ClinGen group</v>
      </c>
      <c r="Y95" s="53"/>
      <c r="Z95" s="182">
        <f>IFERROR(__xludf.DUMMYFUNCTION("QUERY('Volunteer Survey'!A94)"),43372.549050925925)</f>
        <v>43372.54905</v>
      </c>
      <c r="AA95" s="183" t="str">
        <f>IFERROR(__xludf.DUMMYFUNCTION("QUERY('Volunteer Survey'!B94)"),"Michelle Green")</f>
        <v>Michelle Green</v>
      </c>
      <c r="AB95" s="183" t="str">
        <f>IFERROR(__xludf.DUMMYFUNCTION("QUERY('Volunteer Survey'!C94)"),"NA")</f>
        <v>NA</v>
      </c>
      <c r="AC95" s="183" t="str">
        <f>IFERROR(__xludf.DUMMYFUNCTION("QUERY('Volunteer Survey'!D94)"),"NC")</f>
        <v>NC</v>
      </c>
      <c r="AD95" s="183" t="str">
        <f>IFERROR(__xludf.DUMMYFUNCTION("QUERY('Volunteer Survey'!E94)"),"mfgreen14@gmail.com")</f>
        <v>mfgreen14@gmail.com</v>
      </c>
      <c r="AE95" s="183" t="str">
        <f>IFERROR(__xludf.DUMMYFUNCTION("QUERY('Volunteer Survey'!F94)"),"Biocurator, Variant Analyst/Scientist")</f>
        <v>Biocurator, Variant Analyst/Scientist</v>
      </c>
      <c r="AF95" s="183" t="str">
        <f>IFERROR(__xludf.DUMMYFUNCTION("QUERY('Volunteer Survey'!G94)"),"NA")</f>
        <v>NA</v>
      </c>
      <c r="AG95" s="183" t="str">
        <f>IFERROR(__xludf.DUMMYFUNCTION("QUERY('Volunteer Survey'!H94)"),"Baseline")</f>
        <v>Baseline</v>
      </c>
      <c r="AH95" s="183" t="str">
        <f>IFERROR(__xludf.DUMMYFUNCTION("QUERY('Volunteer Survey'!I94)"),"")</f>
        <v/>
      </c>
      <c r="AI95" s="183" t="str">
        <f>IFERROR(__xludf.DUMMYFUNCTION("QUERY('Volunteer Survey'!J94)"),"")</f>
        <v/>
      </c>
      <c r="AJ95" s="183" t="str">
        <f>IFERROR(__xludf.DUMMYFUNCTION("QUERY('Volunteer Survey'!K94)"),"")</f>
        <v/>
      </c>
      <c r="AK95" s="183" t="str">
        <f>IFERROR(__xludf.DUMMYFUNCTION("QUERY('Volunteer Survey'!L94)"),"")</f>
        <v/>
      </c>
      <c r="AL95" s="183" t="str">
        <f>IFERROR(__xludf.DUMMYFUNCTION("QUERY('Volunteer Survey'!M94)"),"")</f>
        <v/>
      </c>
      <c r="AM95" s="183" t="str">
        <f>IFERROR(__xludf.DUMMYFUNCTION("QUERY('Volunteer Survey'!N94)"),"Yes")</f>
        <v>Yes</v>
      </c>
      <c r="AN95" s="183" t="str">
        <f>IFERROR(__xludf.DUMMYFUNCTION("QUERY('Volunteer Survey'!O94)"),"Possibly")</f>
        <v>Possibly</v>
      </c>
      <c r="AO95" s="183" t="str">
        <f>IFERROR(__xludf.DUMMYFUNCTION("QUERY('Volunteer Survey'!P94)"),"NA")</f>
        <v>NA</v>
      </c>
    </row>
    <row r="96">
      <c r="A96" s="50">
        <f>IFERROR(__xludf.DUMMYFUNCTION("QUERY('Volunteer Survey'!A103)"),43416.37436342593)</f>
        <v>43416.37436</v>
      </c>
      <c r="B96" s="48" t="s">
        <v>160</v>
      </c>
      <c r="C96" s="79">
        <v>43434.0</v>
      </c>
      <c r="D96" s="73">
        <v>43522.0</v>
      </c>
      <c r="E96" s="48" t="s">
        <v>117</v>
      </c>
      <c r="F96" s="48" t="s">
        <v>117</v>
      </c>
      <c r="G96" s="48" t="s">
        <v>19</v>
      </c>
      <c r="H96" s="51" t="s">
        <v>19</v>
      </c>
      <c r="I96" s="51" t="s">
        <v>139</v>
      </c>
      <c r="J96" s="48"/>
      <c r="K96" s="48"/>
      <c r="L96" s="55" t="str">
        <f>IFERROR(__xludf.DUMMYFUNCTION("QUERY('Volunteer Survey'!B103)"),"Kylin Boehler")</f>
        <v>Kylin Boehler</v>
      </c>
      <c r="M96" s="55" t="str">
        <f>IFERROR(__xludf.DUMMYFUNCTION("QUERY('Volunteer Survey'!E103)"),"kylin.y.boehler@questdiagnostics.com")</f>
        <v>kylin.y.boehler@questdiagnostics.com</v>
      </c>
      <c r="N96" s="55" t="str">
        <f>IFERROR(__xludf.DUMMYFUNCTION("QUERY('Volunteer Survey'!F103)"),"Genetic counselor")</f>
        <v>Genetic counselor</v>
      </c>
      <c r="O96" s="48" t="str">
        <f>IFERROR(__xludf.DUMMYFUNCTION("QUERY('Volunteer Survey'!H103)"),"Comprehensive")</f>
        <v>Comprehensive</v>
      </c>
      <c r="P96" s="55" t="str">
        <f>IFERROR(__xludf.DUMMYFUNCTION("QUERY('Volunteer Survey'!I103)"),"Clinical Actionability")</f>
        <v>Clinical Actionability</v>
      </c>
      <c r="Q96" s="60" t="str">
        <f>IFERROR(__xludf.DUMMYFUNCTION("QUERY('Volunteer Survey'!J103)"),"Dosage Sensitivity")</f>
        <v>Dosage Sensitivity</v>
      </c>
      <c r="R96" s="55" t="str">
        <f>IFERROR(__xludf.DUMMYFUNCTION("QUERY('Volunteer Survey'!K103)"),"Gene-Disease Validity")</f>
        <v>Gene-Disease Validity</v>
      </c>
      <c r="S96" s="55" t="str">
        <f>IFERROR(__xludf.DUMMYFUNCTION("QUERY('Volunteer Survey'!L103)"),"Variant Pathogenicity")</f>
        <v>Variant Pathogenicity</v>
      </c>
      <c r="T96" s="55" t="str">
        <f>IFERROR(__xludf.DUMMYFUNCTION("QUERY('Volunteer Survey'!M103)"),"Somatic Cancer")</f>
        <v>Somatic Cancer</v>
      </c>
      <c r="U96" s="64" t="str">
        <f>IFERROR(__xludf.DUMMYFUNCTION("QUERY('Volunteer Survey'!N103)"),"Yes")</f>
        <v>Yes</v>
      </c>
      <c r="V96" s="55" t="str">
        <f>IFERROR(__xludf.DUMMYFUNCTION("QUERY('Volunteer Survey'!O103)"),"No")</f>
        <v>No</v>
      </c>
      <c r="W96" s="66" t="str">
        <f>IFERROR(__xludf.DUMMYFUNCTION("QUERY('Volunteer Survey'!P103)"),"I am mainly interested in the Hereditary Cancer Gene Dosage Sensitivity Curation group.")</f>
        <v>I am mainly interested in the Hereditary Cancer Gene Dosage Sensitivity Curation group.</v>
      </c>
      <c r="X96" s="64" t="str">
        <f>IFERROR(__xludf.DUMMYFUNCTION("QUERY('Volunteer Survey'!R103)"),"Maybe -- please contact me with other options, and I will decide based on what is available")</f>
        <v>Maybe -- please contact me with other options, and I will decide based on what is available</v>
      </c>
      <c r="Y96" s="51" t="s">
        <v>332</v>
      </c>
      <c r="Z96" s="182">
        <f>IFERROR(__xludf.DUMMYFUNCTION("QUERY('Volunteer Survey'!A95)"),43389.55033564815)</f>
        <v>43389.55034</v>
      </c>
      <c r="AA96" s="183" t="str">
        <f>IFERROR(__xludf.DUMMYFUNCTION("QUERY('Volunteer Survey'!B95)"),"Xinkun ""Sequen"" Wang")</f>
        <v>Xinkun "Sequen" Wang</v>
      </c>
      <c r="AB96" s="183" t="str">
        <f>IFERROR(__xludf.DUMMYFUNCTION("QUERY('Volunteer Survey'!C95)"),"Northwestern University")</f>
        <v>Northwestern University</v>
      </c>
      <c r="AC96" s="183" t="str">
        <f>IFERROR(__xludf.DUMMYFUNCTION("QUERY('Volunteer Survey'!D95)"),"Chicago, IL")</f>
        <v>Chicago, IL</v>
      </c>
      <c r="AD96" s="183" t="str">
        <f>IFERROR(__xludf.DUMMYFUNCTION("QUERY('Volunteer Survey'!E95)"),"xinkun.wang@northwestern.edu")</f>
        <v>xinkun.wang@northwestern.edu</v>
      </c>
      <c r="AE96" s="183" t="str">
        <f>IFERROR(__xludf.DUMMYFUNCTION("QUERY('Volunteer Survey'!F95)"),"Scientific Researcher")</f>
        <v>Scientific Researcher</v>
      </c>
      <c r="AF96" s="183" t="str">
        <f>IFERROR(__xludf.DUMMYFUNCTION("QUERY('Volunteer Survey'!G95)"),"NA")</f>
        <v>NA</v>
      </c>
      <c r="AG96" s="183" t="str">
        <f>IFERROR(__xludf.DUMMYFUNCTION("QUERY('Volunteer Survey'!H95)"),"Baseline")</f>
        <v>Baseline</v>
      </c>
      <c r="AH96" s="183" t="str">
        <f>IFERROR(__xludf.DUMMYFUNCTION("QUERY('Volunteer Survey'!I95)"),"")</f>
        <v/>
      </c>
      <c r="AI96" s="183" t="str">
        <f>IFERROR(__xludf.DUMMYFUNCTION("QUERY('Volunteer Survey'!J95)"),"")</f>
        <v/>
      </c>
      <c r="AJ96" s="183" t="str">
        <f>IFERROR(__xludf.DUMMYFUNCTION("QUERY('Volunteer Survey'!K95)"),"")</f>
        <v/>
      </c>
      <c r="AK96" s="183" t="str">
        <f>IFERROR(__xludf.DUMMYFUNCTION("QUERY('Volunteer Survey'!L95)"),"")</f>
        <v/>
      </c>
      <c r="AL96" s="183" t="str">
        <f>IFERROR(__xludf.DUMMYFUNCTION("QUERY('Volunteer Survey'!M95)"),"")</f>
        <v/>
      </c>
      <c r="AM96" s="183" t="str">
        <f>IFERROR(__xludf.DUMMYFUNCTION("QUERY('Volunteer Survey'!N95)"),"No")</f>
        <v>No</v>
      </c>
      <c r="AN96" s="183" t="str">
        <f>IFERROR(__xludf.DUMMYFUNCTION("QUERY('Volunteer Survey'!O95)"),"Possibly")</f>
        <v>Possibly</v>
      </c>
      <c r="AO96" s="183" t="str">
        <f>IFERROR(__xludf.DUMMYFUNCTION("QUERY('Volunteer Survey'!P95)"),"Epilepsy Gene Curation Expert Panel Autism and Intellectual Disability Gene Curation Expert Panel")</f>
        <v>Epilepsy Gene Curation Expert Panel Autism and Intellectual Disability Gene Curation Expert Panel</v>
      </c>
    </row>
    <row r="97">
      <c r="A97" s="50">
        <f>IFERROR(__xludf.DUMMYFUNCTION("QUERY('Volunteer Survey'!A104)"),43347.37954861111)</f>
        <v>43347.37955</v>
      </c>
      <c r="B97" s="48" t="s">
        <v>168</v>
      </c>
      <c r="C97" s="79">
        <v>43434.0</v>
      </c>
      <c r="D97" s="55"/>
      <c r="E97" s="48" t="s">
        <v>130</v>
      </c>
      <c r="F97" s="48" t="s">
        <v>130</v>
      </c>
      <c r="G97" s="48" t="s">
        <v>19</v>
      </c>
      <c r="H97" s="51"/>
      <c r="I97" s="51" t="s">
        <v>139</v>
      </c>
      <c r="J97" s="48"/>
      <c r="K97" s="48"/>
      <c r="L97" s="55" t="str">
        <f>IFERROR(__xludf.DUMMYFUNCTION("QUERY('Volunteer Survey'!B104)"),"Lisa Diller")</f>
        <v>Lisa Diller</v>
      </c>
      <c r="M97" s="55" t="str">
        <f>IFERROR(__xludf.DUMMYFUNCTION("QUERY('Volunteer Survey'!E104)"),"lisa_diller@dfci.harvard.edu")</f>
        <v>lisa_diller@dfci.harvard.edu</v>
      </c>
      <c r="N97" s="55" t="str">
        <f>IFERROR(__xludf.DUMMYFUNCTION("QUERY('Volunteer Survey'!F104)"),"Physician (Non-geneticist)")</f>
        <v>Physician (Non-geneticist)</v>
      </c>
      <c r="O97" s="48" t="str">
        <f>IFERROR(__xludf.DUMMYFUNCTION("QUERY('Volunteer Survey'!H104)"),"Comprehensive")</f>
        <v>Comprehensive</v>
      </c>
      <c r="P97" s="55" t="str">
        <f>IFERROR(__xludf.DUMMYFUNCTION("QUERY('Volunteer Survey'!I104)"),"Clinical Actionability")</f>
        <v>Clinical Actionability</v>
      </c>
      <c r="Q97" s="60" t="str">
        <f>IFERROR(__xludf.DUMMYFUNCTION("QUERY('Volunteer Survey'!J104)"),"Gene-Disease Validity")</f>
        <v>Gene-Disease Validity</v>
      </c>
      <c r="R97" s="55" t="str">
        <f>IFERROR(__xludf.DUMMYFUNCTION("QUERY('Volunteer Survey'!K104)"),"Somatic Cancer")</f>
        <v>Somatic Cancer</v>
      </c>
      <c r="S97" s="55" t="str">
        <f>IFERROR(__xludf.DUMMYFUNCTION("QUERY('Volunteer Survey'!L104)"),"Variant Pathogenicity")</f>
        <v>Variant Pathogenicity</v>
      </c>
      <c r="T97" s="55" t="str">
        <f>IFERROR(__xludf.DUMMYFUNCTION("QUERY('Volunteer Survey'!M104)"),"Dosage Sensitivity")</f>
        <v>Dosage Sensitivity</v>
      </c>
      <c r="U97" s="64" t="str">
        <f>IFERROR(__xludf.DUMMYFUNCTION("QUERY('Volunteer Survey'!N104)"),"No")</f>
        <v>No</v>
      </c>
      <c r="V97" s="55" t="str">
        <f>IFERROR(__xludf.DUMMYFUNCTION("QUERY('Volunteer Survey'!O104)"),"Yes")</f>
        <v>Yes</v>
      </c>
      <c r="W97" s="66" t="str">
        <f>IFERROR(__xludf.DUMMYFUNCTION("QUERY('Volunteer Survey'!P104)"),"Hereditary Cancer")</f>
        <v>Hereditary Cancer</v>
      </c>
      <c r="X97" s="64" t="str">
        <f>IFERROR(__xludf.DUMMYFUNCTION("QUERY('Volunteer Survey'!R104)"),"No - I am only interested in the group(s) I previously indicated")</f>
        <v>No - I am only interested in the group(s) I previously indicated</v>
      </c>
      <c r="Y97" s="53"/>
      <c r="Z97" s="182">
        <f>IFERROR(__xludf.DUMMYFUNCTION("QUERY('Volunteer Survey'!A96)"),43402.55109953704)</f>
        <v>43402.5511</v>
      </c>
      <c r="AA97" s="183" t="str">
        <f>IFERROR(__xludf.DUMMYFUNCTION("QUERY('Volunteer Survey'!B96)"),"Siddharth Banka")</f>
        <v>Siddharth Banka</v>
      </c>
      <c r="AB97" s="183" t="str">
        <f>IFERROR(__xludf.DUMMYFUNCTION("QUERY('Volunteer Survey'!C96)"),"Manchester Centre for Genomic Medicine")</f>
        <v>Manchester Centre for Genomic Medicine</v>
      </c>
      <c r="AC97" s="183" t="str">
        <f>IFERROR(__xludf.DUMMYFUNCTION("QUERY('Volunteer Survey'!D96)"),"Manchester, UK")</f>
        <v>Manchester, UK</v>
      </c>
      <c r="AD97" s="183" t="str">
        <f>IFERROR(__xludf.DUMMYFUNCTION("QUERY('Volunteer Survey'!E96)"),"Siddharth.Banka@manchester.ac.uk")</f>
        <v>Siddharth.Banka@manchester.ac.uk</v>
      </c>
      <c r="AE97" s="183" t="str">
        <f>IFERROR(__xludf.DUMMYFUNCTION("QUERY('Volunteer Survey'!F96)"),"Clinical Medical Geneticist")</f>
        <v>Clinical Medical Geneticist</v>
      </c>
      <c r="AF97" s="183" t="str">
        <f>IFERROR(__xludf.DUMMYFUNCTION("QUERY('Volunteer Survey'!G96)"),"NA")</f>
        <v>NA</v>
      </c>
      <c r="AG97" s="183" t="str">
        <f>IFERROR(__xludf.DUMMYFUNCTION("QUERY('Volunteer Survey'!H96)"),"Baseline")</f>
        <v>Baseline</v>
      </c>
      <c r="AH97" s="183" t="str">
        <f>IFERROR(__xludf.DUMMYFUNCTION("QUERY('Volunteer Survey'!I96)"),"")</f>
        <v/>
      </c>
      <c r="AI97" s="183" t="str">
        <f>IFERROR(__xludf.DUMMYFUNCTION("QUERY('Volunteer Survey'!J96)"),"")</f>
        <v/>
      </c>
      <c r="AJ97" s="183" t="str">
        <f>IFERROR(__xludf.DUMMYFUNCTION("QUERY('Volunteer Survey'!K96)"),"")</f>
        <v/>
      </c>
      <c r="AK97" s="183" t="str">
        <f>IFERROR(__xludf.DUMMYFUNCTION("QUERY('Volunteer Survey'!L96)"),"")</f>
        <v/>
      </c>
      <c r="AL97" s="183" t="str">
        <f>IFERROR(__xludf.DUMMYFUNCTION("QUERY('Volunteer Survey'!M96)"),"")</f>
        <v/>
      </c>
      <c r="AM97" s="183" t="str">
        <f>IFERROR(__xludf.DUMMYFUNCTION("QUERY('Volunteer Survey'!N96)"),"Yes")</f>
        <v>Yes</v>
      </c>
      <c r="AN97" s="183" t="str">
        <f>IFERROR(__xludf.DUMMYFUNCTION("QUERY('Volunteer Survey'!O96)"),"Possibly")</f>
        <v>Possibly</v>
      </c>
      <c r="AO97" s="183" t="str">
        <f>IFERROR(__xludf.DUMMYFUNCTION("QUERY('Volunteer Survey'!P96)"),"Neurodevelopmental Disorders, experience with curating CNVs (potentially Dosage)")</f>
        <v>Neurodevelopmental Disorders, experience with curating CNVs (potentially Dosage)</v>
      </c>
    </row>
    <row r="98">
      <c r="A98" s="50">
        <f>IFERROR(__xludf.DUMMYFUNCTION("QUERY('Volunteer Survey'!A105)"),43378.381261574075)</f>
        <v>43378.38126</v>
      </c>
      <c r="B98" s="48" t="s">
        <v>168</v>
      </c>
      <c r="C98" s="79">
        <v>43434.0</v>
      </c>
      <c r="D98" s="73">
        <v>43567.0</v>
      </c>
      <c r="E98" s="48" t="s">
        <v>117</v>
      </c>
      <c r="F98" s="48" t="s">
        <v>130</v>
      </c>
      <c r="G98" s="48" t="s">
        <v>19</v>
      </c>
      <c r="H98" s="51"/>
      <c r="I98" s="51" t="s">
        <v>139</v>
      </c>
      <c r="J98" s="48"/>
      <c r="K98" s="48"/>
      <c r="L98" s="55" t="str">
        <f>IFERROR(__xludf.DUMMYFUNCTION("QUERY('Volunteer Survey'!B105)"),"Nharimann Azima")</f>
        <v>Nharimann Azima</v>
      </c>
      <c r="M98" s="55" t="str">
        <f>IFERROR(__xludf.DUMMYFUNCTION("QUERY('Volunteer Survey'!E105)"),"naa3f@gwu.edu")</f>
        <v>naa3f@gwu.edu</v>
      </c>
      <c r="N98" s="55" t="str">
        <f>IFERROR(__xludf.DUMMYFUNCTION("QUERY('Volunteer Survey'!F105)"),"Analyst")</f>
        <v>Analyst</v>
      </c>
      <c r="O98" s="48" t="str">
        <f>IFERROR(__xludf.DUMMYFUNCTION("QUERY('Volunteer Survey'!H105)"),"Comprehensive")</f>
        <v>Comprehensive</v>
      </c>
      <c r="P98" s="55" t="str">
        <f>IFERROR(__xludf.DUMMYFUNCTION("QUERY('Volunteer Survey'!I105)"),"Clinical Actionability")</f>
        <v>Clinical Actionability</v>
      </c>
      <c r="Q98" s="60" t="str">
        <f>IFERROR(__xludf.DUMMYFUNCTION("QUERY('Volunteer Survey'!J105)"),"Somatic Cancer")</f>
        <v>Somatic Cancer</v>
      </c>
      <c r="R98" s="55" t="str">
        <f>IFERROR(__xludf.DUMMYFUNCTION("QUERY('Volunteer Survey'!K105)"),"Gene-Disease Validity")</f>
        <v>Gene-Disease Validity</v>
      </c>
      <c r="S98" s="55" t="str">
        <f>IFERROR(__xludf.DUMMYFUNCTION("QUERY('Volunteer Survey'!L105)"),"Variant Pathogenicity")</f>
        <v>Variant Pathogenicity</v>
      </c>
      <c r="T98" s="55" t="str">
        <f>IFERROR(__xludf.DUMMYFUNCTION("QUERY('Volunteer Survey'!M105)"),"Dosage Sensitivity")</f>
        <v>Dosage Sensitivity</v>
      </c>
      <c r="U98" s="64" t="str">
        <f>IFERROR(__xludf.DUMMYFUNCTION("QUERY('Volunteer Survey'!N105)"),"Yes")</f>
        <v>Yes</v>
      </c>
      <c r="V98" s="55" t="str">
        <f>IFERROR(__xludf.DUMMYFUNCTION("QUERY('Volunteer Survey'!O105)"),"Yes")</f>
        <v>Yes</v>
      </c>
      <c r="W98" s="66" t="str">
        <f>IFERROR(__xludf.DUMMYFUNCTION("QUERY('Volunteer Survey'!P105)"),"I am flexible")</f>
        <v>I am flexible</v>
      </c>
      <c r="X98" s="64" t="str">
        <f>IFERROR(__xludf.DUMMYFUNCTION("QUERY('Volunteer Survey'!R105)"),"Yes- I am willing to volunteer with any available ClinGen group")</f>
        <v>Yes- I am willing to volunteer with any available ClinGen group</v>
      </c>
      <c r="Y98" s="51" t="s">
        <v>339</v>
      </c>
      <c r="Z98" s="182">
        <f>IFERROR(__xludf.DUMMYFUNCTION("QUERY('Volunteer Survey'!A97)"),43426.55193287037)</f>
        <v>43426.55193</v>
      </c>
      <c r="AA98" s="183" t="str">
        <f>IFERROR(__xludf.DUMMYFUNCTION("QUERY('Volunteer Survey'!B97)"),"Anna Tanska")</f>
        <v>Anna Tanska</v>
      </c>
      <c r="AB98" s="183" t="str">
        <f>IFERROR(__xludf.DUMMYFUNCTION("QUERY('Volunteer Survey'!C97)"),"Peter mac")</f>
        <v>Peter mac</v>
      </c>
      <c r="AC98" s="183" t="str">
        <f>IFERROR(__xludf.DUMMYFUNCTION("QUERY('Volunteer Survey'!D97)"),"Victoria, Australia")</f>
        <v>Victoria, Australia</v>
      </c>
      <c r="AD98" s="183" t="str">
        <f>IFERROR(__xludf.DUMMYFUNCTION("QUERY('Volunteer Survey'!E97)"),"""anna.tanska@petermac.org """)</f>
        <v>"anna.tanska@petermac.org "</v>
      </c>
      <c r="AE98" s="183" t="str">
        <f>IFERROR(__xludf.DUMMYFUNCTION("QUERY('Volunteer Survey'!F97)"),"Variant Analyst/Scientist")</f>
        <v>Variant Analyst/Scientist</v>
      </c>
      <c r="AF98" s="183" t="str">
        <f>IFERROR(__xludf.DUMMYFUNCTION("QUERY('Volunteer Survey'!G97)"),"NA")</f>
        <v>NA</v>
      </c>
      <c r="AG98" s="183" t="str">
        <f>IFERROR(__xludf.DUMMYFUNCTION("QUERY('Volunteer Survey'!H97)"),"Comprehensive")</f>
        <v>Comprehensive</v>
      </c>
      <c r="AH98" s="183" t="str">
        <f>IFERROR(__xludf.DUMMYFUNCTION("QUERY('Volunteer Survey'!I97)"),"")</f>
        <v/>
      </c>
      <c r="AI98" s="183" t="str">
        <f>IFERROR(__xludf.DUMMYFUNCTION("QUERY('Volunteer Survey'!J97)"),"")</f>
        <v/>
      </c>
      <c r="AJ98" s="183" t="str">
        <f>IFERROR(__xludf.DUMMYFUNCTION("QUERY('Volunteer Survey'!K97)"),"")</f>
        <v/>
      </c>
      <c r="AK98" s="183" t="str">
        <f>IFERROR(__xludf.DUMMYFUNCTION("QUERY('Volunteer Survey'!L97)"),"")</f>
        <v/>
      </c>
      <c r="AL98" s="183" t="str">
        <f>IFERROR(__xludf.DUMMYFUNCTION("QUERY('Volunteer Survey'!M97)"),"")</f>
        <v/>
      </c>
      <c r="AM98" s="183" t="str">
        <f>IFERROR(__xludf.DUMMYFUNCTION("QUERY('Volunteer Survey'!N97)"),"Yes")</f>
        <v>Yes</v>
      </c>
      <c r="AN98" s="183" t="str">
        <f>IFERROR(__xludf.DUMMYFUNCTION("QUERY('Volunteer Survey'!O97)"),"Possibly")</f>
        <v>Possibly</v>
      </c>
      <c r="AO98" s="183" t="str">
        <f>IFERROR(__xludf.DUMMYFUNCTION("QUERY('Volunteer Survey'!P97)"),"Somatic cancer WG")</f>
        <v>Somatic cancer WG</v>
      </c>
    </row>
    <row r="99">
      <c r="A99" s="50">
        <f>IFERROR(__xludf.DUMMYFUNCTION("QUERY('Volunteer Survey'!A106)"),43415.38344907407)</f>
        <v>43415.38345</v>
      </c>
      <c r="B99" s="48" t="s">
        <v>160</v>
      </c>
      <c r="C99" s="79">
        <v>43434.0</v>
      </c>
      <c r="D99" s="65">
        <v>43678.0</v>
      </c>
      <c r="E99" s="48" t="s">
        <v>117</v>
      </c>
      <c r="F99" s="48" t="s">
        <v>117</v>
      </c>
      <c r="G99" s="48" t="s">
        <v>19</v>
      </c>
      <c r="H99" s="51" t="s">
        <v>19</v>
      </c>
      <c r="I99" s="51" t="s">
        <v>139</v>
      </c>
      <c r="J99" s="48"/>
      <c r="K99" s="48"/>
      <c r="L99" s="55" t="str">
        <f>IFERROR(__xludf.DUMMYFUNCTION("QUERY('Volunteer Survey'!B106)"),"Krzysztof Szczaluba")</f>
        <v>Krzysztof Szczaluba</v>
      </c>
      <c r="M99" s="55" t="str">
        <f>IFERROR(__xludf.DUMMYFUNCTION("QUERY('Volunteer Survey'!E106)"),"krzysztof.szczaluba@gmail.com")</f>
        <v>krzysztof.szczaluba@gmail.com</v>
      </c>
      <c r="N99" s="55" t="str">
        <f>IFERROR(__xludf.DUMMYFUNCTION("QUERY('Volunteer Survey'!F106)"),"Clinical Medical Geneticist")</f>
        <v>Clinical Medical Geneticist</v>
      </c>
      <c r="O99" s="48" t="str">
        <f>IFERROR(__xludf.DUMMYFUNCTION("QUERY('Volunteer Survey'!H106)"),"Comprehensive")</f>
        <v>Comprehensive</v>
      </c>
      <c r="P99" s="55" t="str">
        <f>IFERROR(__xludf.DUMMYFUNCTION("QUERY('Volunteer Survey'!I106)"),"Clinical Actionability")</f>
        <v>Clinical Actionability</v>
      </c>
      <c r="Q99" s="60" t="str">
        <f>IFERROR(__xludf.DUMMYFUNCTION("QUERY('Volunteer Survey'!J106)"),"Gene-Disease Validity")</f>
        <v>Gene-Disease Validity</v>
      </c>
      <c r="R99" s="55" t="str">
        <f>IFERROR(__xludf.DUMMYFUNCTION("QUERY('Volunteer Survey'!K106)"),"Variant Pathogenicity")</f>
        <v>Variant Pathogenicity</v>
      </c>
      <c r="S99" s="55" t="str">
        <f>IFERROR(__xludf.DUMMYFUNCTION("QUERY('Volunteer Survey'!L106)"),"Dosage Sensitivity")</f>
        <v>Dosage Sensitivity</v>
      </c>
      <c r="T99" s="55" t="str">
        <f>IFERROR(__xludf.DUMMYFUNCTION("QUERY('Volunteer Survey'!M106)"),"Somatic Cancer")</f>
        <v>Somatic Cancer</v>
      </c>
      <c r="U99" s="64" t="str">
        <f>IFERROR(__xludf.DUMMYFUNCTION("QUERY('Volunteer Survey'!N106)"),"No")</f>
        <v>No</v>
      </c>
      <c r="V99" s="55" t="str">
        <f>IFERROR(__xludf.DUMMYFUNCTION("QUERY('Volunteer Survey'!O106)"),"Possibly")</f>
        <v>Possibly</v>
      </c>
      <c r="W99" s="66" t="str">
        <f>IFERROR(__xludf.DUMMYFUNCTION("QUERY('Volunteer Survey'!P106)"),"autism/ID, epi, brovca")</f>
        <v>autism/ID, epi, brovca</v>
      </c>
      <c r="X99" s="64" t="str">
        <f>IFERROR(__xludf.DUMMYFUNCTION("QUERY('Volunteer Survey'!R106)"),"Maybe -- please contact me with other options, and I will decide based on what is available")</f>
        <v>Maybe -- please contact me with other options, and I will decide based on what is available</v>
      </c>
      <c r="Y99" s="51" t="s">
        <v>340</v>
      </c>
      <c r="Z99" s="182">
        <f>IFERROR(__xludf.DUMMYFUNCTION("QUERY('Volunteer Survey'!A98)"),43427.552870370375)</f>
        <v>43427.55287</v>
      </c>
      <c r="AA99" s="183" t="str">
        <f>IFERROR(__xludf.DUMMYFUNCTION("QUERY('Volunteer Survey'!B98)"),"Amanda Fortier")</f>
        <v>Amanda Fortier</v>
      </c>
      <c r="AB99" s="183" t="str">
        <f>IFERROR(__xludf.DUMMYFUNCTION("QUERY('Volunteer Survey'!C98)"),"ACL Laboratories")</f>
        <v>ACL Laboratories</v>
      </c>
      <c r="AC99" s="183" t="str">
        <f>IFERROR(__xludf.DUMMYFUNCTION("QUERY('Volunteer Survey'!D98)"),"IL")</f>
        <v>IL</v>
      </c>
      <c r="AD99" s="183" t="str">
        <f>IFERROR(__xludf.DUMMYFUNCTION("QUERY('Volunteer Survey'!E98)"),"amanda.fortier@advocatehealth.com")</f>
        <v>amanda.fortier@advocatehealth.com</v>
      </c>
      <c r="AE99" s="183" t="str">
        <f>IFERROR(__xludf.DUMMYFUNCTION("QUERY('Volunteer Survey'!F98)"),"Clinical laboratory geneticist")</f>
        <v>Clinical laboratory geneticist</v>
      </c>
      <c r="AF99" s="183" t="str">
        <f>IFERROR(__xludf.DUMMYFUNCTION("QUERY('Volunteer Survey'!G98)"),"NA")</f>
        <v>NA</v>
      </c>
      <c r="AG99" s="183" t="str">
        <f>IFERROR(__xludf.DUMMYFUNCTION("QUERY('Volunteer Survey'!H98)"),"Baseline")</f>
        <v>Baseline</v>
      </c>
      <c r="AH99" s="183" t="str">
        <f>IFERROR(__xludf.DUMMYFUNCTION("QUERY('Volunteer Survey'!I98)"),"")</f>
        <v/>
      </c>
      <c r="AI99" s="183" t="str">
        <f>IFERROR(__xludf.DUMMYFUNCTION("QUERY('Volunteer Survey'!J98)"),"")</f>
        <v/>
      </c>
      <c r="AJ99" s="183" t="str">
        <f>IFERROR(__xludf.DUMMYFUNCTION("QUERY('Volunteer Survey'!K98)"),"")</f>
        <v/>
      </c>
      <c r="AK99" s="183" t="str">
        <f>IFERROR(__xludf.DUMMYFUNCTION("QUERY('Volunteer Survey'!L98)"),"")</f>
        <v/>
      </c>
      <c r="AL99" s="183" t="str">
        <f>IFERROR(__xludf.DUMMYFUNCTION("QUERY('Volunteer Survey'!M98)"),"")</f>
        <v/>
      </c>
      <c r="AM99" s="183" t="str">
        <f>IFERROR(__xludf.DUMMYFUNCTION("QUERY('Volunteer Survey'!N98)"),"No")</f>
        <v>No</v>
      </c>
      <c r="AN99" s="183" t="str">
        <f>IFERROR(__xludf.DUMMYFUNCTION("QUERY('Volunteer Survey'!O98)"),"Possibly")</f>
        <v>Possibly</v>
      </c>
      <c r="AO99" s="183" t="str">
        <f>IFERROR(__xludf.DUMMYFUNCTION("QUERY('Volunteer Survey'!P98)"),"Yes, if needed. I am open to considering this type of activity.")</f>
        <v>Yes, if needed. I am open to considering this type of activity.</v>
      </c>
    </row>
    <row r="100">
      <c r="A100" s="50">
        <f>IFERROR(__xludf.DUMMYFUNCTION("QUERY('Volunteer Survey'!A107)"),43416.38512731482)</f>
        <v>43416.38513</v>
      </c>
      <c r="B100" s="48" t="s">
        <v>168</v>
      </c>
      <c r="C100" s="79">
        <v>43434.0</v>
      </c>
      <c r="D100" s="55"/>
      <c r="E100" s="48" t="s">
        <v>130</v>
      </c>
      <c r="F100" s="48" t="s">
        <v>130</v>
      </c>
      <c r="G100" s="48" t="s">
        <v>19</v>
      </c>
      <c r="H100" s="51"/>
      <c r="I100" s="51" t="s">
        <v>139</v>
      </c>
      <c r="J100" s="48"/>
      <c r="K100" s="48"/>
      <c r="L100" s="55" t="str">
        <f>IFERROR(__xludf.DUMMYFUNCTION("QUERY('Volunteer Survey'!B107)"),"Robin Bennett")</f>
        <v>Robin Bennett</v>
      </c>
      <c r="M100" s="55" t="str">
        <f>IFERROR(__xludf.DUMMYFUNCTION("QUERY('Volunteer Survey'!E107)"),"robinb@uw.edu")</f>
        <v>robinb@uw.edu</v>
      </c>
      <c r="N100" s="55" t="str">
        <f>IFERROR(__xludf.DUMMYFUNCTION("QUERY('Volunteer Survey'!F107)"),"Genetic counselor")</f>
        <v>Genetic counselor</v>
      </c>
      <c r="O100" s="48" t="str">
        <f>IFERROR(__xludf.DUMMYFUNCTION("QUERY('Volunteer Survey'!H107)"),"Comprehensive")</f>
        <v>Comprehensive</v>
      </c>
      <c r="P100" s="55" t="str">
        <f>IFERROR(__xludf.DUMMYFUNCTION("QUERY('Volunteer Survey'!I107)"),"Clinical Actionability")</f>
        <v>Clinical Actionability</v>
      </c>
      <c r="Q100" s="60" t="str">
        <f>IFERROR(__xludf.DUMMYFUNCTION("QUERY('Volunteer Survey'!J107)"),"Variant Pathogenicity")</f>
        <v>Variant Pathogenicity</v>
      </c>
      <c r="R100" s="55" t="str">
        <f>IFERROR(__xludf.DUMMYFUNCTION("QUERY('Volunteer Survey'!K107)"),"Gene-Disease Validity")</f>
        <v>Gene-Disease Validity</v>
      </c>
      <c r="S100" s="55" t="str">
        <f>IFERROR(__xludf.DUMMYFUNCTION("QUERY('Volunteer Survey'!L107)"),"Somatic Cancer")</f>
        <v>Somatic Cancer</v>
      </c>
      <c r="T100" s="55" t="str">
        <f>IFERROR(__xludf.DUMMYFUNCTION("QUERY('Volunteer Survey'!M107)"),"Dosage Sensitivity")</f>
        <v>Dosage Sensitivity</v>
      </c>
      <c r="U100" s="64" t="str">
        <f>IFERROR(__xludf.DUMMYFUNCTION("QUERY('Volunteer Survey'!N107)"),"Yes")</f>
        <v>Yes</v>
      </c>
      <c r="V100" s="55" t="str">
        <f>IFERROR(__xludf.DUMMYFUNCTION("QUERY('Volunteer Survey'!O107)"),"Possibly")</f>
        <v>Possibly</v>
      </c>
      <c r="W100" s="66" t="str">
        <f>IFERROR(__xludf.DUMMYFUNCTION("QUERY('Volunteer Survey'!P107)"),"Variant curation expert panels: PTEN, VHL, CDH1, Colorectal cancer, breast-ovarian")</f>
        <v>Variant curation expert panels: PTEN, VHL, CDH1, Colorectal cancer, breast-ovarian</v>
      </c>
      <c r="X100" s="64" t="str">
        <f>IFERROR(__xludf.DUMMYFUNCTION("QUERY('Volunteer Survey'!R107)"),"Maybe -- please contact me with other options, and I will decide based on what is available")</f>
        <v>Maybe -- please contact me with other options, and I will decide based on what is available</v>
      </c>
      <c r="Y100" s="53"/>
      <c r="Z100" s="182">
        <f>IFERROR(__xludf.DUMMYFUNCTION("QUERY('Volunteer Survey'!A99)"),43434.55380787037)</f>
        <v>43434.55381</v>
      </c>
      <c r="AA100" s="183" t="str">
        <f>IFERROR(__xludf.DUMMYFUNCTION("QUERY('Volunteer Survey'!B99)"),"Kira Dies")</f>
        <v>Kira Dies</v>
      </c>
      <c r="AB100" s="183" t="str">
        <f>IFERROR(__xludf.DUMMYFUNCTION("QUERY('Volunteer Survey'!C99)"),"Boston Children's Hospital")</f>
        <v>Boston Children's Hospital</v>
      </c>
      <c r="AC100" s="183" t="str">
        <f>IFERROR(__xludf.DUMMYFUNCTION("QUERY('Volunteer Survey'!D99)"),"Boston, MA")</f>
        <v>Boston, MA</v>
      </c>
      <c r="AD100" s="183" t="str">
        <f>IFERROR(__xludf.DUMMYFUNCTION("QUERY('Volunteer Survey'!E99)"),"Kira.Dies@childrens.harvard.edu")</f>
        <v>Kira.Dies@childrens.harvard.edu</v>
      </c>
      <c r="AE100" s="183" t="str">
        <f>IFERROR(__xludf.DUMMYFUNCTION("QUERY('Volunteer Survey'!F99)"),"Genetic counselor")</f>
        <v>Genetic counselor</v>
      </c>
      <c r="AF100" s="183" t="str">
        <f>IFERROR(__xludf.DUMMYFUNCTION("QUERY('Volunteer Survey'!G99)"),"NA")</f>
        <v>NA</v>
      </c>
      <c r="AG100" s="183" t="str">
        <f>IFERROR(__xludf.DUMMYFUNCTION("QUERY('Volunteer Survey'!H99)"),"Comprehensive")</f>
        <v>Comprehensive</v>
      </c>
      <c r="AH100" s="183" t="str">
        <f>IFERROR(__xludf.DUMMYFUNCTION("QUERY('Volunteer Survey'!I99)"),"Gene-Disease Validity")</f>
        <v>Gene-Disease Validity</v>
      </c>
      <c r="AI100" s="183" t="str">
        <f>IFERROR(__xludf.DUMMYFUNCTION("QUERY('Volunteer Survey'!J99)"),"")</f>
        <v/>
      </c>
      <c r="AJ100" s="183" t="str">
        <f>IFERROR(__xludf.DUMMYFUNCTION("QUERY('Volunteer Survey'!K99)"),"")</f>
        <v/>
      </c>
      <c r="AK100" s="183" t="str">
        <f>IFERROR(__xludf.DUMMYFUNCTION("QUERY('Volunteer Survey'!L99)"),"")</f>
        <v/>
      </c>
      <c r="AL100" s="183" t="str">
        <f>IFERROR(__xludf.DUMMYFUNCTION("QUERY('Volunteer Survey'!M99)"),"")</f>
        <v/>
      </c>
      <c r="AM100" s="183" t="str">
        <f>IFERROR(__xludf.DUMMYFUNCTION("QUERY('Volunteer Survey'!N99)"),"No")</f>
        <v>No</v>
      </c>
      <c r="AN100" s="183" t="str">
        <f>IFERROR(__xludf.DUMMYFUNCTION("QUERY('Volunteer Survey'!O99)"),"Possibly")</f>
        <v>Possibly</v>
      </c>
      <c r="AO100" s="183" t="str">
        <f>IFERROR(__xludf.DUMMYFUNCTION("QUERY('Volunteer Survey'!P99)"),"ASD/NDD")</f>
        <v>ASD/NDD</v>
      </c>
    </row>
    <row r="101">
      <c r="A101" s="50">
        <f>IFERROR(__xludf.DUMMYFUNCTION("QUERY('Volunteer Survey'!A108)"),43418.386828703704)</f>
        <v>43418.38683</v>
      </c>
      <c r="B101" s="48" t="s">
        <v>168</v>
      </c>
      <c r="C101" s="79">
        <v>43434.0</v>
      </c>
      <c r="D101" s="73">
        <v>43522.0</v>
      </c>
      <c r="E101" s="48" t="s">
        <v>117</v>
      </c>
      <c r="F101" s="48" t="s">
        <v>130</v>
      </c>
      <c r="G101" s="48" t="s">
        <v>19</v>
      </c>
      <c r="H101" s="51" t="s">
        <v>19</v>
      </c>
      <c r="I101" s="51" t="s">
        <v>139</v>
      </c>
      <c r="J101" s="48"/>
      <c r="K101" s="48"/>
      <c r="L101" s="55" t="str">
        <f>IFERROR(__xludf.DUMMYFUNCTION("QUERY('Volunteer Survey'!B108)"),"Fiona Curtis")</f>
        <v>Fiona Curtis</v>
      </c>
      <c r="M101" s="55" t="str">
        <f>IFERROR(__xludf.DUMMYFUNCTION("QUERY('Volunteer Survey'!E108)"),"fionakatherinecurtis@yahoo.ca")</f>
        <v>fionakatherinecurtis@yahoo.ca</v>
      </c>
      <c r="N101" s="55" t="str">
        <f>IFERROR(__xludf.DUMMYFUNCTION("QUERY('Volunteer Survey'!F108)"),"Genetic counselor")</f>
        <v>Genetic counselor</v>
      </c>
      <c r="O101" s="48" t="str">
        <f>IFERROR(__xludf.DUMMYFUNCTION("QUERY('Volunteer Survey'!H108)"),"Comprehensive")</f>
        <v>Comprehensive</v>
      </c>
      <c r="P101" s="55" t="str">
        <f>IFERROR(__xludf.DUMMYFUNCTION("QUERY('Volunteer Survey'!I108)"),"Clinical Actionability")</f>
        <v>Clinical Actionability</v>
      </c>
      <c r="Q101" s="60" t="str">
        <f>IFERROR(__xludf.DUMMYFUNCTION("QUERY('Volunteer Survey'!J108)"),"Gene-Disease Validity")</f>
        <v>Gene-Disease Validity</v>
      </c>
      <c r="R101" s="55" t="str">
        <f>IFERROR(__xludf.DUMMYFUNCTION("QUERY('Volunteer Survey'!K108)"),"Variant Pathogenicity")</f>
        <v>Variant Pathogenicity</v>
      </c>
      <c r="S101" s="55" t="str">
        <f>IFERROR(__xludf.DUMMYFUNCTION("QUERY('Volunteer Survey'!L108)"),"Dosage Sensitivity")</f>
        <v>Dosage Sensitivity</v>
      </c>
      <c r="T101" s="55" t="str">
        <f>IFERROR(__xludf.DUMMYFUNCTION("QUERY('Volunteer Survey'!M108)"),"Somatic Cancer")</f>
        <v>Somatic Cancer</v>
      </c>
      <c r="U101" s="64" t="str">
        <f>IFERROR(__xludf.DUMMYFUNCTION("QUERY('Volunteer Survey'!N108)"),"No")</f>
        <v>No</v>
      </c>
      <c r="V101" s="55" t="str">
        <f>IFERROR(__xludf.DUMMYFUNCTION("QUERY('Volunteer Survey'!O108)"),"Possibly")</f>
        <v>Possibly</v>
      </c>
      <c r="W101" s="66" t="str">
        <f>IFERROR(__xludf.DUMMYFUNCTION("QUERY('Volunteer Survey'!P108)"),"inherited cardiomyopathy or other CV diseases")</f>
        <v>inherited cardiomyopathy or other CV diseases</v>
      </c>
      <c r="X101" s="64" t="str">
        <f>IFERROR(__xludf.DUMMYFUNCTION("QUERY('Volunteer Survey'!R108)"),"Maybe -- please contact me with other options, and I will decide based on what is available")</f>
        <v>Maybe -- please contact me with other options, and I will decide based on what is available</v>
      </c>
      <c r="Y101" s="51" t="s">
        <v>341</v>
      </c>
      <c r="Z101" s="182">
        <f>IFERROR(__xludf.DUMMYFUNCTION("QUERY('Volunteer Survey'!A100)"),43483.55459590278)</f>
        <v>43483.5546</v>
      </c>
      <c r="AA101" s="183" t="str">
        <f>IFERROR(__xludf.DUMMYFUNCTION("QUERY('Volunteer Survey'!B100)"),"Ny Hoang")</f>
        <v>Ny Hoang</v>
      </c>
      <c r="AB101" s="183" t="str">
        <f>IFERROR(__xludf.DUMMYFUNCTION("QUERY('Volunteer Survey'!C100)"),"The Hospital for Sick Children")</f>
        <v>The Hospital for Sick Children</v>
      </c>
      <c r="AC101" s="183" t="str">
        <f>IFERROR(__xludf.DUMMYFUNCTION("QUERY('Volunteer Survey'!D100)"),"Toronto, Canada")</f>
        <v>Toronto, Canada</v>
      </c>
      <c r="AD101" s="183" t="str">
        <f>IFERROR(__xludf.DUMMYFUNCTION("QUERY('Volunteer Survey'!E100)"),"ny.hoang@sickkids.ca")</f>
        <v>ny.hoang@sickkids.ca</v>
      </c>
      <c r="AE101" s="183" t="str">
        <f>IFERROR(__xludf.DUMMYFUNCTION("QUERY('Volunteer Survey'!F100)"),"Genetic counselor")</f>
        <v>Genetic counselor</v>
      </c>
      <c r="AF101" s="183" t="str">
        <f>IFERROR(__xludf.DUMMYFUNCTION("QUERY('Volunteer Survey'!G100)"),"NA")</f>
        <v>NA</v>
      </c>
      <c r="AG101" s="183" t="str">
        <f>IFERROR(__xludf.DUMMYFUNCTION("QUERY('Volunteer Survey'!H100)"),"Comprehensive")</f>
        <v>Comprehensive</v>
      </c>
      <c r="AH101" s="183" t="str">
        <f>IFERROR(__xludf.DUMMYFUNCTION("QUERY('Volunteer Survey'!I100)"),"Gene-Disease Validity")</f>
        <v>Gene-Disease Validity</v>
      </c>
      <c r="AI101" s="183" t="str">
        <f>IFERROR(__xludf.DUMMYFUNCTION("QUERY('Volunteer Survey'!J100)"),"")</f>
        <v/>
      </c>
      <c r="AJ101" s="183" t="str">
        <f>IFERROR(__xludf.DUMMYFUNCTION("QUERY('Volunteer Survey'!K100)"),"")</f>
        <v/>
      </c>
      <c r="AK101" s="183" t="str">
        <f>IFERROR(__xludf.DUMMYFUNCTION("QUERY('Volunteer Survey'!L100)"),"")</f>
        <v/>
      </c>
      <c r="AL101" s="183" t="str">
        <f>IFERROR(__xludf.DUMMYFUNCTION("QUERY('Volunteer Survey'!M100)"),"")</f>
        <v/>
      </c>
      <c r="AM101" s="183" t="str">
        <f>IFERROR(__xludf.DUMMYFUNCTION("QUERY('Volunteer Survey'!N100)"),"Yes")</f>
        <v>Yes</v>
      </c>
      <c r="AN101" s="183" t="str">
        <f>IFERROR(__xludf.DUMMYFUNCTION("QUERY('Volunteer Survey'!O100)"),"Possibly")</f>
        <v>Possibly</v>
      </c>
      <c r="AO101" s="183" t="str">
        <f>IFERROR(__xludf.DUMMYFUNCTION("QUERY('Volunteer Survey'!P100)"),"Autism and ID working group")</f>
        <v>Autism and ID working group</v>
      </c>
    </row>
    <row r="102">
      <c r="A102" s="50">
        <f>IFERROR(__xludf.DUMMYFUNCTION("QUERY('Volunteer Survey'!A109)"),43419.394525462965)</f>
        <v>43419.39453</v>
      </c>
      <c r="B102" s="48" t="s">
        <v>168</v>
      </c>
      <c r="C102" s="79">
        <v>43434.0</v>
      </c>
      <c r="D102" s="55"/>
      <c r="E102" s="48" t="s">
        <v>130</v>
      </c>
      <c r="F102" s="48" t="s">
        <v>130</v>
      </c>
      <c r="G102" s="48" t="s">
        <v>19</v>
      </c>
      <c r="H102" s="51"/>
      <c r="I102" s="51" t="s">
        <v>139</v>
      </c>
      <c r="J102" s="48"/>
      <c r="K102" s="48"/>
      <c r="L102" s="55" t="str">
        <f>IFERROR(__xludf.DUMMYFUNCTION("QUERY('Volunteer Survey'!B109)"),"Jennifer Marie Lee")</f>
        <v>Jennifer Marie Lee</v>
      </c>
      <c r="M102" s="55" t="str">
        <f>IFERROR(__xludf.DUMMYFUNCTION("QUERY('Volunteer Survey'!E109)"),"Jennifer.Lee2@nih.gov")</f>
        <v>Jennifer.Lee2@nih.gov</v>
      </c>
      <c r="N102" s="55" t="str">
        <f>IFERROR(__xludf.DUMMYFUNCTION("QUERY('Volunteer Survey'!F109)"),"Scientific Researcher")</f>
        <v>Scientific Researcher</v>
      </c>
      <c r="O102" s="48" t="str">
        <f>IFERROR(__xludf.DUMMYFUNCTION("QUERY('Volunteer Survey'!H109)"),"Comprehensive")</f>
        <v>Comprehensive</v>
      </c>
      <c r="P102" s="55" t="str">
        <f>IFERROR(__xludf.DUMMYFUNCTION("QUERY('Volunteer Survey'!I109)"),"Clinical Actionability")</f>
        <v>Clinical Actionability</v>
      </c>
      <c r="Q102" s="60" t="str">
        <f>IFERROR(__xludf.DUMMYFUNCTION("QUERY('Volunteer Survey'!J109)"),"Somatic Cancer")</f>
        <v>Somatic Cancer</v>
      </c>
      <c r="R102" s="55" t="str">
        <f>IFERROR(__xludf.DUMMYFUNCTION("QUERY('Volunteer Survey'!K109)"),"Gene-Disease Validity")</f>
        <v>Gene-Disease Validity</v>
      </c>
      <c r="S102" s="55" t="str">
        <f>IFERROR(__xludf.DUMMYFUNCTION("QUERY('Volunteer Survey'!L109)"),"Variant Pathogenicity")</f>
        <v>Variant Pathogenicity</v>
      </c>
      <c r="T102" s="55" t="str">
        <f>IFERROR(__xludf.DUMMYFUNCTION("QUERY('Volunteer Survey'!M109)"),"")</f>
        <v/>
      </c>
      <c r="U102" s="64" t="str">
        <f>IFERROR(__xludf.DUMMYFUNCTION("QUERY('Volunteer Survey'!N109)"),"Yes")</f>
        <v>Yes</v>
      </c>
      <c r="V102" s="55" t="str">
        <f>IFERROR(__xludf.DUMMYFUNCTION("QUERY('Volunteer Survey'!O109)"),"Possibly")</f>
        <v>Possibly</v>
      </c>
      <c r="W102" s="66" t="str">
        <f>IFERROR(__xludf.DUMMYFUNCTION("QUERY('Volunteer Survey'!P109)"),"NA")</f>
        <v>NA</v>
      </c>
      <c r="X102" s="64" t="str">
        <f>IFERROR(__xludf.DUMMYFUNCTION("QUERY('Volunteer Survey'!R109)"),"")</f>
        <v/>
      </c>
      <c r="Y102" s="53"/>
      <c r="Z102" s="182">
        <f>IFERROR(__xludf.DUMMYFUNCTION("QUERY('Volunteer Survey'!A101)"),43434.555347222224)</f>
        <v>43434.55535</v>
      </c>
      <c r="AA102" s="183" t="str">
        <f>IFERROR(__xludf.DUMMYFUNCTION("QUERY('Volunteer Survey'!B101)"),"Jacob Vorstman")</f>
        <v>Jacob Vorstman</v>
      </c>
      <c r="AB102" s="183" t="str">
        <f>IFERROR(__xludf.DUMMYFUNCTION("QUERY('Volunteer Survey'!C101)"),"The Hospital for Sick Children")</f>
        <v>The Hospital for Sick Children</v>
      </c>
      <c r="AC102" s="183" t="str">
        <f>IFERROR(__xludf.DUMMYFUNCTION("QUERY('Volunteer Survey'!D101)"),"Toronto, Canada")</f>
        <v>Toronto, Canada</v>
      </c>
      <c r="AD102" s="183" t="str">
        <f>IFERROR(__xludf.DUMMYFUNCTION("QUERY('Volunteer Survey'!E101)"),"jacob.vorstman@sickkids.ca")</f>
        <v>jacob.vorstman@sickkids.ca</v>
      </c>
      <c r="AE102" s="183" t="str">
        <f>IFERROR(__xludf.DUMMYFUNCTION("QUERY('Volunteer Survey'!F101)"),"Post Doc/Resident/Fellow (MD and/or Phd), Scientific Researcher, Physician (non-geneticist)")</f>
        <v>Post Doc/Resident/Fellow (MD and/or Phd), Scientific Researcher, Physician (non-geneticist)</v>
      </c>
      <c r="AF102" s="183" t="str">
        <f>IFERROR(__xludf.DUMMYFUNCTION("QUERY('Volunteer Survey'!G101)"),"NA")</f>
        <v>NA</v>
      </c>
      <c r="AG102" s="183" t="str">
        <f>IFERROR(__xludf.DUMMYFUNCTION("QUERY('Volunteer Survey'!H101)"),"Comprehensive")</f>
        <v>Comprehensive</v>
      </c>
      <c r="AH102" s="183" t="str">
        <f>IFERROR(__xludf.DUMMYFUNCTION("QUERY('Volunteer Survey'!I101)"),"Gene-Disease Validity")</f>
        <v>Gene-Disease Validity</v>
      </c>
      <c r="AI102" s="183" t="str">
        <f>IFERROR(__xludf.DUMMYFUNCTION("QUERY('Volunteer Survey'!J101)"),"")</f>
        <v/>
      </c>
      <c r="AJ102" s="183" t="str">
        <f>IFERROR(__xludf.DUMMYFUNCTION("QUERY('Volunteer Survey'!K101)"),"")</f>
        <v/>
      </c>
      <c r="AK102" s="183" t="str">
        <f>IFERROR(__xludf.DUMMYFUNCTION("QUERY('Volunteer Survey'!L101)"),"")</f>
        <v/>
      </c>
      <c r="AL102" s="183" t="str">
        <f>IFERROR(__xludf.DUMMYFUNCTION("QUERY('Volunteer Survey'!M101)"),"")</f>
        <v/>
      </c>
      <c r="AM102" s="183" t="str">
        <f>IFERROR(__xludf.DUMMYFUNCTION("QUERY('Volunteer Survey'!N101)"),"Yes")</f>
        <v>Yes</v>
      </c>
      <c r="AN102" s="183" t="str">
        <f>IFERROR(__xludf.DUMMYFUNCTION("QUERY('Volunteer Survey'!O101)"),"Possibly")</f>
        <v>Possibly</v>
      </c>
      <c r="AO102" s="183" t="str">
        <f>IFERROR(__xludf.DUMMYFUNCTION("QUERY('Volunteer Survey'!P101)"),"Autism Spectrum Disorder - see previous and ongoing discussions following the Toronto ASD gene list meeting this fall")</f>
        <v>Autism Spectrum Disorder - see previous and ongoing discussions following the Toronto ASD gene list meeting this fall</v>
      </c>
    </row>
    <row r="103">
      <c r="A103" s="50">
        <f>IFERROR(__xludf.DUMMYFUNCTION("QUERY('Volunteer Survey'!A110)"),43430.4000462963)</f>
        <v>43430.40005</v>
      </c>
      <c r="B103" s="48" t="s">
        <v>160</v>
      </c>
      <c r="C103" s="87">
        <v>43467.0</v>
      </c>
      <c r="D103" s="56">
        <v>43476.0</v>
      </c>
      <c r="E103" s="48" t="s">
        <v>117</v>
      </c>
      <c r="F103" s="48" t="s">
        <v>130</v>
      </c>
      <c r="G103" s="48" t="s">
        <v>19</v>
      </c>
      <c r="H103" s="51" t="s">
        <v>19</v>
      </c>
      <c r="I103" s="51" t="s">
        <v>299</v>
      </c>
      <c r="J103" s="56">
        <v>43593.0</v>
      </c>
      <c r="K103" s="56">
        <v>43713.0</v>
      </c>
      <c r="L103" s="55" t="str">
        <f>IFERROR(__xludf.DUMMYFUNCTION("QUERY('Volunteer Survey'!B110)"),"Laura Fuqua")</f>
        <v>Laura Fuqua</v>
      </c>
      <c r="M103" s="55" t="str">
        <f>IFERROR(__xludf.DUMMYFUNCTION("QUERY('Volunteer Survey'!E110)"),"laura.fuqua@gmail.com")</f>
        <v>laura.fuqua@gmail.com</v>
      </c>
      <c r="N103" s="55" t="str">
        <f>IFERROR(__xludf.DUMMYFUNCTION("QUERY('Volunteer Survey'!F110)"),"Genetic counselor")</f>
        <v>Genetic counselor</v>
      </c>
      <c r="O103" s="48" t="str">
        <f>IFERROR(__xludf.DUMMYFUNCTION("QUERY('Volunteer Survey'!H110)"),"Comprehensive")</f>
        <v>Comprehensive</v>
      </c>
      <c r="P103" s="48" t="str">
        <f>IFERROR(__xludf.DUMMYFUNCTION("QUERY('Volunteer Survey'!I110)"),"Somatic Cancer")</f>
        <v>Somatic Cancer</v>
      </c>
      <c r="Q103" s="60" t="str">
        <f>IFERROR(__xludf.DUMMYFUNCTION("QUERY('Volunteer Survey'!J110)"),"Variant Pathogenicity")</f>
        <v>Variant Pathogenicity</v>
      </c>
      <c r="R103" s="48" t="str">
        <f>IFERROR(__xludf.DUMMYFUNCTION("QUERY('Volunteer Survey'!K110)"),"Clinical Actionability")</f>
        <v>Clinical Actionability</v>
      </c>
      <c r="S103" s="55" t="str">
        <f>IFERROR(__xludf.DUMMYFUNCTION("QUERY('Volunteer Survey'!L110)"),"Dosage Sensitivity")</f>
        <v>Dosage Sensitivity</v>
      </c>
      <c r="T103" s="55" t="str">
        <f>IFERROR(__xludf.DUMMYFUNCTION("QUERY('Volunteer Survey'!M110)"),"Gene-Disease Validity")</f>
        <v>Gene-Disease Validity</v>
      </c>
      <c r="U103" s="64" t="str">
        <f>IFERROR(__xludf.DUMMYFUNCTION("QUERY('Volunteer Survey'!N110)"),"Yes")</f>
        <v>Yes</v>
      </c>
      <c r="V103" s="55" t="str">
        <f>IFERROR(__xludf.DUMMYFUNCTION("QUERY('Volunteer Survey'!O110)"),"Yes")</f>
        <v>Yes</v>
      </c>
      <c r="W103" s="66" t="str">
        <f>IFERROR(__xludf.DUMMYFUNCTION("QUERY('Volunteer Survey'!P110)"),"NA")</f>
        <v>NA</v>
      </c>
      <c r="X103" s="64" t="str">
        <f>IFERROR(__xludf.DUMMYFUNCTION("QUERY('Volunteer Survey'!R110)"),"Yes- I am willing to volunteer with any available ClinGen group")</f>
        <v>Yes- I am willing to volunteer with any available ClinGen group</v>
      </c>
      <c r="Y103" s="92" t="s">
        <v>342</v>
      </c>
      <c r="Z103" s="182">
        <f>IFERROR(__xludf.DUMMYFUNCTION("QUERY('Volunteer Survey'!A102)"),43485.69615496528)</f>
        <v>43485.69615</v>
      </c>
      <c r="AA103" s="183" t="str">
        <f>IFERROR(__xludf.DUMMYFUNCTION("QUERY('Volunteer Survey'!B102)"),"Qiuxiang Ou")</f>
        <v>Qiuxiang Ou</v>
      </c>
      <c r="AB103" s="183" t="str">
        <f>IFERROR(__xludf.DUMMYFUNCTION("QUERY('Volunteer Survey'!C102)"),"University of Alberta")</f>
        <v>University of Alberta</v>
      </c>
      <c r="AC103" s="183" t="str">
        <f>IFERROR(__xludf.DUMMYFUNCTION("QUERY('Volunteer Survey'!D102)"),"")</f>
        <v/>
      </c>
      <c r="AD103" s="183" t="str">
        <f>IFERROR(__xludf.DUMMYFUNCTION("QUERY('Volunteer Survey'!E102)"),"dorothy.ou@gmail.com")</f>
        <v>dorothy.ou@gmail.com</v>
      </c>
      <c r="AE103" s="183" t="str">
        <f>IFERROR(__xludf.DUMMYFUNCTION("QUERY('Volunteer Survey'!F102)"),"Scientific Researcher")</f>
        <v>Scientific Researcher</v>
      </c>
      <c r="AF103" s="183" t="str">
        <f>IFERROR(__xludf.DUMMYFUNCTION("QUERY('Volunteer Survey'!G102)"),"My academic background is oncology. I learnt this opportunity from the website of ClinGen when I was searching for resources I needed. ")</f>
        <v>My academic background is oncology. I learnt this opportunity from the website of ClinGen when I was searching for resources I needed. </v>
      </c>
      <c r="AG103" s="183" t="str">
        <f>IFERROR(__xludf.DUMMYFUNCTION("QUERY('Volunteer Survey'!H102)"),"Comprehensive")</f>
        <v>Comprehensive</v>
      </c>
      <c r="AH103" s="183" t="str">
        <f>IFERROR(__xludf.DUMMYFUNCTION("QUERY('Volunteer Survey'!I102)"),"Somatic Cancer")</f>
        <v>Somatic Cancer</v>
      </c>
      <c r="AI103" s="183" t="str">
        <f>IFERROR(__xludf.DUMMYFUNCTION("QUERY('Volunteer Survey'!J102)"),"Variant Pathogenicity")</f>
        <v>Variant Pathogenicity</v>
      </c>
      <c r="AJ103" s="183" t="str">
        <f>IFERROR(__xludf.DUMMYFUNCTION("QUERY('Volunteer Survey'!K102)"),"Clinical Actionability")</f>
        <v>Clinical Actionability</v>
      </c>
      <c r="AK103" s="183" t="str">
        <f>IFERROR(__xludf.DUMMYFUNCTION("QUERY('Volunteer Survey'!L102)"),"Gene-Disease Validity")</f>
        <v>Gene-Disease Validity</v>
      </c>
      <c r="AL103" s="183" t="str">
        <f>IFERROR(__xludf.DUMMYFUNCTION("QUERY('Volunteer Survey'!M102)"),"Dosage Sensitivity")</f>
        <v>Dosage Sensitivity</v>
      </c>
      <c r="AM103" s="183" t="str">
        <f>IFERROR(__xludf.DUMMYFUNCTION("QUERY('Volunteer Survey'!N102)"),"")</f>
        <v/>
      </c>
      <c r="AN103" s="183" t="str">
        <f>IFERROR(__xludf.DUMMYFUNCTION("QUERY('Volunteer Survey'!O102)"),"Possibly")</f>
        <v>Possibly</v>
      </c>
      <c r="AO103" s="183" t="str">
        <f>IFERROR(__xludf.DUMMYFUNCTION("QUERY('Volunteer Survey'!P102)"),"Somatic Cancer Working Group")</f>
        <v>Somatic Cancer Working Group</v>
      </c>
    </row>
    <row r="104">
      <c r="A104" s="50">
        <f>IFERROR(__xludf.DUMMYFUNCTION("QUERY('Volunteer Survey'!A111)"),43437.40190972222)</f>
        <v>43437.40191</v>
      </c>
      <c r="B104" s="48" t="s">
        <v>343</v>
      </c>
      <c r="C104" s="51" t="s">
        <v>344</v>
      </c>
      <c r="D104" s="65">
        <v>43769.0</v>
      </c>
      <c r="E104" s="48" t="s">
        <v>117</v>
      </c>
      <c r="F104" s="48" t="s">
        <v>117</v>
      </c>
      <c r="G104" s="48" t="s">
        <v>19</v>
      </c>
      <c r="H104" s="51" t="s">
        <v>19</v>
      </c>
      <c r="I104" s="51" t="s">
        <v>139</v>
      </c>
      <c r="J104" s="48"/>
      <c r="K104" s="48"/>
      <c r="L104" s="55" t="str">
        <f>IFERROR(__xludf.DUMMYFUNCTION("QUERY('Volunteer Survey'!B111)"),"Morgan Similuk")</f>
        <v>Morgan Similuk</v>
      </c>
      <c r="M104" s="55" t="str">
        <f>IFERROR(__xludf.DUMMYFUNCTION("QUERY('Volunteer Survey'!E111)"),"Morgan.similuk@nih.gov")</f>
        <v>Morgan.similuk@nih.gov</v>
      </c>
      <c r="N104" s="55" t="str">
        <f>IFERROR(__xludf.DUMMYFUNCTION("QUERY('Volunteer Survey'!F111)"),"Genetic counselor")</f>
        <v>Genetic counselor</v>
      </c>
      <c r="O104" s="48" t="str">
        <f>IFERROR(__xludf.DUMMYFUNCTION("QUERY('Volunteer Survey'!H111)"),"Comprehensive")</f>
        <v>Comprehensive</v>
      </c>
      <c r="P104" s="55" t="str">
        <f>IFERROR(__xludf.DUMMYFUNCTION("QUERY('Volunteer Survey'!I111)"),"Clinical Actionability")</f>
        <v>Clinical Actionability</v>
      </c>
      <c r="Q104" s="60" t="str">
        <f>IFERROR(__xludf.DUMMYFUNCTION("QUERY('Volunteer Survey'!J111)"),"Gene-Disease Validity")</f>
        <v>Gene-Disease Validity</v>
      </c>
      <c r="R104" s="55" t="str">
        <f>IFERROR(__xludf.DUMMYFUNCTION("QUERY('Volunteer Survey'!K111)"),"Variant Pathogenicity")</f>
        <v>Variant Pathogenicity</v>
      </c>
      <c r="S104" s="55" t="str">
        <f>IFERROR(__xludf.DUMMYFUNCTION("QUERY('Volunteer Survey'!L111)"),"Dosage Sensitivity")</f>
        <v>Dosage Sensitivity</v>
      </c>
      <c r="T104" s="55" t="str">
        <f>IFERROR(__xludf.DUMMYFUNCTION("QUERY('Volunteer Survey'!M111)"),"Somatic Cancer")</f>
        <v>Somatic Cancer</v>
      </c>
      <c r="U104" s="64" t="str">
        <f>IFERROR(__xludf.DUMMYFUNCTION("QUERY('Volunteer Survey'!N111)"),"Yes")</f>
        <v>Yes</v>
      </c>
      <c r="V104" s="55" t="str">
        <f>IFERROR(__xludf.DUMMYFUNCTION("QUERY('Volunteer Survey'!O111)"),"No")</f>
        <v>No</v>
      </c>
      <c r="W104" s="66" t="str">
        <f>IFERROR(__xludf.DUMMYFUNCTION("QUERY('Volunteer Survey'!P111)"),"NA")</f>
        <v>NA</v>
      </c>
      <c r="X104" s="64" t="str">
        <f>IFERROR(__xludf.DUMMYFUNCTION("QUERY('Volunteer Survey'!R111)"),"Maybe -- please contact me with other options, and I will decide based on what is available")</f>
        <v>Maybe -- please contact me with other options, and I will decide based on what is available</v>
      </c>
      <c r="Y104" s="53"/>
      <c r="Z104" s="182">
        <f>IFERROR(__xludf.DUMMYFUNCTION("QUERY('Volunteer Survey'!A103)"),43416.37436342593)</f>
        <v>43416.37436</v>
      </c>
      <c r="AA104" s="183" t="str">
        <f>IFERROR(__xludf.DUMMYFUNCTION("QUERY('Volunteer Survey'!B103)"),"Kylin Boehler")</f>
        <v>Kylin Boehler</v>
      </c>
      <c r="AB104" s="183" t="str">
        <f>IFERROR(__xludf.DUMMYFUNCTION("QUERY('Volunteer Survey'!C103)"),"Quest Diagnostics")</f>
        <v>Quest Diagnostics</v>
      </c>
      <c r="AC104" s="183" t="str">
        <f>IFERROR(__xludf.DUMMYFUNCTION("QUERY('Volunteer Survey'!D103)"),"OH")</f>
        <v>OH</v>
      </c>
      <c r="AD104" s="183" t="str">
        <f>IFERROR(__xludf.DUMMYFUNCTION("QUERY('Volunteer Survey'!E103)"),"kylin.y.boehler@questdiagnostics.com")</f>
        <v>kylin.y.boehler@questdiagnostics.com</v>
      </c>
      <c r="AE104" s="183" t="str">
        <f>IFERROR(__xludf.DUMMYFUNCTION("QUERY('Volunteer Survey'!F103)"),"Genetic counselor")</f>
        <v>Genetic counselor</v>
      </c>
      <c r="AF104" s="183" t="str">
        <f>IFERROR(__xludf.DUMMYFUNCTION("QUERY('Volunteer Survey'!G103)"),"Actionability")</f>
        <v>Actionability</v>
      </c>
      <c r="AG104" s="183" t="str">
        <f>IFERROR(__xludf.DUMMYFUNCTION("QUERY('Volunteer Survey'!H103)"),"Comprehensive")</f>
        <v>Comprehensive</v>
      </c>
      <c r="AH104" s="183" t="str">
        <f>IFERROR(__xludf.DUMMYFUNCTION("QUERY('Volunteer Survey'!I103)"),"Clinical Actionability")</f>
        <v>Clinical Actionability</v>
      </c>
      <c r="AI104" s="183" t="str">
        <f>IFERROR(__xludf.DUMMYFUNCTION("QUERY('Volunteer Survey'!J103)"),"Dosage Sensitivity")</f>
        <v>Dosage Sensitivity</v>
      </c>
      <c r="AJ104" s="183" t="str">
        <f>IFERROR(__xludf.DUMMYFUNCTION("QUERY('Volunteer Survey'!K103)"),"Gene-Disease Validity")</f>
        <v>Gene-Disease Validity</v>
      </c>
      <c r="AK104" s="183" t="str">
        <f>IFERROR(__xludf.DUMMYFUNCTION("QUERY('Volunteer Survey'!L103)"),"Variant Pathogenicity")</f>
        <v>Variant Pathogenicity</v>
      </c>
      <c r="AL104" s="183" t="str">
        <f>IFERROR(__xludf.DUMMYFUNCTION("QUERY('Volunteer Survey'!M103)"),"Somatic Cancer")</f>
        <v>Somatic Cancer</v>
      </c>
      <c r="AM104" s="183" t="str">
        <f>IFERROR(__xludf.DUMMYFUNCTION("QUERY('Volunteer Survey'!N103)"),"Yes")</f>
        <v>Yes</v>
      </c>
      <c r="AN104" s="183" t="str">
        <f>IFERROR(__xludf.DUMMYFUNCTION("QUERY('Volunteer Survey'!O103)"),"No")</f>
        <v>No</v>
      </c>
      <c r="AO104" s="183" t="str">
        <f>IFERROR(__xludf.DUMMYFUNCTION("QUERY('Volunteer Survey'!P103)"),"I am mainly interested in the Hereditary Cancer Gene Dosage Sensitivity Curation group.")</f>
        <v>I am mainly interested in the Hereditary Cancer Gene Dosage Sensitivity Curation group.</v>
      </c>
    </row>
    <row r="105">
      <c r="A105" s="50">
        <f>IFERROR(__xludf.DUMMYFUNCTION("QUERY('Volunteer Survey'!A112)"),43439.40657407408)</f>
        <v>43439.40657</v>
      </c>
      <c r="B105" s="48" t="s">
        <v>168</v>
      </c>
      <c r="C105" s="79">
        <v>43452.0</v>
      </c>
      <c r="D105" s="65">
        <v>43678.0</v>
      </c>
      <c r="E105" s="48" t="s">
        <v>117</v>
      </c>
      <c r="F105" s="48" t="s">
        <v>130</v>
      </c>
      <c r="G105" s="48" t="s">
        <v>19</v>
      </c>
      <c r="H105" s="51"/>
      <c r="I105" s="51" t="s">
        <v>139</v>
      </c>
      <c r="J105" s="48"/>
      <c r="K105" s="48"/>
      <c r="L105" s="55" t="str">
        <f>IFERROR(__xludf.DUMMYFUNCTION("QUERY('Volunteer Survey'!B112)"),"Sandra P Smieszek")</f>
        <v>Sandra P Smieszek</v>
      </c>
      <c r="M105" s="55" t="str">
        <f>IFERROR(__xludf.DUMMYFUNCTION("QUERY('Volunteer Survey'!E112)"),"sps92@case.edu")</f>
        <v>sps92@case.edu</v>
      </c>
      <c r="N105" s="55" t="str">
        <f>IFERROR(__xludf.DUMMYFUNCTION("QUERY('Volunteer Survey'!F112)"),"Post Doc/Resident/Fellow (MD and/or PhD)")</f>
        <v>Post Doc/Resident/Fellow (MD and/or PhD)</v>
      </c>
      <c r="O105" s="48" t="str">
        <f>IFERROR(__xludf.DUMMYFUNCTION("QUERY('Volunteer Survey'!H112)"),"Comprehensive")</f>
        <v>Comprehensive</v>
      </c>
      <c r="P105" s="55" t="str">
        <f>IFERROR(__xludf.DUMMYFUNCTION("QUERY('Volunteer Survey'!I112)"),"Clinical Actionability")</f>
        <v>Clinical Actionability</v>
      </c>
      <c r="Q105" s="60" t="str">
        <f>IFERROR(__xludf.DUMMYFUNCTION("QUERY('Volunteer Survey'!J112)"),"Gene-Disease Validity")</f>
        <v>Gene-Disease Validity</v>
      </c>
      <c r="R105" s="55" t="str">
        <f>IFERROR(__xludf.DUMMYFUNCTION("QUERY('Volunteer Survey'!K112)"),"Variant Pathogenicity")</f>
        <v>Variant Pathogenicity</v>
      </c>
      <c r="S105" s="55" t="str">
        <f>IFERROR(__xludf.DUMMYFUNCTION("QUERY('Volunteer Survey'!L112)"),"Dosage Sensitivity")</f>
        <v>Dosage Sensitivity</v>
      </c>
      <c r="T105" s="55" t="str">
        <f>IFERROR(__xludf.DUMMYFUNCTION("QUERY('Volunteer Survey'!M112)"),"Somatic Cancer")</f>
        <v>Somatic Cancer</v>
      </c>
      <c r="U105" s="64" t="str">
        <f>IFERROR(__xludf.DUMMYFUNCTION("QUERY('Volunteer Survey'!N112)"),"Yes")</f>
        <v>Yes</v>
      </c>
      <c r="V105" s="55" t="str">
        <f>IFERROR(__xludf.DUMMYFUNCTION("QUERY('Volunteer Survey'!O112)"),"No")</f>
        <v>No</v>
      </c>
      <c r="W105" s="66" t="str">
        <f>IFERROR(__xludf.DUMMYFUNCTION("QUERY('Volunteer Survey'!P112)"),"Autism")</f>
        <v>Autism</v>
      </c>
      <c r="X105" s="64" t="str">
        <f>IFERROR(__xludf.DUMMYFUNCTION("QUERY('Volunteer Survey'!R112)"),"Maybe -- please contact me with other options, and I will decide based on what is available")</f>
        <v>Maybe -- please contact me with other options, and I will decide based on what is available</v>
      </c>
      <c r="Y105" s="51" t="s">
        <v>345</v>
      </c>
      <c r="Z105" s="182">
        <f>IFERROR(__xludf.DUMMYFUNCTION("QUERY('Volunteer Survey'!A104)"),43347.37954861111)</f>
        <v>43347.37955</v>
      </c>
      <c r="AA105" s="183" t="str">
        <f>IFERROR(__xludf.DUMMYFUNCTION("QUERY('Volunteer Survey'!B104)"),"Lisa Diller")</f>
        <v>Lisa Diller</v>
      </c>
      <c r="AB105" s="183" t="str">
        <f>IFERROR(__xludf.DUMMYFUNCTION("QUERY('Volunteer Survey'!C104)"),"Dana-Farber Cancer Institute")</f>
        <v>Dana-Farber Cancer Institute</v>
      </c>
      <c r="AC105" s="183" t="str">
        <f>IFERROR(__xludf.DUMMYFUNCTION("QUERY('Volunteer Survey'!D104)"),"MA")</f>
        <v>MA</v>
      </c>
      <c r="AD105" s="183" t="str">
        <f>IFERROR(__xludf.DUMMYFUNCTION("QUERY('Volunteer Survey'!E104)"),"lisa_diller@dfci.harvard.edu")</f>
        <v>lisa_diller@dfci.harvard.edu</v>
      </c>
      <c r="AE105" s="183" t="str">
        <f>IFERROR(__xludf.DUMMYFUNCTION("QUERY('Volunteer Survey'!F104)"),"Physician (Non-geneticist)")</f>
        <v>Physician (Non-geneticist)</v>
      </c>
      <c r="AF105" s="183" t="str">
        <f>IFERROR(__xludf.DUMMYFUNCTION("QUERY('Volunteer Survey'!G104)"),"NA")</f>
        <v>NA</v>
      </c>
      <c r="AG105" s="183" t="str">
        <f>IFERROR(__xludf.DUMMYFUNCTION("QUERY('Volunteer Survey'!H104)"),"Comprehensive")</f>
        <v>Comprehensive</v>
      </c>
      <c r="AH105" s="183" t="str">
        <f>IFERROR(__xludf.DUMMYFUNCTION("QUERY('Volunteer Survey'!I104)"),"Clinical Actionability")</f>
        <v>Clinical Actionability</v>
      </c>
      <c r="AI105" s="183" t="str">
        <f>IFERROR(__xludf.DUMMYFUNCTION("QUERY('Volunteer Survey'!J104)"),"Gene-Disease Validity")</f>
        <v>Gene-Disease Validity</v>
      </c>
      <c r="AJ105" s="183" t="str">
        <f>IFERROR(__xludf.DUMMYFUNCTION("QUERY('Volunteer Survey'!K104)"),"Somatic Cancer")</f>
        <v>Somatic Cancer</v>
      </c>
      <c r="AK105" s="183" t="str">
        <f>IFERROR(__xludf.DUMMYFUNCTION("QUERY('Volunteer Survey'!L104)"),"Variant Pathogenicity")</f>
        <v>Variant Pathogenicity</v>
      </c>
      <c r="AL105" s="183" t="str">
        <f>IFERROR(__xludf.DUMMYFUNCTION("QUERY('Volunteer Survey'!M104)"),"Dosage Sensitivity")</f>
        <v>Dosage Sensitivity</v>
      </c>
      <c r="AM105" s="183" t="str">
        <f>IFERROR(__xludf.DUMMYFUNCTION("QUERY('Volunteer Survey'!N104)"),"No")</f>
        <v>No</v>
      </c>
      <c r="AN105" s="183" t="str">
        <f>IFERROR(__xludf.DUMMYFUNCTION("QUERY('Volunteer Survey'!O104)"),"Yes")</f>
        <v>Yes</v>
      </c>
      <c r="AO105" s="183" t="str">
        <f>IFERROR(__xludf.DUMMYFUNCTION("QUERY('Volunteer Survey'!P104)"),"Hereditary Cancer")</f>
        <v>Hereditary Cancer</v>
      </c>
    </row>
    <row r="106">
      <c r="A106" s="50">
        <f>IFERROR(__xludf.DUMMYFUNCTION("QUERY('Volunteer Survey'!A113)"),43488.21571815973)</f>
        <v>43488.21572</v>
      </c>
      <c r="B106" s="48" t="s">
        <v>108</v>
      </c>
      <c r="C106" s="53"/>
      <c r="D106" s="55"/>
      <c r="E106" s="48" t="s">
        <v>130</v>
      </c>
      <c r="F106" s="48" t="s">
        <v>130</v>
      </c>
      <c r="G106" s="48" t="s">
        <v>202</v>
      </c>
      <c r="H106" s="53"/>
      <c r="I106" s="51" t="s">
        <v>139</v>
      </c>
      <c r="J106" s="55"/>
      <c r="K106" s="55"/>
      <c r="L106" s="55" t="str">
        <f>IFERROR(__xludf.DUMMYFUNCTION("QUERY('Volunteer Survey'!B113)"),"Can Ding")</f>
        <v>Can Ding</v>
      </c>
      <c r="M106" s="55" t="str">
        <f>IFERROR(__xludf.DUMMYFUNCTION("QUERY('Volunteer Survey'!E113)"),"can.ding@unimedizin-mainz.de")</f>
        <v>can.ding@unimedizin-mainz.de</v>
      </c>
      <c r="N106" s="55" t="str">
        <f>IFERROR(__xludf.DUMMYFUNCTION("QUERY('Volunteer Survey'!F113)"),"Clinical Medical Geneticist")</f>
        <v>Clinical Medical Geneticist</v>
      </c>
      <c r="O106" s="48" t="str">
        <f>IFERROR(__xludf.DUMMYFUNCTION("QUERY('Volunteer Survey'!H113)"),"Baseline")</f>
        <v>Baseline</v>
      </c>
      <c r="P106" s="55" t="str">
        <f>IFERROR(__xludf.DUMMYFUNCTION("QUERY('Volunteer Survey'!I113)"),"Gene-Disease Validity")</f>
        <v>Gene-Disease Validity</v>
      </c>
      <c r="Q106" s="60" t="str">
        <f>IFERROR(__xludf.DUMMYFUNCTION("QUERY('Volunteer Survey'!J113)"),"Variant Pathogenicity")</f>
        <v>Variant Pathogenicity</v>
      </c>
      <c r="R106" s="55" t="str">
        <f>IFERROR(__xludf.DUMMYFUNCTION("QUERY('Volunteer Survey'!K113)"),"Clinical Actionability")</f>
        <v>Clinical Actionability</v>
      </c>
      <c r="S106" s="55" t="str">
        <f>IFERROR(__xludf.DUMMYFUNCTION("QUERY('Volunteer Survey'!L113)"),"Dosage Sensitivity")</f>
        <v>Dosage Sensitivity</v>
      </c>
      <c r="T106" s="55" t="str">
        <f>IFERROR(__xludf.DUMMYFUNCTION("QUERY('Volunteer Survey'!M113)"),"Somatic Cancer")</f>
        <v>Somatic Cancer</v>
      </c>
      <c r="U106" s="64" t="str">
        <f>IFERROR(__xludf.DUMMYFUNCTION("QUERY('Volunteer Survey'!N113)"),"I have over two years experiences in variant classification.")</f>
        <v>I have over two years experiences in variant classification.</v>
      </c>
      <c r="V106" s="55" t="str">
        <f>IFERROR(__xludf.DUMMYFUNCTION("QUERY('Volunteer Survey'!O113)"),"Yes")</f>
        <v>Yes</v>
      </c>
      <c r="W106" s="66" t="str">
        <f>IFERROR(__xludf.DUMMYFUNCTION("QUERY('Volunteer Survey'!P113)"),"I would be interested in a muscular disorder group.")</f>
        <v>I would be interested in a muscular disorder group.</v>
      </c>
      <c r="X106" s="64" t="str">
        <f>IFERROR(__xludf.DUMMYFUNCTION("QUERY('Volunteer Survey'!R113)"),"Maybe -- please contact me with other options, and I will decide based on what is available")</f>
        <v>Maybe -- please contact me with other options, and I will decide based on what is available</v>
      </c>
      <c r="Y106" s="53"/>
      <c r="Z106" s="182">
        <f>IFERROR(__xludf.DUMMYFUNCTION("QUERY('Volunteer Survey'!A105)"),43378.381261574075)</f>
        <v>43378.38126</v>
      </c>
      <c r="AA106" s="183" t="str">
        <f>IFERROR(__xludf.DUMMYFUNCTION("QUERY('Volunteer Survey'!B105)"),"Nharimann Azima")</f>
        <v>Nharimann Azima</v>
      </c>
      <c r="AB106" s="183" t="str">
        <f>IFERROR(__xludf.DUMMYFUNCTION("QUERY('Volunteer Survey'!C105)"),"NA")</f>
        <v>NA</v>
      </c>
      <c r="AC106" s="183" t="str">
        <f>IFERROR(__xludf.DUMMYFUNCTION("QUERY('Volunteer Survey'!D105)"),"")</f>
        <v/>
      </c>
      <c r="AD106" s="183" t="str">
        <f>IFERROR(__xludf.DUMMYFUNCTION("QUERY('Volunteer Survey'!E105)"),"naa3f@gwu.edu")</f>
        <v>naa3f@gwu.edu</v>
      </c>
      <c r="AE106" s="183" t="str">
        <f>IFERROR(__xludf.DUMMYFUNCTION("QUERY('Volunteer Survey'!F105)"),"Analyst")</f>
        <v>Analyst</v>
      </c>
      <c r="AF106" s="183" t="str">
        <f>IFERROR(__xludf.DUMMYFUNCTION("QUERY('Volunteer Survey'!G105)"),"NA")</f>
        <v>NA</v>
      </c>
      <c r="AG106" s="183" t="str">
        <f>IFERROR(__xludf.DUMMYFUNCTION("QUERY('Volunteer Survey'!H105)"),"Comprehensive")</f>
        <v>Comprehensive</v>
      </c>
      <c r="AH106" s="183" t="str">
        <f>IFERROR(__xludf.DUMMYFUNCTION("QUERY('Volunteer Survey'!I105)"),"Clinical Actionability")</f>
        <v>Clinical Actionability</v>
      </c>
      <c r="AI106" s="183" t="str">
        <f>IFERROR(__xludf.DUMMYFUNCTION("QUERY('Volunteer Survey'!J105)"),"Somatic Cancer")</f>
        <v>Somatic Cancer</v>
      </c>
      <c r="AJ106" s="183" t="str">
        <f>IFERROR(__xludf.DUMMYFUNCTION("QUERY('Volunteer Survey'!K105)"),"Gene-Disease Validity")</f>
        <v>Gene-Disease Validity</v>
      </c>
      <c r="AK106" s="183" t="str">
        <f>IFERROR(__xludf.DUMMYFUNCTION("QUERY('Volunteer Survey'!L105)"),"Variant Pathogenicity")</f>
        <v>Variant Pathogenicity</v>
      </c>
      <c r="AL106" s="183" t="str">
        <f>IFERROR(__xludf.DUMMYFUNCTION("QUERY('Volunteer Survey'!M105)"),"Dosage Sensitivity")</f>
        <v>Dosage Sensitivity</v>
      </c>
      <c r="AM106" s="183" t="str">
        <f>IFERROR(__xludf.DUMMYFUNCTION("QUERY('Volunteer Survey'!N105)"),"Yes")</f>
        <v>Yes</v>
      </c>
      <c r="AN106" s="183" t="str">
        <f>IFERROR(__xludf.DUMMYFUNCTION("QUERY('Volunteer Survey'!O105)"),"Yes")</f>
        <v>Yes</v>
      </c>
      <c r="AO106" s="183" t="str">
        <f>IFERROR(__xludf.DUMMYFUNCTION("QUERY('Volunteer Survey'!P105)"),"I am flexible")</f>
        <v>I am flexible</v>
      </c>
    </row>
    <row r="107">
      <c r="A107" s="50">
        <f>IFERROR(__xludf.DUMMYFUNCTION("QUERY('Volunteer Survey'!A114)"),43489.18665266204)</f>
        <v>43489.18665</v>
      </c>
      <c r="B107" s="48" t="s">
        <v>168</v>
      </c>
      <c r="C107" s="53"/>
      <c r="D107" s="55"/>
      <c r="E107" s="48" t="s">
        <v>130</v>
      </c>
      <c r="F107" s="48" t="s">
        <v>130</v>
      </c>
      <c r="G107" s="48" t="s">
        <v>136</v>
      </c>
      <c r="H107" s="53"/>
      <c r="I107" s="51" t="s">
        <v>139</v>
      </c>
      <c r="J107" s="55"/>
      <c r="K107" s="55"/>
      <c r="L107" s="55" t="str">
        <f>IFERROR(__xludf.DUMMYFUNCTION("QUERY('Volunteer Survey'!B114)"),"Milda Auglyte")</f>
        <v>Milda Auglyte</v>
      </c>
      <c r="M107" s="55" t="str">
        <f>IFERROR(__xludf.DUMMYFUNCTION("QUERY('Volunteer Survey'!E114)"),"mildaaug@gmail.com")</f>
        <v>mildaaug@gmail.com</v>
      </c>
      <c r="N107" s="55" t="str">
        <f>IFERROR(__xludf.DUMMYFUNCTION("QUERY('Volunteer Survey'!F114)"),"Graduate Student")</f>
        <v>Graduate Student</v>
      </c>
      <c r="O107" s="48" t="str">
        <f>IFERROR(__xludf.DUMMYFUNCTION("QUERY('Volunteer Survey'!H114)"),"Comprehensive")</f>
        <v>Comprehensive</v>
      </c>
      <c r="P107" s="55" t="str">
        <f>IFERROR(__xludf.DUMMYFUNCTION("QUERY('Volunteer Survey'!I114)"),"Somatic Cancer")</f>
        <v>Somatic Cancer</v>
      </c>
      <c r="Q107" s="60" t="str">
        <f>IFERROR(__xludf.DUMMYFUNCTION("QUERY('Volunteer Survey'!J114)"),"Clinical Actionability")</f>
        <v>Clinical Actionability</v>
      </c>
      <c r="R107" s="55" t="str">
        <f>IFERROR(__xludf.DUMMYFUNCTION("QUERY('Volunteer Survey'!K114)"),"Variant Pathogenicity")</f>
        <v>Variant Pathogenicity</v>
      </c>
      <c r="S107" s="55" t="str">
        <f>IFERROR(__xludf.DUMMYFUNCTION("QUERY('Volunteer Survey'!L114)"),"")</f>
        <v/>
      </c>
      <c r="T107" s="55" t="str">
        <f>IFERROR(__xludf.DUMMYFUNCTION("QUERY('Volunteer Survey'!M114)"),"")</f>
        <v/>
      </c>
      <c r="U107" s="64" t="str">
        <f>IFERROR(__xludf.DUMMYFUNCTION("QUERY('Volunteer Survey'!N114)"),"During my master's I performed NSCLC solid and liquid biopsies testing by target NGS. Nowadays, I'm still continuing this path, but additionally I am working with hereditary breast and ovarian cancer clinical testing.")</f>
        <v>During my master's I performed NSCLC solid and liquid biopsies testing by target NGS. Nowadays, I'm still continuing this path, but additionally I am working with hereditary breast and ovarian cancer clinical testing.</v>
      </c>
      <c r="V107" s="55" t="str">
        <f>IFERROR(__xludf.DUMMYFUNCTION("QUERY('Volunteer Survey'!O114)"),"Possibly")</f>
        <v>Possibly</v>
      </c>
      <c r="W107" s="66" t="str">
        <f>IFERROR(__xludf.DUMMYFUNCTION("QUERY('Volunteer Survey'!P114)"),"I would be interested in newly forming groups: Breast/Ovarian Cancer, Nonsmall cell lung cancer and Somatic TP53.")</f>
        <v>I would be interested in newly forming groups: Breast/Ovarian Cancer, Nonsmall cell lung cancer and Somatic TP53.</v>
      </c>
      <c r="X107" s="64" t="str">
        <f>IFERROR(__xludf.DUMMYFUNCTION("QUERY('Volunteer Survey'!R114)"),"Maybe -- please contact me with other options, and I will decide based on what is available")</f>
        <v>Maybe -- please contact me with other options, and I will decide based on what is available</v>
      </c>
      <c r="Y107" s="53"/>
      <c r="Z107" s="182">
        <f>IFERROR(__xludf.DUMMYFUNCTION("QUERY('Volunteer Survey'!A106)"),43415.38344907407)</f>
        <v>43415.38345</v>
      </c>
      <c r="AA107" s="183" t="str">
        <f>IFERROR(__xludf.DUMMYFUNCTION("QUERY('Volunteer Survey'!B106)"),"Krzysztof Szczaluba")</f>
        <v>Krzysztof Szczaluba</v>
      </c>
      <c r="AB107" s="183" t="str">
        <f>IFERROR(__xludf.DUMMYFUNCTION("QUERY('Volunteer Survey'!C106)"),"Dept of Medical Genetics. Warsaw Medical University")</f>
        <v>Dept of Medical Genetics. Warsaw Medical University</v>
      </c>
      <c r="AC107" s="183" t="str">
        <f>IFERROR(__xludf.DUMMYFUNCTION("QUERY('Volunteer Survey'!D106)"),"Warsaw, Poland")</f>
        <v>Warsaw, Poland</v>
      </c>
      <c r="AD107" s="183" t="str">
        <f>IFERROR(__xludf.DUMMYFUNCTION("QUERY('Volunteer Survey'!E106)"),"krzysztof.szczaluba@gmail.com")</f>
        <v>krzysztof.szczaluba@gmail.com</v>
      </c>
      <c r="AE107" s="183" t="str">
        <f>IFERROR(__xludf.DUMMYFUNCTION("QUERY('Volunteer Survey'!F106)"),"Clinical Medical Geneticist")</f>
        <v>Clinical Medical Geneticist</v>
      </c>
      <c r="AF107" s="183" t="str">
        <f>IFERROR(__xludf.DUMMYFUNCTION("QUERY('Volunteer Survey'!G106)"),"NA")</f>
        <v>NA</v>
      </c>
      <c r="AG107" s="183" t="str">
        <f>IFERROR(__xludf.DUMMYFUNCTION("QUERY('Volunteer Survey'!H106)"),"Comprehensive")</f>
        <v>Comprehensive</v>
      </c>
      <c r="AH107" s="183" t="str">
        <f>IFERROR(__xludf.DUMMYFUNCTION("QUERY('Volunteer Survey'!I106)"),"Clinical Actionability")</f>
        <v>Clinical Actionability</v>
      </c>
      <c r="AI107" s="183" t="str">
        <f>IFERROR(__xludf.DUMMYFUNCTION("QUERY('Volunteer Survey'!J106)"),"Gene-Disease Validity")</f>
        <v>Gene-Disease Validity</v>
      </c>
      <c r="AJ107" s="183" t="str">
        <f>IFERROR(__xludf.DUMMYFUNCTION("QUERY('Volunteer Survey'!K106)"),"Variant Pathogenicity")</f>
        <v>Variant Pathogenicity</v>
      </c>
      <c r="AK107" s="183" t="str">
        <f>IFERROR(__xludf.DUMMYFUNCTION("QUERY('Volunteer Survey'!L106)"),"Dosage Sensitivity")</f>
        <v>Dosage Sensitivity</v>
      </c>
      <c r="AL107" s="183" t="str">
        <f>IFERROR(__xludf.DUMMYFUNCTION("QUERY('Volunteer Survey'!M106)"),"Somatic Cancer")</f>
        <v>Somatic Cancer</v>
      </c>
      <c r="AM107" s="183" t="str">
        <f>IFERROR(__xludf.DUMMYFUNCTION("QUERY('Volunteer Survey'!N106)"),"No")</f>
        <v>No</v>
      </c>
      <c r="AN107" s="183" t="str">
        <f>IFERROR(__xludf.DUMMYFUNCTION("QUERY('Volunteer Survey'!O106)"),"Possibly")</f>
        <v>Possibly</v>
      </c>
      <c r="AO107" s="183" t="str">
        <f>IFERROR(__xludf.DUMMYFUNCTION("QUERY('Volunteer Survey'!P106)"),"autism/ID, epi, brovca")</f>
        <v>autism/ID, epi, brovca</v>
      </c>
    </row>
    <row r="108">
      <c r="A108" s="50">
        <f>IFERROR(__xludf.DUMMYFUNCTION("QUERY('Volunteer Survey'!A115)"),43489.310416782406)</f>
        <v>43489.31042</v>
      </c>
      <c r="B108" s="48" t="s">
        <v>125</v>
      </c>
      <c r="C108" s="53"/>
      <c r="D108" s="55"/>
      <c r="E108" s="48" t="s">
        <v>130</v>
      </c>
      <c r="F108" s="48" t="s">
        <v>130</v>
      </c>
      <c r="G108" s="48" t="s">
        <v>136</v>
      </c>
      <c r="H108" s="51" t="s">
        <v>308</v>
      </c>
      <c r="I108" s="51" t="s">
        <v>139</v>
      </c>
      <c r="J108" s="56">
        <v>43592.0</v>
      </c>
      <c r="K108" s="56"/>
      <c r="L108" s="55" t="str">
        <f>IFERROR(__xludf.DUMMYFUNCTION("QUERY('Volunteer Survey'!B115)"),"Andres Ressia")</f>
        <v>Andres Ressia</v>
      </c>
      <c r="M108" s="55" t="str">
        <f>IFERROR(__xludf.DUMMYFUNCTION("QUERY('Volunteer Survey'!E115)"),"andresressiacolino@gmail.com")</f>
        <v>andresressiacolino@gmail.com</v>
      </c>
      <c r="N108" s="55" t="str">
        <f>IFERROR(__xludf.DUMMYFUNCTION("QUERY('Volunteer Survey'!F115)"),"Post-Bachelors")</f>
        <v>Post-Bachelors</v>
      </c>
      <c r="O108" s="48" t="str">
        <f>IFERROR(__xludf.DUMMYFUNCTION("QUERY('Volunteer Survey'!H115)"),"Comprehensive")</f>
        <v>Comprehensive</v>
      </c>
      <c r="P108" s="55" t="str">
        <f>IFERROR(__xludf.DUMMYFUNCTION("QUERY('Volunteer Survey'!I115)"),"Somatic Cancer")</f>
        <v>Somatic Cancer</v>
      </c>
      <c r="Q108" s="60" t="str">
        <f>IFERROR(__xludf.DUMMYFUNCTION("QUERY('Volunteer Survey'!J115)"),"Gene-Disease Validity")</f>
        <v>Gene-Disease Validity</v>
      </c>
      <c r="R108" s="55" t="str">
        <f>IFERROR(__xludf.DUMMYFUNCTION("QUERY('Volunteer Survey'!K115)"),"")</f>
        <v/>
      </c>
      <c r="S108" s="55" t="str">
        <f>IFERROR(__xludf.DUMMYFUNCTION("QUERY('Volunteer Survey'!L115)"),"")</f>
        <v/>
      </c>
      <c r="T108" s="55" t="str">
        <f>IFERROR(__xludf.DUMMYFUNCTION("QUERY('Volunteer Survey'!M115)"),"")</f>
        <v/>
      </c>
      <c r="U108" s="64" t="str">
        <f>IFERROR(__xludf.DUMMYFUNCTION("QUERY('Volunteer Survey'!N115)"),"No")</f>
        <v>No</v>
      </c>
      <c r="V108" s="55" t="str">
        <f>IFERROR(__xludf.DUMMYFUNCTION("QUERY('Volunteer Survey'!O115)"),"No")</f>
        <v>No</v>
      </c>
      <c r="W108" s="66" t="str">
        <f>IFERROR(__xludf.DUMMYFUNCTION("QUERY('Volunteer Survey'!P115)"),"Breast/Ovarian Cancer (newly forming)")</f>
        <v>Breast/Ovarian Cancer (newly forming)</v>
      </c>
      <c r="X108" s="64" t="str">
        <f>IFERROR(__xludf.DUMMYFUNCTION("QUERY('Volunteer Survey'!R115)"),"Maybe -- please contact me with other options, and I will decide based on what is available")</f>
        <v>Maybe -- please contact me with other options, and I will decide based on what is available</v>
      </c>
      <c r="Y108" s="53"/>
      <c r="Z108" s="182">
        <f>IFERROR(__xludf.DUMMYFUNCTION("QUERY('Volunteer Survey'!A107)"),43416.38512731482)</f>
        <v>43416.38513</v>
      </c>
      <c r="AA108" s="183" t="str">
        <f>IFERROR(__xludf.DUMMYFUNCTION("QUERY('Volunteer Survey'!B107)"),"Robin Bennett")</f>
        <v>Robin Bennett</v>
      </c>
      <c r="AB108" s="183" t="str">
        <f>IFERROR(__xludf.DUMMYFUNCTION("QUERY('Volunteer Survey'!C107)"),"University of Washington")</f>
        <v>University of Washington</v>
      </c>
      <c r="AC108" s="183" t="str">
        <f>IFERROR(__xludf.DUMMYFUNCTION("QUERY('Volunteer Survey'!D107)"),"Seattle, WA")</f>
        <v>Seattle, WA</v>
      </c>
      <c r="AD108" s="183" t="str">
        <f>IFERROR(__xludf.DUMMYFUNCTION("QUERY('Volunteer Survey'!E107)"),"robinb@uw.edu")</f>
        <v>robinb@uw.edu</v>
      </c>
      <c r="AE108" s="183" t="str">
        <f>IFERROR(__xludf.DUMMYFUNCTION("QUERY('Volunteer Survey'!F107)"),"Genetic counselor")</f>
        <v>Genetic counselor</v>
      </c>
      <c r="AF108" s="183" t="str">
        <f>IFERROR(__xludf.DUMMYFUNCTION("QUERY('Volunteer Survey'!G107)"),"NA")</f>
        <v>NA</v>
      </c>
      <c r="AG108" s="183" t="str">
        <f>IFERROR(__xludf.DUMMYFUNCTION("QUERY('Volunteer Survey'!H107)"),"Comprehensive")</f>
        <v>Comprehensive</v>
      </c>
      <c r="AH108" s="183" t="str">
        <f>IFERROR(__xludf.DUMMYFUNCTION("QUERY('Volunteer Survey'!I107)"),"Clinical Actionability")</f>
        <v>Clinical Actionability</v>
      </c>
      <c r="AI108" s="183" t="str">
        <f>IFERROR(__xludf.DUMMYFUNCTION("QUERY('Volunteer Survey'!J107)"),"Variant Pathogenicity")</f>
        <v>Variant Pathogenicity</v>
      </c>
      <c r="AJ108" s="183" t="str">
        <f>IFERROR(__xludf.DUMMYFUNCTION("QUERY('Volunteer Survey'!K107)"),"Gene-Disease Validity")</f>
        <v>Gene-Disease Validity</v>
      </c>
      <c r="AK108" s="183" t="str">
        <f>IFERROR(__xludf.DUMMYFUNCTION("QUERY('Volunteer Survey'!L107)"),"Somatic Cancer")</f>
        <v>Somatic Cancer</v>
      </c>
      <c r="AL108" s="183" t="str">
        <f>IFERROR(__xludf.DUMMYFUNCTION("QUERY('Volunteer Survey'!M107)"),"Dosage Sensitivity")</f>
        <v>Dosage Sensitivity</v>
      </c>
      <c r="AM108" s="183" t="str">
        <f>IFERROR(__xludf.DUMMYFUNCTION("QUERY('Volunteer Survey'!N107)"),"Yes")</f>
        <v>Yes</v>
      </c>
      <c r="AN108" s="183" t="str">
        <f>IFERROR(__xludf.DUMMYFUNCTION("QUERY('Volunteer Survey'!O107)"),"Possibly")</f>
        <v>Possibly</v>
      </c>
      <c r="AO108" s="183" t="str">
        <f>IFERROR(__xludf.DUMMYFUNCTION("QUERY('Volunteer Survey'!P107)"),"Variant curation expert panels: PTEN, VHL, CDH1, Colorectal cancer, breast-ovarian")</f>
        <v>Variant curation expert panels: PTEN, VHL, CDH1, Colorectal cancer, breast-ovarian</v>
      </c>
    </row>
    <row r="109">
      <c r="A109" s="50">
        <f>IFERROR(__xludf.DUMMYFUNCTION("QUERY('Volunteer Survey'!A116)"),43354.42292824074)</f>
        <v>43354.42293</v>
      </c>
      <c r="B109" s="48" t="s">
        <v>160</v>
      </c>
      <c r="C109" s="79">
        <v>43452.0</v>
      </c>
      <c r="D109" s="49">
        <v>43581.0</v>
      </c>
      <c r="E109" s="48" t="s">
        <v>117</v>
      </c>
      <c r="F109" s="48" t="s">
        <v>130</v>
      </c>
      <c r="G109" s="48" t="s">
        <v>136</v>
      </c>
      <c r="H109" s="51" t="s">
        <v>306</v>
      </c>
      <c r="I109" s="51" t="s">
        <v>139</v>
      </c>
      <c r="J109" s="56">
        <v>43712.0</v>
      </c>
      <c r="K109" s="56"/>
      <c r="L109" s="55" t="str">
        <f>IFERROR(__xludf.DUMMYFUNCTION("QUERY('Volunteer Survey'!B116)"),"Parisa Lotfi")</f>
        <v>Parisa Lotfi</v>
      </c>
      <c r="M109" s="55" t="str">
        <f>IFERROR(__xludf.DUMMYFUNCTION("QUERY('Volunteer Survey'!E116)"),"Parisa_Lotfi@yahoo.com")</f>
        <v>Parisa_Lotfi@yahoo.com</v>
      </c>
      <c r="N109" s="55" t="str">
        <f>IFERROR(__xludf.DUMMYFUNCTION("QUERY('Volunteer Survey'!F116)"),"Post Doc/Resident/Fellow (MD and/or Phd), Scientific Researcher")</f>
        <v>Post Doc/Resident/Fellow (MD and/or Phd), Scientific Researcher</v>
      </c>
      <c r="O109" s="48" t="str">
        <f>IFERROR(__xludf.DUMMYFUNCTION("QUERY('Volunteer Survey'!H116)"),"Comprehensive")</f>
        <v>Comprehensive</v>
      </c>
      <c r="P109" s="55" t="str">
        <f>IFERROR(__xludf.DUMMYFUNCTION("QUERY('Volunteer Survey'!I116)"),"Somatic Cancer")</f>
        <v>Somatic Cancer</v>
      </c>
      <c r="Q109" s="60" t="str">
        <f>IFERROR(__xludf.DUMMYFUNCTION("QUERY('Volunteer Survey'!J116)"),"Dosage Sensitivity")</f>
        <v>Dosage Sensitivity</v>
      </c>
      <c r="R109" s="55" t="str">
        <f>IFERROR(__xludf.DUMMYFUNCTION("QUERY('Volunteer Survey'!K116)"),"Variant Pathogenicity")</f>
        <v>Variant Pathogenicity</v>
      </c>
      <c r="S109" s="55" t="str">
        <f>IFERROR(__xludf.DUMMYFUNCTION("QUERY('Volunteer Survey'!L116)"),"Gene-Disease Validity")</f>
        <v>Gene-Disease Validity</v>
      </c>
      <c r="T109" s="55" t="str">
        <f>IFERROR(__xludf.DUMMYFUNCTION("QUERY('Volunteer Survey'!M116)"),"")</f>
        <v/>
      </c>
      <c r="U109" s="64" t="str">
        <f>IFERROR(__xludf.DUMMYFUNCTION("QUERY('Volunteer Survey'!N116)"),"no")</f>
        <v>no</v>
      </c>
      <c r="V109" s="55" t="str">
        <f>IFERROR(__xludf.DUMMYFUNCTION("QUERY('Volunteer Survey'!O116)"),"Possibly")</f>
        <v>Possibly</v>
      </c>
      <c r="W109" s="66" t="str">
        <f>IFERROR(__xludf.DUMMYFUNCTION("QUERY('Volunteer Survey'!P116)"),"intellectual disability/autism group")</f>
        <v>intellectual disability/autism group</v>
      </c>
      <c r="X109" s="64" t="str">
        <f>IFERROR(__xludf.DUMMYFUNCTION("QUERY('Volunteer Survey'!R116)"),"Yes- I am willing to volunteer with any available ClinGen group")</f>
        <v>Yes- I am willing to volunteer with any available ClinGen group</v>
      </c>
      <c r="Y109" s="53"/>
      <c r="Z109" s="182">
        <f>IFERROR(__xludf.DUMMYFUNCTION("QUERY('Volunteer Survey'!A108)"),43418.386828703704)</f>
        <v>43418.38683</v>
      </c>
      <c r="AA109" s="183" t="str">
        <f>IFERROR(__xludf.DUMMYFUNCTION("QUERY('Volunteer Survey'!B108)"),"Fiona Curtis")</f>
        <v>Fiona Curtis</v>
      </c>
      <c r="AB109" s="183" t="str">
        <f>IFERROR(__xludf.DUMMYFUNCTION("QUERY('Volunteer Survey'!C108)"),"Eastern Health/Memorial University of NL")</f>
        <v>Eastern Health/Memorial University of NL</v>
      </c>
      <c r="AC109" s="183" t="str">
        <f>IFERROR(__xludf.DUMMYFUNCTION("QUERY('Volunteer Survey'!D108)"),"NL, Canada")</f>
        <v>NL, Canada</v>
      </c>
      <c r="AD109" s="183" t="str">
        <f>IFERROR(__xludf.DUMMYFUNCTION("QUERY('Volunteer Survey'!E108)"),"fionakatherinecurtis@yahoo.ca")</f>
        <v>fionakatherinecurtis@yahoo.ca</v>
      </c>
      <c r="AE109" s="183" t="str">
        <f>IFERROR(__xludf.DUMMYFUNCTION("QUERY('Volunteer Survey'!F108)"),"Genetic counselor")</f>
        <v>Genetic counselor</v>
      </c>
      <c r="AF109" s="183" t="str">
        <f>IFERROR(__xludf.DUMMYFUNCTION("QUERY('Volunteer Survey'!G108)"),"NA")</f>
        <v>NA</v>
      </c>
      <c r="AG109" s="183" t="str">
        <f>IFERROR(__xludf.DUMMYFUNCTION("QUERY('Volunteer Survey'!H108)"),"Comprehensive")</f>
        <v>Comprehensive</v>
      </c>
      <c r="AH109" s="183" t="str">
        <f>IFERROR(__xludf.DUMMYFUNCTION("QUERY('Volunteer Survey'!I108)"),"Clinical Actionability")</f>
        <v>Clinical Actionability</v>
      </c>
      <c r="AI109" s="183" t="str">
        <f>IFERROR(__xludf.DUMMYFUNCTION("QUERY('Volunteer Survey'!J108)"),"Gene-Disease Validity")</f>
        <v>Gene-Disease Validity</v>
      </c>
      <c r="AJ109" s="183" t="str">
        <f>IFERROR(__xludf.DUMMYFUNCTION("QUERY('Volunteer Survey'!K108)"),"Variant Pathogenicity")</f>
        <v>Variant Pathogenicity</v>
      </c>
      <c r="AK109" s="183" t="str">
        <f>IFERROR(__xludf.DUMMYFUNCTION("QUERY('Volunteer Survey'!L108)"),"Dosage Sensitivity")</f>
        <v>Dosage Sensitivity</v>
      </c>
      <c r="AL109" s="183" t="str">
        <f>IFERROR(__xludf.DUMMYFUNCTION("QUERY('Volunteer Survey'!M108)"),"Somatic Cancer")</f>
        <v>Somatic Cancer</v>
      </c>
      <c r="AM109" s="183" t="str">
        <f>IFERROR(__xludf.DUMMYFUNCTION("QUERY('Volunteer Survey'!N108)"),"No")</f>
        <v>No</v>
      </c>
      <c r="AN109" s="183" t="str">
        <f>IFERROR(__xludf.DUMMYFUNCTION("QUERY('Volunteer Survey'!O108)"),"Possibly")</f>
        <v>Possibly</v>
      </c>
      <c r="AO109" s="183" t="str">
        <f>IFERROR(__xludf.DUMMYFUNCTION("QUERY('Volunteer Survey'!P108)"),"inherited cardiomyopathy or other CV diseases")</f>
        <v>inherited cardiomyopathy or other CV diseases</v>
      </c>
    </row>
    <row r="110">
      <c r="A110" s="50">
        <f>IFERROR(__xludf.DUMMYFUNCTION("QUERY('Volunteer Survey'!A117)"),43423.42459490741)</f>
        <v>43423.42459</v>
      </c>
      <c r="B110" s="48" t="s">
        <v>125</v>
      </c>
      <c r="C110" s="79">
        <v>43452.0</v>
      </c>
      <c r="D110" s="55"/>
      <c r="E110" s="48" t="s">
        <v>130</v>
      </c>
      <c r="F110" s="48" t="s">
        <v>130</v>
      </c>
      <c r="G110" s="48" t="s">
        <v>136</v>
      </c>
      <c r="H110" s="51" t="s">
        <v>308</v>
      </c>
      <c r="I110" s="51" t="s">
        <v>139</v>
      </c>
      <c r="J110" s="56">
        <v>43592.0</v>
      </c>
      <c r="K110" s="56">
        <v>43713.0</v>
      </c>
      <c r="L110" s="55" t="str">
        <f>IFERROR(__xludf.DUMMYFUNCTION("QUERY('Volunteer Survey'!B117)"),"Huei San Leong")</f>
        <v>Huei San Leong</v>
      </c>
      <c r="M110" s="55" t="str">
        <f>IFERROR(__xludf.DUMMYFUNCTION("QUERY('Volunteer Survey'!E117)"),"hueisan.leong@petermac.org")</f>
        <v>hueisan.leong@petermac.org</v>
      </c>
      <c r="N110" s="55" t="str">
        <f>IFERROR(__xludf.DUMMYFUNCTION("QUERY('Volunteer Survey'!F117)"),"Variant Analyst/Scientist")</f>
        <v>Variant Analyst/Scientist</v>
      </c>
      <c r="O110" s="48" t="str">
        <f>IFERROR(__xludf.DUMMYFUNCTION("QUERY('Volunteer Survey'!H117)"),"Comprehensive")</f>
        <v>Comprehensive</v>
      </c>
      <c r="P110" s="55" t="str">
        <f>IFERROR(__xludf.DUMMYFUNCTION("QUERY('Volunteer Survey'!I117)"),"Somatic Cancer")</f>
        <v>Somatic Cancer</v>
      </c>
      <c r="Q110" s="60" t="str">
        <f>IFERROR(__xludf.DUMMYFUNCTION("QUERY('Volunteer Survey'!J117)"),"Variant Pathogenicity")</f>
        <v>Variant Pathogenicity</v>
      </c>
      <c r="R110" s="55" t="str">
        <f>IFERROR(__xludf.DUMMYFUNCTION("QUERY('Volunteer Survey'!K117)"),"Clinical Actionability")</f>
        <v>Clinical Actionability</v>
      </c>
      <c r="S110" s="55" t="str">
        <f>IFERROR(__xludf.DUMMYFUNCTION("QUERY('Volunteer Survey'!L117)"),"Gene-Disease Validity")</f>
        <v>Gene-Disease Validity</v>
      </c>
      <c r="T110" s="55" t="str">
        <f>IFERROR(__xludf.DUMMYFUNCTION("QUERY('Volunteer Survey'!M117)"),"")</f>
        <v/>
      </c>
      <c r="U110" s="64" t="str">
        <f>IFERROR(__xludf.DUMMYFUNCTION("QUERY('Volunteer Survey'!N117)"),"Yes")</f>
        <v>Yes</v>
      </c>
      <c r="V110" s="55" t="str">
        <f>IFERROR(__xludf.DUMMYFUNCTION("QUERY('Volunteer Survey'!O117)"),"Yes")</f>
        <v>Yes</v>
      </c>
      <c r="W110" s="66" t="str">
        <f>IFERROR(__xludf.DUMMYFUNCTION("QUERY('Volunteer Survey'!P117)"),"1) Breast/Ovarian Cancer 2) Colorectal Cancer 3) CDH1")</f>
        <v>1) Breast/Ovarian Cancer 2) Colorectal Cancer 3) CDH1</v>
      </c>
      <c r="X110" s="64" t="str">
        <f>IFERROR(__xludf.DUMMYFUNCTION("QUERY('Volunteer Survey'!R117)"),"Maybe -- please contact me with other options, and I will decide based on what is available")</f>
        <v>Maybe -- please contact me with other options, and I will decide based on what is available</v>
      </c>
      <c r="Y110" s="92" t="s">
        <v>318</v>
      </c>
      <c r="Z110" s="182">
        <f>IFERROR(__xludf.DUMMYFUNCTION("QUERY('Volunteer Survey'!A109)"),43419.394525462965)</f>
        <v>43419.39453</v>
      </c>
      <c r="AA110" s="183" t="str">
        <f>IFERROR(__xludf.DUMMYFUNCTION("QUERY('Volunteer Survey'!B109)"),"Jennifer Marie Lee")</f>
        <v>Jennifer Marie Lee</v>
      </c>
      <c r="AB110" s="183" t="str">
        <f>IFERROR(__xludf.DUMMYFUNCTION("QUERY('Volunteer Survey'!C109)"),"National Cancer Institute")</f>
        <v>National Cancer Institute</v>
      </c>
      <c r="AC110" s="183" t="str">
        <f>IFERROR(__xludf.DUMMYFUNCTION("QUERY('Volunteer Survey'!D109)"),"MD")</f>
        <v>MD</v>
      </c>
      <c r="AD110" s="183" t="str">
        <f>IFERROR(__xludf.DUMMYFUNCTION("QUERY('Volunteer Survey'!E109)"),"Jennifer.Lee2@nih.gov")</f>
        <v>Jennifer.Lee2@nih.gov</v>
      </c>
      <c r="AE110" s="183" t="str">
        <f>IFERROR(__xludf.DUMMYFUNCTION("QUERY('Volunteer Survey'!F109)"),"Scientific Researcher")</f>
        <v>Scientific Researcher</v>
      </c>
      <c r="AF110" s="183" t="str">
        <f>IFERROR(__xludf.DUMMYFUNCTION("QUERY('Volunteer Survey'!G109)"),"NA")</f>
        <v>NA</v>
      </c>
      <c r="AG110" s="183" t="str">
        <f>IFERROR(__xludf.DUMMYFUNCTION("QUERY('Volunteer Survey'!H109)"),"Comprehensive")</f>
        <v>Comprehensive</v>
      </c>
      <c r="AH110" s="183" t="str">
        <f>IFERROR(__xludf.DUMMYFUNCTION("QUERY('Volunteer Survey'!I109)"),"Clinical Actionability")</f>
        <v>Clinical Actionability</v>
      </c>
      <c r="AI110" s="183" t="str">
        <f>IFERROR(__xludf.DUMMYFUNCTION("QUERY('Volunteer Survey'!J109)"),"Somatic Cancer")</f>
        <v>Somatic Cancer</v>
      </c>
      <c r="AJ110" s="183" t="str">
        <f>IFERROR(__xludf.DUMMYFUNCTION("QUERY('Volunteer Survey'!K109)"),"Gene-Disease Validity")</f>
        <v>Gene-Disease Validity</v>
      </c>
      <c r="AK110" s="183" t="str">
        <f>IFERROR(__xludf.DUMMYFUNCTION("QUERY('Volunteer Survey'!L109)"),"Variant Pathogenicity")</f>
        <v>Variant Pathogenicity</v>
      </c>
      <c r="AL110" s="183" t="str">
        <f>IFERROR(__xludf.DUMMYFUNCTION("QUERY('Volunteer Survey'!M109)"),"")</f>
        <v/>
      </c>
      <c r="AM110" s="183" t="str">
        <f>IFERROR(__xludf.DUMMYFUNCTION("QUERY('Volunteer Survey'!N109)"),"Yes")</f>
        <v>Yes</v>
      </c>
      <c r="AN110" s="183" t="str">
        <f>IFERROR(__xludf.DUMMYFUNCTION("QUERY('Volunteer Survey'!O109)"),"Possibly")</f>
        <v>Possibly</v>
      </c>
      <c r="AO110" s="183" t="str">
        <f>IFERROR(__xludf.DUMMYFUNCTION("QUERY('Volunteer Survey'!P109)"),"NA")</f>
        <v>NA</v>
      </c>
    </row>
    <row r="111">
      <c r="A111" s="50">
        <f>IFERROR(__xludf.DUMMYFUNCTION("QUERY('Volunteer Survey'!A118)"),43439.427199074074)</f>
        <v>43439.4272</v>
      </c>
      <c r="B111" s="48" t="s">
        <v>168</v>
      </c>
      <c r="C111" s="79">
        <v>43452.0</v>
      </c>
      <c r="D111" s="55"/>
      <c r="E111" s="48" t="s">
        <v>130</v>
      </c>
      <c r="F111" s="48" t="s">
        <v>130</v>
      </c>
      <c r="G111" s="48" t="s">
        <v>136</v>
      </c>
      <c r="H111" s="53"/>
      <c r="I111" s="51" t="s">
        <v>139</v>
      </c>
      <c r="J111" s="55"/>
      <c r="K111" s="55"/>
      <c r="L111" s="55" t="str">
        <f>IFERROR(__xludf.DUMMYFUNCTION("QUERY('Volunteer Survey'!B118)"),"Pandurang Kolekar")</f>
        <v>Pandurang Kolekar</v>
      </c>
      <c r="M111" s="55" t="str">
        <f>IFERROR(__xludf.DUMMYFUNCTION("QUERY('Volunteer Survey'!E118)"),"pandurang.kolekar@gmail.com")</f>
        <v>pandurang.kolekar@gmail.com</v>
      </c>
      <c r="N111" s="55" t="str">
        <f>IFERROR(__xludf.DUMMYFUNCTION("QUERY('Volunteer Survey'!F118)"),"""Scientific Researcher, Biocurator, Variant Analyst/Scientist, Other (please specify): Bioinformatics Engineer""")</f>
        <v>"Scientific Researcher, Biocurator, Variant Analyst/Scientist, Other (please specify): Bioinformatics Engineer"</v>
      </c>
      <c r="O111" s="48" t="str">
        <f>IFERROR(__xludf.DUMMYFUNCTION("QUERY('Volunteer Survey'!H118)"),"Comprehensive")</f>
        <v>Comprehensive</v>
      </c>
      <c r="P111" s="55" t="str">
        <f>IFERROR(__xludf.DUMMYFUNCTION("QUERY('Volunteer Survey'!I118)"),"Somatic Cancer")</f>
        <v>Somatic Cancer</v>
      </c>
      <c r="Q111" s="60" t="str">
        <f>IFERROR(__xludf.DUMMYFUNCTION("QUERY('Volunteer Survey'!J118)"),"Variant Pathogenicity")</f>
        <v>Variant Pathogenicity</v>
      </c>
      <c r="R111" s="55" t="str">
        <f>IFERROR(__xludf.DUMMYFUNCTION("QUERY('Volunteer Survey'!K118)"),"Gene-Disease Validity")</f>
        <v>Gene-Disease Validity</v>
      </c>
      <c r="S111" s="55" t="str">
        <f>IFERROR(__xludf.DUMMYFUNCTION("QUERY('Volunteer Survey'!L118)"),"Clinical Actionability")</f>
        <v>Clinical Actionability</v>
      </c>
      <c r="T111" s="55" t="str">
        <f>IFERROR(__xludf.DUMMYFUNCTION("QUERY('Volunteer Survey'!M118)"),"Dosage Sensitivity")</f>
        <v>Dosage Sensitivity</v>
      </c>
      <c r="U111" s="64" t="str">
        <f>IFERROR(__xludf.DUMMYFUNCTION("QUERY('Volunteer Survey'!N118)"),"Yes")</f>
        <v>Yes</v>
      </c>
      <c r="V111" s="55" t="str">
        <f>IFERROR(__xludf.DUMMYFUNCTION("QUERY('Volunteer Survey'!O118)"),"Possibly")</f>
        <v>Possibly</v>
      </c>
      <c r="W111" s="66" t="str">
        <f>IFERROR(__xludf.DUMMYFUNCTION("QUERY('Volunteer Survey'!P118)"),"Somatic cancer WG")</f>
        <v>Somatic cancer WG</v>
      </c>
      <c r="X111" s="64" t="str">
        <f>IFERROR(__xludf.DUMMYFUNCTION("QUERY('Volunteer Survey'!R118)"),"Maybe -- please contact me with other options, and I will decide based on what is available")</f>
        <v>Maybe -- please contact me with other options, and I will decide based on what is available</v>
      </c>
      <c r="Y111" s="53"/>
      <c r="Z111" s="182">
        <f>IFERROR(__xludf.DUMMYFUNCTION("QUERY('Volunteer Survey'!A110)"),43430.4000462963)</f>
        <v>43430.40005</v>
      </c>
      <c r="AA111" s="183" t="str">
        <f>IFERROR(__xludf.DUMMYFUNCTION("QUERY('Volunteer Survey'!B110)"),"Laura Fuqua")</f>
        <v>Laura Fuqua</v>
      </c>
      <c r="AB111" s="183" t="str">
        <f>IFERROR(__xludf.DUMMYFUNCTION("QUERY('Volunteer Survey'!C110)"),"NA")</f>
        <v>NA</v>
      </c>
      <c r="AC111" s="183" t="str">
        <f>IFERROR(__xludf.DUMMYFUNCTION("QUERY('Volunteer Survey'!D110)"),"CA")</f>
        <v>CA</v>
      </c>
      <c r="AD111" s="183" t="str">
        <f>IFERROR(__xludf.DUMMYFUNCTION("QUERY('Volunteer Survey'!E110)"),"laura.fuqua@gmail.com")</f>
        <v>laura.fuqua@gmail.com</v>
      </c>
      <c r="AE111" s="183" t="str">
        <f>IFERROR(__xludf.DUMMYFUNCTION("QUERY('Volunteer Survey'!F110)"),"Genetic counselor")</f>
        <v>Genetic counselor</v>
      </c>
      <c r="AF111" s="183" t="str">
        <f>IFERROR(__xludf.DUMMYFUNCTION("QUERY('Volunteer Survey'!G110)"),"NA")</f>
        <v>NA</v>
      </c>
      <c r="AG111" s="183" t="str">
        <f>IFERROR(__xludf.DUMMYFUNCTION("QUERY('Volunteer Survey'!H110)"),"Comprehensive")</f>
        <v>Comprehensive</v>
      </c>
      <c r="AH111" s="183" t="str">
        <f>IFERROR(__xludf.DUMMYFUNCTION("QUERY('Volunteer Survey'!I110)"),"Somatic Cancer")</f>
        <v>Somatic Cancer</v>
      </c>
      <c r="AI111" s="183" t="str">
        <f>IFERROR(__xludf.DUMMYFUNCTION("QUERY('Volunteer Survey'!J110)"),"Variant Pathogenicity")</f>
        <v>Variant Pathogenicity</v>
      </c>
      <c r="AJ111" s="183" t="str">
        <f>IFERROR(__xludf.DUMMYFUNCTION("QUERY('Volunteer Survey'!K110)"),"Clinical Actionability")</f>
        <v>Clinical Actionability</v>
      </c>
      <c r="AK111" s="183" t="str">
        <f>IFERROR(__xludf.DUMMYFUNCTION("QUERY('Volunteer Survey'!L110)"),"Dosage Sensitivity")</f>
        <v>Dosage Sensitivity</v>
      </c>
      <c r="AL111" s="183" t="str">
        <f>IFERROR(__xludf.DUMMYFUNCTION("QUERY('Volunteer Survey'!M110)"),"Gene-Disease Validity")</f>
        <v>Gene-Disease Validity</v>
      </c>
      <c r="AM111" s="183" t="str">
        <f>IFERROR(__xludf.DUMMYFUNCTION("QUERY('Volunteer Survey'!N110)"),"Yes")</f>
        <v>Yes</v>
      </c>
      <c r="AN111" s="183" t="str">
        <f>IFERROR(__xludf.DUMMYFUNCTION("QUERY('Volunteer Survey'!O110)"),"Yes")</f>
        <v>Yes</v>
      </c>
      <c r="AO111" s="183" t="str">
        <f>IFERROR(__xludf.DUMMYFUNCTION("QUERY('Volunteer Survey'!P110)"),"NA")</f>
        <v>NA</v>
      </c>
    </row>
    <row r="112">
      <c r="A112" s="50">
        <f>IFERROR(__xludf.DUMMYFUNCTION("QUERY('Volunteer Survey'!A119)"),43494.45647408565)</f>
        <v>43494.45647</v>
      </c>
      <c r="B112" s="48" t="s">
        <v>168</v>
      </c>
      <c r="C112" s="53"/>
      <c r="D112" s="55"/>
      <c r="E112" s="48" t="s">
        <v>130</v>
      </c>
      <c r="F112" s="48" t="s">
        <v>130</v>
      </c>
      <c r="G112" s="48" t="s">
        <v>19</v>
      </c>
      <c r="H112" s="69"/>
      <c r="I112" s="69" t="s">
        <v>139</v>
      </c>
      <c r="J112" s="55"/>
      <c r="K112" s="55"/>
      <c r="L112" s="55" t="str">
        <f>IFERROR(__xludf.DUMMYFUNCTION("QUERY('Volunteer Survey'!B119)"),"Samata Singhi")</f>
        <v>Samata Singhi</v>
      </c>
      <c r="M112" s="55" t="str">
        <f>IFERROR(__xludf.DUMMYFUNCTION("QUERY('Volunteer Survey'!E119)"),"samata.singhi@gmail.com")</f>
        <v>samata.singhi@gmail.com</v>
      </c>
      <c r="N112" s="55" t="str">
        <f>IFERROR(__xludf.DUMMYFUNCTION("QUERY('Volunteer Survey'!F119)"),"Physician (Non-geneticist)")</f>
        <v>Physician (Non-geneticist)</v>
      </c>
      <c r="O112" s="48" t="str">
        <f>IFERROR(__xludf.DUMMYFUNCTION("QUERY('Volunteer Survey'!H119)"),"Comprehensive")</f>
        <v>Comprehensive</v>
      </c>
      <c r="P112" s="55" t="str">
        <f>IFERROR(__xludf.DUMMYFUNCTION("QUERY('Volunteer Survey'!I119)"),"Clinical Actionability")</f>
        <v>Clinical Actionability</v>
      </c>
      <c r="Q112" s="60" t="str">
        <f>IFERROR(__xludf.DUMMYFUNCTION("QUERY('Volunteer Survey'!J119)"),"Gene-Disease Validity")</f>
        <v>Gene-Disease Validity</v>
      </c>
      <c r="R112" s="55" t="str">
        <f>IFERROR(__xludf.DUMMYFUNCTION("QUERY('Volunteer Survey'!K119)"),"")</f>
        <v/>
      </c>
      <c r="S112" s="55" t="str">
        <f>IFERROR(__xludf.DUMMYFUNCTION("QUERY('Volunteer Survey'!L119)"),"")</f>
        <v/>
      </c>
      <c r="T112" s="55" t="str">
        <f>IFERROR(__xludf.DUMMYFUNCTION("QUERY('Volunteer Survey'!M119)"),"")</f>
        <v/>
      </c>
      <c r="U112" s="64" t="str">
        <f>IFERROR(__xludf.DUMMYFUNCTION("QUERY('Volunteer Survey'!N119)"),"")</f>
        <v/>
      </c>
      <c r="V112" s="55" t="str">
        <f>IFERROR(__xludf.DUMMYFUNCTION("QUERY('Volunteer Survey'!O119)"),"Possibly")</f>
        <v>Possibly</v>
      </c>
      <c r="W112" s="66" t="str">
        <f>IFERROR(__xludf.DUMMYFUNCTION("QUERY('Volunteer Survey'!P119)"),"Epilepsy")</f>
        <v>Epilepsy</v>
      </c>
      <c r="X112" s="64" t="str">
        <f>IFERROR(__xludf.DUMMYFUNCTION("QUERY('Volunteer Survey'!R119)"),"Maybe -- please contact me with other options, and I will decide based on what is available")</f>
        <v>Maybe -- please contact me with other options, and I will decide based on what is available</v>
      </c>
      <c r="Y112" s="53"/>
      <c r="Z112" s="182">
        <f>IFERROR(__xludf.DUMMYFUNCTION("QUERY('Volunteer Survey'!A111)"),43437.40190972222)</f>
        <v>43437.40191</v>
      </c>
      <c r="AA112" s="183" t="str">
        <f>IFERROR(__xludf.DUMMYFUNCTION("QUERY('Volunteer Survey'!B111)"),"Morgan Similuk")</f>
        <v>Morgan Similuk</v>
      </c>
      <c r="AB112" s="183" t="str">
        <f>IFERROR(__xludf.DUMMYFUNCTION("QUERY('Volunteer Survey'!C111)"),"NIAID/NIH")</f>
        <v>NIAID/NIH</v>
      </c>
      <c r="AC112" s="183" t="str">
        <f>IFERROR(__xludf.DUMMYFUNCTION("QUERY('Volunteer Survey'!D111)"),"Bethesda, MD")</f>
        <v>Bethesda, MD</v>
      </c>
      <c r="AD112" s="183" t="str">
        <f>IFERROR(__xludf.DUMMYFUNCTION("QUERY('Volunteer Survey'!E111)"),"Morgan.similuk@nih.gov")</f>
        <v>Morgan.similuk@nih.gov</v>
      </c>
      <c r="AE112" s="183" t="str">
        <f>IFERROR(__xludf.DUMMYFUNCTION("QUERY('Volunteer Survey'!F111)"),"Genetic counselor")</f>
        <v>Genetic counselor</v>
      </c>
      <c r="AF112" s="183" t="str">
        <f>IFERROR(__xludf.DUMMYFUNCTION("QUERY('Volunteer Survey'!G111)"),"NA")</f>
        <v>NA</v>
      </c>
      <c r="AG112" s="183" t="str">
        <f>IFERROR(__xludf.DUMMYFUNCTION("QUERY('Volunteer Survey'!H111)"),"Comprehensive")</f>
        <v>Comprehensive</v>
      </c>
      <c r="AH112" s="183" t="str">
        <f>IFERROR(__xludf.DUMMYFUNCTION("QUERY('Volunteer Survey'!I111)"),"Clinical Actionability")</f>
        <v>Clinical Actionability</v>
      </c>
      <c r="AI112" s="183" t="str">
        <f>IFERROR(__xludf.DUMMYFUNCTION("QUERY('Volunteer Survey'!J111)"),"Gene-Disease Validity")</f>
        <v>Gene-Disease Validity</v>
      </c>
      <c r="AJ112" s="183" t="str">
        <f>IFERROR(__xludf.DUMMYFUNCTION("QUERY('Volunteer Survey'!K111)"),"Variant Pathogenicity")</f>
        <v>Variant Pathogenicity</v>
      </c>
      <c r="AK112" s="183" t="str">
        <f>IFERROR(__xludf.DUMMYFUNCTION("QUERY('Volunteer Survey'!L111)"),"Dosage Sensitivity")</f>
        <v>Dosage Sensitivity</v>
      </c>
      <c r="AL112" s="183" t="str">
        <f>IFERROR(__xludf.DUMMYFUNCTION("QUERY('Volunteer Survey'!M111)"),"Somatic Cancer")</f>
        <v>Somatic Cancer</v>
      </c>
      <c r="AM112" s="183" t="str">
        <f>IFERROR(__xludf.DUMMYFUNCTION("QUERY('Volunteer Survey'!N111)"),"Yes")</f>
        <v>Yes</v>
      </c>
      <c r="AN112" s="183" t="str">
        <f>IFERROR(__xludf.DUMMYFUNCTION("QUERY('Volunteer Survey'!O111)"),"No")</f>
        <v>No</v>
      </c>
      <c r="AO112" s="183" t="str">
        <f>IFERROR(__xludf.DUMMYFUNCTION("QUERY('Volunteer Survey'!P111)"),"NA")</f>
        <v>NA</v>
      </c>
    </row>
    <row r="113">
      <c r="A113" s="50">
        <f>IFERROR(__xludf.DUMMYFUNCTION("QUERY('Volunteer Survey'!A120)"),43496.573591817134)</f>
        <v>43496.57359</v>
      </c>
      <c r="B113" s="48" t="s">
        <v>108</v>
      </c>
      <c r="C113" s="53"/>
      <c r="D113" s="65">
        <v>43692.0</v>
      </c>
      <c r="E113" s="48" t="s">
        <v>117</v>
      </c>
      <c r="F113" s="48" t="s">
        <v>130</v>
      </c>
      <c r="G113" s="48" t="s">
        <v>122</v>
      </c>
      <c r="H113" s="53"/>
      <c r="I113" s="51" t="s">
        <v>139</v>
      </c>
      <c r="J113" s="55"/>
      <c r="K113" s="55"/>
      <c r="L113" s="55" t="str">
        <f>IFERROR(__xludf.DUMMYFUNCTION("QUERY('Volunteer Survey'!B120)"),"Szabolcs Szelinger")</f>
        <v>Szabolcs Szelinger</v>
      </c>
      <c r="M113" s="55" t="str">
        <f>IFERROR(__xludf.DUMMYFUNCTION("QUERY('Volunteer Survey'!E120)"),"sszelinger@tgen.org")</f>
        <v>sszelinger@tgen.org</v>
      </c>
      <c r="N113" s="55" t="str">
        <f>IFERROR(__xludf.DUMMYFUNCTION("QUERY('Volunteer Survey'!F120)"),"Clinical laboratory geneticist")</f>
        <v>Clinical laboratory geneticist</v>
      </c>
      <c r="O113" s="48" t="str">
        <f>IFERROR(__xludf.DUMMYFUNCTION("QUERY('Volunteer Survey'!H120)"),"Comprehensive")</f>
        <v>Comprehensive</v>
      </c>
      <c r="P113" s="55" t="str">
        <f>IFERROR(__xludf.DUMMYFUNCTION("QUERY('Volunteer Survey'!I120)"),"Gene-Disease Validity")</f>
        <v>Gene-Disease Validity</v>
      </c>
      <c r="Q113" s="60" t="str">
        <f>IFERROR(__xludf.DUMMYFUNCTION("QUERY('Volunteer Survey'!J120)"),"Variant Pathogenicity")</f>
        <v>Variant Pathogenicity</v>
      </c>
      <c r="R113" s="55" t="str">
        <f>IFERROR(__xludf.DUMMYFUNCTION("QUERY('Volunteer Survey'!K120)"),"Somatic Cancer")</f>
        <v>Somatic Cancer</v>
      </c>
      <c r="S113" s="55" t="str">
        <f>IFERROR(__xludf.DUMMYFUNCTION("QUERY('Volunteer Survey'!L120)"),"Clinical Actionability")</f>
        <v>Clinical Actionability</v>
      </c>
      <c r="T113" s="55" t="str">
        <f>IFERROR(__xludf.DUMMYFUNCTION("QUERY('Volunteer Survey'!M120)"),"")</f>
        <v/>
      </c>
      <c r="U113" s="64" t="str">
        <f>IFERROR(__xludf.DUMMYFUNCTION("QUERY('Volunteer Survey'!N120)"),"As an ACMG fellow at UCLA, and at the CLIA lab I work, we routinely assess variants for pathogenicity and disease-gene validity. In addition, I have experience in curating somatic mutations for actionability. In the research laboratory we sequenced and in"&amp;"terpreted hundreds of trio exomes in rare pediatric disease. ")</f>
        <v>As an ACMG fellow at UCLA, and at the CLIA lab I work, we routinely assess variants for pathogenicity and disease-gene validity. In addition, I have experience in curating somatic mutations for actionability. In the research laboratory we sequenced and interpreted hundreds of trio exomes in rare pediatric disease. </v>
      </c>
      <c r="V113" s="55" t="str">
        <f>IFERROR(__xludf.DUMMYFUNCTION("QUERY('Volunteer Survey'!O120)"),"Possibly")</f>
        <v>Possibly</v>
      </c>
      <c r="W113" s="66" t="str">
        <f>IFERROR(__xludf.DUMMYFUNCTION("QUERY('Volunteer Survey'!P120)"),"There are many interesting groups such as the mitochondrial disease, inherited cardiomyopathy, Epilepsy and Somatic TP53 group.")</f>
        <v>There are many interesting groups such as the mitochondrial disease, inherited cardiomyopathy, Epilepsy and Somatic TP53 group.</v>
      </c>
      <c r="X113" s="64" t="str">
        <f>IFERROR(__xludf.DUMMYFUNCTION("QUERY('Volunteer Survey'!R120)"),"Yes- I am willing to volunteer with any available ClinGen group")</f>
        <v>Yes- I am willing to volunteer with any available ClinGen group</v>
      </c>
      <c r="Y113" s="53"/>
      <c r="Z113" s="182">
        <f>IFERROR(__xludf.DUMMYFUNCTION("QUERY('Volunteer Survey'!A112)"),43439.40657407408)</f>
        <v>43439.40657</v>
      </c>
      <c r="AA113" s="183" t="str">
        <f>IFERROR(__xludf.DUMMYFUNCTION("QUERY('Volunteer Survey'!B112)"),"Sandra P Smieszek")</f>
        <v>Sandra P Smieszek</v>
      </c>
      <c r="AB113" s="183" t="str">
        <f>IFERROR(__xludf.DUMMYFUNCTION("QUERY('Volunteer Survey'!C112)"),"NA")</f>
        <v>NA</v>
      </c>
      <c r="AC113" s="183" t="str">
        <f>IFERROR(__xludf.DUMMYFUNCTION("QUERY('Volunteer Survey'!D112)"),"DC")</f>
        <v>DC</v>
      </c>
      <c r="AD113" s="183" t="str">
        <f>IFERROR(__xludf.DUMMYFUNCTION("QUERY('Volunteer Survey'!E112)"),"sps92@case.edu")</f>
        <v>sps92@case.edu</v>
      </c>
      <c r="AE113" s="183" t="str">
        <f>IFERROR(__xludf.DUMMYFUNCTION("QUERY('Volunteer Survey'!F112)"),"Post Doc/Resident/Fellow (MD and/or PhD)")</f>
        <v>Post Doc/Resident/Fellow (MD and/or PhD)</v>
      </c>
      <c r="AF113" s="183" t="str">
        <f>IFERROR(__xludf.DUMMYFUNCTION("QUERY('Volunteer Survey'!G112)"),"NA")</f>
        <v>NA</v>
      </c>
      <c r="AG113" s="183" t="str">
        <f>IFERROR(__xludf.DUMMYFUNCTION("QUERY('Volunteer Survey'!H112)"),"Comprehensive")</f>
        <v>Comprehensive</v>
      </c>
      <c r="AH113" s="183" t="str">
        <f>IFERROR(__xludf.DUMMYFUNCTION("QUERY('Volunteer Survey'!I112)"),"Clinical Actionability")</f>
        <v>Clinical Actionability</v>
      </c>
      <c r="AI113" s="183" t="str">
        <f>IFERROR(__xludf.DUMMYFUNCTION("QUERY('Volunteer Survey'!J112)"),"Gene-Disease Validity")</f>
        <v>Gene-Disease Validity</v>
      </c>
      <c r="AJ113" s="183" t="str">
        <f>IFERROR(__xludf.DUMMYFUNCTION("QUERY('Volunteer Survey'!K112)"),"Variant Pathogenicity")</f>
        <v>Variant Pathogenicity</v>
      </c>
      <c r="AK113" s="183" t="str">
        <f>IFERROR(__xludf.DUMMYFUNCTION("QUERY('Volunteer Survey'!L112)"),"Dosage Sensitivity")</f>
        <v>Dosage Sensitivity</v>
      </c>
      <c r="AL113" s="183" t="str">
        <f>IFERROR(__xludf.DUMMYFUNCTION("QUERY('Volunteer Survey'!M112)"),"Somatic Cancer")</f>
        <v>Somatic Cancer</v>
      </c>
      <c r="AM113" s="183" t="str">
        <f>IFERROR(__xludf.DUMMYFUNCTION("QUERY('Volunteer Survey'!N112)"),"Yes")</f>
        <v>Yes</v>
      </c>
      <c r="AN113" s="183" t="str">
        <f>IFERROR(__xludf.DUMMYFUNCTION("QUERY('Volunteer Survey'!O112)"),"No")</f>
        <v>No</v>
      </c>
      <c r="AO113" s="183" t="str">
        <f>IFERROR(__xludf.DUMMYFUNCTION("QUERY('Volunteer Survey'!P112)"),"Autism")</f>
        <v>Autism</v>
      </c>
    </row>
    <row r="114">
      <c r="A114" s="50">
        <f>IFERROR(__xludf.DUMMYFUNCTION("QUERY('Volunteer Survey'!A121)"),43431.472766203704)</f>
        <v>43431.47277</v>
      </c>
      <c r="B114" s="48" t="s">
        <v>168</v>
      </c>
      <c r="C114" s="79">
        <v>43452.0</v>
      </c>
      <c r="D114" s="55"/>
      <c r="E114" s="48" t="s">
        <v>130</v>
      </c>
      <c r="F114" s="48" t="s">
        <v>130</v>
      </c>
      <c r="G114" s="48" t="s">
        <v>136</v>
      </c>
      <c r="H114" s="53"/>
      <c r="I114" s="51" t="s">
        <v>139</v>
      </c>
      <c r="J114" s="55"/>
      <c r="K114" s="55"/>
      <c r="L114" s="55" t="str">
        <f>IFERROR(__xludf.DUMMYFUNCTION("QUERY('Volunteer Survey'!B121)"),"Jianhong Zhou")</f>
        <v>Jianhong Zhou</v>
      </c>
      <c r="M114" s="55" t="str">
        <f>IFERROR(__xludf.DUMMYFUNCTION("QUERY('Volunteer Survey'!E121)"),"jhzhou2008@hotmail.com")</f>
        <v>jhzhou2008@hotmail.com</v>
      </c>
      <c r="N114" s="55" t="str">
        <f>IFERROR(__xludf.DUMMYFUNCTION("QUERY('Volunteer Survey'!F121)"),"Post Doc/Resident/Fellow (MD and/or Phd), Scientific Researcher, Focus on bioinformatics and computational biology")</f>
        <v>Post Doc/Resident/Fellow (MD and/or Phd), Scientific Researcher, Focus on bioinformatics and computational biology</v>
      </c>
      <c r="O114" s="48" t="str">
        <f>IFERROR(__xludf.DUMMYFUNCTION("QUERY('Volunteer Survey'!H121)"),"Comprehensive")</f>
        <v>Comprehensive</v>
      </c>
      <c r="P114" s="55" t="str">
        <f>IFERROR(__xludf.DUMMYFUNCTION("QUERY('Volunteer Survey'!I121)"),"Somatic Cancer")</f>
        <v>Somatic Cancer</v>
      </c>
      <c r="Q114" s="60" t="str">
        <f>IFERROR(__xludf.DUMMYFUNCTION("QUERY('Volunteer Survey'!J121)"),"Gene-Disease Validity")</f>
        <v>Gene-Disease Validity</v>
      </c>
      <c r="R114" s="55" t="str">
        <f>IFERROR(__xludf.DUMMYFUNCTION("QUERY('Volunteer Survey'!K121)"),"Variant Pathogenicity")</f>
        <v>Variant Pathogenicity</v>
      </c>
      <c r="S114" s="55" t="str">
        <f>IFERROR(__xludf.DUMMYFUNCTION("QUERY('Volunteer Survey'!L121)"),"Clinical Actionability")</f>
        <v>Clinical Actionability</v>
      </c>
      <c r="T114" s="55" t="str">
        <f>IFERROR(__xludf.DUMMYFUNCTION("QUERY('Volunteer Survey'!M121)"),"Dosage Sensitivity")</f>
        <v>Dosage Sensitivity</v>
      </c>
      <c r="U114" s="64" t="str">
        <f>IFERROR(__xludf.DUMMYFUNCTION("QUERY('Volunteer Survey'!N121)"),"No")</f>
        <v>No</v>
      </c>
      <c r="V114" s="55" t="str">
        <f>IFERROR(__xludf.DUMMYFUNCTION("QUERY('Volunteer Survey'!O121)"),"Yes")</f>
        <v>Yes</v>
      </c>
      <c r="W114" s="66" t="str">
        <f>IFERROR(__xludf.DUMMYFUNCTION("QUERY('Volunteer Survey'!P121)"),"Somatic Cancer WG")</f>
        <v>Somatic Cancer WG</v>
      </c>
      <c r="X114" s="64" t="str">
        <f>IFERROR(__xludf.DUMMYFUNCTION("QUERY('Volunteer Survey'!R121)"),"Yes- I am willing to volunteer with any available ClinGen group")</f>
        <v>Yes- I am willing to volunteer with any available ClinGen group</v>
      </c>
      <c r="Y114" s="53"/>
      <c r="Z114" s="182">
        <f>IFERROR(__xludf.DUMMYFUNCTION("QUERY('Volunteer Survey'!A113)"),43488.21571815973)</f>
        <v>43488.21572</v>
      </c>
      <c r="AA114" s="183" t="str">
        <f>IFERROR(__xludf.DUMMYFUNCTION("QUERY('Volunteer Survey'!B113)"),"Can Ding")</f>
        <v>Can Ding</v>
      </c>
      <c r="AB114" s="183" t="str">
        <f>IFERROR(__xludf.DUMMYFUNCTION("QUERY('Volunteer Survey'!C113)"),"Institut für Humangenetik")</f>
        <v>Institut für Humangenetik</v>
      </c>
      <c r="AC114" s="183" t="str">
        <f>IFERROR(__xludf.DUMMYFUNCTION("QUERY('Volunteer Survey'!D113)"),"Langenbeckstr. 1, 55131 Mainz, Germany")</f>
        <v>Langenbeckstr. 1, 55131 Mainz, Germany</v>
      </c>
      <c r="AD114" s="183" t="str">
        <f>IFERROR(__xludf.DUMMYFUNCTION("QUERY('Volunteer Survey'!E113)"),"can.ding@unimedizin-mainz.de")</f>
        <v>can.ding@unimedizin-mainz.de</v>
      </c>
      <c r="AE114" s="183" t="str">
        <f>IFERROR(__xludf.DUMMYFUNCTION("QUERY('Volunteer Survey'!F113)"),"Clinical Medical Geneticist")</f>
        <v>Clinical Medical Geneticist</v>
      </c>
      <c r="AF114" s="183" t="str">
        <f>IFERROR(__xludf.DUMMYFUNCTION("QUERY('Volunteer Survey'!G113)"),"I am a medical clinical genetist in training. Previously I was a neurologist in training and during my PhD I conducted reaserch in muscular disorders. Thus, neurogenetist is my special interest. ")</f>
        <v>I am a medical clinical genetist in training. Previously I was a neurologist in training and during my PhD I conducted reaserch in muscular disorders. Thus, neurogenetist is my special interest. </v>
      </c>
      <c r="AG114" s="183" t="str">
        <f>IFERROR(__xludf.DUMMYFUNCTION("QUERY('Volunteer Survey'!H113)"),"Baseline")</f>
        <v>Baseline</v>
      </c>
      <c r="AH114" s="183" t="str">
        <f>IFERROR(__xludf.DUMMYFUNCTION("QUERY('Volunteer Survey'!I113)"),"Gene-Disease Validity")</f>
        <v>Gene-Disease Validity</v>
      </c>
      <c r="AI114" s="183" t="str">
        <f>IFERROR(__xludf.DUMMYFUNCTION("QUERY('Volunteer Survey'!J113)"),"Variant Pathogenicity")</f>
        <v>Variant Pathogenicity</v>
      </c>
      <c r="AJ114" s="183" t="str">
        <f>IFERROR(__xludf.DUMMYFUNCTION("QUERY('Volunteer Survey'!K113)"),"Clinical Actionability")</f>
        <v>Clinical Actionability</v>
      </c>
      <c r="AK114" s="183" t="str">
        <f>IFERROR(__xludf.DUMMYFUNCTION("QUERY('Volunteer Survey'!L113)"),"Dosage Sensitivity")</f>
        <v>Dosage Sensitivity</v>
      </c>
      <c r="AL114" s="183" t="str">
        <f>IFERROR(__xludf.DUMMYFUNCTION("QUERY('Volunteer Survey'!M113)"),"Somatic Cancer")</f>
        <v>Somatic Cancer</v>
      </c>
      <c r="AM114" s="183" t="str">
        <f>IFERROR(__xludf.DUMMYFUNCTION("QUERY('Volunteer Survey'!N113)"),"I have over two years experiences in variant classification.")</f>
        <v>I have over two years experiences in variant classification.</v>
      </c>
      <c r="AN114" s="183" t="str">
        <f>IFERROR(__xludf.DUMMYFUNCTION("QUERY('Volunteer Survey'!O113)"),"Yes")</f>
        <v>Yes</v>
      </c>
      <c r="AO114" s="183" t="str">
        <f>IFERROR(__xludf.DUMMYFUNCTION("QUERY('Volunteer Survey'!P113)"),"I would be interested in a muscular disorder group.")</f>
        <v>I would be interested in a muscular disorder group.</v>
      </c>
    </row>
    <row r="115">
      <c r="A115" s="50">
        <f>IFERROR(__xludf.DUMMYFUNCTION("QUERY('Volunteer Survey'!A122)"),43498.50725701389)</f>
        <v>43498.50726</v>
      </c>
      <c r="B115" s="48" t="s">
        <v>168</v>
      </c>
      <c r="C115" s="53"/>
      <c r="D115" s="73">
        <v>43567.0</v>
      </c>
      <c r="E115" s="48" t="s">
        <v>117</v>
      </c>
      <c r="F115" s="48" t="s">
        <v>117</v>
      </c>
      <c r="G115" s="48" t="s">
        <v>19</v>
      </c>
      <c r="H115" s="69" t="s">
        <v>19</v>
      </c>
      <c r="I115" s="69" t="s">
        <v>139</v>
      </c>
      <c r="J115" s="56">
        <v>43712.0</v>
      </c>
      <c r="K115" s="56"/>
      <c r="L115" s="55" t="str">
        <f>IFERROR(__xludf.DUMMYFUNCTION("QUERY('Volunteer Survey'!B122)"),"Ramesh Vaidyanathan")</f>
        <v>Ramesh Vaidyanathan</v>
      </c>
      <c r="M115" s="55" t="str">
        <f>IFERROR(__xludf.DUMMYFUNCTION("QUERY('Volunteer Survey'!E122)"),"vaid@rocketmail.com")</f>
        <v>vaid@rocketmail.com</v>
      </c>
      <c r="N115" s="55" t="str">
        <f>IFERROR(__xludf.DUMMYFUNCTION("QUERY('Volunteer Survey'!F122)"),"Biotech Professional with Biochemistry and Genomics background and a Citizen Scientist")</f>
        <v>Biotech Professional with Biochemistry and Genomics background and a Citizen Scientist</v>
      </c>
      <c r="O115" s="48" t="str">
        <f>IFERROR(__xludf.DUMMYFUNCTION("QUERY('Volunteer Survey'!H122)"),"Comprehensive")</f>
        <v>Comprehensive</v>
      </c>
      <c r="P115" s="55" t="str">
        <f>IFERROR(__xludf.DUMMYFUNCTION("QUERY('Volunteer Survey'!I122)"),"Clinical Actionability")</f>
        <v>Clinical Actionability</v>
      </c>
      <c r="Q115" s="60" t="str">
        <f>IFERROR(__xludf.DUMMYFUNCTION("QUERY('Volunteer Survey'!J122)"),"Dosage Sensitivity")</f>
        <v>Dosage Sensitivity</v>
      </c>
      <c r="R115" s="55" t="str">
        <f>IFERROR(__xludf.DUMMYFUNCTION("QUERY('Volunteer Survey'!K122)"),"Somatic Cancer")</f>
        <v>Somatic Cancer</v>
      </c>
      <c r="S115" s="55" t="str">
        <f>IFERROR(__xludf.DUMMYFUNCTION("QUERY('Volunteer Survey'!L122)"),"Gene-Disease Validity")</f>
        <v>Gene-Disease Validity</v>
      </c>
      <c r="T115" s="55" t="str">
        <f>IFERROR(__xludf.DUMMYFUNCTION("QUERY('Volunteer Survey'!M122)"),"Variant Pathogenicity")</f>
        <v>Variant Pathogenicity</v>
      </c>
      <c r="U115" s="64" t="str">
        <f>IFERROR(__xludf.DUMMYFUNCTION("QUERY('Volunteer Survey'!N122)"),"No ")</f>
        <v>No </v>
      </c>
      <c r="V115" s="55" t="str">
        <f>IFERROR(__xludf.DUMMYFUNCTION("QUERY('Volunteer Survey'!O122)"),"Yes")</f>
        <v>Yes</v>
      </c>
      <c r="W115" s="66" t="str">
        <f>IFERROR(__xludf.DUMMYFUNCTION("QUERY('Volunteer Survey'!P122)"),"")</f>
        <v/>
      </c>
      <c r="X115" s="64" t="str">
        <f>IFERROR(__xludf.DUMMYFUNCTION("QUERY('Volunteer Survey'!R122)"),"Yes- I am willing to volunteer with any available ClinGen group")</f>
        <v>Yes- I am willing to volunteer with any available ClinGen group</v>
      </c>
      <c r="Y115" s="53"/>
      <c r="Z115" s="182">
        <f>IFERROR(__xludf.DUMMYFUNCTION("QUERY('Volunteer Survey'!A114)"),43489.18665266204)</f>
        <v>43489.18665</v>
      </c>
      <c r="AA115" s="183" t="str">
        <f>IFERROR(__xludf.DUMMYFUNCTION("QUERY('Volunteer Survey'!B114)"),"Milda Auglyte")</f>
        <v>Milda Auglyte</v>
      </c>
      <c r="AB115" s="183" t="str">
        <f>IFERROR(__xludf.DUMMYFUNCTION("QUERY('Volunteer Survey'!C114)"),"Hospital Universitario Puerta de Hierro Majadahonda")</f>
        <v>Hospital Universitario Puerta de Hierro Majadahonda</v>
      </c>
      <c r="AC115" s="183" t="str">
        <f>IFERROR(__xludf.DUMMYFUNCTION("QUERY('Volunteer Survey'!D114)"),"Spain")</f>
        <v>Spain</v>
      </c>
      <c r="AD115" s="183" t="str">
        <f>IFERROR(__xludf.DUMMYFUNCTION("QUERY('Volunteer Survey'!E114)"),"mildaaug@gmail.com")</f>
        <v>mildaaug@gmail.com</v>
      </c>
      <c r="AE115" s="183" t="str">
        <f>IFERROR(__xludf.DUMMYFUNCTION("QUERY('Volunteer Survey'!F114)"),"Graduate Student")</f>
        <v>Graduate Student</v>
      </c>
      <c r="AF115" s="183" t="str">
        <f>IFERROR(__xludf.DUMMYFUNCTION("QUERY('Volunteer Survey'!G114)"),"I found Clinical Genome website by an accident by searching genetic variants for my work. This curation community intrigue me by variety of different working groups and at the same time by theirs topics.")</f>
        <v>I found Clinical Genome website by an accident by searching genetic variants for my work. This curation community intrigue me by variety of different working groups and at the same time by theirs topics.</v>
      </c>
      <c r="AG115" s="183" t="str">
        <f>IFERROR(__xludf.DUMMYFUNCTION("QUERY('Volunteer Survey'!H114)"),"Comprehensive")</f>
        <v>Comprehensive</v>
      </c>
      <c r="AH115" s="183" t="str">
        <f>IFERROR(__xludf.DUMMYFUNCTION("QUERY('Volunteer Survey'!I114)"),"Somatic Cancer")</f>
        <v>Somatic Cancer</v>
      </c>
      <c r="AI115" s="183" t="str">
        <f>IFERROR(__xludf.DUMMYFUNCTION("QUERY('Volunteer Survey'!J114)"),"Clinical Actionability")</f>
        <v>Clinical Actionability</v>
      </c>
      <c r="AJ115" s="183" t="str">
        <f>IFERROR(__xludf.DUMMYFUNCTION("QUERY('Volunteer Survey'!K114)"),"Variant Pathogenicity")</f>
        <v>Variant Pathogenicity</v>
      </c>
      <c r="AK115" s="183" t="str">
        <f>IFERROR(__xludf.DUMMYFUNCTION("QUERY('Volunteer Survey'!L114)"),"")</f>
        <v/>
      </c>
      <c r="AL115" s="183" t="str">
        <f>IFERROR(__xludf.DUMMYFUNCTION("QUERY('Volunteer Survey'!M114)"),"")</f>
        <v/>
      </c>
      <c r="AM115" s="183" t="str">
        <f>IFERROR(__xludf.DUMMYFUNCTION("QUERY('Volunteer Survey'!N114)"),"During my master's I performed NSCLC solid and liquid biopsies testing by target NGS. Nowadays, I'm still continuing this path, but additionally I am working with hereditary breast and ovarian cancer clinical testing.")</f>
        <v>During my master's I performed NSCLC solid and liquid biopsies testing by target NGS. Nowadays, I'm still continuing this path, but additionally I am working with hereditary breast and ovarian cancer clinical testing.</v>
      </c>
      <c r="AN115" s="183" t="str">
        <f>IFERROR(__xludf.DUMMYFUNCTION("QUERY('Volunteer Survey'!O114)"),"Possibly")</f>
        <v>Possibly</v>
      </c>
      <c r="AO115" s="183" t="str">
        <f>IFERROR(__xludf.DUMMYFUNCTION("QUERY('Volunteer Survey'!P114)"),"I would be interested in newly forming groups: Breast/Ovarian Cancer, Nonsmall cell lung cancer and Somatic TP53.")</f>
        <v>I would be interested in newly forming groups: Breast/Ovarian Cancer, Nonsmall cell lung cancer and Somatic TP53.</v>
      </c>
    </row>
    <row r="116">
      <c r="A116" s="50">
        <f>IFERROR(__xludf.DUMMYFUNCTION("QUERY('Volunteer Survey'!A123)"),43504.64437269676)</f>
        <v>43504.64437</v>
      </c>
      <c r="B116" s="48" t="s">
        <v>108</v>
      </c>
      <c r="C116" s="53"/>
      <c r="D116" s="49">
        <v>43598.0</v>
      </c>
      <c r="E116" s="48" t="s">
        <v>117</v>
      </c>
      <c r="F116" s="48" t="s">
        <v>130</v>
      </c>
      <c r="G116" s="48" t="s">
        <v>136</v>
      </c>
      <c r="H116" s="53"/>
      <c r="I116" s="51" t="s">
        <v>139</v>
      </c>
      <c r="J116" s="55"/>
      <c r="K116" s="55"/>
      <c r="L116" s="55" t="str">
        <f>IFERROR(__xludf.DUMMYFUNCTION("QUERY('Volunteer Survey'!B123)"),"Ranjit Shetty")</f>
        <v>Ranjit Shetty</v>
      </c>
      <c r="M116" s="55" t="str">
        <f>IFERROR(__xludf.DUMMYFUNCTION("QUERY('Volunteer Survey'!E123)"),"ranjit.shetty@novartis.com")</f>
        <v>ranjit.shetty@novartis.com</v>
      </c>
      <c r="N116" s="55" t="str">
        <f>IFERROR(__xludf.DUMMYFUNCTION("QUERY('Volunteer Survey'!F123)"),"Scientific Researcher")</f>
        <v>Scientific Researcher</v>
      </c>
      <c r="O116" s="48" t="str">
        <f>IFERROR(__xludf.DUMMYFUNCTION("QUERY('Volunteer Survey'!H123)"),"Comprehensive")</f>
        <v>Comprehensive</v>
      </c>
      <c r="P116" s="55" t="str">
        <f>IFERROR(__xludf.DUMMYFUNCTION("QUERY('Volunteer Survey'!I123)"),"Somatic Cancer")</f>
        <v>Somatic Cancer</v>
      </c>
      <c r="Q116" s="60" t="str">
        <f>IFERROR(__xludf.DUMMYFUNCTION("QUERY('Volunteer Survey'!J123)"),"Variant Pathogenicity")</f>
        <v>Variant Pathogenicity</v>
      </c>
      <c r="R116" s="55" t="str">
        <f>IFERROR(__xludf.DUMMYFUNCTION("QUERY('Volunteer Survey'!K123)"),"Gene-Disease Validity")</f>
        <v>Gene-Disease Validity</v>
      </c>
      <c r="S116" s="55" t="str">
        <f>IFERROR(__xludf.DUMMYFUNCTION("QUERY('Volunteer Survey'!L123)"),"Clinical Actionability")</f>
        <v>Clinical Actionability</v>
      </c>
      <c r="T116" s="55" t="str">
        <f>IFERROR(__xludf.DUMMYFUNCTION("QUERY('Volunteer Survey'!M123)"),"Dosage Sensitivity")</f>
        <v>Dosage Sensitivity</v>
      </c>
      <c r="U116" s="64" t="str">
        <f>IFERROR(__xludf.DUMMYFUNCTION("QUERY('Volunteer Survey'!N123)"),"Evaluating TP53 and NF2 variants from NGS data")</f>
        <v>Evaluating TP53 and NF2 variants from NGS data</v>
      </c>
      <c r="V116" s="55" t="str">
        <f>IFERROR(__xludf.DUMMYFUNCTION("QUERY('Volunteer Survey'!O123)"),"No")</f>
        <v>No</v>
      </c>
      <c r="W116" s="66" t="str">
        <f>IFERROR(__xludf.DUMMYFUNCTION("QUERY('Volunteer Survey'!P123)"),"")</f>
        <v/>
      </c>
      <c r="X116" s="64" t="str">
        <f>IFERROR(__xludf.DUMMYFUNCTION("QUERY('Volunteer Survey'!R123)"),"Maybe -- please contact me with other options, and I will decide based on what is available")</f>
        <v>Maybe -- please contact me with other options, and I will decide based on what is available</v>
      </c>
      <c r="Y116" s="51" t="s">
        <v>346</v>
      </c>
      <c r="Z116" s="182">
        <f>IFERROR(__xludf.DUMMYFUNCTION("QUERY('Volunteer Survey'!A115)"),43489.310416782406)</f>
        <v>43489.31042</v>
      </c>
      <c r="AA116" s="183" t="str">
        <f>IFERROR(__xludf.DUMMYFUNCTION("QUERY('Volunteer Survey'!B115)"),"Andres Ressia")</f>
        <v>Andres Ressia</v>
      </c>
      <c r="AB116" s="183" t="str">
        <f>IFERROR(__xludf.DUMMYFUNCTION("QUERY('Volunteer Survey'!C115)"),"TRIO Oncology")</f>
        <v>TRIO Oncology</v>
      </c>
      <c r="AC116" s="183" t="str">
        <f>IFERROR(__xludf.DUMMYFUNCTION("QUERY('Volunteer Survey'!D115)"),"Dr. Emilio Frugoni 906 apto 301")</f>
        <v>Dr. Emilio Frugoni 906 apto 301</v>
      </c>
      <c r="AD116" s="183" t="str">
        <f>IFERROR(__xludf.DUMMYFUNCTION("QUERY('Volunteer Survey'!E115)"),"andresressiacolino@gmail.com")</f>
        <v>andresressiacolino@gmail.com</v>
      </c>
      <c r="AE116" s="183" t="str">
        <f>IFERROR(__xludf.DUMMYFUNCTION("QUERY('Volunteer Survey'!F115)"),"Post-Bachelors")</f>
        <v>Post-Bachelors</v>
      </c>
      <c r="AF116" s="183" t="str">
        <f>IFERROR(__xludf.DUMMYFUNCTION("QUERY('Volunteer Survey'!G115)"),"I knew about ClinGen for my work in a national program on Familial Hypercholesterolaemia  in Uruguay. My interest comes from the interest in linking clinic and genetics.")</f>
        <v>I knew about ClinGen for my work in a national program on Familial Hypercholesterolaemia  in Uruguay. My interest comes from the interest in linking clinic and genetics.</v>
      </c>
      <c r="AG116" s="183" t="str">
        <f>IFERROR(__xludf.DUMMYFUNCTION("QUERY('Volunteer Survey'!H115)"),"Comprehensive")</f>
        <v>Comprehensive</v>
      </c>
      <c r="AH116" s="183" t="str">
        <f>IFERROR(__xludf.DUMMYFUNCTION("QUERY('Volunteer Survey'!I115)"),"Somatic Cancer")</f>
        <v>Somatic Cancer</v>
      </c>
      <c r="AI116" s="183" t="str">
        <f>IFERROR(__xludf.DUMMYFUNCTION("QUERY('Volunteer Survey'!J115)"),"Gene-Disease Validity")</f>
        <v>Gene-Disease Validity</v>
      </c>
      <c r="AJ116" s="183" t="str">
        <f>IFERROR(__xludf.DUMMYFUNCTION("QUERY('Volunteer Survey'!K115)"),"")</f>
        <v/>
      </c>
      <c r="AK116" s="183" t="str">
        <f>IFERROR(__xludf.DUMMYFUNCTION("QUERY('Volunteer Survey'!L115)"),"")</f>
        <v/>
      </c>
      <c r="AL116" s="183" t="str">
        <f>IFERROR(__xludf.DUMMYFUNCTION("QUERY('Volunteer Survey'!M115)"),"")</f>
        <v/>
      </c>
      <c r="AM116" s="183" t="str">
        <f>IFERROR(__xludf.DUMMYFUNCTION("QUERY('Volunteer Survey'!N115)"),"No")</f>
        <v>No</v>
      </c>
      <c r="AN116" s="183" t="str">
        <f>IFERROR(__xludf.DUMMYFUNCTION("QUERY('Volunteer Survey'!O115)"),"No")</f>
        <v>No</v>
      </c>
      <c r="AO116" s="183" t="str">
        <f>IFERROR(__xludf.DUMMYFUNCTION("QUERY('Volunteer Survey'!P115)"),"Breast/Ovarian Cancer (newly forming)")</f>
        <v>Breast/Ovarian Cancer (newly forming)</v>
      </c>
    </row>
    <row r="117">
      <c r="A117" s="50">
        <f>IFERROR(__xludf.DUMMYFUNCTION("QUERY('Volunteer Survey'!A124)"),43510.15695694444)</f>
        <v>43510.15696</v>
      </c>
      <c r="B117" s="48" t="s">
        <v>108</v>
      </c>
      <c r="C117" s="53"/>
      <c r="D117" s="65">
        <v>43696.0</v>
      </c>
      <c r="E117" s="48" t="s">
        <v>117</v>
      </c>
      <c r="F117" s="48" t="s">
        <v>130</v>
      </c>
      <c r="G117" s="48" t="s">
        <v>122</v>
      </c>
      <c r="H117" s="53"/>
      <c r="I117" s="51" t="s">
        <v>139</v>
      </c>
      <c r="J117" s="55"/>
      <c r="K117" s="55"/>
      <c r="L117" s="55" t="str">
        <f>IFERROR(__xludf.DUMMYFUNCTION("QUERY('Volunteer Survey'!B124)"),"Brooke H. Miller")</f>
        <v>Brooke H. Miller</v>
      </c>
      <c r="M117" s="55" t="str">
        <f>IFERROR(__xludf.DUMMYFUNCTION("QUERY('Volunteer Survey'!E124)"),"brooke.h.miller@gmail.com")</f>
        <v>brooke.h.miller@gmail.com</v>
      </c>
      <c r="N117" s="55" t="str">
        <f>IFERROR(__xludf.DUMMYFUNCTION("QUERY('Volunteer Survey'!F124)"),"Scientific Researcher")</f>
        <v>Scientific Researcher</v>
      </c>
      <c r="O117" s="48" t="str">
        <f>IFERROR(__xludf.DUMMYFUNCTION("QUERY('Volunteer Survey'!H124)"),"Comprehensive")</f>
        <v>Comprehensive</v>
      </c>
      <c r="P117" s="55" t="str">
        <f>IFERROR(__xludf.DUMMYFUNCTION("QUERY('Volunteer Survey'!I124)"),"Gene-Disease Validity")</f>
        <v>Gene-Disease Validity</v>
      </c>
      <c r="Q117" s="60" t="str">
        <f>IFERROR(__xludf.DUMMYFUNCTION("QUERY('Volunteer Survey'!J124)"),"Variant Pathogenicity")</f>
        <v>Variant Pathogenicity</v>
      </c>
      <c r="R117" s="55" t="str">
        <f>IFERROR(__xludf.DUMMYFUNCTION("QUERY('Volunteer Survey'!K124)"),"Clinical Actionability")</f>
        <v>Clinical Actionability</v>
      </c>
      <c r="S117" s="55" t="str">
        <f>IFERROR(__xludf.DUMMYFUNCTION("QUERY('Volunteer Survey'!L124)"),"")</f>
        <v/>
      </c>
      <c r="T117" s="55" t="str">
        <f>IFERROR(__xludf.DUMMYFUNCTION("QUERY('Volunteer Survey'!M124)"),"")</f>
        <v/>
      </c>
      <c r="U117" s="64" t="str">
        <f>IFERROR(__xludf.DUMMYFUNCTION("QUERY('Volunteer Survey'!N124)"),"Yes--used inbred strain haplotype mapping, gene expression analysis, and re-sequencing to identify SNPs associated with behavioral despair and antidepressant efficacy in mice. Research profile available: https://www.researchgate.net/profile/Brooke_Miller3")</f>
        <v>Yes--used inbred strain haplotype mapping, gene expression analysis, and re-sequencing to identify SNPs associated with behavioral despair and antidepressant efficacy in mice. Research profile available: https://www.researchgate.net/profile/Brooke_Miller3</v>
      </c>
      <c r="V117" s="55" t="str">
        <f>IFERROR(__xludf.DUMMYFUNCTION("QUERY('Volunteer Survey'!O124)"),"Possibly")</f>
        <v>Possibly</v>
      </c>
      <c r="W117" s="66" t="str">
        <f>IFERROR(__xludf.DUMMYFUNCTION("QUERY('Volunteer Survey'!P124)"),"Not at the moment, but wouldn't rule out future involvement")</f>
        <v>Not at the moment, but wouldn't rule out future involvement</v>
      </c>
      <c r="X117" s="64" t="str">
        <f>IFERROR(__xludf.DUMMYFUNCTION("QUERY('Volunteer Survey'!R124)"),"Yes- I am willing to volunteer with any available ClinGen group")</f>
        <v>Yes- I am willing to volunteer with any available ClinGen group</v>
      </c>
      <c r="Y117" s="53"/>
      <c r="Z117" s="182">
        <f>IFERROR(__xludf.DUMMYFUNCTION("QUERY('Volunteer Survey'!A116)"),43354.42292824074)</f>
        <v>43354.42293</v>
      </c>
      <c r="AA117" s="183" t="str">
        <f>IFERROR(__xludf.DUMMYFUNCTION("QUERY('Volunteer Survey'!B116)"),"Parisa Lotfi")</f>
        <v>Parisa Lotfi</v>
      </c>
      <c r="AB117" s="183" t="str">
        <f>IFERROR(__xludf.DUMMYFUNCTION("QUERY('Volunteer Survey'!C116)"),"NA")</f>
        <v>NA</v>
      </c>
      <c r="AC117" s="183" t="str">
        <f>IFERROR(__xludf.DUMMYFUNCTION("QUERY('Volunteer Survey'!D116)"),"TX")</f>
        <v>TX</v>
      </c>
      <c r="AD117" s="183" t="str">
        <f>IFERROR(__xludf.DUMMYFUNCTION("QUERY('Volunteer Survey'!E116)"),"Parisa_Lotfi@yahoo.com")</f>
        <v>Parisa_Lotfi@yahoo.com</v>
      </c>
      <c r="AE117" s="183" t="str">
        <f>IFERROR(__xludf.DUMMYFUNCTION("QUERY('Volunteer Survey'!F116)"),"Post Doc/Resident/Fellow (MD and/or Phd), Scientific Researcher")</f>
        <v>Post Doc/Resident/Fellow (MD and/or Phd), Scientific Researcher</v>
      </c>
      <c r="AF117" s="183" t="str">
        <f>IFERROR(__xludf.DUMMYFUNCTION("QUERY('Volunteer Survey'!G116)"),"NA")</f>
        <v>NA</v>
      </c>
      <c r="AG117" s="183" t="str">
        <f>IFERROR(__xludf.DUMMYFUNCTION("QUERY('Volunteer Survey'!H116)"),"Comprehensive")</f>
        <v>Comprehensive</v>
      </c>
      <c r="AH117" s="183" t="str">
        <f>IFERROR(__xludf.DUMMYFUNCTION("QUERY('Volunteer Survey'!I116)"),"Somatic Cancer")</f>
        <v>Somatic Cancer</v>
      </c>
      <c r="AI117" s="183" t="str">
        <f>IFERROR(__xludf.DUMMYFUNCTION("QUERY('Volunteer Survey'!J116)"),"Dosage Sensitivity")</f>
        <v>Dosage Sensitivity</v>
      </c>
      <c r="AJ117" s="183" t="str">
        <f>IFERROR(__xludf.DUMMYFUNCTION("QUERY('Volunteer Survey'!K116)"),"Variant Pathogenicity")</f>
        <v>Variant Pathogenicity</v>
      </c>
      <c r="AK117" s="183" t="str">
        <f>IFERROR(__xludf.DUMMYFUNCTION("QUERY('Volunteer Survey'!L116)"),"Gene-Disease Validity")</f>
        <v>Gene-Disease Validity</v>
      </c>
      <c r="AL117" s="183" t="str">
        <f>IFERROR(__xludf.DUMMYFUNCTION("QUERY('Volunteer Survey'!M116)"),"")</f>
        <v/>
      </c>
      <c r="AM117" s="183" t="str">
        <f>IFERROR(__xludf.DUMMYFUNCTION("QUERY('Volunteer Survey'!N116)"),"no")</f>
        <v>no</v>
      </c>
      <c r="AN117" s="183" t="str">
        <f>IFERROR(__xludf.DUMMYFUNCTION("QUERY('Volunteer Survey'!O116)"),"Possibly")</f>
        <v>Possibly</v>
      </c>
      <c r="AO117" s="183" t="str">
        <f>IFERROR(__xludf.DUMMYFUNCTION("QUERY('Volunteer Survey'!P116)"),"intellectual disability/autism group")</f>
        <v>intellectual disability/autism group</v>
      </c>
    </row>
    <row r="118">
      <c r="A118" s="50">
        <f>IFERROR(__xludf.DUMMYFUNCTION("QUERY('Volunteer Survey'!A125)"),43510.64592836806)</f>
        <v>43510.64593</v>
      </c>
      <c r="B118" s="48" t="s">
        <v>168</v>
      </c>
      <c r="C118" s="53"/>
      <c r="D118" s="55"/>
      <c r="E118" s="48" t="s">
        <v>130</v>
      </c>
      <c r="F118" s="48" t="s">
        <v>130</v>
      </c>
      <c r="G118" s="48" t="s">
        <v>163</v>
      </c>
      <c r="H118" s="53"/>
      <c r="I118" s="51" t="s">
        <v>139</v>
      </c>
      <c r="J118" s="55"/>
      <c r="K118" s="55"/>
      <c r="L118" s="55" t="str">
        <f>IFERROR(__xludf.DUMMYFUNCTION("QUERY('Volunteer Survey'!B125)"),"Elizabeth Spiteri")</f>
        <v>Elizabeth Spiteri</v>
      </c>
      <c r="M118" s="55" t="str">
        <f>IFERROR(__xludf.DUMMYFUNCTION("QUERY('Volunteer Survey'!E125)"),"espiteri@gmail.com")</f>
        <v>espiteri@gmail.com</v>
      </c>
      <c r="N118" s="55" t="str">
        <f>IFERROR(__xludf.DUMMYFUNCTION("QUERY('Volunteer Survey'!F125)"),"Clinical laboratory geneticist")</f>
        <v>Clinical laboratory geneticist</v>
      </c>
      <c r="O118" s="48" t="str">
        <f>IFERROR(__xludf.DUMMYFUNCTION("QUERY('Volunteer Survey'!H125)"),"Comprehensive")</f>
        <v>Comprehensive</v>
      </c>
      <c r="P118" s="55" t="str">
        <f>IFERROR(__xludf.DUMMYFUNCTION("QUERY('Volunteer Survey'!I125)"),"Dosage Sensitivity")</f>
        <v>Dosage Sensitivity</v>
      </c>
      <c r="Q118" s="60" t="str">
        <f>IFERROR(__xludf.DUMMYFUNCTION("QUERY('Volunteer Survey'!J125)"),"Somatic Cancer")</f>
        <v>Somatic Cancer</v>
      </c>
      <c r="R118" s="55" t="str">
        <f>IFERROR(__xludf.DUMMYFUNCTION("QUERY('Volunteer Survey'!K125)"),"Gene-Disease Validity")</f>
        <v>Gene-Disease Validity</v>
      </c>
      <c r="S118" s="55" t="str">
        <f>IFERROR(__xludf.DUMMYFUNCTION("QUERY('Volunteer Survey'!L125)"),"Variant Pathogenicity")</f>
        <v>Variant Pathogenicity</v>
      </c>
      <c r="T118" s="55" t="str">
        <f>IFERROR(__xludf.DUMMYFUNCTION("QUERY('Volunteer Survey'!M125)"),"")</f>
        <v/>
      </c>
      <c r="U118" s="64" t="str">
        <f>IFERROR(__xludf.DUMMYFUNCTION("QUERY('Volunteer Survey'!N125)"),"I have participated in a Clinical Genomics Consortium for Copy Number Variants")</f>
        <v>I have participated in a Clinical Genomics Consortium for Copy Number Variants</v>
      </c>
      <c r="V118" s="55" t="str">
        <f>IFERROR(__xludf.DUMMYFUNCTION("QUERY('Volunteer Survey'!O125)"),"Yes")</f>
        <v>Yes</v>
      </c>
      <c r="W118" s="66" t="str">
        <f>IFERROR(__xludf.DUMMYFUNCTION("QUERY('Volunteer Survey'!P125)"),"In addition to the somatic panel curation I would also be interested in Breast/Ovarian or Colon Cancer Expert panels ")</f>
        <v>In addition to the somatic panel curation I would also be interested in Breast/Ovarian or Colon Cancer Expert panels </v>
      </c>
      <c r="X118" s="64" t="str">
        <f>IFERROR(__xludf.DUMMYFUNCTION("QUERY('Volunteer Survey'!R125)"),"Yes- I am willing to volunteer with any available ClinGen group")</f>
        <v>Yes- I am willing to volunteer with any available ClinGen group</v>
      </c>
      <c r="Y118" s="53"/>
      <c r="Z118" s="182">
        <f>IFERROR(__xludf.DUMMYFUNCTION("QUERY('Volunteer Survey'!A117)"),43423.42459490741)</f>
        <v>43423.42459</v>
      </c>
      <c r="AA118" s="183" t="str">
        <f>IFERROR(__xludf.DUMMYFUNCTION("QUERY('Volunteer Survey'!B117)"),"Huei San Leong")</f>
        <v>Huei San Leong</v>
      </c>
      <c r="AB118" s="183" t="str">
        <f>IFERROR(__xludf.DUMMYFUNCTION("QUERY('Volunteer Survey'!C117)"),"PETER MACCALLUM CANCER CENTRE")</f>
        <v>PETER MACCALLUM CANCER CENTRE</v>
      </c>
      <c r="AC118" s="183" t="str">
        <f>IFERROR(__xludf.DUMMYFUNCTION("QUERY('Volunteer Survey'!D117)"),"Victoria, Australia")</f>
        <v>Victoria, Australia</v>
      </c>
      <c r="AD118" s="183" t="str">
        <f>IFERROR(__xludf.DUMMYFUNCTION("QUERY('Volunteer Survey'!E117)"),"hueisan.leong@petermac.org")</f>
        <v>hueisan.leong@petermac.org</v>
      </c>
      <c r="AE118" s="183" t="str">
        <f>IFERROR(__xludf.DUMMYFUNCTION("QUERY('Volunteer Survey'!F117)"),"Variant Analyst/Scientist")</f>
        <v>Variant Analyst/Scientist</v>
      </c>
      <c r="AF118" s="183" t="str">
        <f>IFERROR(__xludf.DUMMYFUNCTION("QUERY('Volunteer Survey'!G117)"),"NA")</f>
        <v>NA</v>
      </c>
      <c r="AG118" s="183" t="str">
        <f>IFERROR(__xludf.DUMMYFUNCTION("QUERY('Volunteer Survey'!H117)"),"Comprehensive")</f>
        <v>Comprehensive</v>
      </c>
      <c r="AH118" s="183" t="str">
        <f>IFERROR(__xludf.DUMMYFUNCTION("QUERY('Volunteer Survey'!I117)"),"Somatic Cancer")</f>
        <v>Somatic Cancer</v>
      </c>
      <c r="AI118" s="183" t="str">
        <f>IFERROR(__xludf.DUMMYFUNCTION("QUERY('Volunteer Survey'!J117)"),"Variant Pathogenicity")</f>
        <v>Variant Pathogenicity</v>
      </c>
      <c r="AJ118" s="183" t="str">
        <f>IFERROR(__xludf.DUMMYFUNCTION("QUERY('Volunteer Survey'!K117)"),"Clinical Actionability")</f>
        <v>Clinical Actionability</v>
      </c>
      <c r="AK118" s="183" t="str">
        <f>IFERROR(__xludf.DUMMYFUNCTION("QUERY('Volunteer Survey'!L117)"),"Gene-Disease Validity")</f>
        <v>Gene-Disease Validity</v>
      </c>
      <c r="AL118" s="183" t="str">
        <f>IFERROR(__xludf.DUMMYFUNCTION("QUERY('Volunteer Survey'!M117)"),"")</f>
        <v/>
      </c>
      <c r="AM118" s="183" t="str">
        <f>IFERROR(__xludf.DUMMYFUNCTION("QUERY('Volunteer Survey'!N117)"),"Yes")</f>
        <v>Yes</v>
      </c>
      <c r="AN118" s="183" t="str">
        <f>IFERROR(__xludf.DUMMYFUNCTION("QUERY('Volunteer Survey'!O117)"),"Yes")</f>
        <v>Yes</v>
      </c>
      <c r="AO118" s="183" t="str">
        <f>IFERROR(__xludf.DUMMYFUNCTION("QUERY('Volunteer Survey'!P117)"),"1) Breast/Ovarian Cancer 2) Colorectal Cancer 3) CDH1")</f>
        <v>1) Breast/Ovarian Cancer 2) Colorectal Cancer 3) CDH1</v>
      </c>
    </row>
    <row r="119">
      <c r="A119" s="50">
        <f>IFERROR(__xludf.DUMMYFUNCTION("QUERY('Volunteer Survey'!A126)"),43511.51492671297)</f>
        <v>43511.51493</v>
      </c>
      <c r="B119" s="48" t="s">
        <v>168</v>
      </c>
      <c r="C119" s="53"/>
      <c r="D119" s="55"/>
      <c r="E119" s="48" t="s">
        <v>130</v>
      </c>
      <c r="F119" s="48" t="s">
        <v>130</v>
      </c>
      <c r="G119" s="48" t="s">
        <v>251</v>
      </c>
      <c r="H119" s="53"/>
      <c r="I119" s="53"/>
      <c r="J119" s="55"/>
      <c r="K119" s="55"/>
      <c r="L119" s="55" t="str">
        <f>IFERROR(__xludf.DUMMYFUNCTION("QUERY('Volunteer Survey'!B126)"),"Yasser Sullcahuaman")</f>
        <v>Yasser Sullcahuaman</v>
      </c>
      <c r="M119" s="55" t="str">
        <f>IFERROR(__xludf.DUMMYFUNCTION("QUERY('Volunteer Survey'!E126)"),"ysullcahuaman@gmail.com")</f>
        <v>ysullcahuaman@gmail.com</v>
      </c>
      <c r="N119" s="55" t="str">
        <f>IFERROR(__xludf.DUMMYFUNCTION("QUERY('Volunteer Survey'!F126)"),"Clinical Medical Geneticist")</f>
        <v>Clinical Medical Geneticist</v>
      </c>
      <c r="O119" s="48" t="str">
        <f>IFERROR(__xludf.DUMMYFUNCTION("QUERY('Volunteer Survey'!H126)"),"Comprehensive")</f>
        <v>Comprehensive</v>
      </c>
      <c r="P119" s="55" t="str">
        <f>IFERROR(__xludf.DUMMYFUNCTION("QUERY('Volunteer Survey'!I126)"),"Variant Pathogenicity")</f>
        <v>Variant Pathogenicity</v>
      </c>
      <c r="Q119" s="60" t="str">
        <f>IFERROR(__xludf.DUMMYFUNCTION("QUERY('Volunteer Survey'!J126)"),"Gene-Disease Validity")</f>
        <v>Gene-Disease Validity</v>
      </c>
      <c r="R119" s="55" t="str">
        <f>IFERROR(__xludf.DUMMYFUNCTION("QUERY('Volunteer Survey'!K126)"),"Clinical Actionability")</f>
        <v>Clinical Actionability</v>
      </c>
      <c r="S119" s="55" t="str">
        <f>IFERROR(__xludf.DUMMYFUNCTION("QUERY('Volunteer Survey'!L126)"),"Somatic Cancer")</f>
        <v>Somatic Cancer</v>
      </c>
      <c r="T119" s="55" t="str">
        <f>IFERROR(__xludf.DUMMYFUNCTION("QUERY('Volunteer Survey'!M126)"),"Dosage Sensitivity")</f>
        <v>Dosage Sensitivity</v>
      </c>
      <c r="U119" s="64" t="str">
        <f>IFERROR(__xludf.DUMMYFUNCTION("QUERY('Volunteer Survey'!N126)"),"")</f>
        <v/>
      </c>
      <c r="V119" s="55" t="str">
        <f>IFERROR(__xludf.DUMMYFUNCTION("QUERY('Volunteer Survey'!O126)"),"Possibly")</f>
        <v>Possibly</v>
      </c>
      <c r="W119" s="66" t="str">
        <f>IFERROR(__xludf.DUMMYFUNCTION("QUERY('Volunteer Survey'!P126)"),"")</f>
        <v/>
      </c>
      <c r="X119" s="64" t="str">
        <f>IFERROR(__xludf.DUMMYFUNCTION("QUERY('Volunteer Survey'!R126)"),"Maybe -- please contact me with other options, and I will decide based on what is available")</f>
        <v>Maybe -- please contact me with other options, and I will decide based on what is available</v>
      </c>
      <c r="Y119" s="53"/>
      <c r="Z119" s="182">
        <f>IFERROR(__xludf.DUMMYFUNCTION("QUERY('Volunteer Survey'!A118)"),43439.427199074074)</f>
        <v>43439.4272</v>
      </c>
      <c r="AA119" s="183" t="str">
        <f>IFERROR(__xludf.DUMMYFUNCTION("QUERY('Volunteer Survey'!B118)"),"Pandurang Kolekar")</f>
        <v>Pandurang Kolekar</v>
      </c>
      <c r="AB119" s="183" t="str">
        <f>IFERROR(__xludf.DUMMYFUNCTION("QUERY('Volunteer Survey'!C118)"),"Thermo Fisher Scientific")</f>
        <v>Thermo Fisher Scientific</v>
      </c>
      <c r="AC119" s="183" t="str">
        <f>IFERROR(__xludf.DUMMYFUNCTION("QUERY('Volunteer Survey'!D118)"),"India")</f>
        <v>India</v>
      </c>
      <c r="AD119" s="183" t="str">
        <f>IFERROR(__xludf.DUMMYFUNCTION("QUERY('Volunteer Survey'!E118)"),"pandurang.kolekar@gmail.com")</f>
        <v>pandurang.kolekar@gmail.com</v>
      </c>
      <c r="AE119" s="183" t="str">
        <f>IFERROR(__xludf.DUMMYFUNCTION("QUERY('Volunteer Survey'!F118)"),"""Scientific Researcher, Biocurator, Variant Analyst/Scientist, Other (please specify): Bioinformatics Engineer""")</f>
        <v>"Scientific Researcher, Biocurator, Variant Analyst/Scientist, Other (please specify): Bioinformatics Engineer"</v>
      </c>
      <c r="AF119" s="183" t="str">
        <f>IFERROR(__xludf.DUMMYFUNCTION("QUERY('Volunteer Survey'!G118)"),"NA")</f>
        <v>NA</v>
      </c>
      <c r="AG119" s="183" t="str">
        <f>IFERROR(__xludf.DUMMYFUNCTION("QUERY('Volunteer Survey'!H118)"),"Comprehensive")</f>
        <v>Comprehensive</v>
      </c>
      <c r="AH119" s="183" t="str">
        <f>IFERROR(__xludf.DUMMYFUNCTION("QUERY('Volunteer Survey'!I118)"),"Somatic Cancer")</f>
        <v>Somatic Cancer</v>
      </c>
      <c r="AI119" s="183" t="str">
        <f>IFERROR(__xludf.DUMMYFUNCTION("QUERY('Volunteer Survey'!J118)"),"Variant Pathogenicity")</f>
        <v>Variant Pathogenicity</v>
      </c>
      <c r="AJ119" s="183" t="str">
        <f>IFERROR(__xludf.DUMMYFUNCTION("QUERY('Volunteer Survey'!K118)"),"Gene-Disease Validity")</f>
        <v>Gene-Disease Validity</v>
      </c>
      <c r="AK119" s="183" t="str">
        <f>IFERROR(__xludf.DUMMYFUNCTION("QUERY('Volunteer Survey'!L118)"),"Clinical Actionability")</f>
        <v>Clinical Actionability</v>
      </c>
      <c r="AL119" s="183" t="str">
        <f>IFERROR(__xludf.DUMMYFUNCTION("QUERY('Volunteer Survey'!M118)"),"Dosage Sensitivity")</f>
        <v>Dosage Sensitivity</v>
      </c>
      <c r="AM119" s="183" t="str">
        <f>IFERROR(__xludf.DUMMYFUNCTION("QUERY('Volunteer Survey'!N118)"),"Yes")</f>
        <v>Yes</v>
      </c>
      <c r="AN119" s="183" t="str">
        <f>IFERROR(__xludf.DUMMYFUNCTION("QUERY('Volunteer Survey'!O118)"),"Possibly")</f>
        <v>Possibly</v>
      </c>
      <c r="AO119" s="183" t="str">
        <f>IFERROR(__xludf.DUMMYFUNCTION("QUERY('Volunteer Survey'!P118)"),"Somatic cancer WG")</f>
        <v>Somatic cancer WG</v>
      </c>
    </row>
    <row r="120" ht="16.5" customHeight="1">
      <c r="A120" s="50">
        <f>IFERROR(__xludf.DUMMYFUNCTION("QUERY('Volunteer Survey'!A127)"),43515.32583059028)</f>
        <v>43515.32583</v>
      </c>
      <c r="B120" s="48" t="s">
        <v>108</v>
      </c>
      <c r="C120" s="53"/>
      <c r="D120" s="49">
        <v>43581.0</v>
      </c>
      <c r="E120" s="48" t="s">
        <v>117</v>
      </c>
      <c r="F120" s="48" t="s">
        <v>130</v>
      </c>
      <c r="G120" s="48" t="s">
        <v>136</v>
      </c>
      <c r="H120" s="51" t="s">
        <v>308</v>
      </c>
      <c r="I120" s="51" t="s">
        <v>139</v>
      </c>
      <c r="J120" s="56">
        <v>43712.0</v>
      </c>
      <c r="K120" s="56"/>
      <c r="L120" s="55" t="str">
        <f>IFERROR(__xludf.DUMMYFUNCTION("QUERY('Volunteer Survey'!B127)"),"HUILING XU")</f>
        <v>HUILING XU</v>
      </c>
      <c r="M120" s="55" t="str">
        <f>IFERROR(__xludf.DUMMYFUNCTION("QUERY('Volunteer Survey'!E127)"),"huiling.xu@petermac.org")</f>
        <v>huiling.xu@petermac.org</v>
      </c>
      <c r="N120" s="55" t="str">
        <f>IFERROR(__xludf.DUMMYFUNCTION("QUERY('Volunteer Survey'!F127)"),"Variant Analyst/Scientist - Academic")</f>
        <v>Variant Analyst/Scientist - Academic</v>
      </c>
      <c r="O120" s="48" t="str">
        <f>IFERROR(__xludf.DUMMYFUNCTION("QUERY('Volunteer Survey'!H127)"),"Comprehensive")</f>
        <v>Comprehensive</v>
      </c>
      <c r="P120" s="55" t="str">
        <f>IFERROR(__xludf.DUMMYFUNCTION("QUERY('Volunteer Survey'!I127)"),"Somatic Cancer")</f>
        <v>Somatic Cancer</v>
      </c>
      <c r="Q120" s="60" t="str">
        <f>IFERROR(__xludf.DUMMYFUNCTION("QUERY('Volunteer Survey'!J127)"),"")</f>
        <v/>
      </c>
      <c r="R120" s="55" t="str">
        <f>IFERROR(__xludf.DUMMYFUNCTION("QUERY('Volunteer Survey'!K127)"),"")</f>
        <v/>
      </c>
      <c r="S120" s="55" t="str">
        <f>IFERROR(__xludf.DUMMYFUNCTION("QUERY('Volunteer Survey'!L127)"),"")</f>
        <v/>
      </c>
      <c r="T120" s="55" t="str">
        <f>IFERROR(__xludf.DUMMYFUNCTION("QUERY('Volunteer Survey'!M127)"),"")</f>
        <v/>
      </c>
      <c r="U120" s="64" t="str">
        <f>IFERROR(__xludf.DUMMYFUNCTION("QUERY('Volunteer Survey'!N127)"),"I am a senior clinical genomic analyst/scientist in the Molecular Pathology Section of the Department of Pathology, Peter MacCallum Cancer Centre, Australia. I have been involved in interpreting and reporting cancer genomic alterations to guide targeted t"&amp;"herapy in multiple government-funded prospective precision oncology programs for the past four years. I have extensive knowledge of clinical laboratory practise, cancer biology, targeted therapy, and clinical care. 
I am also a researcher with 20 years c"&amp;"ancer research experience and have a strong track record in cancer research. I have a career total of 54 publications including a number of papers in the highly influential clinical and scientific journals.")</f>
        <v>I am a senior clinical genomic analyst/scientist in the Molecular Pathology Section of the Department of Pathology, Peter MacCallum Cancer Centre, Australia. I have been involved in interpreting and reporting cancer genomic alterations to guide targeted therapy in multiple government-funded prospective precision oncology programs for the past four years. I have extensive knowledge of clinical laboratory practise, cancer biology, targeted therapy, and clinical care. 
I am also a researcher with 20 years cancer research experience and have a strong track record in cancer research. I have a career total of 54 publications including a number of papers in the highly influential clinical and scientific journals.</v>
      </c>
      <c r="V120" s="55" t="str">
        <f>IFERROR(__xludf.DUMMYFUNCTION("QUERY('Volunteer Survey'!O127)"),"Yes")</f>
        <v>Yes</v>
      </c>
      <c r="W120" s="66" t="str">
        <f>IFERROR(__xludf.DUMMYFUNCTION("QUERY('Volunteer Survey'!P127)"),"Somatic cancer working groups")</f>
        <v>Somatic cancer working groups</v>
      </c>
      <c r="X120" s="64" t="str">
        <f>IFERROR(__xludf.DUMMYFUNCTION("QUERY('Volunteer Survey'!R127)"),"Yes- I am willing to volunteer with any available ClinGen group")</f>
        <v>Yes- I am willing to volunteer with any available ClinGen group</v>
      </c>
      <c r="Y120" s="53"/>
      <c r="Z120" s="182">
        <f>IFERROR(__xludf.DUMMYFUNCTION("QUERY('Volunteer Survey'!A119)"),43494.45647408565)</f>
        <v>43494.45647</v>
      </c>
      <c r="AA120" s="183" t="str">
        <f>IFERROR(__xludf.DUMMYFUNCTION("QUERY('Volunteer Survey'!B119)"),"Samata Singhi")</f>
        <v>Samata Singhi</v>
      </c>
      <c r="AB120" s="183" t="str">
        <f>IFERROR(__xludf.DUMMYFUNCTION("QUERY('Volunteer Survey'!C119)"),"Kennedy Krieger Institute/ Johns Hopkins Hospital")</f>
        <v>Kennedy Krieger Institute/ Johns Hopkins Hospital</v>
      </c>
      <c r="AC120" s="183" t="str">
        <f>IFERROR(__xludf.DUMMYFUNCTION("QUERY('Volunteer Survey'!D119)"),"1204 Linden Green, Baltimore, MD 21217")</f>
        <v>1204 Linden Green, Baltimore, MD 21217</v>
      </c>
      <c r="AD120" s="183" t="str">
        <f>IFERROR(__xludf.DUMMYFUNCTION("QUERY('Volunteer Survey'!E119)"),"samata.singhi@gmail.com")</f>
        <v>samata.singhi@gmail.com</v>
      </c>
      <c r="AE120" s="183" t="str">
        <f>IFERROR(__xludf.DUMMYFUNCTION("QUERY('Volunteer Survey'!F119)"),"Physician (Non-geneticist)")</f>
        <v>Physician (Non-geneticist)</v>
      </c>
      <c r="AF120" s="183" t="str">
        <f>IFERROR(__xludf.DUMMYFUNCTION("QUERY('Volunteer Survey'!G119)"),"I am interested in epilepsy genetics and heard about ClinGen from Ann Poduri")</f>
        <v>I am interested in epilepsy genetics and heard about ClinGen from Ann Poduri</v>
      </c>
      <c r="AG120" s="183" t="str">
        <f>IFERROR(__xludf.DUMMYFUNCTION("QUERY('Volunteer Survey'!H119)"),"Comprehensive")</f>
        <v>Comprehensive</v>
      </c>
      <c r="AH120" s="183" t="str">
        <f>IFERROR(__xludf.DUMMYFUNCTION("QUERY('Volunteer Survey'!I119)"),"Clinical Actionability")</f>
        <v>Clinical Actionability</v>
      </c>
      <c r="AI120" s="183" t="str">
        <f>IFERROR(__xludf.DUMMYFUNCTION("QUERY('Volunteer Survey'!J119)"),"Gene-Disease Validity")</f>
        <v>Gene-Disease Validity</v>
      </c>
      <c r="AJ120" s="183" t="str">
        <f>IFERROR(__xludf.DUMMYFUNCTION("QUERY('Volunteer Survey'!K119)"),"")</f>
        <v/>
      </c>
      <c r="AK120" s="183" t="str">
        <f>IFERROR(__xludf.DUMMYFUNCTION("QUERY('Volunteer Survey'!L119)"),"")</f>
        <v/>
      </c>
      <c r="AL120" s="183" t="str">
        <f>IFERROR(__xludf.DUMMYFUNCTION("QUERY('Volunteer Survey'!M119)"),"")</f>
        <v/>
      </c>
      <c r="AM120" s="183" t="str">
        <f>IFERROR(__xludf.DUMMYFUNCTION("QUERY('Volunteer Survey'!N119)"),"")</f>
        <v/>
      </c>
      <c r="AN120" s="183" t="str">
        <f>IFERROR(__xludf.DUMMYFUNCTION("QUERY('Volunteer Survey'!O119)"),"Possibly")</f>
        <v>Possibly</v>
      </c>
      <c r="AO120" s="183" t="str">
        <f>IFERROR(__xludf.DUMMYFUNCTION("QUERY('Volunteer Survey'!P119)"),"Epilepsy")</f>
        <v>Epilepsy</v>
      </c>
    </row>
    <row r="121">
      <c r="A121" s="50">
        <f>IFERROR(__xludf.DUMMYFUNCTION("QUERY('Volunteer Survey'!A128)"),43524.49831216435)</f>
        <v>43524.49831</v>
      </c>
      <c r="B121" s="48" t="s">
        <v>108</v>
      </c>
      <c r="C121" s="53"/>
      <c r="D121" s="49">
        <v>43570.0</v>
      </c>
      <c r="E121" s="48" t="s">
        <v>117</v>
      </c>
      <c r="F121" s="48" t="s">
        <v>117</v>
      </c>
      <c r="G121" s="48" t="s">
        <v>122</v>
      </c>
      <c r="H121" s="51" t="s">
        <v>294</v>
      </c>
      <c r="I121" s="51" t="s">
        <v>139</v>
      </c>
      <c r="J121" s="56">
        <v>43712.0</v>
      </c>
      <c r="K121" s="56"/>
      <c r="L121" s="55" t="str">
        <f>IFERROR(__xludf.DUMMYFUNCTION("QUERY('Volunteer Survey'!B128)"),"Nilufar Inamdar")</f>
        <v>Nilufar Inamdar</v>
      </c>
      <c r="M121" s="55" t="str">
        <f>IFERROR(__xludf.DUMMYFUNCTION("QUERY('Volunteer Survey'!E128)"),"inamdar555@yahoo.com")</f>
        <v>inamdar555@yahoo.com</v>
      </c>
      <c r="N121" s="55" t="str">
        <f>IFERROR(__xludf.DUMMYFUNCTION("QUERY('Volunteer Survey'!F128)"),"Clinical laboratory geneticist")</f>
        <v>Clinical laboratory geneticist</v>
      </c>
      <c r="O121" s="48" t="str">
        <f>IFERROR(__xludf.DUMMYFUNCTION("QUERY('Volunteer Survey'!H128)"),"Comprehensive")</f>
        <v>Comprehensive</v>
      </c>
      <c r="P121" s="55" t="str">
        <f>IFERROR(__xludf.DUMMYFUNCTION("QUERY('Volunteer Survey'!I128)"),"Gene-Disease Validity")</f>
        <v>Gene-Disease Validity</v>
      </c>
      <c r="Q121" s="60" t="str">
        <f>IFERROR(__xludf.DUMMYFUNCTION("QUERY('Volunteer Survey'!J128)"),"Dosage Sensitivity")</f>
        <v>Dosage Sensitivity</v>
      </c>
      <c r="R121" s="55" t="str">
        <f>IFERROR(__xludf.DUMMYFUNCTION("QUERY('Volunteer Survey'!K128)"),"Variant Pathogenicity")</f>
        <v>Variant Pathogenicity</v>
      </c>
      <c r="S121" s="55" t="str">
        <f>IFERROR(__xludf.DUMMYFUNCTION("QUERY('Volunteer Survey'!L128)"),"Somatic Cancer")</f>
        <v>Somatic Cancer</v>
      </c>
      <c r="T121" s="55" t="str">
        <f>IFERROR(__xludf.DUMMYFUNCTION("QUERY('Volunteer Survey'!M128)"),"Clinical Actionability")</f>
        <v>Clinical Actionability</v>
      </c>
      <c r="U121" s="64" t="str">
        <f>IFERROR(__xludf.DUMMYFUNCTION("QUERY('Volunteer Survey'!N128)"),"No")</f>
        <v>No</v>
      </c>
      <c r="V121" s="55" t="str">
        <f>IFERROR(__xludf.DUMMYFUNCTION("QUERY('Volunteer Survey'!O128)"),"Yes")</f>
        <v>Yes</v>
      </c>
      <c r="W121" s="66" t="str">
        <f>IFERROR(__xludf.DUMMYFUNCTION("QUERY('Volunteer Survey'!P128)"),"Mitochondrial or Aminoaciopathy")</f>
        <v>Mitochondrial or Aminoaciopathy</v>
      </c>
      <c r="X121" s="64" t="str">
        <f>IFERROR(__xludf.DUMMYFUNCTION("QUERY('Volunteer Survey'!R128)"),"Yes- I am willing to volunteer with any available ClinGen group")</f>
        <v>Yes- I am willing to volunteer with any available ClinGen group</v>
      </c>
      <c r="Y121" s="53"/>
      <c r="Z121" s="182">
        <f>IFERROR(__xludf.DUMMYFUNCTION("QUERY('Volunteer Survey'!A120)"),43496.573591817134)</f>
        <v>43496.57359</v>
      </c>
      <c r="AA121" s="183" t="str">
        <f>IFERROR(__xludf.DUMMYFUNCTION("QUERY('Volunteer Survey'!B120)"),"Szabolcs Szelinger")</f>
        <v>Szabolcs Szelinger</v>
      </c>
      <c r="AB121" s="183" t="str">
        <f>IFERROR(__xludf.DUMMYFUNCTION("QUERY('Volunteer Survey'!C120)"),"Translational Genomics Research Institute")</f>
        <v>Translational Genomics Research Institute</v>
      </c>
      <c r="AC121" s="183" t="str">
        <f>IFERROR(__xludf.DUMMYFUNCTION("QUERY('Volunteer Survey'!D120)"),"445 N. 5th St Phoenix AZ 85004")</f>
        <v>445 N. 5th St Phoenix AZ 85004</v>
      </c>
      <c r="AD121" s="183" t="str">
        <f>IFERROR(__xludf.DUMMYFUNCTION("QUERY('Volunteer Survey'!E120)"),"sszelinger@tgen.org")</f>
        <v>sszelinger@tgen.org</v>
      </c>
      <c r="AE121" s="183" t="str">
        <f>IFERROR(__xludf.DUMMYFUNCTION("QUERY('Volunteer Survey'!F120)"),"Clinical laboratory geneticist")</f>
        <v>Clinical laboratory geneticist</v>
      </c>
      <c r="AF121" s="183" t="str">
        <f>IFERROR(__xludf.DUMMYFUNCTION("QUERY('Volunteer Survey'!G120)"),"I am an ACMG Candidate Fellow working in a CLIA/CAP clinical laboratory and also in basic research. Joining ClinGen curation team would allow me to learn best practices in the assessment of genetic variants, potentially could guide interpretation workflow"&amp;" and variant/gene reporting in the clinical laboratory, and it would assist with in my research interest of rare, pediatric disease gene identification. ")</f>
        <v>I am an ACMG Candidate Fellow working in a CLIA/CAP clinical laboratory and also in basic research. Joining ClinGen curation team would allow me to learn best practices in the assessment of genetic variants, potentially could guide interpretation workflow and variant/gene reporting in the clinical laboratory, and it would assist with in my research interest of rare, pediatric disease gene identification. </v>
      </c>
      <c r="AG121" s="183" t="str">
        <f>IFERROR(__xludf.DUMMYFUNCTION("QUERY('Volunteer Survey'!H120)"),"Comprehensive")</f>
        <v>Comprehensive</v>
      </c>
      <c r="AH121" s="183" t="str">
        <f>IFERROR(__xludf.DUMMYFUNCTION("QUERY('Volunteer Survey'!I120)"),"Gene-Disease Validity")</f>
        <v>Gene-Disease Validity</v>
      </c>
      <c r="AI121" s="183" t="str">
        <f>IFERROR(__xludf.DUMMYFUNCTION("QUERY('Volunteer Survey'!J120)"),"Variant Pathogenicity")</f>
        <v>Variant Pathogenicity</v>
      </c>
      <c r="AJ121" s="183" t="str">
        <f>IFERROR(__xludf.DUMMYFUNCTION("QUERY('Volunteer Survey'!K120)"),"Somatic Cancer")</f>
        <v>Somatic Cancer</v>
      </c>
      <c r="AK121" s="183" t="str">
        <f>IFERROR(__xludf.DUMMYFUNCTION("QUERY('Volunteer Survey'!L120)"),"Clinical Actionability")</f>
        <v>Clinical Actionability</v>
      </c>
      <c r="AL121" s="183" t="str">
        <f>IFERROR(__xludf.DUMMYFUNCTION("QUERY('Volunteer Survey'!M120)"),"")</f>
        <v/>
      </c>
      <c r="AM121" s="183" t="str">
        <f>IFERROR(__xludf.DUMMYFUNCTION("QUERY('Volunteer Survey'!N120)"),"As an ACMG fellow at UCLA, and at the CLIA lab I work, we routinely assess variants for pathogenicity and disease-gene validity. In addition, I have experience in curating somatic mutations for actionability. In the research laboratory we sequenced and in"&amp;"terpreted hundreds of trio exomes in rare pediatric disease. ")</f>
        <v>As an ACMG fellow at UCLA, and at the CLIA lab I work, we routinely assess variants for pathogenicity and disease-gene validity. In addition, I have experience in curating somatic mutations for actionability. In the research laboratory we sequenced and interpreted hundreds of trio exomes in rare pediatric disease. </v>
      </c>
      <c r="AN121" s="183" t="str">
        <f>IFERROR(__xludf.DUMMYFUNCTION("QUERY('Volunteer Survey'!O120)"),"Possibly")</f>
        <v>Possibly</v>
      </c>
      <c r="AO121" s="183" t="str">
        <f>IFERROR(__xludf.DUMMYFUNCTION("QUERY('Volunteer Survey'!P120)"),"There are many interesting groups such as the mitochondrial disease, inherited cardiomyopathy, Epilepsy and Somatic TP53 group.")</f>
        <v>There are many interesting groups such as the mitochondrial disease, inherited cardiomyopathy, Epilepsy and Somatic TP53 group.</v>
      </c>
    </row>
    <row r="122">
      <c r="A122" s="50">
        <f>IFERROR(__xludf.DUMMYFUNCTION("QUERY('Volunteer Survey'!A129)"),43525.50388739583)</f>
        <v>43525.50389</v>
      </c>
      <c r="B122" s="48" t="s">
        <v>108</v>
      </c>
      <c r="C122" s="53"/>
      <c r="D122" s="56">
        <v>43608.0</v>
      </c>
      <c r="E122" s="48" t="s">
        <v>117</v>
      </c>
      <c r="F122" s="48" t="s">
        <v>117</v>
      </c>
      <c r="G122" s="48" t="s">
        <v>251</v>
      </c>
      <c r="H122" s="51" t="s">
        <v>169</v>
      </c>
      <c r="I122" s="51" t="s">
        <v>139</v>
      </c>
      <c r="J122" s="56">
        <v>43712.0</v>
      </c>
      <c r="K122" s="56"/>
      <c r="L122" s="55" t="str">
        <f>IFERROR(__xludf.DUMMYFUNCTION("QUERY('Volunteer Survey'!B129)"),"Michael McLachlan")</f>
        <v>Michael McLachlan</v>
      </c>
      <c r="M122" s="55" t="str">
        <f>IFERROR(__xludf.DUMMYFUNCTION("QUERY('Volunteer Survey'!E129)"),"mikejmclachlan@gmail.com")</f>
        <v>mikejmclachlan@gmail.com</v>
      </c>
      <c r="N122" s="55" t="str">
        <f>IFERROR(__xludf.DUMMYFUNCTION("QUERY('Volunteer Survey'!F129)"),"Scientific Researcher")</f>
        <v>Scientific Researcher</v>
      </c>
      <c r="O122" s="48" t="str">
        <f>IFERROR(__xludf.DUMMYFUNCTION("QUERY('Volunteer Survey'!H129)"),"Comprehensive")</f>
        <v>Comprehensive</v>
      </c>
      <c r="P122" s="55" t="str">
        <f>IFERROR(__xludf.DUMMYFUNCTION("QUERY('Volunteer Survey'!I129)"),"Variant Pathogenicity")</f>
        <v>Variant Pathogenicity</v>
      </c>
      <c r="Q122" s="60" t="str">
        <f>IFERROR(__xludf.DUMMYFUNCTION("QUERY('Volunteer Survey'!J129)"),"Gene-Disease Validity")</f>
        <v>Gene-Disease Validity</v>
      </c>
      <c r="R122" s="55" t="str">
        <f>IFERROR(__xludf.DUMMYFUNCTION("QUERY('Volunteer Survey'!K129)"),"Dosage Sensitivity")</f>
        <v>Dosage Sensitivity</v>
      </c>
      <c r="S122" s="55" t="str">
        <f>IFERROR(__xludf.DUMMYFUNCTION("QUERY('Volunteer Survey'!L129)"),"")</f>
        <v/>
      </c>
      <c r="T122" s="55" t="str">
        <f>IFERROR(__xludf.DUMMYFUNCTION("QUERY('Volunteer Survey'!M129)"),"")</f>
        <v/>
      </c>
      <c r="U122" s="64" t="str">
        <f>IFERROR(__xludf.DUMMYFUNCTION("QUERY('Volunteer Survey'!N129)"),"No curation experience but professional experience with genome analysis and disease models")</f>
        <v>No curation experience but professional experience with genome analysis and disease models</v>
      </c>
      <c r="V122" s="55" t="str">
        <f>IFERROR(__xludf.DUMMYFUNCTION("QUERY('Volunteer Survey'!O129)"),"Yes")</f>
        <v>Yes</v>
      </c>
      <c r="W122" s="66" t="str">
        <f>IFERROR(__xludf.DUMMYFUNCTION("QUERY('Volunteer Survey'!P129)"),"")</f>
        <v/>
      </c>
      <c r="X122" s="64" t="str">
        <f>IFERROR(__xludf.DUMMYFUNCTION("QUERY('Volunteer Survey'!R129)"),"Yes- I am willing to volunteer with any available ClinGen group")</f>
        <v>Yes- I am willing to volunteer with any available ClinGen group</v>
      </c>
      <c r="Y122" s="53"/>
      <c r="Z122" s="182">
        <f>IFERROR(__xludf.DUMMYFUNCTION("QUERY('Volunteer Survey'!A121)"),43431.472766203704)</f>
        <v>43431.47277</v>
      </c>
      <c r="AA122" s="183" t="str">
        <f>IFERROR(__xludf.DUMMYFUNCTION("QUERY('Volunteer Survey'!B121)"),"Jianhong Zhou")</f>
        <v>Jianhong Zhou</v>
      </c>
      <c r="AB122" s="183" t="str">
        <f>IFERROR(__xludf.DUMMYFUNCTION("QUERY('Volunteer Survey'!C121)"),"NA")</f>
        <v>NA</v>
      </c>
      <c r="AC122" s="183" t="str">
        <f>IFERROR(__xludf.DUMMYFUNCTION("QUERY('Volunteer Survey'!D121)"),"CA ")</f>
        <v>CA </v>
      </c>
      <c r="AD122" s="183" t="str">
        <f>IFERROR(__xludf.DUMMYFUNCTION("QUERY('Volunteer Survey'!E121)"),"jhzhou2008@hotmail.com")</f>
        <v>jhzhou2008@hotmail.com</v>
      </c>
      <c r="AE122" s="183" t="str">
        <f>IFERROR(__xludf.DUMMYFUNCTION("QUERY('Volunteer Survey'!F121)"),"Post Doc/Resident/Fellow (MD and/or Phd), Scientific Researcher, Focus on bioinformatics and computational biology")</f>
        <v>Post Doc/Resident/Fellow (MD and/or Phd), Scientific Researcher, Focus on bioinformatics and computational biology</v>
      </c>
      <c r="AF122" s="183" t="str">
        <f>IFERROR(__xludf.DUMMYFUNCTION("QUERY('Volunteer Survey'!G121)"),"NA")</f>
        <v>NA</v>
      </c>
      <c r="AG122" s="183" t="str">
        <f>IFERROR(__xludf.DUMMYFUNCTION("QUERY('Volunteer Survey'!H121)"),"Comprehensive")</f>
        <v>Comprehensive</v>
      </c>
      <c r="AH122" s="183" t="str">
        <f>IFERROR(__xludf.DUMMYFUNCTION("QUERY('Volunteer Survey'!I121)"),"Somatic Cancer")</f>
        <v>Somatic Cancer</v>
      </c>
      <c r="AI122" s="183" t="str">
        <f>IFERROR(__xludf.DUMMYFUNCTION("QUERY('Volunteer Survey'!J121)"),"Gene-Disease Validity")</f>
        <v>Gene-Disease Validity</v>
      </c>
      <c r="AJ122" s="183" t="str">
        <f>IFERROR(__xludf.DUMMYFUNCTION("QUERY('Volunteer Survey'!K121)"),"Variant Pathogenicity")</f>
        <v>Variant Pathogenicity</v>
      </c>
      <c r="AK122" s="183" t="str">
        <f>IFERROR(__xludf.DUMMYFUNCTION("QUERY('Volunteer Survey'!L121)"),"Clinical Actionability")</f>
        <v>Clinical Actionability</v>
      </c>
      <c r="AL122" s="183" t="str">
        <f>IFERROR(__xludf.DUMMYFUNCTION("QUERY('Volunteer Survey'!M121)"),"Dosage Sensitivity")</f>
        <v>Dosage Sensitivity</v>
      </c>
      <c r="AM122" s="183" t="str">
        <f>IFERROR(__xludf.DUMMYFUNCTION("QUERY('Volunteer Survey'!N121)"),"No")</f>
        <v>No</v>
      </c>
      <c r="AN122" s="183" t="str">
        <f>IFERROR(__xludf.DUMMYFUNCTION("QUERY('Volunteer Survey'!O121)"),"Yes")</f>
        <v>Yes</v>
      </c>
      <c r="AO122" s="183" t="str">
        <f>IFERROR(__xludf.DUMMYFUNCTION("QUERY('Volunteer Survey'!P121)"),"Somatic Cancer WG")</f>
        <v>Somatic Cancer WG</v>
      </c>
    </row>
    <row r="123">
      <c r="A123" s="50">
        <f>IFERROR(__xludf.DUMMYFUNCTION("QUERY('Volunteer Survey'!A130)"),43530.32366586806)</f>
        <v>43530.32367</v>
      </c>
      <c r="B123" s="48" t="s">
        <v>168</v>
      </c>
      <c r="C123" s="53"/>
      <c r="D123" s="55"/>
      <c r="E123" s="48" t="s">
        <v>130</v>
      </c>
      <c r="F123" s="48" t="s">
        <v>130</v>
      </c>
      <c r="G123" s="48" t="s">
        <v>122</v>
      </c>
      <c r="H123" s="53"/>
      <c r="I123" s="51" t="s">
        <v>139</v>
      </c>
      <c r="J123" s="55"/>
      <c r="K123" s="55"/>
      <c r="L123" s="55" t="str">
        <f>IFERROR(__xludf.DUMMYFUNCTION("QUERY('Volunteer Survey'!B130)"),"Anand Narayanan")</f>
        <v>Anand Narayanan</v>
      </c>
      <c r="M123" s="55" t="str">
        <f>IFERROR(__xludf.DUMMYFUNCTION("QUERY('Volunteer Survey'!E130)"),"anandnpillai@gmail.com")</f>
        <v>anandnpillai@gmail.com</v>
      </c>
      <c r="N123" s="55" t="str">
        <f>IFERROR(__xludf.DUMMYFUNCTION("QUERY('Volunteer Survey'!F130)"),"Post Doc/Resident/Fellow (MD and/or PhD)")</f>
        <v>Post Doc/Resident/Fellow (MD and/or PhD)</v>
      </c>
      <c r="O123" s="48" t="str">
        <f>IFERROR(__xludf.DUMMYFUNCTION("QUERY('Volunteer Survey'!H130)"),"Comprehensive")</f>
        <v>Comprehensive</v>
      </c>
      <c r="P123" s="55" t="str">
        <f>IFERROR(__xludf.DUMMYFUNCTION("QUERY('Volunteer Survey'!I130)"),"Gene-Disease Validity")</f>
        <v>Gene-Disease Validity</v>
      </c>
      <c r="Q123" s="60" t="str">
        <f>IFERROR(__xludf.DUMMYFUNCTION("QUERY('Volunteer Survey'!J130)"),"Variant Pathogenicity")</f>
        <v>Variant Pathogenicity</v>
      </c>
      <c r="R123" s="55" t="str">
        <f>IFERROR(__xludf.DUMMYFUNCTION("QUERY('Volunteer Survey'!K130)"),"Dosage Sensitivity")</f>
        <v>Dosage Sensitivity</v>
      </c>
      <c r="S123" s="55" t="str">
        <f>IFERROR(__xludf.DUMMYFUNCTION("QUERY('Volunteer Survey'!L130)"),"Clinical Actionability")</f>
        <v>Clinical Actionability</v>
      </c>
      <c r="T123" s="55" t="str">
        <f>IFERROR(__xludf.DUMMYFUNCTION("QUERY('Volunteer Survey'!M130)"),"Somatic Cancer")</f>
        <v>Somatic Cancer</v>
      </c>
      <c r="U123" s="64" t="str">
        <f>IFERROR(__xludf.DUMMYFUNCTION("QUERY('Volunteer Survey'!N130)"),"I have served as a liaison of groups comprising clinicians, genetic counselors, researchers and bioinformatic staff. I am involved in the novel gene discovery and characterization ")</f>
        <v>I have served as a liaison of groups comprising clinicians, genetic counselors, researchers and bioinformatic staff. I am involved in the novel gene discovery and characterization </v>
      </c>
      <c r="V123" s="55" t="str">
        <f>IFERROR(__xludf.DUMMYFUNCTION("QUERY('Volunteer Survey'!O130)"),"Yes")</f>
        <v>Yes</v>
      </c>
      <c r="W123" s="66" t="str">
        <f>IFERROR(__xludf.DUMMYFUNCTION("QUERY('Volunteer Survey'!P130)"),"No")</f>
        <v>No</v>
      </c>
      <c r="X123" s="64" t="str">
        <f>IFERROR(__xludf.DUMMYFUNCTION("QUERY('Volunteer Survey'!R130)"),"Yes- I am willing to volunteer with any available ClinGen group")</f>
        <v>Yes- I am willing to volunteer with any available ClinGen group</v>
      </c>
      <c r="Y123" s="53"/>
      <c r="Z123" s="182">
        <f>IFERROR(__xludf.DUMMYFUNCTION("QUERY('Volunteer Survey'!A122)"),43498.50725701389)</f>
        <v>43498.50726</v>
      </c>
      <c r="AA123" s="183" t="str">
        <f>IFERROR(__xludf.DUMMYFUNCTION("QUERY('Volunteer Survey'!B122)"),"Ramesh Vaidyanathan")</f>
        <v>Ramesh Vaidyanathan</v>
      </c>
      <c r="AB123" s="183" t="str">
        <f>IFERROR(__xludf.DUMMYFUNCTION("QUERY('Volunteer Survey'!C122)"),"Not Applicable")</f>
        <v>Not Applicable</v>
      </c>
      <c r="AC123" s="183" t="str">
        <f>IFERROR(__xludf.DUMMYFUNCTION("QUERY('Volunteer Survey'!D122)"),"2 Windhaven Circle")</f>
        <v>2 Windhaven Circle</v>
      </c>
      <c r="AD123" s="183" t="str">
        <f>IFERROR(__xludf.DUMMYFUNCTION("QUERY('Volunteer Survey'!E122)"),"vaid@rocketmail.com")</f>
        <v>vaid@rocketmail.com</v>
      </c>
      <c r="AE123" s="183" t="str">
        <f>IFERROR(__xludf.DUMMYFUNCTION("QUERY('Volunteer Survey'!F122)"),"Biotech Professional with Biochemistry and Genomics background and a Citizen Scientist")</f>
        <v>Biotech Professional with Biochemistry and Genomics background and a Citizen Scientist</v>
      </c>
      <c r="AF123" s="183" t="str">
        <f>IFERROR(__xludf.DUMMYFUNCTION("QUERY('Volunteer Survey'!G122)"),"I came to know about ClinGen curation through the All of Us Research Program (NIH).  Given my background, I understand that in order to take full advantage of the technological advancements in Genomics we need more data and I am excited about this initiat"&amp;"ive by NIH.  The UK BioBank released genomics data of 500,000 Britons and within a couple of days scientists doubled the number of  genetic markers linked to diseases and traits.   ")</f>
        <v>I came to know about ClinGen curation through the All of Us Research Program (NIH).  Given my background, I understand that in order to take full advantage of the technological advancements in Genomics we need more data and I am excited about this initiative by NIH.  The UK BioBank released genomics data of 500,000 Britons and within a couple of days scientists doubled the number of  genetic markers linked to diseases and traits.   </v>
      </c>
      <c r="AG123" s="183" t="str">
        <f>IFERROR(__xludf.DUMMYFUNCTION("QUERY('Volunteer Survey'!H122)"),"Comprehensive")</f>
        <v>Comprehensive</v>
      </c>
      <c r="AH123" s="183" t="str">
        <f>IFERROR(__xludf.DUMMYFUNCTION("QUERY('Volunteer Survey'!I122)"),"Clinical Actionability")</f>
        <v>Clinical Actionability</v>
      </c>
      <c r="AI123" s="183" t="str">
        <f>IFERROR(__xludf.DUMMYFUNCTION("QUERY('Volunteer Survey'!J122)"),"Dosage Sensitivity")</f>
        <v>Dosage Sensitivity</v>
      </c>
      <c r="AJ123" s="183" t="str">
        <f>IFERROR(__xludf.DUMMYFUNCTION("QUERY('Volunteer Survey'!K122)"),"Somatic Cancer")</f>
        <v>Somatic Cancer</v>
      </c>
      <c r="AK123" s="183" t="str">
        <f>IFERROR(__xludf.DUMMYFUNCTION("QUERY('Volunteer Survey'!L122)"),"Gene-Disease Validity")</f>
        <v>Gene-Disease Validity</v>
      </c>
      <c r="AL123" s="183" t="str">
        <f>IFERROR(__xludf.DUMMYFUNCTION("QUERY('Volunteer Survey'!M122)"),"Variant Pathogenicity")</f>
        <v>Variant Pathogenicity</v>
      </c>
      <c r="AM123" s="183" t="str">
        <f>IFERROR(__xludf.DUMMYFUNCTION("QUERY('Volunteer Survey'!N122)"),"No ")</f>
        <v>No </v>
      </c>
      <c r="AN123" s="183" t="str">
        <f>IFERROR(__xludf.DUMMYFUNCTION("QUERY('Volunteer Survey'!O122)"),"Yes")</f>
        <v>Yes</v>
      </c>
      <c r="AO123" s="183" t="str">
        <f>IFERROR(__xludf.DUMMYFUNCTION("QUERY('Volunteer Survey'!P122)"),"")</f>
        <v/>
      </c>
    </row>
    <row r="124">
      <c r="A124" s="50">
        <f>IFERROR(__xludf.DUMMYFUNCTION("QUERY('Volunteer Survey'!A131)"),43531.57807722222)</f>
        <v>43531.57808</v>
      </c>
      <c r="B124" s="48" t="s">
        <v>108</v>
      </c>
      <c r="C124" s="53"/>
      <c r="D124" s="55"/>
      <c r="E124" s="48" t="s">
        <v>130</v>
      </c>
      <c r="F124" s="48" t="s">
        <v>130</v>
      </c>
      <c r="G124" s="48" t="s">
        <v>202</v>
      </c>
      <c r="H124" s="53"/>
      <c r="I124" s="51" t="s">
        <v>139</v>
      </c>
      <c r="J124" s="55"/>
      <c r="K124" s="55"/>
      <c r="L124" s="55" t="str">
        <f>IFERROR(__xludf.DUMMYFUNCTION("QUERY('Volunteer Survey'!B131)"),"Rebekah Waikel")</f>
        <v>Rebekah Waikel</v>
      </c>
      <c r="M124" s="55" t="str">
        <f>IFERROR(__xludf.DUMMYFUNCTION("QUERY('Volunteer Survey'!E131)"),"rebekah.waikel@uky.edu")</f>
        <v>rebekah.waikel@uky.edu</v>
      </c>
      <c r="N124" s="55" t="str">
        <f>IFERROR(__xludf.DUMMYFUNCTION("QUERY('Volunteer Survey'!F131)"),"Clinical laboratory geneticist")</f>
        <v>Clinical laboratory geneticist</v>
      </c>
      <c r="O124" s="48" t="str">
        <f>IFERROR(__xludf.DUMMYFUNCTION("QUERY('Volunteer Survey'!H131)"),"Baseline")</f>
        <v>Baseline</v>
      </c>
      <c r="P124" s="55" t="str">
        <f>IFERROR(__xludf.DUMMYFUNCTION("QUERY('Volunteer Survey'!I131)"),"")</f>
        <v/>
      </c>
      <c r="Q124" s="60" t="str">
        <f>IFERROR(__xludf.DUMMYFUNCTION("QUERY('Volunteer Survey'!J131)"),"")</f>
        <v/>
      </c>
      <c r="R124" s="55" t="str">
        <f>IFERROR(__xludf.DUMMYFUNCTION("QUERY('Volunteer Survey'!K131)"),"")</f>
        <v/>
      </c>
      <c r="S124" s="55" t="str">
        <f>IFERROR(__xludf.DUMMYFUNCTION("QUERY('Volunteer Survey'!L131)"),"")</f>
        <v/>
      </c>
      <c r="T124" s="55" t="str">
        <f>IFERROR(__xludf.DUMMYFUNCTION("QUERY('Volunteer Survey'!M131)"),"")</f>
        <v/>
      </c>
      <c r="U124" s="64" t="str">
        <f>IFERROR(__xludf.DUMMYFUNCTION("QUERY('Volunteer Survey'!N131)"),"")</f>
        <v/>
      </c>
      <c r="V124" s="55" t="str">
        <f>IFERROR(__xludf.DUMMYFUNCTION("QUERY('Volunteer Survey'!O131)"),"Yes")</f>
        <v>Yes</v>
      </c>
      <c r="W124" s="66" t="str">
        <f>IFERROR(__xludf.DUMMYFUNCTION("QUERY('Volunteer Survey'!P131)"),"Inherited cardiopathy")</f>
        <v>Inherited cardiopathy</v>
      </c>
      <c r="X124" s="64" t="str">
        <f>IFERROR(__xludf.DUMMYFUNCTION("QUERY('Volunteer Survey'!R131)"),"Maybe -- please contact me with other options, and I will decide based on what is available")</f>
        <v>Maybe -- please contact me with other options, and I will decide based on what is available</v>
      </c>
      <c r="Y124" s="53"/>
      <c r="Z124" s="182">
        <f>IFERROR(__xludf.DUMMYFUNCTION("QUERY('Volunteer Survey'!A123)"),43504.64437269676)</f>
        <v>43504.64437</v>
      </c>
      <c r="AA124" s="183" t="str">
        <f>IFERROR(__xludf.DUMMYFUNCTION("QUERY('Volunteer Survey'!B123)"),"Ranjit Shetty")</f>
        <v>Ranjit Shetty</v>
      </c>
      <c r="AB124" s="183" t="str">
        <f>IFERROR(__xludf.DUMMYFUNCTION("QUERY('Volunteer Survey'!C123)"),"Novartis")</f>
        <v>Novartis</v>
      </c>
      <c r="AC124" s="183" t="str">
        <f>IFERROR(__xludf.DUMMYFUNCTION("QUERY('Volunteer Survey'!D123)"),"Cambridge MA")</f>
        <v>Cambridge MA</v>
      </c>
      <c r="AD124" s="183" t="str">
        <f>IFERROR(__xludf.DUMMYFUNCTION("QUERY('Volunteer Survey'!E123)"),"ranjit.shetty@novartis.com")</f>
        <v>ranjit.shetty@novartis.com</v>
      </c>
      <c r="AE124" s="183" t="str">
        <f>IFERROR(__xludf.DUMMYFUNCTION("QUERY('Volunteer Survey'!F123)"),"Scientific Researcher")</f>
        <v>Scientific Researcher</v>
      </c>
      <c r="AF124" s="183" t="str">
        <f>IFERROR(__xludf.DUMMYFUNCTION("QUERY('Volunteer Survey'!G123)"),"I work in a Precision Medicine group at Novartis. I have previously used various sources (COSMIC etc) for evaluating my NGS data")</f>
        <v>I work in a Precision Medicine group at Novartis. I have previously used various sources (COSMIC etc) for evaluating my NGS data</v>
      </c>
      <c r="AG124" s="183" t="str">
        <f>IFERROR(__xludf.DUMMYFUNCTION("QUERY('Volunteer Survey'!H123)"),"Comprehensive")</f>
        <v>Comprehensive</v>
      </c>
      <c r="AH124" s="183" t="str">
        <f>IFERROR(__xludf.DUMMYFUNCTION("QUERY('Volunteer Survey'!I123)"),"Somatic Cancer")</f>
        <v>Somatic Cancer</v>
      </c>
      <c r="AI124" s="183" t="str">
        <f>IFERROR(__xludf.DUMMYFUNCTION("QUERY('Volunteer Survey'!J123)"),"Variant Pathogenicity")</f>
        <v>Variant Pathogenicity</v>
      </c>
      <c r="AJ124" s="183" t="str">
        <f>IFERROR(__xludf.DUMMYFUNCTION("QUERY('Volunteer Survey'!K123)"),"Gene-Disease Validity")</f>
        <v>Gene-Disease Validity</v>
      </c>
      <c r="AK124" s="183" t="str">
        <f>IFERROR(__xludf.DUMMYFUNCTION("QUERY('Volunteer Survey'!L123)"),"Clinical Actionability")</f>
        <v>Clinical Actionability</v>
      </c>
      <c r="AL124" s="183" t="str">
        <f>IFERROR(__xludf.DUMMYFUNCTION("QUERY('Volunteer Survey'!M123)"),"Dosage Sensitivity")</f>
        <v>Dosage Sensitivity</v>
      </c>
      <c r="AM124" s="183" t="str">
        <f>IFERROR(__xludf.DUMMYFUNCTION("QUERY('Volunteer Survey'!N123)"),"Evaluating TP53 and NF2 variants from NGS data")</f>
        <v>Evaluating TP53 and NF2 variants from NGS data</v>
      </c>
      <c r="AN124" s="183" t="str">
        <f>IFERROR(__xludf.DUMMYFUNCTION("QUERY('Volunteer Survey'!O123)"),"No")</f>
        <v>No</v>
      </c>
      <c r="AO124" s="183" t="str">
        <f>IFERROR(__xludf.DUMMYFUNCTION("QUERY('Volunteer Survey'!P123)"),"")</f>
        <v/>
      </c>
    </row>
    <row r="125">
      <c r="A125" s="50">
        <f>IFERROR(__xludf.DUMMYFUNCTION("QUERY('Volunteer Survey'!A132)"),43531.608363842584)</f>
        <v>43531.60836</v>
      </c>
      <c r="B125" s="48" t="s">
        <v>108</v>
      </c>
      <c r="C125" s="53"/>
      <c r="D125" s="65">
        <v>43585.0</v>
      </c>
      <c r="E125" s="48" t="s">
        <v>117</v>
      </c>
      <c r="F125" s="48" t="s">
        <v>117</v>
      </c>
      <c r="G125" s="48" t="s">
        <v>122</v>
      </c>
      <c r="H125" s="53"/>
      <c r="I125" s="51" t="s">
        <v>139</v>
      </c>
      <c r="J125" s="56">
        <v>43712.0</v>
      </c>
      <c r="K125" s="56"/>
      <c r="L125" s="55" t="str">
        <f>IFERROR(__xludf.DUMMYFUNCTION("QUERY('Volunteer Survey'!B132)"),"Urjit Patel")</f>
        <v>Urjit Patel</v>
      </c>
      <c r="M125" s="55" t="str">
        <f>IFERROR(__xludf.DUMMYFUNCTION("QUERY('Volunteer Survey'!E132)"),"urjit.x.patel@questdiagnostics.com")</f>
        <v>urjit.x.patel@questdiagnostics.com</v>
      </c>
      <c r="N125" s="55" t="str">
        <f>IFERROR(__xludf.DUMMYFUNCTION("QUERY('Volunteer Survey'!F132)"),"Variant Analyst/Scientist - Industry")</f>
        <v>Variant Analyst/Scientist - Industry</v>
      </c>
      <c r="O125" s="48" t="str">
        <f>IFERROR(__xludf.DUMMYFUNCTION("QUERY('Volunteer Survey'!H132)"),"Comprehensive")</f>
        <v>Comprehensive</v>
      </c>
      <c r="P125" s="55" t="str">
        <f>IFERROR(__xludf.DUMMYFUNCTION("QUERY('Volunteer Survey'!I132)"),"Gene-Disease Validity")</f>
        <v>Gene-Disease Validity</v>
      </c>
      <c r="Q125" s="60" t="str">
        <f>IFERROR(__xludf.DUMMYFUNCTION("QUERY('Volunteer Survey'!J132)"),"Dosage Sensitivity")</f>
        <v>Dosage Sensitivity</v>
      </c>
      <c r="R125" s="55" t="str">
        <f>IFERROR(__xludf.DUMMYFUNCTION("QUERY('Volunteer Survey'!K132)"),"Variant Pathogenicity")</f>
        <v>Variant Pathogenicity</v>
      </c>
      <c r="S125" s="55" t="str">
        <f>IFERROR(__xludf.DUMMYFUNCTION("QUERY('Volunteer Survey'!L132)"),"")</f>
        <v/>
      </c>
      <c r="T125" s="55" t="str">
        <f>IFERROR(__xludf.DUMMYFUNCTION("QUERY('Volunteer Survey'!M132)"),"")</f>
        <v/>
      </c>
      <c r="U125" s="64" t="str">
        <f>IFERROR(__xludf.DUMMYFUNCTION("QUERY('Volunteer Survey'!N132)"),"")</f>
        <v/>
      </c>
      <c r="V125" s="55" t="str">
        <f>IFERROR(__xludf.DUMMYFUNCTION("QUERY('Volunteer Survey'!O132)"),"Possibly")</f>
        <v>Possibly</v>
      </c>
      <c r="W125" s="66" t="str">
        <f>IFERROR(__xludf.DUMMYFUNCTION("QUERY('Volunteer Survey'!P132)"),"")</f>
        <v/>
      </c>
      <c r="X125" s="64" t="str">
        <f>IFERROR(__xludf.DUMMYFUNCTION("QUERY('Volunteer Survey'!R132)"),"Maybe -- please contact me with other options, and I will decide based on what is available")</f>
        <v>Maybe -- please contact me with other options, and I will decide based on what is available</v>
      </c>
      <c r="Y125" s="53"/>
      <c r="Z125" s="182">
        <f>IFERROR(__xludf.DUMMYFUNCTION("QUERY('Volunteer Survey'!A124)"),43510.15695694444)</f>
        <v>43510.15696</v>
      </c>
      <c r="AA125" s="183" t="str">
        <f>IFERROR(__xludf.DUMMYFUNCTION("QUERY('Volunteer Survey'!B124)"),"Brooke H. Miller")</f>
        <v>Brooke H. Miller</v>
      </c>
      <c r="AB125" s="183" t="str">
        <f>IFERROR(__xludf.DUMMYFUNCTION("QUERY('Volunteer Survey'!C124)"),"Self/University of Florida")</f>
        <v>Self/University of Florida</v>
      </c>
      <c r="AC125" s="183" t="str">
        <f>IFERROR(__xludf.DUMMYFUNCTION("QUERY('Volunteer Survey'!D124)"),"4171 San Marino Blvd, Apt. 208, West Palm Beach, FL 33409")</f>
        <v>4171 San Marino Blvd, Apt. 208, West Palm Beach, FL 33409</v>
      </c>
      <c r="AD125" s="183" t="str">
        <f>IFERROR(__xludf.DUMMYFUNCTION("QUERY('Volunteer Survey'!E124)"),"brooke.h.miller@gmail.com")</f>
        <v>brooke.h.miller@gmail.com</v>
      </c>
      <c r="AE125" s="183" t="str">
        <f>IFERROR(__xludf.DUMMYFUNCTION("QUERY('Volunteer Survey'!F124)"),"Scientific Researcher")</f>
        <v>Scientific Researcher</v>
      </c>
      <c r="AF125" s="183" t="str">
        <f>IFERROR(__xludf.DUMMYFUNCTION("QUERY('Volunteer Survey'!G124)"),"Helped a friend interpret a Genomind report, got sucked down rabbit hole of PGX, eventually came across ClinGen via the FDA website")</f>
        <v>Helped a friend interpret a Genomind report, got sucked down rabbit hole of PGX, eventually came across ClinGen via the FDA website</v>
      </c>
      <c r="AG125" s="183" t="str">
        <f>IFERROR(__xludf.DUMMYFUNCTION("QUERY('Volunteer Survey'!H124)"),"Comprehensive")</f>
        <v>Comprehensive</v>
      </c>
      <c r="AH125" s="183" t="str">
        <f>IFERROR(__xludf.DUMMYFUNCTION("QUERY('Volunteer Survey'!I124)"),"Gene-Disease Validity")</f>
        <v>Gene-Disease Validity</v>
      </c>
      <c r="AI125" s="183" t="str">
        <f>IFERROR(__xludf.DUMMYFUNCTION("QUERY('Volunteer Survey'!J124)"),"Variant Pathogenicity")</f>
        <v>Variant Pathogenicity</v>
      </c>
      <c r="AJ125" s="183" t="str">
        <f>IFERROR(__xludf.DUMMYFUNCTION("QUERY('Volunteer Survey'!K124)"),"Clinical Actionability")</f>
        <v>Clinical Actionability</v>
      </c>
      <c r="AK125" s="183" t="str">
        <f>IFERROR(__xludf.DUMMYFUNCTION("QUERY('Volunteer Survey'!L124)"),"")</f>
        <v/>
      </c>
      <c r="AL125" s="183" t="str">
        <f>IFERROR(__xludf.DUMMYFUNCTION("QUERY('Volunteer Survey'!M124)"),"")</f>
        <v/>
      </c>
      <c r="AM125" s="183" t="str">
        <f>IFERROR(__xludf.DUMMYFUNCTION("QUERY('Volunteer Survey'!N124)"),"Yes--used inbred strain haplotype mapping, gene expression analysis, and re-sequencing to identify SNPs associated with behavioral despair and antidepressant efficacy in mice. Research profile available: https://www.researchgate.net/profile/Brooke_Miller3")</f>
        <v>Yes--used inbred strain haplotype mapping, gene expression analysis, and re-sequencing to identify SNPs associated with behavioral despair and antidepressant efficacy in mice. Research profile available: https://www.researchgate.net/profile/Brooke_Miller3</v>
      </c>
      <c r="AN125" s="183" t="str">
        <f>IFERROR(__xludf.DUMMYFUNCTION("QUERY('Volunteer Survey'!O124)"),"Possibly")</f>
        <v>Possibly</v>
      </c>
      <c r="AO125" s="183" t="str">
        <f>IFERROR(__xludf.DUMMYFUNCTION("QUERY('Volunteer Survey'!P124)"),"Not at the moment, but wouldn't rule out future involvement")</f>
        <v>Not at the moment, but wouldn't rule out future involvement</v>
      </c>
    </row>
    <row r="126">
      <c r="A126" s="50">
        <f>IFERROR(__xludf.DUMMYFUNCTION("QUERY('Volunteer Survey'!A133)"),43531.6175765162)</f>
        <v>43531.61758</v>
      </c>
      <c r="B126" s="48" t="s">
        <v>168</v>
      </c>
      <c r="C126" s="53"/>
      <c r="D126" s="73">
        <v>43567.0</v>
      </c>
      <c r="E126" s="48" t="s">
        <v>117</v>
      </c>
      <c r="F126" s="48" t="s">
        <v>117</v>
      </c>
      <c r="G126" s="48" t="s">
        <v>19</v>
      </c>
      <c r="H126" s="69" t="s">
        <v>19</v>
      </c>
      <c r="I126" s="69" t="s">
        <v>139</v>
      </c>
      <c r="J126" s="56">
        <v>43712.0</v>
      </c>
      <c r="K126" s="56"/>
      <c r="L126" s="55" t="str">
        <f>IFERROR(__xludf.DUMMYFUNCTION("QUERY('Volunteer Survey'!B133)"),"Lesley Northrop")</f>
        <v>Lesley Northrop</v>
      </c>
      <c r="M126" s="55" t="str">
        <f>IFERROR(__xludf.DUMMYFUNCTION("QUERY('Volunteer Survey'!E133)"),"lesleyenorthrop@gmail.com")</f>
        <v>lesleyenorthrop@gmail.com</v>
      </c>
      <c r="N126" s="55" t="str">
        <f>IFERROR(__xludf.DUMMYFUNCTION("QUERY('Volunteer Survey'!F133)"),"Clinical laboratory geneticist")</f>
        <v>Clinical laboratory geneticist</v>
      </c>
      <c r="O126" s="48" t="str">
        <f>IFERROR(__xludf.DUMMYFUNCTION("QUERY('Volunteer Survey'!H133)"),"Comprehensive")</f>
        <v>Comprehensive</v>
      </c>
      <c r="P126" s="55" t="str">
        <f>IFERROR(__xludf.DUMMYFUNCTION("QUERY('Volunteer Survey'!I133)"),"Clinical Actionability")</f>
        <v>Clinical Actionability</v>
      </c>
      <c r="Q126" s="60" t="str">
        <f>IFERROR(__xludf.DUMMYFUNCTION("QUERY('Volunteer Survey'!J133)"),"Gene-Disease Validity")</f>
        <v>Gene-Disease Validity</v>
      </c>
      <c r="R126" s="55" t="str">
        <f>IFERROR(__xludf.DUMMYFUNCTION("QUERY('Volunteer Survey'!K133)"),"Variant Pathogenicity")</f>
        <v>Variant Pathogenicity</v>
      </c>
      <c r="S126" s="55" t="str">
        <f>IFERROR(__xludf.DUMMYFUNCTION("QUERY('Volunteer Survey'!L133)"),"Dosage Sensitivity")</f>
        <v>Dosage Sensitivity</v>
      </c>
      <c r="T126" s="55" t="str">
        <f>IFERROR(__xludf.DUMMYFUNCTION("QUERY('Volunteer Survey'!M133)"),"Somatic Cancer")</f>
        <v>Somatic Cancer</v>
      </c>
      <c r="U126" s="64" t="str">
        <f>IFERROR(__xludf.DUMMYFUNCTION("QUERY('Volunteer Survey'!N133)"),"within my own institution designing a panel following ClinGen guidelines")</f>
        <v>within my own institution designing a panel following ClinGen guidelines</v>
      </c>
      <c r="V126" s="55" t="str">
        <f>IFERROR(__xludf.DUMMYFUNCTION("QUERY('Volunteer Survey'!O133)"),"Yes")</f>
        <v>Yes</v>
      </c>
      <c r="W126" s="66" t="str">
        <f>IFERROR(__xludf.DUMMYFUNCTION("QUERY('Volunteer Survey'!P133)"),"Gene Curation - Epilepsy or Autism &amp; ID")</f>
        <v>Gene Curation - Epilepsy or Autism &amp; ID</v>
      </c>
      <c r="X126" s="64" t="str">
        <f>IFERROR(__xludf.DUMMYFUNCTION("QUERY('Volunteer Survey'!R133)"),"Yes- I am willing to volunteer with any available ClinGen group")</f>
        <v>Yes- I am willing to volunteer with any available ClinGen group</v>
      </c>
      <c r="Y126" s="53"/>
      <c r="Z126" s="182">
        <f>IFERROR(__xludf.DUMMYFUNCTION("QUERY('Volunteer Survey'!A125)"),43510.64592836806)</f>
        <v>43510.64593</v>
      </c>
      <c r="AA126" s="183" t="str">
        <f>IFERROR(__xludf.DUMMYFUNCTION("QUERY('Volunteer Survey'!B125)"),"Elizabeth Spiteri")</f>
        <v>Elizabeth Spiteri</v>
      </c>
      <c r="AB126" s="183" t="str">
        <f>IFERROR(__xludf.DUMMYFUNCTION("QUERY('Volunteer Survey'!C125)"),"Stanford Medicine")</f>
        <v>Stanford Medicine</v>
      </c>
      <c r="AC126" s="183" t="str">
        <f>IFERROR(__xludf.DUMMYFUNCTION("QUERY('Volunteer Survey'!D125)"),"901 Varian Way")</f>
        <v>901 Varian Way</v>
      </c>
      <c r="AD126" s="183" t="str">
        <f>IFERROR(__xludf.DUMMYFUNCTION("QUERY('Volunteer Survey'!E125)"),"espiteri@gmail.com")</f>
        <v>espiteri@gmail.com</v>
      </c>
      <c r="AE126" s="183" t="str">
        <f>IFERROR(__xludf.DUMMYFUNCTION("QUERY('Volunteer Survey'!F125)"),"Clinical laboratory geneticist")</f>
        <v>Clinical laboratory geneticist</v>
      </c>
      <c r="AF126" s="183" t="str">
        <f>IFERROR(__xludf.DUMMYFUNCTION("QUERY('Volunteer Survey'!G125)"),"I utilize the ClinGen Dosage Map and noticed there were additional groups being formed")</f>
        <v>I utilize the ClinGen Dosage Map and noticed there were additional groups being formed</v>
      </c>
      <c r="AG126" s="183" t="str">
        <f>IFERROR(__xludf.DUMMYFUNCTION("QUERY('Volunteer Survey'!H125)"),"Comprehensive")</f>
        <v>Comprehensive</v>
      </c>
      <c r="AH126" s="183" t="str">
        <f>IFERROR(__xludf.DUMMYFUNCTION("QUERY('Volunteer Survey'!I125)"),"Dosage Sensitivity")</f>
        <v>Dosage Sensitivity</v>
      </c>
      <c r="AI126" s="183" t="str">
        <f>IFERROR(__xludf.DUMMYFUNCTION("QUERY('Volunteer Survey'!J125)"),"Somatic Cancer")</f>
        <v>Somatic Cancer</v>
      </c>
      <c r="AJ126" s="183" t="str">
        <f>IFERROR(__xludf.DUMMYFUNCTION("QUERY('Volunteer Survey'!K125)"),"Gene-Disease Validity")</f>
        <v>Gene-Disease Validity</v>
      </c>
      <c r="AK126" s="183" t="str">
        <f>IFERROR(__xludf.DUMMYFUNCTION("QUERY('Volunteer Survey'!L125)"),"Variant Pathogenicity")</f>
        <v>Variant Pathogenicity</v>
      </c>
      <c r="AL126" s="183" t="str">
        <f>IFERROR(__xludf.DUMMYFUNCTION("QUERY('Volunteer Survey'!M125)"),"")</f>
        <v/>
      </c>
      <c r="AM126" s="183" t="str">
        <f>IFERROR(__xludf.DUMMYFUNCTION("QUERY('Volunteer Survey'!N125)"),"I have participated in a Clinical Genomics Consortium for Copy Number Variants")</f>
        <v>I have participated in a Clinical Genomics Consortium for Copy Number Variants</v>
      </c>
      <c r="AN126" s="183" t="str">
        <f>IFERROR(__xludf.DUMMYFUNCTION("QUERY('Volunteer Survey'!O125)"),"Yes")</f>
        <v>Yes</v>
      </c>
      <c r="AO126" s="183" t="str">
        <f>IFERROR(__xludf.DUMMYFUNCTION("QUERY('Volunteer Survey'!P125)"),"In addition to the somatic panel curation I would also be interested in Breast/Ovarian or Colon Cancer Expert panels ")</f>
        <v>In addition to the somatic panel curation I would also be interested in Breast/Ovarian or Colon Cancer Expert panels </v>
      </c>
    </row>
    <row r="127" ht="18.0" customHeight="1">
      <c r="A127" s="50">
        <f>IFERROR(__xludf.DUMMYFUNCTION("QUERY('Volunteer Survey'!A134)"),43535.006761145836)</f>
        <v>43535.00676</v>
      </c>
      <c r="B127" s="48" t="s">
        <v>168</v>
      </c>
      <c r="C127" s="53"/>
      <c r="D127" s="55"/>
      <c r="E127" s="48" t="s">
        <v>130</v>
      </c>
      <c r="F127" s="48" t="s">
        <v>130</v>
      </c>
      <c r="G127" s="48" t="s">
        <v>163</v>
      </c>
      <c r="H127" s="53"/>
      <c r="I127" s="51" t="s">
        <v>139</v>
      </c>
      <c r="J127" s="55"/>
      <c r="K127" s="55"/>
      <c r="L127" s="55" t="str">
        <f>IFERROR(__xludf.DUMMYFUNCTION("QUERY('Volunteer Survey'!B134)"),"Hafsa Amtul")</f>
        <v>Hafsa Amtul</v>
      </c>
      <c r="M127" s="55" t="str">
        <f>IFERROR(__xludf.DUMMYFUNCTION("QUERY('Volunteer Survey'!E134)"),"hafsa.amtul2502@gmail.com")</f>
        <v>hafsa.amtul2502@gmail.com</v>
      </c>
      <c r="N127" s="55" t="str">
        <f>IFERROR(__xludf.DUMMYFUNCTION("QUERY('Volunteer Survey'!F134)"),"Scientific Researcher")</f>
        <v>Scientific Researcher</v>
      </c>
      <c r="O127" s="48" t="str">
        <f>IFERROR(__xludf.DUMMYFUNCTION("QUERY('Volunteer Survey'!H134)"),"Comprehensive")</f>
        <v>Comprehensive</v>
      </c>
      <c r="P127" s="55" t="str">
        <f>IFERROR(__xludf.DUMMYFUNCTION("QUERY('Volunteer Survey'!I134)"),"Dosage Sensitivity")</f>
        <v>Dosage Sensitivity</v>
      </c>
      <c r="Q127" s="60" t="str">
        <f>IFERROR(__xludf.DUMMYFUNCTION("QUERY('Volunteer Survey'!J134)"),"Clinical Actionability")</f>
        <v>Clinical Actionability</v>
      </c>
      <c r="R127" s="55" t="str">
        <f>IFERROR(__xludf.DUMMYFUNCTION("QUERY('Volunteer Survey'!K134)"),"Gene-Disease Validity")</f>
        <v>Gene-Disease Validity</v>
      </c>
      <c r="S127" s="55" t="str">
        <f>IFERROR(__xludf.DUMMYFUNCTION("QUERY('Volunteer Survey'!L134)"),"Somatic Cancer")</f>
        <v>Somatic Cancer</v>
      </c>
      <c r="T127" s="55" t="str">
        <f>IFERROR(__xludf.DUMMYFUNCTION("QUERY('Volunteer Survey'!M134)"),"Variant Pathogenicity")</f>
        <v>Variant Pathogenicity</v>
      </c>
      <c r="U127" s="64" t="str">
        <f>IFERROR(__xludf.DUMMYFUNCTION("QUERY('Volunteer Survey'!N134)"),"drug toxicity associated with tpmt genetic variants *1, *2, *3A, *3B")</f>
        <v>drug toxicity associated with tpmt genetic variants *1, *2, *3A, *3B</v>
      </c>
      <c r="V127" s="55" t="str">
        <f>IFERROR(__xludf.DUMMYFUNCTION("QUERY('Volunteer Survey'!O134)"),"Yes")</f>
        <v>Yes</v>
      </c>
      <c r="W127" s="66" t="str">
        <f>IFERROR(__xludf.DUMMYFUNCTION("QUERY('Volunteer Survey'!P134)"),"Dosage- Neurodevelopemental, Pediatric, Nonsmall cell lung cancer, 
Somatic TP53 ")</f>
        <v>Dosage- Neurodevelopemental, Pediatric, Nonsmall cell lung cancer, 
Somatic TP53 </v>
      </c>
      <c r="X127" s="64" t="str">
        <f>IFERROR(__xludf.DUMMYFUNCTION("QUERY('Volunteer Survey'!R134)"),"Maybe -- please contact me with other options, and I will decide based on what is available")</f>
        <v>Maybe -- please contact me with other options, and I will decide based on what is available</v>
      </c>
      <c r="Y127" s="53"/>
      <c r="Z127" s="182">
        <f>IFERROR(__xludf.DUMMYFUNCTION("QUERY('Volunteer Survey'!A126)"),43511.51492671297)</f>
        <v>43511.51493</v>
      </c>
      <c r="AA127" s="183" t="str">
        <f>IFERROR(__xludf.DUMMYFUNCTION("QUERY('Volunteer Survey'!B126)"),"Yasser Sullcahuaman")</f>
        <v>Yasser Sullcahuaman</v>
      </c>
      <c r="AB127" s="183" t="str">
        <f>IFERROR(__xludf.DUMMYFUNCTION("QUERY('Volunteer Survey'!C126)"),"Instituto Nacional de Enfermedades Neoplasicas")</f>
        <v>Instituto Nacional de Enfermedades Neoplasicas</v>
      </c>
      <c r="AC127" s="183" t="str">
        <f>IFERROR(__xludf.DUMMYFUNCTION("QUERY('Volunteer Survey'!D126)"),"Av. Angamos Este  F- 53, Urb. Juan XXII, Distrito de San Borja, LIMA- Peru")</f>
        <v>Av. Angamos Este  F- 53, Urb. Juan XXII, Distrito de San Borja, LIMA- Peru</v>
      </c>
      <c r="AD127" s="183" t="str">
        <f>IFERROR(__xludf.DUMMYFUNCTION("QUERY('Volunteer Survey'!E126)"),"ysullcahuaman@gmail.com")</f>
        <v>ysullcahuaman@gmail.com</v>
      </c>
      <c r="AE127" s="183" t="str">
        <f>IFERROR(__xludf.DUMMYFUNCTION("QUERY('Volunteer Survey'!F126)"),"Clinical Medical Geneticist")</f>
        <v>Clinical Medical Geneticist</v>
      </c>
      <c r="AF127" s="183" t="str">
        <f>IFERROR(__xludf.DUMMYFUNCTION("QUERY('Volunteer Survey'!G126)"),"I am interested because I am a geneticist and every year I treat more than 500 patients with suspected hereditary cancer and many times the results of the genetic test are not clear and the relation of the genotype to the phenotype is still to be determin"&amp;"ed.I found clingen online while looking for how to classify genetic variants of Peruvian population")</f>
        <v>I am interested because I am a geneticist and every year I treat more than 500 patients with suspected hereditary cancer and many times the results of the genetic test are not clear and the relation of the genotype to the phenotype is still to be determined.I found clingen online while looking for how to classify genetic variants of Peruvian population</v>
      </c>
      <c r="AG127" s="183" t="str">
        <f>IFERROR(__xludf.DUMMYFUNCTION("QUERY('Volunteer Survey'!H126)"),"Comprehensive")</f>
        <v>Comprehensive</v>
      </c>
      <c r="AH127" s="183" t="str">
        <f>IFERROR(__xludf.DUMMYFUNCTION("QUERY('Volunteer Survey'!I126)"),"Variant Pathogenicity")</f>
        <v>Variant Pathogenicity</v>
      </c>
      <c r="AI127" s="183" t="str">
        <f>IFERROR(__xludf.DUMMYFUNCTION("QUERY('Volunteer Survey'!J126)"),"Gene-Disease Validity")</f>
        <v>Gene-Disease Validity</v>
      </c>
      <c r="AJ127" s="183" t="str">
        <f>IFERROR(__xludf.DUMMYFUNCTION("QUERY('Volunteer Survey'!K126)"),"Clinical Actionability")</f>
        <v>Clinical Actionability</v>
      </c>
      <c r="AK127" s="183" t="str">
        <f>IFERROR(__xludf.DUMMYFUNCTION("QUERY('Volunteer Survey'!L126)"),"Somatic Cancer")</f>
        <v>Somatic Cancer</v>
      </c>
      <c r="AL127" s="183" t="str">
        <f>IFERROR(__xludf.DUMMYFUNCTION("QUERY('Volunteer Survey'!M126)"),"Dosage Sensitivity")</f>
        <v>Dosage Sensitivity</v>
      </c>
      <c r="AM127" s="183" t="str">
        <f>IFERROR(__xludf.DUMMYFUNCTION("QUERY('Volunteer Survey'!N126)"),"")</f>
        <v/>
      </c>
      <c r="AN127" s="183" t="str">
        <f>IFERROR(__xludf.DUMMYFUNCTION("QUERY('Volunteer Survey'!O126)"),"Possibly")</f>
        <v>Possibly</v>
      </c>
      <c r="AO127" s="183" t="str">
        <f>IFERROR(__xludf.DUMMYFUNCTION("QUERY('Volunteer Survey'!P126)"),"")</f>
        <v/>
      </c>
    </row>
    <row r="128">
      <c r="A128" s="50">
        <f>IFERROR(__xludf.DUMMYFUNCTION("QUERY('Volunteer Survey'!A135)"),43537.38783907407)</f>
        <v>43537.38784</v>
      </c>
      <c r="B128" s="48" t="s">
        <v>108</v>
      </c>
      <c r="C128" s="53"/>
      <c r="D128" s="55"/>
      <c r="E128" s="48" t="s">
        <v>130</v>
      </c>
      <c r="F128" s="48" t="s">
        <v>130</v>
      </c>
      <c r="G128" s="48" t="s">
        <v>202</v>
      </c>
      <c r="H128" s="53"/>
      <c r="I128" s="51" t="s">
        <v>139</v>
      </c>
      <c r="J128" s="55"/>
      <c r="K128" s="55"/>
      <c r="L128" s="55" t="str">
        <f>IFERROR(__xludf.DUMMYFUNCTION("QUERY('Volunteer Survey'!B135)"),"Manya Warrier")</f>
        <v>Manya Warrier</v>
      </c>
      <c r="M128" s="55" t="str">
        <f>IFERROR(__xludf.DUMMYFUNCTION("QUERY('Volunteer Survey'!E135)"),"manyawarrier@gmail.com")</f>
        <v>manyawarrier@gmail.com</v>
      </c>
      <c r="N128" s="55" t="str">
        <f>IFERROR(__xludf.DUMMYFUNCTION("QUERY('Volunteer Survey'!F135)"),"Variant Analyst/Scientist - Industry")</f>
        <v>Variant Analyst/Scientist - Industry</v>
      </c>
      <c r="O128" s="48" t="str">
        <f>IFERROR(__xludf.DUMMYFUNCTION("QUERY('Volunteer Survey'!H135)"),"Baseline")</f>
        <v>Baseline</v>
      </c>
      <c r="P128" s="55" t="str">
        <f>IFERROR(__xludf.DUMMYFUNCTION("QUERY('Volunteer Survey'!I135)"),"")</f>
        <v/>
      </c>
      <c r="Q128" s="60" t="str">
        <f>IFERROR(__xludf.DUMMYFUNCTION("QUERY('Volunteer Survey'!J135)"),"")</f>
        <v/>
      </c>
      <c r="R128" s="55" t="str">
        <f>IFERROR(__xludf.DUMMYFUNCTION("QUERY('Volunteer Survey'!K135)"),"")</f>
        <v/>
      </c>
      <c r="S128" s="55" t="str">
        <f>IFERROR(__xludf.DUMMYFUNCTION("QUERY('Volunteer Survey'!L135)"),"")</f>
        <v/>
      </c>
      <c r="T128" s="55" t="str">
        <f>IFERROR(__xludf.DUMMYFUNCTION("QUERY('Volunteer Survey'!M135)"),"")</f>
        <v/>
      </c>
      <c r="U128" s="64" t="str">
        <f>IFERROR(__xludf.DUMMYFUNCTION("QUERY('Volunteer Survey'!N135)"),"")</f>
        <v/>
      </c>
      <c r="V128" s="55" t="str">
        <f>IFERROR(__xludf.DUMMYFUNCTION("QUERY('Volunteer Survey'!O135)"),"Possibly")</f>
        <v>Possibly</v>
      </c>
      <c r="W128" s="66" t="str">
        <f>IFERROR(__xludf.DUMMYFUNCTION("QUERY('Volunteer Survey'!P135)"),"")</f>
        <v/>
      </c>
      <c r="X128" s="64" t="str">
        <f>IFERROR(__xludf.DUMMYFUNCTION("QUERY('Volunteer Survey'!R135)"),"Yes- I am willing to volunteer with any available ClinGen group")</f>
        <v>Yes- I am willing to volunteer with any available ClinGen group</v>
      </c>
      <c r="Y128" s="53"/>
      <c r="Z128" s="182">
        <f>IFERROR(__xludf.DUMMYFUNCTION("QUERY('Volunteer Survey'!A127)"),43515.32583059028)</f>
        <v>43515.32583</v>
      </c>
      <c r="AA128" s="183" t="str">
        <f>IFERROR(__xludf.DUMMYFUNCTION("QUERY('Volunteer Survey'!B127)"),"HUILING XU")</f>
        <v>HUILING XU</v>
      </c>
      <c r="AB128" s="183" t="str">
        <f>IFERROR(__xludf.DUMMYFUNCTION("QUERY('Volunteer Survey'!C127)"),"Peter MacCallum Cancer Centre")</f>
        <v>Peter MacCallum Cancer Centre</v>
      </c>
      <c r="AC128" s="183" t="str">
        <f>IFERROR(__xludf.DUMMYFUNCTION("QUERY('Volunteer Survey'!D127)"),"305 Grattan Street
Melbourne VIC 3000
Australia")</f>
        <v>305 Grattan Street
Melbourne VIC 3000
Australia</v>
      </c>
      <c r="AD128" s="183" t="str">
        <f>IFERROR(__xludf.DUMMYFUNCTION("QUERY('Volunteer Survey'!E127)"),"huiling.xu@petermac.org")</f>
        <v>huiling.xu@petermac.org</v>
      </c>
      <c r="AE128" s="183" t="str">
        <f>IFERROR(__xludf.DUMMYFUNCTION("QUERY('Volunteer Survey'!F127)"),"Variant Analyst/Scientist - Academic")</f>
        <v>Variant Analyst/Scientist - Academic</v>
      </c>
      <c r="AF128" s="183" t="str">
        <f>IFERROR(__xludf.DUMMYFUNCTION("QUERY('Volunteer Survey'!G127)"),"The clinicalgenome.org website")</f>
        <v>The clinicalgenome.org website</v>
      </c>
      <c r="AG128" s="183" t="str">
        <f>IFERROR(__xludf.DUMMYFUNCTION("QUERY('Volunteer Survey'!H127)"),"Comprehensive")</f>
        <v>Comprehensive</v>
      </c>
      <c r="AH128" s="183" t="str">
        <f>IFERROR(__xludf.DUMMYFUNCTION("QUERY('Volunteer Survey'!I127)"),"Somatic Cancer")</f>
        <v>Somatic Cancer</v>
      </c>
      <c r="AI128" s="183" t="str">
        <f>IFERROR(__xludf.DUMMYFUNCTION("QUERY('Volunteer Survey'!J127)"),"")</f>
        <v/>
      </c>
      <c r="AJ128" s="183" t="str">
        <f>IFERROR(__xludf.DUMMYFUNCTION("QUERY('Volunteer Survey'!K127)"),"")</f>
        <v/>
      </c>
      <c r="AK128" s="183" t="str">
        <f>IFERROR(__xludf.DUMMYFUNCTION("QUERY('Volunteer Survey'!L127)"),"")</f>
        <v/>
      </c>
      <c r="AL128" s="183" t="str">
        <f>IFERROR(__xludf.DUMMYFUNCTION("QUERY('Volunteer Survey'!M127)"),"")</f>
        <v/>
      </c>
      <c r="AM128" s="183" t="str">
        <f>IFERROR(__xludf.DUMMYFUNCTION("QUERY('Volunteer Survey'!N127)"),"I am a senior clinical genomic analyst/scientist in the Molecular Pathology Section of the Department of Pathology, Peter MacCallum Cancer Centre, Australia. I have been involved in interpreting and reporting cancer genomic alterations to guide targeted t"&amp;"herapy in multiple government-funded prospective precision oncology programs for the past four years. I have extensive knowledge of clinical laboratory practise, cancer biology, targeted therapy, and clinical care. 
I am also a researcher with 20 years c"&amp;"ancer research experience and have a strong track record in cancer research. I have a career total of 54 publications including a number of papers in the highly influential clinical and scientific journals.")</f>
        <v>I am a senior clinical genomic analyst/scientist in the Molecular Pathology Section of the Department of Pathology, Peter MacCallum Cancer Centre, Australia. I have been involved in interpreting and reporting cancer genomic alterations to guide targeted therapy in multiple government-funded prospective precision oncology programs for the past four years. I have extensive knowledge of clinical laboratory practise, cancer biology, targeted therapy, and clinical care. 
I am also a researcher with 20 years cancer research experience and have a strong track record in cancer research. I have a career total of 54 publications including a number of papers in the highly influential clinical and scientific journals.</v>
      </c>
      <c r="AN128" s="183" t="str">
        <f>IFERROR(__xludf.DUMMYFUNCTION("QUERY('Volunteer Survey'!O127)"),"Yes")</f>
        <v>Yes</v>
      </c>
      <c r="AO128" s="183" t="str">
        <f>IFERROR(__xludf.DUMMYFUNCTION("QUERY('Volunteer Survey'!P127)"),"Somatic cancer working groups")</f>
        <v>Somatic cancer working groups</v>
      </c>
    </row>
    <row r="129">
      <c r="A129" s="50">
        <f>IFERROR(__xludf.DUMMYFUNCTION("QUERY('Volunteer Survey'!A136)"),43542.63785333333)</f>
        <v>43542.63785</v>
      </c>
      <c r="B129" s="48" t="s">
        <v>108</v>
      </c>
      <c r="C129" s="53"/>
      <c r="D129" s="49">
        <v>43570.0</v>
      </c>
      <c r="E129" s="48" t="s">
        <v>117</v>
      </c>
      <c r="F129" s="48" t="s">
        <v>117</v>
      </c>
      <c r="G129" s="48" t="s">
        <v>122</v>
      </c>
      <c r="H129" s="51" t="s">
        <v>123</v>
      </c>
      <c r="I129" s="51" t="s">
        <v>139</v>
      </c>
      <c r="J129" s="56">
        <v>43712.0</v>
      </c>
      <c r="K129" s="56"/>
      <c r="L129" s="55" t="str">
        <f>IFERROR(__xludf.DUMMYFUNCTION("QUERY('Volunteer Survey'!B136)"),"Angela Pickart")</f>
        <v>Angela Pickart</v>
      </c>
      <c r="M129" s="55" t="str">
        <f>IFERROR(__xludf.DUMMYFUNCTION("QUERY('Volunteer Survey'!E136)"),"pickart.angela@mayo.edu")</f>
        <v>pickart.angela@mayo.edu</v>
      </c>
      <c r="N129" s="55" t="str">
        <f>IFERROR(__xludf.DUMMYFUNCTION("QUERY('Volunteer Survey'!F136)"),"Genetic counselor")</f>
        <v>Genetic counselor</v>
      </c>
      <c r="O129" s="48" t="str">
        <f>IFERROR(__xludf.DUMMYFUNCTION("QUERY('Volunteer Survey'!H136)"),"Comprehensive")</f>
        <v>Comprehensive</v>
      </c>
      <c r="P129" s="55" t="str">
        <f>IFERROR(__xludf.DUMMYFUNCTION("QUERY('Volunteer Survey'!I136)"),"Gene-Disease Validity")</f>
        <v>Gene-Disease Validity</v>
      </c>
      <c r="Q129" s="60" t="str">
        <f>IFERROR(__xludf.DUMMYFUNCTION("QUERY('Volunteer Survey'!J136)"),"Variant Pathogenicity")</f>
        <v>Variant Pathogenicity</v>
      </c>
      <c r="R129" s="55" t="str">
        <f>IFERROR(__xludf.DUMMYFUNCTION("QUERY('Volunteer Survey'!K136)"),"")</f>
        <v/>
      </c>
      <c r="S129" s="55" t="str">
        <f>IFERROR(__xludf.DUMMYFUNCTION("QUERY('Volunteer Survey'!L136)"),"")</f>
        <v/>
      </c>
      <c r="T129" s="55" t="str">
        <f>IFERROR(__xludf.DUMMYFUNCTION("QUERY('Volunteer Survey'!M136)"),"")</f>
        <v/>
      </c>
      <c r="U129" s="64" t="str">
        <f>IFERROR(__xludf.DUMMYFUNCTION("QUERY('Volunteer Survey'!N136)"),"I work for a clinical laboratory and both assess gene-disease validity and provide variant annotation for a variety of molecular tests, including large epilepsy panels")</f>
        <v>I work for a clinical laboratory and both assess gene-disease validity and provide variant annotation for a variety of molecular tests, including large epilepsy panels</v>
      </c>
      <c r="V129" s="55" t="str">
        <f>IFERROR(__xludf.DUMMYFUNCTION("QUERY('Volunteer Survey'!O136)"),"Possibly")</f>
        <v>Possibly</v>
      </c>
      <c r="W129" s="66" t="str">
        <f>IFERROR(__xludf.DUMMYFUNCTION("QUERY('Volunteer Survey'!P136)"),"Epilepsy")</f>
        <v>Epilepsy</v>
      </c>
      <c r="X129" s="64" t="str">
        <f>IFERROR(__xludf.DUMMYFUNCTION("QUERY('Volunteer Survey'!R136)"),"Maybe -- please contact me with other options, and I will decide based on what is available")</f>
        <v>Maybe -- please contact me with other options, and I will decide based on what is available</v>
      </c>
      <c r="Y129" s="53"/>
      <c r="Z129" s="182">
        <f>IFERROR(__xludf.DUMMYFUNCTION("QUERY('Volunteer Survey'!A128)"),43524.49831216435)</f>
        <v>43524.49831</v>
      </c>
      <c r="AA129" s="183" t="str">
        <f>IFERROR(__xludf.DUMMYFUNCTION("QUERY('Volunteer Survey'!B128)"),"Nilufar Inamdar")</f>
        <v>Nilufar Inamdar</v>
      </c>
      <c r="AB129" s="183" t="str">
        <f>IFERROR(__xludf.DUMMYFUNCTION("QUERY('Volunteer Survey'!C128)"),"Cairo Diagnostics (Part time project)")</f>
        <v>Cairo Diagnostics (Part time project)</v>
      </c>
      <c r="AC129" s="183" t="str">
        <f>IFERROR(__xludf.DUMMYFUNCTION("QUERY('Volunteer Survey'!D128)"),"43-23 Colden St, Flushing, NY 11355")</f>
        <v>43-23 Colden St, Flushing, NY 11355</v>
      </c>
      <c r="AD129" s="183" t="str">
        <f>IFERROR(__xludf.DUMMYFUNCTION("QUERY('Volunteer Survey'!E128)"),"inamdar555@yahoo.com")</f>
        <v>inamdar555@yahoo.com</v>
      </c>
      <c r="AE129" s="183" t="str">
        <f>IFERROR(__xludf.DUMMYFUNCTION("QUERY('Volunteer Survey'!F128)"),"Clinical laboratory geneticist")</f>
        <v>Clinical laboratory geneticist</v>
      </c>
      <c r="AF129" s="183" t="str">
        <f>IFERROR(__xludf.DUMMYFUNCTION("QUERY('Volunteer Survey'!G128)"),"The clinicalgenome.org website")</f>
        <v>The clinicalgenome.org website</v>
      </c>
      <c r="AG129" s="183" t="str">
        <f>IFERROR(__xludf.DUMMYFUNCTION("QUERY('Volunteer Survey'!H128)"),"Comprehensive")</f>
        <v>Comprehensive</v>
      </c>
      <c r="AH129" s="183" t="str">
        <f>IFERROR(__xludf.DUMMYFUNCTION("QUERY('Volunteer Survey'!I128)"),"Gene-Disease Validity")</f>
        <v>Gene-Disease Validity</v>
      </c>
      <c r="AI129" s="183" t="str">
        <f>IFERROR(__xludf.DUMMYFUNCTION("QUERY('Volunteer Survey'!J128)"),"Dosage Sensitivity")</f>
        <v>Dosage Sensitivity</v>
      </c>
      <c r="AJ129" s="183" t="str">
        <f>IFERROR(__xludf.DUMMYFUNCTION("QUERY('Volunteer Survey'!K128)"),"Variant Pathogenicity")</f>
        <v>Variant Pathogenicity</v>
      </c>
      <c r="AK129" s="183" t="str">
        <f>IFERROR(__xludf.DUMMYFUNCTION("QUERY('Volunteer Survey'!L128)"),"Somatic Cancer")</f>
        <v>Somatic Cancer</v>
      </c>
      <c r="AL129" s="183" t="str">
        <f>IFERROR(__xludf.DUMMYFUNCTION("QUERY('Volunteer Survey'!M128)"),"Clinical Actionability")</f>
        <v>Clinical Actionability</v>
      </c>
      <c r="AM129" s="183" t="str">
        <f>IFERROR(__xludf.DUMMYFUNCTION("QUERY('Volunteer Survey'!N128)"),"No")</f>
        <v>No</v>
      </c>
      <c r="AN129" s="183" t="str">
        <f>IFERROR(__xludf.DUMMYFUNCTION("QUERY('Volunteer Survey'!O128)"),"Yes")</f>
        <v>Yes</v>
      </c>
      <c r="AO129" s="183" t="str">
        <f>IFERROR(__xludf.DUMMYFUNCTION("QUERY('Volunteer Survey'!P128)"),"Mitochondrial or Aminoaciopathy")</f>
        <v>Mitochondrial or Aminoaciopathy</v>
      </c>
    </row>
    <row r="130">
      <c r="A130" s="50">
        <f>IFERROR(__xludf.DUMMYFUNCTION("QUERY('Volunteer Survey'!A137)"),43543.44051402778)</f>
        <v>43543.44051</v>
      </c>
      <c r="B130" s="48" t="s">
        <v>160</v>
      </c>
      <c r="C130" s="53"/>
      <c r="D130" s="65">
        <v>43605.0</v>
      </c>
      <c r="E130" s="48" t="s">
        <v>117</v>
      </c>
      <c r="F130" s="48" t="s">
        <v>117</v>
      </c>
      <c r="G130" s="48" t="s">
        <v>251</v>
      </c>
      <c r="H130" s="51" t="s">
        <v>248</v>
      </c>
      <c r="I130" s="51" t="s">
        <v>139</v>
      </c>
      <c r="J130" s="56">
        <v>43712.0</v>
      </c>
      <c r="K130" s="56"/>
      <c r="L130" s="55" t="str">
        <f>IFERROR(__xludf.DUMMYFUNCTION("QUERY('Volunteer Survey'!B137)"),"Jing Xie")</f>
        <v>Jing Xie</v>
      </c>
      <c r="M130" s="55" t="str">
        <f>IFERROR(__xludf.DUMMYFUNCTION("QUERY('Volunteer Survey'!E137)"),"jingxiegene@gmail.com")</f>
        <v>jingxiegene@gmail.com</v>
      </c>
      <c r="N130" s="55" t="str">
        <f>IFERROR(__xludf.DUMMYFUNCTION("QUERY('Volunteer Survey'!F137)"),"Clinical laboratory geneticist")</f>
        <v>Clinical laboratory geneticist</v>
      </c>
      <c r="O130" s="48" t="str">
        <f>IFERROR(__xludf.DUMMYFUNCTION("QUERY('Volunteer Survey'!H137)"),"Comprehensive")</f>
        <v>Comprehensive</v>
      </c>
      <c r="P130" s="55" t="str">
        <f>IFERROR(__xludf.DUMMYFUNCTION("QUERY('Volunteer Survey'!I137)"),"Variant Pathogenicity")</f>
        <v>Variant Pathogenicity</v>
      </c>
      <c r="Q130" s="60" t="str">
        <f>IFERROR(__xludf.DUMMYFUNCTION("QUERY('Volunteer Survey'!J137)"),"Gene-Disease Validity")</f>
        <v>Gene-Disease Validity</v>
      </c>
      <c r="R130" s="55" t="str">
        <f>IFERROR(__xludf.DUMMYFUNCTION("QUERY('Volunteer Survey'!K137)"),"Clinical Actionability")</f>
        <v>Clinical Actionability</v>
      </c>
      <c r="S130" s="55" t="str">
        <f>IFERROR(__xludf.DUMMYFUNCTION("QUERY('Volunteer Survey'!L137)"),"Dosage Sensitivity")</f>
        <v>Dosage Sensitivity</v>
      </c>
      <c r="T130" s="55" t="str">
        <f>IFERROR(__xludf.DUMMYFUNCTION("QUERY('Volunteer Survey'!M137)"),"Somatic Cancer")</f>
        <v>Somatic Cancer</v>
      </c>
      <c r="U130" s="64" t="str">
        <f>IFERROR(__xludf.DUMMYFUNCTION("QUERY('Volunteer Survey'!N137)"),"Yes, as a clinical laboratory director, I have been heavily involved in variant pathogenicity evaluation myself and variant analyst training. Meanwhile, I also worked on gene-disease curation periodically for our interpretation pipeline. ")</f>
        <v>Yes, as a clinical laboratory director, I have been heavily involved in variant pathogenicity evaluation myself and variant analyst training. Meanwhile, I also worked on gene-disease curation periodically for our interpretation pipeline. </v>
      </c>
      <c r="V130" s="55" t="str">
        <f>IFERROR(__xludf.DUMMYFUNCTION("QUERY('Volunteer Survey'!O137)"),"Yes")</f>
        <v>Yes</v>
      </c>
      <c r="W130" s="66" t="str">
        <f>IFERROR(__xludf.DUMMYFUNCTION("QUERY('Volunteer Survey'!P137)"),"Gene Curation Panel: Hereditary Cancer; Storage Diseases. Variant Curation Panel: Breast/Ovarian Cancer; Colorectal Cancer; Fatty Acid Oxidation; Cerebral Creatine Deficiency Syndrome")</f>
        <v>Gene Curation Panel: Hereditary Cancer; Storage Diseases. Variant Curation Panel: Breast/Ovarian Cancer; Colorectal Cancer; Fatty Acid Oxidation; Cerebral Creatine Deficiency Syndrome</v>
      </c>
      <c r="X130" s="64" t="str">
        <f>IFERROR(__xludf.DUMMYFUNCTION("QUERY('Volunteer Survey'!R137)"),"Yes- I am willing to volunteer with any available ClinGen group")</f>
        <v>Yes- I am willing to volunteer with any available ClinGen group</v>
      </c>
      <c r="Y130" s="51" t="s">
        <v>349</v>
      </c>
      <c r="Z130" s="182">
        <f>IFERROR(__xludf.DUMMYFUNCTION("QUERY('Volunteer Survey'!A129)"),43525.50388739583)</f>
        <v>43525.50389</v>
      </c>
      <c r="AA130" s="183" t="str">
        <f>IFERROR(__xludf.DUMMYFUNCTION("QUERY('Volunteer Survey'!B129)"),"Michael McLachlan")</f>
        <v>Michael McLachlan</v>
      </c>
      <c r="AB130" s="183" t="str">
        <f>IFERROR(__xludf.DUMMYFUNCTION("QUERY('Volunteer Survey'!C129)"),"Fujifilm Cellular Dynamics, Inc")</f>
        <v>Fujifilm Cellular Dynamics, Inc</v>
      </c>
      <c r="AC130" s="183" t="str">
        <f>IFERROR(__xludf.DUMMYFUNCTION("QUERY('Volunteer Survey'!D129)"),"1102 Feather Edge Dr")</f>
        <v>1102 Feather Edge Dr</v>
      </c>
      <c r="AD130" s="183" t="str">
        <f>IFERROR(__xludf.DUMMYFUNCTION("QUERY('Volunteer Survey'!E129)"),"mikejmclachlan@gmail.com")</f>
        <v>mikejmclachlan@gmail.com</v>
      </c>
      <c r="AE130" s="183" t="str">
        <f>IFERROR(__xludf.DUMMYFUNCTION("QUERY('Volunteer Survey'!F129)"),"Scientific Researcher")</f>
        <v>Scientific Researcher</v>
      </c>
      <c r="AF130" s="183" t="str">
        <f>IFERROR(__xludf.DUMMYFUNCTION("QUERY('Volunteer Survey'!G129)"),"The clinicalgenome.org website")</f>
        <v>The clinicalgenome.org website</v>
      </c>
      <c r="AG130" s="183" t="str">
        <f>IFERROR(__xludf.DUMMYFUNCTION("QUERY('Volunteer Survey'!H129)"),"Comprehensive")</f>
        <v>Comprehensive</v>
      </c>
      <c r="AH130" s="183" t="str">
        <f>IFERROR(__xludf.DUMMYFUNCTION("QUERY('Volunteer Survey'!I129)"),"Variant Pathogenicity")</f>
        <v>Variant Pathogenicity</v>
      </c>
      <c r="AI130" s="183" t="str">
        <f>IFERROR(__xludf.DUMMYFUNCTION("QUERY('Volunteer Survey'!J129)"),"Gene-Disease Validity")</f>
        <v>Gene-Disease Validity</v>
      </c>
      <c r="AJ130" s="183" t="str">
        <f>IFERROR(__xludf.DUMMYFUNCTION("QUERY('Volunteer Survey'!K129)"),"Dosage Sensitivity")</f>
        <v>Dosage Sensitivity</v>
      </c>
      <c r="AK130" s="183" t="str">
        <f>IFERROR(__xludf.DUMMYFUNCTION("QUERY('Volunteer Survey'!L129)"),"")</f>
        <v/>
      </c>
      <c r="AL130" s="183" t="str">
        <f>IFERROR(__xludf.DUMMYFUNCTION("QUERY('Volunteer Survey'!M129)"),"")</f>
        <v/>
      </c>
      <c r="AM130" s="183" t="str">
        <f>IFERROR(__xludf.DUMMYFUNCTION("QUERY('Volunteer Survey'!N129)"),"No curation experience but professional experience with genome analysis and disease models")</f>
        <v>No curation experience but professional experience with genome analysis and disease models</v>
      </c>
      <c r="AN130" s="183" t="str">
        <f>IFERROR(__xludf.DUMMYFUNCTION("QUERY('Volunteer Survey'!O129)"),"Yes")</f>
        <v>Yes</v>
      </c>
      <c r="AO130" s="183" t="str">
        <f>IFERROR(__xludf.DUMMYFUNCTION("QUERY('Volunteer Survey'!P129)"),"")</f>
        <v/>
      </c>
    </row>
    <row r="131">
      <c r="A131" s="50">
        <f>IFERROR(__xludf.DUMMYFUNCTION("QUERY('Volunteer Survey'!A138)"),43549.5145897801)</f>
        <v>43549.51459</v>
      </c>
      <c r="B131" s="48" t="s">
        <v>108</v>
      </c>
      <c r="C131" s="53"/>
      <c r="D131" s="55"/>
      <c r="E131" s="48" t="s">
        <v>130</v>
      </c>
      <c r="F131" s="48" t="s">
        <v>130</v>
      </c>
      <c r="G131" s="48" t="s">
        <v>202</v>
      </c>
      <c r="H131" s="53"/>
      <c r="I131" s="51" t="s">
        <v>139</v>
      </c>
      <c r="J131" s="55"/>
      <c r="K131" s="55"/>
      <c r="L131" s="55" t="str">
        <f>IFERROR(__xludf.DUMMYFUNCTION("QUERY('Volunteer Survey'!B138)"),"Jianli Dong")</f>
        <v>Jianli Dong</v>
      </c>
      <c r="M131" s="55" t="str">
        <f>IFERROR(__xludf.DUMMYFUNCTION("QUERY('Volunteer Survey'!E138)"),"jidong@utmb.edu")</f>
        <v>jidong@utmb.edu</v>
      </c>
      <c r="N131" s="55" t="str">
        <f>IFERROR(__xludf.DUMMYFUNCTION("QUERY('Volunteer Survey'!F138)"),"Clinical laboratory geneticist")</f>
        <v>Clinical laboratory geneticist</v>
      </c>
      <c r="O131" s="48" t="str">
        <f>IFERROR(__xludf.DUMMYFUNCTION("QUERY('Volunteer Survey'!H138)"),"Baseline")</f>
        <v>Baseline</v>
      </c>
      <c r="P131" s="55" t="str">
        <f>IFERROR(__xludf.DUMMYFUNCTION("QUERY('Volunteer Survey'!I138)"),"")</f>
        <v/>
      </c>
      <c r="Q131" s="60" t="str">
        <f>IFERROR(__xludf.DUMMYFUNCTION("QUERY('Volunteer Survey'!J138)"),"")</f>
        <v/>
      </c>
      <c r="R131" s="55" t="str">
        <f>IFERROR(__xludf.DUMMYFUNCTION("QUERY('Volunteer Survey'!K138)"),"")</f>
        <v/>
      </c>
      <c r="S131" s="55" t="str">
        <f>IFERROR(__xludf.DUMMYFUNCTION("QUERY('Volunteer Survey'!L138)"),"")</f>
        <v/>
      </c>
      <c r="T131" s="55" t="str">
        <f>IFERROR(__xludf.DUMMYFUNCTION("QUERY('Volunteer Survey'!M138)"),"")</f>
        <v/>
      </c>
      <c r="U131" s="64" t="str">
        <f>IFERROR(__xludf.DUMMYFUNCTION("QUERY('Volunteer Survey'!N138)"),"")</f>
        <v/>
      </c>
      <c r="V131" s="55" t="str">
        <f>IFERROR(__xludf.DUMMYFUNCTION("QUERY('Volunteer Survey'!O138)"),"No")</f>
        <v>No</v>
      </c>
      <c r="W131" s="66" t="str">
        <f>IFERROR(__xludf.DUMMYFUNCTION("QUERY('Volunteer Survey'!P138)"),"Breast/Ovarian Cancer (newly forming), Dosage- Hereditary Cancer (newly forming)*, Colorectal Cancer (newly forming), Somatic Cancer")</f>
        <v>Breast/Ovarian Cancer (newly forming), Dosage- Hereditary Cancer (newly forming)*, Colorectal Cancer (newly forming), Somatic Cancer</v>
      </c>
      <c r="X131" s="64" t="str">
        <f>IFERROR(__xludf.DUMMYFUNCTION("QUERY('Volunteer Survey'!R138)"),"Maybe -- please contact me with other options, and I will decide based on what is available")</f>
        <v>Maybe -- please contact me with other options, and I will decide based on what is available</v>
      </c>
      <c r="Y131" s="53"/>
      <c r="Z131" s="182">
        <f>IFERROR(__xludf.DUMMYFUNCTION("QUERY('Volunteer Survey'!A130)"),43530.32366586806)</f>
        <v>43530.32367</v>
      </c>
      <c r="AA131" s="183" t="str">
        <f>IFERROR(__xludf.DUMMYFUNCTION("QUERY('Volunteer Survey'!B130)"),"Anand Narayanan")</f>
        <v>Anand Narayanan</v>
      </c>
      <c r="AB131" s="183" t="str">
        <f>IFERROR(__xludf.DUMMYFUNCTION("QUERY('Volunteer Survey'!C130)"),"Yale University")</f>
        <v>Yale University</v>
      </c>
      <c r="AC131" s="183" t="str">
        <f>IFERROR(__xludf.DUMMYFUNCTION("QUERY('Volunteer Survey'!D130)"),"100 YORK ST
3B")</f>
        <v>100 YORK ST
3B</v>
      </c>
      <c r="AD131" s="183" t="str">
        <f>IFERROR(__xludf.DUMMYFUNCTION("QUERY('Volunteer Survey'!E130)"),"anandnpillai@gmail.com")</f>
        <v>anandnpillai@gmail.com</v>
      </c>
      <c r="AE131" s="183" t="str">
        <f>IFERROR(__xludf.DUMMYFUNCTION("QUERY('Volunteer Survey'!F130)"),"Post Doc/Resident/Fellow (MD and/or PhD)")</f>
        <v>Post Doc/Resident/Fellow (MD and/or PhD)</v>
      </c>
      <c r="AF131" s="183" t="str">
        <f>IFERROR(__xludf.DUMMYFUNCTION("QUERY('Volunteer Survey'!G130)"),"Networking")</f>
        <v>Networking</v>
      </c>
      <c r="AG131" s="183" t="str">
        <f>IFERROR(__xludf.DUMMYFUNCTION("QUERY('Volunteer Survey'!H130)"),"Comprehensive")</f>
        <v>Comprehensive</v>
      </c>
      <c r="AH131" s="183" t="str">
        <f>IFERROR(__xludf.DUMMYFUNCTION("QUERY('Volunteer Survey'!I130)"),"Gene-Disease Validity")</f>
        <v>Gene-Disease Validity</v>
      </c>
      <c r="AI131" s="183" t="str">
        <f>IFERROR(__xludf.DUMMYFUNCTION("QUERY('Volunteer Survey'!J130)"),"Variant Pathogenicity")</f>
        <v>Variant Pathogenicity</v>
      </c>
      <c r="AJ131" s="183" t="str">
        <f>IFERROR(__xludf.DUMMYFUNCTION("QUERY('Volunteer Survey'!K130)"),"Dosage Sensitivity")</f>
        <v>Dosage Sensitivity</v>
      </c>
      <c r="AK131" s="183" t="str">
        <f>IFERROR(__xludf.DUMMYFUNCTION("QUERY('Volunteer Survey'!L130)"),"Clinical Actionability")</f>
        <v>Clinical Actionability</v>
      </c>
      <c r="AL131" s="183" t="str">
        <f>IFERROR(__xludf.DUMMYFUNCTION("QUERY('Volunteer Survey'!M130)"),"Somatic Cancer")</f>
        <v>Somatic Cancer</v>
      </c>
      <c r="AM131" s="183" t="str">
        <f>IFERROR(__xludf.DUMMYFUNCTION("QUERY('Volunteer Survey'!N130)"),"I have served as a liaison of groups comprising clinicians, genetic counselors, researchers and bioinformatic staff. I am involved in the novel gene discovery and characterization ")</f>
        <v>I have served as a liaison of groups comprising clinicians, genetic counselors, researchers and bioinformatic staff. I am involved in the novel gene discovery and characterization </v>
      </c>
      <c r="AN131" s="183" t="str">
        <f>IFERROR(__xludf.DUMMYFUNCTION("QUERY('Volunteer Survey'!O130)"),"Yes")</f>
        <v>Yes</v>
      </c>
      <c r="AO131" s="183" t="str">
        <f>IFERROR(__xludf.DUMMYFUNCTION("QUERY('Volunteer Survey'!P130)"),"No")</f>
        <v>No</v>
      </c>
    </row>
    <row r="132">
      <c r="A132" s="50">
        <f>IFERROR(__xludf.DUMMYFUNCTION("QUERY('Volunteer Survey'!A139)"),43549.53046127314)</f>
        <v>43549.53046</v>
      </c>
      <c r="B132" s="48" t="s">
        <v>108</v>
      </c>
      <c r="C132" s="53"/>
      <c r="D132" s="65">
        <v>43605.0</v>
      </c>
      <c r="E132" s="48" t="s">
        <v>117</v>
      </c>
      <c r="F132" s="48" t="s">
        <v>117</v>
      </c>
      <c r="G132" s="48" t="s">
        <v>251</v>
      </c>
      <c r="H132" s="51" t="s">
        <v>242</v>
      </c>
      <c r="I132" s="51" t="s">
        <v>139</v>
      </c>
      <c r="J132" s="56">
        <v>43712.0</v>
      </c>
      <c r="K132" s="56"/>
      <c r="L132" s="55" t="str">
        <f>IFERROR(__xludf.DUMMYFUNCTION("QUERY('Volunteer Survey'!B139)"),"Kathryn Kronquist")</f>
        <v>Kathryn Kronquist</v>
      </c>
      <c r="M132" s="55" t="str">
        <f>IFERROR(__xludf.DUMMYFUNCTION("QUERY('Volunteer Survey'!E139)"),"Kathryn.Kronquist@childrenscolorado.org")</f>
        <v>Kathryn.Kronquist@childrenscolorado.org</v>
      </c>
      <c r="N132" s="55" t="str">
        <f>IFERROR(__xludf.DUMMYFUNCTION("QUERY('Volunteer Survey'!F139)"),"Clinical laboratory geneticist")</f>
        <v>Clinical laboratory geneticist</v>
      </c>
      <c r="O132" s="48" t="str">
        <f>IFERROR(__xludf.DUMMYFUNCTION("QUERY('Volunteer Survey'!H139)"),"Comprehensive")</f>
        <v>Comprehensive</v>
      </c>
      <c r="P132" s="55" t="str">
        <f>IFERROR(__xludf.DUMMYFUNCTION("QUERY('Volunteer Survey'!I139)"),"Variant Pathogenicity")</f>
        <v>Variant Pathogenicity</v>
      </c>
      <c r="Q132" s="60" t="str">
        <f>IFERROR(__xludf.DUMMYFUNCTION("QUERY('Volunteer Survey'!J139)"),"Dosage Sensitivity")</f>
        <v>Dosage Sensitivity</v>
      </c>
      <c r="R132" s="55" t="str">
        <f>IFERROR(__xludf.DUMMYFUNCTION("QUERY('Volunteer Survey'!K139)"),"")</f>
        <v/>
      </c>
      <c r="S132" s="55" t="str">
        <f>IFERROR(__xludf.DUMMYFUNCTION("QUERY('Volunteer Survey'!L139)"),"")</f>
        <v/>
      </c>
      <c r="T132" s="55" t="str">
        <f>IFERROR(__xludf.DUMMYFUNCTION("QUERY('Volunteer Survey'!M139)"),"")</f>
        <v/>
      </c>
      <c r="U132" s="64" t="str">
        <f>IFERROR(__xludf.DUMMYFUNCTION("QUERY('Volunteer Survey'!N139)"),"applying ACMG Guidelines for variant curation in daily work")</f>
        <v>applying ACMG Guidelines for variant curation in daily work</v>
      </c>
      <c r="V132" s="55" t="str">
        <f>IFERROR(__xludf.DUMMYFUNCTION("QUERY('Volunteer Survey'!O139)"),"Possibly")</f>
        <v>Possibly</v>
      </c>
      <c r="W132" s="66" t="str">
        <f>IFERROR(__xludf.DUMMYFUNCTION("QUERY('Volunteer Survey'!P139)"),"epilepsy, RASopathy")</f>
        <v>epilepsy, RASopathy</v>
      </c>
      <c r="X132" s="64" t="str">
        <f>IFERROR(__xludf.DUMMYFUNCTION("QUERY('Volunteer Survey'!R139)"),"Yes- I am willing to volunteer with any available ClinGen group")</f>
        <v>Yes- I am willing to volunteer with any available ClinGen group</v>
      </c>
      <c r="Y132" s="53"/>
      <c r="Z132" s="182">
        <f>IFERROR(__xludf.DUMMYFUNCTION("QUERY('Volunteer Survey'!A131)"),43531.57807722222)</f>
        <v>43531.57808</v>
      </c>
      <c r="AA132" s="183" t="str">
        <f>IFERROR(__xludf.DUMMYFUNCTION("QUERY('Volunteer Survey'!B131)"),"Rebekah Waikel")</f>
        <v>Rebekah Waikel</v>
      </c>
      <c r="AB132" s="183" t="str">
        <f>IFERROR(__xludf.DUMMYFUNCTION("QUERY('Volunteer Survey'!C131)"),"University of Kentucky ")</f>
        <v>University of Kentucky </v>
      </c>
      <c r="AC132" s="183" t="str">
        <f>IFERROR(__xludf.DUMMYFUNCTION("QUERY('Volunteer Survey'!D131)"),"")</f>
        <v/>
      </c>
      <c r="AD132" s="183" t="str">
        <f>IFERROR(__xludf.DUMMYFUNCTION("QUERY('Volunteer Survey'!E131)"),"rebekah.waikel@uky.edu")</f>
        <v>rebekah.waikel@uky.edu</v>
      </c>
      <c r="AE132" s="183" t="str">
        <f>IFERROR(__xludf.DUMMYFUNCTION("QUERY('Volunteer Survey'!F131)"),"Clinical laboratory geneticist")</f>
        <v>Clinical laboratory geneticist</v>
      </c>
      <c r="AF132" s="183" t="str">
        <f>IFERROR(__xludf.DUMMYFUNCTION("QUERY('Volunteer Survey'!G131)"),"ClinGen conference advertisements (i.e. booth, workshop, presentation)")</f>
        <v>ClinGen conference advertisements (i.e. booth, workshop, presentation)</v>
      </c>
      <c r="AG132" s="183" t="str">
        <f>IFERROR(__xludf.DUMMYFUNCTION("QUERY('Volunteer Survey'!H131)"),"Baseline")</f>
        <v>Baseline</v>
      </c>
      <c r="AH132" s="183" t="str">
        <f>IFERROR(__xludf.DUMMYFUNCTION("QUERY('Volunteer Survey'!I131)"),"")</f>
        <v/>
      </c>
      <c r="AI132" s="183" t="str">
        <f>IFERROR(__xludf.DUMMYFUNCTION("QUERY('Volunteer Survey'!J131)"),"")</f>
        <v/>
      </c>
      <c r="AJ132" s="183" t="str">
        <f>IFERROR(__xludf.DUMMYFUNCTION("QUERY('Volunteer Survey'!K131)"),"")</f>
        <v/>
      </c>
      <c r="AK132" s="183" t="str">
        <f>IFERROR(__xludf.DUMMYFUNCTION("QUERY('Volunteer Survey'!L131)"),"")</f>
        <v/>
      </c>
      <c r="AL132" s="183" t="str">
        <f>IFERROR(__xludf.DUMMYFUNCTION("QUERY('Volunteer Survey'!M131)"),"")</f>
        <v/>
      </c>
      <c r="AM132" s="183" t="str">
        <f>IFERROR(__xludf.DUMMYFUNCTION("QUERY('Volunteer Survey'!N131)"),"")</f>
        <v/>
      </c>
      <c r="AN132" s="183" t="str">
        <f>IFERROR(__xludf.DUMMYFUNCTION("QUERY('Volunteer Survey'!O131)"),"Yes")</f>
        <v>Yes</v>
      </c>
      <c r="AO132" s="183" t="str">
        <f>IFERROR(__xludf.DUMMYFUNCTION("QUERY('Volunteer Survey'!P131)"),"Inherited cardiopathy")</f>
        <v>Inherited cardiopathy</v>
      </c>
    </row>
    <row r="133">
      <c r="A133" s="50">
        <f>IFERROR(__xludf.DUMMYFUNCTION("QUERY('Volunteer Survey'!A140)"),43549.67094309028)</f>
        <v>43549.67094</v>
      </c>
      <c r="B133" s="48" t="s">
        <v>108</v>
      </c>
      <c r="C133" s="53"/>
      <c r="D133" s="55"/>
      <c r="E133" s="48" t="s">
        <v>130</v>
      </c>
      <c r="F133" s="48" t="s">
        <v>130</v>
      </c>
      <c r="G133" s="48" t="s">
        <v>202</v>
      </c>
      <c r="H133" s="53"/>
      <c r="I133" s="51" t="s">
        <v>139</v>
      </c>
      <c r="J133" s="55"/>
      <c r="K133" s="55"/>
      <c r="L133" s="55" t="str">
        <f>IFERROR(__xludf.DUMMYFUNCTION("QUERY('Volunteer Survey'!B140)"),"Kristen L Deak")</f>
        <v>Kristen L Deak</v>
      </c>
      <c r="M133" s="55" t="str">
        <f>IFERROR(__xludf.DUMMYFUNCTION("QUERY('Volunteer Survey'!E140)"),"kristen.deak@duke.edu")</f>
        <v>kristen.deak@duke.edu</v>
      </c>
      <c r="N133" s="55" t="str">
        <f>IFERROR(__xludf.DUMMYFUNCTION("QUERY('Volunteer Survey'!F140)"),"Clinical laboratory geneticist")</f>
        <v>Clinical laboratory geneticist</v>
      </c>
      <c r="O133" s="48" t="str">
        <f>IFERROR(__xludf.DUMMYFUNCTION("QUERY('Volunteer Survey'!H140)"),"Comprehensive")</f>
        <v>Comprehensive</v>
      </c>
      <c r="P133" s="55" t="str">
        <f>IFERROR(__xludf.DUMMYFUNCTION("QUERY('Volunteer Survey'!I140)"),"Variant Pathogenicity")</f>
        <v>Variant Pathogenicity</v>
      </c>
      <c r="Q133" s="60" t="str">
        <f>IFERROR(__xludf.DUMMYFUNCTION("QUERY('Volunteer Survey'!J140)"),"Somatic Cancer")</f>
        <v>Somatic Cancer</v>
      </c>
      <c r="R133" s="55" t="str">
        <f>IFERROR(__xludf.DUMMYFUNCTION("QUERY('Volunteer Survey'!K140)"),"Dosage Sensitivity")</f>
        <v>Dosage Sensitivity</v>
      </c>
      <c r="S133" s="55" t="str">
        <f>IFERROR(__xludf.DUMMYFUNCTION("QUERY('Volunteer Survey'!L140)"),"Clinical Actionability")</f>
        <v>Clinical Actionability</v>
      </c>
      <c r="T133" s="55" t="str">
        <f>IFERROR(__xludf.DUMMYFUNCTION("QUERY('Volunteer Survey'!M140)"),"Gene-Disease Validity")</f>
        <v>Gene-Disease Validity</v>
      </c>
      <c r="U133" s="64" t="str">
        <f>IFERROR(__xludf.DUMMYFUNCTION("QUERY('Volunteer Survey'!N140)"),"Not other than evaluation and signout of patient reports")</f>
        <v>Not other than evaluation and signout of patient reports</v>
      </c>
      <c r="V133" s="55" t="str">
        <f>IFERROR(__xludf.DUMMYFUNCTION("QUERY('Volunteer Survey'!O140)"),"Yes")</f>
        <v>Yes</v>
      </c>
      <c r="W133" s="66" t="str">
        <f>IFERROR(__xludf.DUMMYFUNCTION("QUERY('Volunteer Survey'!P140)"),"")</f>
        <v/>
      </c>
      <c r="X133" s="64" t="str">
        <f>IFERROR(__xludf.DUMMYFUNCTION("QUERY('Volunteer Survey'!R140)"),"Yes- I am willing to volunteer with any available ClinGen group")</f>
        <v>Yes- I am willing to volunteer with any available ClinGen group</v>
      </c>
      <c r="Y133" s="53"/>
      <c r="Z133" s="182">
        <f>IFERROR(__xludf.DUMMYFUNCTION("QUERY('Volunteer Survey'!A132)"),43531.608363842584)</f>
        <v>43531.60836</v>
      </c>
      <c r="AA133" s="183" t="str">
        <f>IFERROR(__xludf.DUMMYFUNCTION("QUERY('Volunteer Survey'!B132)"),"Urjit Patel")</f>
        <v>Urjit Patel</v>
      </c>
      <c r="AB133" s="183" t="str">
        <f>IFERROR(__xludf.DUMMYFUNCTION("QUERY('Volunteer Survey'!C132)"),"Quest Diagnostics, Marlborough")</f>
        <v>Quest Diagnostics, Marlborough</v>
      </c>
      <c r="AC133" s="183" t="str">
        <f>IFERROR(__xludf.DUMMYFUNCTION("QUERY('Volunteer Survey'!D132)"),"177 Crescent St Apt 21")</f>
        <v>177 Crescent St Apt 21</v>
      </c>
      <c r="AD133" s="183" t="str">
        <f>IFERROR(__xludf.DUMMYFUNCTION("QUERY('Volunteer Survey'!E132)"),"urjit.x.patel@questdiagnostics.com")</f>
        <v>urjit.x.patel@questdiagnostics.com</v>
      </c>
      <c r="AE133" s="183" t="str">
        <f>IFERROR(__xludf.DUMMYFUNCTION("QUERY('Volunteer Survey'!F132)"),"Variant Analyst/Scientist - Industry")</f>
        <v>Variant Analyst/Scientist - Industry</v>
      </c>
      <c r="AF133" s="183" t="str">
        <f>IFERROR(__xludf.DUMMYFUNCTION("QUERY('Volunteer Survey'!G132)"),"Networking, The clinicalgenome.org website, Dr. Marina DiStefano")</f>
        <v>Networking, The clinicalgenome.org website, Dr. Marina DiStefano</v>
      </c>
      <c r="AG133" s="183" t="str">
        <f>IFERROR(__xludf.DUMMYFUNCTION("QUERY('Volunteer Survey'!H132)"),"Comprehensive")</f>
        <v>Comprehensive</v>
      </c>
      <c r="AH133" s="183" t="str">
        <f>IFERROR(__xludf.DUMMYFUNCTION("QUERY('Volunteer Survey'!I132)"),"Gene-Disease Validity")</f>
        <v>Gene-Disease Validity</v>
      </c>
      <c r="AI133" s="183" t="str">
        <f>IFERROR(__xludf.DUMMYFUNCTION("QUERY('Volunteer Survey'!J132)"),"Dosage Sensitivity")</f>
        <v>Dosage Sensitivity</v>
      </c>
      <c r="AJ133" s="183" t="str">
        <f>IFERROR(__xludf.DUMMYFUNCTION("QUERY('Volunteer Survey'!K132)"),"Variant Pathogenicity")</f>
        <v>Variant Pathogenicity</v>
      </c>
      <c r="AK133" s="183" t="str">
        <f>IFERROR(__xludf.DUMMYFUNCTION("QUERY('Volunteer Survey'!L132)"),"")</f>
        <v/>
      </c>
      <c r="AL133" s="183" t="str">
        <f>IFERROR(__xludf.DUMMYFUNCTION("QUERY('Volunteer Survey'!M132)"),"")</f>
        <v/>
      </c>
      <c r="AM133" s="183" t="str">
        <f>IFERROR(__xludf.DUMMYFUNCTION("QUERY('Volunteer Survey'!N132)"),"")</f>
        <v/>
      </c>
      <c r="AN133" s="183" t="str">
        <f>IFERROR(__xludf.DUMMYFUNCTION("QUERY('Volunteer Survey'!O132)"),"Possibly")</f>
        <v>Possibly</v>
      </c>
      <c r="AO133" s="183" t="str">
        <f>IFERROR(__xludf.DUMMYFUNCTION("QUERY('Volunteer Survey'!P132)"),"")</f>
        <v/>
      </c>
    </row>
    <row r="134">
      <c r="A134" s="50">
        <f>IFERROR(__xludf.DUMMYFUNCTION("QUERY('Volunteer Survey'!A141)"),43550.17733546296)</f>
        <v>43550.17734</v>
      </c>
      <c r="B134" s="48" t="s">
        <v>108</v>
      </c>
      <c r="C134" s="53"/>
      <c r="D134" s="49">
        <v>43581.0</v>
      </c>
      <c r="E134" s="48" t="s">
        <v>117</v>
      </c>
      <c r="F134" s="48" t="s">
        <v>130</v>
      </c>
      <c r="G134" s="48" t="s">
        <v>136</v>
      </c>
      <c r="H134" s="53"/>
      <c r="I134" s="51" t="s">
        <v>139</v>
      </c>
      <c r="J134" s="56">
        <v>43712.0</v>
      </c>
      <c r="K134" s="56"/>
      <c r="L134" s="55" t="str">
        <f>IFERROR(__xludf.DUMMYFUNCTION("QUERY('Volunteer Survey'!B141)"),"Venkataswamy Eswarachari")</f>
        <v>Venkataswamy Eswarachari</v>
      </c>
      <c r="M134" s="55" t="str">
        <f>IFERROR(__xludf.DUMMYFUNCTION("QUERY('Volunteer Survey'!E141)"),"venkataswamy@medgenome.com")</f>
        <v>venkataswamy@medgenome.com</v>
      </c>
      <c r="N134" s="55" t="str">
        <f>IFERROR(__xludf.DUMMYFUNCTION("QUERY('Volunteer Survey'!F141)"),"Clinical laboratory geneticist")</f>
        <v>Clinical laboratory geneticist</v>
      </c>
      <c r="O134" s="48" t="str">
        <f>IFERROR(__xludf.DUMMYFUNCTION("QUERY('Volunteer Survey'!H141)"),"Comprehensive")</f>
        <v>Comprehensive</v>
      </c>
      <c r="P134" s="55" t="str">
        <f>IFERROR(__xludf.DUMMYFUNCTION("QUERY('Volunteer Survey'!I141)"),"Somatic Cancer")</f>
        <v>Somatic Cancer</v>
      </c>
      <c r="Q134" s="60" t="str">
        <f>IFERROR(__xludf.DUMMYFUNCTION("QUERY('Volunteer Survey'!J141)"),"Gene-Disease Validity")</f>
        <v>Gene-Disease Validity</v>
      </c>
      <c r="R134" s="55" t="str">
        <f>IFERROR(__xludf.DUMMYFUNCTION("QUERY('Volunteer Survey'!K141)"),"Clinical Actionability")</f>
        <v>Clinical Actionability</v>
      </c>
      <c r="S134" s="55" t="str">
        <f>IFERROR(__xludf.DUMMYFUNCTION("QUERY('Volunteer Survey'!L141)"),"Variant Pathogenicity")</f>
        <v>Variant Pathogenicity</v>
      </c>
      <c r="T134" s="55" t="str">
        <f>IFERROR(__xludf.DUMMYFUNCTION("QUERY('Volunteer Survey'!M141)"),"Dosage Sensitivity")</f>
        <v>Dosage Sensitivity</v>
      </c>
      <c r="U134" s="64" t="str">
        <f>IFERROR(__xludf.DUMMYFUNCTION("QUERY('Volunteer Survey'!N141)"),"Not professionally but for clinical reporting I have done some curation. ")</f>
        <v>Not professionally but for clinical reporting I have done some curation. </v>
      </c>
      <c r="V134" s="55" t="str">
        <f>IFERROR(__xludf.DUMMYFUNCTION("QUERY('Volunteer Survey'!O141)"),"Possibly")</f>
        <v>Possibly</v>
      </c>
      <c r="W134" s="66" t="str">
        <f>IFERROR(__xludf.DUMMYFUNCTION("QUERY('Volunteer Survey'!P141)"),"")</f>
        <v/>
      </c>
      <c r="X134" s="64" t="str">
        <f>IFERROR(__xludf.DUMMYFUNCTION("QUERY('Volunteer Survey'!R141)"),"Yes- I am willing to volunteer with any available ClinGen group")</f>
        <v>Yes- I am willing to volunteer with any available ClinGen group</v>
      </c>
      <c r="Y134" s="53"/>
      <c r="Z134" s="182">
        <f>IFERROR(__xludf.DUMMYFUNCTION("QUERY('Volunteer Survey'!A133)"),43531.6175765162)</f>
        <v>43531.61758</v>
      </c>
      <c r="AA134" s="183" t="str">
        <f>IFERROR(__xludf.DUMMYFUNCTION("QUERY('Volunteer Survey'!B133)"),"Lesley Northrop")</f>
        <v>Lesley Northrop</v>
      </c>
      <c r="AB134" s="183" t="str">
        <f>IFERROR(__xludf.DUMMYFUNCTION("QUERY('Volunteer Survey'!C133)"),"Celmatix")</f>
        <v>Celmatix</v>
      </c>
      <c r="AC134" s="183" t="str">
        <f>IFERROR(__xludf.DUMMYFUNCTION("QUERY('Volunteer Survey'!D133)"),"165 E66th Street
Apt. 12H")</f>
        <v>165 E66th Street
Apt. 12H</v>
      </c>
      <c r="AD134" s="183" t="str">
        <f>IFERROR(__xludf.DUMMYFUNCTION("QUERY('Volunteer Survey'!E133)"),"lesleyenorthrop@gmail.com")</f>
        <v>lesleyenorthrop@gmail.com</v>
      </c>
      <c r="AE134" s="183" t="str">
        <f>IFERROR(__xludf.DUMMYFUNCTION("QUERY('Volunteer Survey'!F133)"),"Clinical laboratory geneticist")</f>
        <v>Clinical laboratory geneticist</v>
      </c>
      <c r="AF134" s="183" t="str">
        <f>IFERROR(__xludf.DUMMYFUNCTION("QUERY('Volunteer Survey'!G133)"),"ClinGen affiliated emails and/or newsletters")</f>
        <v>ClinGen affiliated emails and/or newsletters</v>
      </c>
      <c r="AG134" s="183" t="str">
        <f>IFERROR(__xludf.DUMMYFUNCTION("QUERY('Volunteer Survey'!H133)"),"Comprehensive")</f>
        <v>Comprehensive</v>
      </c>
      <c r="AH134" s="183" t="str">
        <f>IFERROR(__xludf.DUMMYFUNCTION("QUERY('Volunteer Survey'!I133)"),"Clinical Actionability")</f>
        <v>Clinical Actionability</v>
      </c>
      <c r="AI134" s="183" t="str">
        <f>IFERROR(__xludf.DUMMYFUNCTION("QUERY('Volunteer Survey'!J133)"),"Gene-Disease Validity")</f>
        <v>Gene-Disease Validity</v>
      </c>
      <c r="AJ134" s="183" t="str">
        <f>IFERROR(__xludf.DUMMYFUNCTION("QUERY('Volunteer Survey'!K133)"),"Variant Pathogenicity")</f>
        <v>Variant Pathogenicity</v>
      </c>
      <c r="AK134" s="183" t="str">
        <f>IFERROR(__xludf.DUMMYFUNCTION("QUERY('Volunteer Survey'!L133)"),"Dosage Sensitivity")</f>
        <v>Dosage Sensitivity</v>
      </c>
      <c r="AL134" s="183" t="str">
        <f>IFERROR(__xludf.DUMMYFUNCTION("QUERY('Volunteer Survey'!M133)"),"Somatic Cancer")</f>
        <v>Somatic Cancer</v>
      </c>
      <c r="AM134" s="183" t="str">
        <f>IFERROR(__xludf.DUMMYFUNCTION("QUERY('Volunteer Survey'!N133)"),"within my own institution designing a panel following ClinGen guidelines")</f>
        <v>within my own institution designing a panel following ClinGen guidelines</v>
      </c>
      <c r="AN134" s="183" t="str">
        <f>IFERROR(__xludf.DUMMYFUNCTION("QUERY('Volunteer Survey'!O133)"),"Yes")</f>
        <v>Yes</v>
      </c>
      <c r="AO134" s="183" t="str">
        <f>IFERROR(__xludf.DUMMYFUNCTION("QUERY('Volunteer Survey'!P133)"),"Gene Curation - Epilepsy or Autism &amp; ID")</f>
        <v>Gene Curation - Epilepsy or Autism &amp; ID</v>
      </c>
    </row>
    <row r="135">
      <c r="A135" s="50">
        <f>IFERROR(__xludf.DUMMYFUNCTION("QUERY('Volunteer Survey'!A142)"),43551.42424122685)</f>
        <v>43551.42424</v>
      </c>
      <c r="B135" s="48" t="s">
        <v>108</v>
      </c>
      <c r="C135" s="53"/>
      <c r="D135" s="55"/>
      <c r="E135" s="48" t="s">
        <v>130</v>
      </c>
      <c r="F135" s="48" t="s">
        <v>130</v>
      </c>
      <c r="G135" s="48" t="s">
        <v>202</v>
      </c>
      <c r="H135" s="53"/>
      <c r="I135" s="51" t="s">
        <v>139</v>
      </c>
      <c r="J135" s="55"/>
      <c r="K135" s="55"/>
      <c r="L135" s="55" t="str">
        <f>IFERROR(__xludf.DUMMYFUNCTION("QUERY('Volunteer Survey'!B142)"),"Tyler Parris")</f>
        <v>Tyler Parris</v>
      </c>
      <c r="M135" s="55" t="str">
        <f>IFERROR(__xludf.DUMMYFUNCTION("QUERY('Volunteer Survey'!E142)"),"tylerchristianparrismd@gmail.com")</f>
        <v>tylerchristianparrismd@gmail.com</v>
      </c>
      <c r="N135" s="55" t="str">
        <f>IFERROR(__xludf.DUMMYFUNCTION("QUERY('Volunteer Survey'!F142)"),"Post Doc/Resident/Fellow (MD and/or PhD)")</f>
        <v>Post Doc/Resident/Fellow (MD and/or PhD)</v>
      </c>
      <c r="O135" s="48" t="str">
        <f>IFERROR(__xludf.DUMMYFUNCTION("QUERY('Volunteer Survey'!H142)"),"Baseline")</f>
        <v>Baseline</v>
      </c>
      <c r="P135" s="55" t="str">
        <f>IFERROR(__xludf.DUMMYFUNCTION("QUERY('Volunteer Survey'!I142)"),"Clinical Actionability")</f>
        <v>Clinical Actionability</v>
      </c>
      <c r="Q135" s="60" t="str">
        <f>IFERROR(__xludf.DUMMYFUNCTION("QUERY('Volunteer Survey'!J142)"),"")</f>
        <v/>
      </c>
      <c r="R135" s="55" t="str">
        <f>IFERROR(__xludf.DUMMYFUNCTION("QUERY('Volunteer Survey'!K142)"),"")</f>
        <v/>
      </c>
      <c r="S135" s="55" t="str">
        <f>IFERROR(__xludf.DUMMYFUNCTION("QUERY('Volunteer Survey'!L142)"),"")</f>
        <v/>
      </c>
      <c r="T135" s="55" t="str">
        <f>IFERROR(__xludf.DUMMYFUNCTION("QUERY('Volunteer Survey'!M142)"),"")</f>
        <v/>
      </c>
      <c r="U135" s="64" t="str">
        <f>IFERROR(__xludf.DUMMYFUNCTION("QUERY('Volunteer Survey'!N142)"),"")</f>
        <v/>
      </c>
      <c r="V135" s="55" t="str">
        <f>IFERROR(__xludf.DUMMYFUNCTION("QUERY('Volunteer Survey'!O142)"),"Possibly")</f>
        <v>Possibly</v>
      </c>
      <c r="W135" s="66" t="str">
        <f>IFERROR(__xludf.DUMMYFUNCTION("QUERY('Volunteer Survey'!P142)"),"")</f>
        <v/>
      </c>
      <c r="X135" s="64" t="str">
        <f>IFERROR(__xludf.DUMMYFUNCTION("QUERY('Volunteer Survey'!R142)"),"Maybe -- please contact me with other options, and I will decide based on what is available")</f>
        <v>Maybe -- please contact me with other options, and I will decide based on what is available</v>
      </c>
      <c r="Y135" s="53"/>
      <c r="Z135" s="182">
        <f>IFERROR(__xludf.DUMMYFUNCTION("QUERY('Volunteer Survey'!A134)"),43535.006761145836)</f>
        <v>43535.00676</v>
      </c>
      <c r="AA135" s="183" t="str">
        <f>IFERROR(__xludf.DUMMYFUNCTION("QUERY('Volunteer Survey'!B134)"),"Hafsa Amtul")</f>
        <v>Hafsa Amtul</v>
      </c>
      <c r="AB135" s="183" t="str">
        <f>IFERROR(__xludf.DUMMYFUNCTION("QUERY('Volunteer Survey'!C134)"),"Rush University")</f>
        <v>Rush University</v>
      </c>
      <c r="AC135" s="183" t="str">
        <f>IFERROR(__xludf.DUMMYFUNCTION("QUERY('Volunteer Survey'!D134)"),"9029 federal ct apt 1h")</f>
        <v>9029 federal ct apt 1h</v>
      </c>
      <c r="AD135" s="183" t="str">
        <f>IFERROR(__xludf.DUMMYFUNCTION("QUERY('Volunteer Survey'!E134)"),"hafsa.amtul2502@gmail.com")</f>
        <v>hafsa.amtul2502@gmail.com</v>
      </c>
      <c r="AE135" s="183" t="str">
        <f>IFERROR(__xludf.DUMMYFUNCTION("QUERY('Volunteer Survey'!F134)"),"Scientific Researcher")</f>
        <v>Scientific Researcher</v>
      </c>
      <c r="AF135" s="183" t="str">
        <f>IFERROR(__xludf.DUMMYFUNCTION("QUERY('Volunteer Survey'!G134)"),"ClinGen website")</f>
        <v>ClinGen website</v>
      </c>
      <c r="AG135" s="183" t="str">
        <f>IFERROR(__xludf.DUMMYFUNCTION("QUERY('Volunteer Survey'!H134)"),"Comprehensive")</f>
        <v>Comprehensive</v>
      </c>
      <c r="AH135" s="183" t="str">
        <f>IFERROR(__xludf.DUMMYFUNCTION("QUERY('Volunteer Survey'!I134)"),"Dosage Sensitivity")</f>
        <v>Dosage Sensitivity</v>
      </c>
      <c r="AI135" s="183" t="str">
        <f>IFERROR(__xludf.DUMMYFUNCTION("QUERY('Volunteer Survey'!J134)"),"Clinical Actionability")</f>
        <v>Clinical Actionability</v>
      </c>
      <c r="AJ135" s="183" t="str">
        <f>IFERROR(__xludf.DUMMYFUNCTION("QUERY('Volunteer Survey'!K134)"),"Gene-Disease Validity")</f>
        <v>Gene-Disease Validity</v>
      </c>
      <c r="AK135" s="183" t="str">
        <f>IFERROR(__xludf.DUMMYFUNCTION("QUERY('Volunteer Survey'!L134)"),"Somatic Cancer")</f>
        <v>Somatic Cancer</v>
      </c>
      <c r="AL135" s="183" t="str">
        <f>IFERROR(__xludf.DUMMYFUNCTION("QUERY('Volunteer Survey'!M134)"),"Variant Pathogenicity")</f>
        <v>Variant Pathogenicity</v>
      </c>
      <c r="AM135" s="183" t="str">
        <f>IFERROR(__xludf.DUMMYFUNCTION("QUERY('Volunteer Survey'!N134)"),"drug toxicity associated with tpmt genetic variants *1, *2, *3A, *3B")</f>
        <v>drug toxicity associated with tpmt genetic variants *1, *2, *3A, *3B</v>
      </c>
      <c r="AN135" s="183" t="str">
        <f>IFERROR(__xludf.DUMMYFUNCTION("QUERY('Volunteer Survey'!O134)"),"Yes")</f>
        <v>Yes</v>
      </c>
      <c r="AO135" s="183" t="str">
        <f>IFERROR(__xludf.DUMMYFUNCTION("QUERY('Volunteer Survey'!P134)"),"Dosage- Neurodevelopemental, Pediatric, Nonsmall cell lung cancer, 
Somatic TP53 ")</f>
        <v>Dosage- Neurodevelopemental, Pediatric, Nonsmall cell lung cancer, 
Somatic TP53 </v>
      </c>
    </row>
    <row r="136">
      <c r="A136" s="50">
        <f>IFERROR(__xludf.DUMMYFUNCTION("QUERY('Volunteer Survey'!A143)"),43556.9679415162)</f>
        <v>43556.96794</v>
      </c>
      <c r="B136" s="48" t="s">
        <v>108</v>
      </c>
      <c r="C136" s="53"/>
      <c r="D136" s="55"/>
      <c r="E136" s="48" t="s">
        <v>130</v>
      </c>
      <c r="F136" s="48" t="s">
        <v>130</v>
      </c>
      <c r="G136" s="48" t="s">
        <v>202</v>
      </c>
      <c r="H136" s="53"/>
      <c r="I136" s="51" t="s">
        <v>139</v>
      </c>
      <c r="J136" s="55"/>
      <c r="K136" s="55"/>
      <c r="L136" s="55" t="str">
        <f>IFERROR(__xludf.DUMMYFUNCTION("QUERY('Volunteer Survey'!B143)"),"Edward Shadiack")</f>
        <v>Edward Shadiack</v>
      </c>
      <c r="M136" s="55" t="str">
        <f>IFERROR(__xludf.DUMMYFUNCTION("QUERY('Volunteer Survey'!E143)"),"shadiaec@gmail.com")</f>
        <v>shadiaec@gmail.com</v>
      </c>
      <c r="N136" s="55" t="str">
        <f>IFERROR(__xludf.DUMMYFUNCTION("QUERY('Volunteer Survey'!F143)"),"Physician (Non-geneticist)")</f>
        <v>Physician (Non-geneticist)</v>
      </c>
      <c r="O136" s="48" t="str">
        <f>IFERROR(__xludf.DUMMYFUNCTION("QUERY('Volunteer Survey'!H143)"),"Baseline")</f>
        <v>Baseline</v>
      </c>
      <c r="P136" s="55" t="str">
        <f>IFERROR(__xludf.DUMMYFUNCTION("QUERY('Volunteer Survey'!I143)"),"Variant Pathogenicity")</f>
        <v>Variant Pathogenicity</v>
      </c>
      <c r="Q136" s="60" t="str">
        <f>IFERROR(__xludf.DUMMYFUNCTION("QUERY('Volunteer Survey'!J143)"),"Gene-Disease Validity")</f>
        <v>Gene-Disease Validity</v>
      </c>
      <c r="R136" s="55" t="str">
        <f>IFERROR(__xludf.DUMMYFUNCTION("QUERY('Volunteer Survey'!K143)"),"Clinical Actionability")</f>
        <v>Clinical Actionability</v>
      </c>
      <c r="S136" s="55" t="str">
        <f>IFERROR(__xludf.DUMMYFUNCTION("QUERY('Volunteer Survey'!L143)"),"Dosage Sensitivity")</f>
        <v>Dosage Sensitivity</v>
      </c>
      <c r="T136" s="55" t="str">
        <f>IFERROR(__xludf.DUMMYFUNCTION("QUERY('Volunteer Survey'!M143)"),"Somatic Cancer")</f>
        <v>Somatic Cancer</v>
      </c>
      <c r="U136" s="64" t="str">
        <f>IFERROR(__xludf.DUMMYFUNCTION("QUERY('Volunteer Survey'!N143)"),"No experience whatsoever")</f>
        <v>No experience whatsoever</v>
      </c>
      <c r="V136" s="55" t="str">
        <f>IFERROR(__xludf.DUMMYFUNCTION("QUERY('Volunteer Survey'!O143)"),"No")</f>
        <v>No</v>
      </c>
      <c r="W136" s="66" t="str">
        <f>IFERROR(__xludf.DUMMYFUNCTION("QUERY('Volunteer Survey'!P143)"),"Mitochondrial Diseases")</f>
        <v>Mitochondrial Diseases</v>
      </c>
      <c r="X136" s="64" t="str">
        <f>IFERROR(__xludf.DUMMYFUNCTION("QUERY('Volunteer Survey'!R143)"),"Yes- I am willing to volunteer with any available ClinGen group")</f>
        <v>Yes- I am willing to volunteer with any available ClinGen group</v>
      </c>
      <c r="Y136" s="53"/>
      <c r="Z136" s="182">
        <f>IFERROR(__xludf.DUMMYFUNCTION("QUERY('Volunteer Survey'!A135)"),43537.38783907407)</f>
        <v>43537.38784</v>
      </c>
      <c r="AA136" s="183" t="str">
        <f>IFERROR(__xludf.DUMMYFUNCTION("QUERY('Volunteer Survey'!B135)"),"Manya Warrier")</f>
        <v>Manya Warrier</v>
      </c>
      <c r="AB136" s="183" t="str">
        <f>IFERROR(__xludf.DUMMYFUNCTION("QUERY('Volunteer Survey'!C135)"),"LabCorp")</f>
        <v>LabCorp</v>
      </c>
      <c r="AC136" s="183" t="str">
        <f>IFERROR(__xludf.DUMMYFUNCTION("QUERY('Volunteer Survey'!D135)"),"769 Franklin Tree Drive, Concord, NC 28027")</f>
        <v>769 Franklin Tree Drive, Concord, NC 28027</v>
      </c>
      <c r="AD136" s="183" t="str">
        <f>IFERROR(__xludf.DUMMYFUNCTION("QUERY('Volunteer Survey'!E135)"),"manyawarrier@gmail.com")</f>
        <v>manyawarrier@gmail.com</v>
      </c>
      <c r="AE136" s="183" t="str">
        <f>IFERROR(__xludf.DUMMYFUNCTION("QUERY('Volunteer Survey'!F135)"),"Variant Analyst/Scientist - Industry")</f>
        <v>Variant Analyst/Scientist - Industry</v>
      </c>
      <c r="AF136" s="183" t="str">
        <f>IFERROR(__xludf.DUMMYFUNCTION("QUERY('Volunteer Survey'!G135)"),"The clinicalgenome.org website")</f>
        <v>The clinicalgenome.org website</v>
      </c>
      <c r="AG136" s="183" t="str">
        <f>IFERROR(__xludf.DUMMYFUNCTION("QUERY('Volunteer Survey'!H135)"),"Baseline")</f>
        <v>Baseline</v>
      </c>
      <c r="AH136" s="183" t="str">
        <f>IFERROR(__xludf.DUMMYFUNCTION("QUERY('Volunteer Survey'!I135)"),"")</f>
        <v/>
      </c>
      <c r="AI136" s="183" t="str">
        <f>IFERROR(__xludf.DUMMYFUNCTION("QUERY('Volunteer Survey'!J135)"),"")</f>
        <v/>
      </c>
      <c r="AJ136" s="183" t="str">
        <f>IFERROR(__xludf.DUMMYFUNCTION("QUERY('Volunteer Survey'!K135)"),"")</f>
        <v/>
      </c>
      <c r="AK136" s="183" t="str">
        <f>IFERROR(__xludf.DUMMYFUNCTION("QUERY('Volunteer Survey'!L135)"),"")</f>
        <v/>
      </c>
      <c r="AL136" s="183" t="str">
        <f>IFERROR(__xludf.DUMMYFUNCTION("QUERY('Volunteer Survey'!M135)"),"")</f>
        <v/>
      </c>
      <c r="AM136" s="183" t="str">
        <f>IFERROR(__xludf.DUMMYFUNCTION("QUERY('Volunteer Survey'!N135)"),"")</f>
        <v/>
      </c>
      <c r="AN136" s="183" t="str">
        <f>IFERROR(__xludf.DUMMYFUNCTION("QUERY('Volunteer Survey'!O135)"),"Possibly")</f>
        <v>Possibly</v>
      </c>
      <c r="AO136" s="183" t="str">
        <f>IFERROR(__xludf.DUMMYFUNCTION("QUERY('Volunteer Survey'!P135)"),"")</f>
        <v/>
      </c>
    </row>
    <row r="137">
      <c r="A137" s="50">
        <f>IFERROR(__xludf.DUMMYFUNCTION("QUERY('Volunteer Survey'!A144)"),43558.13699107639)</f>
        <v>43558.13699</v>
      </c>
      <c r="B137" s="48" t="s">
        <v>160</v>
      </c>
      <c r="C137" s="53"/>
      <c r="D137" s="56">
        <v>43626.0</v>
      </c>
      <c r="E137" s="48" t="s">
        <v>117</v>
      </c>
      <c r="F137" s="48" t="s">
        <v>117</v>
      </c>
      <c r="G137" s="48" t="s">
        <v>251</v>
      </c>
      <c r="H137" s="51" t="s">
        <v>252</v>
      </c>
      <c r="I137" s="51" t="s">
        <v>139</v>
      </c>
      <c r="J137" s="56">
        <v>43712.0</v>
      </c>
      <c r="K137" s="56"/>
      <c r="L137" s="55" t="str">
        <f>IFERROR(__xludf.DUMMYFUNCTION("QUERY('Volunteer Survey'!B144)"),"Barbara Vona")</f>
        <v>Barbara Vona</v>
      </c>
      <c r="M137" s="55" t="str">
        <f>IFERROR(__xludf.DUMMYFUNCTION("QUERY('Volunteer Survey'!E144)"),"barbara.vona@uni-tuebingen.de")</f>
        <v>barbara.vona@uni-tuebingen.de</v>
      </c>
      <c r="N137" s="55" t="str">
        <f>IFERROR(__xludf.DUMMYFUNCTION("QUERY('Volunteer Survey'!F144)"),"Half variant analyst, half scientific researcher")</f>
        <v>Half variant analyst, half scientific researcher</v>
      </c>
      <c r="O137" s="48" t="str">
        <f>IFERROR(__xludf.DUMMYFUNCTION("QUERY('Volunteer Survey'!H144)"),"Comprehensive")</f>
        <v>Comprehensive</v>
      </c>
      <c r="P137" s="55" t="str">
        <f>IFERROR(__xludf.DUMMYFUNCTION("QUERY('Volunteer Survey'!I144)"),"Variant Pathogenicity")</f>
        <v>Variant Pathogenicity</v>
      </c>
      <c r="Q137" s="60" t="str">
        <f>IFERROR(__xludf.DUMMYFUNCTION("QUERY('Volunteer Survey'!J144)"),"Gene-Disease Validity")</f>
        <v>Gene-Disease Validity</v>
      </c>
      <c r="R137" s="55" t="str">
        <f>IFERROR(__xludf.DUMMYFUNCTION("QUERY('Volunteer Survey'!K144)"),"")</f>
        <v/>
      </c>
      <c r="S137" s="55" t="str">
        <f>IFERROR(__xludf.DUMMYFUNCTION("QUERY('Volunteer Survey'!L144)"),"")</f>
        <v/>
      </c>
      <c r="T137" s="55" t="str">
        <f>IFERROR(__xludf.DUMMYFUNCTION("QUERY('Volunteer Survey'!M144)"),"")</f>
        <v/>
      </c>
      <c r="U137" s="64" t="str">
        <f>IFERROR(__xludf.DUMMYFUNCTION("QUERY('Volunteer Survey'!N144)"),"LOVD3 variant curation for several hearing loss genes (STRC, GRHL2, CEACAM16, S1PR2)")</f>
        <v>LOVD3 variant curation for several hearing loss genes (STRC, GRHL2, CEACAM16, S1PR2)</v>
      </c>
      <c r="V137" s="55" t="str">
        <f>IFERROR(__xludf.DUMMYFUNCTION("QUERY('Volunteer Survey'!O144)"),"Yes")</f>
        <v>Yes</v>
      </c>
      <c r="W137" s="66" t="str">
        <f>IFERROR(__xludf.DUMMYFUNCTION("QUERY('Volunteer Survey'!P144)"),"Hearing Loss Variant and Gene Curation Expert Panels")</f>
        <v>Hearing Loss Variant and Gene Curation Expert Panels</v>
      </c>
      <c r="X137" s="64" t="str">
        <f>IFERROR(__xludf.DUMMYFUNCTION("QUERY('Volunteer Survey'!R144)"),"Maybe -- please contact me with other options, and I will decide based on what is available")</f>
        <v>Maybe -- please contact me with other options, and I will decide based on what is available</v>
      </c>
      <c r="Y137" s="53"/>
      <c r="Z137" s="182">
        <f>IFERROR(__xludf.DUMMYFUNCTION("QUERY('Volunteer Survey'!A136)"),43542.63785333333)</f>
        <v>43542.63785</v>
      </c>
      <c r="AA137" s="183" t="str">
        <f>IFERROR(__xludf.DUMMYFUNCTION("QUERY('Volunteer Survey'!B136)"),"Angela Pickart")</f>
        <v>Angela Pickart</v>
      </c>
      <c r="AB137" s="183" t="str">
        <f>IFERROR(__xludf.DUMMYFUNCTION("QUERY('Volunteer Survey'!C136)"),"Mayo Clinic")</f>
        <v>Mayo Clinic</v>
      </c>
      <c r="AC137" s="183" t="str">
        <f>IFERROR(__xludf.DUMMYFUNCTION("QUERY('Volunteer Survey'!D136)"),"Rochester, MN")</f>
        <v>Rochester, MN</v>
      </c>
      <c r="AD137" s="183" t="str">
        <f>IFERROR(__xludf.DUMMYFUNCTION("QUERY('Volunteer Survey'!E136)"),"pickart.angela@mayo.edu")</f>
        <v>pickart.angela@mayo.edu</v>
      </c>
      <c r="AE137" s="183" t="str">
        <f>IFERROR(__xludf.DUMMYFUNCTION("QUERY('Volunteer Survey'!F136)"),"Genetic counselor")</f>
        <v>Genetic counselor</v>
      </c>
      <c r="AF137" s="183" t="str">
        <f>IFERROR(__xludf.DUMMYFUNCTION("QUERY('Volunteer Survey'!G136)"),"Colleagues")</f>
        <v>Colleagues</v>
      </c>
      <c r="AG137" s="183" t="str">
        <f>IFERROR(__xludf.DUMMYFUNCTION("QUERY('Volunteer Survey'!H136)"),"Comprehensive")</f>
        <v>Comprehensive</v>
      </c>
      <c r="AH137" s="183" t="str">
        <f>IFERROR(__xludf.DUMMYFUNCTION("QUERY('Volunteer Survey'!I136)"),"Gene-Disease Validity")</f>
        <v>Gene-Disease Validity</v>
      </c>
      <c r="AI137" s="183" t="str">
        <f>IFERROR(__xludf.DUMMYFUNCTION("QUERY('Volunteer Survey'!J136)"),"Variant Pathogenicity")</f>
        <v>Variant Pathogenicity</v>
      </c>
      <c r="AJ137" s="183" t="str">
        <f>IFERROR(__xludf.DUMMYFUNCTION("QUERY('Volunteer Survey'!K136)"),"")</f>
        <v/>
      </c>
      <c r="AK137" s="183" t="str">
        <f>IFERROR(__xludf.DUMMYFUNCTION("QUERY('Volunteer Survey'!L136)"),"")</f>
        <v/>
      </c>
      <c r="AL137" s="183" t="str">
        <f>IFERROR(__xludf.DUMMYFUNCTION("QUERY('Volunteer Survey'!M136)"),"")</f>
        <v/>
      </c>
      <c r="AM137" s="183" t="str">
        <f>IFERROR(__xludf.DUMMYFUNCTION("QUERY('Volunteer Survey'!N136)"),"I work for a clinical laboratory and both assess gene-disease validity and provide variant annotation for a variety of molecular tests, including large epilepsy panels")</f>
        <v>I work for a clinical laboratory and both assess gene-disease validity and provide variant annotation for a variety of molecular tests, including large epilepsy panels</v>
      </c>
      <c r="AN137" s="183" t="str">
        <f>IFERROR(__xludf.DUMMYFUNCTION("QUERY('Volunteer Survey'!O136)"),"Possibly")</f>
        <v>Possibly</v>
      </c>
      <c r="AO137" s="183" t="str">
        <f>IFERROR(__xludf.DUMMYFUNCTION("QUERY('Volunteer Survey'!P136)"),"Epilepsy")</f>
        <v>Epilepsy</v>
      </c>
    </row>
    <row r="138">
      <c r="A138" s="50">
        <f>IFERROR(__xludf.DUMMYFUNCTION("QUERY('Volunteer Survey'!A145)"),43558.605901724535)</f>
        <v>43558.6059</v>
      </c>
      <c r="B138" s="48" t="s">
        <v>160</v>
      </c>
      <c r="C138" s="53"/>
      <c r="D138" s="65">
        <v>43605.0</v>
      </c>
      <c r="E138" s="48" t="s">
        <v>117</v>
      </c>
      <c r="F138" s="48" t="s">
        <v>117</v>
      </c>
      <c r="G138" s="48" t="s">
        <v>251</v>
      </c>
      <c r="H138" s="51" t="s">
        <v>309</v>
      </c>
      <c r="I138" s="51" t="s">
        <v>139</v>
      </c>
      <c r="J138" s="56">
        <v>43712.0</v>
      </c>
      <c r="K138" s="56"/>
      <c r="L138" s="55" t="str">
        <f>IFERROR(__xludf.DUMMYFUNCTION("QUERY('Volunteer Survey'!B145)"),"Viridiana Murillo")</f>
        <v>Viridiana Murillo</v>
      </c>
      <c r="M138" s="55" t="str">
        <f>IFERROR(__xludf.DUMMYFUNCTION("QUERY('Volunteer Survey'!E145)"),"vmurillo18@students.kgi.edu")</f>
        <v>vmurillo18@students.kgi.edu</v>
      </c>
      <c r="N138" s="55" t="str">
        <f>IFERROR(__xludf.DUMMYFUNCTION("QUERY('Volunteer Survey'!F145)"),"Graduate Student")</f>
        <v>Graduate Student</v>
      </c>
      <c r="O138" s="48" t="str">
        <f>IFERROR(__xludf.DUMMYFUNCTION("QUERY('Volunteer Survey'!H145)"),"Comprehensive")</f>
        <v>Comprehensive</v>
      </c>
      <c r="P138" s="55" t="str">
        <f>IFERROR(__xludf.DUMMYFUNCTION("QUERY('Volunteer Survey'!I145)"),"Variant Pathogenicity")</f>
        <v>Variant Pathogenicity</v>
      </c>
      <c r="Q138" s="60" t="str">
        <f>IFERROR(__xludf.DUMMYFUNCTION("QUERY('Volunteer Survey'!J145)"),"")</f>
        <v/>
      </c>
      <c r="R138" s="55" t="str">
        <f>IFERROR(__xludf.DUMMYFUNCTION("QUERY('Volunteer Survey'!K145)"),"")</f>
        <v/>
      </c>
      <c r="S138" s="55" t="str">
        <f>IFERROR(__xludf.DUMMYFUNCTION("QUERY('Volunteer Survey'!L145)"),"")</f>
        <v/>
      </c>
      <c r="T138" s="55" t="str">
        <f>IFERROR(__xludf.DUMMYFUNCTION("QUERY('Volunteer Survey'!M145)"),"")</f>
        <v/>
      </c>
      <c r="U138" s="64" t="str">
        <f>IFERROR(__xludf.DUMMYFUNCTION("QUERY('Volunteer Survey'!N145)"),"We have had some introduction to variant curation using the ACMG guidelines in my Human Genomics course and a training we attended on variant curation. ")</f>
        <v>We have had some introduction to variant curation using the ACMG guidelines in my Human Genomics course and a training we attended on variant curation. </v>
      </c>
      <c r="V138" s="55" t="str">
        <f>IFERROR(__xludf.DUMMYFUNCTION("QUERY('Volunteer Survey'!O145)"),"Possibly")</f>
        <v>Possibly</v>
      </c>
      <c r="W138" s="66" t="str">
        <f>IFERROR(__xludf.DUMMYFUNCTION("QUERY('Volunteer Survey'!P145)"),"Metabolism (PAH) workgroup and/or  Epilepsy work group")</f>
        <v>Metabolism (PAH) workgroup and/or  Epilepsy work group</v>
      </c>
      <c r="X138" s="64" t="str">
        <f>IFERROR(__xludf.DUMMYFUNCTION("QUERY('Volunteer Survey'!R145)"),"Yes- I am willing to volunteer with any available ClinGen group")</f>
        <v>Yes- I am willing to volunteer with any available ClinGen group</v>
      </c>
      <c r="Y138" s="53"/>
      <c r="Z138" s="182">
        <f>IFERROR(__xludf.DUMMYFUNCTION("QUERY('Volunteer Survey'!A137)"),43543.44051402778)</f>
        <v>43543.44051</v>
      </c>
      <c r="AA138" s="183" t="str">
        <f>IFERROR(__xludf.DUMMYFUNCTION("QUERY('Volunteer Survey'!B137)"),"Jing Xie")</f>
        <v>Jing Xie</v>
      </c>
      <c r="AB138" s="183" t="str">
        <f>IFERROR(__xludf.DUMMYFUNCTION("QUERY('Volunteer Survey'!C137)"),"PerkinElmer Genomics")</f>
        <v>PerkinElmer Genomics</v>
      </c>
      <c r="AC138" s="183" t="str">
        <f>IFERROR(__xludf.DUMMYFUNCTION("QUERY('Volunteer Survey'!D137)"),"")</f>
        <v/>
      </c>
      <c r="AD138" s="183" t="str">
        <f>IFERROR(__xludf.DUMMYFUNCTION("QUERY('Volunteer Survey'!E137)"),"jingxiegene@gmail.com")</f>
        <v>jingxiegene@gmail.com</v>
      </c>
      <c r="AE138" s="183" t="str">
        <f>IFERROR(__xludf.DUMMYFUNCTION("QUERY('Volunteer Survey'!F137)"),"Clinical laboratory geneticist")</f>
        <v>Clinical laboratory geneticist</v>
      </c>
      <c r="AF138" s="183" t="str">
        <f>IFERROR(__xludf.DUMMYFUNCTION("QUERY('Volunteer Survey'!G137)"),"The clinicalgenome.org website")</f>
        <v>The clinicalgenome.org website</v>
      </c>
      <c r="AG138" s="183" t="str">
        <f>IFERROR(__xludf.DUMMYFUNCTION("QUERY('Volunteer Survey'!H137)"),"Comprehensive")</f>
        <v>Comprehensive</v>
      </c>
      <c r="AH138" s="183" t="str">
        <f>IFERROR(__xludf.DUMMYFUNCTION("QUERY('Volunteer Survey'!I137)"),"Variant Pathogenicity")</f>
        <v>Variant Pathogenicity</v>
      </c>
      <c r="AI138" s="183" t="str">
        <f>IFERROR(__xludf.DUMMYFUNCTION("QUERY('Volunteer Survey'!J137)"),"Gene-Disease Validity")</f>
        <v>Gene-Disease Validity</v>
      </c>
      <c r="AJ138" s="183" t="str">
        <f>IFERROR(__xludf.DUMMYFUNCTION("QUERY('Volunteer Survey'!K137)"),"Clinical Actionability")</f>
        <v>Clinical Actionability</v>
      </c>
      <c r="AK138" s="183" t="str">
        <f>IFERROR(__xludf.DUMMYFUNCTION("QUERY('Volunteer Survey'!L137)"),"Dosage Sensitivity")</f>
        <v>Dosage Sensitivity</v>
      </c>
      <c r="AL138" s="183" t="str">
        <f>IFERROR(__xludf.DUMMYFUNCTION("QUERY('Volunteer Survey'!M137)"),"Somatic Cancer")</f>
        <v>Somatic Cancer</v>
      </c>
      <c r="AM138" s="183" t="str">
        <f>IFERROR(__xludf.DUMMYFUNCTION("QUERY('Volunteer Survey'!N137)"),"Yes, as a clinical laboratory director, I have been heavily involved in variant pathogenicity evaluation myself and variant analyst training. Meanwhile, I also worked on gene-disease curation periodically for our interpretation pipeline. ")</f>
        <v>Yes, as a clinical laboratory director, I have been heavily involved in variant pathogenicity evaluation myself and variant analyst training. Meanwhile, I also worked on gene-disease curation periodically for our interpretation pipeline. </v>
      </c>
      <c r="AN138" s="183" t="str">
        <f>IFERROR(__xludf.DUMMYFUNCTION("QUERY('Volunteer Survey'!O137)"),"Yes")</f>
        <v>Yes</v>
      </c>
      <c r="AO138" s="183" t="str">
        <f>IFERROR(__xludf.DUMMYFUNCTION("QUERY('Volunteer Survey'!P137)"),"Gene Curation Panel: Hereditary Cancer; Storage Diseases. Variant Curation Panel: Breast/Ovarian Cancer; Colorectal Cancer; Fatty Acid Oxidation; Cerebral Creatine Deficiency Syndrome")</f>
        <v>Gene Curation Panel: Hereditary Cancer; Storage Diseases. Variant Curation Panel: Breast/Ovarian Cancer; Colorectal Cancer; Fatty Acid Oxidation; Cerebral Creatine Deficiency Syndrome</v>
      </c>
    </row>
    <row r="139">
      <c r="A139" s="50">
        <f>IFERROR(__xludf.DUMMYFUNCTION("QUERY('Volunteer Survey'!A146)"),43558.62698700232)</f>
        <v>43558.62699</v>
      </c>
      <c r="B139" s="48" t="s">
        <v>168</v>
      </c>
      <c r="C139" s="53"/>
      <c r="D139" s="65">
        <v>43605.0</v>
      </c>
      <c r="E139" s="48" t="s">
        <v>117</v>
      </c>
      <c r="F139" s="48" t="s">
        <v>130</v>
      </c>
      <c r="G139" s="48" t="s">
        <v>251</v>
      </c>
      <c r="H139" s="53"/>
      <c r="I139" s="51" t="s">
        <v>139</v>
      </c>
      <c r="J139" s="55"/>
      <c r="K139" s="55"/>
      <c r="L139" s="55" t="str">
        <f>IFERROR(__xludf.DUMMYFUNCTION("QUERY('Volunteer Survey'!B146)"),"Sharon Suchy")</f>
        <v>Sharon Suchy</v>
      </c>
      <c r="M139" s="55" t="str">
        <f>IFERROR(__xludf.DUMMYFUNCTION("QUERY('Volunteer Survey'!E146)"),"ssuchy@genedx.com")</f>
        <v>ssuchy@genedx.com</v>
      </c>
      <c r="N139" s="55" t="str">
        <f>IFERROR(__xludf.DUMMYFUNCTION("QUERY('Volunteer Survey'!F146)"),"Clinical laboratory geneticist")</f>
        <v>Clinical laboratory geneticist</v>
      </c>
      <c r="O139" s="48" t="str">
        <f>IFERROR(__xludf.DUMMYFUNCTION("QUERY('Volunteer Survey'!H146)"),"Comprehensive")</f>
        <v>Comprehensive</v>
      </c>
      <c r="P139" s="55" t="str">
        <f>IFERROR(__xludf.DUMMYFUNCTION("QUERY('Volunteer Survey'!I146)"),"Variant Pathogenicity")</f>
        <v>Variant Pathogenicity</v>
      </c>
      <c r="Q139" s="60" t="str">
        <f>IFERROR(__xludf.DUMMYFUNCTION("QUERY('Volunteer Survey'!J146)"),"Clinical Actionability")</f>
        <v>Clinical Actionability</v>
      </c>
      <c r="R139" s="55" t="str">
        <f>IFERROR(__xludf.DUMMYFUNCTION("QUERY('Volunteer Survey'!K146)"),"Gene-Disease Validity")</f>
        <v>Gene-Disease Validity</v>
      </c>
      <c r="S139" s="55" t="str">
        <f>IFERROR(__xludf.DUMMYFUNCTION("QUERY('Volunteer Survey'!L146)"),"")</f>
        <v/>
      </c>
      <c r="T139" s="55" t="str">
        <f>IFERROR(__xludf.DUMMYFUNCTION("QUERY('Volunteer Survey'!M146)"),"")</f>
        <v/>
      </c>
      <c r="U139" s="64" t="str">
        <f>IFERROR(__xludf.DUMMYFUNCTION("QUERY('Volunteer Survey'!N146)"),"yes, assessing variant pathogenicity /clinical actionability issues")</f>
        <v>yes, assessing variant pathogenicity /clinical actionability issues</v>
      </c>
      <c r="V139" s="55" t="str">
        <f>IFERROR(__xludf.DUMMYFUNCTION("QUERY('Volunteer Survey'!O146)"),"Possibly")</f>
        <v>Possibly</v>
      </c>
      <c r="W139" s="66" t="str">
        <f>IFERROR(__xludf.DUMMYFUNCTION("QUERY('Volunteer Survey'!P146)"),"lysosomal storage, inborn errors of metabolism")</f>
        <v>lysosomal storage, inborn errors of metabolism</v>
      </c>
      <c r="X139" s="64" t="str">
        <f>IFERROR(__xludf.DUMMYFUNCTION("QUERY('Volunteer Survey'!R146)"),"Maybe -- please contact me with other options, and I will decide based on what is available")</f>
        <v>Maybe -- please contact me with other options, and I will decide based on what is available</v>
      </c>
      <c r="Y139" s="53"/>
      <c r="Z139" s="182">
        <f>IFERROR(__xludf.DUMMYFUNCTION("QUERY('Volunteer Survey'!A138)"),43549.5145897801)</f>
        <v>43549.51459</v>
      </c>
      <c r="AA139" s="183" t="str">
        <f>IFERROR(__xludf.DUMMYFUNCTION("QUERY('Volunteer Survey'!B138)"),"Jianli Dong")</f>
        <v>Jianli Dong</v>
      </c>
      <c r="AB139" s="183" t="str">
        <f>IFERROR(__xludf.DUMMYFUNCTION("QUERY('Volunteer Survey'!C138)"),"The University of Texas Medical Branch")</f>
        <v>The University of Texas Medical Branch</v>
      </c>
      <c r="AC139" s="183" t="str">
        <f>IFERROR(__xludf.DUMMYFUNCTION("QUERY('Volunteer Survey'!D138)"),"301 University Blvd, Galveston, TX 77555")</f>
        <v>301 University Blvd, Galveston, TX 77555</v>
      </c>
      <c r="AD139" s="183" t="str">
        <f>IFERROR(__xludf.DUMMYFUNCTION("QUERY('Volunteer Survey'!E138)"),"jidong@utmb.edu")</f>
        <v>jidong@utmb.edu</v>
      </c>
      <c r="AE139" s="183" t="str">
        <f>IFERROR(__xludf.DUMMYFUNCTION("QUERY('Volunteer Survey'!F138)"),"Clinical laboratory geneticist")</f>
        <v>Clinical laboratory geneticist</v>
      </c>
      <c r="AF139" s="183" t="str">
        <f>IFERROR(__xludf.DUMMYFUNCTION("QUERY('Volunteer Survey'!G138)"),"ClinGen affiliated emails and/or newsletters")</f>
        <v>ClinGen affiliated emails and/or newsletters</v>
      </c>
      <c r="AG139" s="183" t="str">
        <f>IFERROR(__xludf.DUMMYFUNCTION("QUERY('Volunteer Survey'!H138)"),"Baseline")</f>
        <v>Baseline</v>
      </c>
      <c r="AH139" s="183" t="str">
        <f>IFERROR(__xludf.DUMMYFUNCTION("QUERY('Volunteer Survey'!I138)"),"")</f>
        <v/>
      </c>
      <c r="AI139" s="183" t="str">
        <f>IFERROR(__xludf.DUMMYFUNCTION("QUERY('Volunteer Survey'!J138)"),"")</f>
        <v/>
      </c>
      <c r="AJ139" s="183" t="str">
        <f>IFERROR(__xludf.DUMMYFUNCTION("QUERY('Volunteer Survey'!K138)"),"")</f>
        <v/>
      </c>
      <c r="AK139" s="183" t="str">
        <f>IFERROR(__xludf.DUMMYFUNCTION("QUERY('Volunteer Survey'!L138)"),"")</f>
        <v/>
      </c>
      <c r="AL139" s="183" t="str">
        <f>IFERROR(__xludf.DUMMYFUNCTION("QUERY('Volunteer Survey'!M138)"),"")</f>
        <v/>
      </c>
      <c r="AM139" s="183" t="str">
        <f>IFERROR(__xludf.DUMMYFUNCTION("QUERY('Volunteer Survey'!N138)"),"")</f>
        <v/>
      </c>
      <c r="AN139" s="183" t="str">
        <f>IFERROR(__xludf.DUMMYFUNCTION("QUERY('Volunteer Survey'!O138)"),"No")</f>
        <v>No</v>
      </c>
      <c r="AO139" s="183" t="str">
        <f>IFERROR(__xludf.DUMMYFUNCTION("QUERY('Volunteer Survey'!P138)"),"Breast/Ovarian Cancer (newly forming), Dosage- Hereditary Cancer (newly forming)*, Colorectal Cancer (newly forming), Somatic Cancer")</f>
        <v>Breast/Ovarian Cancer (newly forming), Dosage- Hereditary Cancer (newly forming)*, Colorectal Cancer (newly forming), Somatic Cancer</v>
      </c>
    </row>
    <row r="140">
      <c r="A140" s="50">
        <f>IFERROR(__xludf.DUMMYFUNCTION("QUERY('Volunteer Survey'!A147)"),43558.975779976856)</f>
        <v>43558.97578</v>
      </c>
      <c r="B140" s="48" t="s">
        <v>108</v>
      </c>
      <c r="C140" s="51" t="s">
        <v>350</v>
      </c>
      <c r="D140" s="55"/>
      <c r="E140" s="48" t="s">
        <v>130</v>
      </c>
      <c r="F140" s="48" t="s">
        <v>130</v>
      </c>
      <c r="G140" s="48" t="s">
        <v>122</v>
      </c>
      <c r="H140" s="53"/>
      <c r="I140" s="51" t="s">
        <v>299</v>
      </c>
      <c r="J140" s="55"/>
      <c r="K140" s="55"/>
      <c r="L140" s="55" t="str">
        <f>IFERROR(__xludf.DUMMYFUNCTION("QUERY('Volunteer Survey'!B147)"),"GIFTY BHAT")</f>
        <v>GIFTY BHAT</v>
      </c>
      <c r="M140" s="55" t="str">
        <f>IFERROR(__xludf.DUMMYFUNCTION("QUERY('Volunteer Survey'!E147)"),"drgiftybhat@gmail.com")</f>
        <v>drgiftybhat@gmail.com</v>
      </c>
      <c r="N140" s="55" t="str">
        <f>IFERROR(__xludf.DUMMYFUNCTION("QUERY('Volunteer Survey'!F147)"),"Clinical Medical Geneticist")</f>
        <v>Clinical Medical Geneticist</v>
      </c>
      <c r="O140" s="48" t="str">
        <f>IFERROR(__xludf.DUMMYFUNCTION("QUERY('Volunteer Survey'!H147)"),"Comprehensive")</f>
        <v>Comprehensive</v>
      </c>
      <c r="P140" s="55" t="str">
        <f>IFERROR(__xludf.DUMMYFUNCTION("QUERY('Volunteer Survey'!I147)"),"Gene-Disease Validity")</f>
        <v>Gene-Disease Validity</v>
      </c>
      <c r="Q140" s="60" t="str">
        <f>IFERROR(__xludf.DUMMYFUNCTION("QUERY('Volunteer Survey'!J147)"),"Variant Pathogenicity")</f>
        <v>Variant Pathogenicity</v>
      </c>
      <c r="R140" s="55" t="str">
        <f>IFERROR(__xludf.DUMMYFUNCTION("QUERY('Volunteer Survey'!K147)"),"Clinical Actionability")</f>
        <v>Clinical Actionability</v>
      </c>
      <c r="S140" s="55" t="str">
        <f>IFERROR(__xludf.DUMMYFUNCTION("QUERY('Volunteer Survey'!L147)"),"Dosage Sensitivity")</f>
        <v>Dosage Sensitivity</v>
      </c>
      <c r="T140" s="55" t="str">
        <f>IFERROR(__xludf.DUMMYFUNCTION("QUERY('Volunteer Survey'!M147)"),"Somatic Cancer")</f>
        <v>Somatic Cancer</v>
      </c>
      <c r="U140" s="64" t="str">
        <f>IFERROR(__xludf.DUMMYFUNCTION("QUERY('Volunteer Survey'!N147)"),"Research activity for 6 months for neurodevelopmental disorders in consanguineous population")</f>
        <v>Research activity for 6 months for neurodevelopmental disorders in consanguineous population</v>
      </c>
      <c r="V140" s="55" t="str">
        <f>IFERROR(__xludf.DUMMYFUNCTION("QUERY('Volunteer Survey'!O147)"),"Yes")</f>
        <v>Yes</v>
      </c>
      <c r="W140" s="66" t="str">
        <f>IFERROR(__xludf.DUMMYFUNCTION("QUERY('Volunteer Survey'!P147)"),"Neurodevelopmental/intellectual disability, Rett-Angelman syndrome, PTEN related disorders")</f>
        <v>Neurodevelopmental/intellectual disability, Rett-Angelman syndrome, PTEN related disorders</v>
      </c>
      <c r="X140" s="64" t="str">
        <f>IFERROR(__xludf.DUMMYFUNCTION("QUERY('Volunteer Survey'!R147)"),"Yes- I am willing to volunteer with any available ClinGen group")</f>
        <v>Yes- I am willing to volunteer with any available ClinGen group</v>
      </c>
      <c r="Y140" s="53"/>
      <c r="Z140" s="182">
        <f>IFERROR(__xludf.DUMMYFUNCTION("QUERY('Volunteer Survey'!A139)"),43549.53046127314)</f>
        <v>43549.53046</v>
      </c>
      <c r="AA140" s="183" t="str">
        <f>IFERROR(__xludf.DUMMYFUNCTION("QUERY('Volunteer Survey'!B139)"),"Kathryn Kronquist")</f>
        <v>Kathryn Kronquist</v>
      </c>
      <c r="AB140" s="183" t="str">
        <f>IFERROR(__xludf.DUMMYFUNCTION("QUERY('Volunteer Survey'!C139)"),"University of Colorado Department of Pediatrics")</f>
        <v>University of Colorado Department of Pediatrics</v>
      </c>
      <c r="AC140" s="183" t="str">
        <f>IFERROR(__xludf.DUMMYFUNCTION("QUERY('Volunteer Survey'!D139)"),"13123East 16th Avenue, B120, Aurora CO 80045")</f>
        <v>13123East 16th Avenue, B120, Aurora CO 80045</v>
      </c>
      <c r="AD140" s="183" t="str">
        <f>IFERROR(__xludf.DUMMYFUNCTION("QUERY('Volunteer Survey'!E139)"),"Kathryn.Kronquist@childrenscolorado.org")</f>
        <v>Kathryn.Kronquist@childrenscolorado.org</v>
      </c>
      <c r="AE140" s="183" t="str">
        <f>IFERROR(__xludf.DUMMYFUNCTION("QUERY('Volunteer Survey'!F139)"),"Clinical laboratory geneticist")</f>
        <v>Clinical laboratory geneticist</v>
      </c>
      <c r="AF140" s="183" t="str">
        <f>IFERROR(__xludf.DUMMYFUNCTION("QUERY('Volunteer Survey'!G139)"),"ClinGen conference advertisements (i.e. booth, workshop, presentation)")</f>
        <v>ClinGen conference advertisements (i.e. booth, workshop, presentation)</v>
      </c>
      <c r="AG140" s="183" t="str">
        <f>IFERROR(__xludf.DUMMYFUNCTION("QUERY('Volunteer Survey'!H139)"),"Comprehensive")</f>
        <v>Comprehensive</v>
      </c>
      <c r="AH140" s="183" t="str">
        <f>IFERROR(__xludf.DUMMYFUNCTION("QUERY('Volunteer Survey'!I139)"),"Variant Pathogenicity")</f>
        <v>Variant Pathogenicity</v>
      </c>
      <c r="AI140" s="183" t="str">
        <f>IFERROR(__xludf.DUMMYFUNCTION("QUERY('Volunteer Survey'!J139)"),"Dosage Sensitivity")</f>
        <v>Dosage Sensitivity</v>
      </c>
      <c r="AJ140" s="183" t="str">
        <f>IFERROR(__xludf.DUMMYFUNCTION("QUERY('Volunteer Survey'!K139)"),"")</f>
        <v/>
      </c>
      <c r="AK140" s="183" t="str">
        <f>IFERROR(__xludf.DUMMYFUNCTION("QUERY('Volunteer Survey'!L139)"),"")</f>
        <v/>
      </c>
      <c r="AL140" s="183" t="str">
        <f>IFERROR(__xludf.DUMMYFUNCTION("QUERY('Volunteer Survey'!M139)"),"")</f>
        <v/>
      </c>
      <c r="AM140" s="183" t="str">
        <f>IFERROR(__xludf.DUMMYFUNCTION("QUERY('Volunteer Survey'!N139)"),"applying ACMG Guidelines for variant curation in daily work")</f>
        <v>applying ACMG Guidelines for variant curation in daily work</v>
      </c>
      <c r="AN140" s="183" t="str">
        <f>IFERROR(__xludf.DUMMYFUNCTION("QUERY('Volunteer Survey'!O139)"),"Possibly")</f>
        <v>Possibly</v>
      </c>
      <c r="AO140" s="183" t="str">
        <f>IFERROR(__xludf.DUMMYFUNCTION("QUERY('Volunteer Survey'!P139)"),"epilepsy, RASopathy")</f>
        <v>epilepsy, RASopathy</v>
      </c>
    </row>
    <row r="141">
      <c r="A141" s="50">
        <f>IFERROR(__xludf.DUMMYFUNCTION("QUERY('Volunteer Survey'!A148)"),43559.45062822916)</f>
        <v>43559.45063</v>
      </c>
      <c r="B141" s="48" t="s">
        <v>160</v>
      </c>
      <c r="C141" s="53"/>
      <c r="D141" s="65">
        <v>43608.0</v>
      </c>
      <c r="E141" s="48" t="s">
        <v>117</v>
      </c>
      <c r="F141" s="48" t="s">
        <v>117</v>
      </c>
      <c r="G141" s="48" t="s">
        <v>251</v>
      </c>
      <c r="H141" s="51" t="s">
        <v>310</v>
      </c>
      <c r="I141" s="51" t="s">
        <v>139</v>
      </c>
      <c r="J141" s="56">
        <v>43712.0</v>
      </c>
      <c r="K141" s="56"/>
      <c r="L141" s="55" t="str">
        <f>IFERROR(__xludf.DUMMYFUNCTION("QUERY('Volunteer Survey'!B148)"),"Theodore E. Wilson")</f>
        <v>Theodore E. Wilson</v>
      </c>
      <c r="M141" s="55" t="str">
        <f>IFERROR(__xludf.DUMMYFUNCTION("QUERY('Volunteer Survey'!E148)"),"theowils@iu.edu")</f>
        <v>theowils@iu.edu</v>
      </c>
      <c r="N141" s="55" t="str">
        <f>IFERROR(__xludf.DUMMYFUNCTION("QUERY('Volunteer Survey'!F148)"),"Clinical Medical Geneticist")</f>
        <v>Clinical Medical Geneticist</v>
      </c>
      <c r="O141" s="48" t="str">
        <f>IFERROR(__xludf.DUMMYFUNCTION("QUERY('Volunteer Survey'!H148)"),"Comprehensive")</f>
        <v>Comprehensive</v>
      </c>
      <c r="P141" s="55" t="str">
        <f>IFERROR(__xludf.DUMMYFUNCTION("QUERY('Volunteer Survey'!I148)"),"Variant Pathogenicity")</f>
        <v>Variant Pathogenicity</v>
      </c>
      <c r="Q141" s="60" t="str">
        <f>IFERROR(__xludf.DUMMYFUNCTION("QUERY('Volunteer Survey'!J148)"),"Gene-Disease Validity")</f>
        <v>Gene-Disease Validity</v>
      </c>
      <c r="R141" s="55" t="str">
        <f>IFERROR(__xludf.DUMMYFUNCTION("QUERY('Volunteer Survey'!K148)"),"")</f>
        <v/>
      </c>
      <c r="S141" s="55" t="str">
        <f>IFERROR(__xludf.DUMMYFUNCTION("QUERY('Volunteer Survey'!L148)"),"")</f>
        <v/>
      </c>
      <c r="T141" s="55" t="str">
        <f>IFERROR(__xludf.DUMMYFUNCTION("QUERY('Volunteer Survey'!M148)"),"")</f>
        <v/>
      </c>
      <c r="U141" s="64" t="str">
        <f>IFERROR(__xludf.DUMMYFUNCTION("QUERY('Volunteer Survey'!N148)"),"During my fellowship I worked closely with ARUP Molecular geneticists to call variant pathogenicity based on the 2015 criteria.")</f>
        <v>During my fellowship I worked closely with ARUP Molecular geneticists to call variant pathogenicity based on the 2015 criteria.</v>
      </c>
      <c r="V141" s="55" t="str">
        <f>IFERROR(__xludf.DUMMYFUNCTION("QUERY('Volunteer Survey'!O148)"),"No")</f>
        <v>No</v>
      </c>
      <c r="W141" s="66" t="str">
        <f>IFERROR(__xludf.DUMMYFUNCTION("QUERY('Volunteer Survey'!P148)"),"cardiomyopathy")</f>
        <v>cardiomyopathy</v>
      </c>
      <c r="X141" s="64" t="str">
        <f>IFERROR(__xludf.DUMMYFUNCTION("QUERY('Volunteer Survey'!R148)"),"Maybe -- please contact me with other options, and I will decide based on what is available")</f>
        <v>Maybe -- please contact me with other options, and I will decide based on what is available</v>
      </c>
      <c r="Y141" s="53"/>
      <c r="Z141" s="182">
        <f>IFERROR(__xludf.DUMMYFUNCTION("QUERY('Volunteer Survey'!A140)"),43549.67094309028)</f>
        <v>43549.67094</v>
      </c>
      <c r="AA141" s="183" t="str">
        <f>IFERROR(__xludf.DUMMYFUNCTION("QUERY('Volunteer Survey'!B140)"),"Kristen L Deak")</f>
        <v>Kristen L Deak</v>
      </c>
      <c r="AB141" s="183" t="str">
        <f>IFERROR(__xludf.DUMMYFUNCTION("QUERY('Volunteer Survey'!C140)"),"Duke University")</f>
        <v>Duke University</v>
      </c>
      <c r="AC141" s="183" t="str">
        <f>IFERROR(__xludf.DUMMYFUNCTION("QUERY('Volunteer Survey'!D140)"),"2531 Erwin Road, Wadsworth Building 0213c, Durham, NC 27705 ")</f>
        <v>2531 Erwin Road, Wadsworth Building 0213c, Durham, NC 27705 </v>
      </c>
      <c r="AD141" s="183" t="str">
        <f>IFERROR(__xludf.DUMMYFUNCTION("QUERY('Volunteer Survey'!E140)"),"kristen.deak@duke.edu")</f>
        <v>kristen.deak@duke.edu</v>
      </c>
      <c r="AE141" s="183" t="str">
        <f>IFERROR(__xludf.DUMMYFUNCTION("QUERY('Volunteer Survey'!F140)"),"Clinical laboratory geneticist")</f>
        <v>Clinical laboratory geneticist</v>
      </c>
      <c r="AF141" s="183" t="str">
        <f>IFERROR(__xludf.DUMMYFUNCTION("QUERY('Volunteer Survey'!G140)"),"Colleagues")</f>
        <v>Colleagues</v>
      </c>
      <c r="AG141" s="183" t="str">
        <f>IFERROR(__xludf.DUMMYFUNCTION("QUERY('Volunteer Survey'!H140)"),"Comprehensive")</f>
        <v>Comprehensive</v>
      </c>
      <c r="AH141" s="183" t="str">
        <f>IFERROR(__xludf.DUMMYFUNCTION("QUERY('Volunteer Survey'!I140)"),"Variant Pathogenicity")</f>
        <v>Variant Pathogenicity</v>
      </c>
      <c r="AI141" s="183" t="str">
        <f>IFERROR(__xludf.DUMMYFUNCTION("QUERY('Volunteer Survey'!J140)"),"Somatic Cancer")</f>
        <v>Somatic Cancer</v>
      </c>
      <c r="AJ141" s="183" t="str">
        <f>IFERROR(__xludf.DUMMYFUNCTION("QUERY('Volunteer Survey'!K140)"),"Dosage Sensitivity")</f>
        <v>Dosage Sensitivity</v>
      </c>
      <c r="AK141" s="183" t="str">
        <f>IFERROR(__xludf.DUMMYFUNCTION("QUERY('Volunteer Survey'!L140)"),"Clinical Actionability")</f>
        <v>Clinical Actionability</v>
      </c>
      <c r="AL141" s="183" t="str">
        <f>IFERROR(__xludf.DUMMYFUNCTION("QUERY('Volunteer Survey'!M140)"),"Gene-Disease Validity")</f>
        <v>Gene-Disease Validity</v>
      </c>
      <c r="AM141" s="183" t="str">
        <f>IFERROR(__xludf.DUMMYFUNCTION("QUERY('Volunteer Survey'!N140)"),"Not other than evaluation and signout of patient reports")</f>
        <v>Not other than evaluation and signout of patient reports</v>
      </c>
      <c r="AN141" s="183" t="str">
        <f>IFERROR(__xludf.DUMMYFUNCTION("QUERY('Volunteer Survey'!O140)"),"Yes")</f>
        <v>Yes</v>
      </c>
      <c r="AO141" s="183" t="str">
        <f>IFERROR(__xludf.DUMMYFUNCTION("QUERY('Volunteer Survey'!P140)"),"")</f>
        <v/>
      </c>
    </row>
    <row r="142">
      <c r="A142" s="50">
        <f>IFERROR(__xludf.DUMMYFUNCTION("QUERY('Volunteer Survey'!A149)"),43559.49000396991)</f>
        <v>43559.49</v>
      </c>
      <c r="B142" s="48" t="s">
        <v>160</v>
      </c>
      <c r="C142" s="53"/>
      <c r="D142" s="65">
        <v>43605.0</v>
      </c>
      <c r="E142" s="48" t="s">
        <v>117</v>
      </c>
      <c r="F142" s="48" t="s">
        <v>117</v>
      </c>
      <c r="G142" s="48" t="s">
        <v>251</v>
      </c>
      <c r="H142" s="51" t="s">
        <v>248</v>
      </c>
      <c r="I142" s="51" t="s">
        <v>139</v>
      </c>
      <c r="J142" s="56">
        <v>43712.0</v>
      </c>
      <c r="K142" s="56"/>
      <c r="L142" s="55" t="str">
        <f>IFERROR(__xludf.DUMMYFUNCTION("QUERY('Volunteer Survey'!B149)"),"Christina Y Hung")</f>
        <v>Christina Y Hung</v>
      </c>
      <c r="M142" s="55" t="str">
        <f>IFERROR(__xludf.DUMMYFUNCTION("QUERY('Volunteer Survey'!E149)"),"christina.hung@childrens.harvard.edu")</f>
        <v>christina.hung@childrens.harvard.edu</v>
      </c>
      <c r="N142" s="55" t="str">
        <f>IFERROR(__xludf.DUMMYFUNCTION("QUERY('Volunteer Survey'!F149)"),"Scientific Researcher")</f>
        <v>Scientific Researcher</v>
      </c>
      <c r="O142" s="48" t="str">
        <f>IFERROR(__xludf.DUMMYFUNCTION("QUERY('Volunteer Survey'!H149)"),"Comprehensive")</f>
        <v>Comprehensive</v>
      </c>
      <c r="P142" s="55" t="str">
        <f>IFERROR(__xludf.DUMMYFUNCTION("QUERY('Volunteer Survey'!I149)"),"Variant Pathogenicity")</f>
        <v>Variant Pathogenicity</v>
      </c>
      <c r="Q142" s="60" t="str">
        <f>IFERROR(__xludf.DUMMYFUNCTION("QUERY('Volunteer Survey'!J149)"),"Gene-Disease Validity")</f>
        <v>Gene-Disease Validity</v>
      </c>
      <c r="R142" s="55" t="str">
        <f>IFERROR(__xludf.DUMMYFUNCTION("QUERY('Volunteer Survey'!K149)"),"Clinical Actionability")</f>
        <v>Clinical Actionability</v>
      </c>
      <c r="S142" s="55" t="str">
        <f>IFERROR(__xludf.DUMMYFUNCTION("QUERY('Volunteer Survey'!L149)"),"Dosage Sensitivity")</f>
        <v>Dosage Sensitivity</v>
      </c>
      <c r="T142" s="55" t="str">
        <f>IFERROR(__xludf.DUMMYFUNCTION("QUERY('Volunteer Survey'!M149)"),"")</f>
        <v/>
      </c>
      <c r="U142" s="64" t="str">
        <f>IFERROR(__xludf.DUMMYFUNCTION("QUERY('Volunteer Survey'!N149)"),"ABMGG training/fellowships")</f>
        <v>ABMGG training/fellowships</v>
      </c>
      <c r="V142" s="55" t="str">
        <f>IFERROR(__xludf.DUMMYFUNCTION("QUERY('Volunteer Survey'!O149)"),"Possibly")</f>
        <v>Possibly</v>
      </c>
      <c r="W142" s="66" t="str">
        <f>IFERROR(__xludf.DUMMYFUNCTION("QUERY('Volunteer Survey'!P149)"),"Inborn error of Metabolism, Lysosomal Storage Disorders, Aminoacidopathy; have talked to Meredith Weaver regarding options of joining Metabolism Workgroup")</f>
        <v>Inborn error of Metabolism, Lysosomal Storage Disorders, Aminoacidopathy; have talked to Meredith Weaver regarding options of joining Metabolism Workgroup</v>
      </c>
      <c r="X142" s="64" t="str">
        <f>IFERROR(__xludf.DUMMYFUNCTION("QUERY('Volunteer Survey'!R149)"),"Maybe -- please contact me with other options, and I will decide based on what is available")</f>
        <v>Maybe -- please contact me with other options, and I will decide based on what is available</v>
      </c>
      <c r="Y142" s="53"/>
      <c r="Z142" s="182">
        <f>IFERROR(__xludf.DUMMYFUNCTION("QUERY('Volunteer Survey'!A141)"),43550.17733546296)</f>
        <v>43550.17734</v>
      </c>
      <c r="AA142" s="183" t="str">
        <f>IFERROR(__xludf.DUMMYFUNCTION("QUERY('Volunteer Survey'!B141)"),"Venkataswamy Eswarachari")</f>
        <v>Venkataswamy Eswarachari</v>
      </c>
      <c r="AB142" s="183" t="str">
        <f>IFERROR(__xludf.DUMMYFUNCTION("QUERY('Volunteer Survey'!C141)"),"MedGenome Labs Limited")</f>
        <v>MedGenome Labs Limited</v>
      </c>
      <c r="AC142" s="183" t="str">
        <f>IFERROR(__xludf.DUMMYFUNCTION("QUERY('Volunteer Survey'!D141)"),"3rd Floor, Narayana Netralaya Building, Narayana Health City, 258/A Hosur Road, Bommasandra, Bangalore, Karnataka, India - 560099")</f>
        <v>3rd Floor, Narayana Netralaya Building, Narayana Health City, 258/A Hosur Road, Bommasandra, Bangalore, Karnataka, India - 560099</v>
      </c>
      <c r="AD142" s="183" t="str">
        <f>IFERROR(__xludf.DUMMYFUNCTION("QUERY('Volunteer Survey'!E141)"),"venkataswamy@medgenome.com")</f>
        <v>venkataswamy@medgenome.com</v>
      </c>
      <c r="AE142" s="183" t="str">
        <f>IFERROR(__xludf.DUMMYFUNCTION("QUERY('Volunteer Survey'!F141)"),"Clinical laboratory geneticist")</f>
        <v>Clinical laboratory geneticist</v>
      </c>
      <c r="AF142" s="183" t="str">
        <f>IFERROR(__xludf.DUMMYFUNCTION("QUERY('Volunteer Survey'!G141)"),"ClinGen affiliated emails and/or newsletters")</f>
        <v>ClinGen affiliated emails and/or newsletters</v>
      </c>
      <c r="AG142" s="183" t="str">
        <f>IFERROR(__xludf.DUMMYFUNCTION("QUERY('Volunteer Survey'!H141)"),"Comprehensive")</f>
        <v>Comprehensive</v>
      </c>
      <c r="AH142" s="183" t="str">
        <f>IFERROR(__xludf.DUMMYFUNCTION("QUERY('Volunteer Survey'!I141)"),"Somatic Cancer")</f>
        <v>Somatic Cancer</v>
      </c>
      <c r="AI142" s="183" t="str">
        <f>IFERROR(__xludf.DUMMYFUNCTION("QUERY('Volunteer Survey'!J141)"),"Gene-Disease Validity")</f>
        <v>Gene-Disease Validity</v>
      </c>
      <c r="AJ142" s="183" t="str">
        <f>IFERROR(__xludf.DUMMYFUNCTION("QUERY('Volunteer Survey'!K141)"),"Clinical Actionability")</f>
        <v>Clinical Actionability</v>
      </c>
      <c r="AK142" s="183" t="str">
        <f>IFERROR(__xludf.DUMMYFUNCTION("QUERY('Volunteer Survey'!L141)"),"Variant Pathogenicity")</f>
        <v>Variant Pathogenicity</v>
      </c>
      <c r="AL142" s="183" t="str">
        <f>IFERROR(__xludf.DUMMYFUNCTION("QUERY('Volunteer Survey'!M141)"),"Dosage Sensitivity")</f>
        <v>Dosage Sensitivity</v>
      </c>
      <c r="AM142" s="183" t="str">
        <f>IFERROR(__xludf.DUMMYFUNCTION("QUERY('Volunteer Survey'!N141)"),"Not professionally but for clinical reporting I have done some curation. ")</f>
        <v>Not professionally but for clinical reporting I have done some curation. </v>
      </c>
      <c r="AN142" s="183" t="str">
        <f>IFERROR(__xludf.DUMMYFUNCTION("QUERY('Volunteer Survey'!O141)"),"Possibly")</f>
        <v>Possibly</v>
      </c>
      <c r="AO142" s="183" t="str">
        <f>IFERROR(__xludf.DUMMYFUNCTION("QUERY('Volunteer Survey'!P141)"),"")</f>
        <v/>
      </c>
    </row>
    <row r="143">
      <c r="A143" s="50">
        <f>IFERROR(__xludf.DUMMYFUNCTION("QUERY('Volunteer Survey'!A150)"),43560.44773336806)</f>
        <v>43560.44773</v>
      </c>
      <c r="B143" s="48" t="s">
        <v>168</v>
      </c>
      <c r="C143" s="51" t="s">
        <v>351</v>
      </c>
      <c r="D143" s="55"/>
      <c r="E143" s="48" t="s">
        <v>130</v>
      </c>
      <c r="F143" s="48" t="s">
        <v>130</v>
      </c>
      <c r="G143" s="48" t="s">
        <v>19</v>
      </c>
      <c r="H143" s="69"/>
      <c r="I143" s="69" t="s">
        <v>139</v>
      </c>
      <c r="J143" s="55"/>
      <c r="K143" s="55"/>
      <c r="L143" s="55" t="str">
        <f>IFERROR(__xludf.DUMMYFUNCTION("QUERY('Volunteer Survey'!B150)"),"Alka Chaubey")</f>
        <v>Alka Chaubey</v>
      </c>
      <c r="M143" s="55" t="str">
        <f>IFERROR(__xludf.DUMMYFUNCTION("QUERY('Volunteer Survey'!E150)"),"")</f>
        <v/>
      </c>
      <c r="N143" s="55" t="str">
        <f>IFERROR(__xludf.DUMMYFUNCTION("QUERY('Volunteer Survey'!F150)"),"Clinical laboratory geneticist")</f>
        <v>Clinical laboratory geneticist</v>
      </c>
      <c r="O143" s="48" t="str">
        <f>IFERROR(__xludf.DUMMYFUNCTION("QUERY('Volunteer Survey'!H150)"),"Comprehensive")</f>
        <v>Comprehensive</v>
      </c>
      <c r="P143" s="55" t="str">
        <f>IFERROR(__xludf.DUMMYFUNCTION("QUERY('Volunteer Survey'!I150)"),"Clinical Actionability")</f>
        <v>Clinical Actionability</v>
      </c>
      <c r="Q143" s="60" t="str">
        <f>IFERROR(__xludf.DUMMYFUNCTION("QUERY('Volunteer Survey'!J150)"),"Gene-Disease Validity")</f>
        <v>Gene-Disease Validity</v>
      </c>
      <c r="R143" s="55" t="str">
        <f>IFERROR(__xludf.DUMMYFUNCTION("QUERY('Volunteer Survey'!K150)"),"Variant Pathogenicity")</f>
        <v>Variant Pathogenicity</v>
      </c>
      <c r="S143" s="55" t="str">
        <f>IFERROR(__xludf.DUMMYFUNCTION("QUERY('Volunteer Survey'!L150)"),"")</f>
        <v/>
      </c>
      <c r="T143" s="55" t="str">
        <f>IFERROR(__xludf.DUMMYFUNCTION("QUERY('Volunteer Survey'!M150)"),"")</f>
        <v/>
      </c>
      <c r="U143" s="64" t="str">
        <f>IFERROR(__xludf.DUMMYFUNCTION("QUERY('Volunteer Survey'!N150)"),"Participated in pilot dosage sensitivity effort of analyzing and curating CNVs")</f>
        <v>Participated in pilot dosage sensitivity effort of analyzing and curating CNVs</v>
      </c>
      <c r="V143" s="55" t="str">
        <f>IFERROR(__xludf.DUMMYFUNCTION("QUERY('Volunteer Survey'!O150)"),"Possibly")</f>
        <v>Possibly</v>
      </c>
      <c r="W143" s="66" t="str">
        <f>IFERROR(__xludf.DUMMYFUNCTION("QUERY('Volunteer Survey'!P150)"),"Dosage sensitivity and somatic cancer ")</f>
        <v>Dosage sensitivity and somatic cancer </v>
      </c>
      <c r="X143" s="64" t="str">
        <f>IFERROR(__xludf.DUMMYFUNCTION("QUERY('Volunteer Survey'!R150)"),"Maybe -- please contact me with other options, and I will decide based on what is available")</f>
        <v>Maybe -- please contact me with other options, and I will decide based on what is available</v>
      </c>
      <c r="Y143" s="53"/>
      <c r="Z143" s="182">
        <f>IFERROR(__xludf.DUMMYFUNCTION("QUERY('Volunteer Survey'!A142)"),43551.42424122685)</f>
        <v>43551.42424</v>
      </c>
      <c r="AA143" s="183" t="str">
        <f>IFERROR(__xludf.DUMMYFUNCTION("QUERY('Volunteer Survey'!B142)"),"Tyler Parris")</f>
        <v>Tyler Parris</v>
      </c>
      <c r="AB143" s="183" t="str">
        <f>IFERROR(__xludf.DUMMYFUNCTION("QUERY('Volunteer Survey'!C142)"),"Massachusetts General Hospital")</f>
        <v>Massachusetts General Hospital</v>
      </c>
      <c r="AC143" s="183" t="str">
        <f>IFERROR(__xludf.DUMMYFUNCTION("QUERY('Volunteer Survey'!D142)"),"25 Morrissey Blvd, Apt 1236, Boston MA 02125")</f>
        <v>25 Morrissey Blvd, Apt 1236, Boston MA 02125</v>
      </c>
      <c r="AD143" s="183" t="str">
        <f>IFERROR(__xludf.DUMMYFUNCTION("QUERY('Volunteer Survey'!E142)"),"tylerchristianparrismd@gmail.com")</f>
        <v>tylerchristianparrismd@gmail.com</v>
      </c>
      <c r="AE143" s="183" t="str">
        <f>IFERROR(__xludf.DUMMYFUNCTION("QUERY('Volunteer Survey'!F142)"),"Post Doc/Resident/Fellow (MD and/or PhD)")</f>
        <v>Post Doc/Resident/Fellow (MD and/or PhD)</v>
      </c>
      <c r="AF143" s="183" t="str">
        <f>IFERROR(__xludf.DUMMYFUNCTION("QUERY('Volunteer Survey'!G142)"),"GeneDx testing results packet of a patient")</f>
        <v>GeneDx testing results packet of a patient</v>
      </c>
      <c r="AG143" s="183" t="str">
        <f>IFERROR(__xludf.DUMMYFUNCTION("QUERY('Volunteer Survey'!H142)"),"Baseline")</f>
        <v>Baseline</v>
      </c>
      <c r="AH143" s="183" t="str">
        <f>IFERROR(__xludf.DUMMYFUNCTION("QUERY('Volunteer Survey'!I142)"),"Clinical Actionability")</f>
        <v>Clinical Actionability</v>
      </c>
      <c r="AI143" s="183" t="str">
        <f>IFERROR(__xludf.DUMMYFUNCTION("QUERY('Volunteer Survey'!J142)"),"")</f>
        <v/>
      </c>
      <c r="AJ143" s="183" t="str">
        <f>IFERROR(__xludf.DUMMYFUNCTION("QUERY('Volunteer Survey'!K142)"),"")</f>
        <v/>
      </c>
      <c r="AK143" s="183" t="str">
        <f>IFERROR(__xludf.DUMMYFUNCTION("QUERY('Volunteer Survey'!L142)"),"")</f>
        <v/>
      </c>
      <c r="AL143" s="183" t="str">
        <f>IFERROR(__xludf.DUMMYFUNCTION("QUERY('Volunteer Survey'!M142)"),"")</f>
        <v/>
      </c>
      <c r="AM143" s="183" t="str">
        <f>IFERROR(__xludf.DUMMYFUNCTION("QUERY('Volunteer Survey'!N142)"),"")</f>
        <v/>
      </c>
      <c r="AN143" s="183" t="str">
        <f>IFERROR(__xludf.DUMMYFUNCTION("QUERY('Volunteer Survey'!O142)"),"Possibly")</f>
        <v>Possibly</v>
      </c>
      <c r="AO143" s="183" t="str">
        <f>IFERROR(__xludf.DUMMYFUNCTION("QUERY('Volunteer Survey'!P142)"),"")</f>
        <v/>
      </c>
    </row>
    <row r="144">
      <c r="A144" s="50">
        <f>IFERROR(__xludf.DUMMYFUNCTION("QUERY('Volunteer Survey'!A151)"),43560.45181064815)</f>
        <v>43560.45181</v>
      </c>
      <c r="B144" s="48" t="s">
        <v>160</v>
      </c>
      <c r="C144" s="53"/>
      <c r="D144" s="65">
        <v>43605.0</v>
      </c>
      <c r="E144" s="48" t="s">
        <v>117</v>
      </c>
      <c r="F144" s="48" t="s">
        <v>117</v>
      </c>
      <c r="G144" s="48" t="s">
        <v>251</v>
      </c>
      <c r="H144" s="51" t="s">
        <v>302</v>
      </c>
      <c r="I144" s="51" t="s">
        <v>139</v>
      </c>
      <c r="J144" s="56">
        <v>43712.0</v>
      </c>
      <c r="K144" s="56"/>
      <c r="L144" s="55" t="str">
        <f>IFERROR(__xludf.DUMMYFUNCTION("QUERY('Volunteer Survey'!B151)"),"Junyu Zhang")</f>
        <v>Junyu Zhang</v>
      </c>
      <c r="M144" s="55" t="str">
        <f>IFERROR(__xludf.DUMMYFUNCTION("QUERY('Volunteer Survey'!E151)"),"junyuzhang@hotmail.com")</f>
        <v>junyuzhang@hotmail.com</v>
      </c>
      <c r="N144" s="55" t="str">
        <f>IFERROR(__xludf.DUMMYFUNCTION("QUERY('Volunteer Survey'!F151)"),"Clinical laboratory geneticist")</f>
        <v>Clinical laboratory geneticist</v>
      </c>
      <c r="O144" s="48" t="str">
        <f>IFERROR(__xludf.DUMMYFUNCTION("QUERY('Volunteer Survey'!H151)"),"Comprehensive")</f>
        <v>Comprehensive</v>
      </c>
      <c r="P144" s="55" t="str">
        <f>IFERROR(__xludf.DUMMYFUNCTION("QUERY('Volunteer Survey'!I151)"),"Variant Pathogenicity")</f>
        <v>Variant Pathogenicity</v>
      </c>
      <c r="Q144" s="60" t="str">
        <f>IFERROR(__xludf.DUMMYFUNCTION("QUERY('Volunteer Survey'!J151)"),"Gene-Disease Validity")</f>
        <v>Gene-Disease Validity</v>
      </c>
      <c r="R144" s="55" t="str">
        <f>IFERROR(__xludf.DUMMYFUNCTION("QUERY('Volunteer Survey'!K151)"),"Clinical Actionability")</f>
        <v>Clinical Actionability</v>
      </c>
      <c r="S144" s="55" t="str">
        <f>IFERROR(__xludf.DUMMYFUNCTION("QUERY('Volunteer Survey'!L151)"),"")</f>
        <v/>
      </c>
      <c r="T144" s="55" t="str">
        <f>IFERROR(__xludf.DUMMYFUNCTION("QUERY('Volunteer Survey'!M151)"),"")</f>
        <v/>
      </c>
      <c r="U144" s="64" t="str">
        <f>IFERROR(__xludf.DUMMYFUNCTION("QUERY('Volunteer Survey'!N151)"),"Curate more than 1000 variants in Chinese patients ")</f>
        <v>Curate more than 1000 variants in Chinese patients </v>
      </c>
      <c r="V144" s="55" t="str">
        <f>IFERROR(__xludf.DUMMYFUNCTION("QUERY('Volunteer Survey'!O151)"),"Possibly")</f>
        <v>Possibly</v>
      </c>
      <c r="W144" s="66" t="str">
        <f>IFERROR(__xludf.DUMMYFUNCTION("QUERY('Volunteer Survey'!P151)"),"Yes. Brain Malformations")</f>
        <v>Yes. Brain Malformations</v>
      </c>
      <c r="X144" s="64" t="str">
        <f>IFERROR(__xludf.DUMMYFUNCTION("QUERY('Volunteer Survey'!R151)"),"Maybe -- please contact me with other options, and I will decide based on what is available")</f>
        <v>Maybe -- please contact me with other options, and I will decide based on what is available</v>
      </c>
      <c r="Y144" s="53"/>
      <c r="Z144" s="182">
        <f>IFERROR(__xludf.DUMMYFUNCTION("QUERY('Volunteer Survey'!A143)"),43556.9679415162)</f>
        <v>43556.96794</v>
      </c>
      <c r="AA144" s="183" t="str">
        <f>IFERROR(__xludf.DUMMYFUNCTION("QUERY('Volunteer Survey'!B143)"),"Edward Shadiack")</f>
        <v>Edward Shadiack</v>
      </c>
      <c r="AB144" s="183" t="str">
        <f>IFERROR(__xludf.DUMMYFUNCTION("QUERY('Volunteer Survey'!C143)"),"VA")</f>
        <v>VA</v>
      </c>
      <c r="AC144" s="183" t="str">
        <f>IFERROR(__xludf.DUMMYFUNCTION("QUERY('Volunteer Survey'!D143)"),"1200 NE Central Ave, Seaside Park, NJ 08752")</f>
        <v>1200 NE Central Ave, Seaside Park, NJ 08752</v>
      </c>
      <c r="AD144" s="183" t="str">
        <f>IFERROR(__xludf.DUMMYFUNCTION("QUERY('Volunteer Survey'!E143)"),"shadiaec@gmail.com")</f>
        <v>shadiaec@gmail.com</v>
      </c>
      <c r="AE144" s="183" t="str">
        <f>IFERROR(__xludf.DUMMYFUNCTION("QUERY('Volunteer Survey'!F143)"),"Physician (Non-geneticist)")</f>
        <v>Physician (Non-geneticist)</v>
      </c>
      <c r="AF144" s="183" t="str">
        <f>IFERROR(__xludf.DUMMYFUNCTION("QUERY('Volunteer Survey'!G143)"),"ClinGen website")</f>
        <v>ClinGen website</v>
      </c>
      <c r="AG144" s="183" t="str">
        <f>IFERROR(__xludf.DUMMYFUNCTION("QUERY('Volunteer Survey'!H143)"),"Baseline")</f>
        <v>Baseline</v>
      </c>
      <c r="AH144" s="183" t="str">
        <f>IFERROR(__xludf.DUMMYFUNCTION("QUERY('Volunteer Survey'!I143)"),"Variant Pathogenicity")</f>
        <v>Variant Pathogenicity</v>
      </c>
      <c r="AI144" s="183" t="str">
        <f>IFERROR(__xludf.DUMMYFUNCTION("QUERY('Volunteer Survey'!J143)"),"Gene-Disease Validity")</f>
        <v>Gene-Disease Validity</v>
      </c>
      <c r="AJ144" s="183" t="str">
        <f>IFERROR(__xludf.DUMMYFUNCTION("QUERY('Volunteer Survey'!K143)"),"Clinical Actionability")</f>
        <v>Clinical Actionability</v>
      </c>
      <c r="AK144" s="183" t="str">
        <f>IFERROR(__xludf.DUMMYFUNCTION("QUERY('Volunteer Survey'!L143)"),"Dosage Sensitivity")</f>
        <v>Dosage Sensitivity</v>
      </c>
      <c r="AL144" s="183" t="str">
        <f>IFERROR(__xludf.DUMMYFUNCTION("QUERY('Volunteer Survey'!M143)"),"Somatic Cancer")</f>
        <v>Somatic Cancer</v>
      </c>
      <c r="AM144" s="183" t="str">
        <f>IFERROR(__xludf.DUMMYFUNCTION("QUERY('Volunteer Survey'!N143)"),"No experience whatsoever")</f>
        <v>No experience whatsoever</v>
      </c>
      <c r="AN144" s="183" t="str">
        <f>IFERROR(__xludf.DUMMYFUNCTION("QUERY('Volunteer Survey'!O143)"),"No")</f>
        <v>No</v>
      </c>
      <c r="AO144" s="183" t="str">
        <f>IFERROR(__xludf.DUMMYFUNCTION("QUERY('Volunteer Survey'!P143)"),"Mitochondrial Diseases")</f>
        <v>Mitochondrial Diseases</v>
      </c>
    </row>
    <row r="145">
      <c r="A145" s="50">
        <f>IFERROR(__xludf.DUMMYFUNCTION("QUERY('Volunteer Survey'!A152)"),43560.45312697917)</f>
        <v>43560.45313</v>
      </c>
      <c r="B145" s="48" t="s">
        <v>108</v>
      </c>
      <c r="C145" s="53"/>
      <c r="D145" s="65">
        <v>43585.0</v>
      </c>
      <c r="E145" s="48" t="s">
        <v>117</v>
      </c>
      <c r="F145" s="48" t="s">
        <v>117</v>
      </c>
      <c r="G145" s="48" t="s">
        <v>122</v>
      </c>
      <c r="H145" s="51" t="s">
        <v>220</v>
      </c>
      <c r="I145" s="51" t="s">
        <v>139</v>
      </c>
      <c r="J145" s="56">
        <v>43712.0</v>
      </c>
      <c r="K145" s="56"/>
      <c r="L145" s="55" t="str">
        <f>IFERROR(__xludf.DUMMYFUNCTION("QUERY('Volunteer Survey'!B152)"),"Jing Zhang")</f>
        <v>Jing Zhang</v>
      </c>
      <c r="M145" s="55" t="str">
        <f>IFERROR(__xludf.DUMMYFUNCTION("QUERY('Volunteer Survey'!E152)"),"jzhang@wuxinextcode.com")</f>
        <v>jzhang@wuxinextcode.com</v>
      </c>
      <c r="N145" s="55" t="str">
        <f>IFERROR(__xludf.DUMMYFUNCTION("QUERY('Volunteer Survey'!F152)"),"Clinical laboratory geneticist")</f>
        <v>Clinical laboratory geneticist</v>
      </c>
      <c r="O145" s="48" t="str">
        <f>IFERROR(__xludf.DUMMYFUNCTION("QUERY('Volunteer Survey'!H152)"),"Comprehensive")</f>
        <v>Comprehensive</v>
      </c>
      <c r="P145" s="55" t="str">
        <f>IFERROR(__xludf.DUMMYFUNCTION("QUERY('Volunteer Survey'!I152)"),"Gene-Disease Validity")</f>
        <v>Gene-Disease Validity</v>
      </c>
      <c r="Q145" s="60" t="str">
        <f>IFERROR(__xludf.DUMMYFUNCTION("QUERY('Volunteer Survey'!J152)"),"Variant Pathogenicity")</f>
        <v>Variant Pathogenicity</v>
      </c>
      <c r="R145" s="55" t="str">
        <f>IFERROR(__xludf.DUMMYFUNCTION("QUERY('Volunteer Survey'!K152)"),"Clinical Actionability")</f>
        <v>Clinical Actionability</v>
      </c>
      <c r="S145" s="55" t="str">
        <f>IFERROR(__xludf.DUMMYFUNCTION("QUERY('Volunteer Survey'!L152)"),"Somatic Cancer")</f>
        <v>Somatic Cancer</v>
      </c>
      <c r="T145" s="55" t="str">
        <f>IFERROR(__xludf.DUMMYFUNCTION("QUERY('Volunteer Survey'!M152)"),"")</f>
        <v/>
      </c>
      <c r="U145" s="64" t="str">
        <f>IFERROR(__xludf.DUMMYFUNCTION("QUERY('Volunteer Survey'!N152)"),"As the director of clinical genomic interpretation division of WuXi NextCODE, I do gene/variant curation on daily basis. ")</f>
        <v>As the director of clinical genomic interpretation division of WuXi NextCODE, I do gene/variant curation on daily basis. </v>
      </c>
      <c r="V145" s="55" t="str">
        <f>IFERROR(__xludf.DUMMYFUNCTION("QUERY('Volunteer Survey'!O152)"),"Possibly")</f>
        <v>Possibly</v>
      </c>
      <c r="W145" s="66" t="str">
        <f>IFERROR(__xludf.DUMMYFUNCTION("QUERY('Volunteer Survey'!P152)"),"")</f>
        <v/>
      </c>
      <c r="X145" s="64" t="str">
        <f>IFERROR(__xludf.DUMMYFUNCTION("QUERY('Volunteer Survey'!R152)"),"Yes- I am willing to volunteer with any available ClinGen group")</f>
        <v>Yes- I am willing to volunteer with any available ClinGen group</v>
      </c>
      <c r="Y145" s="53"/>
      <c r="Z145" s="182">
        <f>IFERROR(__xludf.DUMMYFUNCTION("QUERY('Volunteer Survey'!A144)"),43558.13699107639)</f>
        <v>43558.13699</v>
      </c>
      <c r="AA145" s="183" t="str">
        <f>IFERROR(__xludf.DUMMYFUNCTION("QUERY('Volunteer Survey'!B144)"),"Barbara Vona")</f>
        <v>Barbara Vona</v>
      </c>
      <c r="AB145" s="183" t="str">
        <f>IFERROR(__xludf.DUMMYFUNCTION("QUERY('Volunteer Survey'!C144)"),"University of Tuebingen, Dept. of Otolaryngology, Hearing Research Centre")</f>
        <v>University of Tuebingen, Dept. of Otolaryngology, Hearing Research Centre</v>
      </c>
      <c r="AC145" s="183" t="str">
        <f>IFERROR(__xludf.DUMMYFUNCTION("QUERY('Volunteer Survey'!D144)"),"Elfriede-Aulhorn-Str. 5")</f>
        <v>Elfriede-Aulhorn-Str. 5</v>
      </c>
      <c r="AD145" s="183" t="str">
        <f>IFERROR(__xludf.DUMMYFUNCTION("QUERY('Volunteer Survey'!E144)"),"barbara.vona@uni-tuebingen.de")</f>
        <v>barbara.vona@uni-tuebingen.de</v>
      </c>
      <c r="AE145" s="183" t="str">
        <f>IFERROR(__xludf.DUMMYFUNCTION("QUERY('Volunteer Survey'!F144)"),"Half variant analyst, half scientific researcher")</f>
        <v>Half variant analyst, half scientific researcher</v>
      </c>
      <c r="AF145" s="183" t="str">
        <f>IFERROR(__xludf.DUMMYFUNCTION("QUERY('Volunteer Survey'!G144)"),"Networking, Colleagues, Twitter")</f>
        <v>Networking, Colleagues, Twitter</v>
      </c>
      <c r="AG145" s="183" t="str">
        <f>IFERROR(__xludf.DUMMYFUNCTION("QUERY('Volunteer Survey'!H144)"),"Comprehensive")</f>
        <v>Comprehensive</v>
      </c>
      <c r="AH145" s="183" t="str">
        <f>IFERROR(__xludf.DUMMYFUNCTION("QUERY('Volunteer Survey'!I144)"),"Variant Pathogenicity")</f>
        <v>Variant Pathogenicity</v>
      </c>
      <c r="AI145" s="183" t="str">
        <f>IFERROR(__xludf.DUMMYFUNCTION("QUERY('Volunteer Survey'!J144)"),"Gene-Disease Validity")</f>
        <v>Gene-Disease Validity</v>
      </c>
      <c r="AJ145" s="183" t="str">
        <f>IFERROR(__xludf.DUMMYFUNCTION("QUERY('Volunteer Survey'!K144)"),"")</f>
        <v/>
      </c>
      <c r="AK145" s="183" t="str">
        <f>IFERROR(__xludf.DUMMYFUNCTION("QUERY('Volunteer Survey'!L144)"),"")</f>
        <v/>
      </c>
      <c r="AL145" s="183" t="str">
        <f>IFERROR(__xludf.DUMMYFUNCTION("QUERY('Volunteer Survey'!M144)"),"")</f>
        <v/>
      </c>
      <c r="AM145" s="183" t="str">
        <f>IFERROR(__xludf.DUMMYFUNCTION("QUERY('Volunteer Survey'!N144)"),"LOVD3 variant curation for several hearing loss genes (STRC, GRHL2, CEACAM16, S1PR2)")</f>
        <v>LOVD3 variant curation for several hearing loss genes (STRC, GRHL2, CEACAM16, S1PR2)</v>
      </c>
      <c r="AN145" s="183" t="str">
        <f>IFERROR(__xludf.DUMMYFUNCTION("QUERY('Volunteer Survey'!O144)"),"Yes")</f>
        <v>Yes</v>
      </c>
      <c r="AO145" s="183" t="str">
        <f>IFERROR(__xludf.DUMMYFUNCTION("QUERY('Volunteer Survey'!P144)"),"Hearing Loss Variant and Gene Curation Expert Panels")</f>
        <v>Hearing Loss Variant and Gene Curation Expert Panels</v>
      </c>
    </row>
    <row r="146">
      <c r="A146" s="50">
        <f>IFERROR(__xludf.DUMMYFUNCTION("QUERY('Volunteer Survey'!A153)"),43560.47645966435)</f>
        <v>43560.47646</v>
      </c>
      <c r="B146" s="48" t="s">
        <v>168</v>
      </c>
      <c r="C146" s="53"/>
      <c r="D146" s="55"/>
      <c r="E146" s="48" t="s">
        <v>130</v>
      </c>
      <c r="F146" s="48" t="s">
        <v>130</v>
      </c>
      <c r="G146" s="48" t="s">
        <v>122</v>
      </c>
      <c r="H146" s="53"/>
      <c r="I146" s="51" t="s">
        <v>139</v>
      </c>
      <c r="J146" s="55"/>
      <c r="K146" s="55"/>
      <c r="L146" s="55" t="str">
        <f>IFERROR(__xludf.DUMMYFUNCTION("QUERY('Volunteer Survey'!B153)"),"Mary-Alice Abbott")</f>
        <v>Mary-Alice Abbott</v>
      </c>
      <c r="M146" s="55" t="str">
        <f>IFERROR(__xludf.DUMMYFUNCTION("QUERY('Volunteer Survey'!E153)"),"Maryalice.abbott@baystatehealth.org")</f>
        <v>Maryalice.abbott@baystatehealth.org</v>
      </c>
      <c r="N146" s="55" t="str">
        <f>IFERROR(__xludf.DUMMYFUNCTION("QUERY('Volunteer Survey'!F153)"),"Clinical Medical Geneticist")</f>
        <v>Clinical Medical Geneticist</v>
      </c>
      <c r="O146" s="48" t="str">
        <f>IFERROR(__xludf.DUMMYFUNCTION("QUERY('Volunteer Survey'!H153)"),"Comprehensive")</f>
        <v>Comprehensive</v>
      </c>
      <c r="P146" s="55" t="str">
        <f>IFERROR(__xludf.DUMMYFUNCTION("QUERY('Volunteer Survey'!I153)"),"Gene-Disease Validity")</f>
        <v>Gene-Disease Validity</v>
      </c>
      <c r="Q146" s="60" t="str">
        <f>IFERROR(__xludf.DUMMYFUNCTION("QUERY('Volunteer Survey'!J153)"),"Clinical Actionability")</f>
        <v>Clinical Actionability</v>
      </c>
      <c r="R146" s="55" t="str">
        <f>IFERROR(__xludf.DUMMYFUNCTION("QUERY('Volunteer Survey'!K153)"),"")</f>
        <v/>
      </c>
      <c r="S146" s="55" t="str">
        <f>IFERROR(__xludf.DUMMYFUNCTION("QUERY('Volunteer Survey'!L153)"),"")</f>
        <v/>
      </c>
      <c r="T146" s="55" t="str">
        <f>IFERROR(__xludf.DUMMYFUNCTION("QUERY('Volunteer Survey'!M153)"),"")</f>
        <v/>
      </c>
      <c r="U146" s="64" t="str">
        <f>IFERROR(__xludf.DUMMYFUNCTION("QUERY('Volunteer Survey'!N153)"),"As clinical geneticist I regularly interpret clinical significance of gene variants for my patients but do not have formal variant interpretation experience ")</f>
        <v>As clinical geneticist I regularly interpret clinical significance of gene variants for my patients but do not have formal variant interpretation experience </v>
      </c>
      <c r="V146" s="55" t="str">
        <f>IFERROR(__xludf.DUMMYFUNCTION("QUERY('Volunteer Survey'!O153)"),"No")</f>
        <v>No</v>
      </c>
      <c r="W146" s="66" t="str">
        <f>IFERROR(__xludf.DUMMYFUNCTION("QUERY('Volunteer Survey'!P153)"),"LSD, ID, actionability")</f>
        <v>LSD, ID, actionability</v>
      </c>
      <c r="X146" s="64" t="str">
        <f>IFERROR(__xludf.DUMMYFUNCTION("QUERY('Volunteer Survey'!R153)"),"Maybe -- please contact me with other options, and I will decide based on what is available")</f>
        <v>Maybe -- please contact me with other options, and I will decide based on what is available</v>
      </c>
      <c r="Y146" s="53"/>
      <c r="Z146" s="182">
        <f>IFERROR(__xludf.DUMMYFUNCTION("QUERY('Volunteer Survey'!A145)"),43558.605901724535)</f>
        <v>43558.6059</v>
      </c>
      <c r="AA146" s="183" t="str">
        <f>IFERROR(__xludf.DUMMYFUNCTION("QUERY('Volunteer Survey'!B145)"),"Viridiana Murillo")</f>
        <v>Viridiana Murillo</v>
      </c>
      <c r="AB146" s="183" t="str">
        <f>IFERROR(__xludf.DUMMYFUNCTION("QUERY('Volunteer Survey'!C145)"),"Keck Graduate Institute")</f>
        <v>Keck Graduate Institute</v>
      </c>
      <c r="AC146" s="183" t="str">
        <f>IFERROR(__xludf.DUMMYFUNCTION("QUERY('Volunteer Survey'!D145)"),"725 N. Mountain Ave")</f>
        <v>725 N. Mountain Ave</v>
      </c>
      <c r="AD146" s="183" t="str">
        <f>IFERROR(__xludf.DUMMYFUNCTION("QUERY('Volunteer Survey'!E145)"),"vmurillo18@students.kgi.edu")</f>
        <v>vmurillo18@students.kgi.edu</v>
      </c>
      <c r="AE146" s="183" t="str">
        <f>IFERROR(__xludf.DUMMYFUNCTION("QUERY('Volunteer Survey'!F145)"),"Graduate Student")</f>
        <v>Graduate Student</v>
      </c>
      <c r="AF146" s="183" t="str">
        <f>IFERROR(__xludf.DUMMYFUNCTION("QUERY('Volunteer Survey'!G145)"),"Diane Zastrow")</f>
        <v>Diane Zastrow</v>
      </c>
      <c r="AG146" s="183" t="str">
        <f>IFERROR(__xludf.DUMMYFUNCTION("QUERY('Volunteer Survey'!H145)"),"Comprehensive")</f>
        <v>Comprehensive</v>
      </c>
      <c r="AH146" s="183" t="str">
        <f>IFERROR(__xludf.DUMMYFUNCTION("QUERY('Volunteer Survey'!I145)"),"Variant Pathogenicity")</f>
        <v>Variant Pathogenicity</v>
      </c>
      <c r="AI146" s="183" t="str">
        <f>IFERROR(__xludf.DUMMYFUNCTION("QUERY('Volunteer Survey'!J145)"),"")</f>
        <v/>
      </c>
      <c r="AJ146" s="183" t="str">
        <f>IFERROR(__xludf.DUMMYFUNCTION("QUERY('Volunteer Survey'!K145)"),"")</f>
        <v/>
      </c>
      <c r="AK146" s="183" t="str">
        <f>IFERROR(__xludf.DUMMYFUNCTION("QUERY('Volunteer Survey'!L145)"),"")</f>
        <v/>
      </c>
      <c r="AL146" s="183" t="str">
        <f>IFERROR(__xludf.DUMMYFUNCTION("QUERY('Volunteer Survey'!M145)"),"")</f>
        <v/>
      </c>
      <c r="AM146" s="183" t="str">
        <f>IFERROR(__xludf.DUMMYFUNCTION("QUERY('Volunteer Survey'!N145)"),"We have had some introduction to variant curation using the ACMG guidelines in my Human Genomics course and a training we attended on variant curation. ")</f>
        <v>We have had some introduction to variant curation using the ACMG guidelines in my Human Genomics course and a training we attended on variant curation. </v>
      </c>
      <c r="AN146" s="183" t="str">
        <f>IFERROR(__xludf.DUMMYFUNCTION("QUERY('Volunteer Survey'!O145)"),"Possibly")</f>
        <v>Possibly</v>
      </c>
      <c r="AO146" s="183" t="str">
        <f>IFERROR(__xludf.DUMMYFUNCTION("QUERY('Volunteer Survey'!P145)"),"Metabolism (PAH) workgroup and/or  Epilepsy work group")</f>
        <v>Metabolism (PAH) workgroup and/or  Epilepsy work group</v>
      </c>
    </row>
    <row r="147">
      <c r="A147" s="50">
        <f>IFERROR(__xludf.DUMMYFUNCTION("QUERY('Volunteer Survey'!A154)"),43560.5073359838)</f>
        <v>43560.50734</v>
      </c>
      <c r="B147" s="48" t="s">
        <v>160</v>
      </c>
      <c r="C147" s="53"/>
      <c r="D147" s="65">
        <v>43605.0</v>
      </c>
      <c r="E147" s="48" t="s">
        <v>117</v>
      </c>
      <c r="F147" s="48" t="s">
        <v>117</v>
      </c>
      <c r="G147" s="48" t="s">
        <v>251</v>
      </c>
      <c r="H147" s="51" t="s">
        <v>305</v>
      </c>
      <c r="I147" s="51" t="s">
        <v>139</v>
      </c>
      <c r="J147" s="56">
        <v>43712.0</v>
      </c>
      <c r="K147" s="56"/>
      <c r="L147" s="55" t="str">
        <f>IFERROR(__xludf.DUMMYFUNCTION("QUERY('Volunteer Survey'!B154)"),"Emily Higgs")</f>
        <v>Emily Higgs</v>
      </c>
      <c r="M147" s="55" t="str">
        <f>IFERROR(__xludf.DUMMYFUNCTION("QUERY('Volunteer Survey'!E154)"),"ehiggs@stanford.edu")</f>
        <v>ehiggs@stanford.edu</v>
      </c>
      <c r="N147" s="55" t="str">
        <f>IFERROR(__xludf.DUMMYFUNCTION("QUERY('Volunteer Survey'!F154)"),"Variant Analyst/Scientist - Academic")</f>
        <v>Variant Analyst/Scientist - Academic</v>
      </c>
      <c r="O147" s="48" t="str">
        <f>IFERROR(__xludf.DUMMYFUNCTION("QUERY('Volunteer Survey'!H154)"),"Comprehensive")</f>
        <v>Comprehensive</v>
      </c>
      <c r="P147" s="55" t="str">
        <f>IFERROR(__xludf.DUMMYFUNCTION("QUERY('Volunteer Survey'!I154)"),"Variant Pathogenicity")</f>
        <v>Variant Pathogenicity</v>
      </c>
      <c r="Q147" s="60" t="str">
        <f>IFERROR(__xludf.DUMMYFUNCTION("QUERY('Volunteer Survey'!J154)"),"Gene-Disease Validity")</f>
        <v>Gene-Disease Validity</v>
      </c>
      <c r="R147" s="55" t="str">
        <f>IFERROR(__xludf.DUMMYFUNCTION("QUERY('Volunteer Survey'!K154)"),"Dosage Sensitivity")</f>
        <v>Dosage Sensitivity</v>
      </c>
      <c r="S147" s="55" t="str">
        <f>IFERROR(__xludf.DUMMYFUNCTION("QUERY('Volunteer Survey'!L154)"),"")</f>
        <v/>
      </c>
      <c r="T147" s="55" t="str">
        <f>IFERROR(__xludf.DUMMYFUNCTION("QUERY('Volunteer Survey'!M154)"),"")</f>
        <v/>
      </c>
      <c r="U147" s="64" t="str">
        <f>IFERROR(__xludf.DUMMYFUNCTION("QUERY('Volunteer Survey'!N154)"),"For the past year I have been doing variant interpretation for 'healthy exomes' in the research setting and supervising Master of Genetic Counseling students' variant interpretation rotations.  ")</f>
        <v>For the past year I have been doing variant interpretation for 'healthy exomes' in the research setting and supervising Master of Genetic Counseling students' variant interpretation rotations.  </v>
      </c>
      <c r="V147" s="55" t="str">
        <f>IFERROR(__xludf.DUMMYFUNCTION("QUERY('Volunteer Survey'!O154)"),"Possibly")</f>
        <v>Possibly</v>
      </c>
      <c r="W147" s="66" t="str">
        <f>IFERROR(__xludf.DUMMYFUNCTION("QUERY('Volunteer Survey'!P154)"),"Dosage- Neurodevelopemental; Gene curation - Intellectual Disability and Autism,
Epilepsy, Hereditary Cancer, Mitochondrial Diseases, Brain Malformations, Monogenic Diabetes; Variant curation - VHL, CDH1, Brain Malformations, Monogenic Diabetes, Colorecta"&amp;"l Cancer ")</f>
        <v>Dosage- Neurodevelopemental; Gene curation - Intellectual Disability and Autism,
Epilepsy, Hereditary Cancer, Mitochondrial Diseases, Brain Malformations, Monogenic Diabetes; Variant curation - VHL, CDH1, Brain Malformations, Monogenic Diabetes, Colorectal Cancer </v>
      </c>
      <c r="X147" s="64" t="str">
        <f>IFERROR(__xludf.DUMMYFUNCTION("QUERY('Volunteer Survey'!R154)"),"Yes- I am willing to volunteer with any available ClinGen group")</f>
        <v>Yes- I am willing to volunteer with any available ClinGen group</v>
      </c>
      <c r="Y147" s="53"/>
      <c r="Z147" s="182">
        <f>IFERROR(__xludf.DUMMYFUNCTION("QUERY('Volunteer Survey'!A146)"),43558.62698700232)</f>
        <v>43558.62699</v>
      </c>
      <c r="AA147" s="183" t="str">
        <f>IFERROR(__xludf.DUMMYFUNCTION("QUERY('Volunteer Survey'!B146)"),"Sharon Suchy")</f>
        <v>Sharon Suchy</v>
      </c>
      <c r="AB147" s="183" t="str">
        <f>IFERROR(__xludf.DUMMYFUNCTION("QUERY('Volunteer Survey'!C146)"),"GeneDx ")</f>
        <v>GeneDx </v>
      </c>
      <c r="AC147" s="183" t="str">
        <f>IFERROR(__xludf.DUMMYFUNCTION("QUERY('Volunteer Survey'!D146)"),"207 Perry Parkway, Gaithersburg, MD")</f>
        <v>207 Perry Parkway, Gaithersburg, MD</v>
      </c>
      <c r="AD147" s="183" t="str">
        <f>IFERROR(__xludf.DUMMYFUNCTION("QUERY('Volunteer Survey'!E146)"),"ssuchy@genedx.com")</f>
        <v>ssuchy@genedx.com</v>
      </c>
      <c r="AE147" s="183" t="str">
        <f>IFERROR(__xludf.DUMMYFUNCTION("QUERY('Volunteer Survey'!F146)"),"Clinical laboratory geneticist")</f>
        <v>Clinical laboratory geneticist</v>
      </c>
      <c r="AF147" s="183" t="str">
        <f>IFERROR(__xludf.DUMMYFUNCTION("QUERY('Volunteer Survey'!G146)"),"Colleagues")</f>
        <v>Colleagues</v>
      </c>
      <c r="AG147" s="183" t="str">
        <f>IFERROR(__xludf.DUMMYFUNCTION("QUERY('Volunteer Survey'!H146)"),"Comprehensive")</f>
        <v>Comprehensive</v>
      </c>
      <c r="AH147" s="183" t="str">
        <f>IFERROR(__xludf.DUMMYFUNCTION("QUERY('Volunteer Survey'!I146)"),"Variant Pathogenicity")</f>
        <v>Variant Pathogenicity</v>
      </c>
      <c r="AI147" s="183" t="str">
        <f>IFERROR(__xludf.DUMMYFUNCTION("QUERY('Volunteer Survey'!J146)"),"Clinical Actionability")</f>
        <v>Clinical Actionability</v>
      </c>
      <c r="AJ147" s="183" t="str">
        <f>IFERROR(__xludf.DUMMYFUNCTION("QUERY('Volunteer Survey'!K146)"),"Gene-Disease Validity")</f>
        <v>Gene-Disease Validity</v>
      </c>
      <c r="AK147" s="183" t="str">
        <f>IFERROR(__xludf.DUMMYFUNCTION("QUERY('Volunteer Survey'!L146)"),"")</f>
        <v/>
      </c>
      <c r="AL147" s="183" t="str">
        <f>IFERROR(__xludf.DUMMYFUNCTION("QUERY('Volunteer Survey'!M146)"),"")</f>
        <v/>
      </c>
      <c r="AM147" s="183" t="str">
        <f>IFERROR(__xludf.DUMMYFUNCTION("QUERY('Volunteer Survey'!N146)"),"yes, assessing variant pathogenicity /clinical actionability issues")</f>
        <v>yes, assessing variant pathogenicity /clinical actionability issues</v>
      </c>
      <c r="AN147" s="183" t="str">
        <f>IFERROR(__xludf.DUMMYFUNCTION("QUERY('Volunteer Survey'!O146)"),"Possibly")</f>
        <v>Possibly</v>
      </c>
      <c r="AO147" s="183" t="str">
        <f>IFERROR(__xludf.DUMMYFUNCTION("QUERY('Volunteer Survey'!P146)"),"lysosomal storage, inborn errors of metabolism")</f>
        <v>lysosomal storage, inborn errors of metabolism</v>
      </c>
    </row>
    <row r="148">
      <c r="A148" s="50">
        <f>IFERROR(__xludf.DUMMYFUNCTION("QUERY('Volunteer Survey'!A155)"),43560.65032049768)</f>
        <v>43560.65032</v>
      </c>
      <c r="B148" s="48" t="s">
        <v>108</v>
      </c>
      <c r="C148" s="79">
        <v>43819.0</v>
      </c>
      <c r="D148" s="55"/>
      <c r="E148" s="48" t="s">
        <v>130</v>
      </c>
      <c r="F148" s="48" t="s">
        <v>130</v>
      </c>
      <c r="G148" s="48" t="s">
        <v>251</v>
      </c>
      <c r="H148" s="53"/>
      <c r="I148" s="51" t="s">
        <v>139</v>
      </c>
      <c r="J148" s="55"/>
      <c r="K148" s="55"/>
      <c r="L148" s="55" t="str">
        <f>IFERROR(__xludf.DUMMYFUNCTION("QUERY('Volunteer Survey'!B155)"),"Matt Wright")</f>
        <v>Matt Wright</v>
      </c>
      <c r="M148" s="55" t="str">
        <f>IFERROR(__xludf.DUMMYFUNCTION("QUERY('Volunteer Survey'!E155)"),"wrightmw@stanford.edu")</f>
        <v>wrightmw@stanford.edu</v>
      </c>
      <c r="N148" s="55" t="str">
        <f>IFERROR(__xludf.DUMMYFUNCTION("QUERY('Volunteer Survey'!F155)"),"Biocurator")</f>
        <v>Biocurator</v>
      </c>
      <c r="O148" s="48" t="str">
        <f>IFERROR(__xludf.DUMMYFUNCTION("QUERY('Volunteer Survey'!H155)"),"Comprehensive")</f>
        <v>Comprehensive</v>
      </c>
      <c r="P148" s="55" t="str">
        <f>IFERROR(__xludf.DUMMYFUNCTION("QUERY('Volunteer Survey'!I155)"),"Variant Pathogenicity")</f>
        <v>Variant Pathogenicity</v>
      </c>
      <c r="Q148" s="60" t="str">
        <f>IFERROR(__xludf.DUMMYFUNCTION("QUERY('Volunteer Survey'!J155)"),"")</f>
        <v/>
      </c>
      <c r="R148" s="55" t="str">
        <f>IFERROR(__xludf.DUMMYFUNCTION("QUERY('Volunteer Survey'!K155)"),"")</f>
        <v/>
      </c>
      <c r="S148" s="55" t="str">
        <f>IFERROR(__xludf.DUMMYFUNCTION("QUERY('Volunteer Survey'!L155)"),"")</f>
        <v/>
      </c>
      <c r="T148" s="55" t="str">
        <f>IFERROR(__xludf.DUMMYFUNCTION("QUERY('Volunteer Survey'!M155)"),"")</f>
        <v/>
      </c>
      <c r="U148" s="64" t="str">
        <f>IFERROR(__xludf.DUMMYFUNCTION("QUERY('Volunteer Survey'!N155)"),"Most of my experience is gene-level curation but I’m especially interested in the variant curator’s experience")</f>
        <v>Most of my experience is gene-level curation but I’m especially interested in the variant curator’s experience</v>
      </c>
      <c r="V148" s="55" t="str">
        <f>IFERROR(__xludf.DUMMYFUNCTION("QUERY('Volunteer Survey'!O155)"),"No")</f>
        <v>No</v>
      </c>
      <c r="W148" s="66" t="str">
        <f>IFERROR(__xludf.DUMMYFUNCTION("QUERY('Volunteer Survey'!P155)"),"Hearing Loss or Brain Malformations or Cardiomyopathy ")</f>
        <v>Hearing Loss or Brain Malformations or Cardiomyopathy </v>
      </c>
      <c r="X148" s="64" t="str">
        <f>IFERROR(__xludf.DUMMYFUNCTION("QUERY('Volunteer Survey'!R155)"),"Maybe -- please contact me with other options, and I will decide based on what is available")</f>
        <v>Maybe -- please contact me with other options, and I will decide based on what is available</v>
      </c>
      <c r="Y148" s="53"/>
      <c r="Z148" s="182">
        <f>IFERROR(__xludf.DUMMYFUNCTION("QUERY('Volunteer Survey'!A147)"),43558.975779976856)</f>
        <v>43558.97578</v>
      </c>
      <c r="AA148" s="183" t="str">
        <f>IFERROR(__xludf.DUMMYFUNCTION("QUERY('Volunteer Survey'!B147)"),"GIFTY BHAT")</f>
        <v>GIFTY BHAT</v>
      </c>
      <c r="AB148" s="183" t="str">
        <f>IFERROR(__xludf.DUMMYFUNCTION("QUERY('Volunteer Survey'!C147)"),"University of Illinois at Chicago")</f>
        <v>University of Illinois at Chicago</v>
      </c>
      <c r="AC148" s="183" t="str">
        <f>IFERROR(__xludf.DUMMYFUNCTION("QUERY('Volunteer Survey'!D147)"),"41 E 8th st apt 3202 chicago IL 60605")</f>
        <v>41 E 8th st apt 3202 chicago IL 60605</v>
      </c>
      <c r="AD148" s="183" t="str">
        <f>IFERROR(__xludf.DUMMYFUNCTION("QUERY('Volunteer Survey'!E147)"),"drgiftybhat@gmail.com")</f>
        <v>drgiftybhat@gmail.com</v>
      </c>
      <c r="AE148" s="183" t="str">
        <f>IFERROR(__xludf.DUMMYFUNCTION("QUERY('Volunteer Survey'!F147)"),"Clinical Medical Geneticist")</f>
        <v>Clinical Medical Geneticist</v>
      </c>
      <c r="AF148" s="183" t="str">
        <f>IFERROR(__xludf.DUMMYFUNCTION("QUERY('Volunteer Survey'!G147)"),"ACMG Conference 2019, ClinGen conference advertisements (i.e. booth, workshop, presentation)")</f>
        <v>ACMG Conference 2019, ClinGen conference advertisements (i.e. booth, workshop, presentation)</v>
      </c>
      <c r="AG148" s="183" t="str">
        <f>IFERROR(__xludf.DUMMYFUNCTION("QUERY('Volunteer Survey'!H147)"),"Comprehensive")</f>
        <v>Comprehensive</v>
      </c>
      <c r="AH148" s="183" t="str">
        <f>IFERROR(__xludf.DUMMYFUNCTION("QUERY('Volunteer Survey'!I147)"),"Gene-Disease Validity")</f>
        <v>Gene-Disease Validity</v>
      </c>
      <c r="AI148" s="183" t="str">
        <f>IFERROR(__xludf.DUMMYFUNCTION("QUERY('Volunteer Survey'!J147)"),"Variant Pathogenicity")</f>
        <v>Variant Pathogenicity</v>
      </c>
      <c r="AJ148" s="183" t="str">
        <f>IFERROR(__xludf.DUMMYFUNCTION("QUERY('Volunteer Survey'!K147)"),"Clinical Actionability")</f>
        <v>Clinical Actionability</v>
      </c>
      <c r="AK148" s="183" t="str">
        <f>IFERROR(__xludf.DUMMYFUNCTION("QUERY('Volunteer Survey'!L147)"),"Dosage Sensitivity")</f>
        <v>Dosage Sensitivity</v>
      </c>
      <c r="AL148" s="183" t="str">
        <f>IFERROR(__xludf.DUMMYFUNCTION("QUERY('Volunteer Survey'!M147)"),"Somatic Cancer")</f>
        <v>Somatic Cancer</v>
      </c>
      <c r="AM148" s="183" t="str">
        <f>IFERROR(__xludf.DUMMYFUNCTION("QUERY('Volunteer Survey'!N147)"),"Research activity for 6 months for neurodevelopmental disorders in consanguineous population")</f>
        <v>Research activity for 6 months for neurodevelopmental disorders in consanguineous population</v>
      </c>
      <c r="AN148" s="183" t="str">
        <f>IFERROR(__xludf.DUMMYFUNCTION("QUERY('Volunteer Survey'!O147)"),"Yes")</f>
        <v>Yes</v>
      </c>
      <c r="AO148" s="183" t="str">
        <f>IFERROR(__xludf.DUMMYFUNCTION("QUERY('Volunteer Survey'!P147)"),"Neurodevelopmental/intellectual disability, Rett-Angelman syndrome, PTEN related disorders")</f>
        <v>Neurodevelopmental/intellectual disability, Rett-Angelman syndrome, PTEN related disorders</v>
      </c>
    </row>
    <row r="149">
      <c r="A149" s="50">
        <f>IFERROR(__xludf.DUMMYFUNCTION("QUERY('Volunteer Survey'!A156)"),43560.80082045139)</f>
        <v>43560.80082</v>
      </c>
      <c r="B149" s="48" t="s">
        <v>125</v>
      </c>
      <c r="C149" s="53"/>
      <c r="D149" s="49">
        <v>43570.0</v>
      </c>
      <c r="E149" s="48" t="s">
        <v>117</v>
      </c>
      <c r="F149" s="48" t="s">
        <v>117</v>
      </c>
      <c r="G149" s="48" t="s">
        <v>122</v>
      </c>
      <c r="H149" s="51" t="s">
        <v>220</v>
      </c>
      <c r="I149" s="51" t="s">
        <v>139</v>
      </c>
      <c r="J149" s="56">
        <v>43712.0</v>
      </c>
      <c r="K149" s="56"/>
      <c r="L149" s="55" t="str">
        <f>IFERROR(__xludf.DUMMYFUNCTION("QUERY('Volunteer Survey'!B156)"),"Samantha Chill")</f>
        <v>Samantha Chill</v>
      </c>
      <c r="M149" s="55" t="str">
        <f>IFERROR(__xludf.DUMMYFUNCTION("QUERY('Volunteer Survey'!E156)"),"slsevilla@gmail.com")</f>
        <v>slsevilla@gmail.com</v>
      </c>
      <c r="N149" s="55" t="str">
        <f>IFERROR(__xludf.DUMMYFUNCTION("QUERY('Volunteer Survey'!F156)"),"Graduate Student")</f>
        <v>Graduate Student</v>
      </c>
      <c r="O149" s="48" t="str">
        <f>IFERROR(__xludf.DUMMYFUNCTION("QUERY('Volunteer Survey'!H156)"),"Comprehensive")</f>
        <v>Comprehensive</v>
      </c>
      <c r="P149" s="55" t="str">
        <f>IFERROR(__xludf.DUMMYFUNCTION("QUERY('Volunteer Survey'!I156)"),"Gene-Disease Validity")</f>
        <v>Gene-Disease Validity</v>
      </c>
      <c r="Q149" s="60" t="str">
        <f>IFERROR(__xludf.DUMMYFUNCTION("QUERY('Volunteer Survey'!J156)"),"Variant Pathogenicity")</f>
        <v>Variant Pathogenicity</v>
      </c>
      <c r="R149" s="55" t="str">
        <f>IFERROR(__xludf.DUMMYFUNCTION("QUERY('Volunteer Survey'!K156)"),"Somatic Cancer")</f>
        <v>Somatic Cancer</v>
      </c>
      <c r="S149" s="55" t="str">
        <f>IFERROR(__xludf.DUMMYFUNCTION("QUERY('Volunteer Survey'!L156)"),"Dosage Sensitivity")</f>
        <v>Dosage Sensitivity</v>
      </c>
      <c r="T149" s="55" t="str">
        <f>IFERROR(__xludf.DUMMYFUNCTION("QUERY('Volunteer Survey'!M156)"),"Clinical Actionability")</f>
        <v>Clinical Actionability</v>
      </c>
      <c r="U149" s="64" t="str">
        <f>IFERROR(__xludf.DUMMYFUNCTION("QUERY('Volunteer Survey'!N156)"),"")</f>
        <v/>
      </c>
      <c r="V149" s="55" t="str">
        <f>IFERROR(__xludf.DUMMYFUNCTION("QUERY('Volunteer Survey'!O156)"),"Possibly")</f>
        <v>Possibly</v>
      </c>
      <c r="W149" s="66" t="str">
        <f>IFERROR(__xludf.DUMMYFUNCTION("QUERY('Volunteer Survey'!P156)"),"")</f>
        <v/>
      </c>
      <c r="X149" s="64" t="str">
        <f>IFERROR(__xludf.DUMMYFUNCTION("QUERY('Volunteer Survey'!R156)"),"Maybe -- please contact me with other options, and I will decide based on what is available")</f>
        <v>Maybe -- please contact me with other options, and I will decide based on what is available</v>
      </c>
      <c r="Y149" s="53"/>
      <c r="Z149" s="182">
        <f>IFERROR(__xludf.DUMMYFUNCTION("QUERY('Volunteer Survey'!A148)"),43559.45062822916)</f>
        <v>43559.45063</v>
      </c>
      <c r="AA149" s="183" t="str">
        <f>IFERROR(__xludf.DUMMYFUNCTION("QUERY('Volunteer Survey'!B148)"),"Theodore E. Wilson")</f>
        <v>Theodore E. Wilson</v>
      </c>
      <c r="AB149" s="183" t="str">
        <f>IFERROR(__xludf.DUMMYFUNCTION("QUERY('Volunteer Survey'!C148)"),"Indiana University / Riley Children’s Hospital")</f>
        <v>Indiana University / Riley Children’s Hospital</v>
      </c>
      <c r="AC149" s="183" t="str">
        <f>IFERROR(__xludf.DUMMYFUNCTION("QUERY('Volunteer Survey'!D148)"),"974 West Walnut, Indianapolis, IN 46202")</f>
        <v>974 West Walnut, Indianapolis, IN 46202</v>
      </c>
      <c r="AD149" s="183" t="str">
        <f>IFERROR(__xludf.DUMMYFUNCTION("QUERY('Volunteer Survey'!E148)"),"theowils@iu.edu")</f>
        <v>theowils@iu.edu</v>
      </c>
      <c r="AE149" s="183" t="str">
        <f>IFERROR(__xludf.DUMMYFUNCTION("QUERY('Volunteer Survey'!F148)"),"Clinical Medical Geneticist")</f>
        <v>Clinical Medical Geneticist</v>
      </c>
      <c r="AF149" s="183" t="str">
        <f>IFERROR(__xludf.DUMMYFUNCTION("QUERY('Volunteer Survey'!G148)"),"ACMG Conference 2019, Colleagues, Suggestion from mentor")</f>
        <v>ACMG Conference 2019, Colleagues, Suggestion from mentor</v>
      </c>
      <c r="AG149" s="183" t="str">
        <f>IFERROR(__xludf.DUMMYFUNCTION("QUERY('Volunteer Survey'!H148)"),"Comprehensive")</f>
        <v>Comprehensive</v>
      </c>
      <c r="AH149" s="183" t="str">
        <f>IFERROR(__xludf.DUMMYFUNCTION("QUERY('Volunteer Survey'!I148)"),"Variant Pathogenicity")</f>
        <v>Variant Pathogenicity</v>
      </c>
      <c r="AI149" s="183" t="str">
        <f>IFERROR(__xludf.DUMMYFUNCTION("QUERY('Volunteer Survey'!J148)"),"Gene-Disease Validity")</f>
        <v>Gene-Disease Validity</v>
      </c>
      <c r="AJ149" s="183" t="str">
        <f>IFERROR(__xludf.DUMMYFUNCTION("QUERY('Volunteer Survey'!K148)"),"")</f>
        <v/>
      </c>
      <c r="AK149" s="183" t="str">
        <f>IFERROR(__xludf.DUMMYFUNCTION("QUERY('Volunteer Survey'!L148)"),"")</f>
        <v/>
      </c>
      <c r="AL149" s="183" t="str">
        <f>IFERROR(__xludf.DUMMYFUNCTION("QUERY('Volunteer Survey'!M148)"),"")</f>
        <v/>
      </c>
      <c r="AM149" s="183" t="str">
        <f>IFERROR(__xludf.DUMMYFUNCTION("QUERY('Volunteer Survey'!N148)"),"During my fellowship I worked closely with ARUP Molecular geneticists to call variant pathogenicity based on the 2015 criteria.")</f>
        <v>During my fellowship I worked closely with ARUP Molecular geneticists to call variant pathogenicity based on the 2015 criteria.</v>
      </c>
      <c r="AN149" s="183" t="str">
        <f>IFERROR(__xludf.DUMMYFUNCTION("QUERY('Volunteer Survey'!O148)"),"No")</f>
        <v>No</v>
      </c>
      <c r="AO149" s="183" t="str">
        <f>IFERROR(__xludf.DUMMYFUNCTION("QUERY('Volunteer Survey'!P148)"),"cardiomyopathy")</f>
        <v>cardiomyopathy</v>
      </c>
    </row>
    <row r="150">
      <c r="A150" s="50">
        <f>IFERROR(__xludf.DUMMYFUNCTION("QUERY('Volunteer Survey'!A157)"),43560.84205873843)</f>
        <v>43560.84206</v>
      </c>
      <c r="B150" s="48" t="s">
        <v>108</v>
      </c>
      <c r="C150" s="53"/>
      <c r="D150" s="65"/>
      <c r="E150" s="48" t="s">
        <v>130</v>
      </c>
      <c r="F150" s="48" t="s">
        <v>130</v>
      </c>
      <c r="G150" s="48" t="s">
        <v>202</v>
      </c>
      <c r="H150" s="53"/>
      <c r="I150" s="51" t="s">
        <v>139</v>
      </c>
      <c r="J150" s="55"/>
      <c r="K150" s="55"/>
      <c r="L150" s="55" t="str">
        <f>IFERROR(__xludf.DUMMYFUNCTION("QUERY('Volunteer Survey'!B157)"),"Kristin Maloney")</f>
        <v>Kristin Maloney</v>
      </c>
      <c r="M150" s="55" t="str">
        <f>IFERROR(__xludf.DUMMYFUNCTION("QUERY('Volunteer Survey'!E157)"),"kmaloney1@som.umaryland.edu")</f>
        <v>kmaloney1@som.umaryland.edu</v>
      </c>
      <c r="N150" s="55" t="str">
        <f>IFERROR(__xludf.DUMMYFUNCTION("QUERY('Volunteer Survey'!F157)"),"Genetic counselor")</f>
        <v>Genetic counselor</v>
      </c>
      <c r="O150" s="48" t="str">
        <f>IFERROR(__xludf.DUMMYFUNCTION("QUERY('Volunteer Survey'!H157)"),"Baseline")</f>
        <v>Baseline</v>
      </c>
      <c r="P150" s="55" t="str">
        <f>IFERROR(__xludf.DUMMYFUNCTION("QUERY('Volunteer Survey'!I157)"),"Somatic Cancer")</f>
        <v>Somatic Cancer</v>
      </c>
      <c r="Q150" s="60" t="str">
        <f>IFERROR(__xludf.DUMMYFUNCTION("QUERY('Volunteer Survey'!J157)"),"")</f>
        <v/>
      </c>
      <c r="R150" s="55" t="str">
        <f>IFERROR(__xludf.DUMMYFUNCTION("QUERY('Volunteer Survey'!K157)"),"")</f>
        <v/>
      </c>
      <c r="S150" s="55" t="str">
        <f>IFERROR(__xludf.DUMMYFUNCTION("QUERY('Volunteer Survey'!L157)"),"")</f>
        <v/>
      </c>
      <c r="T150" s="55" t="str">
        <f>IFERROR(__xludf.DUMMYFUNCTION("QUERY('Volunteer Survey'!M157)"),"")</f>
        <v/>
      </c>
      <c r="U150" s="64" t="str">
        <f>IFERROR(__xludf.DUMMYFUNCTION("QUERY('Volunteer Survey'!N157)"),"I don't have much experience with somatic variant interpretation, but am a biocurator on the monogenic diabetes expert panel.")</f>
        <v>I don't have much experience with somatic variant interpretation, but am a biocurator on the monogenic diabetes expert panel.</v>
      </c>
      <c r="V150" s="55" t="str">
        <f>IFERROR(__xludf.DUMMYFUNCTION("QUERY('Volunteer Survey'!O157)"),"No")</f>
        <v>No</v>
      </c>
      <c r="W150" s="66" t="str">
        <f>IFERROR(__xludf.DUMMYFUNCTION("QUERY('Volunteer Survey'!P157)"),"Somatic cancer (am already on the monogenic diabetes expert panel)")</f>
        <v>Somatic cancer (am already on the monogenic diabetes expert panel)</v>
      </c>
      <c r="X150" s="64" t="str">
        <f>IFERROR(__xludf.DUMMYFUNCTION("QUERY('Volunteer Survey'!R157)"),"No - I am only interested in the group(s) I previously indicated")</f>
        <v>No - I am only interested in the group(s) I previously indicated</v>
      </c>
      <c r="Y150" s="53"/>
      <c r="Z150" s="182">
        <f>IFERROR(__xludf.DUMMYFUNCTION("QUERY('Volunteer Survey'!A149)"),43559.49000396991)</f>
        <v>43559.49</v>
      </c>
      <c r="AA150" s="183" t="str">
        <f>IFERROR(__xludf.DUMMYFUNCTION("QUERY('Volunteer Survey'!B149)"),"Christina Y Hung")</f>
        <v>Christina Y Hung</v>
      </c>
      <c r="AB150" s="183" t="str">
        <f>IFERROR(__xludf.DUMMYFUNCTION("QUERY('Volunteer Survey'!C149)"),"Boston Children's Hospital")</f>
        <v>Boston Children's Hospital</v>
      </c>
      <c r="AC150" s="183" t="str">
        <f>IFERROR(__xludf.DUMMYFUNCTION("QUERY('Volunteer Survey'!D149)"),"3 Blackfan Circle, Boston, MA 02115")</f>
        <v>3 Blackfan Circle, Boston, MA 02115</v>
      </c>
      <c r="AD150" s="183" t="str">
        <f>IFERROR(__xludf.DUMMYFUNCTION("QUERY('Volunteer Survey'!E149)"),"christina.hung@childrens.harvard.edu")</f>
        <v>christina.hung@childrens.harvard.edu</v>
      </c>
      <c r="AE150" s="183" t="str">
        <f>IFERROR(__xludf.DUMMYFUNCTION("QUERY('Volunteer Survey'!F149)"),"Scientific Researcher")</f>
        <v>Scientific Researcher</v>
      </c>
      <c r="AF150" s="183" t="str">
        <f>IFERROR(__xludf.DUMMYFUNCTION("QUERY('Volunteer Survey'!G149)"),"ACMG Conference 2019, Colleagues")</f>
        <v>ACMG Conference 2019, Colleagues</v>
      </c>
      <c r="AG150" s="183" t="str">
        <f>IFERROR(__xludf.DUMMYFUNCTION("QUERY('Volunteer Survey'!H149)"),"Comprehensive")</f>
        <v>Comprehensive</v>
      </c>
      <c r="AH150" s="183" t="str">
        <f>IFERROR(__xludf.DUMMYFUNCTION("QUERY('Volunteer Survey'!I149)"),"Variant Pathogenicity")</f>
        <v>Variant Pathogenicity</v>
      </c>
      <c r="AI150" s="183" t="str">
        <f>IFERROR(__xludf.DUMMYFUNCTION("QUERY('Volunteer Survey'!J149)"),"Gene-Disease Validity")</f>
        <v>Gene-Disease Validity</v>
      </c>
      <c r="AJ150" s="183" t="str">
        <f>IFERROR(__xludf.DUMMYFUNCTION("QUERY('Volunteer Survey'!K149)"),"Clinical Actionability")</f>
        <v>Clinical Actionability</v>
      </c>
      <c r="AK150" s="183" t="str">
        <f>IFERROR(__xludf.DUMMYFUNCTION("QUERY('Volunteer Survey'!L149)"),"Dosage Sensitivity")</f>
        <v>Dosage Sensitivity</v>
      </c>
      <c r="AL150" s="183" t="str">
        <f>IFERROR(__xludf.DUMMYFUNCTION("QUERY('Volunteer Survey'!M149)"),"")</f>
        <v/>
      </c>
      <c r="AM150" s="183" t="str">
        <f>IFERROR(__xludf.DUMMYFUNCTION("QUERY('Volunteer Survey'!N149)"),"ABMGG training/fellowships")</f>
        <v>ABMGG training/fellowships</v>
      </c>
      <c r="AN150" s="183" t="str">
        <f>IFERROR(__xludf.DUMMYFUNCTION("QUERY('Volunteer Survey'!O149)"),"Possibly")</f>
        <v>Possibly</v>
      </c>
      <c r="AO150" s="183" t="str">
        <f>IFERROR(__xludf.DUMMYFUNCTION("QUERY('Volunteer Survey'!P149)"),"Inborn error of Metabolism, Lysosomal Storage Disorders, Aminoacidopathy; have talked to Meredith Weaver regarding options of joining Metabolism Workgroup")</f>
        <v>Inborn error of Metabolism, Lysosomal Storage Disorders, Aminoacidopathy; have talked to Meredith Weaver regarding options of joining Metabolism Workgroup</v>
      </c>
    </row>
    <row r="151">
      <c r="A151" s="50">
        <f>IFERROR(__xludf.DUMMYFUNCTION("QUERY('Volunteer Survey'!A158)"),43560.988255763885)</f>
        <v>43560.98826</v>
      </c>
      <c r="B151" s="48" t="s">
        <v>108</v>
      </c>
      <c r="C151" s="53"/>
      <c r="D151" s="65">
        <v>43585.0</v>
      </c>
      <c r="E151" s="48" t="s">
        <v>117</v>
      </c>
      <c r="F151" s="48" t="s">
        <v>117</v>
      </c>
      <c r="G151" s="48" t="s">
        <v>122</v>
      </c>
      <c r="H151" s="51" t="s">
        <v>197</v>
      </c>
      <c r="I151" s="51" t="s">
        <v>139</v>
      </c>
      <c r="J151" s="56">
        <v>43712.0</v>
      </c>
      <c r="K151" s="56"/>
      <c r="L151" s="55" t="str">
        <f>IFERROR(__xludf.DUMMYFUNCTION("QUERY('Volunteer Survey'!B158)"),"HECTOR RODRIGO MENDEZ")</f>
        <v>HECTOR RODRIGO MENDEZ</v>
      </c>
      <c r="M151" s="55" t="str">
        <f>IFERROR(__xludf.DUMMYFUNCTION("QUERY('Volunteer Survey'!E158)"),"rodrigomendezh@gmail.com")</f>
        <v>rodrigomendezh@gmail.com</v>
      </c>
      <c r="N151" s="55" t="str">
        <f>IFERROR(__xludf.DUMMYFUNCTION("QUERY('Volunteer Survey'!F158)"),"Clinical Medical Geneticist")</f>
        <v>Clinical Medical Geneticist</v>
      </c>
      <c r="O151" s="48" t="str">
        <f>IFERROR(__xludf.DUMMYFUNCTION("QUERY('Volunteer Survey'!H158)"),"Comprehensive")</f>
        <v>Comprehensive</v>
      </c>
      <c r="P151" s="55" t="str">
        <f>IFERROR(__xludf.DUMMYFUNCTION("QUERY('Volunteer Survey'!I158)"),"Gene-Disease Validity")</f>
        <v>Gene-Disease Validity</v>
      </c>
      <c r="Q151" s="60" t="str">
        <f>IFERROR(__xludf.DUMMYFUNCTION("QUERY('Volunteer Survey'!J158)"),"Variant Pathogenicity")</f>
        <v>Variant Pathogenicity</v>
      </c>
      <c r="R151" s="55" t="str">
        <f>IFERROR(__xludf.DUMMYFUNCTION("QUERY('Volunteer Survey'!K158)"),"Clinical Actionability")</f>
        <v>Clinical Actionability</v>
      </c>
      <c r="S151" s="55" t="str">
        <f>IFERROR(__xludf.DUMMYFUNCTION("QUERY('Volunteer Survey'!L158)"),"")</f>
        <v/>
      </c>
      <c r="T151" s="55" t="str">
        <f>IFERROR(__xludf.DUMMYFUNCTION("QUERY('Volunteer Survey'!M158)"),"")</f>
        <v/>
      </c>
      <c r="U151" s="64" t="str">
        <f>IFERROR(__xludf.DUMMYFUNCTION("QUERY('Volunteer Survey'!N158)"),"My Master´s thesis project was about the utility of whole Exome sequencing in some patient in the NICU.")</f>
        <v>My Master´s thesis project was about the utility of whole Exome sequencing in some patient in the NICU.</v>
      </c>
      <c r="V151" s="55" t="str">
        <f>IFERROR(__xludf.DUMMYFUNCTION("QUERY('Volunteer Survey'!O158)"),"Possibly")</f>
        <v>Possibly</v>
      </c>
      <c r="W151" s="66" t="str">
        <f>IFERROR(__xludf.DUMMYFUNCTION("QUERY('Volunteer Survey'!P158)"),"Intellectual Disability and Autism, RASopathy")</f>
        <v>Intellectual Disability and Autism, RASopathy</v>
      </c>
      <c r="X151" s="64" t="str">
        <f>IFERROR(__xludf.DUMMYFUNCTION("QUERY('Volunteer Survey'!R158)"),"Yes- I am willing to volunteer with any available ClinGen group")</f>
        <v>Yes- I am willing to volunteer with any available ClinGen group</v>
      </c>
      <c r="Y151" s="53"/>
      <c r="Z151" s="182">
        <f>IFERROR(__xludf.DUMMYFUNCTION("QUERY('Volunteer Survey'!A150)"),43560.44773336806)</f>
        <v>43560.44773</v>
      </c>
      <c r="AA151" s="183" t="str">
        <f>IFERROR(__xludf.DUMMYFUNCTION("QUERY('Volunteer Survey'!B150)"),"Alka Chaubey")</f>
        <v>Alka Chaubey</v>
      </c>
      <c r="AB151" s="183" t="str">
        <f>IFERROR(__xludf.DUMMYFUNCTION("QUERY('Volunteer Survey'!C150)"),"Perkin Elmer Genomics ")</f>
        <v>Perkin Elmer Genomics </v>
      </c>
      <c r="AC151" s="183" t="str">
        <f>IFERROR(__xludf.DUMMYFUNCTION("QUERY('Volunteer Survey'!D150)"),"103 Lauren circle , Greenwood 29649")</f>
        <v>103 Lauren circle , Greenwood 29649</v>
      </c>
      <c r="AD151" s="183" t="str">
        <f>IFERROR(__xludf.DUMMYFUNCTION("QUERY('Volunteer Survey'!E150)"),"")</f>
        <v/>
      </c>
      <c r="AE151" s="183" t="str">
        <f>IFERROR(__xludf.DUMMYFUNCTION("QUERY('Volunteer Survey'!F150)"),"Clinical laboratory geneticist")</f>
        <v>Clinical laboratory geneticist</v>
      </c>
      <c r="AF151" s="183" t="str">
        <f>IFERROR(__xludf.DUMMYFUNCTION("QUERY('Volunteer Survey'!G150)"),"ACMG Conference 2019")</f>
        <v>ACMG Conference 2019</v>
      </c>
      <c r="AG151" s="183" t="str">
        <f>IFERROR(__xludf.DUMMYFUNCTION("QUERY('Volunteer Survey'!H150)"),"Comprehensive")</f>
        <v>Comprehensive</v>
      </c>
      <c r="AH151" s="183" t="str">
        <f>IFERROR(__xludf.DUMMYFUNCTION("QUERY('Volunteer Survey'!I150)"),"Clinical Actionability")</f>
        <v>Clinical Actionability</v>
      </c>
      <c r="AI151" s="183" t="str">
        <f>IFERROR(__xludf.DUMMYFUNCTION("QUERY('Volunteer Survey'!J150)"),"Gene-Disease Validity")</f>
        <v>Gene-Disease Validity</v>
      </c>
      <c r="AJ151" s="183" t="str">
        <f>IFERROR(__xludf.DUMMYFUNCTION("QUERY('Volunteer Survey'!K150)"),"Variant Pathogenicity")</f>
        <v>Variant Pathogenicity</v>
      </c>
      <c r="AK151" s="183" t="str">
        <f>IFERROR(__xludf.DUMMYFUNCTION("QUERY('Volunteer Survey'!L150)"),"")</f>
        <v/>
      </c>
      <c r="AL151" s="183" t="str">
        <f>IFERROR(__xludf.DUMMYFUNCTION("QUERY('Volunteer Survey'!M150)"),"")</f>
        <v/>
      </c>
      <c r="AM151" s="183" t="str">
        <f>IFERROR(__xludf.DUMMYFUNCTION("QUERY('Volunteer Survey'!N150)"),"Participated in pilot dosage sensitivity effort of analyzing and curating CNVs")</f>
        <v>Participated in pilot dosage sensitivity effort of analyzing and curating CNVs</v>
      </c>
      <c r="AN151" s="183" t="str">
        <f>IFERROR(__xludf.DUMMYFUNCTION("QUERY('Volunteer Survey'!O150)"),"Possibly")</f>
        <v>Possibly</v>
      </c>
      <c r="AO151" s="183" t="str">
        <f>IFERROR(__xludf.DUMMYFUNCTION("QUERY('Volunteer Survey'!P150)"),"Dosage sensitivity and somatic cancer ")</f>
        <v>Dosage sensitivity and somatic cancer </v>
      </c>
    </row>
    <row r="152">
      <c r="A152" s="50">
        <f>IFERROR(__xludf.DUMMYFUNCTION("QUERY('Volunteer Survey'!A159)"),43562.74876119213)</f>
        <v>43562.74876</v>
      </c>
      <c r="B152" s="48" t="s">
        <v>108</v>
      </c>
      <c r="C152" s="53"/>
      <c r="D152" s="55"/>
      <c r="E152" s="48" t="s">
        <v>130</v>
      </c>
      <c r="F152" s="48" t="s">
        <v>130</v>
      </c>
      <c r="G152" s="48" t="s">
        <v>202</v>
      </c>
      <c r="H152" s="53"/>
      <c r="I152" s="51" t="s">
        <v>139</v>
      </c>
      <c r="J152" s="55"/>
      <c r="K152" s="55"/>
      <c r="L152" s="55" t="str">
        <f>IFERROR(__xludf.DUMMYFUNCTION("QUERY('Volunteer Survey'!B159)"),"M.I. anwar")</f>
        <v>M.I. anwar</v>
      </c>
      <c r="M152" s="55" t="str">
        <f>IFERROR(__xludf.DUMMYFUNCTION("QUERY('Volunteer Survey'!E159)"),"mimtiazanwar@gmail.com")</f>
        <v>mimtiazanwar@gmail.com</v>
      </c>
      <c r="N152" s="55" t="str">
        <f>IFERROR(__xludf.DUMMYFUNCTION("QUERY('Volunteer Survey'!F159)"),"Scientific Researcher")</f>
        <v>Scientific Researcher</v>
      </c>
      <c r="O152" s="48" t="str">
        <f>IFERROR(__xludf.DUMMYFUNCTION("QUERY('Volunteer Survey'!H159)"),"Baseline")</f>
        <v>Baseline</v>
      </c>
      <c r="P152" s="55" t="str">
        <f>IFERROR(__xludf.DUMMYFUNCTION("QUERY('Volunteer Survey'!I159)"),"Clinical Actionability")</f>
        <v>Clinical Actionability</v>
      </c>
      <c r="Q152" s="60" t="str">
        <f>IFERROR(__xludf.DUMMYFUNCTION("QUERY('Volunteer Survey'!J159)"),"")</f>
        <v/>
      </c>
      <c r="R152" s="55" t="str">
        <f>IFERROR(__xludf.DUMMYFUNCTION("QUERY('Volunteer Survey'!K159)"),"")</f>
        <v/>
      </c>
      <c r="S152" s="55" t="str">
        <f>IFERROR(__xludf.DUMMYFUNCTION("QUERY('Volunteer Survey'!L159)"),"")</f>
        <v/>
      </c>
      <c r="T152" s="55" t="str">
        <f>IFERROR(__xludf.DUMMYFUNCTION("QUERY('Volunteer Survey'!M159)"),"")</f>
        <v/>
      </c>
      <c r="U152" s="64" t="str">
        <f>IFERROR(__xludf.DUMMYFUNCTION("QUERY('Volunteer Survey'!N159)"),"")</f>
        <v/>
      </c>
      <c r="V152" s="55" t="str">
        <f>IFERROR(__xludf.DUMMYFUNCTION("QUERY('Volunteer Survey'!O159)"),"Yes")</f>
        <v>Yes</v>
      </c>
      <c r="W152" s="66" t="str">
        <f>IFERROR(__xludf.DUMMYFUNCTION("QUERY('Volunteer Survey'!P159)"),"YES I AM")</f>
        <v>YES I AM</v>
      </c>
      <c r="X152" s="64" t="str">
        <f>IFERROR(__xludf.DUMMYFUNCTION("QUERY('Volunteer Survey'!R159)"),"Yes- I am willing to volunteer with any available ClinGen group")</f>
        <v>Yes- I am willing to volunteer with any available ClinGen group</v>
      </c>
      <c r="Y152" s="53"/>
      <c r="Z152" s="182">
        <f>IFERROR(__xludf.DUMMYFUNCTION("QUERY('Volunteer Survey'!A151)"),43560.45181064815)</f>
        <v>43560.45181</v>
      </c>
      <c r="AA152" s="183" t="str">
        <f>IFERROR(__xludf.DUMMYFUNCTION("QUERY('Volunteer Survey'!B151)"),"Junyu Zhang")</f>
        <v>Junyu Zhang</v>
      </c>
      <c r="AB152" s="183" t="str">
        <f>IFERROR(__xludf.DUMMYFUNCTION("QUERY('Volunteer Survey'!C151)"),"IPMCH, Shanghai Jiao Tong University")</f>
        <v>IPMCH, Shanghai Jiao Tong University</v>
      </c>
      <c r="AC152" s="183" t="str">
        <f>IFERROR(__xludf.DUMMYFUNCTION("QUERY('Volunteer Survey'!D151)"),"")</f>
        <v/>
      </c>
      <c r="AD152" s="183" t="str">
        <f>IFERROR(__xludf.DUMMYFUNCTION("QUERY('Volunteer Survey'!E151)"),"junyuzhang@hotmail.com")</f>
        <v>junyuzhang@hotmail.com</v>
      </c>
      <c r="AE152" s="183" t="str">
        <f>IFERROR(__xludf.DUMMYFUNCTION("QUERY('Volunteer Survey'!F151)"),"Clinical laboratory geneticist")</f>
        <v>Clinical laboratory geneticist</v>
      </c>
      <c r="AF152" s="183" t="str">
        <f>IFERROR(__xludf.DUMMYFUNCTION("QUERY('Volunteer Survey'!G151)"),"ACMG Conference 2019, ClinGen conference advertisements (i.e. booth, workshop, presentation)")</f>
        <v>ACMG Conference 2019, ClinGen conference advertisements (i.e. booth, workshop, presentation)</v>
      </c>
      <c r="AG152" s="183" t="str">
        <f>IFERROR(__xludf.DUMMYFUNCTION("QUERY('Volunteer Survey'!H151)"),"Comprehensive")</f>
        <v>Comprehensive</v>
      </c>
      <c r="AH152" s="183" t="str">
        <f>IFERROR(__xludf.DUMMYFUNCTION("QUERY('Volunteer Survey'!I151)"),"Variant Pathogenicity")</f>
        <v>Variant Pathogenicity</v>
      </c>
      <c r="AI152" s="183" t="str">
        <f>IFERROR(__xludf.DUMMYFUNCTION("QUERY('Volunteer Survey'!J151)"),"Gene-Disease Validity")</f>
        <v>Gene-Disease Validity</v>
      </c>
      <c r="AJ152" s="183" t="str">
        <f>IFERROR(__xludf.DUMMYFUNCTION("QUERY('Volunteer Survey'!K151)"),"Clinical Actionability")</f>
        <v>Clinical Actionability</v>
      </c>
      <c r="AK152" s="183" t="str">
        <f>IFERROR(__xludf.DUMMYFUNCTION("QUERY('Volunteer Survey'!L151)"),"")</f>
        <v/>
      </c>
      <c r="AL152" s="183" t="str">
        <f>IFERROR(__xludf.DUMMYFUNCTION("QUERY('Volunteer Survey'!M151)"),"")</f>
        <v/>
      </c>
      <c r="AM152" s="183" t="str">
        <f>IFERROR(__xludf.DUMMYFUNCTION("QUERY('Volunteer Survey'!N151)"),"Curate more than 1000 variants in Chinese patients ")</f>
        <v>Curate more than 1000 variants in Chinese patients </v>
      </c>
      <c r="AN152" s="183" t="str">
        <f>IFERROR(__xludf.DUMMYFUNCTION("QUERY('Volunteer Survey'!O151)"),"Possibly")</f>
        <v>Possibly</v>
      </c>
      <c r="AO152" s="183" t="str">
        <f>IFERROR(__xludf.DUMMYFUNCTION("QUERY('Volunteer Survey'!P151)"),"Yes. Brain Malformations")</f>
        <v>Yes. Brain Malformations</v>
      </c>
    </row>
    <row r="153">
      <c r="A153" s="50">
        <f>IFERROR(__xludf.DUMMYFUNCTION("QUERY('Volunteer Survey'!A160)"),43563.39827228009)</f>
        <v>43563.39827</v>
      </c>
      <c r="B153" s="48" t="s">
        <v>108</v>
      </c>
      <c r="C153" s="53"/>
      <c r="D153" s="65">
        <v>43594.0</v>
      </c>
      <c r="E153" s="48" t="s">
        <v>117</v>
      </c>
      <c r="F153" s="48" t="s">
        <v>117</v>
      </c>
      <c r="G153" s="48" t="s">
        <v>19</v>
      </c>
      <c r="H153" s="69" t="s">
        <v>19</v>
      </c>
      <c r="I153" s="69" t="s">
        <v>139</v>
      </c>
      <c r="J153" s="56">
        <v>43712.0</v>
      </c>
      <c r="K153" s="56"/>
      <c r="L153" s="55" t="str">
        <f>IFERROR(__xludf.DUMMYFUNCTION("QUERY('Volunteer Survey'!B160)"),"Karen Hanson")</f>
        <v>Karen Hanson</v>
      </c>
      <c r="M153" s="55" t="str">
        <f>IFERROR(__xludf.DUMMYFUNCTION("QUERY('Volunteer Survey'!E160)"),"krhms3@gmail.com")</f>
        <v>krhms3@gmail.com</v>
      </c>
      <c r="N153" s="55" t="str">
        <f>IFERROR(__xludf.DUMMYFUNCTION("QUERY('Volunteer Survey'!F160)"),"Genetic counselor")</f>
        <v>Genetic counselor</v>
      </c>
      <c r="O153" s="48" t="str">
        <f>IFERROR(__xludf.DUMMYFUNCTION("QUERY('Volunteer Survey'!H160)"),"Comprehensive")</f>
        <v>Comprehensive</v>
      </c>
      <c r="P153" s="55" t="str">
        <f>IFERROR(__xludf.DUMMYFUNCTION("QUERY('Volunteer Survey'!I160)"),"Clinical Actionability")</f>
        <v>Clinical Actionability</v>
      </c>
      <c r="Q153" s="60" t="str">
        <f>IFERROR(__xludf.DUMMYFUNCTION("QUERY('Volunteer Survey'!J160)"),"Gene-Disease Validity")</f>
        <v>Gene-Disease Validity</v>
      </c>
      <c r="R153" s="55" t="str">
        <f>IFERROR(__xludf.DUMMYFUNCTION("QUERY('Volunteer Survey'!K160)"),"Somatic Cancer")</f>
        <v>Somatic Cancer</v>
      </c>
      <c r="S153" s="55" t="str">
        <f>IFERROR(__xludf.DUMMYFUNCTION("QUERY('Volunteer Survey'!L160)"),"")</f>
        <v/>
      </c>
      <c r="T153" s="55" t="str">
        <f>IFERROR(__xludf.DUMMYFUNCTION("QUERY('Volunteer Survey'!M160)"),"")</f>
        <v/>
      </c>
      <c r="U153" s="64" t="str">
        <f>IFERROR(__xludf.DUMMYFUNCTION("QUERY('Volunteer Survey'!N160)"),"n/a")</f>
        <v>n/a</v>
      </c>
      <c r="V153" s="55" t="str">
        <f>IFERROR(__xludf.DUMMYFUNCTION("QUERY('Volunteer Survey'!O160)"),"Possibly")</f>
        <v>Possibly</v>
      </c>
      <c r="W153" s="66" t="str">
        <f>IFERROR(__xludf.DUMMYFUNCTION("QUERY('Volunteer Survey'!P160)"),"brain malformations, cancer")</f>
        <v>brain malformations, cancer</v>
      </c>
      <c r="X153" s="64" t="str">
        <f>IFERROR(__xludf.DUMMYFUNCTION("QUERY('Volunteer Survey'!R160)"),"Yes- I am willing to volunteer with any available ClinGen group")</f>
        <v>Yes- I am willing to volunteer with any available ClinGen group</v>
      </c>
      <c r="Y153" s="53"/>
      <c r="Z153" s="182">
        <f>IFERROR(__xludf.DUMMYFUNCTION("QUERY('Volunteer Survey'!A152)"),43560.45312697917)</f>
        <v>43560.45313</v>
      </c>
      <c r="AA153" s="183" t="str">
        <f>IFERROR(__xludf.DUMMYFUNCTION("QUERY('Volunteer Survey'!B152)"),"Jing Zhang")</f>
        <v>Jing Zhang</v>
      </c>
      <c r="AB153" s="183" t="str">
        <f>IFERROR(__xludf.DUMMYFUNCTION("QUERY('Volunteer Survey'!C152)"),"WuXi NextCODE")</f>
        <v>WuXi NextCODE</v>
      </c>
      <c r="AC153" s="183" t="str">
        <f>IFERROR(__xludf.DUMMYFUNCTION("QUERY('Volunteer Survey'!D152)"),"")</f>
        <v/>
      </c>
      <c r="AD153" s="183" t="str">
        <f>IFERROR(__xludf.DUMMYFUNCTION("QUERY('Volunteer Survey'!E152)"),"jzhang@wuxinextcode.com")</f>
        <v>jzhang@wuxinextcode.com</v>
      </c>
      <c r="AE153" s="183" t="str">
        <f>IFERROR(__xludf.DUMMYFUNCTION("QUERY('Volunteer Survey'!F152)"),"Clinical laboratory geneticist")</f>
        <v>Clinical laboratory geneticist</v>
      </c>
      <c r="AF153" s="183" t="str">
        <f>IFERROR(__xludf.DUMMYFUNCTION("QUERY('Volunteer Survey'!G152)"),"ACMG Conference 2019, ClinGen affiliated emails and/or newsletters, The clinicalgenome.org website")</f>
        <v>ACMG Conference 2019, ClinGen affiliated emails and/or newsletters, The clinicalgenome.org website</v>
      </c>
      <c r="AG153" s="183" t="str">
        <f>IFERROR(__xludf.DUMMYFUNCTION("QUERY('Volunteer Survey'!H152)"),"Comprehensive")</f>
        <v>Comprehensive</v>
      </c>
      <c r="AH153" s="183" t="str">
        <f>IFERROR(__xludf.DUMMYFUNCTION("QUERY('Volunteer Survey'!I152)"),"Gene-Disease Validity")</f>
        <v>Gene-Disease Validity</v>
      </c>
      <c r="AI153" s="183" t="str">
        <f>IFERROR(__xludf.DUMMYFUNCTION("QUERY('Volunteer Survey'!J152)"),"Variant Pathogenicity")</f>
        <v>Variant Pathogenicity</v>
      </c>
      <c r="AJ153" s="183" t="str">
        <f>IFERROR(__xludf.DUMMYFUNCTION("QUERY('Volunteer Survey'!K152)"),"Clinical Actionability")</f>
        <v>Clinical Actionability</v>
      </c>
      <c r="AK153" s="183" t="str">
        <f>IFERROR(__xludf.DUMMYFUNCTION("QUERY('Volunteer Survey'!L152)"),"Somatic Cancer")</f>
        <v>Somatic Cancer</v>
      </c>
      <c r="AL153" s="183" t="str">
        <f>IFERROR(__xludf.DUMMYFUNCTION("QUERY('Volunteer Survey'!M152)"),"")</f>
        <v/>
      </c>
      <c r="AM153" s="183" t="str">
        <f>IFERROR(__xludf.DUMMYFUNCTION("QUERY('Volunteer Survey'!N152)"),"As the director of clinical genomic interpretation division of WuXi NextCODE, I do gene/variant curation on daily basis. ")</f>
        <v>As the director of clinical genomic interpretation division of WuXi NextCODE, I do gene/variant curation on daily basis. </v>
      </c>
      <c r="AN153" s="183" t="str">
        <f>IFERROR(__xludf.DUMMYFUNCTION("QUERY('Volunteer Survey'!O152)"),"Possibly")</f>
        <v>Possibly</v>
      </c>
      <c r="AO153" s="183" t="str">
        <f>IFERROR(__xludf.DUMMYFUNCTION("QUERY('Volunteer Survey'!P152)"),"")</f>
        <v/>
      </c>
    </row>
    <row r="154">
      <c r="A154" s="50">
        <f>IFERROR(__xludf.DUMMYFUNCTION("QUERY('Volunteer Survey'!A161)"),43563.56040282408)</f>
        <v>43563.5604</v>
      </c>
      <c r="B154" s="48" t="s">
        <v>168</v>
      </c>
      <c r="C154" s="53"/>
      <c r="D154" s="55"/>
      <c r="E154" s="48" t="s">
        <v>130</v>
      </c>
      <c r="F154" s="48" t="s">
        <v>130</v>
      </c>
      <c r="G154" s="48" t="s">
        <v>251</v>
      </c>
      <c r="H154" s="53"/>
      <c r="I154" s="51" t="s">
        <v>139</v>
      </c>
      <c r="J154" s="55"/>
      <c r="K154" s="55"/>
      <c r="L154" s="55" t="str">
        <f>IFERROR(__xludf.DUMMYFUNCTION("QUERY('Volunteer Survey'!B161)"),"Daniel Reich")</f>
        <v>Daniel Reich</v>
      </c>
      <c r="M154" s="55" t="str">
        <f>IFERROR(__xludf.DUMMYFUNCTION("QUERY('Volunteer Survey'!E161)"),"daniel.reich@aruplab.com")</f>
        <v>daniel.reich@aruplab.com</v>
      </c>
      <c r="N154" s="55" t="str">
        <f>IFERROR(__xludf.DUMMYFUNCTION("QUERY('Volunteer Survey'!F161)"),"Variant Analyst/Scientist - Industry")</f>
        <v>Variant Analyst/Scientist - Industry</v>
      </c>
      <c r="O154" s="48" t="str">
        <f>IFERROR(__xludf.DUMMYFUNCTION("QUERY('Volunteer Survey'!H161)"),"Comprehensive")</f>
        <v>Comprehensive</v>
      </c>
      <c r="P154" s="55" t="str">
        <f>IFERROR(__xludf.DUMMYFUNCTION("QUERY('Volunteer Survey'!I161)"),"Variant Pathogenicity")</f>
        <v>Variant Pathogenicity</v>
      </c>
      <c r="Q154" s="60" t="str">
        <f>IFERROR(__xludf.DUMMYFUNCTION("QUERY('Volunteer Survey'!J161)"),"Gene-Disease Validity")</f>
        <v>Gene-Disease Validity</v>
      </c>
      <c r="R154" s="55" t="str">
        <f>IFERROR(__xludf.DUMMYFUNCTION("QUERY('Volunteer Survey'!K161)"),"Clinical Actionability")</f>
        <v>Clinical Actionability</v>
      </c>
      <c r="S154" s="55" t="str">
        <f>IFERROR(__xludf.DUMMYFUNCTION("QUERY('Volunteer Survey'!L161)"),"")</f>
        <v/>
      </c>
      <c r="T154" s="55" t="str">
        <f>IFERROR(__xludf.DUMMYFUNCTION("QUERY('Volunteer Survey'!M161)"),"")</f>
        <v/>
      </c>
      <c r="U154" s="64" t="str">
        <f>IFERROR(__xludf.DUMMYFUNCTION("QUERY('Volunteer Survey'!N161)"),"As a variant scientist, I have been doing variant classification for clinical genetics tests for ~10 months. I have been involved in discussing gene-disease validity, though only for the last 1-2 months.")</f>
        <v>As a variant scientist, I have been doing variant classification for clinical genetics tests for ~10 months. I have been involved in discussing gene-disease validity, though only for the last 1-2 months.</v>
      </c>
      <c r="V154" s="55" t="str">
        <f>IFERROR(__xludf.DUMMYFUNCTION("QUERY('Volunteer Survey'!O161)"),"No")</f>
        <v>No</v>
      </c>
      <c r="W154" s="66" t="str">
        <f>IFERROR(__xludf.DUMMYFUNCTION("QUERY('Volunteer Survey'!P161)"),"Cerebral Creatine Deficiency Syndromes")</f>
        <v>Cerebral Creatine Deficiency Syndromes</v>
      </c>
      <c r="X154" s="64" t="str">
        <f>IFERROR(__xludf.DUMMYFUNCTION("QUERY('Volunteer Survey'!R161)"),"Yes- I am willing to volunteer with any available ClinGen group")</f>
        <v>Yes- I am willing to volunteer with any available ClinGen group</v>
      </c>
      <c r="Y154" s="53"/>
      <c r="Z154" s="182">
        <f>IFERROR(__xludf.DUMMYFUNCTION("QUERY('Volunteer Survey'!A153)"),43560.47645966435)</f>
        <v>43560.47646</v>
      </c>
      <c r="AA154" s="183" t="str">
        <f>IFERROR(__xludf.DUMMYFUNCTION("QUERY('Volunteer Survey'!B153)"),"Mary-Alice Abbott")</f>
        <v>Mary-Alice Abbott</v>
      </c>
      <c r="AB154" s="183" t="str">
        <f>IFERROR(__xludf.DUMMYFUNCTION("QUERY('Volunteer Survey'!C153)"),"Baystate Medical Center")</f>
        <v>Baystate Medical Center</v>
      </c>
      <c r="AC154" s="183" t="str">
        <f>IFERROR(__xludf.DUMMYFUNCTION("QUERY('Volunteer Survey'!D153)"),"50 Wason Ave Springfield, MA")</f>
        <v>50 Wason Ave Springfield, MA</v>
      </c>
      <c r="AD154" s="183" t="str">
        <f>IFERROR(__xludf.DUMMYFUNCTION("QUERY('Volunteer Survey'!E153)"),"Maryalice.abbott@baystatehealth.org")</f>
        <v>Maryalice.abbott@baystatehealth.org</v>
      </c>
      <c r="AE154" s="183" t="str">
        <f>IFERROR(__xludf.DUMMYFUNCTION("QUERY('Volunteer Survey'!F153)"),"Clinical Medical Geneticist")</f>
        <v>Clinical Medical Geneticist</v>
      </c>
      <c r="AF154" s="183" t="str">
        <f>IFERROR(__xludf.DUMMYFUNCTION("QUERY('Volunteer Survey'!G153)"),"ACMG Conference 2019")</f>
        <v>ACMG Conference 2019</v>
      </c>
      <c r="AG154" s="183" t="str">
        <f>IFERROR(__xludf.DUMMYFUNCTION("QUERY('Volunteer Survey'!H153)"),"Comprehensive")</f>
        <v>Comprehensive</v>
      </c>
      <c r="AH154" s="183" t="str">
        <f>IFERROR(__xludf.DUMMYFUNCTION("QUERY('Volunteer Survey'!I153)"),"Gene-Disease Validity")</f>
        <v>Gene-Disease Validity</v>
      </c>
      <c r="AI154" s="183" t="str">
        <f>IFERROR(__xludf.DUMMYFUNCTION("QUERY('Volunteer Survey'!J153)"),"Clinical Actionability")</f>
        <v>Clinical Actionability</v>
      </c>
      <c r="AJ154" s="183" t="str">
        <f>IFERROR(__xludf.DUMMYFUNCTION("QUERY('Volunteer Survey'!K153)"),"")</f>
        <v/>
      </c>
      <c r="AK154" s="183" t="str">
        <f>IFERROR(__xludf.DUMMYFUNCTION("QUERY('Volunteer Survey'!L153)"),"")</f>
        <v/>
      </c>
      <c r="AL154" s="183" t="str">
        <f>IFERROR(__xludf.DUMMYFUNCTION("QUERY('Volunteer Survey'!M153)"),"")</f>
        <v/>
      </c>
      <c r="AM154" s="183" t="str">
        <f>IFERROR(__xludf.DUMMYFUNCTION("QUERY('Volunteer Survey'!N153)"),"As clinical geneticist I regularly interpret clinical significance of gene variants for my patients but do not have formal variant interpretation experience ")</f>
        <v>As clinical geneticist I regularly interpret clinical significance of gene variants for my patients but do not have formal variant interpretation experience </v>
      </c>
      <c r="AN154" s="183" t="str">
        <f>IFERROR(__xludf.DUMMYFUNCTION("QUERY('Volunteer Survey'!O153)"),"No")</f>
        <v>No</v>
      </c>
      <c r="AO154" s="183" t="str">
        <f>IFERROR(__xludf.DUMMYFUNCTION("QUERY('Volunteer Survey'!P153)"),"LSD, ID, actionability")</f>
        <v>LSD, ID, actionability</v>
      </c>
    </row>
    <row r="155">
      <c r="A155" s="50">
        <f>IFERROR(__xludf.DUMMYFUNCTION("QUERY('Volunteer Survey'!A162)"),43563.61847023148)</f>
        <v>43563.61847</v>
      </c>
      <c r="B155" s="48" t="s">
        <v>108</v>
      </c>
      <c r="C155" s="53"/>
      <c r="D155" s="65">
        <v>43580.0</v>
      </c>
      <c r="E155" s="48" t="s">
        <v>117</v>
      </c>
      <c r="F155" s="48" t="s">
        <v>117</v>
      </c>
      <c r="G155" s="48" t="s">
        <v>163</v>
      </c>
      <c r="H155" s="53"/>
      <c r="I155" s="51" t="s">
        <v>139</v>
      </c>
      <c r="J155" s="56">
        <v>43712.0</v>
      </c>
      <c r="K155" s="56"/>
      <c r="L155" s="55" t="str">
        <f>IFERROR(__xludf.DUMMYFUNCTION("QUERY('Volunteer Survey'!B162)"),"Christine Preston")</f>
        <v>Christine Preston</v>
      </c>
      <c r="M155" s="55" t="str">
        <f>IFERROR(__xludf.DUMMYFUNCTION("QUERY('Volunteer Survey'!E162)"),"christip@stanford.edu")</f>
        <v>christip@stanford.edu</v>
      </c>
      <c r="N155" s="55" t="str">
        <f>IFERROR(__xludf.DUMMYFUNCTION("QUERY('Volunteer Survey'!F162)"),"Biocurator")</f>
        <v>Biocurator</v>
      </c>
      <c r="O155" s="48" t="str">
        <f>IFERROR(__xludf.DUMMYFUNCTION("QUERY('Volunteer Survey'!H162)"),"Comprehensive")</f>
        <v>Comprehensive</v>
      </c>
      <c r="P155" s="55" t="str">
        <f>IFERROR(__xludf.DUMMYFUNCTION("QUERY('Volunteer Survey'!I162)"),"Dosage Sensitivity")</f>
        <v>Dosage Sensitivity</v>
      </c>
      <c r="Q155" s="60" t="str">
        <f>IFERROR(__xludf.DUMMYFUNCTION("QUERY('Volunteer Survey'!J162)"),"Clinical Actionability")</f>
        <v>Clinical Actionability</v>
      </c>
      <c r="R155" s="55" t="str">
        <f>IFERROR(__xludf.DUMMYFUNCTION("QUERY('Volunteer Survey'!K162)"),"Variant Pathogenicity")</f>
        <v>Variant Pathogenicity</v>
      </c>
      <c r="S155" s="55" t="str">
        <f>IFERROR(__xludf.DUMMYFUNCTION("QUERY('Volunteer Survey'!L162)"),"")</f>
        <v/>
      </c>
      <c r="T155" s="55" t="str">
        <f>IFERROR(__xludf.DUMMYFUNCTION("QUERY('Volunteer Survey'!M162)"),"")</f>
        <v/>
      </c>
      <c r="U155" s="64" t="str">
        <f>IFERROR(__xludf.DUMMYFUNCTION("QUERY('Volunteer Survey'!N162)"),"")</f>
        <v/>
      </c>
      <c r="V155" s="55" t="str">
        <f>IFERROR(__xludf.DUMMYFUNCTION("QUERY('Volunteer Survey'!O162)"),"No")</f>
        <v>No</v>
      </c>
      <c r="W155" s="66" t="str">
        <f>IFERROR(__xludf.DUMMYFUNCTION("QUERY('Volunteer Survey'!P162)"),"Dosage Sensitivity Working Group")</f>
        <v>Dosage Sensitivity Working Group</v>
      </c>
      <c r="X155" s="64" t="str">
        <f>IFERROR(__xludf.DUMMYFUNCTION("QUERY('Volunteer Survey'!R162)"),"Maybe -- please contact me with other options, and I will decide based on what is available")</f>
        <v>Maybe -- please contact me with other options, and I will decide based on what is available</v>
      </c>
      <c r="Y155" s="53"/>
      <c r="Z155" s="182">
        <f>IFERROR(__xludf.DUMMYFUNCTION("QUERY('Volunteer Survey'!A154)"),43560.5073359838)</f>
        <v>43560.50734</v>
      </c>
      <c r="AA155" s="183" t="str">
        <f>IFERROR(__xludf.DUMMYFUNCTION("QUERY('Volunteer Survey'!B154)"),"Emily Higgs")</f>
        <v>Emily Higgs</v>
      </c>
      <c r="AB155" s="183" t="str">
        <f>IFERROR(__xludf.DUMMYFUNCTION("QUERY('Volunteer Survey'!C154)"),"Stanford University")</f>
        <v>Stanford University</v>
      </c>
      <c r="AC155" s="183" t="str">
        <f>IFERROR(__xludf.DUMMYFUNCTION("QUERY('Volunteer Survey'!D154)"),"")</f>
        <v/>
      </c>
      <c r="AD155" s="183" t="str">
        <f>IFERROR(__xludf.DUMMYFUNCTION("QUERY('Volunteer Survey'!E154)"),"ehiggs@stanford.edu")</f>
        <v>ehiggs@stanford.edu</v>
      </c>
      <c r="AE155" s="183" t="str">
        <f>IFERROR(__xludf.DUMMYFUNCTION("QUERY('Volunteer Survey'!F154)"),"Variant Analyst/Scientist - Academic")</f>
        <v>Variant Analyst/Scientist - Academic</v>
      </c>
      <c r="AF155" s="183" t="str">
        <f>IFERROR(__xludf.DUMMYFUNCTION("QUERY('Volunteer Survey'!G154)"),"The clinicalgenome.org website")</f>
        <v>The clinicalgenome.org website</v>
      </c>
      <c r="AG155" s="183" t="str">
        <f>IFERROR(__xludf.DUMMYFUNCTION("QUERY('Volunteer Survey'!H154)"),"Comprehensive")</f>
        <v>Comprehensive</v>
      </c>
      <c r="AH155" s="183" t="str">
        <f>IFERROR(__xludf.DUMMYFUNCTION("QUERY('Volunteer Survey'!I154)"),"Variant Pathogenicity")</f>
        <v>Variant Pathogenicity</v>
      </c>
      <c r="AI155" s="183" t="str">
        <f>IFERROR(__xludf.DUMMYFUNCTION("QUERY('Volunteer Survey'!J154)"),"Gene-Disease Validity")</f>
        <v>Gene-Disease Validity</v>
      </c>
      <c r="AJ155" s="183" t="str">
        <f>IFERROR(__xludf.DUMMYFUNCTION("QUERY('Volunteer Survey'!K154)"),"Dosage Sensitivity")</f>
        <v>Dosage Sensitivity</v>
      </c>
      <c r="AK155" s="183" t="str">
        <f>IFERROR(__xludf.DUMMYFUNCTION("QUERY('Volunteer Survey'!L154)"),"")</f>
        <v/>
      </c>
      <c r="AL155" s="183" t="str">
        <f>IFERROR(__xludf.DUMMYFUNCTION("QUERY('Volunteer Survey'!M154)"),"")</f>
        <v/>
      </c>
      <c r="AM155" s="183" t="str">
        <f>IFERROR(__xludf.DUMMYFUNCTION("QUERY('Volunteer Survey'!N154)"),"For the past year I have been doing variant interpretation for 'healthy exomes' in the research setting and supervising Master of Genetic Counseling students' variant interpretation rotations.  ")</f>
        <v>For the past year I have been doing variant interpretation for 'healthy exomes' in the research setting and supervising Master of Genetic Counseling students' variant interpretation rotations.  </v>
      </c>
      <c r="AN155" s="183" t="str">
        <f>IFERROR(__xludf.DUMMYFUNCTION("QUERY('Volunteer Survey'!O154)"),"Possibly")</f>
        <v>Possibly</v>
      </c>
      <c r="AO155" s="183" t="str">
        <f>IFERROR(__xludf.DUMMYFUNCTION("QUERY('Volunteer Survey'!P154)"),"Dosage- Neurodevelopemental; Gene curation - Intellectual Disability and Autism,
Epilepsy, Hereditary Cancer, Mitochondrial Diseases, Brain Malformations, Monogenic Diabetes; Variant curation - VHL, CDH1, Brain Malformations, Monogenic Diabetes, Colorecta"&amp;"l Cancer ")</f>
        <v>Dosage- Neurodevelopemental; Gene curation - Intellectual Disability and Autism,
Epilepsy, Hereditary Cancer, Mitochondrial Diseases, Brain Malformations, Monogenic Diabetes; Variant curation - VHL, CDH1, Brain Malformations, Monogenic Diabetes, Colorectal Cancer </v>
      </c>
    </row>
    <row r="156">
      <c r="A156" s="50">
        <f>IFERROR(__xludf.DUMMYFUNCTION("QUERY('Volunteer Survey'!A163)"),43564.41759017361)</f>
        <v>43564.41759</v>
      </c>
      <c r="B156" s="48" t="s">
        <v>108</v>
      </c>
      <c r="C156" s="79">
        <v>43819.0</v>
      </c>
      <c r="D156" s="55"/>
      <c r="E156" s="48" t="s">
        <v>130</v>
      </c>
      <c r="F156" s="48" t="s">
        <v>130</v>
      </c>
      <c r="G156" s="48" t="s">
        <v>122</v>
      </c>
      <c r="H156" s="53"/>
      <c r="I156" s="51" t="s">
        <v>139</v>
      </c>
      <c r="J156" s="55"/>
      <c r="K156" s="55"/>
      <c r="L156" s="55" t="str">
        <f>IFERROR(__xludf.DUMMYFUNCTION("QUERY('Volunteer Survey'!B163)"),"Julie Hathaway")</f>
        <v>Julie Hathaway</v>
      </c>
      <c r="M156" s="55" t="str">
        <f>IFERROR(__xludf.DUMMYFUNCTION("QUERY('Volunteer Survey'!E163)"),"julie.hathaway@blueprintgenetics.com")</f>
        <v>julie.hathaway@blueprintgenetics.com</v>
      </c>
      <c r="N156" s="55" t="str">
        <f>IFERROR(__xludf.DUMMYFUNCTION("QUERY('Volunteer Survey'!F163)"),"Genetic counselor")</f>
        <v>Genetic counselor</v>
      </c>
      <c r="O156" s="48" t="str">
        <f>IFERROR(__xludf.DUMMYFUNCTION("QUERY('Volunteer Survey'!H163)"),"Comprehensive")</f>
        <v>Comprehensive</v>
      </c>
      <c r="P156" s="55" t="str">
        <f>IFERROR(__xludf.DUMMYFUNCTION("QUERY('Volunteer Survey'!I163)"),"Variant Pathogenicity")</f>
        <v>Variant Pathogenicity</v>
      </c>
      <c r="Q156" s="60" t="str">
        <f>IFERROR(__xludf.DUMMYFUNCTION("QUERY('Volunteer Survey'!J163)"),"Gene-Disease Validity")</f>
        <v>Gene-Disease Validity</v>
      </c>
      <c r="R156" s="55" t="str">
        <f>IFERROR(__xludf.DUMMYFUNCTION("QUERY('Volunteer Survey'!K163)"),"Clinical Actionability")</f>
        <v>Clinical Actionability</v>
      </c>
      <c r="S156" s="55" t="str">
        <f>IFERROR(__xludf.DUMMYFUNCTION("QUERY('Volunteer Survey'!L163)"),"Dosage Sensitivity")</f>
        <v>Dosage Sensitivity</v>
      </c>
      <c r="T156" s="55" t="str">
        <f>IFERROR(__xludf.DUMMYFUNCTION("QUERY('Volunteer Survey'!M163)"),"Somatic Cancer")</f>
        <v>Somatic Cancer</v>
      </c>
      <c r="U156" s="64" t="str">
        <f>IFERROR(__xludf.DUMMYFUNCTION("QUERY('Volunteer Survey'!N163)"),"I have worked in the clinic and now in a commercial laboratory. In the clinic, we performed our own internal variant classifications and also, part of this included thoroughly researching gene-disease associations. In the laboratory, I have a clinical sup"&amp;"port role, contributing to gene panel curation/creation. ")</f>
        <v>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v>
      </c>
      <c r="V156" s="55" t="str">
        <f>IFERROR(__xludf.DUMMYFUNCTION("QUERY('Volunteer Survey'!O163)"),"No")</f>
        <v>No</v>
      </c>
      <c r="W156" s="66" t="str">
        <f>IFERROR(__xludf.DUMMYFUNCTION("QUERY('Volunteer Survey'!P163)"),"Cardiomyopathy (or arrhythmias if available- I tried to be involved in the KCNQ1 variant curation group but I understand their group is now full) ")</f>
        <v>Cardiomyopathy (or arrhythmias if available- I tried to be involved in the KCNQ1 variant curation group but I understand their group is now full) </v>
      </c>
      <c r="X156" s="64" t="str">
        <f>IFERROR(__xludf.DUMMYFUNCTION("QUERY('Volunteer Survey'!R163)"),"Maybe -- please contact me with other options, and I will decide based on what is available")</f>
        <v>Maybe -- please contact me with other options, and I will decide based on what is available</v>
      </c>
      <c r="Y156" s="53"/>
      <c r="Z156" s="182">
        <f>IFERROR(__xludf.DUMMYFUNCTION("QUERY('Volunteer Survey'!A155)"),43560.65032049768)</f>
        <v>43560.65032</v>
      </c>
      <c r="AA156" s="183" t="str">
        <f>IFERROR(__xludf.DUMMYFUNCTION("QUERY('Volunteer Survey'!B155)"),"Matt Wright")</f>
        <v>Matt Wright</v>
      </c>
      <c r="AB156" s="183" t="str">
        <f>IFERROR(__xludf.DUMMYFUNCTION("QUERY('Volunteer Survey'!C155)"),"Stanford University ")</f>
        <v>Stanford University </v>
      </c>
      <c r="AC156" s="183" t="str">
        <f>IFERROR(__xludf.DUMMYFUNCTION("QUERY('Volunteer Survey'!D155)"),"")</f>
        <v/>
      </c>
      <c r="AD156" s="183" t="str">
        <f>IFERROR(__xludf.DUMMYFUNCTION("QUERY('Volunteer Survey'!E155)"),"wrightmw@stanford.edu")</f>
        <v>wrightmw@stanford.edu</v>
      </c>
      <c r="AE156" s="183" t="str">
        <f>IFERROR(__xludf.DUMMYFUNCTION("QUERY('Volunteer Survey'!F155)"),"Biocurator")</f>
        <v>Biocurator</v>
      </c>
      <c r="AF156" s="183" t="str">
        <f>IFERROR(__xludf.DUMMYFUNCTION("QUERY('Volunteer Survey'!G155)"),"I’m already a part of ClinGen")</f>
        <v>I’m already a part of ClinGen</v>
      </c>
      <c r="AG156" s="183" t="str">
        <f>IFERROR(__xludf.DUMMYFUNCTION("QUERY('Volunteer Survey'!H155)"),"Comprehensive")</f>
        <v>Comprehensive</v>
      </c>
      <c r="AH156" s="183" t="str">
        <f>IFERROR(__xludf.DUMMYFUNCTION("QUERY('Volunteer Survey'!I155)"),"Variant Pathogenicity")</f>
        <v>Variant Pathogenicity</v>
      </c>
      <c r="AI156" s="183" t="str">
        <f>IFERROR(__xludf.DUMMYFUNCTION("QUERY('Volunteer Survey'!J155)"),"")</f>
        <v/>
      </c>
      <c r="AJ156" s="183" t="str">
        <f>IFERROR(__xludf.DUMMYFUNCTION("QUERY('Volunteer Survey'!K155)"),"")</f>
        <v/>
      </c>
      <c r="AK156" s="183" t="str">
        <f>IFERROR(__xludf.DUMMYFUNCTION("QUERY('Volunteer Survey'!L155)"),"")</f>
        <v/>
      </c>
      <c r="AL156" s="183" t="str">
        <f>IFERROR(__xludf.DUMMYFUNCTION("QUERY('Volunteer Survey'!M155)"),"")</f>
        <v/>
      </c>
      <c r="AM156" s="183" t="str">
        <f>IFERROR(__xludf.DUMMYFUNCTION("QUERY('Volunteer Survey'!N155)"),"Most of my experience is gene-level curation but I’m especially interested in the variant curator’s experience")</f>
        <v>Most of my experience is gene-level curation but I’m especially interested in the variant curator’s experience</v>
      </c>
      <c r="AN156" s="183" t="str">
        <f>IFERROR(__xludf.DUMMYFUNCTION("QUERY('Volunteer Survey'!O155)"),"No")</f>
        <v>No</v>
      </c>
      <c r="AO156" s="183" t="str">
        <f>IFERROR(__xludf.DUMMYFUNCTION("QUERY('Volunteer Survey'!P155)"),"Hearing Loss or Brain Malformations or Cardiomyopathy ")</f>
        <v>Hearing Loss or Brain Malformations or Cardiomyopathy </v>
      </c>
    </row>
    <row r="157">
      <c r="A157" s="50">
        <f>IFERROR(__xludf.DUMMYFUNCTION("QUERY('Volunteer Survey'!A164)"),43564.41960033565)</f>
        <v>43564.4196</v>
      </c>
      <c r="B157" s="48" t="s">
        <v>108</v>
      </c>
      <c r="C157" s="53"/>
      <c r="D157" s="55"/>
      <c r="E157" s="48" t="s">
        <v>130</v>
      </c>
      <c r="F157" s="48" t="s">
        <v>130</v>
      </c>
      <c r="G157" s="48" t="s">
        <v>202</v>
      </c>
      <c r="H157" s="53"/>
      <c r="I157" s="51" t="s">
        <v>139</v>
      </c>
      <c r="J157" s="55"/>
      <c r="K157" s="55"/>
      <c r="L157" s="55" t="str">
        <f>IFERROR(__xludf.DUMMYFUNCTION("QUERY('Volunteer Survey'!B164)"),"Jose Maria Urbano")</f>
        <v>Jose Maria Urbano</v>
      </c>
      <c r="M157" s="55" t="str">
        <f>IFERROR(__xludf.DUMMYFUNCTION("QUERY('Volunteer Survey'!E164)"),"jmu22@cam.ac.uk")</f>
        <v>jmu22@cam.ac.uk</v>
      </c>
      <c r="N157" s="55" t="str">
        <f>IFERROR(__xludf.DUMMYFUNCTION("QUERY('Volunteer Survey'!F164)"),"Biocurator")</f>
        <v>Biocurator</v>
      </c>
      <c r="O157" s="48" t="str">
        <f>IFERROR(__xludf.DUMMYFUNCTION("QUERY('Volunteer Survey'!H164)"),"Baseline")</f>
        <v>Baseline</v>
      </c>
      <c r="P157" s="55" t="str">
        <f>IFERROR(__xludf.DUMMYFUNCTION("QUERY('Volunteer Survey'!I164)"),"Gene-Disease Validity")</f>
        <v>Gene-Disease Validity</v>
      </c>
      <c r="Q157" s="60" t="str">
        <f>IFERROR(__xludf.DUMMYFUNCTION("QUERY('Volunteer Survey'!J164)"),"Variant Pathogenicity")</f>
        <v>Variant Pathogenicity</v>
      </c>
      <c r="R157" s="55" t="str">
        <f>IFERROR(__xludf.DUMMYFUNCTION("QUERY('Volunteer Survey'!K164)"),"Dosage Sensitivity")</f>
        <v>Dosage Sensitivity</v>
      </c>
      <c r="S157" s="55" t="str">
        <f>IFERROR(__xludf.DUMMYFUNCTION("QUERY('Volunteer Survey'!L164)"),"Somatic Cancer")</f>
        <v>Somatic Cancer</v>
      </c>
      <c r="T157" s="55" t="str">
        <f>IFERROR(__xludf.DUMMYFUNCTION("QUERY('Volunteer Survey'!M164)"),"Clinical Actionability")</f>
        <v>Clinical Actionability</v>
      </c>
      <c r="U157" s="64" t="str">
        <f>IFERROR(__xludf.DUMMYFUNCTION("QUERY('Volunteer Survey'!N164)"),"I am a Drosophila biocurator. I've been working for FlyBase for 4 years")</f>
        <v>I am a Drosophila biocurator. I've been working for FlyBase for 4 years</v>
      </c>
      <c r="V157" s="55" t="str">
        <f>IFERROR(__xludf.DUMMYFUNCTION("QUERY('Volunteer Survey'!O164)"),"No")</f>
        <v>No</v>
      </c>
      <c r="W157" s="66" t="str">
        <f>IFERROR(__xludf.DUMMYFUNCTION("QUERY('Volunteer Survey'!P164)"),"")</f>
        <v/>
      </c>
      <c r="X157" s="64" t="str">
        <f>IFERROR(__xludf.DUMMYFUNCTION("QUERY('Volunteer Survey'!R164)"),"")</f>
        <v/>
      </c>
      <c r="Y157" s="53"/>
      <c r="Z157" s="182">
        <f>IFERROR(__xludf.DUMMYFUNCTION("QUERY('Volunteer Survey'!A156)"),43560.80082045139)</f>
        <v>43560.80082</v>
      </c>
      <c r="AA157" s="183" t="str">
        <f>IFERROR(__xludf.DUMMYFUNCTION("QUERY('Volunteer Survey'!B156)"),"Samantha Chill")</f>
        <v>Samantha Chill</v>
      </c>
      <c r="AB157" s="183" t="str">
        <f>IFERROR(__xludf.DUMMYFUNCTION("QUERY('Volunteer Survey'!C156)"),"George Mason University")</f>
        <v>George Mason University</v>
      </c>
      <c r="AC157" s="183" t="str">
        <f>IFERROR(__xludf.DUMMYFUNCTION("QUERY('Volunteer Survey'!D156)"),"4923 Americana Dr, Annandale VA 22003")</f>
        <v>4923 Americana Dr, Annandale VA 22003</v>
      </c>
      <c r="AD157" s="183" t="str">
        <f>IFERROR(__xludf.DUMMYFUNCTION("QUERY('Volunteer Survey'!E156)"),"slsevilla@gmail.com")</f>
        <v>slsevilla@gmail.com</v>
      </c>
      <c r="AE157" s="183" t="str">
        <f>IFERROR(__xludf.DUMMYFUNCTION("QUERY('Volunteer Survey'!F156)"),"Graduate Student")</f>
        <v>Graduate Student</v>
      </c>
      <c r="AF157" s="183" t="str">
        <f>IFERROR(__xludf.DUMMYFUNCTION("QUERY('Volunteer Survey'!G156)"),"ACMG Conference 2019")</f>
        <v>ACMG Conference 2019</v>
      </c>
      <c r="AG157" s="183" t="str">
        <f>IFERROR(__xludf.DUMMYFUNCTION("QUERY('Volunteer Survey'!H156)"),"Comprehensive")</f>
        <v>Comprehensive</v>
      </c>
      <c r="AH157" s="183" t="str">
        <f>IFERROR(__xludf.DUMMYFUNCTION("QUERY('Volunteer Survey'!I156)"),"Gene-Disease Validity")</f>
        <v>Gene-Disease Validity</v>
      </c>
      <c r="AI157" s="183" t="str">
        <f>IFERROR(__xludf.DUMMYFUNCTION("QUERY('Volunteer Survey'!J156)"),"Variant Pathogenicity")</f>
        <v>Variant Pathogenicity</v>
      </c>
      <c r="AJ157" s="183" t="str">
        <f>IFERROR(__xludf.DUMMYFUNCTION("QUERY('Volunteer Survey'!K156)"),"Somatic Cancer")</f>
        <v>Somatic Cancer</v>
      </c>
      <c r="AK157" s="183" t="str">
        <f>IFERROR(__xludf.DUMMYFUNCTION("QUERY('Volunteer Survey'!L156)"),"Dosage Sensitivity")</f>
        <v>Dosage Sensitivity</v>
      </c>
      <c r="AL157" s="183" t="str">
        <f>IFERROR(__xludf.DUMMYFUNCTION("QUERY('Volunteer Survey'!M156)"),"Clinical Actionability")</f>
        <v>Clinical Actionability</v>
      </c>
      <c r="AM157" s="183" t="str">
        <f>IFERROR(__xludf.DUMMYFUNCTION("QUERY('Volunteer Survey'!N156)"),"")</f>
        <v/>
      </c>
      <c r="AN157" s="183" t="str">
        <f>IFERROR(__xludf.DUMMYFUNCTION("QUERY('Volunteer Survey'!O156)"),"Possibly")</f>
        <v>Possibly</v>
      </c>
      <c r="AO157" s="183" t="str">
        <f>IFERROR(__xludf.DUMMYFUNCTION("QUERY('Volunteer Survey'!P156)"),"")</f>
        <v/>
      </c>
    </row>
    <row r="158">
      <c r="A158" s="50">
        <f>IFERROR(__xludf.DUMMYFUNCTION("QUERY('Volunteer Survey'!A165)"),43564.493346400464)</f>
        <v>43564.49335</v>
      </c>
      <c r="B158" s="48" t="s">
        <v>108</v>
      </c>
      <c r="C158" s="53"/>
      <c r="D158" s="65">
        <v>43585.0</v>
      </c>
      <c r="E158" s="48" t="s">
        <v>117</v>
      </c>
      <c r="F158" s="48" t="s">
        <v>117</v>
      </c>
      <c r="G158" s="48" t="s">
        <v>122</v>
      </c>
      <c r="H158" s="51" t="s">
        <v>123</v>
      </c>
      <c r="I158" s="51" t="s">
        <v>139</v>
      </c>
      <c r="J158" s="56">
        <v>43712.0</v>
      </c>
      <c r="K158" s="56"/>
      <c r="L158" s="55" t="str">
        <f>IFERROR(__xludf.DUMMYFUNCTION("QUERY('Volunteer Survey'!B165)"),"Alexander Ing")</f>
        <v>Alexander Ing</v>
      </c>
      <c r="M158" s="55" t="str">
        <f>IFERROR(__xludf.DUMMYFUNCTION("QUERY('Volunteer Survey'!E165)"),"aing@luriechildrens.org")</f>
        <v>aing@luriechildrens.org</v>
      </c>
      <c r="N158" s="55" t="str">
        <f>IFERROR(__xludf.DUMMYFUNCTION("QUERY('Volunteer Survey'!F165)"),"Genetic counselor")</f>
        <v>Genetic counselor</v>
      </c>
      <c r="O158" s="48" t="str">
        <f>IFERROR(__xludf.DUMMYFUNCTION("QUERY('Volunteer Survey'!H165)"),"Comprehensive")</f>
        <v>Comprehensive</v>
      </c>
      <c r="P158" s="55" t="str">
        <f>IFERROR(__xludf.DUMMYFUNCTION("QUERY('Volunteer Survey'!I165)"),"Gene-Disease Validity")</f>
        <v>Gene-Disease Validity</v>
      </c>
      <c r="Q158" s="60" t="str">
        <f>IFERROR(__xludf.DUMMYFUNCTION("QUERY('Volunteer Survey'!J165)"),"Variant Pathogenicity")</f>
        <v>Variant Pathogenicity</v>
      </c>
      <c r="R158" s="55" t="str">
        <f>IFERROR(__xludf.DUMMYFUNCTION("QUERY('Volunteer Survey'!K165)"),"Clinical Actionability")</f>
        <v>Clinical Actionability</v>
      </c>
      <c r="S158" s="55" t="str">
        <f>IFERROR(__xludf.DUMMYFUNCTION("QUERY('Volunteer Survey'!L165)"),"")</f>
        <v/>
      </c>
      <c r="T158" s="55" t="str">
        <f>IFERROR(__xludf.DUMMYFUNCTION("QUERY('Volunteer Survey'!M165)"),"")</f>
        <v/>
      </c>
      <c r="U158" s="64" t="str">
        <f>IFERROR(__xludf.DUMMYFUNCTION("QUERY('Volunteer Survey'!N165)"),"I am a laboratory genetic counselor and my responsibilities are centered around variant interpretation and test reporting. I have served in this role for 4 years. I have some gene curation experience.")</f>
        <v>I am a laboratory genetic counselor and my responsibilities are centered around variant interpretation and test reporting. I have served in this role for 4 years. I have some gene curation experience.</v>
      </c>
      <c r="V158" s="55" t="str">
        <f>IFERROR(__xludf.DUMMYFUNCTION("QUERY('Volunteer Survey'!O165)"),"Possibly")</f>
        <v>Possibly</v>
      </c>
      <c r="W158" s="66" t="str">
        <f>IFERROR(__xludf.DUMMYFUNCTION("QUERY('Volunteer Survey'!P165)"),"epilepsy")</f>
        <v>epilepsy</v>
      </c>
      <c r="X158" s="64" t="str">
        <f>IFERROR(__xludf.DUMMYFUNCTION("QUERY('Volunteer Survey'!R165)"),"Maybe -- please contact me with other options, and I will decide based on what is available")</f>
        <v>Maybe -- please contact me with other options, and I will decide based on what is available</v>
      </c>
      <c r="Y158" s="53"/>
      <c r="Z158" s="182">
        <f>IFERROR(__xludf.DUMMYFUNCTION("QUERY('Volunteer Survey'!A157)"),43560.84205873843)</f>
        <v>43560.84206</v>
      </c>
      <c r="AA158" s="183" t="str">
        <f>IFERROR(__xludf.DUMMYFUNCTION("QUERY('Volunteer Survey'!B157)"),"Kristin Maloney")</f>
        <v>Kristin Maloney</v>
      </c>
      <c r="AB158" s="183" t="str">
        <f>IFERROR(__xludf.DUMMYFUNCTION("QUERY('Volunteer Survey'!C157)"),"University of Maryland School of Medicine")</f>
        <v>University of Maryland School of Medicine</v>
      </c>
      <c r="AC158" s="183" t="str">
        <f>IFERROR(__xludf.DUMMYFUNCTION("QUERY('Volunteer Survey'!D157)"),"685 W. Baltimore St, MSTF 3-14H, Baltimore, MD  21201")</f>
        <v>685 W. Baltimore St, MSTF 3-14H, Baltimore, MD  21201</v>
      </c>
      <c r="AD158" s="183" t="str">
        <f>IFERROR(__xludf.DUMMYFUNCTION("QUERY('Volunteer Survey'!E157)"),"kmaloney1@som.umaryland.edu")</f>
        <v>kmaloney1@som.umaryland.edu</v>
      </c>
      <c r="AE158" s="183" t="str">
        <f>IFERROR(__xludf.DUMMYFUNCTION("QUERY('Volunteer Survey'!F157)"),"Genetic counselor")</f>
        <v>Genetic counselor</v>
      </c>
      <c r="AF158" s="183" t="str">
        <f>IFERROR(__xludf.DUMMYFUNCTION("QUERY('Volunteer Survey'!G157)"),"ClinGen affiliated emails and/or newsletters")</f>
        <v>ClinGen affiliated emails and/or newsletters</v>
      </c>
      <c r="AG158" s="183" t="str">
        <f>IFERROR(__xludf.DUMMYFUNCTION("QUERY('Volunteer Survey'!H157)"),"Baseline")</f>
        <v>Baseline</v>
      </c>
      <c r="AH158" s="183" t="str">
        <f>IFERROR(__xludf.DUMMYFUNCTION("QUERY('Volunteer Survey'!I157)"),"Somatic Cancer")</f>
        <v>Somatic Cancer</v>
      </c>
      <c r="AI158" s="183" t="str">
        <f>IFERROR(__xludf.DUMMYFUNCTION("QUERY('Volunteer Survey'!J157)"),"")</f>
        <v/>
      </c>
      <c r="AJ158" s="183" t="str">
        <f>IFERROR(__xludf.DUMMYFUNCTION("QUERY('Volunteer Survey'!K157)"),"")</f>
        <v/>
      </c>
      <c r="AK158" s="183" t="str">
        <f>IFERROR(__xludf.DUMMYFUNCTION("QUERY('Volunteer Survey'!L157)"),"")</f>
        <v/>
      </c>
      <c r="AL158" s="183" t="str">
        <f>IFERROR(__xludf.DUMMYFUNCTION("QUERY('Volunteer Survey'!M157)"),"")</f>
        <v/>
      </c>
      <c r="AM158" s="183" t="str">
        <f>IFERROR(__xludf.DUMMYFUNCTION("QUERY('Volunteer Survey'!N157)"),"I don't have much experience with somatic variant interpretation, but am a biocurator on the monogenic diabetes expert panel.")</f>
        <v>I don't have much experience with somatic variant interpretation, but am a biocurator on the monogenic diabetes expert panel.</v>
      </c>
      <c r="AN158" s="183" t="str">
        <f>IFERROR(__xludf.DUMMYFUNCTION("QUERY('Volunteer Survey'!O157)"),"No")</f>
        <v>No</v>
      </c>
      <c r="AO158" s="183" t="str">
        <f>IFERROR(__xludf.DUMMYFUNCTION("QUERY('Volunteer Survey'!P157)"),"Somatic cancer (am already on the monogenic diabetes expert panel)")</f>
        <v>Somatic cancer (am already on the monogenic diabetes expert panel)</v>
      </c>
    </row>
    <row r="159">
      <c r="A159" s="50">
        <f>IFERROR(__xludf.DUMMYFUNCTION("QUERY('Volunteer Survey'!A166)"),43564.694213055554)</f>
        <v>43564.69421</v>
      </c>
      <c r="B159" s="48" t="s">
        <v>108</v>
      </c>
      <c r="C159" s="53"/>
      <c r="D159" s="65">
        <v>43692.0</v>
      </c>
      <c r="E159" s="48" t="s">
        <v>117</v>
      </c>
      <c r="F159" s="48" t="s">
        <v>130</v>
      </c>
      <c r="G159" s="48" t="s">
        <v>122</v>
      </c>
      <c r="H159" s="53"/>
      <c r="I159" s="51" t="s">
        <v>139</v>
      </c>
      <c r="J159" s="55"/>
      <c r="K159" s="55"/>
      <c r="L159" s="55" t="str">
        <f>IFERROR(__xludf.DUMMYFUNCTION("QUERY('Volunteer Survey'!B166)"),"Jun Liao")</f>
        <v>Jun Liao</v>
      </c>
      <c r="M159" s="55" t="str">
        <f>IFERROR(__xludf.DUMMYFUNCTION("QUERY('Volunteer Survey'!E166)"),"jl5098@cumc.columbia.edu")</f>
        <v>jl5098@cumc.columbia.edu</v>
      </c>
      <c r="N159" s="55" t="str">
        <f>IFERROR(__xludf.DUMMYFUNCTION("QUERY('Volunteer Survey'!F166)"),"Clinical laboratory geneticist")</f>
        <v>Clinical laboratory geneticist</v>
      </c>
      <c r="O159" s="48" t="str">
        <f>IFERROR(__xludf.DUMMYFUNCTION("QUERY('Volunteer Survey'!H166)"),"Comprehensive")</f>
        <v>Comprehensive</v>
      </c>
      <c r="P159" s="55" t="str">
        <f>IFERROR(__xludf.DUMMYFUNCTION("QUERY('Volunteer Survey'!I166)"),"Gene-Disease Validity")</f>
        <v>Gene-Disease Validity</v>
      </c>
      <c r="Q159" s="60" t="str">
        <f>IFERROR(__xludf.DUMMYFUNCTION("QUERY('Volunteer Survey'!J166)"),"Variant Pathogenicity")</f>
        <v>Variant Pathogenicity</v>
      </c>
      <c r="R159" s="55" t="str">
        <f>IFERROR(__xludf.DUMMYFUNCTION("QUERY('Volunteer Survey'!K166)"),"Dosage Sensitivity")</f>
        <v>Dosage Sensitivity</v>
      </c>
      <c r="S159" s="55" t="str">
        <f>IFERROR(__xludf.DUMMYFUNCTION("QUERY('Volunteer Survey'!L166)"),"Clinical Actionability")</f>
        <v>Clinical Actionability</v>
      </c>
      <c r="T159" s="55" t="str">
        <f>IFERROR(__xludf.DUMMYFUNCTION("QUERY('Volunteer Survey'!M166)"),"Somatic Cancer")</f>
        <v>Somatic Cancer</v>
      </c>
      <c r="U159" s="64" t="str">
        <f>IFERROR(__xludf.DUMMYFUNCTION("QUERY('Volunteer Survey'!N166)"),"As a laboratory director, I sign out WES, NGS panel, and microarray cases daily. So I am very familiar with curation activities for variant pathogenicity, gene-disease validity, and dosage sensitivity.")</f>
        <v>As a laboratory director, I sign out WES, NGS panel, and microarray cases daily. So I am very familiar with curation activities for variant pathogenicity, gene-disease validity, and dosage sensitivity.</v>
      </c>
      <c r="V159" s="55" t="str">
        <f>IFERROR(__xludf.DUMMYFUNCTION("QUERY('Volunteer Survey'!O166)"),"Yes")</f>
        <v>Yes</v>
      </c>
      <c r="W159" s="66" t="str">
        <f>IFERROR(__xludf.DUMMYFUNCTION("QUERY('Volunteer Survey'!P166)"),"1. Lysosomal Storage Disorders VCEP; 2. ID/Autism GCEP")</f>
        <v>1. Lysosomal Storage Disorders VCEP; 2. ID/Autism GCEP</v>
      </c>
      <c r="X159" s="64" t="str">
        <f>IFERROR(__xludf.DUMMYFUNCTION("QUERY('Volunteer Survey'!R166)"),"Maybe -- please contact me with other options, and I will decide based on what is available")</f>
        <v>Maybe -- please contact me with other options, and I will decide based on what is available</v>
      </c>
      <c r="Y159" s="53"/>
      <c r="Z159" s="182">
        <f>IFERROR(__xludf.DUMMYFUNCTION("QUERY('Volunteer Survey'!A158)"),43560.988255763885)</f>
        <v>43560.98826</v>
      </c>
      <c r="AA159" s="183" t="str">
        <f>IFERROR(__xludf.DUMMYFUNCTION("QUERY('Volunteer Survey'!B158)"),"HECTOR RODRIGO MENDEZ")</f>
        <v>HECTOR RODRIGO MENDEZ</v>
      </c>
      <c r="AB159" s="183" t="str">
        <f>IFERROR(__xludf.DUMMYFUNCTION("QUERY('Volunteer Survey'!C158)"),"National Medical Genetics Centre")</f>
        <v>National Medical Genetics Centre</v>
      </c>
      <c r="AC159" s="183" t="str">
        <f>IFERROR(__xludf.DUMMYFUNCTION("QUERY('Volunteer Survey'!D158)"),"Las Heras 2670")</f>
        <v>Las Heras 2670</v>
      </c>
      <c r="AD159" s="183" t="str">
        <f>IFERROR(__xludf.DUMMYFUNCTION("QUERY('Volunteer Survey'!E158)"),"rodrigomendezh@gmail.com")</f>
        <v>rodrigomendezh@gmail.com</v>
      </c>
      <c r="AE159" s="183" t="str">
        <f>IFERROR(__xludf.DUMMYFUNCTION("QUERY('Volunteer Survey'!F158)"),"Clinical Medical Geneticist")</f>
        <v>Clinical Medical Geneticist</v>
      </c>
      <c r="AF159" s="183" t="str">
        <f>IFERROR(__xludf.DUMMYFUNCTION("QUERY('Volunteer Survey'!G158)"),"The clinicalgenome.org website")</f>
        <v>The clinicalgenome.org website</v>
      </c>
      <c r="AG159" s="183" t="str">
        <f>IFERROR(__xludf.DUMMYFUNCTION("QUERY('Volunteer Survey'!H158)"),"Comprehensive")</f>
        <v>Comprehensive</v>
      </c>
      <c r="AH159" s="183" t="str">
        <f>IFERROR(__xludf.DUMMYFUNCTION("QUERY('Volunteer Survey'!I158)"),"Gene-Disease Validity")</f>
        <v>Gene-Disease Validity</v>
      </c>
      <c r="AI159" s="183" t="str">
        <f>IFERROR(__xludf.DUMMYFUNCTION("QUERY('Volunteer Survey'!J158)"),"Variant Pathogenicity")</f>
        <v>Variant Pathogenicity</v>
      </c>
      <c r="AJ159" s="183" t="str">
        <f>IFERROR(__xludf.DUMMYFUNCTION("QUERY('Volunteer Survey'!K158)"),"Clinical Actionability")</f>
        <v>Clinical Actionability</v>
      </c>
      <c r="AK159" s="183" t="str">
        <f>IFERROR(__xludf.DUMMYFUNCTION("QUERY('Volunteer Survey'!L158)"),"")</f>
        <v/>
      </c>
      <c r="AL159" s="183" t="str">
        <f>IFERROR(__xludf.DUMMYFUNCTION("QUERY('Volunteer Survey'!M158)"),"")</f>
        <v/>
      </c>
      <c r="AM159" s="183" t="str">
        <f>IFERROR(__xludf.DUMMYFUNCTION("QUERY('Volunteer Survey'!N158)"),"My Master´s thesis project was about the utility of whole Exome sequencing in some patient in the NICU.")</f>
        <v>My Master´s thesis project was about the utility of whole Exome sequencing in some patient in the NICU.</v>
      </c>
      <c r="AN159" s="183" t="str">
        <f>IFERROR(__xludf.DUMMYFUNCTION("QUERY('Volunteer Survey'!O158)"),"Possibly")</f>
        <v>Possibly</v>
      </c>
      <c r="AO159" s="183" t="str">
        <f>IFERROR(__xludf.DUMMYFUNCTION("QUERY('Volunteer Survey'!P158)"),"Intellectual Disability and Autism, RASopathy")</f>
        <v>Intellectual Disability and Autism, RASopathy</v>
      </c>
    </row>
    <row r="160">
      <c r="A160" s="50">
        <f>IFERROR(__xludf.DUMMYFUNCTION("QUERY('Volunteer Survey'!A167)"),43564.71066725694)</f>
        <v>43564.71067</v>
      </c>
      <c r="B160" s="48" t="s">
        <v>108</v>
      </c>
      <c r="C160" s="53"/>
      <c r="D160" s="65">
        <v>43585.0</v>
      </c>
      <c r="E160" s="48" t="s">
        <v>117</v>
      </c>
      <c r="F160" s="48" t="s">
        <v>117</v>
      </c>
      <c r="G160" s="48" t="s">
        <v>122</v>
      </c>
      <c r="H160" s="51" t="s">
        <v>123</v>
      </c>
      <c r="I160" s="51" t="s">
        <v>139</v>
      </c>
      <c r="J160" s="56">
        <v>43712.0</v>
      </c>
      <c r="K160" s="56"/>
      <c r="L160" s="55" t="str">
        <f>IFERROR(__xludf.DUMMYFUNCTION("QUERY('Volunteer Survey'!B167)"),"Maki Kaneko")</f>
        <v>Maki Kaneko</v>
      </c>
      <c r="M160" s="55" t="str">
        <f>IFERROR(__xludf.DUMMYFUNCTION("QUERY('Volunteer Survey'!E167)"),"mkaneko@chla.usc.edu")</f>
        <v>mkaneko@chla.usc.edu</v>
      </c>
      <c r="N160" s="55" t="str">
        <f>IFERROR(__xludf.DUMMYFUNCTION("QUERY('Volunteer Survey'!F167)"),"Genetic counselor")</f>
        <v>Genetic counselor</v>
      </c>
      <c r="O160" s="48" t="str">
        <f>IFERROR(__xludf.DUMMYFUNCTION("QUERY('Volunteer Survey'!H167)"),"Comprehensive")</f>
        <v>Comprehensive</v>
      </c>
      <c r="P160" s="55" t="str">
        <f>IFERROR(__xludf.DUMMYFUNCTION("QUERY('Volunteer Survey'!I167)"),"Gene-Disease Validity")</f>
        <v>Gene-Disease Validity</v>
      </c>
      <c r="Q160" s="60" t="str">
        <f>IFERROR(__xludf.DUMMYFUNCTION("QUERY('Volunteer Survey'!J167)"),"Variant Pathogenicity")</f>
        <v>Variant Pathogenicity</v>
      </c>
      <c r="R160" s="55" t="str">
        <f>IFERROR(__xludf.DUMMYFUNCTION("QUERY('Volunteer Survey'!K167)"),"Clinical Actionability")</f>
        <v>Clinical Actionability</v>
      </c>
      <c r="S160" s="55" t="str">
        <f>IFERROR(__xludf.DUMMYFUNCTION("QUERY('Volunteer Survey'!L167)"),"Dosage Sensitivity")</f>
        <v>Dosage Sensitivity</v>
      </c>
      <c r="T160" s="55" t="str">
        <f>IFERROR(__xludf.DUMMYFUNCTION("QUERY('Volunteer Survey'!M167)"),"Somatic Cancer")</f>
        <v>Somatic Cancer</v>
      </c>
      <c r="U160" s="64" t="str">
        <f>IFERROR(__xludf.DUMMYFUNCTION("QUERY('Volunteer Survey'!N167)"),"")</f>
        <v/>
      </c>
      <c r="V160" s="55" t="str">
        <f>IFERROR(__xludf.DUMMYFUNCTION("QUERY('Volunteer Survey'!O167)"),"No")</f>
        <v>No</v>
      </c>
      <c r="W160" s="66" t="str">
        <f>IFERROR(__xludf.DUMMYFUNCTION("QUERY('Volunteer Survey'!P167)"),"Epilepsy")</f>
        <v>Epilepsy</v>
      </c>
      <c r="X160" s="64" t="str">
        <f>IFERROR(__xludf.DUMMYFUNCTION("QUERY('Volunteer Survey'!R167)"),"Maybe -- please contact me with other options, and I will decide based on what is available")</f>
        <v>Maybe -- please contact me with other options, and I will decide based on what is available</v>
      </c>
      <c r="Y160" s="53"/>
      <c r="Z160" s="182">
        <f>IFERROR(__xludf.DUMMYFUNCTION("QUERY('Volunteer Survey'!A159)"),43562.74876119213)</f>
        <v>43562.74876</v>
      </c>
      <c r="AA160" s="183" t="str">
        <f>IFERROR(__xludf.DUMMYFUNCTION("QUERY('Volunteer Survey'!B159)"),"M.I. anwar")</f>
        <v>M.I. anwar</v>
      </c>
      <c r="AB160" s="183" t="str">
        <f>IFERROR(__xludf.DUMMYFUNCTION("QUERY('Volunteer Survey'!C159)"),"lahore leads university")</f>
        <v>lahore leads university</v>
      </c>
      <c r="AC160" s="183" t="str">
        <f>IFERROR(__xludf.DUMMYFUNCTION("QUERY('Volunteer Survey'!D159)"),"pakistan")</f>
        <v>pakistan</v>
      </c>
      <c r="AD160" s="183" t="str">
        <f>IFERROR(__xludf.DUMMYFUNCTION("QUERY('Volunteer Survey'!E159)"),"mimtiazanwar@gmail.com")</f>
        <v>mimtiazanwar@gmail.com</v>
      </c>
      <c r="AE160" s="183" t="str">
        <f>IFERROR(__xludf.DUMMYFUNCTION("QUERY('Volunteer Survey'!F159)"),"Scientific Researcher")</f>
        <v>Scientific Researcher</v>
      </c>
      <c r="AF160" s="183" t="str">
        <f>IFERROR(__xludf.DUMMYFUNCTION("QUERY('Volunteer Survey'!G159)"),"Networking")</f>
        <v>Networking</v>
      </c>
      <c r="AG160" s="183" t="str">
        <f>IFERROR(__xludf.DUMMYFUNCTION("QUERY('Volunteer Survey'!H159)"),"Baseline")</f>
        <v>Baseline</v>
      </c>
      <c r="AH160" s="183" t="str">
        <f>IFERROR(__xludf.DUMMYFUNCTION("QUERY('Volunteer Survey'!I159)"),"Clinical Actionability")</f>
        <v>Clinical Actionability</v>
      </c>
      <c r="AI160" s="183" t="str">
        <f>IFERROR(__xludf.DUMMYFUNCTION("QUERY('Volunteer Survey'!J159)"),"")</f>
        <v/>
      </c>
      <c r="AJ160" s="183" t="str">
        <f>IFERROR(__xludf.DUMMYFUNCTION("QUERY('Volunteer Survey'!K159)"),"")</f>
        <v/>
      </c>
      <c r="AK160" s="183" t="str">
        <f>IFERROR(__xludf.DUMMYFUNCTION("QUERY('Volunteer Survey'!L159)"),"")</f>
        <v/>
      </c>
      <c r="AL160" s="183" t="str">
        <f>IFERROR(__xludf.DUMMYFUNCTION("QUERY('Volunteer Survey'!M159)"),"")</f>
        <v/>
      </c>
      <c r="AM160" s="183" t="str">
        <f>IFERROR(__xludf.DUMMYFUNCTION("QUERY('Volunteer Survey'!N159)"),"")</f>
        <v/>
      </c>
      <c r="AN160" s="183" t="str">
        <f>IFERROR(__xludf.DUMMYFUNCTION("QUERY('Volunteer Survey'!O159)"),"Yes")</f>
        <v>Yes</v>
      </c>
      <c r="AO160" s="183" t="str">
        <f>IFERROR(__xludf.DUMMYFUNCTION("QUERY('Volunteer Survey'!P159)"),"YES I AM")</f>
        <v>YES I AM</v>
      </c>
    </row>
    <row r="161">
      <c r="A161" s="50">
        <f>IFERROR(__xludf.DUMMYFUNCTION("QUERY('Volunteer Survey'!A168)"),43564.76043560185)</f>
        <v>43564.76044</v>
      </c>
      <c r="B161" s="48" t="s">
        <v>108</v>
      </c>
      <c r="C161" s="53"/>
      <c r="D161" s="55"/>
      <c r="E161" s="48" t="s">
        <v>130</v>
      </c>
      <c r="F161" s="48" t="s">
        <v>130</v>
      </c>
      <c r="G161" s="48" t="s">
        <v>202</v>
      </c>
      <c r="H161" s="53"/>
      <c r="I161" s="51" t="s">
        <v>139</v>
      </c>
      <c r="J161" s="55"/>
      <c r="K161" s="55"/>
      <c r="L161" s="55" t="str">
        <f>IFERROR(__xludf.DUMMYFUNCTION("QUERY('Volunteer Survey'!B168)"),"Emma Leach")</f>
        <v>Emma Leach</v>
      </c>
      <c r="M161" s="55" t="str">
        <f>IFERROR(__xludf.DUMMYFUNCTION("QUERY('Volunteer Survey'!E168)"),"eleach@providencehealth.bc.ca")</f>
        <v>eleach@providencehealth.bc.ca</v>
      </c>
      <c r="N161" s="55" t="str">
        <f>IFERROR(__xludf.DUMMYFUNCTION("QUERY('Volunteer Survey'!F168)"),"Genetic counselor")</f>
        <v>Genetic counselor</v>
      </c>
      <c r="O161" s="48" t="str">
        <f>IFERROR(__xludf.DUMMYFUNCTION("QUERY('Volunteer Survey'!H168)"),"Baseline")</f>
        <v>Baseline</v>
      </c>
      <c r="P161" s="55" t="str">
        <f>IFERROR(__xludf.DUMMYFUNCTION("QUERY('Volunteer Survey'!I168)"),"Clinical Actionability")</f>
        <v>Clinical Actionability</v>
      </c>
      <c r="Q161" s="60" t="str">
        <f>IFERROR(__xludf.DUMMYFUNCTION("QUERY('Volunteer Survey'!J168)"),"Gene-Disease Validity")</f>
        <v>Gene-Disease Validity</v>
      </c>
      <c r="R161" s="55" t="str">
        <f>IFERROR(__xludf.DUMMYFUNCTION("QUERY('Volunteer Survey'!K168)"),"Variant Pathogenicity")</f>
        <v>Variant Pathogenicity</v>
      </c>
      <c r="S161" s="55" t="str">
        <f>IFERROR(__xludf.DUMMYFUNCTION("QUERY('Volunteer Survey'!L168)"),"Somatic Cancer")</f>
        <v>Somatic Cancer</v>
      </c>
      <c r="T161" s="55" t="str">
        <f>IFERROR(__xludf.DUMMYFUNCTION("QUERY('Volunteer Survey'!M168)"),"Dosage Sensitivity")</f>
        <v>Dosage Sensitivity</v>
      </c>
      <c r="U161" s="64" t="str">
        <f>IFERROR(__xludf.DUMMYFUNCTION("QUERY('Volunteer Survey'!N168)"),"previously published systematic literature review")</f>
        <v>previously published systematic literature review</v>
      </c>
      <c r="V161" s="55" t="str">
        <f>IFERROR(__xludf.DUMMYFUNCTION("QUERY('Volunteer Survey'!O168)"),"Yes")</f>
        <v>Yes</v>
      </c>
      <c r="W161" s="66" t="str">
        <f>IFERROR(__xludf.DUMMYFUNCTION("QUERY('Volunteer Survey'!P168)"),"cardiomyopathy")</f>
        <v>cardiomyopathy</v>
      </c>
      <c r="X161" s="64" t="str">
        <f>IFERROR(__xludf.DUMMYFUNCTION("QUERY('Volunteer Survey'!R168)"),"Yes- I am willing to volunteer with any available ClinGen group")</f>
        <v>Yes- I am willing to volunteer with any available ClinGen group</v>
      </c>
      <c r="Y161" s="53"/>
      <c r="Z161" s="182">
        <f>IFERROR(__xludf.DUMMYFUNCTION("QUERY('Volunteer Survey'!A160)"),43563.39827228009)</f>
        <v>43563.39827</v>
      </c>
      <c r="AA161" s="183" t="str">
        <f>IFERROR(__xludf.DUMMYFUNCTION("QUERY('Volunteer Survey'!B160)"),"Karen Hanson")</f>
        <v>Karen Hanson</v>
      </c>
      <c r="AB161" s="183" t="str">
        <f>IFERROR(__xludf.DUMMYFUNCTION("QUERY('Volunteer Survey'!C160)"),"ICF international, ")</f>
        <v>ICF international, </v>
      </c>
      <c r="AC161" s="183" t="str">
        <f>IFERROR(__xludf.DUMMYFUNCTION("QUERY('Volunteer Survey'!D160)"),"12256 CARROLL MILL RD")</f>
        <v>12256 CARROLL MILL RD</v>
      </c>
      <c r="AD161" s="183" t="str">
        <f>IFERROR(__xludf.DUMMYFUNCTION("QUERY('Volunteer Survey'!E160)"),"krhms3@gmail.com")</f>
        <v>krhms3@gmail.com</v>
      </c>
      <c r="AE161" s="183" t="str">
        <f>IFERROR(__xludf.DUMMYFUNCTION("QUERY('Volunteer Survey'!F160)"),"Genetic counselor")</f>
        <v>Genetic counselor</v>
      </c>
      <c r="AF161" s="183" t="str">
        <f>IFERROR(__xludf.DUMMYFUNCTION("QUERY('Volunteer Survey'!G160)"),"ACMG Conference 2019")</f>
        <v>ACMG Conference 2019</v>
      </c>
      <c r="AG161" s="183" t="str">
        <f>IFERROR(__xludf.DUMMYFUNCTION("QUERY('Volunteer Survey'!H160)"),"Comprehensive")</f>
        <v>Comprehensive</v>
      </c>
      <c r="AH161" s="183" t="str">
        <f>IFERROR(__xludf.DUMMYFUNCTION("QUERY('Volunteer Survey'!I160)"),"Clinical Actionability")</f>
        <v>Clinical Actionability</v>
      </c>
      <c r="AI161" s="183" t="str">
        <f>IFERROR(__xludf.DUMMYFUNCTION("QUERY('Volunteer Survey'!J160)"),"Gene-Disease Validity")</f>
        <v>Gene-Disease Validity</v>
      </c>
      <c r="AJ161" s="183" t="str">
        <f>IFERROR(__xludf.DUMMYFUNCTION("QUERY('Volunteer Survey'!K160)"),"Somatic Cancer")</f>
        <v>Somatic Cancer</v>
      </c>
      <c r="AK161" s="183" t="str">
        <f>IFERROR(__xludf.DUMMYFUNCTION("QUERY('Volunteer Survey'!L160)"),"")</f>
        <v/>
      </c>
      <c r="AL161" s="183" t="str">
        <f>IFERROR(__xludf.DUMMYFUNCTION("QUERY('Volunteer Survey'!M160)"),"")</f>
        <v/>
      </c>
      <c r="AM161" s="183" t="str">
        <f>IFERROR(__xludf.DUMMYFUNCTION("QUERY('Volunteer Survey'!N160)"),"n/a")</f>
        <v>n/a</v>
      </c>
      <c r="AN161" s="183" t="str">
        <f>IFERROR(__xludf.DUMMYFUNCTION("QUERY('Volunteer Survey'!O160)"),"Possibly")</f>
        <v>Possibly</v>
      </c>
      <c r="AO161" s="183" t="str">
        <f>IFERROR(__xludf.DUMMYFUNCTION("QUERY('Volunteer Survey'!P160)"),"brain malformations, cancer")</f>
        <v>brain malformations, cancer</v>
      </c>
    </row>
    <row r="162">
      <c r="A162" s="50">
        <f>IFERROR(__xludf.DUMMYFUNCTION("QUERY('Volunteer Survey'!A169)"),43565.61995707176)</f>
        <v>43565.61996</v>
      </c>
      <c r="B162" s="48" t="s">
        <v>108</v>
      </c>
      <c r="C162" s="53"/>
      <c r="D162" s="55"/>
      <c r="E162" s="48" t="s">
        <v>130</v>
      </c>
      <c r="F162" s="48" t="s">
        <v>130</v>
      </c>
      <c r="G162" s="48" t="s">
        <v>202</v>
      </c>
      <c r="H162" s="53"/>
      <c r="I162" s="51" t="s">
        <v>139</v>
      </c>
      <c r="J162" s="55"/>
      <c r="K162" s="55"/>
      <c r="L162" s="55" t="str">
        <f>IFERROR(__xludf.DUMMYFUNCTION("QUERY('Volunteer Survey'!B169)"),"Megan Lynch")</f>
        <v>Megan Lynch</v>
      </c>
      <c r="M162" s="55" t="str">
        <f>IFERROR(__xludf.DUMMYFUNCTION("QUERY('Volunteer Survey'!E169)"),"megan.lynch@umaryland.edu")</f>
        <v>megan.lynch@umaryland.edu</v>
      </c>
      <c r="N162" s="55" t="str">
        <f>IFERROR(__xludf.DUMMYFUNCTION("QUERY('Volunteer Survey'!F169)"),"Graduate Student")</f>
        <v>Graduate Student</v>
      </c>
      <c r="O162" s="48" t="str">
        <f>IFERROR(__xludf.DUMMYFUNCTION("QUERY('Volunteer Survey'!H169)"),"Baseline")</f>
        <v>Baseline</v>
      </c>
      <c r="P162" s="55" t="str">
        <f>IFERROR(__xludf.DUMMYFUNCTION("QUERY('Volunteer Survey'!I169)"),"Dosage Sensitivity")</f>
        <v>Dosage Sensitivity</v>
      </c>
      <c r="Q162" s="60" t="str">
        <f>IFERROR(__xludf.DUMMYFUNCTION("QUERY('Volunteer Survey'!J169)"),"Variant Pathogenicity")</f>
        <v>Variant Pathogenicity</v>
      </c>
      <c r="R162" s="55" t="str">
        <f>IFERROR(__xludf.DUMMYFUNCTION("QUERY('Volunteer Survey'!K169)"),"Clinical Actionability")</f>
        <v>Clinical Actionability</v>
      </c>
      <c r="S162" s="55" t="str">
        <f>IFERROR(__xludf.DUMMYFUNCTION("QUERY('Volunteer Survey'!L169)"),"")</f>
        <v/>
      </c>
      <c r="T162" s="55" t="str">
        <f>IFERROR(__xludf.DUMMYFUNCTION("QUERY('Volunteer Survey'!M169)"),"")</f>
        <v/>
      </c>
      <c r="U162" s="64" t="str">
        <f>IFERROR(__xludf.DUMMYFUNCTION("QUERY('Volunteer Survey'!N169)"),"")</f>
        <v/>
      </c>
      <c r="V162" s="55" t="str">
        <f>IFERROR(__xludf.DUMMYFUNCTION("QUERY('Volunteer Survey'!O169)"),"Possibly")</f>
        <v>Possibly</v>
      </c>
      <c r="W162" s="66" t="str">
        <f>IFERROR(__xludf.DUMMYFUNCTION("QUERY('Volunteer Survey'!P169)"),"any of the cardiovascular working groups")</f>
        <v>any of the cardiovascular working groups</v>
      </c>
      <c r="X162" s="64" t="str">
        <f>IFERROR(__xludf.DUMMYFUNCTION("QUERY('Volunteer Survey'!R169)"),"No - I am only interested in the group(s) I previously indicated")</f>
        <v>No - I am only interested in the group(s) I previously indicated</v>
      </c>
      <c r="Y162" s="53"/>
      <c r="Z162" s="182">
        <f>IFERROR(__xludf.DUMMYFUNCTION("QUERY('Volunteer Survey'!A161)"),43563.56040282408)</f>
        <v>43563.5604</v>
      </c>
      <c r="AA162" s="183" t="str">
        <f>IFERROR(__xludf.DUMMYFUNCTION("QUERY('Volunteer Survey'!B161)"),"Daniel Reich")</f>
        <v>Daniel Reich</v>
      </c>
      <c r="AB162" s="183" t="str">
        <f>IFERROR(__xludf.DUMMYFUNCTION("QUERY('Volunteer Survey'!C161)"),"ARUP Laboratories")</f>
        <v>ARUP Laboratories</v>
      </c>
      <c r="AC162" s="183" t="str">
        <f>IFERROR(__xludf.DUMMYFUNCTION("QUERY('Volunteer Survey'!D161)"),"500 Chipeta Way, Salt Lake City, UT 84108")</f>
        <v>500 Chipeta Way, Salt Lake City, UT 84108</v>
      </c>
      <c r="AD162" s="183" t="str">
        <f>IFERROR(__xludf.DUMMYFUNCTION("QUERY('Volunteer Survey'!E161)"),"daniel.reich@aruplab.com")</f>
        <v>daniel.reich@aruplab.com</v>
      </c>
      <c r="AE162" s="183" t="str">
        <f>IFERROR(__xludf.DUMMYFUNCTION("QUERY('Volunteer Survey'!F161)"),"Variant Analyst/Scientist - Industry")</f>
        <v>Variant Analyst/Scientist - Industry</v>
      </c>
      <c r="AF162" s="183" t="str">
        <f>IFERROR(__xludf.DUMMYFUNCTION("QUERY('Volunteer Survey'!G161)"),"ACMG Conference 2019, Colleagues")</f>
        <v>ACMG Conference 2019, Colleagues</v>
      </c>
      <c r="AG162" s="183" t="str">
        <f>IFERROR(__xludf.DUMMYFUNCTION("QUERY('Volunteer Survey'!H161)"),"Comprehensive")</f>
        <v>Comprehensive</v>
      </c>
      <c r="AH162" s="183" t="str">
        <f>IFERROR(__xludf.DUMMYFUNCTION("QUERY('Volunteer Survey'!I161)"),"Variant Pathogenicity")</f>
        <v>Variant Pathogenicity</v>
      </c>
      <c r="AI162" s="183" t="str">
        <f>IFERROR(__xludf.DUMMYFUNCTION("QUERY('Volunteer Survey'!J161)"),"Gene-Disease Validity")</f>
        <v>Gene-Disease Validity</v>
      </c>
      <c r="AJ162" s="183" t="str">
        <f>IFERROR(__xludf.DUMMYFUNCTION("QUERY('Volunteer Survey'!K161)"),"Clinical Actionability")</f>
        <v>Clinical Actionability</v>
      </c>
      <c r="AK162" s="183" t="str">
        <f>IFERROR(__xludf.DUMMYFUNCTION("QUERY('Volunteer Survey'!L161)"),"")</f>
        <v/>
      </c>
      <c r="AL162" s="183" t="str">
        <f>IFERROR(__xludf.DUMMYFUNCTION("QUERY('Volunteer Survey'!M161)"),"")</f>
        <v/>
      </c>
      <c r="AM162" s="183" t="str">
        <f>IFERROR(__xludf.DUMMYFUNCTION("QUERY('Volunteer Survey'!N161)"),"As a variant scientist, I have been doing variant classification for clinical genetics tests for ~10 months. I have been involved in discussing gene-disease validity, though only for the last 1-2 months.")</f>
        <v>As a variant scientist, I have been doing variant classification for clinical genetics tests for ~10 months. I have been involved in discussing gene-disease validity, though only for the last 1-2 months.</v>
      </c>
      <c r="AN162" s="183" t="str">
        <f>IFERROR(__xludf.DUMMYFUNCTION("QUERY('Volunteer Survey'!O161)"),"No")</f>
        <v>No</v>
      </c>
      <c r="AO162" s="183" t="str">
        <f>IFERROR(__xludf.DUMMYFUNCTION("QUERY('Volunteer Survey'!P161)"),"Cerebral Creatine Deficiency Syndromes")</f>
        <v>Cerebral Creatine Deficiency Syndromes</v>
      </c>
    </row>
    <row r="163">
      <c r="A163" s="50">
        <f>IFERROR(__xludf.DUMMYFUNCTION("QUERY('Volunteer Survey'!A170)"),43566.03965038195)</f>
        <v>43566.03965</v>
      </c>
      <c r="B163" s="48" t="s">
        <v>160</v>
      </c>
      <c r="C163" s="53"/>
      <c r="D163" s="56">
        <v>43627.0</v>
      </c>
      <c r="E163" s="48" t="s">
        <v>117</v>
      </c>
      <c r="F163" s="48" t="s">
        <v>117</v>
      </c>
      <c r="G163" s="48" t="s">
        <v>251</v>
      </c>
      <c r="H163" s="51" t="s">
        <v>311</v>
      </c>
      <c r="I163" s="51" t="s">
        <v>139</v>
      </c>
      <c r="J163" s="56">
        <v>43712.0</v>
      </c>
      <c r="K163" s="56"/>
      <c r="L163" s="55" t="str">
        <f>IFERROR(__xludf.DUMMYFUNCTION("QUERY('Volunteer Survey'!B170)"),"Suvina To")</f>
        <v>Suvina To</v>
      </c>
      <c r="M163" s="55" t="str">
        <f>IFERROR(__xludf.DUMMYFUNCTION("QUERY('Volunteer Survey'!E170)"),"suvina@gmail.com")</f>
        <v>suvina@gmail.com</v>
      </c>
      <c r="N163" s="55" t="str">
        <f>IFERROR(__xludf.DUMMYFUNCTION("QUERY('Volunteer Survey'!F170)"),"Variant Analyst/Scientist - Industry")</f>
        <v>Variant Analyst/Scientist - Industry</v>
      </c>
      <c r="O163" s="48" t="str">
        <f>IFERROR(__xludf.DUMMYFUNCTION("QUERY('Volunteer Survey'!H170)"),"Comprehensive")</f>
        <v>Comprehensive</v>
      </c>
      <c r="P163" s="55" t="str">
        <f>IFERROR(__xludf.DUMMYFUNCTION("QUERY('Volunteer Survey'!I170)"),"Variant Pathogenicity")</f>
        <v>Variant Pathogenicity</v>
      </c>
      <c r="Q163" s="60" t="str">
        <f>IFERROR(__xludf.DUMMYFUNCTION("QUERY('Volunteer Survey'!J170)"),"Dosage Sensitivity")</f>
        <v>Dosage Sensitivity</v>
      </c>
      <c r="R163" s="55" t="str">
        <f>IFERROR(__xludf.DUMMYFUNCTION("QUERY('Volunteer Survey'!K170)"),"Gene-Disease Validity")</f>
        <v>Gene-Disease Validity</v>
      </c>
      <c r="S163" s="55" t="str">
        <f>IFERROR(__xludf.DUMMYFUNCTION("QUERY('Volunteer Survey'!L170)"),"Clinical Actionability")</f>
        <v>Clinical Actionability</v>
      </c>
      <c r="T163" s="55" t="str">
        <f>IFERROR(__xludf.DUMMYFUNCTION("QUERY('Volunteer Survey'!M170)"),"Somatic Cancer")</f>
        <v>Somatic Cancer</v>
      </c>
      <c r="U163" s="64" t="str">
        <f>IFERROR(__xludf.DUMMYFUNCTION("QUERY('Volunteer Survey'!N170)"),"I am a variant curation specialist in my company")</f>
        <v>I am a variant curation specialist in my company</v>
      </c>
      <c r="V163" s="55" t="str">
        <f>IFERROR(__xludf.DUMMYFUNCTION("QUERY('Volunteer Survey'!O170)"),"Possibly")</f>
        <v>Possibly</v>
      </c>
      <c r="W163" s="66" t="str">
        <f>IFERROR(__xludf.DUMMYFUNCTION("QUERY('Volunteer Survey'!P170)"),"monogenic diabetes")</f>
        <v>monogenic diabetes</v>
      </c>
      <c r="X163" s="64" t="str">
        <f>IFERROR(__xludf.DUMMYFUNCTION("QUERY('Volunteer Survey'!R170)"),"Yes- I am willing to volunteer with any available ClinGen group")</f>
        <v>Yes- I am willing to volunteer with any available ClinGen group</v>
      </c>
      <c r="Y163" s="53"/>
      <c r="Z163" s="182">
        <f>IFERROR(__xludf.DUMMYFUNCTION("QUERY('Volunteer Survey'!A162)"),43563.61847023148)</f>
        <v>43563.61847</v>
      </c>
      <c r="AA163" s="183" t="str">
        <f>IFERROR(__xludf.DUMMYFUNCTION("QUERY('Volunteer Survey'!B162)"),"Christine Preston")</f>
        <v>Christine Preston</v>
      </c>
      <c r="AB163" s="183" t="str">
        <f>IFERROR(__xludf.DUMMYFUNCTION("QUERY('Volunteer Survey'!C162)"),"Stanford")</f>
        <v>Stanford</v>
      </c>
      <c r="AC163" s="183" t="str">
        <f>IFERROR(__xludf.DUMMYFUNCTION("QUERY('Volunteer Survey'!D162)"),"")</f>
        <v/>
      </c>
      <c r="AD163" s="183" t="str">
        <f>IFERROR(__xludf.DUMMYFUNCTION("QUERY('Volunteer Survey'!E162)"),"christip@stanford.edu")</f>
        <v>christip@stanford.edu</v>
      </c>
      <c r="AE163" s="183" t="str">
        <f>IFERROR(__xludf.DUMMYFUNCTION("QUERY('Volunteer Survey'!F162)"),"Biocurator")</f>
        <v>Biocurator</v>
      </c>
      <c r="AF163" s="183" t="str">
        <f>IFERROR(__xludf.DUMMYFUNCTION("QUERY('Volunteer Survey'!G162)"),"Networking")</f>
        <v>Networking</v>
      </c>
      <c r="AG163" s="183" t="str">
        <f>IFERROR(__xludf.DUMMYFUNCTION("QUERY('Volunteer Survey'!H162)"),"Comprehensive")</f>
        <v>Comprehensive</v>
      </c>
      <c r="AH163" s="183" t="str">
        <f>IFERROR(__xludf.DUMMYFUNCTION("QUERY('Volunteer Survey'!I162)"),"Dosage Sensitivity")</f>
        <v>Dosage Sensitivity</v>
      </c>
      <c r="AI163" s="183" t="str">
        <f>IFERROR(__xludf.DUMMYFUNCTION("QUERY('Volunteer Survey'!J162)"),"Clinical Actionability")</f>
        <v>Clinical Actionability</v>
      </c>
      <c r="AJ163" s="183" t="str">
        <f>IFERROR(__xludf.DUMMYFUNCTION("QUERY('Volunteer Survey'!K162)"),"Variant Pathogenicity")</f>
        <v>Variant Pathogenicity</v>
      </c>
      <c r="AK163" s="183" t="str">
        <f>IFERROR(__xludf.DUMMYFUNCTION("QUERY('Volunteer Survey'!L162)"),"")</f>
        <v/>
      </c>
      <c r="AL163" s="183" t="str">
        <f>IFERROR(__xludf.DUMMYFUNCTION("QUERY('Volunteer Survey'!M162)"),"")</f>
        <v/>
      </c>
      <c r="AM163" s="183" t="str">
        <f>IFERROR(__xludf.DUMMYFUNCTION("QUERY('Volunteer Survey'!N162)"),"")</f>
        <v/>
      </c>
      <c r="AN163" s="183" t="str">
        <f>IFERROR(__xludf.DUMMYFUNCTION("QUERY('Volunteer Survey'!O162)"),"No")</f>
        <v>No</v>
      </c>
      <c r="AO163" s="183" t="str">
        <f>IFERROR(__xludf.DUMMYFUNCTION("QUERY('Volunteer Survey'!P162)"),"Dosage Sensitivity Working Group")</f>
        <v>Dosage Sensitivity Working Group</v>
      </c>
    </row>
    <row r="164">
      <c r="A164" s="50">
        <f>IFERROR(__xludf.DUMMYFUNCTION("QUERY('Volunteer Survey'!A171)"),43566.525071446755)</f>
        <v>43566.52507</v>
      </c>
      <c r="B164" s="48" t="s">
        <v>160</v>
      </c>
      <c r="C164" s="53"/>
      <c r="D164" s="65">
        <v>43608.0</v>
      </c>
      <c r="E164" s="48" t="s">
        <v>117</v>
      </c>
      <c r="F164" s="48" t="s">
        <v>117</v>
      </c>
      <c r="G164" s="48" t="s">
        <v>251</v>
      </c>
      <c r="H164" s="51" t="s">
        <v>169</v>
      </c>
      <c r="I164" s="51" t="s">
        <v>139</v>
      </c>
      <c r="J164" s="56">
        <v>43712.0</v>
      </c>
      <c r="K164" s="56"/>
      <c r="L164" s="55" t="str">
        <f>IFERROR(__xludf.DUMMYFUNCTION("QUERY('Volunteer Survey'!B171)"),"Lemuel Racacho")</f>
        <v>Lemuel Racacho</v>
      </c>
      <c r="M164" s="55" t="str">
        <f>IFERROR(__xludf.DUMMYFUNCTION("QUERY('Volunteer Survey'!E171)"),"lracacho@cheo.on.ca")</f>
        <v>lracacho@cheo.on.ca</v>
      </c>
      <c r="N164" s="55" t="str">
        <f>IFERROR(__xludf.DUMMYFUNCTION("QUERY('Volunteer Survey'!F171)"),"Post Doc/Resident/Fellow (MD and/or PhD)")</f>
        <v>Post Doc/Resident/Fellow (MD and/or PhD)</v>
      </c>
      <c r="O164" s="48" t="str">
        <f>IFERROR(__xludf.DUMMYFUNCTION("QUERY('Volunteer Survey'!H171)"),"Comprehensive")</f>
        <v>Comprehensive</v>
      </c>
      <c r="P164" s="55" t="str">
        <f>IFERROR(__xludf.DUMMYFUNCTION("QUERY('Volunteer Survey'!I171)"),"Variant Pathogenicity")</f>
        <v>Variant Pathogenicity</v>
      </c>
      <c r="Q164" s="60" t="str">
        <f>IFERROR(__xludf.DUMMYFUNCTION("QUERY('Volunteer Survey'!J171)"),"Gene-Disease Validity")</f>
        <v>Gene-Disease Validity</v>
      </c>
      <c r="R164" s="55" t="str">
        <f>IFERROR(__xludf.DUMMYFUNCTION("QUERY('Volunteer Survey'!K171)"),"Clinical Actionability")</f>
        <v>Clinical Actionability</v>
      </c>
      <c r="S164" s="55" t="str">
        <f>IFERROR(__xludf.DUMMYFUNCTION("QUERY('Volunteer Survey'!L171)"),"Dosage Sensitivity")</f>
        <v>Dosage Sensitivity</v>
      </c>
      <c r="T164" s="55" t="str">
        <f>IFERROR(__xludf.DUMMYFUNCTION("QUERY('Volunteer Survey'!M171)"),"Somatic Cancer")</f>
        <v>Somatic Cancer</v>
      </c>
      <c r="U164" s="64" t="str">
        <f>IFERROR(__xludf.DUMMYFUNCTION("QUERY('Volunteer Survey'!N171)"),"Yes, I currently interpret variants for mitochondrial based disorders")</f>
        <v>Yes, I currently interpret variants for mitochondrial based disorders</v>
      </c>
      <c r="V164" s="55" t="str">
        <f>IFERROR(__xludf.DUMMYFUNCTION("QUERY('Volunteer Survey'!O171)"),"Possibly")</f>
        <v>Possibly</v>
      </c>
      <c r="W164" s="66" t="str">
        <f>IFERROR(__xludf.DUMMYFUNCTION("QUERY('Volunteer Survey'!P171)"),"Inborn errors of metabolism; Low penetrance/risk allele")</f>
        <v>Inborn errors of metabolism; Low penetrance/risk allele</v>
      </c>
      <c r="X164" s="64" t="str">
        <f>IFERROR(__xludf.DUMMYFUNCTION("QUERY('Volunteer Survey'!R171)"),"Yes- I am willing to volunteer with any available ClinGen group")</f>
        <v>Yes- I am willing to volunteer with any available ClinGen group</v>
      </c>
      <c r="Y164" s="53"/>
      <c r="Z164" s="182">
        <f>IFERROR(__xludf.DUMMYFUNCTION("QUERY('Volunteer Survey'!A163)"),43564.41759017361)</f>
        <v>43564.41759</v>
      </c>
      <c r="AA164" s="183" t="str">
        <f>IFERROR(__xludf.DUMMYFUNCTION("QUERY('Volunteer Survey'!B163)"),"Julie Hathaway")</f>
        <v>Julie Hathaway</v>
      </c>
      <c r="AB164" s="183" t="str">
        <f>IFERROR(__xludf.DUMMYFUNCTION("QUERY('Volunteer Survey'!C163)"),"Blueprint Genetics")</f>
        <v>Blueprint Genetics</v>
      </c>
      <c r="AC164" s="183" t="str">
        <f>IFERROR(__xludf.DUMMYFUNCTION("QUERY('Volunteer Survey'!D163)"),"1623 East 2nd Avenue
Apt. 403")</f>
        <v>1623 East 2nd Avenue
Apt. 403</v>
      </c>
      <c r="AD164" s="183" t="str">
        <f>IFERROR(__xludf.DUMMYFUNCTION("QUERY('Volunteer Survey'!E163)"),"julie.hathaway@blueprintgenetics.com")</f>
        <v>julie.hathaway@blueprintgenetics.com</v>
      </c>
      <c r="AE164" s="183" t="str">
        <f>IFERROR(__xludf.DUMMYFUNCTION("QUERY('Volunteer Survey'!F163)"),"Genetic counselor")</f>
        <v>Genetic counselor</v>
      </c>
      <c r="AF164" s="183" t="str">
        <f>IFERROR(__xludf.DUMMYFUNCTION("QUERY('Volunteer Survey'!G163)"),"ACMG Conference 2019, Colleagues")</f>
        <v>ACMG Conference 2019, Colleagues</v>
      </c>
      <c r="AG164" s="183" t="str">
        <f>IFERROR(__xludf.DUMMYFUNCTION("QUERY('Volunteer Survey'!H163)"),"Comprehensive")</f>
        <v>Comprehensive</v>
      </c>
      <c r="AH164" s="183" t="str">
        <f>IFERROR(__xludf.DUMMYFUNCTION("QUERY('Volunteer Survey'!I163)"),"Variant Pathogenicity")</f>
        <v>Variant Pathogenicity</v>
      </c>
      <c r="AI164" s="183" t="str">
        <f>IFERROR(__xludf.DUMMYFUNCTION("QUERY('Volunteer Survey'!J163)"),"Gene-Disease Validity")</f>
        <v>Gene-Disease Validity</v>
      </c>
      <c r="AJ164" s="183" t="str">
        <f>IFERROR(__xludf.DUMMYFUNCTION("QUERY('Volunteer Survey'!K163)"),"Clinical Actionability")</f>
        <v>Clinical Actionability</v>
      </c>
      <c r="AK164" s="183" t="str">
        <f>IFERROR(__xludf.DUMMYFUNCTION("QUERY('Volunteer Survey'!L163)"),"Dosage Sensitivity")</f>
        <v>Dosage Sensitivity</v>
      </c>
      <c r="AL164" s="183" t="str">
        <f>IFERROR(__xludf.DUMMYFUNCTION("QUERY('Volunteer Survey'!M163)"),"Somatic Cancer")</f>
        <v>Somatic Cancer</v>
      </c>
      <c r="AM164" s="183" t="str">
        <f>IFERROR(__xludf.DUMMYFUNCTION("QUERY('Volunteer Survey'!N163)"),"I have worked in the clinic and now in a commercial laboratory. In the clinic, we performed our own internal variant classifications and also, part of this included thoroughly researching gene-disease associations. In the laboratory, I have a clinical sup"&amp;"port role, contributing to gene panel curation/creation. ")</f>
        <v>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v>
      </c>
      <c r="AN164" s="183" t="str">
        <f>IFERROR(__xludf.DUMMYFUNCTION("QUERY('Volunteer Survey'!O163)"),"No")</f>
        <v>No</v>
      </c>
      <c r="AO164" s="183" t="str">
        <f>IFERROR(__xludf.DUMMYFUNCTION("QUERY('Volunteer Survey'!P163)"),"Cardiomyopathy (or arrhythmias if available- I tried to be involved in the KCNQ1 variant curation group but I understand their group is now full) ")</f>
        <v>Cardiomyopathy (or arrhythmias if available- I tried to be involved in the KCNQ1 variant curation group but I understand their group is now full) </v>
      </c>
    </row>
    <row r="165">
      <c r="A165" s="50">
        <f>IFERROR(__xludf.DUMMYFUNCTION("QUERY('Volunteer Survey'!A172)"),43566.667404039355)</f>
        <v>43566.6674</v>
      </c>
      <c r="B165" s="48" t="s">
        <v>108</v>
      </c>
      <c r="C165" s="79">
        <v>43819.0</v>
      </c>
      <c r="D165" s="55"/>
      <c r="E165" s="48" t="s">
        <v>130</v>
      </c>
      <c r="F165" s="48" t="s">
        <v>130</v>
      </c>
      <c r="G165" s="48" t="s">
        <v>122</v>
      </c>
      <c r="H165" s="53"/>
      <c r="I165" s="51" t="s">
        <v>139</v>
      </c>
      <c r="J165" s="55"/>
      <c r="K165" s="55"/>
      <c r="L165" s="55" t="str">
        <f>IFERROR(__xludf.DUMMYFUNCTION("QUERY('Volunteer Survey'!B172)"),"Bo Yuan")</f>
        <v>Bo Yuan</v>
      </c>
      <c r="M165" s="55" t="str">
        <f>IFERROR(__xludf.DUMMYFUNCTION("QUERY('Volunteer Survey'!E172)"),"by2@bcm.edu")</f>
        <v>by2@bcm.edu</v>
      </c>
      <c r="N165" s="55" t="str">
        <f>IFERROR(__xludf.DUMMYFUNCTION("QUERY('Volunteer Survey'!F172)"),"Clinical laboratory geneticist")</f>
        <v>Clinical laboratory geneticist</v>
      </c>
      <c r="O165" s="48" t="str">
        <f>IFERROR(__xludf.DUMMYFUNCTION("QUERY('Volunteer Survey'!H172)"),"Comprehensive")</f>
        <v>Comprehensive</v>
      </c>
      <c r="P165" s="55" t="str">
        <f>IFERROR(__xludf.DUMMYFUNCTION("QUERY('Volunteer Survey'!I172)"),"Gene-Disease Validity")</f>
        <v>Gene-Disease Validity</v>
      </c>
      <c r="Q165" s="60" t="str">
        <f>IFERROR(__xludf.DUMMYFUNCTION("QUERY('Volunteer Survey'!J172)"),"Somatic Cancer")</f>
        <v>Somatic Cancer</v>
      </c>
      <c r="R165" s="55" t="str">
        <f>IFERROR(__xludf.DUMMYFUNCTION("QUERY('Volunteer Survey'!K172)"),"Clinical Actionability")</f>
        <v>Clinical Actionability</v>
      </c>
      <c r="S165" s="55" t="str">
        <f>IFERROR(__xludf.DUMMYFUNCTION("QUERY('Volunteer Survey'!L172)"),"Variant Pathogenicity")</f>
        <v>Variant Pathogenicity</v>
      </c>
      <c r="T165" s="55" t="str">
        <f>IFERROR(__xludf.DUMMYFUNCTION("QUERY('Volunteer Survey'!M172)"),"Dosage Sensitivity")</f>
        <v>Dosage Sensitivity</v>
      </c>
      <c r="U165" s="64" t="str">
        <f>IFERROR(__xludf.DUMMYFUNCTION("QUERY('Volunteer Survey'!N172)"),"I have been involved in some gene curation using ClinGen format. Variant curation is part of my routine practice.")</f>
        <v>I have been involved in some gene curation using ClinGen format. Variant curation is part of my routine practice.</v>
      </c>
      <c r="V165" s="55" t="str">
        <f>IFERROR(__xludf.DUMMYFUNCTION("QUERY('Volunteer Survey'!O172)"),"Yes")</f>
        <v>Yes</v>
      </c>
      <c r="W165" s="66" t="str">
        <f>IFERROR(__xludf.DUMMYFUNCTION("QUERY('Volunteer Survey'!P172)"),"")</f>
        <v/>
      </c>
      <c r="X165" s="64" t="str">
        <f>IFERROR(__xludf.DUMMYFUNCTION("QUERY('Volunteer Survey'!R172)"),"Maybe -- please contact me with other options, and I will decide based on what is available")</f>
        <v>Maybe -- please contact me with other options, and I will decide based on what is available</v>
      </c>
      <c r="Y165" s="53"/>
      <c r="Z165" s="182">
        <f>IFERROR(__xludf.DUMMYFUNCTION("QUERY('Volunteer Survey'!A164)"),43564.41960033565)</f>
        <v>43564.4196</v>
      </c>
      <c r="AA165" s="183" t="str">
        <f>IFERROR(__xludf.DUMMYFUNCTION("QUERY('Volunteer Survey'!B164)"),"Jose Maria Urbano")</f>
        <v>Jose Maria Urbano</v>
      </c>
      <c r="AB165" s="183" t="str">
        <f>IFERROR(__xludf.DUMMYFUNCTION("QUERY('Volunteer Survey'!C164)"),"University of Cambridge")</f>
        <v>University of Cambridge</v>
      </c>
      <c r="AC165" s="183" t="str">
        <f>IFERROR(__xludf.DUMMYFUNCTION("QUERY('Volunteer Survey'!D164)"),"")</f>
        <v/>
      </c>
      <c r="AD165" s="183" t="str">
        <f>IFERROR(__xludf.DUMMYFUNCTION("QUERY('Volunteer Survey'!E164)"),"jmu22@cam.ac.uk")</f>
        <v>jmu22@cam.ac.uk</v>
      </c>
      <c r="AE165" s="183" t="str">
        <f>IFERROR(__xludf.DUMMYFUNCTION("QUERY('Volunteer Survey'!F164)"),"Biocurator")</f>
        <v>Biocurator</v>
      </c>
      <c r="AF165" s="183" t="str">
        <f>IFERROR(__xludf.DUMMYFUNCTION("QUERY('Volunteer Survey'!G164)"),"Biocuration conference 2019")</f>
        <v>Biocuration conference 2019</v>
      </c>
      <c r="AG165" s="183" t="str">
        <f>IFERROR(__xludf.DUMMYFUNCTION("QUERY('Volunteer Survey'!H164)"),"Baseline")</f>
        <v>Baseline</v>
      </c>
      <c r="AH165" s="183" t="str">
        <f>IFERROR(__xludf.DUMMYFUNCTION("QUERY('Volunteer Survey'!I164)"),"Gene-Disease Validity")</f>
        <v>Gene-Disease Validity</v>
      </c>
      <c r="AI165" s="183" t="str">
        <f>IFERROR(__xludf.DUMMYFUNCTION("QUERY('Volunteer Survey'!J164)"),"Variant Pathogenicity")</f>
        <v>Variant Pathogenicity</v>
      </c>
      <c r="AJ165" s="183" t="str">
        <f>IFERROR(__xludf.DUMMYFUNCTION("QUERY('Volunteer Survey'!K164)"),"Dosage Sensitivity")</f>
        <v>Dosage Sensitivity</v>
      </c>
      <c r="AK165" s="183" t="str">
        <f>IFERROR(__xludf.DUMMYFUNCTION("QUERY('Volunteer Survey'!L164)"),"Somatic Cancer")</f>
        <v>Somatic Cancer</v>
      </c>
      <c r="AL165" s="183" t="str">
        <f>IFERROR(__xludf.DUMMYFUNCTION("QUERY('Volunteer Survey'!M164)"),"Clinical Actionability")</f>
        <v>Clinical Actionability</v>
      </c>
      <c r="AM165" s="183" t="str">
        <f>IFERROR(__xludf.DUMMYFUNCTION("QUERY('Volunteer Survey'!N164)"),"I am a Drosophila biocurator. I've been working for FlyBase for 4 years")</f>
        <v>I am a Drosophila biocurator. I've been working for FlyBase for 4 years</v>
      </c>
      <c r="AN165" s="183" t="str">
        <f>IFERROR(__xludf.DUMMYFUNCTION("QUERY('Volunteer Survey'!O164)"),"No")</f>
        <v>No</v>
      </c>
      <c r="AO165" s="183" t="str">
        <f>IFERROR(__xludf.DUMMYFUNCTION("QUERY('Volunteer Survey'!P164)"),"")</f>
        <v/>
      </c>
    </row>
    <row r="166">
      <c r="A166" s="50">
        <f>IFERROR(__xludf.DUMMYFUNCTION("QUERY('Volunteer Survey'!A173)"),43566.96253849537)</f>
        <v>43566.96254</v>
      </c>
      <c r="B166" s="48" t="s">
        <v>108</v>
      </c>
      <c r="C166" s="79">
        <v>43819.0</v>
      </c>
      <c r="D166" s="55"/>
      <c r="E166" s="48" t="s">
        <v>130</v>
      </c>
      <c r="F166" s="48" t="s">
        <v>130</v>
      </c>
      <c r="G166" s="48" t="s">
        <v>122</v>
      </c>
      <c r="H166" s="53"/>
      <c r="I166" s="51" t="s">
        <v>139</v>
      </c>
      <c r="J166" s="55"/>
      <c r="K166" s="55"/>
      <c r="L166" s="55" t="str">
        <f>IFERROR(__xludf.DUMMYFUNCTION("QUERY('Volunteer Survey'!B173)"),"Avinash Dharmadhikari")</f>
        <v>Avinash Dharmadhikari</v>
      </c>
      <c r="M166" s="55" t="str">
        <f>IFERROR(__xludf.DUMMYFUNCTION("QUERY('Volunteer Survey'!E173)"),"avd2129@cumc.columbia.edu")</f>
        <v>avd2129@cumc.columbia.edu</v>
      </c>
      <c r="N166" s="55" t="str">
        <f>IFERROR(__xludf.DUMMYFUNCTION("QUERY('Volunteer Survey'!F173)"),"Post Doc/Resident/Fellow (MD and/or PhD)")</f>
        <v>Post Doc/Resident/Fellow (MD and/or PhD)</v>
      </c>
      <c r="O166" s="48" t="str">
        <f>IFERROR(__xludf.DUMMYFUNCTION("QUERY('Volunteer Survey'!H173)"),"Comprehensive")</f>
        <v>Comprehensive</v>
      </c>
      <c r="P166" s="55" t="str">
        <f>IFERROR(__xludf.DUMMYFUNCTION("QUERY('Volunteer Survey'!I173)"),"Gene-Disease Validity")</f>
        <v>Gene-Disease Validity</v>
      </c>
      <c r="Q166" s="60" t="str">
        <f>IFERROR(__xludf.DUMMYFUNCTION("QUERY('Volunteer Survey'!J173)"),"Variant Pathogenicity")</f>
        <v>Variant Pathogenicity</v>
      </c>
      <c r="R166" s="55" t="str">
        <f>IFERROR(__xludf.DUMMYFUNCTION("QUERY('Volunteer Survey'!K173)"),"Dosage Sensitivity")</f>
        <v>Dosage Sensitivity</v>
      </c>
      <c r="S166" s="55" t="str">
        <f>IFERROR(__xludf.DUMMYFUNCTION("QUERY('Volunteer Survey'!L173)"),"")</f>
        <v/>
      </c>
      <c r="T166" s="55" t="str">
        <f>IFERROR(__xludf.DUMMYFUNCTION("QUERY('Volunteer Survey'!M173)"),"")</f>
        <v/>
      </c>
      <c r="U166" s="64" t="str">
        <f>IFERROR(__xludf.DUMMYFUNCTION("QUERY('Volunteer Survey'!N173)"),"Previously variant analyst/curator at Baylor Genetics and Natera; currently LGG fellow at Columbia University")</f>
        <v>Previously variant analyst/curator at Baylor Genetics and Natera; currently LGG fellow at Columbia University</v>
      </c>
      <c r="V166" s="55" t="str">
        <f>IFERROR(__xludf.DUMMYFUNCTION("QUERY('Volunteer Survey'!O173)"),"Possibly")</f>
        <v>Possibly</v>
      </c>
      <c r="W166" s="66" t="str">
        <f>IFERROR(__xludf.DUMMYFUNCTION("QUERY('Volunteer Survey'!P173)"),"Hearing Loss VCEP &amp; GCEP or Dosage Sensitivity WG or ID/Autism GCEP")</f>
        <v>Hearing Loss VCEP &amp; GCEP or Dosage Sensitivity WG or ID/Autism GCEP</v>
      </c>
      <c r="X166" s="64" t="str">
        <f>IFERROR(__xludf.DUMMYFUNCTION("QUERY('Volunteer Survey'!R173)"),"Maybe -- please contact me with other options, and I will decide based on what is available")</f>
        <v>Maybe -- please contact me with other options, and I will decide based on what is available</v>
      </c>
      <c r="Y166" s="53"/>
      <c r="Z166" s="182">
        <f>IFERROR(__xludf.DUMMYFUNCTION("QUERY('Volunteer Survey'!A165)"),43564.493346400464)</f>
        <v>43564.49335</v>
      </c>
      <c r="AA166" s="183" t="str">
        <f>IFERROR(__xludf.DUMMYFUNCTION("QUERY('Volunteer Survey'!B165)"),"Alexander Ing")</f>
        <v>Alexander Ing</v>
      </c>
      <c r="AB166" s="183" t="str">
        <f>IFERROR(__xludf.DUMMYFUNCTION("QUERY('Volunteer Survey'!C165)"),"Ann &amp; Robert H. Lurie Children's Hospital of Chicago")</f>
        <v>Ann &amp; Robert H. Lurie Children's Hospital of Chicago</v>
      </c>
      <c r="AC166" s="183" t="str">
        <f>IFERROR(__xludf.DUMMYFUNCTION("QUERY('Volunteer Survey'!D165)"),"225 E. Chicago Ave Box 82 Chicago IL 60611")</f>
        <v>225 E. Chicago Ave Box 82 Chicago IL 60611</v>
      </c>
      <c r="AD166" s="183" t="str">
        <f>IFERROR(__xludf.DUMMYFUNCTION("QUERY('Volunteer Survey'!E165)"),"aing@luriechildrens.org")</f>
        <v>aing@luriechildrens.org</v>
      </c>
      <c r="AE166" s="183" t="str">
        <f>IFERROR(__xludf.DUMMYFUNCTION("QUERY('Volunteer Survey'!F165)"),"Genetic counselor")</f>
        <v>Genetic counselor</v>
      </c>
      <c r="AF166" s="183" t="str">
        <f>IFERROR(__xludf.DUMMYFUNCTION("QUERY('Volunteer Survey'!G165)"),"ACMG Conference 2019, ClinGen conference advertisements (i.e. booth, workshop, presentation), Colleagues, Suggestion from mentor")</f>
        <v>ACMG Conference 2019, ClinGen conference advertisements (i.e. booth, workshop, presentation), Colleagues, Suggestion from mentor</v>
      </c>
      <c r="AG166" s="183" t="str">
        <f>IFERROR(__xludf.DUMMYFUNCTION("QUERY('Volunteer Survey'!H165)"),"Comprehensive")</f>
        <v>Comprehensive</v>
      </c>
      <c r="AH166" s="183" t="str">
        <f>IFERROR(__xludf.DUMMYFUNCTION("QUERY('Volunteer Survey'!I165)"),"Gene-Disease Validity")</f>
        <v>Gene-Disease Validity</v>
      </c>
      <c r="AI166" s="183" t="str">
        <f>IFERROR(__xludf.DUMMYFUNCTION("QUERY('Volunteer Survey'!J165)"),"Variant Pathogenicity")</f>
        <v>Variant Pathogenicity</v>
      </c>
      <c r="AJ166" s="183" t="str">
        <f>IFERROR(__xludf.DUMMYFUNCTION("QUERY('Volunteer Survey'!K165)"),"Clinical Actionability")</f>
        <v>Clinical Actionability</v>
      </c>
      <c r="AK166" s="183" t="str">
        <f>IFERROR(__xludf.DUMMYFUNCTION("QUERY('Volunteer Survey'!L165)"),"")</f>
        <v/>
      </c>
      <c r="AL166" s="183" t="str">
        <f>IFERROR(__xludf.DUMMYFUNCTION("QUERY('Volunteer Survey'!M165)"),"")</f>
        <v/>
      </c>
      <c r="AM166" s="183" t="str">
        <f>IFERROR(__xludf.DUMMYFUNCTION("QUERY('Volunteer Survey'!N165)"),"I am a laboratory genetic counselor and my responsibilities are centered around variant interpretation and test reporting. I have served in this role for 4 years. I have some gene curation experience.")</f>
        <v>I am a laboratory genetic counselor and my responsibilities are centered around variant interpretation and test reporting. I have served in this role for 4 years. I have some gene curation experience.</v>
      </c>
      <c r="AN166" s="183" t="str">
        <f>IFERROR(__xludf.DUMMYFUNCTION("QUERY('Volunteer Survey'!O165)"),"Possibly")</f>
        <v>Possibly</v>
      </c>
      <c r="AO166" s="183" t="str">
        <f>IFERROR(__xludf.DUMMYFUNCTION("QUERY('Volunteer Survey'!P165)"),"epilepsy")</f>
        <v>epilepsy</v>
      </c>
    </row>
    <row r="167">
      <c r="A167" s="50">
        <f>IFERROR(__xludf.DUMMYFUNCTION("QUERY('Volunteer Survey'!A174)"),43567.67818671296)</f>
        <v>43567.67819</v>
      </c>
      <c r="B167" s="48" t="s">
        <v>168</v>
      </c>
      <c r="C167" s="53"/>
      <c r="D167" s="55"/>
      <c r="E167" s="48" t="s">
        <v>130</v>
      </c>
      <c r="F167" s="48" t="s">
        <v>130</v>
      </c>
      <c r="G167" s="48" t="s">
        <v>251</v>
      </c>
      <c r="H167" s="53"/>
      <c r="I167" s="51" t="s">
        <v>139</v>
      </c>
      <c r="J167" s="55"/>
      <c r="K167" s="55"/>
      <c r="L167" s="55" t="str">
        <f>IFERROR(__xludf.DUMMYFUNCTION("QUERY('Volunteer Survey'!B174)"),"Sara Fitzgerald-Butt")</f>
        <v>Sara Fitzgerald-Butt</v>
      </c>
      <c r="M167" s="55" t="str">
        <f>IFERROR(__xludf.DUMMYFUNCTION("QUERY('Volunteer Survey'!E174)"),"sfitzge@iu.edu")</f>
        <v>sfitzge@iu.edu</v>
      </c>
      <c r="N167" s="55" t="str">
        <f>IFERROR(__xludf.DUMMYFUNCTION("QUERY('Volunteer Survey'!F174)"),"Genetic counselor")</f>
        <v>Genetic counselor</v>
      </c>
      <c r="O167" s="48" t="str">
        <f>IFERROR(__xludf.DUMMYFUNCTION("QUERY('Volunteer Survey'!H174)"),"Comprehensive")</f>
        <v>Comprehensive</v>
      </c>
      <c r="P167" s="55" t="str">
        <f>IFERROR(__xludf.DUMMYFUNCTION("QUERY('Volunteer Survey'!I174)"),"Variant Pathogenicity")</f>
        <v>Variant Pathogenicity</v>
      </c>
      <c r="Q167" s="60" t="str">
        <f>IFERROR(__xludf.DUMMYFUNCTION("QUERY('Volunteer Survey'!J174)"),"Gene-Disease Validity")</f>
        <v>Gene-Disease Validity</v>
      </c>
      <c r="R167" s="55" t="str">
        <f>IFERROR(__xludf.DUMMYFUNCTION("QUERY('Volunteer Survey'!K174)"),"")</f>
        <v/>
      </c>
      <c r="S167" s="55" t="str">
        <f>IFERROR(__xludf.DUMMYFUNCTION("QUERY('Volunteer Survey'!L174)"),"")</f>
        <v/>
      </c>
      <c r="T167" s="55" t="str">
        <f>IFERROR(__xludf.DUMMYFUNCTION("QUERY('Volunteer Survey'!M174)"),"")</f>
        <v/>
      </c>
      <c r="U167" s="64" t="str">
        <f>IFERROR(__xludf.DUMMYFUNCTION("QUERY('Volunteer Survey'!N174)"),"I was part of a research team that reinterpreted the variants seen in our pediatric arrhythmia patients following the release of the 2015 ACMG/AMP guidelines.  Also, as a genetic counselor, I an evaluating the interpretation of the clinical laboratory.")</f>
        <v>I was part of a research team that reinterpreted the variants seen in our pediatric arrhythmia patients following the release of the 2015 ACMG/AMP guidelines.  Also, as a genetic counselor, I an evaluating the interpretation of the clinical laboratory.</v>
      </c>
      <c r="V167" s="55" t="str">
        <f>IFERROR(__xludf.DUMMYFUNCTION("QUERY('Volunteer Survey'!O174)"),"No")</f>
        <v>No</v>
      </c>
      <c r="W167" s="66" t="str">
        <f>IFERROR(__xludf.DUMMYFUNCTION("QUERY('Volunteer Survey'!P174)"),"Cardiovascular, cardiomyopathy, Long QT syndrome, FBN1")</f>
        <v>Cardiovascular, cardiomyopathy, Long QT syndrome, FBN1</v>
      </c>
      <c r="X167" s="64" t="str">
        <f>IFERROR(__xludf.DUMMYFUNCTION("QUERY('Volunteer Survey'!R174)"),"Maybe -- please contact me with other options, and I will decide based on what is available")</f>
        <v>Maybe -- please contact me with other options, and I will decide based on what is available</v>
      </c>
      <c r="Y167" s="53"/>
      <c r="Z167" s="182">
        <f>IFERROR(__xludf.DUMMYFUNCTION("QUERY('Volunteer Survey'!A166)"),43564.694213055554)</f>
        <v>43564.69421</v>
      </c>
      <c r="AA167" s="183" t="str">
        <f>IFERROR(__xludf.DUMMYFUNCTION("QUERY('Volunteer Survey'!B166)"),"Jun Liao")</f>
        <v>Jun Liao</v>
      </c>
      <c r="AB167" s="183" t="str">
        <f>IFERROR(__xludf.DUMMYFUNCTION("QUERY('Volunteer Survey'!C166)"),"Columbia University Medical Center")</f>
        <v>Columbia University Medical Center</v>
      </c>
      <c r="AC167" s="183" t="str">
        <f>IFERROR(__xludf.DUMMYFUNCTION("QUERY('Volunteer Survey'!D166)"),"3959 Broadway, CHC-Room 406C, New York, NY 10032")</f>
        <v>3959 Broadway, CHC-Room 406C, New York, NY 10032</v>
      </c>
      <c r="AD167" s="183" t="str">
        <f>IFERROR(__xludf.DUMMYFUNCTION("QUERY('Volunteer Survey'!E166)"),"jl5098@cumc.columbia.edu")</f>
        <v>jl5098@cumc.columbia.edu</v>
      </c>
      <c r="AE167" s="183" t="str">
        <f>IFERROR(__xludf.DUMMYFUNCTION("QUERY('Volunteer Survey'!F166)"),"Clinical laboratory geneticist")</f>
        <v>Clinical laboratory geneticist</v>
      </c>
      <c r="AF167" s="183" t="str">
        <f>IFERROR(__xludf.DUMMYFUNCTION("QUERY('Volunteer Survey'!G166)"),"ACMG Conference 2019")</f>
        <v>ACMG Conference 2019</v>
      </c>
      <c r="AG167" s="183" t="str">
        <f>IFERROR(__xludf.DUMMYFUNCTION("QUERY('Volunteer Survey'!H166)"),"Comprehensive")</f>
        <v>Comprehensive</v>
      </c>
      <c r="AH167" s="183" t="str">
        <f>IFERROR(__xludf.DUMMYFUNCTION("QUERY('Volunteer Survey'!I166)"),"Gene-Disease Validity")</f>
        <v>Gene-Disease Validity</v>
      </c>
      <c r="AI167" s="183" t="str">
        <f>IFERROR(__xludf.DUMMYFUNCTION("QUERY('Volunteer Survey'!J166)"),"Variant Pathogenicity")</f>
        <v>Variant Pathogenicity</v>
      </c>
      <c r="AJ167" s="183" t="str">
        <f>IFERROR(__xludf.DUMMYFUNCTION("QUERY('Volunteer Survey'!K166)"),"Dosage Sensitivity")</f>
        <v>Dosage Sensitivity</v>
      </c>
      <c r="AK167" s="183" t="str">
        <f>IFERROR(__xludf.DUMMYFUNCTION("QUERY('Volunteer Survey'!L166)"),"Clinical Actionability")</f>
        <v>Clinical Actionability</v>
      </c>
      <c r="AL167" s="183" t="str">
        <f>IFERROR(__xludf.DUMMYFUNCTION("QUERY('Volunteer Survey'!M166)"),"Somatic Cancer")</f>
        <v>Somatic Cancer</v>
      </c>
      <c r="AM167" s="183" t="str">
        <f>IFERROR(__xludf.DUMMYFUNCTION("QUERY('Volunteer Survey'!N166)"),"As a laboratory director, I sign out WES, NGS panel, and microarray cases daily. So I am very familiar with curation activities for variant pathogenicity, gene-disease validity, and dosage sensitivity.")</f>
        <v>As a laboratory director, I sign out WES, NGS panel, and microarray cases daily. So I am very familiar with curation activities for variant pathogenicity, gene-disease validity, and dosage sensitivity.</v>
      </c>
      <c r="AN167" s="183" t="str">
        <f>IFERROR(__xludf.DUMMYFUNCTION("QUERY('Volunteer Survey'!O166)"),"Yes")</f>
        <v>Yes</v>
      </c>
      <c r="AO167" s="183" t="str">
        <f>IFERROR(__xludf.DUMMYFUNCTION("QUERY('Volunteer Survey'!P166)"),"1. Lysosomal Storage Disorders VCEP; 2. ID/Autism GCEP")</f>
        <v>1. Lysosomal Storage Disorders VCEP; 2. ID/Autism GCEP</v>
      </c>
    </row>
    <row r="168">
      <c r="A168" s="50">
        <f>IFERROR(__xludf.DUMMYFUNCTION("QUERY('Volunteer Survey'!A175)"),43567.92645009259)</f>
        <v>43567.92645</v>
      </c>
      <c r="B168" s="48" t="s">
        <v>160</v>
      </c>
      <c r="C168" s="53"/>
      <c r="D168" s="65">
        <v>43608.0</v>
      </c>
      <c r="E168" s="48" t="s">
        <v>117</v>
      </c>
      <c r="F168" s="48" t="s">
        <v>117</v>
      </c>
      <c r="G168" s="48" t="s">
        <v>251</v>
      </c>
      <c r="H168" s="51" t="s">
        <v>312</v>
      </c>
      <c r="I168" s="51"/>
      <c r="J168" s="56">
        <v>43712.0</v>
      </c>
      <c r="K168" s="56"/>
      <c r="L168" s="55" t="str">
        <f>IFERROR(__xludf.DUMMYFUNCTION("QUERY('Volunteer Survey'!B175)"),"Samya Chakravorty")</f>
        <v>Samya Chakravorty</v>
      </c>
      <c r="M168" s="55" t="str">
        <f>IFERROR(__xludf.DUMMYFUNCTION("QUERY('Volunteer Survey'!E175)"),"samya.chakravorty@emory.edu")</f>
        <v>samya.chakravorty@emory.edu</v>
      </c>
      <c r="N168" s="55" t="str">
        <f>IFERROR(__xludf.DUMMYFUNCTION("QUERY('Volunteer Survey'!F175)"),"Scientific Researcher")</f>
        <v>Scientific Researcher</v>
      </c>
      <c r="O168" s="48" t="str">
        <f>IFERROR(__xludf.DUMMYFUNCTION("QUERY('Volunteer Survey'!H175)"),"Comprehensive")</f>
        <v>Comprehensive</v>
      </c>
      <c r="P168" s="55" t="str">
        <f>IFERROR(__xludf.DUMMYFUNCTION("QUERY('Volunteer Survey'!I175)"),"Variant Pathogenicity")</f>
        <v>Variant Pathogenicity</v>
      </c>
      <c r="Q168" s="60" t="str">
        <f>IFERROR(__xludf.DUMMYFUNCTION("QUERY('Volunteer Survey'!J175)"),"Gene-Disease Validity")</f>
        <v>Gene-Disease Validity</v>
      </c>
      <c r="R168" s="55" t="str">
        <f>IFERROR(__xludf.DUMMYFUNCTION("QUERY('Volunteer Survey'!K175)"),"Clinical Actionability")</f>
        <v>Clinical Actionability</v>
      </c>
      <c r="S168" s="55" t="str">
        <f>IFERROR(__xludf.DUMMYFUNCTION("QUERY('Volunteer Survey'!L175)"),"Dosage Sensitivity")</f>
        <v>Dosage Sensitivity</v>
      </c>
      <c r="T168" s="55" t="str">
        <f>IFERROR(__xludf.DUMMYFUNCTION("QUERY('Volunteer Survey'!M175)"),"")</f>
        <v/>
      </c>
      <c r="U168" s="64" t="str">
        <f>IFERROR(__xludf.DUMMYFUNCTION("QUERY('Volunteer Survey'!N175)"),"I do have experience in classifying variants based on my functional data and submitting in Clinvar, other databases, and understanding variant annotation and classification based on 2015 ACMG-AMP guidelines. I also have experience in understanding the dis"&amp;"ease causality of variants and genes in correlation with clinical data. Though most of my experiences are in clinical research setting, but I do work closely with CLIA labs, organizations, and board-certified clinical geneticists. ")</f>
        <v>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v>
      </c>
      <c r="V168" s="55" t="str">
        <f>IFERROR(__xludf.DUMMYFUNCTION("QUERY('Volunteer Survey'!O175)"),"Yes")</f>
        <v>Yes</v>
      </c>
      <c r="W168" s="66" t="str">
        <f>IFERROR(__xludf.DUMMYFUNCTION("QUERY('Volunteer Survey'!P175)"),"Lysosomal Storage Disorders, Epilepsy")</f>
        <v>Lysosomal Storage Disorders, Epilepsy</v>
      </c>
      <c r="X168" s="64" t="str">
        <f>IFERROR(__xludf.DUMMYFUNCTION("QUERY('Volunteer Survey'!R175)"),"Maybe -- please contact me with other options, and I will decide based on what is available")</f>
        <v>Maybe -- please contact me with other options, and I will decide based on what is available</v>
      </c>
      <c r="Y168" s="53"/>
      <c r="Z168" s="182">
        <f>IFERROR(__xludf.DUMMYFUNCTION("QUERY('Volunteer Survey'!A167)"),43564.71066725694)</f>
        <v>43564.71067</v>
      </c>
      <c r="AA168" s="183" t="str">
        <f>IFERROR(__xludf.DUMMYFUNCTION("QUERY('Volunteer Survey'!B167)"),"Maki Kaneko")</f>
        <v>Maki Kaneko</v>
      </c>
      <c r="AB168" s="183" t="str">
        <f>IFERROR(__xludf.DUMMYFUNCTION("QUERY('Volunteer Survey'!C167)"),"Children's Hospital Los Angeles")</f>
        <v>Children's Hospital Los Angeles</v>
      </c>
      <c r="AC168" s="183" t="str">
        <f>IFERROR(__xludf.DUMMYFUNCTION("QUERY('Volunteer Survey'!D167)"),"4650 Sunset Blvd, #173, Los Angeles, CA 90027")</f>
        <v>4650 Sunset Blvd, #173, Los Angeles, CA 90027</v>
      </c>
      <c r="AD168" s="183" t="str">
        <f>IFERROR(__xludf.DUMMYFUNCTION("QUERY('Volunteer Survey'!E167)"),"mkaneko@chla.usc.edu")</f>
        <v>mkaneko@chla.usc.edu</v>
      </c>
      <c r="AE168" s="183" t="str">
        <f>IFERROR(__xludf.DUMMYFUNCTION("QUERY('Volunteer Survey'!F167)"),"Genetic counselor")</f>
        <v>Genetic counselor</v>
      </c>
      <c r="AF168" s="183" t="str">
        <f>IFERROR(__xludf.DUMMYFUNCTION("QUERY('Volunteer Survey'!G167)"),"Colleagues")</f>
        <v>Colleagues</v>
      </c>
      <c r="AG168" s="183" t="str">
        <f>IFERROR(__xludf.DUMMYFUNCTION("QUERY('Volunteer Survey'!H167)"),"Comprehensive")</f>
        <v>Comprehensive</v>
      </c>
      <c r="AH168" s="183" t="str">
        <f>IFERROR(__xludf.DUMMYFUNCTION("QUERY('Volunteer Survey'!I167)"),"Gene-Disease Validity")</f>
        <v>Gene-Disease Validity</v>
      </c>
      <c r="AI168" s="183" t="str">
        <f>IFERROR(__xludf.DUMMYFUNCTION("QUERY('Volunteer Survey'!J167)"),"Variant Pathogenicity")</f>
        <v>Variant Pathogenicity</v>
      </c>
      <c r="AJ168" s="183" t="str">
        <f>IFERROR(__xludf.DUMMYFUNCTION("QUERY('Volunteer Survey'!K167)"),"Clinical Actionability")</f>
        <v>Clinical Actionability</v>
      </c>
      <c r="AK168" s="183" t="str">
        <f>IFERROR(__xludf.DUMMYFUNCTION("QUERY('Volunteer Survey'!L167)"),"Dosage Sensitivity")</f>
        <v>Dosage Sensitivity</v>
      </c>
      <c r="AL168" s="183" t="str">
        <f>IFERROR(__xludf.DUMMYFUNCTION("QUERY('Volunteer Survey'!M167)"),"Somatic Cancer")</f>
        <v>Somatic Cancer</v>
      </c>
      <c r="AM168" s="183" t="str">
        <f>IFERROR(__xludf.DUMMYFUNCTION("QUERY('Volunteer Survey'!N167)"),"")</f>
        <v/>
      </c>
      <c r="AN168" s="183" t="str">
        <f>IFERROR(__xludf.DUMMYFUNCTION("QUERY('Volunteer Survey'!O167)"),"No")</f>
        <v>No</v>
      </c>
      <c r="AO168" s="183" t="str">
        <f>IFERROR(__xludf.DUMMYFUNCTION("QUERY('Volunteer Survey'!P167)"),"Epilepsy")</f>
        <v>Epilepsy</v>
      </c>
    </row>
    <row r="169" ht="20.25" customHeight="1">
      <c r="A169" s="50">
        <f>IFERROR(__xludf.DUMMYFUNCTION("QUERY('Volunteer Survey'!A176)"),43568.82464288195)</f>
        <v>43568.82464</v>
      </c>
      <c r="B169" s="48" t="s">
        <v>160</v>
      </c>
      <c r="C169" s="90">
        <v>43787.0</v>
      </c>
      <c r="D169" s="55"/>
      <c r="E169" s="48" t="s">
        <v>130</v>
      </c>
      <c r="F169" s="48" t="s">
        <v>130</v>
      </c>
      <c r="G169" s="48" t="s">
        <v>19</v>
      </c>
      <c r="H169" s="53"/>
      <c r="I169" s="51" t="s">
        <v>139</v>
      </c>
      <c r="J169" s="55"/>
      <c r="K169" s="55"/>
      <c r="L169" s="55" t="str">
        <f>IFERROR(__xludf.DUMMYFUNCTION("QUERY('Volunteer Survey'!B176)"),"Fareed Al Qusous")</f>
        <v>Fareed Al Qusous</v>
      </c>
      <c r="M169" s="55" t="str">
        <f>IFERROR(__xludf.DUMMYFUNCTION("QUERY('Volunteer Survey'!E176)"),"Fareedh.al.qusous@hotmail.com")</f>
        <v>Fareedh.al.qusous@hotmail.com</v>
      </c>
      <c r="N169" s="55" t="str">
        <f>IFERROR(__xludf.DUMMYFUNCTION("QUERY('Volunteer Survey'!F176)"),"Undergraduate Student")</f>
        <v>Undergraduate Student</v>
      </c>
      <c r="O169" s="48" t="str">
        <f>IFERROR(__xludf.DUMMYFUNCTION("QUERY('Volunteer Survey'!H176)"),"Comprehensive")</f>
        <v>Comprehensive</v>
      </c>
      <c r="P169" s="55" t="str">
        <f>IFERROR(__xludf.DUMMYFUNCTION("QUERY('Volunteer Survey'!I176)"),"Clinical Actionability")</f>
        <v>Clinical Actionability</v>
      </c>
      <c r="Q169" s="60" t="str">
        <f>IFERROR(__xludf.DUMMYFUNCTION("QUERY('Volunteer Survey'!J176)"),"Gene-Disease Validity")</f>
        <v>Gene-Disease Validity</v>
      </c>
      <c r="R169" s="55" t="str">
        <f>IFERROR(__xludf.DUMMYFUNCTION("QUERY('Volunteer Survey'!K176)"),"Variant Pathogenicity")</f>
        <v>Variant Pathogenicity</v>
      </c>
      <c r="S169" s="55" t="str">
        <f>IFERROR(__xludf.DUMMYFUNCTION("QUERY('Volunteer Survey'!L176)"),"Dosage Sensitivity")</f>
        <v>Dosage Sensitivity</v>
      </c>
      <c r="T169" s="55" t="str">
        <f>IFERROR(__xludf.DUMMYFUNCTION("QUERY('Volunteer Survey'!M176)"),"Somatic Cancer")</f>
        <v>Somatic Cancer</v>
      </c>
      <c r="U169" s="64" t="str">
        <f>IFERROR(__xludf.DUMMYFUNCTION("QUERY('Volunteer Survey'!N176)"),"")</f>
        <v/>
      </c>
      <c r="V169" s="55" t="str">
        <f>IFERROR(__xludf.DUMMYFUNCTION("QUERY('Volunteer Survey'!O176)"),"Possibly")</f>
        <v>Possibly</v>
      </c>
      <c r="W169" s="66" t="str">
        <f>IFERROR(__xludf.DUMMYFUNCTION("QUERY('Volunteer Survey'!P176)"),"")</f>
        <v/>
      </c>
      <c r="X169" s="64" t="str">
        <f>IFERROR(__xludf.DUMMYFUNCTION("QUERY('Volunteer Survey'!R176)"),"Maybe -- please contact me with other options, and I will decide based on what is available")</f>
        <v>Maybe -- please contact me with other options, and I will decide based on what is available</v>
      </c>
      <c r="Y169" s="51" t="s">
        <v>352</v>
      </c>
      <c r="Z169" s="182">
        <f>IFERROR(__xludf.DUMMYFUNCTION("QUERY('Volunteer Survey'!A168)"),43564.76043560185)</f>
        <v>43564.76044</v>
      </c>
      <c r="AA169" s="183" t="str">
        <f>IFERROR(__xludf.DUMMYFUNCTION("QUERY('Volunteer Survey'!B168)"),"Emma Leach")</f>
        <v>Emma Leach</v>
      </c>
      <c r="AB169" s="183" t="str">
        <f>IFERROR(__xludf.DUMMYFUNCTION("QUERY('Volunteer Survey'!C168)"),"BC Inherited Arrhythmia Program")</f>
        <v>BC Inherited Arrhythmia Program</v>
      </c>
      <c r="AC169" s="183" t="str">
        <f>IFERROR(__xludf.DUMMYFUNCTION("QUERY('Volunteer Survey'!D168)"),"211-1033 Davie St., Vancouver, BC V6E 1M7")</f>
        <v>211-1033 Davie St., Vancouver, BC V6E 1M7</v>
      </c>
      <c r="AD169" s="183" t="str">
        <f>IFERROR(__xludf.DUMMYFUNCTION("QUERY('Volunteer Survey'!E168)"),"eleach@providencehealth.bc.ca")</f>
        <v>eleach@providencehealth.bc.ca</v>
      </c>
      <c r="AE169" s="183" t="str">
        <f>IFERROR(__xludf.DUMMYFUNCTION("QUERY('Volunteer Survey'!F168)"),"Genetic counselor")</f>
        <v>Genetic counselor</v>
      </c>
      <c r="AF169" s="183" t="str">
        <f>IFERROR(__xludf.DUMMYFUNCTION("QUERY('Volunteer Survey'!G168)"),"ClinGen conference advertisements (i.e. booth, workshop, presentation), Colleagues, The clinicalgenome.org website")</f>
        <v>ClinGen conference advertisements (i.e. booth, workshop, presentation), Colleagues, The clinicalgenome.org website</v>
      </c>
      <c r="AG169" s="183" t="str">
        <f>IFERROR(__xludf.DUMMYFUNCTION("QUERY('Volunteer Survey'!H168)"),"Baseline")</f>
        <v>Baseline</v>
      </c>
      <c r="AH169" s="183" t="str">
        <f>IFERROR(__xludf.DUMMYFUNCTION("QUERY('Volunteer Survey'!I168)"),"Clinical Actionability")</f>
        <v>Clinical Actionability</v>
      </c>
      <c r="AI169" s="183" t="str">
        <f>IFERROR(__xludf.DUMMYFUNCTION("QUERY('Volunteer Survey'!J168)"),"Gene-Disease Validity")</f>
        <v>Gene-Disease Validity</v>
      </c>
      <c r="AJ169" s="183" t="str">
        <f>IFERROR(__xludf.DUMMYFUNCTION("QUERY('Volunteer Survey'!K168)"),"Variant Pathogenicity")</f>
        <v>Variant Pathogenicity</v>
      </c>
      <c r="AK169" s="183" t="str">
        <f>IFERROR(__xludf.DUMMYFUNCTION("QUERY('Volunteer Survey'!L168)"),"Somatic Cancer")</f>
        <v>Somatic Cancer</v>
      </c>
      <c r="AL169" s="183" t="str">
        <f>IFERROR(__xludf.DUMMYFUNCTION("QUERY('Volunteer Survey'!M168)"),"Dosage Sensitivity")</f>
        <v>Dosage Sensitivity</v>
      </c>
      <c r="AM169" s="183" t="str">
        <f>IFERROR(__xludf.DUMMYFUNCTION("QUERY('Volunteer Survey'!N168)"),"previously published systematic literature review")</f>
        <v>previously published systematic literature review</v>
      </c>
      <c r="AN169" s="183" t="str">
        <f>IFERROR(__xludf.DUMMYFUNCTION("QUERY('Volunteer Survey'!O168)"),"Yes")</f>
        <v>Yes</v>
      </c>
      <c r="AO169" s="183" t="str">
        <f>IFERROR(__xludf.DUMMYFUNCTION("QUERY('Volunteer Survey'!P168)"),"cardiomyopathy")</f>
        <v>cardiomyopathy</v>
      </c>
    </row>
    <row r="170">
      <c r="A170" s="50">
        <f>IFERROR(__xludf.DUMMYFUNCTION("QUERY('Volunteer Survey'!A177)"),43570.893279675925)</f>
        <v>43570.89328</v>
      </c>
      <c r="B170" s="48" t="s">
        <v>108</v>
      </c>
      <c r="C170" s="53"/>
      <c r="D170" s="55"/>
      <c r="E170" s="48" t="s">
        <v>130</v>
      </c>
      <c r="F170" s="48" t="s">
        <v>130</v>
      </c>
      <c r="G170" s="48" t="s">
        <v>202</v>
      </c>
      <c r="H170" s="53"/>
      <c r="I170" s="51" t="s">
        <v>139</v>
      </c>
      <c r="J170" s="55"/>
      <c r="K170" s="55"/>
      <c r="L170" s="55" t="str">
        <f>IFERROR(__xludf.DUMMYFUNCTION("QUERY('Volunteer Survey'!B177)"),"Mi-Ae Jang")</f>
        <v>Mi-Ae Jang</v>
      </c>
      <c r="M170" s="55" t="str">
        <f>IFERROR(__xludf.DUMMYFUNCTION("QUERY('Volunteer Survey'!E177)"),"miaeyaho@gmail.com")</f>
        <v>miaeyaho@gmail.com</v>
      </c>
      <c r="N170" s="55" t="str">
        <f>IFERROR(__xludf.DUMMYFUNCTION("QUERY('Volunteer Survey'!F177)"),"Clinical laboratory geneticist")</f>
        <v>Clinical laboratory geneticist</v>
      </c>
      <c r="O170" s="48" t="str">
        <f>IFERROR(__xludf.DUMMYFUNCTION("QUERY('Volunteer Survey'!H177)"),"Baseline")</f>
        <v>Baseline</v>
      </c>
      <c r="P170" s="55" t="str">
        <f>IFERROR(__xludf.DUMMYFUNCTION("QUERY('Volunteer Survey'!I177)"),"")</f>
        <v/>
      </c>
      <c r="Q170" s="60" t="str">
        <f>IFERROR(__xludf.DUMMYFUNCTION("QUERY('Volunteer Survey'!J177)"),"")</f>
        <v/>
      </c>
      <c r="R170" s="55" t="str">
        <f>IFERROR(__xludf.DUMMYFUNCTION("QUERY('Volunteer Survey'!K177)"),"")</f>
        <v/>
      </c>
      <c r="S170" s="55" t="str">
        <f>IFERROR(__xludf.DUMMYFUNCTION("QUERY('Volunteer Survey'!L177)"),"")</f>
        <v/>
      </c>
      <c r="T170" s="55" t="str">
        <f>IFERROR(__xludf.DUMMYFUNCTION("QUERY('Volunteer Survey'!M177)"),"")</f>
        <v/>
      </c>
      <c r="U170" s="64" t="str">
        <f>IFERROR(__xludf.DUMMYFUNCTION("QUERY('Volunteer Survey'!N177)"),"")</f>
        <v/>
      </c>
      <c r="V170" s="55" t="str">
        <f>IFERROR(__xludf.DUMMYFUNCTION("QUERY('Volunteer Survey'!O177)"),"Possibly")</f>
        <v>Possibly</v>
      </c>
      <c r="W170" s="66" t="str">
        <f>IFERROR(__xludf.DUMMYFUNCTION("QUERY('Volunteer Survey'!P177)"),"Variant curation expert panel for myeloid malignancy and brain malformation")</f>
        <v>Variant curation expert panel for myeloid malignancy and brain malformation</v>
      </c>
      <c r="X170" s="64" t="str">
        <f>IFERROR(__xludf.DUMMYFUNCTION("QUERY('Volunteer Survey'!R177)"),"Maybe -- please contact me with other options, and I will decide based on what is available")</f>
        <v>Maybe -- please contact me with other options, and I will decide based on what is available</v>
      </c>
      <c r="Y170" s="53"/>
      <c r="Z170" s="182">
        <f>IFERROR(__xludf.DUMMYFUNCTION("QUERY('Volunteer Survey'!A169)"),43565.61995707176)</f>
        <v>43565.61996</v>
      </c>
      <c r="AA170" s="183" t="str">
        <f>IFERROR(__xludf.DUMMYFUNCTION("QUERY('Volunteer Survey'!B169)"),"Megan Lynch")</f>
        <v>Megan Lynch</v>
      </c>
      <c r="AB170" s="183" t="str">
        <f>IFERROR(__xludf.DUMMYFUNCTION("QUERY('Volunteer Survey'!C169)"),"University of Maryland Baltimore")</f>
        <v>University of Maryland Baltimore</v>
      </c>
      <c r="AC170" s="183" t="str">
        <f>IFERROR(__xludf.DUMMYFUNCTION("QUERY('Volunteer Survey'!D169)"),"807 West Barre St. Baltimore, MD 21230")</f>
        <v>807 West Barre St. Baltimore, MD 21230</v>
      </c>
      <c r="AD170" s="183" t="str">
        <f>IFERROR(__xludf.DUMMYFUNCTION("QUERY('Volunteer Survey'!E169)"),"megan.lynch@umaryland.edu")</f>
        <v>megan.lynch@umaryland.edu</v>
      </c>
      <c r="AE170" s="183" t="str">
        <f>IFERROR(__xludf.DUMMYFUNCTION("QUERY('Volunteer Survey'!F169)"),"Graduate Student")</f>
        <v>Graduate Student</v>
      </c>
      <c r="AF170" s="183" t="str">
        <f>IFERROR(__xludf.DUMMYFUNCTION("QUERY('Volunteer Survey'!G169)"),"ACMG Conference 2019, Colleagues")</f>
        <v>ACMG Conference 2019, Colleagues</v>
      </c>
      <c r="AG170" s="183" t="str">
        <f>IFERROR(__xludf.DUMMYFUNCTION("QUERY('Volunteer Survey'!H169)"),"Baseline")</f>
        <v>Baseline</v>
      </c>
      <c r="AH170" s="183" t="str">
        <f>IFERROR(__xludf.DUMMYFUNCTION("QUERY('Volunteer Survey'!I169)"),"Dosage Sensitivity")</f>
        <v>Dosage Sensitivity</v>
      </c>
      <c r="AI170" s="183" t="str">
        <f>IFERROR(__xludf.DUMMYFUNCTION("QUERY('Volunteer Survey'!J169)"),"Variant Pathogenicity")</f>
        <v>Variant Pathogenicity</v>
      </c>
      <c r="AJ170" s="183" t="str">
        <f>IFERROR(__xludf.DUMMYFUNCTION("QUERY('Volunteer Survey'!K169)"),"Clinical Actionability")</f>
        <v>Clinical Actionability</v>
      </c>
      <c r="AK170" s="183" t="str">
        <f>IFERROR(__xludf.DUMMYFUNCTION("QUERY('Volunteer Survey'!L169)"),"")</f>
        <v/>
      </c>
      <c r="AL170" s="183" t="str">
        <f>IFERROR(__xludf.DUMMYFUNCTION("QUERY('Volunteer Survey'!M169)"),"")</f>
        <v/>
      </c>
      <c r="AM170" s="183" t="str">
        <f>IFERROR(__xludf.DUMMYFUNCTION("QUERY('Volunteer Survey'!N169)"),"")</f>
        <v/>
      </c>
      <c r="AN170" s="183" t="str">
        <f>IFERROR(__xludf.DUMMYFUNCTION("QUERY('Volunteer Survey'!O169)"),"Possibly")</f>
        <v>Possibly</v>
      </c>
      <c r="AO170" s="183" t="str">
        <f>IFERROR(__xludf.DUMMYFUNCTION("QUERY('Volunteer Survey'!P169)"),"any of the cardiovascular working groups")</f>
        <v>any of the cardiovascular working groups</v>
      </c>
    </row>
    <row r="171">
      <c r="A171" s="50">
        <f>IFERROR(__xludf.DUMMYFUNCTION("QUERY('Volunteer Survey'!A178)"),43571.977917592594)</f>
        <v>43571.97792</v>
      </c>
      <c r="B171" s="48" t="s">
        <v>108</v>
      </c>
      <c r="C171" s="53"/>
      <c r="D171" s="65">
        <v>43692.0</v>
      </c>
      <c r="E171" s="48" t="s">
        <v>117</v>
      </c>
      <c r="F171" s="48" t="s">
        <v>130</v>
      </c>
      <c r="G171" s="48" t="s">
        <v>122</v>
      </c>
      <c r="H171" s="53"/>
      <c r="I171" s="51" t="s">
        <v>139</v>
      </c>
      <c r="J171" s="55"/>
      <c r="K171" s="55"/>
      <c r="L171" s="55" t="str">
        <f>IFERROR(__xludf.DUMMYFUNCTION("QUERY('Volunteer Survey'!B178)"),"Alison Bright")</f>
        <v>Alison Bright</v>
      </c>
      <c r="M171" s="55" t="str">
        <f>IFERROR(__xludf.DUMMYFUNCTION("QUERY('Volunteer Survey'!E178)"),"alison.r.bright@questdiagnostics.com")</f>
        <v>alison.r.bright@questdiagnostics.com</v>
      </c>
      <c r="N171" s="55" t="str">
        <f>IFERROR(__xludf.DUMMYFUNCTION("QUERY('Volunteer Survey'!F178)"),"Variant Analyst/Scientist - Industry")</f>
        <v>Variant Analyst/Scientist - Industry</v>
      </c>
      <c r="O171" s="48" t="str">
        <f>IFERROR(__xludf.DUMMYFUNCTION("QUERY('Volunteer Survey'!H178)"),"Comprehensive")</f>
        <v>Comprehensive</v>
      </c>
      <c r="P171" s="55" t="str">
        <f>IFERROR(__xludf.DUMMYFUNCTION("QUERY('Volunteer Survey'!I178)"),"Gene-Disease Validity")</f>
        <v>Gene-Disease Validity</v>
      </c>
      <c r="Q171" s="60" t="str">
        <f>IFERROR(__xludf.DUMMYFUNCTION("QUERY('Volunteer Survey'!J178)"),"Dosage Sensitivity")</f>
        <v>Dosage Sensitivity</v>
      </c>
      <c r="R171" s="55" t="str">
        <f>IFERROR(__xludf.DUMMYFUNCTION("QUERY('Volunteer Survey'!K178)"),"")</f>
        <v/>
      </c>
      <c r="S171" s="55" t="str">
        <f>IFERROR(__xludf.DUMMYFUNCTION("QUERY('Volunteer Survey'!L178)"),"")</f>
        <v/>
      </c>
      <c r="T171" s="55" t="str">
        <f>IFERROR(__xludf.DUMMYFUNCTION("QUERY('Volunteer Survey'!M178)"),"")</f>
        <v/>
      </c>
      <c r="U171" s="64" t="str">
        <f>IFERROR(__xludf.DUMMYFUNCTION("QUERY('Volunteer Survey'!N178)"),"6 years as a variant scientist: past 2 years focused on CNVs identified by microarray. Prior to that was focused on SNVs identified by single gene and panel tests.")</f>
        <v>6 years as a variant scientist: past 2 years focused on CNVs identified by microarray. Prior to that was focused on SNVs identified by single gene and panel tests.</v>
      </c>
      <c r="V171" s="55" t="str">
        <f>IFERROR(__xludf.DUMMYFUNCTION("QUERY('Volunteer Survey'!O178)"),"No")</f>
        <v>No</v>
      </c>
      <c r="W171" s="66" t="str">
        <f>IFERROR(__xludf.DUMMYFUNCTION("QUERY('Volunteer Survey'!P178)"),"ID/Autism")</f>
        <v>ID/Autism</v>
      </c>
      <c r="X171" s="64" t="str">
        <f>IFERROR(__xludf.DUMMYFUNCTION("QUERY('Volunteer Survey'!R178)"),"Maybe -- please contact me with other options, and I will decide based on what is available")</f>
        <v>Maybe -- please contact me with other options, and I will decide based on what is available</v>
      </c>
      <c r="Y171" s="53"/>
      <c r="Z171" s="182">
        <f>IFERROR(__xludf.DUMMYFUNCTION("QUERY('Volunteer Survey'!A170)"),43566.03965038195)</f>
        <v>43566.03965</v>
      </c>
      <c r="AA171" s="183" t="str">
        <f>IFERROR(__xludf.DUMMYFUNCTION("QUERY('Volunteer Survey'!B170)"),"Suvina To")</f>
        <v>Suvina To</v>
      </c>
      <c r="AB171" s="183" t="str">
        <f>IFERROR(__xludf.DUMMYFUNCTION("QUERY('Volunteer Survey'!C170)"),"ActX, Inc.")</f>
        <v>ActX, Inc.</v>
      </c>
      <c r="AC171" s="183" t="str">
        <f>IFERROR(__xludf.DUMMYFUNCTION("QUERY('Volunteer Survey'!D170)"),"")</f>
        <v/>
      </c>
      <c r="AD171" s="183" t="str">
        <f>IFERROR(__xludf.DUMMYFUNCTION("QUERY('Volunteer Survey'!E170)"),"suvina@gmail.com")</f>
        <v>suvina@gmail.com</v>
      </c>
      <c r="AE171" s="183" t="str">
        <f>IFERROR(__xludf.DUMMYFUNCTION("QUERY('Volunteer Survey'!F170)"),"Variant Analyst/Scientist - Industry")</f>
        <v>Variant Analyst/Scientist - Industry</v>
      </c>
      <c r="AF171" s="183" t="str">
        <f>IFERROR(__xludf.DUMMYFUNCTION("QUERY('Volunteer Survey'!G170)"),"ACMG Conference 2019, Monogenic Diabetes Group")</f>
        <v>ACMG Conference 2019, Monogenic Diabetes Group</v>
      </c>
      <c r="AG171" s="183" t="str">
        <f>IFERROR(__xludf.DUMMYFUNCTION("QUERY('Volunteer Survey'!H170)"),"Comprehensive")</f>
        <v>Comprehensive</v>
      </c>
      <c r="AH171" s="183" t="str">
        <f>IFERROR(__xludf.DUMMYFUNCTION("QUERY('Volunteer Survey'!I170)"),"Variant Pathogenicity")</f>
        <v>Variant Pathogenicity</v>
      </c>
      <c r="AI171" s="183" t="str">
        <f>IFERROR(__xludf.DUMMYFUNCTION("QUERY('Volunteer Survey'!J170)"),"Dosage Sensitivity")</f>
        <v>Dosage Sensitivity</v>
      </c>
      <c r="AJ171" s="183" t="str">
        <f>IFERROR(__xludf.DUMMYFUNCTION("QUERY('Volunteer Survey'!K170)"),"Gene-Disease Validity")</f>
        <v>Gene-Disease Validity</v>
      </c>
      <c r="AK171" s="183" t="str">
        <f>IFERROR(__xludf.DUMMYFUNCTION("QUERY('Volunteer Survey'!L170)"),"Clinical Actionability")</f>
        <v>Clinical Actionability</v>
      </c>
      <c r="AL171" s="183" t="str">
        <f>IFERROR(__xludf.DUMMYFUNCTION("QUERY('Volunteer Survey'!M170)"),"Somatic Cancer")</f>
        <v>Somatic Cancer</v>
      </c>
      <c r="AM171" s="183" t="str">
        <f>IFERROR(__xludf.DUMMYFUNCTION("QUERY('Volunteer Survey'!N170)"),"I am a variant curation specialist in my company")</f>
        <v>I am a variant curation specialist in my company</v>
      </c>
      <c r="AN171" s="183" t="str">
        <f>IFERROR(__xludf.DUMMYFUNCTION("QUERY('Volunteer Survey'!O170)"),"Possibly")</f>
        <v>Possibly</v>
      </c>
      <c r="AO171" s="183" t="str">
        <f>IFERROR(__xludf.DUMMYFUNCTION("QUERY('Volunteer Survey'!P170)"),"monogenic diabetes")</f>
        <v>monogenic diabetes</v>
      </c>
    </row>
    <row r="172">
      <c r="A172" s="50">
        <f>IFERROR(__xludf.DUMMYFUNCTION("QUERY('Volunteer Survey'!A179)"),43577.60680598379)</f>
        <v>43577.60681</v>
      </c>
      <c r="B172" s="48" t="s">
        <v>108</v>
      </c>
      <c r="C172" s="79">
        <v>43819.0</v>
      </c>
      <c r="D172" s="55"/>
      <c r="E172" s="48"/>
      <c r="F172" s="48" t="s">
        <v>130</v>
      </c>
      <c r="G172" s="48" t="s">
        <v>251</v>
      </c>
      <c r="H172" s="53"/>
      <c r="I172" s="51" t="s">
        <v>139</v>
      </c>
      <c r="J172" s="55"/>
      <c r="K172" s="55"/>
      <c r="L172" s="55" t="str">
        <f>IFERROR(__xludf.DUMMYFUNCTION("QUERY('Volunteer Survey'!B179)"),"Chloe Whitten")</f>
        <v>Chloe Whitten</v>
      </c>
      <c r="M172" s="55" t="str">
        <f>IFERROR(__xludf.DUMMYFUNCTION("QUERY('Volunteer Survey'!E179)"),"cwhitten@ambrygen.com")</f>
        <v>cwhitten@ambrygen.com</v>
      </c>
      <c r="N172" s="55" t="str">
        <f>IFERROR(__xludf.DUMMYFUNCTION("QUERY('Volunteer Survey'!F179)"),"Recent graduate, can help with more admin tasks")</f>
        <v>Recent graduate, can help with more admin tasks</v>
      </c>
      <c r="O172" s="48" t="str">
        <f>IFERROR(__xludf.DUMMYFUNCTION("QUERY('Volunteer Survey'!H179)"),"Comprehensive")</f>
        <v>Comprehensive</v>
      </c>
      <c r="P172" s="55" t="str">
        <f>IFERROR(__xludf.DUMMYFUNCTION("QUERY('Volunteer Survey'!I179)"),"Variant Pathogenicity")</f>
        <v>Variant Pathogenicity</v>
      </c>
      <c r="Q172" s="60" t="str">
        <f>IFERROR(__xludf.DUMMYFUNCTION("QUERY('Volunteer Survey'!J179)"),"")</f>
        <v/>
      </c>
      <c r="R172" s="55" t="str">
        <f>IFERROR(__xludf.DUMMYFUNCTION("QUERY('Volunteer Survey'!K179)"),"")</f>
        <v/>
      </c>
      <c r="S172" s="55" t="str">
        <f>IFERROR(__xludf.DUMMYFUNCTION("QUERY('Volunteer Survey'!L179)"),"")</f>
        <v/>
      </c>
      <c r="T172" s="55" t="str">
        <f>IFERROR(__xludf.DUMMYFUNCTION("QUERY('Volunteer Survey'!M179)"),"")</f>
        <v/>
      </c>
      <c r="U172" s="64" t="str">
        <f>IFERROR(__xludf.DUMMYFUNCTION("QUERY('Volunteer Survey'!N179)"),"I don’t have experience with curation but I am eager to learn and have experience with more administrative/tedious tasks. I’d love to be involved but I understand that I do not have an clinical degrees")</f>
        <v>I don’t have experience with curation but I am eager to learn and have experience with more administrative/tedious tasks. I’d love to be involved but I understand that I do not have an clinical degrees</v>
      </c>
      <c r="V172" s="55" t="str">
        <f>IFERROR(__xludf.DUMMYFUNCTION("QUERY('Volunteer Survey'!O179)"),"Possibly")</f>
        <v>Possibly</v>
      </c>
      <c r="W172" s="66" t="str">
        <f>IFERROR(__xludf.DUMMYFUNCTION("QUERY('Volunteer Survey'!P179)"),"FBN1, PKU or LSD")</f>
        <v>FBN1, PKU or LSD</v>
      </c>
      <c r="X172" s="64" t="str">
        <f>IFERROR(__xludf.DUMMYFUNCTION("QUERY('Volunteer Survey'!R179)"),"Yes- I am willing to volunteer with any available ClinGen group")</f>
        <v>Yes- I am willing to volunteer with any available ClinGen group</v>
      </c>
      <c r="Y172" s="53"/>
      <c r="Z172" s="182">
        <f>IFERROR(__xludf.DUMMYFUNCTION("QUERY('Volunteer Survey'!A171)"),43566.525071446755)</f>
        <v>43566.52507</v>
      </c>
      <c r="AA172" s="183" t="str">
        <f>IFERROR(__xludf.DUMMYFUNCTION("QUERY('Volunteer Survey'!B171)"),"Lemuel Racacho")</f>
        <v>Lemuel Racacho</v>
      </c>
      <c r="AB172" s="183" t="str">
        <f>IFERROR(__xludf.DUMMYFUNCTION("QUERY('Volunteer Survey'!C171)"),"Newborn Screening Ontario")</f>
        <v>Newborn Screening Ontario</v>
      </c>
      <c r="AC172" s="183" t="str">
        <f>IFERROR(__xludf.DUMMYFUNCTION("QUERY('Volunteer Survey'!D171)"),"")</f>
        <v/>
      </c>
      <c r="AD172" s="183" t="str">
        <f>IFERROR(__xludf.DUMMYFUNCTION("QUERY('Volunteer Survey'!E171)"),"lracacho@cheo.on.ca")</f>
        <v>lracacho@cheo.on.ca</v>
      </c>
      <c r="AE172" s="183" t="str">
        <f>IFERROR(__xludf.DUMMYFUNCTION("QUERY('Volunteer Survey'!F171)"),"Post Doc/Resident/Fellow (MD and/or PhD)")</f>
        <v>Post Doc/Resident/Fellow (MD and/or PhD)</v>
      </c>
      <c r="AF172" s="183" t="str">
        <f>IFERROR(__xludf.DUMMYFUNCTION("QUERY('Volunteer Survey'!G171)"),"ClinGen conference advertisements (i.e. booth, workshop, presentation), Networking, Colleagues, ClinGen affiliated emails and/or newsletters, The clinicalgenome.org website")</f>
        <v>ClinGen conference advertisements (i.e. booth, workshop, presentation), Networking, Colleagues, ClinGen affiliated emails and/or newsletters, The clinicalgenome.org website</v>
      </c>
      <c r="AG172" s="183" t="str">
        <f>IFERROR(__xludf.DUMMYFUNCTION("QUERY('Volunteer Survey'!H171)"),"Comprehensive")</f>
        <v>Comprehensive</v>
      </c>
      <c r="AH172" s="183" t="str">
        <f>IFERROR(__xludf.DUMMYFUNCTION("QUERY('Volunteer Survey'!I171)"),"Variant Pathogenicity")</f>
        <v>Variant Pathogenicity</v>
      </c>
      <c r="AI172" s="183" t="str">
        <f>IFERROR(__xludf.DUMMYFUNCTION("QUERY('Volunteer Survey'!J171)"),"Gene-Disease Validity")</f>
        <v>Gene-Disease Validity</v>
      </c>
      <c r="AJ172" s="183" t="str">
        <f>IFERROR(__xludf.DUMMYFUNCTION("QUERY('Volunteer Survey'!K171)"),"Clinical Actionability")</f>
        <v>Clinical Actionability</v>
      </c>
      <c r="AK172" s="183" t="str">
        <f>IFERROR(__xludf.DUMMYFUNCTION("QUERY('Volunteer Survey'!L171)"),"Dosage Sensitivity")</f>
        <v>Dosage Sensitivity</v>
      </c>
      <c r="AL172" s="183" t="str">
        <f>IFERROR(__xludf.DUMMYFUNCTION("QUERY('Volunteer Survey'!M171)"),"Somatic Cancer")</f>
        <v>Somatic Cancer</v>
      </c>
      <c r="AM172" s="183" t="str">
        <f>IFERROR(__xludf.DUMMYFUNCTION("QUERY('Volunteer Survey'!N171)"),"Yes, I currently interpret variants for mitochondrial based disorders")</f>
        <v>Yes, I currently interpret variants for mitochondrial based disorders</v>
      </c>
      <c r="AN172" s="183" t="str">
        <f>IFERROR(__xludf.DUMMYFUNCTION("QUERY('Volunteer Survey'!O171)"),"Possibly")</f>
        <v>Possibly</v>
      </c>
      <c r="AO172" s="183" t="str">
        <f>IFERROR(__xludf.DUMMYFUNCTION("QUERY('Volunteer Survey'!P171)"),"Inborn errors of metabolism; Low penetrance/risk allele")</f>
        <v>Inborn errors of metabolism; Low penetrance/risk allele</v>
      </c>
    </row>
    <row r="173">
      <c r="A173" s="50">
        <f>IFERROR(__xludf.DUMMYFUNCTION("QUERY('Volunteer Survey'!A180)"),43577.87438443287)</f>
        <v>43577.87438</v>
      </c>
      <c r="B173" s="48" t="s">
        <v>108</v>
      </c>
      <c r="C173" s="53"/>
      <c r="D173" s="55"/>
      <c r="E173" s="48"/>
      <c r="F173" s="48" t="s">
        <v>130</v>
      </c>
      <c r="G173" s="48" t="s">
        <v>202</v>
      </c>
      <c r="H173" s="53"/>
      <c r="I173" s="51" t="s">
        <v>139</v>
      </c>
      <c r="J173" s="55"/>
      <c r="K173" s="55"/>
      <c r="L173" s="55" t="str">
        <f>IFERROR(__xludf.DUMMYFUNCTION("QUERY('Volunteer Survey'!B180)"),"Jaclyn Murry")</f>
        <v>Jaclyn Murry</v>
      </c>
      <c r="M173" s="55" t="str">
        <f>IFERROR(__xludf.DUMMYFUNCTION("QUERY('Volunteer Survey'!E180)"),"jmurry@mednet.ucla.edu")</f>
        <v>jmurry@mednet.ucla.edu</v>
      </c>
      <c r="N173" s="55" t="str">
        <f>IFERROR(__xludf.DUMMYFUNCTION("QUERY('Volunteer Survey'!F180)"),"Clinical laboratory geneticist")</f>
        <v>Clinical laboratory geneticist</v>
      </c>
      <c r="O173" s="48" t="str">
        <f>IFERROR(__xludf.DUMMYFUNCTION("QUERY('Volunteer Survey'!H180)"),"Baseline")</f>
        <v>Baseline</v>
      </c>
      <c r="P173" s="55" t="str">
        <f>IFERROR(__xludf.DUMMYFUNCTION("QUERY('Volunteer Survey'!I180)"),"Dosage Sensitivity")</f>
        <v>Dosage Sensitivity</v>
      </c>
      <c r="Q173" s="60" t="str">
        <f>IFERROR(__xludf.DUMMYFUNCTION("QUERY('Volunteer Survey'!J180)"),"Variant Pathogenicity")</f>
        <v>Variant Pathogenicity</v>
      </c>
      <c r="R173" s="55" t="str">
        <f>IFERROR(__xludf.DUMMYFUNCTION("QUERY('Volunteer Survey'!K180)"),"")</f>
        <v/>
      </c>
      <c r="S173" s="55" t="str">
        <f>IFERROR(__xludf.DUMMYFUNCTION("QUERY('Volunteer Survey'!L180)"),"")</f>
        <v/>
      </c>
      <c r="T173" s="55" t="str">
        <f>IFERROR(__xludf.DUMMYFUNCTION("QUERY('Volunteer Survey'!M180)"),"")</f>
        <v/>
      </c>
      <c r="U173" s="64" t="str">
        <f>IFERROR(__xludf.DUMMYFUNCTION("QUERY('Volunteer Survey'!N180)"),"Currently review CMA cases on service")</f>
        <v>Currently review CMA cases on service</v>
      </c>
      <c r="V173" s="55" t="str">
        <f>IFERROR(__xludf.DUMMYFUNCTION("QUERY('Volunteer Survey'!O180)"),"No")</f>
        <v>No</v>
      </c>
      <c r="W173" s="66" t="str">
        <f>IFERROR(__xludf.DUMMYFUNCTION("QUERY('Volunteer Survey'!P180)"),"Interest in CNVs")</f>
        <v>Interest in CNVs</v>
      </c>
      <c r="X173" s="64" t="str">
        <f>IFERROR(__xludf.DUMMYFUNCTION("QUERY('Volunteer Survey'!R180)"),"Maybe -- please contact me with other options, and I will decide based on what is available")</f>
        <v>Maybe -- please contact me with other options, and I will decide based on what is available</v>
      </c>
      <c r="Y173" s="53"/>
      <c r="Z173" s="182">
        <f>IFERROR(__xludf.DUMMYFUNCTION("QUERY('Volunteer Survey'!A172)"),43566.667404039355)</f>
        <v>43566.6674</v>
      </c>
      <c r="AA173" s="183" t="str">
        <f>IFERROR(__xludf.DUMMYFUNCTION("QUERY('Volunteer Survey'!B172)"),"Bo Yuan")</f>
        <v>Bo Yuan</v>
      </c>
      <c r="AB173" s="183" t="str">
        <f>IFERROR(__xludf.DUMMYFUNCTION("QUERY('Volunteer Survey'!C172)"),"Baylor College of Medicine")</f>
        <v>Baylor College of Medicine</v>
      </c>
      <c r="AC173" s="183" t="str">
        <f>IFERROR(__xludf.DUMMYFUNCTION("QUERY('Volunteer Survey'!D172)"),"2450 Holcombe Blvd, Suite 200F, Houston, TX 77021")</f>
        <v>2450 Holcombe Blvd, Suite 200F, Houston, TX 77021</v>
      </c>
      <c r="AD173" s="183" t="str">
        <f>IFERROR(__xludf.DUMMYFUNCTION("QUERY('Volunteer Survey'!E172)"),"by2@bcm.edu")</f>
        <v>by2@bcm.edu</v>
      </c>
      <c r="AE173" s="183" t="str">
        <f>IFERROR(__xludf.DUMMYFUNCTION("QUERY('Volunteer Survey'!F172)"),"Clinical laboratory geneticist")</f>
        <v>Clinical laboratory geneticist</v>
      </c>
      <c r="AF173" s="183" t="str">
        <f>IFERROR(__xludf.DUMMYFUNCTION("QUERY('Volunteer Survey'!G172)"),"ACMG Conference 2019, Colleagues")</f>
        <v>ACMG Conference 2019, Colleagues</v>
      </c>
      <c r="AG173" s="183" t="str">
        <f>IFERROR(__xludf.DUMMYFUNCTION("QUERY('Volunteer Survey'!H172)"),"Comprehensive")</f>
        <v>Comprehensive</v>
      </c>
      <c r="AH173" s="183" t="str">
        <f>IFERROR(__xludf.DUMMYFUNCTION("QUERY('Volunteer Survey'!I172)"),"Gene-Disease Validity")</f>
        <v>Gene-Disease Validity</v>
      </c>
      <c r="AI173" s="183" t="str">
        <f>IFERROR(__xludf.DUMMYFUNCTION("QUERY('Volunteer Survey'!J172)"),"Somatic Cancer")</f>
        <v>Somatic Cancer</v>
      </c>
      <c r="AJ173" s="183" t="str">
        <f>IFERROR(__xludf.DUMMYFUNCTION("QUERY('Volunteer Survey'!K172)"),"Clinical Actionability")</f>
        <v>Clinical Actionability</v>
      </c>
      <c r="AK173" s="183" t="str">
        <f>IFERROR(__xludf.DUMMYFUNCTION("QUERY('Volunteer Survey'!L172)"),"Variant Pathogenicity")</f>
        <v>Variant Pathogenicity</v>
      </c>
      <c r="AL173" s="183" t="str">
        <f>IFERROR(__xludf.DUMMYFUNCTION("QUERY('Volunteer Survey'!M172)"),"Dosage Sensitivity")</f>
        <v>Dosage Sensitivity</v>
      </c>
      <c r="AM173" s="183" t="str">
        <f>IFERROR(__xludf.DUMMYFUNCTION("QUERY('Volunteer Survey'!N172)"),"I have been involved in some gene curation using ClinGen format. Variant curation is part of my routine practice.")</f>
        <v>I have been involved in some gene curation using ClinGen format. Variant curation is part of my routine practice.</v>
      </c>
      <c r="AN173" s="183" t="str">
        <f>IFERROR(__xludf.DUMMYFUNCTION("QUERY('Volunteer Survey'!O172)"),"Yes")</f>
        <v>Yes</v>
      </c>
      <c r="AO173" s="183" t="str">
        <f>IFERROR(__xludf.DUMMYFUNCTION("QUERY('Volunteer Survey'!P172)"),"")</f>
        <v/>
      </c>
    </row>
    <row r="174">
      <c r="A174" s="50">
        <f>IFERROR(__xludf.DUMMYFUNCTION("QUERY('Volunteer Survey'!A181)"),43578.689141759256)</f>
        <v>43578.68914</v>
      </c>
      <c r="B174" s="48" t="s">
        <v>108</v>
      </c>
      <c r="C174" s="53"/>
      <c r="D174" s="49">
        <v>43581.0</v>
      </c>
      <c r="E174" s="48" t="s">
        <v>117</v>
      </c>
      <c r="F174" s="48" t="s">
        <v>130</v>
      </c>
      <c r="G174" s="48" t="s">
        <v>136</v>
      </c>
      <c r="H174" s="53"/>
      <c r="I174" s="51" t="s">
        <v>139</v>
      </c>
      <c r="J174" s="56">
        <v>43712.0</v>
      </c>
      <c r="K174" s="56"/>
      <c r="L174" s="55" t="str">
        <f>IFERROR(__xludf.DUMMYFUNCTION("QUERY('Volunteer Survey'!B181)"),"Ying Zou")</f>
        <v>Ying Zou</v>
      </c>
      <c r="M174" s="55" t="str">
        <f>IFERROR(__xludf.DUMMYFUNCTION("QUERY('Volunteer Survey'!E181)")," yzou19@jhmi.edu")</f>
        <v> yzou19@jhmi.edu</v>
      </c>
      <c r="N174" s="55" t="str">
        <f>IFERROR(__xludf.DUMMYFUNCTION("QUERY('Volunteer Survey'!F181)"),"Clinical laboratory geneticist")</f>
        <v>Clinical laboratory geneticist</v>
      </c>
      <c r="O174" s="48" t="str">
        <f>IFERROR(__xludf.DUMMYFUNCTION("QUERY('Volunteer Survey'!H181)"),"Comprehensive")</f>
        <v>Comprehensive</v>
      </c>
      <c r="P174" s="55" t="str">
        <f>IFERROR(__xludf.DUMMYFUNCTION("QUERY('Volunteer Survey'!I181)"),"Somatic Cancer")</f>
        <v>Somatic Cancer</v>
      </c>
      <c r="Q174" s="60" t="str">
        <f>IFERROR(__xludf.DUMMYFUNCTION("QUERY('Volunteer Survey'!J181)"),"Variant Pathogenicity")</f>
        <v>Variant Pathogenicity</v>
      </c>
      <c r="R174" s="55" t="str">
        <f>IFERROR(__xludf.DUMMYFUNCTION("QUERY('Volunteer Survey'!K181)"),"Clinical Actionability")</f>
        <v>Clinical Actionability</v>
      </c>
      <c r="S174" s="55" t="str">
        <f>IFERROR(__xludf.DUMMYFUNCTION("QUERY('Volunteer Survey'!L181)"),"Gene-Disease Validity")</f>
        <v>Gene-Disease Validity</v>
      </c>
      <c r="T174" s="55" t="str">
        <f>IFERROR(__xludf.DUMMYFUNCTION("QUERY('Volunteer Survey'!M181)"),"Dosage Sensitivity")</f>
        <v>Dosage Sensitivity</v>
      </c>
      <c r="U174" s="64" t="str">
        <f>IFERROR(__xludf.DUMMYFUNCTION("QUERY('Volunteer Survey'!N181)"),"")</f>
        <v/>
      </c>
      <c r="V174" s="55" t="str">
        <f>IFERROR(__xludf.DUMMYFUNCTION("QUERY('Volunteer Survey'!O181)"),"Possibly")</f>
        <v>Possibly</v>
      </c>
      <c r="W174" s="66" t="str">
        <f>IFERROR(__xludf.DUMMYFUNCTION("QUERY('Volunteer Survey'!P181)"),"somatic cancer")</f>
        <v>somatic cancer</v>
      </c>
      <c r="X174" s="64" t="str">
        <f>IFERROR(__xludf.DUMMYFUNCTION("QUERY('Volunteer Survey'!R181)"),"Maybe -- please contact me with other options, and I will decide based on what is available")</f>
        <v>Maybe -- please contact me with other options, and I will decide based on what is available</v>
      </c>
      <c r="Y174" s="53"/>
      <c r="Z174" s="182">
        <f>IFERROR(__xludf.DUMMYFUNCTION("QUERY('Volunteer Survey'!A173)"),43566.96253849537)</f>
        <v>43566.96254</v>
      </c>
      <c r="AA174" s="183" t="str">
        <f>IFERROR(__xludf.DUMMYFUNCTION("QUERY('Volunteer Survey'!B173)"),"Avinash Dharmadhikari")</f>
        <v>Avinash Dharmadhikari</v>
      </c>
      <c r="AB174" s="183" t="str">
        <f>IFERROR(__xludf.DUMMYFUNCTION("QUERY('Volunteer Survey'!C173)"),"Columbia University")</f>
        <v>Columbia University</v>
      </c>
      <c r="AC174" s="183" t="str">
        <f>IFERROR(__xludf.DUMMYFUNCTION("QUERY('Volunteer Survey'!D173)"),"630 W. 168th St., New York, NY 10032")</f>
        <v>630 W. 168th St., New York, NY 10032</v>
      </c>
      <c r="AD174" s="183" t="str">
        <f>IFERROR(__xludf.DUMMYFUNCTION("QUERY('Volunteer Survey'!E173)"),"avd2129@cumc.columbia.edu")</f>
        <v>avd2129@cumc.columbia.edu</v>
      </c>
      <c r="AE174" s="183" t="str">
        <f>IFERROR(__xludf.DUMMYFUNCTION("QUERY('Volunteer Survey'!F173)"),"Post Doc/Resident/Fellow (MD and/or PhD)")</f>
        <v>Post Doc/Resident/Fellow (MD and/or PhD)</v>
      </c>
      <c r="AF174" s="183" t="str">
        <f>IFERROR(__xludf.DUMMYFUNCTION("QUERY('Volunteer Survey'!G173)"),"ACMG Conference 2019")</f>
        <v>ACMG Conference 2019</v>
      </c>
      <c r="AG174" s="183" t="str">
        <f>IFERROR(__xludf.DUMMYFUNCTION("QUERY('Volunteer Survey'!H173)"),"Comprehensive")</f>
        <v>Comprehensive</v>
      </c>
      <c r="AH174" s="183" t="str">
        <f>IFERROR(__xludf.DUMMYFUNCTION("QUERY('Volunteer Survey'!I173)"),"Gene-Disease Validity")</f>
        <v>Gene-Disease Validity</v>
      </c>
      <c r="AI174" s="183" t="str">
        <f>IFERROR(__xludf.DUMMYFUNCTION("QUERY('Volunteer Survey'!J173)"),"Variant Pathogenicity")</f>
        <v>Variant Pathogenicity</v>
      </c>
      <c r="AJ174" s="183" t="str">
        <f>IFERROR(__xludf.DUMMYFUNCTION("QUERY('Volunteer Survey'!K173)"),"Dosage Sensitivity")</f>
        <v>Dosage Sensitivity</v>
      </c>
      <c r="AK174" s="183" t="str">
        <f>IFERROR(__xludf.DUMMYFUNCTION("QUERY('Volunteer Survey'!L173)"),"")</f>
        <v/>
      </c>
      <c r="AL174" s="183" t="str">
        <f>IFERROR(__xludf.DUMMYFUNCTION("QUERY('Volunteer Survey'!M173)"),"")</f>
        <v/>
      </c>
      <c r="AM174" s="183" t="str">
        <f>IFERROR(__xludf.DUMMYFUNCTION("QUERY('Volunteer Survey'!N173)"),"Previously variant analyst/curator at Baylor Genetics and Natera; currently LGG fellow at Columbia University")</f>
        <v>Previously variant analyst/curator at Baylor Genetics and Natera; currently LGG fellow at Columbia University</v>
      </c>
      <c r="AN174" s="183" t="str">
        <f>IFERROR(__xludf.DUMMYFUNCTION("QUERY('Volunteer Survey'!O173)"),"Possibly")</f>
        <v>Possibly</v>
      </c>
      <c r="AO174" s="183" t="str">
        <f>IFERROR(__xludf.DUMMYFUNCTION("QUERY('Volunteer Survey'!P173)"),"Hearing Loss VCEP &amp; GCEP or Dosage Sensitivity WG or ID/Autism GCEP")</f>
        <v>Hearing Loss VCEP &amp; GCEP or Dosage Sensitivity WG or ID/Autism GCEP</v>
      </c>
    </row>
    <row r="175">
      <c r="A175" s="50">
        <f>IFERROR(__xludf.DUMMYFUNCTION("QUERY('Volunteer Survey'!A182)"),43581.01534331018)</f>
        <v>43581.01534</v>
      </c>
      <c r="B175" s="48" t="s">
        <v>168</v>
      </c>
      <c r="C175" s="53"/>
      <c r="D175" s="65">
        <v>43570.0</v>
      </c>
      <c r="E175" s="48" t="s">
        <v>117</v>
      </c>
      <c r="F175" s="48" t="s">
        <v>117</v>
      </c>
      <c r="G175" s="48" t="s">
        <v>313</v>
      </c>
      <c r="H175" s="53"/>
      <c r="I175" s="51" t="s">
        <v>139</v>
      </c>
      <c r="J175" s="55"/>
      <c r="K175" s="55"/>
      <c r="L175" s="55" t="str">
        <f>IFERROR(__xludf.DUMMYFUNCTION("QUERY('Volunteer Survey'!B182)"),"JIXIA LIU")</f>
        <v>JIXIA LIU</v>
      </c>
      <c r="M175" s="55" t="str">
        <f>IFERROR(__xludf.DUMMYFUNCTION("QUERY('Volunteer Survey'!E182)"),"jixialiu@gmail.com")</f>
        <v>jixialiu@gmail.com</v>
      </c>
      <c r="N175" s="55" t="str">
        <f>IFERROR(__xludf.DUMMYFUNCTION("QUERY('Volunteer Survey'!F182)"),"Clinical Variant Curator")</f>
        <v>Clinical Variant Curator</v>
      </c>
      <c r="O175" s="48" t="str">
        <f>IFERROR(__xludf.DUMMYFUNCTION("QUERY('Volunteer Survey'!H182)"),"Comprehensive")</f>
        <v>Comprehensive</v>
      </c>
      <c r="P175" s="55" t="str">
        <f>IFERROR(__xludf.DUMMYFUNCTION("QUERY('Volunteer Survey'!I182)"),"Gene-Disease Validity")</f>
        <v>Gene-Disease Validity</v>
      </c>
      <c r="Q175" s="60" t="str">
        <f>IFERROR(__xludf.DUMMYFUNCTION("QUERY('Volunteer Survey'!J182)"),"Variant Pathogenicity")</f>
        <v>Variant Pathogenicity</v>
      </c>
      <c r="R175" s="55" t="str">
        <f>IFERROR(__xludf.DUMMYFUNCTION("QUERY('Volunteer Survey'!K182)"),"Somatic Cancer")</f>
        <v>Somatic Cancer</v>
      </c>
      <c r="S175" s="55" t="str">
        <f>IFERROR(__xludf.DUMMYFUNCTION("QUERY('Volunteer Survey'!L182)"),"Clinical Actionability")</f>
        <v>Clinical Actionability</v>
      </c>
      <c r="T175" s="55" t="str">
        <f>IFERROR(__xludf.DUMMYFUNCTION("QUERY('Volunteer Survey'!M182)"),"Dosage Sensitivity")</f>
        <v>Dosage Sensitivity</v>
      </c>
      <c r="U175" s="64" t="str">
        <f>IFERROR(__xludf.DUMMYFUNCTION("QUERY('Volunteer Survey'!N182)"),"I have had one year working experience with variant pathogenicity  in carrier testing. I have some knowledge about Gene-Disease Validity and Somatic Cancer curation by attending seminars and working on research project.")</f>
        <v>I have had one year working experience with variant pathogenicity  in carrier testing. I have some knowledge about Gene-Disease Validity and Somatic Cancer curation by attending seminars and working on research project.</v>
      </c>
      <c r="V175" s="55" t="str">
        <f>IFERROR(__xludf.DUMMYFUNCTION("QUERY('Volunteer Survey'!O182)"),"Possibly")</f>
        <v>Possibly</v>
      </c>
      <c r="W175" s="66" t="str">
        <f>IFERROR(__xludf.DUMMYFUNCTION("QUERY('Volunteer Survey'!P182)"),"I am in Variant Curation for Lysosomal Storage Disorders now, and would be interested in any gene curation group as well.")</f>
        <v>I am in Variant Curation for Lysosomal Storage Disorders now, and would be interested in any gene curation group as well.</v>
      </c>
      <c r="X175" s="64" t="str">
        <f>IFERROR(__xludf.DUMMYFUNCTION("QUERY('Volunteer Survey'!R182)"),"Yes- I am willing to volunteer with any available ClinGen group")</f>
        <v>Yes- I am willing to volunteer with any available ClinGen group</v>
      </c>
      <c r="Y175" s="53"/>
      <c r="Z175" s="182">
        <f>IFERROR(__xludf.DUMMYFUNCTION("QUERY('Volunteer Survey'!A174)"),43567.67818671296)</f>
        <v>43567.67819</v>
      </c>
      <c r="AA175" s="183" t="str">
        <f>IFERROR(__xludf.DUMMYFUNCTION("QUERY('Volunteer Survey'!B174)"),"Sara Fitzgerald-Butt")</f>
        <v>Sara Fitzgerald-Butt</v>
      </c>
      <c r="AB175" s="183" t="str">
        <f>IFERROR(__xludf.DUMMYFUNCTION("QUERY('Volunteer Survey'!C174)"),"Indiana University School of Medicine")</f>
        <v>Indiana University School of Medicine</v>
      </c>
      <c r="AC175" s="183" t="str">
        <f>IFERROR(__xludf.DUMMYFUNCTION("QUERY('Volunteer Survey'!D174)"),"975 W. Walnut IB-130 Indianapolis IN 46202")</f>
        <v>975 W. Walnut IB-130 Indianapolis IN 46202</v>
      </c>
      <c r="AD175" s="183" t="str">
        <f>IFERROR(__xludf.DUMMYFUNCTION("QUERY('Volunteer Survey'!E174)"),"sfitzge@iu.edu")</f>
        <v>sfitzge@iu.edu</v>
      </c>
      <c r="AE175" s="183" t="str">
        <f>IFERROR(__xludf.DUMMYFUNCTION("QUERY('Volunteer Survey'!F174)"),"Genetic counselor")</f>
        <v>Genetic counselor</v>
      </c>
      <c r="AF175" s="183" t="str">
        <f>IFERROR(__xludf.DUMMYFUNCTION("QUERY('Volunteer Survey'!G174)"),"ACMG Conference 2019")</f>
        <v>ACMG Conference 2019</v>
      </c>
      <c r="AG175" s="183" t="str">
        <f>IFERROR(__xludf.DUMMYFUNCTION("QUERY('Volunteer Survey'!H174)"),"Comprehensive")</f>
        <v>Comprehensive</v>
      </c>
      <c r="AH175" s="183" t="str">
        <f>IFERROR(__xludf.DUMMYFUNCTION("QUERY('Volunteer Survey'!I174)"),"Variant Pathogenicity")</f>
        <v>Variant Pathogenicity</v>
      </c>
      <c r="AI175" s="183" t="str">
        <f>IFERROR(__xludf.DUMMYFUNCTION("QUERY('Volunteer Survey'!J174)"),"Gene-Disease Validity")</f>
        <v>Gene-Disease Validity</v>
      </c>
      <c r="AJ175" s="183" t="str">
        <f>IFERROR(__xludf.DUMMYFUNCTION("QUERY('Volunteer Survey'!K174)"),"")</f>
        <v/>
      </c>
      <c r="AK175" s="183" t="str">
        <f>IFERROR(__xludf.DUMMYFUNCTION("QUERY('Volunteer Survey'!L174)"),"")</f>
        <v/>
      </c>
      <c r="AL175" s="183" t="str">
        <f>IFERROR(__xludf.DUMMYFUNCTION("QUERY('Volunteer Survey'!M174)"),"")</f>
        <v/>
      </c>
      <c r="AM175" s="183" t="str">
        <f>IFERROR(__xludf.DUMMYFUNCTION("QUERY('Volunteer Survey'!N174)"),"I was part of a research team that reinterpreted the variants seen in our pediatric arrhythmia patients following the release of the 2015 ACMG/AMP guidelines.  Also, as a genetic counselor, I an evaluating the interpretation of the clinical laboratory.")</f>
        <v>I was part of a research team that reinterpreted the variants seen in our pediatric arrhythmia patients following the release of the 2015 ACMG/AMP guidelines.  Also, as a genetic counselor, I an evaluating the interpretation of the clinical laboratory.</v>
      </c>
      <c r="AN175" s="183" t="str">
        <f>IFERROR(__xludf.DUMMYFUNCTION("QUERY('Volunteer Survey'!O174)"),"No")</f>
        <v>No</v>
      </c>
      <c r="AO175" s="183" t="str">
        <f>IFERROR(__xludf.DUMMYFUNCTION("QUERY('Volunteer Survey'!P174)"),"Cardiovascular, cardiomyopathy, Long QT syndrome, FBN1")</f>
        <v>Cardiovascular, cardiomyopathy, Long QT syndrome, FBN1</v>
      </c>
    </row>
    <row r="176" ht="18.0" customHeight="1">
      <c r="A176" s="50">
        <f>IFERROR(__xludf.DUMMYFUNCTION("QUERY('Volunteer Survey'!A183)"),43581.592380995375)</f>
        <v>43581.59238</v>
      </c>
      <c r="B176" s="48" t="s">
        <v>160</v>
      </c>
      <c r="C176" s="53"/>
      <c r="D176" s="56">
        <v>43605.0</v>
      </c>
      <c r="E176" s="48" t="s">
        <v>117</v>
      </c>
      <c r="F176" s="48" t="s">
        <v>117</v>
      </c>
      <c r="G176" s="48" t="s">
        <v>251</v>
      </c>
      <c r="H176" s="51" t="s">
        <v>314</v>
      </c>
      <c r="I176" s="51" t="s">
        <v>139</v>
      </c>
      <c r="J176" s="56">
        <v>43712.0</v>
      </c>
      <c r="K176" s="56"/>
      <c r="L176" s="55" t="str">
        <f>IFERROR(__xludf.DUMMYFUNCTION("QUERY('Volunteer Survey'!B183)"),"Catherine Driscoll")</f>
        <v>Catherine Driscoll</v>
      </c>
      <c r="M176" s="55" t="str">
        <f>IFERROR(__xludf.DUMMYFUNCTION("QUERY('Volunteer Survey'!E183)"),"kate.driscoll@nih.gov")</f>
        <v>kate.driscoll@nih.gov</v>
      </c>
      <c r="N176" s="55" t="str">
        <f>IFERROR(__xludf.DUMMYFUNCTION("QUERY('Volunteer Survey'!F183)"),"Clinical laboratory geneticist")</f>
        <v>Clinical laboratory geneticist</v>
      </c>
      <c r="O176" s="48" t="str">
        <f>IFERROR(__xludf.DUMMYFUNCTION("QUERY('Volunteer Survey'!H183)"),"Comprehensive")</f>
        <v>Comprehensive</v>
      </c>
      <c r="P176" s="55" t="str">
        <f>IFERROR(__xludf.DUMMYFUNCTION("QUERY('Volunteer Survey'!I183)"),"Variant Pathogenicity")</f>
        <v>Variant Pathogenicity</v>
      </c>
      <c r="Q176" s="60" t="str">
        <f>IFERROR(__xludf.DUMMYFUNCTION("QUERY('Volunteer Survey'!J183)"),"")</f>
        <v/>
      </c>
      <c r="R176" s="55" t="str">
        <f>IFERROR(__xludf.DUMMYFUNCTION("QUERY('Volunteer Survey'!K183)"),"")</f>
        <v/>
      </c>
      <c r="S176" s="55" t="str">
        <f>IFERROR(__xludf.DUMMYFUNCTION("QUERY('Volunteer Survey'!L183)"),"")</f>
        <v/>
      </c>
      <c r="T176" s="55" t="str">
        <f>IFERROR(__xludf.DUMMYFUNCTION("QUERY('Volunteer Survey'!M183)"),"")</f>
        <v/>
      </c>
      <c r="U176" s="64" t="str">
        <f>IFERROR(__xludf.DUMMYFUNCTION("QUERY('Volunteer Survey'!N183)"),"Yes, my main task at work is annotation of variants in Dr. Biesecker's lab")</f>
        <v>Yes, my main task at work is annotation of variants in Dr. Biesecker's lab</v>
      </c>
      <c r="V176" s="55" t="str">
        <f>IFERROR(__xludf.DUMMYFUNCTION("QUERY('Volunteer Survey'!O183)"),"No")</f>
        <v>No</v>
      </c>
      <c r="W176" s="66" t="str">
        <f>IFERROR(__xludf.DUMMYFUNCTION("QUERY('Volunteer Survey'!P183)"),"Yes, RYR1 MHS")</f>
        <v>Yes, RYR1 MHS</v>
      </c>
      <c r="X176" s="64" t="str">
        <f>IFERROR(__xludf.DUMMYFUNCTION("QUERY('Volunteer Survey'!R183)"),"No - I am only interested in the group(s) I previously indicated")</f>
        <v>No - I am only interested in the group(s) I previously indicated</v>
      </c>
      <c r="Y176" s="51" t="s">
        <v>353</v>
      </c>
      <c r="Z176" s="182">
        <f>IFERROR(__xludf.DUMMYFUNCTION("QUERY('Volunteer Survey'!A175)"),43567.92645009259)</f>
        <v>43567.92645</v>
      </c>
      <c r="AA176" s="183" t="str">
        <f>IFERROR(__xludf.DUMMYFUNCTION("QUERY('Volunteer Survey'!B175)"),"Samya Chakravorty")</f>
        <v>Samya Chakravorty</v>
      </c>
      <c r="AB176" s="183" t="str">
        <f>IFERROR(__xludf.DUMMYFUNCTION("QUERY('Volunteer Survey'!C175)"),"Emory University")</f>
        <v>Emory University</v>
      </c>
      <c r="AC176" s="183" t="str">
        <f>IFERROR(__xludf.DUMMYFUNCTION("QUERY('Volunteer Survey'!D175)"),"615 Michael Street NE
Whitehead Building Level 3, Suite 301")</f>
        <v>615 Michael Street NE
Whitehead Building Level 3, Suite 301</v>
      </c>
      <c r="AD176" s="183" t="str">
        <f>IFERROR(__xludf.DUMMYFUNCTION("QUERY('Volunteer Survey'!E175)"),"samya.chakravorty@emory.edu")</f>
        <v>samya.chakravorty@emory.edu</v>
      </c>
      <c r="AE176" s="183" t="str">
        <f>IFERROR(__xludf.DUMMYFUNCTION("QUERY('Volunteer Survey'!F175)"),"Scientific Researcher")</f>
        <v>Scientific Researcher</v>
      </c>
      <c r="AF176" s="183" t="str">
        <f>IFERROR(__xludf.DUMMYFUNCTION("QUERY('Volunteer Survey'!G175)"),"ACMG Conference 2019, ClinGen conference advertisements (i.e. booth, workshop, presentation), Networking, Colleagues")</f>
        <v>ACMG Conference 2019, ClinGen conference advertisements (i.e. booth, workshop, presentation), Networking, Colleagues</v>
      </c>
      <c r="AG176" s="183" t="str">
        <f>IFERROR(__xludf.DUMMYFUNCTION("QUERY('Volunteer Survey'!H175)"),"Comprehensive")</f>
        <v>Comprehensive</v>
      </c>
      <c r="AH176" s="183" t="str">
        <f>IFERROR(__xludf.DUMMYFUNCTION("QUERY('Volunteer Survey'!I175)"),"Variant Pathogenicity")</f>
        <v>Variant Pathogenicity</v>
      </c>
      <c r="AI176" s="183" t="str">
        <f>IFERROR(__xludf.DUMMYFUNCTION("QUERY('Volunteer Survey'!J175)"),"Gene-Disease Validity")</f>
        <v>Gene-Disease Validity</v>
      </c>
      <c r="AJ176" s="183" t="str">
        <f>IFERROR(__xludf.DUMMYFUNCTION("QUERY('Volunteer Survey'!K175)"),"Clinical Actionability")</f>
        <v>Clinical Actionability</v>
      </c>
      <c r="AK176" s="183" t="str">
        <f>IFERROR(__xludf.DUMMYFUNCTION("QUERY('Volunteer Survey'!L175)"),"Dosage Sensitivity")</f>
        <v>Dosage Sensitivity</v>
      </c>
      <c r="AL176" s="183" t="str">
        <f>IFERROR(__xludf.DUMMYFUNCTION("QUERY('Volunteer Survey'!M175)"),"")</f>
        <v/>
      </c>
      <c r="AM176" s="183" t="str">
        <f>IFERROR(__xludf.DUMMYFUNCTION("QUERY('Volunteer Survey'!N175)"),"I do have experience in classifying variants based on my functional data and submitting in Clinvar, other databases, and understanding variant annotation and classification based on 2015 ACMG-AMP guidelines. I also have experience in understanding the dis"&amp;"ease causality of variants and genes in correlation with clinical data. Though most of my experiences are in clinical research setting, but I do work closely with CLIA labs, organizations, and board-certified clinical geneticists. ")</f>
        <v>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v>
      </c>
      <c r="AN176" s="183" t="str">
        <f>IFERROR(__xludf.DUMMYFUNCTION("QUERY('Volunteer Survey'!O175)"),"Yes")</f>
        <v>Yes</v>
      </c>
      <c r="AO176" s="183" t="str">
        <f>IFERROR(__xludf.DUMMYFUNCTION("QUERY('Volunteer Survey'!P175)"),"Lysosomal Storage Disorders, Epilepsy")</f>
        <v>Lysosomal Storage Disorders, Epilepsy</v>
      </c>
    </row>
    <row r="177">
      <c r="A177" s="50">
        <f>IFERROR(__xludf.DUMMYFUNCTION("QUERY('Volunteer Survey'!A184)"),43584.797477719905)</f>
        <v>43584.79748</v>
      </c>
      <c r="B177" s="48" t="s">
        <v>108</v>
      </c>
      <c r="C177" s="53"/>
      <c r="D177" s="55"/>
      <c r="E177" s="48"/>
      <c r="F177" s="48" t="s">
        <v>130</v>
      </c>
      <c r="G177" s="48" t="s">
        <v>202</v>
      </c>
      <c r="H177" s="53"/>
      <c r="I177" s="51" t="s">
        <v>139</v>
      </c>
      <c r="J177" s="55"/>
      <c r="K177" s="55"/>
      <c r="L177" s="55" t="str">
        <f>IFERROR(__xludf.DUMMYFUNCTION("QUERY('Volunteer Survey'!B184)"),"Sara King")</f>
        <v>Sara King</v>
      </c>
      <c r="M177" s="55" t="str">
        <f>IFERROR(__xludf.DUMMYFUNCTION("QUERY('Volunteer Survey'!E184)"),"sking127@student.umuc.edu")</f>
        <v>sking127@student.umuc.edu</v>
      </c>
      <c r="N177" s="55" t="str">
        <f>IFERROR(__xludf.DUMMYFUNCTION("QUERY('Volunteer Survey'!F184)"),"Graduate Student")</f>
        <v>Graduate Student</v>
      </c>
      <c r="O177" s="48" t="str">
        <f>IFERROR(__xludf.DUMMYFUNCTION("QUERY('Volunteer Survey'!H184)"),"Baseline")</f>
        <v>Baseline</v>
      </c>
      <c r="P177" s="55" t="str">
        <f>IFERROR(__xludf.DUMMYFUNCTION("QUERY('Volunteer Survey'!I184)"),"")</f>
        <v/>
      </c>
      <c r="Q177" s="60" t="str">
        <f>IFERROR(__xludf.DUMMYFUNCTION("QUERY('Volunteer Survey'!J184)"),"")</f>
        <v/>
      </c>
      <c r="R177" s="55" t="str">
        <f>IFERROR(__xludf.DUMMYFUNCTION("QUERY('Volunteer Survey'!K184)"),"")</f>
        <v/>
      </c>
      <c r="S177" s="55" t="str">
        <f>IFERROR(__xludf.DUMMYFUNCTION("QUERY('Volunteer Survey'!L184)"),"")</f>
        <v/>
      </c>
      <c r="T177" s="55" t="str">
        <f>IFERROR(__xludf.DUMMYFUNCTION("QUERY('Volunteer Survey'!M184)"),"")</f>
        <v/>
      </c>
      <c r="U177" s="64" t="str">
        <f>IFERROR(__xludf.DUMMYFUNCTION("QUERY('Volunteer Survey'!N184)"),"")</f>
        <v/>
      </c>
      <c r="V177" s="55" t="str">
        <f>IFERROR(__xludf.DUMMYFUNCTION("QUERY('Volunteer Survey'!O184)"),"Possibly")</f>
        <v>Possibly</v>
      </c>
      <c r="W177" s="66" t="str">
        <f>IFERROR(__xludf.DUMMYFUNCTION("QUERY('Volunteer Survey'!P184)"),"")</f>
        <v/>
      </c>
      <c r="X177" s="64" t="str">
        <f>IFERROR(__xludf.DUMMYFUNCTION("QUERY('Volunteer Survey'!R184)"),"")</f>
        <v/>
      </c>
      <c r="Y177" s="51"/>
      <c r="Z177" s="182">
        <f>IFERROR(__xludf.DUMMYFUNCTION("QUERY('Volunteer Survey'!A176)"),43568.82464288195)</f>
        <v>43568.82464</v>
      </c>
      <c r="AA177" s="183" t="str">
        <f>IFERROR(__xludf.DUMMYFUNCTION("QUERY('Volunteer Survey'!B176)"),"Fareed Al Qusous")</f>
        <v>Fareed Al Qusous</v>
      </c>
      <c r="AB177" s="183" t="str">
        <f>IFERROR(__xludf.DUMMYFUNCTION("QUERY('Volunteer Survey'!C176)"),"Mr")</f>
        <v>Mr</v>
      </c>
      <c r="AC177" s="183" t="str">
        <f>IFERROR(__xludf.DUMMYFUNCTION("QUERY('Volunteer Survey'!D176)"),"2 Garstand road canterbury halls")</f>
        <v>2 Garstand road canterbury halls</v>
      </c>
      <c r="AD177" s="183" t="str">
        <f>IFERROR(__xludf.DUMMYFUNCTION("QUERY('Volunteer Survey'!E176)"),"Fareedh.al.qusous@hotmail.com")</f>
        <v>Fareedh.al.qusous@hotmail.com</v>
      </c>
      <c r="AE177" s="183" t="str">
        <f>IFERROR(__xludf.DUMMYFUNCTION("QUERY('Volunteer Survey'!F176)"),"Undergraduate Student")</f>
        <v>Undergraduate Student</v>
      </c>
      <c r="AF177" s="183" t="str">
        <f>IFERROR(__xludf.DUMMYFUNCTION("QUERY('Volunteer Survey'!G176)"),"google")</f>
        <v>google</v>
      </c>
      <c r="AG177" s="183" t="str">
        <f>IFERROR(__xludf.DUMMYFUNCTION("QUERY('Volunteer Survey'!H176)"),"Comprehensive")</f>
        <v>Comprehensive</v>
      </c>
      <c r="AH177" s="183" t="str">
        <f>IFERROR(__xludf.DUMMYFUNCTION("QUERY('Volunteer Survey'!I176)"),"Clinical Actionability")</f>
        <v>Clinical Actionability</v>
      </c>
      <c r="AI177" s="183" t="str">
        <f>IFERROR(__xludf.DUMMYFUNCTION("QUERY('Volunteer Survey'!J176)"),"Gene-Disease Validity")</f>
        <v>Gene-Disease Validity</v>
      </c>
      <c r="AJ177" s="183" t="str">
        <f>IFERROR(__xludf.DUMMYFUNCTION("QUERY('Volunteer Survey'!K176)"),"Variant Pathogenicity")</f>
        <v>Variant Pathogenicity</v>
      </c>
      <c r="AK177" s="183" t="str">
        <f>IFERROR(__xludf.DUMMYFUNCTION("QUERY('Volunteer Survey'!L176)"),"Dosage Sensitivity")</f>
        <v>Dosage Sensitivity</v>
      </c>
      <c r="AL177" s="183" t="str">
        <f>IFERROR(__xludf.DUMMYFUNCTION("QUERY('Volunteer Survey'!M176)"),"Somatic Cancer")</f>
        <v>Somatic Cancer</v>
      </c>
      <c r="AM177" s="183" t="str">
        <f>IFERROR(__xludf.DUMMYFUNCTION("QUERY('Volunteer Survey'!N176)"),"")</f>
        <v/>
      </c>
      <c r="AN177" s="183" t="str">
        <f>IFERROR(__xludf.DUMMYFUNCTION("QUERY('Volunteer Survey'!O176)"),"Possibly")</f>
        <v>Possibly</v>
      </c>
      <c r="AO177" s="183" t="str">
        <f>IFERROR(__xludf.DUMMYFUNCTION("QUERY('Volunteer Survey'!P176)"),"")</f>
        <v/>
      </c>
    </row>
    <row r="178">
      <c r="A178" s="50">
        <f>IFERROR(__xludf.DUMMYFUNCTION("QUERY('Volunteer Survey'!A185)"),43585.63376069444)</f>
        <v>43585.63376</v>
      </c>
      <c r="B178" s="48" t="s">
        <v>108</v>
      </c>
      <c r="C178" s="79">
        <v>43689.0</v>
      </c>
      <c r="D178" s="56">
        <v>43768.0</v>
      </c>
      <c r="E178" s="48" t="s">
        <v>117</v>
      </c>
      <c r="F178" s="48" t="s">
        <v>117</v>
      </c>
      <c r="G178" s="48" t="s">
        <v>19</v>
      </c>
      <c r="H178" s="69" t="s">
        <v>19</v>
      </c>
      <c r="I178" s="69" t="s">
        <v>139</v>
      </c>
      <c r="J178" s="55"/>
      <c r="K178" s="55"/>
      <c r="L178" s="55" t="str">
        <f>IFERROR(__xludf.DUMMYFUNCTION("QUERY('Volunteer Survey'!B185)"),"Gifty Bhat")</f>
        <v>Gifty Bhat</v>
      </c>
      <c r="M178" s="55" t="str">
        <f>IFERROR(__xludf.DUMMYFUNCTION("QUERY('Volunteer Survey'!E185)"),"drgiftybhat@gmail.com")</f>
        <v>drgiftybhat@gmail.com</v>
      </c>
      <c r="N178" s="55" t="str">
        <f>IFERROR(__xludf.DUMMYFUNCTION("QUERY('Volunteer Survey'!F185)"),"Clinical Medical Geneticist")</f>
        <v>Clinical Medical Geneticist</v>
      </c>
      <c r="O178" s="48" t="str">
        <f>IFERROR(__xludf.DUMMYFUNCTION("QUERY('Volunteer Survey'!H185)"),"Comprehensive")</f>
        <v>Comprehensive</v>
      </c>
      <c r="P178" s="55" t="str">
        <f>IFERROR(__xludf.DUMMYFUNCTION("QUERY('Volunteer Survey'!I185)"),"Clinical Actionability")</f>
        <v>Clinical Actionability</v>
      </c>
      <c r="Q178" s="60" t="str">
        <f>IFERROR(__xludf.DUMMYFUNCTION("QUERY('Volunteer Survey'!J185)"),"Gene-Disease Validity")</f>
        <v>Gene-Disease Validity</v>
      </c>
      <c r="R178" s="55" t="str">
        <f>IFERROR(__xludf.DUMMYFUNCTION("QUERY('Volunteer Survey'!K185)"),"Variant Pathogenicity")</f>
        <v>Variant Pathogenicity</v>
      </c>
      <c r="S178" s="55" t="str">
        <f>IFERROR(__xludf.DUMMYFUNCTION("QUERY('Volunteer Survey'!L185)"),"Dosage Sensitivity")</f>
        <v>Dosage Sensitivity</v>
      </c>
      <c r="T178" s="55" t="str">
        <f>IFERROR(__xludf.DUMMYFUNCTION("QUERY('Volunteer Survey'!M185)"),"Somatic Cancer")</f>
        <v>Somatic Cancer</v>
      </c>
      <c r="U178" s="64" t="str">
        <f>IFERROR(__xludf.DUMMYFUNCTION("QUERY('Volunteer Survey'!N185)"),"")</f>
        <v/>
      </c>
      <c r="V178" s="55" t="str">
        <f>IFERROR(__xludf.DUMMYFUNCTION("QUERY('Volunteer Survey'!O185)"),"Yes")</f>
        <v>Yes</v>
      </c>
      <c r="W178" s="66" t="str">
        <f>IFERROR(__xludf.DUMMYFUNCTION("QUERY('Volunteer Survey'!P185)"),"Intellectual disability and autism")</f>
        <v>Intellectual disability and autism</v>
      </c>
      <c r="X178" s="64" t="str">
        <f>IFERROR(__xludf.DUMMYFUNCTION("QUERY('Volunteer Survey'!R185)"),"Yes- I am willing to volunteer with any available ClinGen group")</f>
        <v>Yes- I am willing to volunteer with any available ClinGen group</v>
      </c>
      <c r="Y178" s="51"/>
      <c r="Z178" s="182">
        <f>IFERROR(__xludf.DUMMYFUNCTION("QUERY('Volunteer Survey'!A177)"),43570.893279675925)</f>
        <v>43570.89328</v>
      </c>
      <c r="AA178" s="183" t="str">
        <f>IFERROR(__xludf.DUMMYFUNCTION("QUERY('Volunteer Survey'!B177)"),"Mi-Ae Jang")</f>
        <v>Mi-Ae Jang</v>
      </c>
      <c r="AB178" s="183" t="str">
        <f>IFERROR(__xludf.DUMMYFUNCTION("QUERY('Volunteer Survey'!C177)"),"Soonchunhyang University Hospital")</f>
        <v>Soonchunhyang University Hospital</v>
      </c>
      <c r="AC178" s="183" t="str">
        <f>IFERROR(__xludf.DUMMYFUNCTION("QUERY('Volunteer Survey'!D177)"),"170 Jomaru-ro, Wonmi-gu, Bucheon, Gyenggido, South Korea")</f>
        <v>170 Jomaru-ro, Wonmi-gu, Bucheon, Gyenggido, South Korea</v>
      </c>
      <c r="AD178" s="183" t="str">
        <f>IFERROR(__xludf.DUMMYFUNCTION("QUERY('Volunteer Survey'!E177)"),"miaeyaho@gmail.com")</f>
        <v>miaeyaho@gmail.com</v>
      </c>
      <c r="AE178" s="183" t="str">
        <f>IFERROR(__xludf.DUMMYFUNCTION("QUERY('Volunteer Survey'!F177)"),"Clinical laboratory geneticist")</f>
        <v>Clinical laboratory geneticist</v>
      </c>
      <c r="AF178" s="183" t="str">
        <f>IFERROR(__xludf.DUMMYFUNCTION("QUERY('Volunteer Survey'!G177)"),"The clinicalgenome.org website")</f>
        <v>The clinicalgenome.org website</v>
      </c>
      <c r="AG178" s="183" t="str">
        <f>IFERROR(__xludf.DUMMYFUNCTION("QUERY('Volunteer Survey'!H177)"),"Baseline")</f>
        <v>Baseline</v>
      </c>
      <c r="AH178" s="183" t="str">
        <f>IFERROR(__xludf.DUMMYFUNCTION("QUERY('Volunteer Survey'!I177)"),"")</f>
        <v/>
      </c>
      <c r="AI178" s="183" t="str">
        <f>IFERROR(__xludf.DUMMYFUNCTION("QUERY('Volunteer Survey'!J177)"),"")</f>
        <v/>
      </c>
      <c r="AJ178" s="183" t="str">
        <f>IFERROR(__xludf.DUMMYFUNCTION("QUERY('Volunteer Survey'!K177)"),"")</f>
        <v/>
      </c>
      <c r="AK178" s="183" t="str">
        <f>IFERROR(__xludf.DUMMYFUNCTION("QUERY('Volunteer Survey'!L177)"),"")</f>
        <v/>
      </c>
      <c r="AL178" s="183" t="str">
        <f>IFERROR(__xludf.DUMMYFUNCTION("QUERY('Volunteer Survey'!M177)"),"")</f>
        <v/>
      </c>
      <c r="AM178" s="183" t="str">
        <f>IFERROR(__xludf.DUMMYFUNCTION("QUERY('Volunteer Survey'!N177)"),"")</f>
        <v/>
      </c>
      <c r="AN178" s="183" t="str">
        <f>IFERROR(__xludf.DUMMYFUNCTION("QUERY('Volunteer Survey'!O177)"),"Possibly")</f>
        <v>Possibly</v>
      </c>
      <c r="AO178" s="183" t="str">
        <f>IFERROR(__xludf.DUMMYFUNCTION("QUERY('Volunteer Survey'!P177)"),"Variant curation expert panel for myeloid malignancy and brain malformation")</f>
        <v>Variant curation expert panel for myeloid malignancy and brain malformation</v>
      </c>
    </row>
    <row r="179" ht="17.25" customHeight="1">
      <c r="A179" s="50">
        <f>IFERROR(__xludf.DUMMYFUNCTION("QUERY('Volunteer Survey'!A186)"),43586.59645730324)</f>
        <v>43586.59646</v>
      </c>
      <c r="B179" s="48" t="s">
        <v>160</v>
      </c>
      <c r="C179" s="53"/>
      <c r="D179" s="56">
        <v>43608.0</v>
      </c>
      <c r="E179" s="48" t="s">
        <v>117</v>
      </c>
      <c r="F179" s="48" t="s">
        <v>117</v>
      </c>
      <c r="G179" s="48" t="s">
        <v>251</v>
      </c>
      <c r="H179" s="51" t="s">
        <v>302</v>
      </c>
      <c r="I179" s="69" t="s">
        <v>139</v>
      </c>
      <c r="J179" s="56">
        <v>43712.0</v>
      </c>
      <c r="K179" s="56"/>
      <c r="L179" s="55" t="str">
        <f>IFERROR(__xludf.DUMMYFUNCTION("QUERY('Volunteer Survey'!B186)"),"Ashley Marsh")</f>
        <v>Ashley Marsh</v>
      </c>
      <c r="M179" s="55" t="str">
        <f>IFERROR(__xludf.DUMMYFUNCTION("QUERY('Volunteer Survey'!E186)"),"amarsh@ucsd.edu")</f>
        <v>amarsh@ucsd.edu</v>
      </c>
      <c r="N179" s="55" t="str">
        <f>IFERROR(__xludf.DUMMYFUNCTION("QUERY('Volunteer Survey'!F186)"),"Post Doc/Resident/Fellow (MD and/or PhD)")</f>
        <v>Post Doc/Resident/Fellow (MD and/or PhD)</v>
      </c>
      <c r="O179" s="48" t="str">
        <f>IFERROR(__xludf.DUMMYFUNCTION("QUERY('Volunteer Survey'!H186)"),"Comprehensive")</f>
        <v>Comprehensive</v>
      </c>
      <c r="P179" s="55" t="str">
        <f>IFERROR(__xludf.DUMMYFUNCTION("QUERY('Volunteer Survey'!I186)"),"Variant Pathogenicity")</f>
        <v>Variant Pathogenicity</v>
      </c>
      <c r="Q179" s="60" t="str">
        <f>IFERROR(__xludf.DUMMYFUNCTION("QUERY('Volunteer Survey'!J186)"),"Gene-Disease Validity")</f>
        <v>Gene-Disease Validity</v>
      </c>
      <c r="R179" s="55" t="str">
        <f>IFERROR(__xludf.DUMMYFUNCTION("QUERY('Volunteer Survey'!K186)"),"")</f>
        <v/>
      </c>
      <c r="S179" s="55" t="str">
        <f>IFERROR(__xludf.DUMMYFUNCTION("QUERY('Volunteer Survey'!L186)"),"")</f>
        <v/>
      </c>
      <c r="T179" s="55" t="str">
        <f>IFERROR(__xludf.DUMMYFUNCTION("QUERY('Volunteer Survey'!M186)"),"")</f>
        <v/>
      </c>
      <c r="U179" s="64" t="str">
        <f>IFERROR(__xludf.DUMMYFUNCTION("QUERY('Volunteer Survey'!N186)"),"Variant Pathogenicity – I gained extensive sequence variant interpretation experience through my undergraduate and graduate research projects. I assessed the pathogenicity of variants associated with inherited cardiomyopathies during my undergraduate degr"&amp;"ee and undertook similar assessments during my graduate studies, focused on neurodevelopment and novel disease gene discovery. I published a Nature Genetics paper in 2017 describing the first genetic cause of isolated agenesis of the corpus callosum. I su"&amp;"bsequently created and maintain a LOVD for the disease gene (DCC), where I use ACMG and other criteria (in silico, conversation, population databases, etc.) to assess the pathogenicity of reported variants.
Gene-Disease Validity – My PhD dissertation foc"&amp;"used on novel disease gene discovery. Throughout my candidature, I utilized modern genomic technologies (including exome and targeted resequencing) to identify and characterize novel disease genes associated with neurodevelopmental disorders such as agene"&amp;"sis of the corpus callosum and focal cortical dysplasia.")</f>
        <v>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v>
      </c>
      <c r="V179" s="55" t="str">
        <f>IFERROR(__xludf.DUMMYFUNCTION("QUERY('Volunteer Survey'!O186)"),"Possibly")</f>
        <v>Possibly</v>
      </c>
      <c r="W179" s="66" t="str">
        <f>IFERROR(__xludf.DUMMYFUNCTION("QUERY('Volunteer Survey'!P186)"),"•	Brain Malformations Variant Curation Expert Panel
•	Brain Malformations Gene Curation Expert Panel")</f>
        <v>•	Brain Malformations Variant Curation Expert Panel
•	Brain Malformations Gene Curation Expert Panel</v>
      </c>
      <c r="X179" s="64" t="str">
        <f>IFERROR(__xludf.DUMMYFUNCTION("QUERY('Volunteer Survey'!R186)"),"Maybe -- please contact me with other options, and I will decide based on what is available")</f>
        <v>Maybe -- please contact me with other options, and I will decide based on what is available</v>
      </c>
      <c r="Y179" s="51"/>
      <c r="Z179" s="182">
        <f>IFERROR(__xludf.DUMMYFUNCTION("QUERY('Volunteer Survey'!A178)"),43571.977917592594)</f>
        <v>43571.97792</v>
      </c>
      <c r="AA179" s="183" t="str">
        <f>IFERROR(__xludf.DUMMYFUNCTION("QUERY('Volunteer Survey'!B178)"),"Alison Bright")</f>
        <v>Alison Bright</v>
      </c>
      <c r="AB179" s="183" t="str">
        <f>IFERROR(__xludf.DUMMYFUNCTION("QUERY('Volunteer Survey'!C178)"),"Quest Diagnostics")</f>
        <v>Quest Diagnostics</v>
      </c>
      <c r="AC179" s="183" t="str">
        <f>IFERROR(__xludf.DUMMYFUNCTION("QUERY('Volunteer Survey'!D178)"),"200 Forest St, Marlborough, MA")</f>
        <v>200 Forest St, Marlborough, MA</v>
      </c>
      <c r="AD179" s="183" t="str">
        <f>IFERROR(__xludf.DUMMYFUNCTION("QUERY('Volunteer Survey'!E178)"),"alison.r.bright@questdiagnostics.com")</f>
        <v>alison.r.bright@questdiagnostics.com</v>
      </c>
      <c r="AE179" s="183" t="str">
        <f>IFERROR(__xludf.DUMMYFUNCTION("QUERY('Volunteer Survey'!F178)"),"Variant Analyst/Scientist - Industry")</f>
        <v>Variant Analyst/Scientist - Industry</v>
      </c>
      <c r="AF179" s="183" t="str">
        <f>IFERROR(__xludf.DUMMYFUNCTION("QUERY('Volunteer Survey'!G178)"),"Networking, Heard abt it from Marina DiStefano (Clinical Molecular Genetics Fellow)")</f>
        <v>Networking, Heard abt it from Marina DiStefano (Clinical Molecular Genetics Fellow)</v>
      </c>
      <c r="AG179" s="183" t="str">
        <f>IFERROR(__xludf.DUMMYFUNCTION("QUERY('Volunteer Survey'!H178)"),"Comprehensive")</f>
        <v>Comprehensive</v>
      </c>
      <c r="AH179" s="183" t="str">
        <f>IFERROR(__xludf.DUMMYFUNCTION("QUERY('Volunteer Survey'!I178)"),"Gene-Disease Validity")</f>
        <v>Gene-Disease Validity</v>
      </c>
      <c r="AI179" s="183" t="str">
        <f>IFERROR(__xludf.DUMMYFUNCTION("QUERY('Volunteer Survey'!J178)"),"Dosage Sensitivity")</f>
        <v>Dosage Sensitivity</v>
      </c>
      <c r="AJ179" s="183" t="str">
        <f>IFERROR(__xludf.DUMMYFUNCTION("QUERY('Volunteer Survey'!K178)"),"")</f>
        <v/>
      </c>
      <c r="AK179" s="183" t="str">
        <f>IFERROR(__xludf.DUMMYFUNCTION("QUERY('Volunteer Survey'!L178)"),"")</f>
        <v/>
      </c>
      <c r="AL179" s="183" t="str">
        <f>IFERROR(__xludf.DUMMYFUNCTION("QUERY('Volunteer Survey'!M178)"),"")</f>
        <v/>
      </c>
      <c r="AM179" s="183" t="str">
        <f>IFERROR(__xludf.DUMMYFUNCTION("QUERY('Volunteer Survey'!N178)"),"6 years as a variant scientist: past 2 years focused on CNVs identified by microarray. Prior to that was focused on SNVs identified by single gene and panel tests.")</f>
        <v>6 years as a variant scientist: past 2 years focused on CNVs identified by microarray. Prior to that was focused on SNVs identified by single gene and panel tests.</v>
      </c>
      <c r="AN179" s="183" t="str">
        <f>IFERROR(__xludf.DUMMYFUNCTION("QUERY('Volunteer Survey'!O178)"),"No")</f>
        <v>No</v>
      </c>
      <c r="AO179" s="183" t="str">
        <f>IFERROR(__xludf.DUMMYFUNCTION("QUERY('Volunteer Survey'!P178)"),"ID/Autism")</f>
        <v>ID/Autism</v>
      </c>
    </row>
    <row r="180">
      <c r="A180" s="50">
        <f>IFERROR(__xludf.DUMMYFUNCTION("QUERY('Volunteer Survey'!A187)"),43587.167243738426)</f>
        <v>43587.16724</v>
      </c>
      <c r="B180" s="48" t="s">
        <v>108</v>
      </c>
      <c r="C180" s="53"/>
      <c r="D180" s="65">
        <v>43585.0</v>
      </c>
      <c r="E180" s="48" t="s">
        <v>117</v>
      </c>
      <c r="F180" s="48" t="s">
        <v>117</v>
      </c>
      <c r="G180" s="48" t="s">
        <v>122</v>
      </c>
      <c r="H180" s="51" t="s">
        <v>311</v>
      </c>
      <c r="I180" s="69" t="s">
        <v>139</v>
      </c>
      <c r="J180" s="55"/>
      <c r="K180" s="55"/>
      <c r="L180" s="55" t="str">
        <f>IFERROR(__xludf.DUMMYFUNCTION("QUERY('Volunteer Survey'!B187)"),"Kevin Colclough")</f>
        <v>Kevin Colclough</v>
      </c>
      <c r="M180" s="55" t="str">
        <f>IFERROR(__xludf.DUMMYFUNCTION("QUERY('Volunteer Survey'!E187)"),"kevin.colclough@nhs.net")</f>
        <v>kevin.colclough@nhs.net</v>
      </c>
      <c r="N180" s="55" t="str">
        <f>IFERROR(__xludf.DUMMYFUNCTION("QUERY('Volunteer Survey'!F187)"),"Clinical laboratory geneticist")</f>
        <v>Clinical laboratory geneticist</v>
      </c>
      <c r="O180" s="48" t="str">
        <f>IFERROR(__xludf.DUMMYFUNCTION("QUERY('Volunteer Survey'!H187)"),"Comprehensive")</f>
        <v>Comprehensive</v>
      </c>
      <c r="P180" s="55" t="str">
        <f>IFERROR(__xludf.DUMMYFUNCTION("QUERY('Volunteer Survey'!I187)"),"Variant Pathogenicity")</f>
        <v>Variant Pathogenicity</v>
      </c>
      <c r="Q180" s="60" t="str">
        <f>IFERROR(__xludf.DUMMYFUNCTION("QUERY('Volunteer Survey'!J187)"),"Gene-Disease Validity")</f>
        <v>Gene-Disease Validity</v>
      </c>
      <c r="R180" s="55" t="str">
        <f>IFERROR(__xludf.DUMMYFUNCTION("QUERY('Volunteer Survey'!K187)"),"Clinical Actionability")</f>
        <v>Clinical Actionability</v>
      </c>
      <c r="S180" s="55" t="str">
        <f>IFERROR(__xludf.DUMMYFUNCTION("QUERY('Volunteer Survey'!L187)"),"Dosage Sensitivity")</f>
        <v>Dosage Sensitivity</v>
      </c>
      <c r="T180" s="55" t="str">
        <f>IFERROR(__xludf.DUMMYFUNCTION("QUERY('Volunteer Survey'!M187)"),"Somatic Cancer")</f>
        <v>Somatic Cancer</v>
      </c>
      <c r="U180" s="64" t="str">
        <f>IFERROR(__xludf.DUMMYFUNCTION("QUERY('Volunteer Survey'!N187)"),"I routinely perform variant pathogenicity classification and gene-disease validity as part of my routine diagnostic laboratory work.")</f>
        <v>I routinely perform variant pathogenicity classification and gene-disease validity as part of my routine diagnostic laboratory work.</v>
      </c>
      <c r="V180" s="55" t="str">
        <f>IFERROR(__xludf.DUMMYFUNCTION("QUERY('Volunteer Survey'!O187)"),"Yes")</f>
        <v>Yes</v>
      </c>
      <c r="W180" s="66" t="str">
        <f>IFERROR(__xludf.DUMMYFUNCTION("QUERY('Volunteer Survey'!P187)"),"I am a member of the variant curation and gene curation expert panels for monogenic diabetes.")</f>
        <v>I am a member of the variant curation and gene curation expert panels for monogenic diabetes.</v>
      </c>
      <c r="X180" s="64" t="str">
        <f>IFERROR(__xludf.DUMMYFUNCTION("QUERY('Volunteer Survey'!R187)"),"No - I am only interested in the group(s) I previously indicated")</f>
        <v>No - I am only interested in the group(s) I previously indicated</v>
      </c>
      <c r="Y180" s="51"/>
      <c r="Z180" s="182">
        <f>IFERROR(__xludf.DUMMYFUNCTION("QUERY('Volunteer Survey'!A179)"),43577.60680598379)</f>
        <v>43577.60681</v>
      </c>
      <c r="AA180" s="183" t="str">
        <f>IFERROR(__xludf.DUMMYFUNCTION("QUERY('Volunteer Survey'!B179)"),"Chloe Whitten")</f>
        <v>Chloe Whitten</v>
      </c>
      <c r="AB180" s="183" t="str">
        <f>IFERROR(__xludf.DUMMYFUNCTION("QUERY('Volunteer Survey'!C179)"),"Ambry Genetics")</f>
        <v>Ambry Genetics</v>
      </c>
      <c r="AC180" s="183" t="str">
        <f>IFERROR(__xludf.DUMMYFUNCTION("QUERY('Volunteer Survey'!D179)"),"")</f>
        <v/>
      </c>
      <c r="AD180" s="183" t="str">
        <f>IFERROR(__xludf.DUMMYFUNCTION("QUERY('Volunteer Survey'!E179)"),"cwhitten@ambrygen.com")</f>
        <v>cwhitten@ambrygen.com</v>
      </c>
      <c r="AE180" s="183" t="str">
        <f>IFERROR(__xludf.DUMMYFUNCTION("QUERY('Volunteer Survey'!F179)"),"Recent graduate, can help with more admin tasks")</f>
        <v>Recent graduate, can help with more admin tasks</v>
      </c>
      <c r="AF180" s="183" t="str">
        <f>IFERROR(__xludf.DUMMYFUNCTION("QUERY('Volunteer Survey'!G179)"),"ACMG Conference 2019, Colleagues")</f>
        <v>ACMG Conference 2019, Colleagues</v>
      </c>
      <c r="AG180" s="183" t="str">
        <f>IFERROR(__xludf.DUMMYFUNCTION("QUERY('Volunteer Survey'!H179)"),"Comprehensive")</f>
        <v>Comprehensive</v>
      </c>
      <c r="AH180" s="183" t="str">
        <f>IFERROR(__xludf.DUMMYFUNCTION("QUERY('Volunteer Survey'!I179)"),"Variant Pathogenicity")</f>
        <v>Variant Pathogenicity</v>
      </c>
      <c r="AI180" s="183" t="str">
        <f>IFERROR(__xludf.DUMMYFUNCTION("QUERY('Volunteer Survey'!J179)"),"")</f>
        <v/>
      </c>
      <c r="AJ180" s="183" t="str">
        <f>IFERROR(__xludf.DUMMYFUNCTION("QUERY('Volunteer Survey'!K179)"),"")</f>
        <v/>
      </c>
      <c r="AK180" s="183" t="str">
        <f>IFERROR(__xludf.DUMMYFUNCTION("QUERY('Volunteer Survey'!L179)"),"")</f>
        <v/>
      </c>
      <c r="AL180" s="183" t="str">
        <f>IFERROR(__xludf.DUMMYFUNCTION("QUERY('Volunteer Survey'!M179)"),"")</f>
        <v/>
      </c>
      <c r="AM180" s="183" t="str">
        <f>IFERROR(__xludf.DUMMYFUNCTION("QUERY('Volunteer Survey'!N179)"),"I don’t have experience with curation but I am eager to learn and have experience with more administrative/tedious tasks. I’d love to be involved but I understand that I do not have an clinical degrees")</f>
        <v>I don’t have experience with curation but I am eager to learn and have experience with more administrative/tedious tasks. I’d love to be involved but I understand that I do not have an clinical degrees</v>
      </c>
      <c r="AN180" s="183" t="str">
        <f>IFERROR(__xludf.DUMMYFUNCTION("QUERY('Volunteer Survey'!O179)"),"Possibly")</f>
        <v>Possibly</v>
      </c>
      <c r="AO180" s="183" t="str">
        <f>IFERROR(__xludf.DUMMYFUNCTION("QUERY('Volunteer Survey'!P179)"),"FBN1, PKU or LSD")</f>
        <v>FBN1, PKU or LSD</v>
      </c>
    </row>
    <row r="181">
      <c r="A181" s="50">
        <f>IFERROR(__xludf.DUMMYFUNCTION("QUERY('Volunteer Survey'!A188)"),43588.538737627314)</f>
        <v>43588.53874</v>
      </c>
      <c r="B181" s="48" t="s">
        <v>108</v>
      </c>
      <c r="C181" s="79">
        <v>43705.0</v>
      </c>
      <c r="D181" s="55"/>
      <c r="E181" s="48"/>
      <c r="F181" s="48" t="s">
        <v>130</v>
      </c>
      <c r="G181" s="48" t="s">
        <v>136</v>
      </c>
      <c r="H181" s="53"/>
      <c r="I181" s="69" t="s">
        <v>139</v>
      </c>
      <c r="J181" s="55"/>
      <c r="K181" s="55"/>
      <c r="L181" s="55" t="str">
        <f>IFERROR(__xludf.DUMMYFUNCTION("QUERY('Volunteer Survey'!B188)"),"Erin Sybouts")</f>
        <v>Erin Sybouts</v>
      </c>
      <c r="M181" s="55" t="str">
        <f>IFERROR(__xludf.DUMMYFUNCTION("QUERY('Volunteer Survey'!E188)"),"sybouts@livemail.uthscsa.edu")</f>
        <v>sybouts@livemail.uthscsa.edu</v>
      </c>
      <c r="N181" s="55" t="str">
        <f>IFERROR(__xludf.DUMMYFUNCTION("QUERY('Volunteer Survey'!F188)"),"Graduate Student")</f>
        <v>Graduate Student</v>
      </c>
      <c r="O181" s="48" t="str">
        <f>IFERROR(__xludf.DUMMYFUNCTION("QUERY('Volunteer Survey'!H188)"),"Comprehensive")</f>
        <v>Comprehensive</v>
      </c>
      <c r="P181" s="55" t="str">
        <f>IFERROR(__xludf.DUMMYFUNCTION("QUERY('Volunteer Survey'!I188)"),"Somatic Cancer")</f>
        <v>Somatic Cancer</v>
      </c>
      <c r="Q181" s="60" t="str">
        <f>IFERROR(__xludf.DUMMYFUNCTION("QUERY('Volunteer Survey'!J188)"),"Dosage Sensitivity")</f>
        <v>Dosage Sensitivity</v>
      </c>
      <c r="R181" s="55" t="str">
        <f>IFERROR(__xludf.DUMMYFUNCTION("QUERY('Volunteer Survey'!K188)"),"Gene-Disease Validity")</f>
        <v>Gene-Disease Validity</v>
      </c>
      <c r="S181" s="55" t="str">
        <f>IFERROR(__xludf.DUMMYFUNCTION("QUERY('Volunteer Survey'!L188)"),"Variant Pathogenicity")</f>
        <v>Variant Pathogenicity</v>
      </c>
      <c r="T181" s="55" t="str">
        <f>IFERROR(__xludf.DUMMYFUNCTION("QUERY('Volunteer Survey'!M188)"),"Clinical Actionability")</f>
        <v>Clinical Actionability</v>
      </c>
      <c r="U181" s="64" t="str">
        <f>IFERROR(__xludf.DUMMYFUNCTION("QUERY('Volunteer Survey'!N188)"),"")</f>
        <v/>
      </c>
      <c r="V181" s="55" t="str">
        <f>IFERROR(__xludf.DUMMYFUNCTION("QUERY('Volunteer Survey'!O188)"),"Yes")</f>
        <v>Yes</v>
      </c>
      <c r="W181" s="66" t="str">
        <f>IFERROR(__xludf.DUMMYFUNCTION("QUERY('Volunteer Survey'!P188)"),"TP53")</f>
        <v>TP53</v>
      </c>
      <c r="X181" s="64" t="str">
        <f>IFERROR(__xludf.DUMMYFUNCTION("QUERY('Volunteer Survey'!R188)"),"Yes- I am willing to volunteer with any available ClinGen group")</f>
        <v>Yes- I am willing to volunteer with any available ClinGen group</v>
      </c>
      <c r="Y181" s="51"/>
      <c r="Z181" s="182">
        <f>IFERROR(__xludf.DUMMYFUNCTION("QUERY('Volunteer Survey'!A180)"),43577.87438443287)</f>
        <v>43577.87438</v>
      </c>
      <c r="AA181" s="183" t="str">
        <f>IFERROR(__xludf.DUMMYFUNCTION("QUERY('Volunteer Survey'!B180)"),"Jaclyn Murry")</f>
        <v>Jaclyn Murry</v>
      </c>
      <c r="AB181" s="183" t="str">
        <f>IFERROR(__xludf.DUMMYFUNCTION("QUERY('Volunteer Survey'!C180)"),"UCLA")</f>
        <v>UCLA</v>
      </c>
      <c r="AC181" s="183" t="str">
        <f>IFERROR(__xludf.DUMMYFUNCTION("QUERY('Volunteer Survey'!D180)"),"1400 Kelton ave, apt 111")</f>
        <v>1400 Kelton ave, apt 111</v>
      </c>
      <c r="AD181" s="183" t="str">
        <f>IFERROR(__xludf.DUMMYFUNCTION("QUERY('Volunteer Survey'!E180)"),"jmurry@mednet.ucla.edu")</f>
        <v>jmurry@mednet.ucla.edu</v>
      </c>
      <c r="AE181" s="183" t="str">
        <f>IFERROR(__xludf.DUMMYFUNCTION("QUERY('Volunteer Survey'!F180)"),"Clinical laboratory geneticist")</f>
        <v>Clinical laboratory geneticist</v>
      </c>
      <c r="AF181" s="183" t="str">
        <f>IFERROR(__xludf.DUMMYFUNCTION("QUERY('Volunteer Survey'!G180)"),"Colleagues, ClinGen affiliated emails and/or newsletters")</f>
        <v>Colleagues, ClinGen affiliated emails and/or newsletters</v>
      </c>
      <c r="AG181" s="183" t="str">
        <f>IFERROR(__xludf.DUMMYFUNCTION("QUERY('Volunteer Survey'!H180)"),"Baseline")</f>
        <v>Baseline</v>
      </c>
      <c r="AH181" s="183" t="str">
        <f>IFERROR(__xludf.DUMMYFUNCTION("QUERY('Volunteer Survey'!I180)"),"Dosage Sensitivity")</f>
        <v>Dosage Sensitivity</v>
      </c>
      <c r="AI181" s="183" t="str">
        <f>IFERROR(__xludf.DUMMYFUNCTION("QUERY('Volunteer Survey'!J180)"),"Variant Pathogenicity")</f>
        <v>Variant Pathogenicity</v>
      </c>
      <c r="AJ181" s="183" t="str">
        <f>IFERROR(__xludf.DUMMYFUNCTION("QUERY('Volunteer Survey'!K180)"),"")</f>
        <v/>
      </c>
      <c r="AK181" s="183" t="str">
        <f>IFERROR(__xludf.DUMMYFUNCTION("QUERY('Volunteer Survey'!L180)"),"")</f>
        <v/>
      </c>
      <c r="AL181" s="183" t="str">
        <f>IFERROR(__xludf.DUMMYFUNCTION("QUERY('Volunteer Survey'!M180)"),"")</f>
        <v/>
      </c>
      <c r="AM181" s="183" t="str">
        <f>IFERROR(__xludf.DUMMYFUNCTION("QUERY('Volunteer Survey'!N180)"),"Currently review CMA cases on service")</f>
        <v>Currently review CMA cases on service</v>
      </c>
      <c r="AN181" s="183" t="str">
        <f>IFERROR(__xludf.DUMMYFUNCTION("QUERY('Volunteer Survey'!O180)"),"No")</f>
        <v>No</v>
      </c>
      <c r="AO181" s="183" t="str">
        <f>IFERROR(__xludf.DUMMYFUNCTION("QUERY('Volunteer Survey'!P180)"),"Interest in CNVs")</f>
        <v>Interest in CNVs</v>
      </c>
    </row>
    <row r="182">
      <c r="A182" s="50">
        <f>IFERROR(__xludf.DUMMYFUNCTION("QUERY('Volunteer Survey'!A189)"),43591.44244180556)</f>
        <v>43591.44244</v>
      </c>
      <c r="B182" s="48" t="s">
        <v>108</v>
      </c>
      <c r="C182" s="53"/>
      <c r="D182" s="55"/>
      <c r="E182" s="48"/>
      <c r="F182" s="48" t="s">
        <v>130</v>
      </c>
      <c r="G182" s="48" t="s">
        <v>202</v>
      </c>
      <c r="H182" s="53"/>
      <c r="I182" s="69" t="s">
        <v>139</v>
      </c>
      <c r="J182" s="55"/>
      <c r="K182" s="55"/>
      <c r="L182" s="55" t="str">
        <f>IFERROR(__xludf.DUMMYFUNCTION("QUERY('Volunteer Survey'!B189)"),"Jimena Murguia")</f>
        <v>Jimena Murguia</v>
      </c>
      <c r="M182" s="55" t="str">
        <f>IFERROR(__xludf.DUMMYFUNCTION("QUERY('Volunteer Survey'!E189)"),"jimena887@yahoo.es")</f>
        <v>jimena887@yahoo.es</v>
      </c>
      <c r="N182" s="55" t="str">
        <f>IFERROR(__xludf.DUMMYFUNCTION("QUERY('Volunteer Survey'!F189)"),"Clinical laboratory geneticist")</f>
        <v>Clinical laboratory geneticist</v>
      </c>
      <c r="O182" s="48" t="str">
        <f>IFERROR(__xludf.DUMMYFUNCTION("QUERY('Volunteer Survey'!H189)"),"Baseline")</f>
        <v>Baseline</v>
      </c>
      <c r="P182" s="55" t="str">
        <f>IFERROR(__xludf.DUMMYFUNCTION("QUERY('Volunteer Survey'!I189)"),"Variant Pathogenicity")</f>
        <v>Variant Pathogenicity</v>
      </c>
      <c r="Q182" s="60" t="str">
        <f>IFERROR(__xludf.DUMMYFUNCTION("QUERY('Volunteer Survey'!J189)"),"Clinical Actionability")</f>
        <v>Clinical Actionability</v>
      </c>
      <c r="R182" s="55" t="str">
        <f>IFERROR(__xludf.DUMMYFUNCTION("QUERY('Volunteer Survey'!K189)"),"Gene-Disease Validity")</f>
        <v>Gene-Disease Validity</v>
      </c>
      <c r="S182" s="55" t="str">
        <f>IFERROR(__xludf.DUMMYFUNCTION("QUERY('Volunteer Survey'!L189)"),"Dosage Sensitivity")</f>
        <v>Dosage Sensitivity</v>
      </c>
      <c r="T182" s="55" t="str">
        <f>IFERROR(__xludf.DUMMYFUNCTION("QUERY('Volunteer Survey'!M189)"),"Somatic Cancer")</f>
        <v>Somatic Cancer</v>
      </c>
      <c r="U182" s="64" t="str">
        <f>IFERROR(__xludf.DUMMYFUNCTION("QUERY('Volunteer Survey'!N189)"),"")</f>
        <v/>
      </c>
      <c r="V182" s="55" t="str">
        <f>IFERROR(__xludf.DUMMYFUNCTION("QUERY('Volunteer Survey'!O189)"),"Possibly")</f>
        <v>Possibly</v>
      </c>
      <c r="W182" s="66" t="str">
        <f>IFERROR(__xludf.DUMMYFUNCTION("QUERY('Volunteer Survey'!P189)"),"")</f>
        <v/>
      </c>
      <c r="X182" s="64" t="str">
        <f>IFERROR(__xludf.DUMMYFUNCTION("QUERY('Volunteer Survey'!R189)"),"Yes- I am willing to volunteer with any available ClinGen group")</f>
        <v>Yes- I am willing to volunteer with any available ClinGen group</v>
      </c>
      <c r="Y182" s="51"/>
      <c r="Z182" s="182">
        <f>IFERROR(__xludf.DUMMYFUNCTION("QUERY('Volunteer Survey'!A181)"),43578.689141759256)</f>
        <v>43578.68914</v>
      </c>
      <c r="AA182" s="183" t="str">
        <f>IFERROR(__xludf.DUMMYFUNCTION("QUERY('Volunteer Survey'!B181)"),"Ying Zou")</f>
        <v>Ying Zou</v>
      </c>
      <c r="AB182" s="183" t="str">
        <f>IFERROR(__xludf.DUMMYFUNCTION("QUERY('Volunteer Survey'!C181)"),"University of Maryland")</f>
        <v>University of Maryland</v>
      </c>
      <c r="AC182" s="183" t="str">
        <f>IFERROR(__xludf.DUMMYFUNCTION("QUERY('Volunteer Survey'!D181)"),"655 W. Baltimore st., BRB-7-025, Baltimore, MD 21201")</f>
        <v>655 W. Baltimore st., BRB-7-025, Baltimore, MD 21201</v>
      </c>
      <c r="AD182" s="183" t="str">
        <f>IFERROR(__xludf.DUMMYFUNCTION("QUERY('Volunteer Survey'!E181)")," yzou19@jhmi.edu")</f>
        <v> yzou19@jhmi.edu</v>
      </c>
      <c r="AE182" s="183" t="str">
        <f>IFERROR(__xludf.DUMMYFUNCTION("QUERY('Volunteer Survey'!F181)"),"Clinical laboratory geneticist")</f>
        <v>Clinical laboratory geneticist</v>
      </c>
      <c r="AF182" s="183" t="str">
        <f>IFERROR(__xludf.DUMMYFUNCTION("QUERY('Volunteer Survey'!G181)"),"Colleagues")</f>
        <v>Colleagues</v>
      </c>
      <c r="AG182" s="183" t="str">
        <f>IFERROR(__xludf.DUMMYFUNCTION("QUERY('Volunteer Survey'!H181)"),"Comprehensive")</f>
        <v>Comprehensive</v>
      </c>
      <c r="AH182" s="183" t="str">
        <f>IFERROR(__xludf.DUMMYFUNCTION("QUERY('Volunteer Survey'!I181)"),"Somatic Cancer")</f>
        <v>Somatic Cancer</v>
      </c>
      <c r="AI182" s="183" t="str">
        <f>IFERROR(__xludf.DUMMYFUNCTION("QUERY('Volunteer Survey'!J181)"),"Variant Pathogenicity")</f>
        <v>Variant Pathogenicity</v>
      </c>
      <c r="AJ182" s="183" t="str">
        <f>IFERROR(__xludf.DUMMYFUNCTION("QUERY('Volunteer Survey'!K181)"),"Clinical Actionability")</f>
        <v>Clinical Actionability</v>
      </c>
      <c r="AK182" s="183" t="str">
        <f>IFERROR(__xludf.DUMMYFUNCTION("QUERY('Volunteer Survey'!L181)"),"Gene-Disease Validity")</f>
        <v>Gene-Disease Validity</v>
      </c>
      <c r="AL182" s="183" t="str">
        <f>IFERROR(__xludf.DUMMYFUNCTION("QUERY('Volunteer Survey'!M181)"),"Dosage Sensitivity")</f>
        <v>Dosage Sensitivity</v>
      </c>
      <c r="AM182" s="183" t="str">
        <f>IFERROR(__xludf.DUMMYFUNCTION("QUERY('Volunteer Survey'!N181)"),"")</f>
        <v/>
      </c>
      <c r="AN182" s="183" t="str">
        <f>IFERROR(__xludf.DUMMYFUNCTION("QUERY('Volunteer Survey'!O181)"),"Possibly")</f>
        <v>Possibly</v>
      </c>
      <c r="AO182" s="183" t="str">
        <f>IFERROR(__xludf.DUMMYFUNCTION("QUERY('Volunteer Survey'!P181)"),"somatic cancer")</f>
        <v>somatic cancer</v>
      </c>
    </row>
    <row r="183">
      <c r="A183" s="50">
        <f>IFERROR(__xludf.DUMMYFUNCTION("QUERY('Volunteer Survey'!A190)"),43591.690803784724)</f>
        <v>43591.6908</v>
      </c>
      <c r="B183" s="48" t="s">
        <v>108</v>
      </c>
      <c r="C183" s="53"/>
      <c r="D183" s="55"/>
      <c r="E183" s="48"/>
      <c r="F183" s="48" t="s">
        <v>130</v>
      </c>
      <c r="G183" s="48" t="s">
        <v>202</v>
      </c>
      <c r="H183" s="53"/>
      <c r="I183" s="69" t="s">
        <v>139</v>
      </c>
      <c r="J183" s="55"/>
      <c r="K183" s="55"/>
      <c r="L183" s="55" t="str">
        <f>IFERROR(__xludf.DUMMYFUNCTION("QUERY('Volunteer Survey'!B190)"),"Robert Lewis")</f>
        <v>Robert Lewis</v>
      </c>
      <c r="M183" s="55" t="str">
        <f>IFERROR(__xludf.DUMMYFUNCTION("QUERY('Volunteer Survey'!E190)"),"rglewis@uci.edu")</f>
        <v>rglewis@uci.edu</v>
      </c>
      <c r="N183" s="55" t="str">
        <f>IFERROR(__xludf.DUMMYFUNCTION("QUERY('Volunteer Survey'!F190)"),"Graduate Student")</f>
        <v>Graduate Student</v>
      </c>
      <c r="O183" s="48" t="str">
        <f>IFERROR(__xludf.DUMMYFUNCTION("QUERY('Volunteer Survey'!H190)"),"Baseline")</f>
        <v>Baseline</v>
      </c>
      <c r="P183" s="55" t="str">
        <f>IFERROR(__xludf.DUMMYFUNCTION("QUERY('Volunteer Survey'!I190)"),"Gene-Disease Validity")</f>
        <v>Gene-Disease Validity</v>
      </c>
      <c r="Q183" s="60" t="str">
        <f>IFERROR(__xludf.DUMMYFUNCTION("QUERY('Volunteer Survey'!J190)"),"Variant Pathogenicity")</f>
        <v>Variant Pathogenicity</v>
      </c>
      <c r="R183" s="55" t="str">
        <f>IFERROR(__xludf.DUMMYFUNCTION("QUERY('Volunteer Survey'!K190)"),"Clinical Actionability")</f>
        <v>Clinical Actionability</v>
      </c>
      <c r="S183" s="55" t="str">
        <f>IFERROR(__xludf.DUMMYFUNCTION("QUERY('Volunteer Survey'!L190)"),"Dosage Sensitivity")</f>
        <v>Dosage Sensitivity</v>
      </c>
      <c r="T183" s="55" t="str">
        <f>IFERROR(__xludf.DUMMYFUNCTION("QUERY('Volunteer Survey'!M190)"),"Somatic Cancer")</f>
        <v>Somatic Cancer</v>
      </c>
      <c r="U183" s="64" t="str">
        <f>IFERROR(__xludf.DUMMYFUNCTION("QUERY('Volunteer Survey'!N190)"),"")</f>
        <v/>
      </c>
      <c r="V183" s="55" t="str">
        <f>IFERROR(__xludf.DUMMYFUNCTION("QUERY('Volunteer Survey'!O190)"),"Possibly")</f>
        <v>Possibly</v>
      </c>
      <c r="W183" s="66" t="str">
        <f>IFERROR(__xludf.DUMMYFUNCTION("QUERY('Volunteer Survey'!P190)"),"Neurodevelopmental")</f>
        <v>Neurodevelopmental</v>
      </c>
      <c r="X183" s="64" t="str">
        <f>IFERROR(__xludf.DUMMYFUNCTION("QUERY('Volunteer Survey'!R190)"),"Maybe -- please contact me with other options, and I will decide based on what is available")</f>
        <v>Maybe -- please contact me with other options, and I will decide based on what is available</v>
      </c>
      <c r="Y183" s="53"/>
      <c r="Z183" s="182">
        <f>IFERROR(__xludf.DUMMYFUNCTION("QUERY('Volunteer Survey'!A182)"),43581.01534331018)</f>
        <v>43581.01534</v>
      </c>
      <c r="AA183" s="183" t="str">
        <f>IFERROR(__xludf.DUMMYFUNCTION("QUERY('Volunteer Survey'!B182)"),"JIXIA LIU")</f>
        <v>JIXIA LIU</v>
      </c>
      <c r="AB183" s="183" t="str">
        <f>IFERROR(__xludf.DUMMYFUNCTION("QUERY('Volunteer Survey'!C182)"),"Sema4 Genomics")</f>
        <v>Sema4 Genomics</v>
      </c>
      <c r="AC183" s="183" t="str">
        <f>IFERROR(__xludf.DUMMYFUNCTION("QUERY('Volunteer Survey'!D182)"),"72 E 97th st
Unit 13")</f>
        <v>72 E 97th st
Unit 13</v>
      </c>
      <c r="AD183" s="183" t="str">
        <f>IFERROR(__xludf.DUMMYFUNCTION("QUERY('Volunteer Survey'!E182)"),"jixialiu@gmail.com")</f>
        <v>jixialiu@gmail.com</v>
      </c>
      <c r="AE183" s="183" t="str">
        <f>IFERROR(__xludf.DUMMYFUNCTION("QUERY('Volunteer Survey'!F182)"),"Clinical Variant Curator")</f>
        <v>Clinical Variant Curator</v>
      </c>
      <c r="AF183" s="183" t="str">
        <f>IFERROR(__xludf.DUMMYFUNCTION("QUERY('Volunteer Survey'!G182)"),"Networking")</f>
        <v>Networking</v>
      </c>
      <c r="AG183" s="183" t="str">
        <f>IFERROR(__xludf.DUMMYFUNCTION("QUERY('Volunteer Survey'!H182)"),"Comprehensive")</f>
        <v>Comprehensive</v>
      </c>
      <c r="AH183" s="183" t="str">
        <f>IFERROR(__xludf.DUMMYFUNCTION("QUERY('Volunteer Survey'!I182)"),"Gene-Disease Validity")</f>
        <v>Gene-Disease Validity</v>
      </c>
      <c r="AI183" s="183" t="str">
        <f>IFERROR(__xludf.DUMMYFUNCTION("QUERY('Volunteer Survey'!J182)"),"Variant Pathogenicity")</f>
        <v>Variant Pathogenicity</v>
      </c>
      <c r="AJ183" s="183" t="str">
        <f>IFERROR(__xludf.DUMMYFUNCTION("QUERY('Volunteer Survey'!K182)"),"Somatic Cancer")</f>
        <v>Somatic Cancer</v>
      </c>
      <c r="AK183" s="183" t="str">
        <f>IFERROR(__xludf.DUMMYFUNCTION("QUERY('Volunteer Survey'!L182)"),"Clinical Actionability")</f>
        <v>Clinical Actionability</v>
      </c>
      <c r="AL183" s="183" t="str">
        <f>IFERROR(__xludf.DUMMYFUNCTION("QUERY('Volunteer Survey'!M182)"),"Dosage Sensitivity")</f>
        <v>Dosage Sensitivity</v>
      </c>
      <c r="AM183" s="183" t="str">
        <f>IFERROR(__xludf.DUMMYFUNCTION("QUERY('Volunteer Survey'!N182)"),"I have had one year working experience with variant pathogenicity  in carrier testing. I have some knowledge about Gene-Disease Validity and Somatic Cancer curation by attending seminars and working on research project.")</f>
        <v>I have had one year working experience with variant pathogenicity  in carrier testing. I have some knowledge about Gene-Disease Validity and Somatic Cancer curation by attending seminars and working on research project.</v>
      </c>
      <c r="AN183" s="183" t="str">
        <f>IFERROR(__xludf.DUMMYFUNCTION("QUERY('Volunteer Survey'!O182)"),"Possibly")</f>
        <v>Possibly</v>
      </c>
      <c r="AO183" s="183" t="str">
        <f>IFERROR(__xludf.DUMMYFUNCTION("QUERY('Volunteer Survey'!P182)"),"I am in Variant Curation for Lysosomal Storage Disorders now, and would be interested in any gene curation group as well.")</f>
        <v>I am in Variant Curation for Lysosomal Storage Disorders now, and would be interested in any gene curation group as well.</v>
      </c>
    </row>
    <row r="184">
      <c r="A184" s="50">
        <f>IFERROR(__xludf.DUMMYFUNCTION("QUERY('Volunteer Survey'!A191)"),43592.73996135417)</f>
        <v>43592.73996</v>
      </c>
      <c r="B184" s="48" t="s">
        <v>108</v>
      </c>
      <c r="C184" s="53"/>
      <c r="D184" s="65">
        <v>43692.0</v>
      </c>
      <c r="E184" s="48" t="s">
        <v>117</v>
      </c>
      <c r="F184" s="48" t="s">
        <v>117</v>
      </c>
      <c r="G184" s="48" t="s">
        <v>122</v>
      </c>
      <c r="H184" s="53"/>
      <c r="I184" s="69" t="s">
        <v>139</v>
      </c>
      <c r="J184" s="55"/>
      <c r="K184" s="55"/>
      <c r="L184" s="55" t="str">
        <f>IFERROR(__xludf.DUMMYFUNCTION("QUERY('Volunteer Survey'!B191)"),"FEN GUO")</f>
        <v>FEN GUO</v>
      </c>
      <c r="M184" s="55" t="str">
        <f>IFERROR(__xludf.DUMMYFUNCTION("QUERY('Volunteer Survey'!E191)"),"fguo34@wisc.edu")</f>
        <v>fguo34@wisc.edu</v>
      </c>
      <c r="N184" s="55" t="str">
        <f>IFERROR(__xludf.DUMMYFUNCTION("QUERY('Volunteer Survey'!F191)"),"Post Doc/Resident/Fellow (MD and/or PhD)")</f>
        <v>Post Doc/Resident/Fellow (MD and/or PhD)</v>
      </c>
      <c r="O184" s="48" t="str">
        <f>IFERROR(__xludf.DUMMYFUNCTION("QUERY('Volunteer Survey'!H191)"),"Comprehensive")</f>
        <v>Comprehensive</v>
      </c>
      <c r="P184" s="55" t="str">
        <f>IFERROR(__xludf.DUMMYFUNCTION("QUERY('Volunteer Survey'!I191)"),"Gene-Disease Validity")</f>
        <v>Gene-Disease Validity</v>
      </c>
      <c r="Q184" s="60" t="str">
        <f>IFERROR(__xludf.DUMMYFUNCTION("QUERY('Volunteer Survey'!J191)"),"Variant Pathogenicity")</f>
        <v>Variant Pathogenicity</v>
      </c>
      <c r="R184" s="55" t="str">
        <f>IFERROR(__xludf.DUMMYFUNCTION("QUERY('Volunteer Survey'!K191)"),"Somatic Cancer")</f>
        <v>Somatic Cancer</v>
      </c>
      <c r="S184" s="55" t="str">
        <f>IFERROR(__xludf.DUMMYFUNCTION("QUERY('Volunteer Survey'!L191)"),"Clinical Actionability")</f>
        <v>Clinical Actionability</v>
      </c>
      <c r="T184" s="55" t="str">
        <f>IFERROR(__xludf.DUMMYFUNCTION("QUERY('Volunteer Survey'!M191)"),"Dosage Sensitivity")</f>
        <v>Dosage Sensitivity</v>
      </c>
      <c r="U184" s="64" t="str">
        <f>IFERROR(__xludf.DUMMYFUNCTION("QUERY('Volunteer Survey'!N191)"),"No")</f>
        <v>No</v>
      </c>
      <c r="V184" s="55" t="str">
        <f>IFERROR(__xludf.DUMMYFUNCTION("QUERY('Volunteer Survey'!O191)"),"Possibly")</f>
        <v>Possibly</v>
      </c>
      <c r="W184" s="66" t="str">
        <f>IFERROR(__xludf.DUMMYFUNCTION("QUERY('Volunteer Survey'!P191)"),"Gene Curation Expert Panels-Hereditary Cancer")</f>
        <v>Gene Curation Expert Panels-Hereditary Cancer</v>
      </c>
      <c r="X184" s="64" t="str">
        <f>IFERROR(__xludf.DUMMYFUNCTION("QUERY('Volunteer Survey'!R191)"),"Yes- I am willing to volunteer with any available ClinGen group")</f>
        <v>Yes- I am willing to volunteer with any available ClinGen group</v>
      </c>
      <c r="Y184" s="53"/>
      <c r="Z184" s="182">
        <f>IFERROR(__xludf.DUMMYFUNCTION("QUERY('Volunteer Survey'!A183)"),43581.592380995375)</f>
        <v>43581.59238</v>
      </c>
      <c r="AA184" s="183" t="str">
        <f>IFERROR(__xludf.DUMMYFUNCTION("QUERY('Volunteer Survey'!B183)"),"Catherine Driscoll")</f>
        <v>Catherine Driscoll</v>
      </c>
      <c r="AB184" s="183" t="str">
        <f>IFERROR(__xludf.DUMMYFUNCTION("QUERY('Volunteer Survey'!C183)"),"NHGRI, NIH")</f>
        <v>NHGRI, NIH</v>
      </c>
      <c r="AC184" s="183" t="str">
        <f>IFERROR(__xludf.DUMMYFUNCTION("QUERY('Volunteer Survey'!D183)"),"50 South Dr., room 5142, Bethesda, MD 20814")</f>
        <v>50 South Dr., room 5142, Bethesda, MD 20814</v>
      </c>
      <c r="AD184" s="183" t="str">
        <f>IFERROR(__xludf.DUMMYFUNCTION("QUERY('Volunteer Survey'!E183)"),"kate.driscoll@nih.gov")</f>
        <v>kate.driscoll@nih.gov</v>
      </c>
      <c r="AE184" s="183" t="str">
        <f>IFERROR(__xludf.DUMMYFUNCTION("QUERY('Volunteer Survey'!F183)"),"Clinical laboratory geneticist")</f>
        <v>Clinical laboratory geneticist</v>
      </c>
      <c r="AF184" s="183" t="str">
        <f>IFERROR(__xludf.DUMMYFUNCTION("QUERY('Volunteer Survey'!G183)"),"Suggestion from mentor")</f>
        <v>Suggestion from mentor</v>
      </c>
      <c r="AG184" s="183" t="str">
        <f>IFERROR(__xludf.DUMMYFUNCTION("QUERY('Volunteer Survey'!H183)"),"Comprehensive")</f>
        <v>Comprehensive</v>
      </c>
      <c r="AH184" s="183" t="str">
        <f>IFERROR(__xludf.DUMMYFUNCTION("QUERY('Volunteer Survey'!I183)"),"Variant Pathogenicity")</f>
        <v>Variant Pathogenicity</v>
      </c>
      <c r="AI184" s="183" t="str">
        <f>IFERROR(__xludf.DUMMYFUNCTION("QUERY('Volunteer Survey'!J183)"),"")</f>
        <v/>
      </c>
      <c r="AJ184" s="183" t="str">
        <f>IFERROR(__xludf.DUMMYFUNCTION("QUERY('Volunteer Survey'!K183)"),"")</f>
        <v/>
      </c>
      <c r="AK184" s="183" t="str">
        <f>IFERROR(__xludf.DUMMYFUNCTION("QUERY('Volunteer Survey'!L183)"),"")</f>
        <v/>
      </c>
      <c r="AL184" s="183" t="str">
        <f>IFERROR(__xludf.DUMMYFUNCTION("QUERY('Volunteer Survey'!M183)"),"")</f>
        <v/>
      </c>
      <c r="AM184" s="183" t="str">
        <f>IFERROR(__xludf.DUMMYFUNCTION("QUERY('Volunteer Survey'!N183)"),"Yes, my main task at work is annotation of variants in Dr. Biesecker's lab")</f>
        <v>Yes, my main task at work is annotation of variants in Dr. Biesecker's lab</v>
      </c>
      <c r="AN184" s="183" t="str">
        <f>IFERROR(__xludf.DUMMYFUNCTION("QUERY('Volunteer Survey'!O183)"),"No")</f>
        <v>No</v>
      </c>
      <c r="AO184" s="183" t="str">
        <f>IFERROR(__xludf.DUMMYFUNCTION("QUERY('Volunteer Survey'!P183)"),"Yes, RYR1 MHS")</f>
        <v>Yes, RYR1 MHS</v>
      </c>
    </row>
    <row r="185">
      <c r="A185" s="50">
        <f>IFERROR(__xludf.DUMMYFUNCTION("QUERY('Volunteer Survey'!A192)"),43592.88754996528)</f>
        <v>43592.88755</v>
      </c>
      <c r="B185" s="48" t="s">
        <v>108</v>
      </c>
      <c r="C185" s="79">
        <v>43819.0</v>
      </c>
      <c r="D185" s="55"/>
      <c r="E185" s="48"/>
      <c r="F185" s="48" t="s">
        <v>130</v>
      </c>
      <c r="G185" s="48" t="s">
        <v>122</v>
      </c>
      <c r="H185" s="53"/>
      <c r="I185" s="69" t="s">
        <v>139</v>
      </c>
      <c r="J185" s="55"/>
      <c r="K185" s="55"/>
      <c r="L185" s="55" t="str">
        <f>IFERROR(__xludf.DUMMYFUNCTION("QUERY('Volunteer Survey'!B192)"),"Elizabeth Palmer")</f>
        <v>Elizabeth Palmer</v>
      </c>
      <c r="M185" s="55" t="str">
        <f>IFERROR(__xludf.DUMMYFUNCTION("QUERY('Volunteer Survey'!E192)"),"elizabeth.palmer1@health.nsw.gov.au")</f>
        <v>elizabeth.palmer1@health.nsw.gov.au</v>
      </c>
      <c r="N185" s="55" t="str">
        <f>IFERROR(__xludf.DUMMYFUNCTION("QUERY('Volunteer Survey'!F192)"),"Clinical Medical Geneticist")</f>
        <v>Clinical Medical Geneticist</v>
      </c>
      <c r="O185" s="48" t="str">
        <f>IFERROR(__xludf.DUMMYFUNCTION("QUERY('Volunteer Survey'!H192)"),"Comprehensive")</f>
        <v>Comprehensive</v>
      </c>
      <c r="P185" s="55" t="str">
        <f>IFERROR(__xludf.DUMMYFUNCTION("QUERY('Volunteer Survey'!I192)"),"Gene-Disease Validity")</f>
        <v>Gene-Disease Validity</v>
      </c>
      <c r="Q185" s="60" t="str">
        <f>IFERROR(__xludf.DUMMYFUNCTION("QUERY('Volunteer Survey'!J192)"),"Variant Pathogenicity")</f>
        <v>Variant Pathogenicity</v>
      </c>
      <c r="R185" s="55" t="str">
        <f>IFERROR(__xludf.DUMMYFUNCTION("QUERY('Volunteer Survey'!K192)"),"")</f>
        <v/>
      </c>
      <c r="S185" s="55" t="str">
        <f>IFERROR(__xludf.DUMMYFUNCTION("QUERY('Volunteer Survey'!L192)"),"")</f>
        <v/>
      </c>
      <c r="T185" s="55" t="str">
        <f>IFERROR(__xludf.DUMMYFUNCTION("QUERY('Volunteer Survey'!M192)"),"")</f>
        <v/>
      </c>
      <c r="U185" s="64" t="str">
        <f>IFERROR(__xludf.DUMMYFUNCTION("QUERY('Volunteer Survey'!N192)"),"member of AUSTRALIAN FUNCTIONAL GENOMICS CLINICAL REVIEW PANEL. Variant curation as part of my PhD and clinical research practice. ")</f>
        <v>member of AUSTRALIAN FUNCTIONAL GENOMICS CLINICAL REVIEW PANEL. Variant curation as part of my PhD and clinical research practice. </v>
      </c>
      <c r="V185" s="55" t="str">
        <f>IFERROR(__xludf.DUMMYFUNCTION("QUERY('Volunteer Survey'!O192)"),"No")</f>
        <v>No</v>
      </c>
      <c r="W185" s="66" t="str">
        <f>IFERROR(__xludf.DUMMYFUNCTION("QUERY('Volunteer Survey'!P192)"),"epilepsy / ID and autism")</f>
        <v>epilepsy / ID and autism</v>
      </c>
      <c r="X185" s="64" t="str">
        <f>IFERROR(__xludf.DUMMYFUNCTION("QUERY('Volunteer Survey'!R192)"),"Maybe -- please contact me with other options, and I will decide based on what is available")</f>
        <v>Maybe -- please contact me with other options, and I will decide based on what is available</v>
      </c>
      <c r="Y185" s="53"/>
      <c r="Z185" s="182">
        <f>IFERROR(__xludf.DUMMYFUNCTION("QUERY('Volunteer Survey'!A184)"),43584.797477719905)</f>
        <v>43584.79748</v>
      </c>
      <c r="AA185" s="183" t="str">
        <f>IFERROR(__xludf.DUMMYFUNCTION("QUERY('Volunteer Survey'!B184)"),"Sara King")</f>
        <v>Sara King</v>
      </c>
      <c r="AB185" s="183" t="str">
        <f>IFERROR(__xludf.DUMMYFUNCTION("QUERY('Volunteer Survey'!C184)"),"UMUC")</f>
        <v>UMUC</v>
      </c>
      <c r="AC185" s="183" t="str">
        <f>IFERROR(__xludf.DUMMYFUNCTION("QUERY('Volunteer Survey'!D184)"),"")</f>
        <v/>
      </c>
      <c r="AD185" s="183" t="str">
        <f>IFERROR(__xludf.DUMMYFUNCTION("QUERY('Volunteer Survey'!E184)"),"sking127@student.umuc.edu")</f>
        <v>sking127@student.umuc.edu</v>
      </c>
      <c r="AE185" s="183" t="str">
        <f>IFERROR(__xludf.DUMMYFUNCTION("QUERY('Volunteer Survey'!F184)"),"Graduate Student")</f>
        <v>Graduate Student</v>
      </c>
      <c r="AF185" s="183" t="str">
        <f>IFERROR(__xludf.DUMMYFUNCTION("QUERY('Volunteer Survey'!G184)"),"The clinicalgenome.org website")</f>
        <v>The clinicalgenome.org website</v>
      </c>
      <c r="AG185" s="183" t="str">
        <f>IFERROR(__xludf.DUMMYFUNCTION("QUERY('Volunteer Survey'!H184)"),"Baseline")</f>
        <v>Baseline</v>
      </c>
      <c r="AH185" s="183" t="str">
        <f>IFERROR(__xludf.DUMMYFUNCTION("QUERY('Volunteer Survey'!I184)"),"")</f>
        <v/>
      </c>
      <c r="AI185" s="183" t="str">
        <f>IFERROR(__xludf.DUMMYFUNCTION("QUERY('Volunteer Survey'!J184)"),"")</f>
        <v/>
      </c>
      <c r="AJ185" s="183" t="str">
        <f>IFERROR(__xludf.DUMMYFUNCTION("QUERY('Volunteer Survey'!K184)"),"")</f>
        <v/>
      </c>
      <c r="AK185" s="183" t="str">
        <f>IFERROR(__xludf.DUMMYFUNCTION("QUERY('Volunteer Survey'!L184)"),"")</f>
        <v/>
      </c>
      <c r="AL185" s="183" t="str">
        <f>IFERROR(__xludf.DUMMYFUNCTION("QUERY('Volunteer Survey'!M184)"),"")</f>
        <v/>
      </c>
      <c r="AM185" s="183" t="str">
        <f>IFERROR(__xludf.DUMMYFUNCTION("QUERY('Volunteer Survey'!N184)"),"")</f>
        <v/>
      </c>
      <c r="AN185" s="183" t="str">
        <f>IFERROR(__xludf.DUMMYFUNCTION("QUERY('Volunteer Survey'!O184)"),"Possibly")</f>
        <v>Possibly</v>
      </c>
      <c r="AO185" s="183" t="str">
        <f>IFERROR(__xludf.DUMMYFUNCTION("QUERY('Volunteer Survey'!P184)"),"")</f>
        <v/>
      </c>
    </row>
    <row r="186">
      <c r="A186" s="50">
        <f>IFERROR(__xludf.DUMMYFUNCTION("QUERY('Volunteer Survey'!A193)"),43593.204109722225)</f>
        <v>43593.20411</v>
      </c>
      <c r="B186" s="48" t="s">
        <v>108</v>
      </c>
      <c r="C186" s="53"/>
      <c r="D186" s="55"/>
      <c r="E186" s="48"/>
      <c r="F186" s="48" t="s">
        <v>130</v>
      </c>
      <c r="G186" s="48" t="s">
        <v>202</v>
      </c>
      <c r="H186" s="53"/>
      <c r="I186" s="69" t="s">
        <v>139</v>
      </c>
      <c r="J186" s="55"/>
      <c r="K186" s="55"/>
      <c r="L186" s="55" t="str">
        <f>IFERROR(__xludf.DUMMYFUNCTION("QUERY('Volunteer Survey'!B193)"),"Vira Lamtieva")</f>
        <v>Vira Lamtieva</v>
      </c>
      <c r="M186" s="55" t="str">
        <f>IFERROR(__xludf.DUMMYFUNCTION("QUERY('Volunteer Survey'!E193)"),"lamteva.vera@gmail.com")</f>
        <v>lamteva.vera@gmail.com</v>
      </c>
      <c r="N186" s="55" t="str">
        <f>IFERROR(__xludf.DUMMYFUNCTION("QUERY('Volunteer Survey'!F193)"),"Clinical laboratory geneticist")</f>
        <v>Clinical laboratory geneticist</v>
      </c>
      <c r="O186" s="48" t="str">
        <f>IFERROR(__xludf.DUMMYFUNCTION("QUERY('Volunteer Survey'!H193)"),"Baseline")</f>
        <v>Baseline</v>
      </c>
      <c r="P186" s="55" t="str">
        <f>IFERROR(__xludf.DUMMYFUNCTION("QUERY('Volunteer Survey'!I193)"),"Variant Pathogenicity")</f>
        <v>Variant Pathogenicity</v>
      </c>
      <c r="Q186" s="60" t="str">
        <f>IFERROR(__xludf.DUMMYFUNCTION("QUERY('Volunteer Survey'!J193)"),"Gene-Disease Validity")</f>
        <v>Gene-Disease Validity</v>
      </c>
      <c r="R186" s="55" t="str">
        <f>IFERROR(__xludf.DUMMYFUNCTION("QUERY('Volunteer Survey'!K193)"),"")</f>
        <v/>
      </c>
      <c r="S186" s="55" t="str">
        <f>IFERROR(__xludf.DUMMYFUNCTION("QUERY('Volunteer Survey'!L193)"),"")</f>
        <v/>
      </c>
      <c r="T186" s="55" t="str">
        <f>IFERROR(__xludf.DUMMYFUNCTION("QUERY('Volunteer Survey'!M193)"),"")</f>
        <v/>
      </c>
      <c r="U186" s="64" t="str">
        <f>IFERROR(__xludf.DUMMYFUNCTION("QUERY('Volunteer Survey'!N193)"),"I don't have curation experience but I have been learning variant analysis and interpretation since 2016. Our lab has been offering WES interpretation for some time, and it is currently my working responsibility. Yet I have analysed up to 10 cases so far."&amp;" ")</f>
        <v>I don't have curation experience but I have been learning variant analysis and interpretation since 2016. Our lab has been offering WES interpretation for some time, and it is currently my working responsibility. Yet I have analysed up to 10 cases so far. </v>
      </c>
      <c r="V186" s="55" t="str">
        <f>IFERROR(__xludf.DUMMYFUNCTION("QUERY('Volunteer Survey'!O193)"),"Possibly")</f>
        <v>Possibly</v>
      </c>
      <c r="W186" s="66" t="str">
        <f>IFERROR(__xludf.DUMMYFUNCTION("QUERY('Volunteer Survey'!P193)"),"Brain malformations, Lysosomal storage diseases, Mitochondrial diseases, Intellectual Disability/Autism")</f>
        <v>Brain malformations, Lysosomal storage diseases, Mitochondrial diseases, Intellectual Disability/Autism</v>
      </c>
      <c r="X186" s="64" t="str">
        <f>IFERROR(__xludf.DUMMYFUNCTION("QUERY('Volunteer Survey'!R193)"),"Maybe -- please contact me with other options, and I will decide based on what is available")</f>
        <v>Maybe -- please contact me with other options, and I will decide based on what is available</v>
      </c>
      <c r="Y186" s="53"/>
      <c r="Z186" s="182">
        <f>IFERROR(__xludf.DUMMYFUNCTION("QUERY('Volunteer Survey'!A185)"),43585.63376069444)</f>
        <v>43585.63376</v>
      </c>
      <c r="AA186" s="183" t="str">
        <f>IFERROR(__xludf.DUMMYFUNCTION("QUERY('Volunteer Survey'!B185)"),"Gifty Bhat")</f>
        <v>Gifty Bhat</v>
      </c>
      <c r="AB186" s="183" t="str">
        <f>IFERROR(__xludf.DUMMYFUNCTION("QUERY('Volunteer Survey'!C185)"),"University of Illinois at Chicago")</f>
        <v>University of Illinois at Chicago</v>
      </c>
      <c r="AC186" s="183" t="str">
        <f>IFERROR(__xludf.DUMMYFUNCTION("QUERY('Volunteer Survey'!D185)"),"")</f>
        <v/>
      </c>
      <c r="AD186" s="183" t="str">
        <f>IFERROR(__xludf.DUMMYFUNCTION("QUERY('Volunteer Survey'!E185)"),"drgiftybhat@gmail.com")</f>
        <v>drgiftybhat@gmail.com</v>
      </c>
      <c r="AE186" s="183" t="str">
        <f>IFERROR(__xludf.DUMMYFUNCTION("QUERY('Volunteer Survey'!F185)"),"Clinical Medical Geneticist")</f>
        <v>Clinical Medical Geneticist</v>
      </c>
      <c r="AF186" s="183" t="str">
        <f>IFERROR(__xludf.DUMMYFUNCTION("QUERY('Volunteer Survey'!G185)"),"ACMG Conference 2019")</f>
        <v>ACMG Conference 2019</v>
      </c>
      <c r="AG186" s="183" t="str">
        <f>IFERROR(__xludf.DUMMYFUNCTION("QUERY('Volunteer Survey'!H185)"),"Comprehensive")</f>
        <v>Comprehensive</v>
      </c>
      <c r="AH186" s="183" t="str">
        <f>IFERROR(__xludf.DUMMYFUNCTION("QUERY('Volunteer Survey'!I185)"),"Clinical Actionability")</f>
        <v>Clinical Actionability</v>
      </c>
      <c r="AI186" s="183" t="str">
        <f>IFERROR(__xludf.DUMMYFUNCTION("QUERY('Volunteer Survey'!J185)"),"Gene-Disease Validity")</f>
        <v>Gene-Disease Validity</v>
      </c>
      <c r="AJ186" s="183" t="str">
        <f>IFERROR(__xludf.DUMMYFUNCTION("QUERY('Volunteer Survey'!K185)"),"Variant Pathogenicity")</f>
        <v>Variant Pathogenicity</v>
      </c>
      <c r="AK186" s="183" t="str">
        <f>IFERROR(__xludf.DUMMYFUNCTION("QUERY('Volunteer Survey'!L185)"),"Dosage Sensitivity")</f>
        <v>Dosage Sensitivity</v>
      </c>
      <c r="AL186" s="183" t="str">
        <f>IFERROR(__xludf.DUMMYFUNCTION("QUERY('Volunteer Survey'!M185)"),"Somatic Cancer")</f>
        <v>Somatic Cancer</v>
      </c>
      <c r="AM186" s="183" t="str">
        <f>IFERROR(__xludf.DUMMYFUNCTION("QUERY('Volunteer Survey'!N185)"),"")</f>
        <v/>
      </c>
      <c r="AN186" s="183" t="str">
        <f>IFERROR(__xludf.DUMMYFUNCTION("QUERY('Volunteer Survey'!O185)"),"Yes")</f>
        <v>Yes</v>
      </c>
      <c r="AO186" s="183" t="str">
        <f>IFERROR(__xludf.DUMMYFUNCTION("QUERY('Volunteer Survey'!P185)"),"Intellectual disability and autism")</f>
        <v>Intellectual disability and autism</v>
      </c>
    </row>
    <row r="187">
      <c r="A187" s="50">
        <f>IFERROR(__xludf.DUMMYFUNCTION("QUERY('Volunteer Survey'!A194)"),43593.56649472222)</f>
        <v>43593.56649</v>
      </c>
      <c r="B187" s="48" t="s">
        <v>168</v>
      </c>
      <c r="C187" s="53"/>
      <c r="D187" s="56">
        <v>43476.0</v>
      </c>
      <c r="E187" s="48" t="s">
        <v>117</v>
      </c>
      <c r="F187" s="48" t="s">
        <v>130</v>
      </c>
      <c r="G187" s="48" t="s">
        <v>136</v>
      </c>
      <c r="H187" s="53"/>
      <c r="I187" s="51" t="s">
        <v>139</v>
      </c>
      <c r="J187" s="56">
        <v>43593.0</v>
      </c>
      <c r="K187" s="56">
        <v>43713.0</v>
      </c>
      <c r="L187" s="55" t="str">
        <f>IFERROR(__xludf.DUMMYFUNCTION("QUERY('Volunteer Survey'!B194)"),"Lisa Dyer")</f>
        <v>Lisa Dyer</v>
      </c>
      <c r="M187" s="55" t="str">
        <f>IFERROR(__xludf.DUMMYFUNCTION("QUERY('Volunteer Survey'!E194)"),"Lisa.Dyer@cchmc.org")</f>
        <v>Lisa.Dyer@cchmc.org</v>
      </c>
      <c r="N187" s="55" t="str">
        <f>IFERROR(__xludf.DUMMYFUNCTION("QUERY('Volunteer Survey'!F194)"),"NA")</f>
        <v>NA</v>
      </c>
      <c r="O187" s="48" t="str">
        <f>IFERROR(__xludf.DUMMYFUNCTION("QUERY('Volunteer Survey'!H194)"),"Comprehensive")</f>
        <v>Comprehensive</v>
      </c>
      <c r="P187" s="55" t="str">
        <f>IFERROR(__xludf.DUMMYFUNCTION("QUERY('Volunteer Survey'!I194)"),"Somatic Cancer")</f>
        <v>Somatic Cancer</v>
      </c>
      <c r="Q187" s="60" t="str">
        <f>IFERROR(__xludf.DUMMYFUNCTION("QUERY('Volunteer Survey'!J194)"),"")</f>
        <v/>
      </c>
      <c r="R187" s="55" t="str">
        <f>IFERROR(__xludf.DUMMYFUNCTION("QUERY('Volunteer Survey'!K194)"),"")</f>
        <v/>
      </c>
      <c r="S187" s="55" t="str">
        <f>IFERROR(__xludf.DUMMYFUNCTION("QUERY('Volunteer Survey'!L194)"),"")</f>
        <v/>
      </c>
      <c r="T187" s="55" t="str">
        <f>IFERROR(__xludf.DUMMYFUNCTION("QUERY('Volunteer Survey'!M194)"),"")</f>
        <v/>
      </c>
      <c r="U187" s="64" t="str">
        <f>IFERROR(__xludf.DUMMYFUNCTION("QUERY('Volunteer Survey'!N194)"),"")</f>
        <v/>
      </c>
      <c r="V187" s="55" t="str">
        <f>IFERROR(__xludf.DUMMYFUNCTION("QUERY('Volunteer Survey'!O194)"),"")</f>
        <v/>
      </c>
      <c r="W187" s="66" t="str">
        <f>IFERROR(__xludf.DUMMYFUNCTION("QUERY('Volunteer Survey'!P194)"),"")</f>
        <v/>
      </c>
      <c r="X187" s="64" t="str">
        <f>IFERROR(__xludf.DUMMYFUNCTION("QUERY('Volunteer Survey'!R194)"),"")</f>
        <v/>
      </c>
      <c r="Y187" s="92" t="s">
        <v>328</v>
      </c>
      <c r="Z187" s="182">
        <f>IFERROR(__xludf.DUMMYFUNCTION("QUERY('Volunteer Survey'!A186)"),43586.59645730324)</f>
        <v>43586.59646</v>
      </c>
      <c r="AA187" s="183" t="str">
        <f>IFERROR(__xludf.DUMMYFUNCTION("QUERY('Volunteer Survey'!B186)"),"Ashley Marsh")</f>
        <v>Ashley Marsh</v>
      </c>
      <c r="AB187" s="183" t="str">
        <f>IFERROR(__xludf.DUMMYFUNCTION("QUERY('Volunteer Survey'!C186)"),"University of California, San Diego")</f>
        <v>University of California, San Diego</v>
      </c>
      <c r="AC187" s="183" t="str">
        <f>IFERROR(__xludf.DUMMYFUNCTION("QUERY('Volunteer Survey'!D186)"),"9500 Gilman Dr, La Jolla, CA 92093")</f>
        <v>9500 Gilman Dr, La Jolla, CA 92093</v>
      </c>
      <c r="AD187" s="183" t="str">
        <f>IFERROR(__xludf.DUMMYFUNCTION("QUERY('Volunteer Survey'!E186)"),"amarsh@ucsd.edu")</f>
        <v>amarsh@ucsd.edu</v>
      </c>
      <c r="AE187" s="183" t="str">
        <f>IFERROR(__xludf.DUMMYFUNCTION("QUERY('Volunteer Survey'!F186)"),"Post Doc/Resident/Fellow (MD and/or PhD)")</f>
        <v>Post Doc/Resident/Fellow (MD and/or PhD)</v>
      </c>
      <c r="AF187" s="183" t="str">
        <f>IFERROR(__xludf.DUMMYFUNCTION("QUERY('Volunteer Survey'!G186)"),"The clinicalgenome.org website")</f>
        <v>The clinicalgenome.org website</v>
      </c>
      <c r="AG187" s="183" t="str">
        <f>IFERROR(__xludf.DUMMYFUNCTION("QUERY('Volunteer Survey'!H186)"),"Comprehensive")</f>
        <v>Comprehensive</v>
      </c>
      <c r="AH187" s="183" t="str">
        <f>IFERROR(__xludf.DUMMYFUNCTION("QUERY('Volunteer Survey'!I186)"),"Variant Pathogenicity")</f>
        <v>Variant Pathogenicity</v>
      </c>
      <c r="AI187" s="183" t="str">
        <f>IFERROR(__xludf.DUMMYFUNCTION("QUERY('Volunteer Survey'!J186)"),"Gene-Disease Validity")</f>
        <v>Gene-Disease Validity</v>
      </c>
      <c r="AJ187" s="183" t="str">
        <f>IFERROR(__xludf.DUMMYFUNCTION("QUERY('Volunteer Survey'!K186)"),"")</f>
        <v/>
      </c>
      <c r="AK187" s="183" t="str">
        <f>IFERROR(__xludf.DUMMYFUNCTION("QUERY('Volunteer Survey'!L186)"),"")</f>
        <v/>
      </c>
      <c r="AL187" s="183" t="str">
        <f>IFERROR(__xludf.DUMMYFUNCTION("QUERY('Volunteer Survey'!M186)"),"")</f>
        <v/>
      </c>
      <c r="AM187" s="183" t="str">
        <f>IFERROR(__xludf.DUMMYFUNCTION("QUERY('Volunteer Survey'!N186)"),"Variant Pathogenicity – I gained extensive sequence variant interpretation experience through my undergraduate and graduate research projects. I assessed the pathogenicity of variants associated with inherited cardiomyopathies during my undergraduate degr"&amp;"ee and undertook similar assessments during my graduate studies, focused on neurodevelopment and novel disease gene discovery. I published a Nature Genetics paper in 2017 describing the first genetic cause of isolated agenesis of the corpus callosum. I su"&amp;"bsequently created and maintain a LOVD for the disease gene (DCC), where I use ACMG and other criteria (in silico, conversation, population databases, etc.) to assess the pathogenicity of reported variants.
Gene-Disease Validity – My PhD dissertation foc"&amp;"used on novel disease gene discovery. Throughout my candidature, I utilized modern genomic technologies (including exome and targeted resequencing) to identify and characterize novel disease genes associated with neurodevelopmental disorders such as agene"&amp;"sis of the corpus callosum and focal cortical dysplasia.")</f>
        <v>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v>
      </c>
      <c r="AN187" s="183" t="str">
        <f>IFERROR(__xludf.DUMMYFUNCTION("QUERY('Volunteer Survey'!O186)"),"Possibly")</f>
        <v>Possibly</v>
      </c>
      <c r="AO187" s="183" t="str">
        <f>IFERROR(__xludf.DUMMYFUNCTION("QUERY('Volunteer Survey'!P186)"),"•	Brain Malformations Variant Curation Expert Panel
•	Brain Malformations Gene Curation Expert Panel")</f>
        <v>•	Brain Malformations Variant Curation Expert Panel
•	Brain Malformations Gene Curation Expert Panel</v>
      </c>
    </row>
    <row r="188">
      <c r="A188" s="50">
        <f>IFERROR(__xludf.DUMMYFUNCTION("QUERY('Volunteer Survey'!A195)"),43593.736186539354)</f>
        <v>43593.73619</v>
      </c>
      <c r="B188" s="48" t="s">
        <v>108</v>
      </c>
      <c r="C188" s="79">
        <v>43819.0</v>
      </c>
      <c r="D188" s="55"/>
      <c r="E188" s="48"/>
      <c r="F188" s="48" t="s">
        <v>130</v>
      </c>
      <c r="G188" s="48" t="s">
        <v>122</v>
      </c>
      <c r="H188" s="53"/>
      <c r="I188" s="51" t="s">
        <v>139</v>
      </c>
      <c r="J188" s="56"/>
      <c r="K188" s="56"/>
      <c r="L188" s="55" t="str">
        <f>IFERROR(__xludf.DUMMYFUNCTION("QUERY('Volunteer Survey'!B195)"),"Andrea Hallberg")</f>
        <v>Andrea Hallberg</v>
      </c>
      <c r="M188" s="55" t="str">
        <f>IFERROR(__xludf.DUMMYFUNCTION("QUERY('Volunteer Survey'!E195)"),"hallberg.andrea@gmail.com")</f>
        <v>hallberg.andrea@gmail.com</v>
      </c>
      <c r="N188" s="55" t="str">
        <f>IFERROR(__xludf.DUMMYFUNCTION("QUERY('Volunteer Survey'!F195)"),"Post Doc/Resident/Fellow (MD and/or PhD)")</f>
        <v>Post Doc/Resident/Fellow (MD and/or PhD)</v>
      </c>
      <c r="O188" s="48" t="str">
        <f>IFERROR(__xludf.DUMMYFUNCTION("QUERY('Volunteer Survey'!H195)"),"Comprehensive")</f>
        <v>Comprehensive</v>
      </c>
      <c r="P188" s="55" t="str">
        <f>IFERROR(__xludf.DUMMYFUNCTION("QUERY('Volunteer Survey'!I195)"),"Gene-Disease Validity")</f>
        <v>Gene-Disease Validity</v>
      </c>
      <c r="Q188" s="60" t="str">
        <f>IFERROR(__xludf.DUMMYFUNCTION("QUERY('Volunteer Survey'!J195)"),"Variant Pathogenicity")</f>
        <v>Variant Pathogenicity</v>
      </c>
      <c r="R188" s="55" t="str">
        <f>IFERROR(__xludf.DUMMYFUNCTION("QUERY('Volunteer Survey'!K195)"),"Dosage Sensitivity")</f>
        <v>Dosage Sensitivity</v>
      </c>
      <c r="S188" s="55" t="str">
        <f>IFERROR(__xludf.DUMMYFUNCTION("QUERY('Volunteer Survey'!L195)"),"Clinical Actionability")</f>
        <v>Clinical Actionability</v>
      </c>
      <c r="T188" s="55" t="str">
        <f>IFERROR(__xludf.DUMMYFUNCTION("QUERY('Volunteer Survey'!M195)"),"Somatic Cancer")</f>
        <v>Somatic Cancer</v>
      </c>
      <c r="U188" s="64" t="str">
        <f>IFERROR(__xludf.DUMMYFUNCTION("QUERY('Volunteer Survey'!N195)"),"No ")</f>
        <v>No </v>
      </c>
      <c r="V188" s="55" t="str">
        <f>IFERROR(__xludf.DUMMYFUNCTION("QUERY('Volunteer Survey'!O195)"),"Possibly")</f>
        <v>Possibly</v>
      </c>
      <c r="W188" s="66" t="str">
        <f>IFERROR(__xludf.DUMMYFUNCTION("QUERY('Volunteer Survey'!P195)"),"")</f>
        <v/>
      </c>
      <c r="X188" s="64" t="str">
        <f>IFERROR(__xludf.DUMMYFUNCTION("QUERY('Volunteer Survey'!R195)"),"Yes- I am willing to volunteer with any available ClinGen group")</f>
        <v>Yes- I am willing to volunteer with any available ClinGen group</v>
      </c>
      <c r="Y188" s="53"/>
      <c r="Z188" s="182">
        <f>IFERROR(__xludf.DUMMYFUNCTION("QUERY('Volunteer Survey'!A187)"),43587.167243738426)</f>
        <v>43587.16724</v>
      </c>
      <c r="AA188" s="183" t="str">
        <f>IFERROR(__xludf.DUMMYFUNCTION("QUERY('Volunteer Survey'!B187)"),"Kevin Colclough")</f>
        <v>Kevin Colclough</v>
      </c>
      <c r="AB188" s="183" t="str">
        <f>IFERROR(__xludf.DUMMYFUNCTION("QUERY('Volunteer Survey'!C187)"),"Royal Devon &amp; Exeter NHS Trust")</f>
        <v>Royal Devon &amp; Exeter NHS Trust</v>
      </c>
      <c r="AC188" s="183" t="str">
        <f>IFERROR(__xludf.DUMMYFUNCTION("QUERY('Volunteer Survey'!D187)"),"Barrack Road, Exeter, Devon, UK EX2 5DW")</f>
        <v>Barrack Road, Exeter, Devon, UK EX2 5DW</v>
      </c>
      <c r="AD188" s="183" t="str">
        <f>IFERROR(__xludf.DUMMYFUNCTION("QUERY('Volunteer Survey'!E187)"),"kevin.colclough@nhs.net")</f>
        <v>kevin.colclough@nhs.net</v>
      </c>
      <c r="AE188" s="183" t="str">
        <f>IFERROR(__xludf.DUMMYFUNCTION("QUERY('Volunteer Survey'!F187)"),"Clinical laboratory geneticist")</f>
        <v>Clinical laboratory geneticist</v>
      </c>
      <c r="AF188" s="183" t="str">
        <f>IFERROR(__xludf.DUMMYFUNCTION("QUERY('Volunteer Survey'!G187)"),"Suggestion from mentor")</f>
        <v>Suggestion from mentor</v>
      </c>
      <c r="AG188" s="183" t="str">
        <f>IFERROR(__xludf.DUMMYFUNCTION("QUERY('Volunteer Survey'!H187)"),"Comprehensive")</f>
        <v>Comprehensive</v>
      </c>
      <c r="AH188" s="183" t="str">
        <f>IFERROR(__xludf.DUMMYFUNCTION("QUERY('Volunteer Survey'!I187)"),"Variant Pathogenicity")</f>
        <v>Variant Pathogenicity</v>
      </c>
      <c r="AI188" s="183" t="str">
        <f>IFERROR(__xludf.DUMMYFUNCTION("QUERY('Volunteer Survey'!J187)"),"Gene-Disease Validity")</f>
        <v>Gene-Disease Validity</v>
      </c>
      <c r="AJ188" s="183" t="str">
        <f>IFERROR(__xludf.DUMMYFUNCTION("QUERY('Volunteer Survey'!K187)"),"Clinical Actionability")</f>
        <v>Clinical Actionability</v>
      </c>
      <c r="AK188" s="183" t="str">
        <f>IFERROR(__xludf.DUMMYFUNCTION("QUERY('Volunteer Survey'!L187)"),"Dosage Sensitivity")</f>
        <v>Dosage Sensitivity</v>
      </c>
      <c r="AL188" s="183" t="str">
        <f>IFERROR(__xludf.DUMMYFUNCTION("QUERY('Volunteer Survey'!M187)"),"Somatic Cancer")</f>
        <v>Somatic Cancer</v>
      </c>
      <c r="AM188" s="183" t="str">
        <f>IFERROR(__xludf.DUMMYFUNCTION("QUERY('Volunteer Survey'!N187)"),"I routinely perform variant pathogenicity classification and gene-disease validity as part of my routine diagnostic laboratory work.")</f>
        <v>I routinely perform variant pathogenicity classification and gene-disease validity as part of my routine diagnostic laboratory work.</v>
      </c>
      <c r="AN188" s="183" t="str">
        <f>IFERROR(__xludf.DUMMYFUNCTION("QUERY('Volunteer Survey'!O187)"),"Yes")</f>
        <v>Yes</v>
      </c>
      <c r="AO188" s="183" t="str">
        <f>IFERROR(__xludf.DUMMYFUNCTION("QUERY('Volunteer Survey'!P187)"),"I am a member of the variant curation and gene curation expert panels for monogenic diabetes.")</f>
        <v>I am a member of the variant curation and gene curation expert panels for monogenic diabetes.</v>
      </c>
    </row>
    <row r="189">
      <c r="A189" s="50">
        <f>IFERROR(__xludf.DUMMYFUNCTION("QUERY('Volunteer Survey'!A196)"),43595.37445846065)</f>
        <v>43595.37446</v>
      </c>
      <c r="B189" s="48" t="s">
        <v>108</v>
      </c>
      <c r="C189" s="53"/>
      <c r="D189" s="55"/>
      <c r="E189" s="48"/>
      <c r="F189" s="48" t="s">
        <v>130</v>
      </c>
      <c r="G189" s="48" t="s">
        <v>202</v>
      </c>
      <c r="H189" s="53"/>
      <c r="I189" s="51" t="s">
        <v>139</v>
      </c>
      <c r="J189" s="55"/>
      <c r="K189" s="55"/>
      <c r="L189" s="55" t="str">
        <f>IFERROR(__xludf.DUMMYFUNCTION("QUERY('Volunteer Survey'!B196)"),"Bianca Tesi")</f>
        <v>Bianca Tesi</v>
      </c>
      <c r="M189" s="55" t="str">
        <f>IFERROR(__xludf.DUMMYFUNCTION("QUERY('Volunteer Survey'!E196)"),"bianca.tesi@sll.se")</f>
        <v>bianca.tesi@sll.se</v>
      </c>
      <c r="N189" s="55" t="str">
        <f>IFERROR(__xludf.DUMMYFUNCTION("QUERY('Volunteer Survey'!F196)"),"Post Doc/Resident/Fellow (MD and/or PhD)")</f>
        <v>Post Doc/Resident/Fellow (MD and/or PhD)</v>
      </c>
      <c r="O189" s="48" t="str">
        <f>IFERROR(__xludf.DUMMYFUNCTION("QUERY('Volunteer Survey'!H196)"),"Baseline")</f>
        <v>Baseline</v>
      </c>
      <c r="P189" s="55" t="str">
        <f>IFERROR(__xludf.DUMMYFUNCTION("QUERY('Volunteer Survey'!I196)"),"Clinical Actionability")</f>
        <v>Clinical Actionability</v>
      </c>
      <c r="Q189" s="60" t="str">
        <f>IFERROR(__xludf.DUMMYFUNCTION("QUERY('Volunteer Survey'!J196)"),"Gene-Disease Validity")</f>
        <v>Gene-Disease Validity</v>
      </c>
      <c r="R189" s="55" t="str">
        <f>IFERROR(__xludf.DUMMYFUNCTION("QUERY('Volunteer Survey'!K196)"),"Variant Pathogenicity")</f>
        <v>Variant Pathogenicity</v>
      </c>
      <c r="S189" s="55" t="str">
        <f>IFERROR(__xludf.DUMMYFUNCTION("QUERY('Volunteer Survey'!L196)"),"Somatic Cancer")</f>
        <v>Somatic Cancer</v>
      </c>
      <c r="T189" s="55" t="str">
        <f>IFERROR(__xludf.DUMMYFUNCTION("QUERY('Volunteer Survey'!M196)"),"Dosage Sensitivity")</f>
        <v>Dosage Sensitivity</v>
      </c>
      <c r="U189" s="64" t="str">
        <f>IFERROR(__xludf.DUMMYFUNCTION("QUERY('Volunteer Survey'!N196)"),"Experienced with reading literature, evaluating results in the clinical setting.")</f>
        <v>Experienced with reading literature, evaluating results in the clinical setting.</v>
      </c>
      <c r="V189" s="55" t="str">
        <f>IFERROR(__xludf.DUMMYFUNCTION("QUERY('Volunteer Survey'!O196)"),"Possibly")</f>
        <v>Possibly</v>
      </c>
      <c r="W189" s="66" t="str">
        <f>IFERROR(__xludf.DUMMYFUNCTION("QUERY('Volunteer Survey'!P196)"),"myeloid neoplasm, hereditary cancer")</f>
        <v>myeloid neoplasm, hereditary cancer</v>
      </c>
      <c r="X189" s="64" t="str">
        <f>IFERROR(__xludf.DUMMYFUNCTION("QUERY('Volunteer Survey'!R196)"),"Yes- I am willing to volunteer with any available ClinGen group")</f>
        <v>Yes- I am willing to volunteer with any available ClinGen group</v>
      </c>
      <c r="Y189" s="53"/>
      <c r="Z189" s="182">
        <f>IFERROR(__xludf.DUMMYFUNCTION("QUERY('Volunteer Survey'!A188)"),43588.538737627314)</f>
        <v>43588.53874</v>
      </c>
      <c r="AA189" s="183" t="str">
        <f>IFERROR(__xludf.DUMMYFUNCTION("QUERY('Volunteer Survey'!B188)"),"Erin Sybouts")</f>
        <v>Erin Sybouts</v>
      </c>
      <c r="AB189" s="183" t="str">
        <f>IFERROR(__xludf.DUMMYFUNCTION("QUERY('Volunteer Survey'!C188)"),"UT Health San Antonio")</f>
        <v>UT Health San Antonio</v>
      </c>
      <c r="AC189" s="183" t="str">
        <f>IFERROR(__xludf.DUMMYFUNCTION("QUERY('Volunteer Survey'!D188)"),"")</f>
        <v/>
      </c>
      <c r="AD189" s="183" t="str">
        <f>IFERROR(__xludf.DUMMYFUNCTION("QUERY('Volunteer Survey'!E188)"),"sybouts@livemail.uthscsa.edu")</f>
        <v>sybouts@livemail.uthscsa.edu</v>
      </c>
      <c r="AE189" s="183" t="str">
        <f>IFERROR(__xludf.DUMMYFUNCTION("QUERY('Volunteer Survey'!F188)"),"Graduate Student")</f>
        <v>Graduate Student</v>
      </c>
      <c r="AF189" s="183" t="str">
        <f>IFERROR(__xludf.DUMMYFUNCTION("QUERY('Volunteer Survey'!G188)"),"ACMG Conference 2019, The clinicalgenome.org website")</f>
        <v>ACMG Conference 2019, The clinicalgenome.org website</v>
      </c>
      <c r="AG189" s="183" t="str">
        <f>IFERROR(__xludf.DUMMYFUNCTION("QUERY('Volunteer Survey'!H188)"),"Comprehensive")</f>
        <v>Comprehensive</v>
      </c>
      <c r="AH189" s="183" t="str">
        <f>IFERROR(__xludf.DUMMYFUNCTION("QUERY('Volunteer Survey'!I188)"),"Somatic Cancer")</f>
        <v>Somatic Cancer</v>
      </c>
      <c r="AI189" s="183" t="str">
        <f>IFERROR(__xludf.DUMMYFUNCTION("QUERY('Volunteer Survey'!J188)"),"Dosage Sensitivity")</f>
        <v>Dosage Sensitivity</v>
      </c>
      <c r="AJ189" s="183" t="str">
        <f>IFERROR(__xludf.DUMMYFUNCTION("QUERY('Volunteer Survey'!K188)"),"Gene-Disease Validity")</f>
        <v>Gene-Disease Validity</v>
      </c>
      <c r="AK189" s="183" t="str">
        <f>IFERROR(__xludf.DUMMYFUNCTION("QUERY('Volunteer Survey'!L188)"),"Variant Pathogenicity")</f>
        <v>Variant Pathogenicity</v>
      </c>
      <c r="AL189" s="183" t="str">
        <f>IFERROR(__xludf.DUMMYFUNCTION("QUERY('Volunteer Survey'!M188)"),"Clinical Actionability")</f>
        <v>Clinical Actionability</v>
      </c>
      <c r="AM189" s="183" t="str">
        <f>IFERROR(__xludf.DUMMYFUNCTION("QUERY('Volunteer Survey'!N188)"),"")</f>
        <v/>
      </c>
      <c r="AN189" s="183" t="str">
        <f>IFERROR(__xludf.DUMMYFUNCTION("QUERY('Volunteer Survey'!O188)"),"Yes")</f>
        <v>Yes</v>
      </c>
      <c r="AO189" s="183" t="str">
        <f>IFERROR(__xludf.DUMMYFUNCTION("QUERY('Volunteer Survey'!P188)"),"TP53")</f>
        <v>TP53</v>
      </c>
    </row>
    <row r="190">
      <c r="A190" s="50">
        <f>IFERROR(__xludf.DUMMYFUNCTION("QUERY('Volunteer Survey'!A197)"),43596.24046488426)</f>
        <v>43596.24046</v>
      </c>
      <c r="B190" s="48" t="s">
        <v>108</v>
      </c>
      <c r="C190" s="79">
        <v>43819.0</v>
      </c>
      <c r="D190" s="55"/>
      <c r="E190" s="48"/>
      <c r="F190" s="48" t="s">
        <v>130</v>
      </c>
      <c r="G190" s="48" t="s">
        <v>251</v>
      </c>
      <c r="H190" s="53"/>
      <c r="I190" s="51" t="s">
        <v>139</v>
      </c>
      <c r="J190" s="55"/>
      <c r="K190" s="55"/>
      <c r="L190" s="55" t="str">
        <f>IFERROR(__xludf.DUMMYFUNCTION("QUERY('Volunteer Survey'!B197)"),"Lisa Chen")</f>
        <v>Lisa Chen</v>
      </c>
      <c r="M190" s="55" t="str">
        <f>IFERROR(__xludf.DUMMYFUNCTION("QUERY('Volunteer Survey'!E197)"),"lisa498484901@gmail.com")</f>
        <v>lisa498484901@gmail.com</v>
      </c>
      <c r="N190" s="55" t="str">
        <f>IFERROR(__xludf.DUMMYFUNCTION("QUERY('Volunteer Survey'!F197)"),"Graduate Student")</f>
        <v>Graduate Student</v>
      </c>
      <c r="O190" s="48" t="str">
        <f>IFERROR(__xludf.DUMMYFUNCTION("QUERY('Volunteer Survey'!H197)"),"Comprehensive")</f>
        <v>Comprehensive</v>
      </c>
      <c r="P190" s="55" t="str">
        <f>IFERROR(__xludf.DUMMYFUNCTION("QUERY('Volunteer Survey'!I197)"),"Variant Pathogenicity")</f>
        <v>Variant Pathogenicity</v>
      </c>
      <c r="Q190" s="60" t="str">
        <f>IFERROR(__xludf.DUMMYFUNCTION("QUERY('Volunteer Survey'!J197)"),"Gene-Disease Validity")</f>
        <v>Gene-Disease Validity</v>
      </c>
      <c r="R190" s="55" t="str">
        <f>IFERROR(__xludf.DUMMYFUNCTION("QUERY('Volunteer Survey'!K197)"),"Clinical Actionability")</f>
        <v>Clinical Actionability</v>
      </c>
      <c r="S190" s="55" t="str">
        <f>IFERROR(__xludf.DUMMYFUNCTION("QUERY('Volunteer Survey'!L197)"),"Dosage Sensitivity")</f>
        <v>Dosage Sensitivity</v>
      </c>
      <c r="T190" s="55" t="str">
        <f>IFERROR(__xludf.DUMMYFUNCTION("QUERY('Volunteer Survey'!M197)"),"Somatic Cancer")</f>
        <v>Somatic Cancer</v>
      </c>
      <c r="U190" s="64" t="str">
        <f>IFERROR(__xludf.DUMMYFUNCTION("QUERY('Volunteer Survey'!N197)"),"I have been doing variant classification for 4 years.")</f>
        <v>I have been doing variant classification for 4 years.</v>
      </c>
      <c r="V190" s="55" t="str">
        <f>IFERROR(__xludf.DUMMYFUNCTION("QUERY('Volunteer Survey'!O197)"),"Possibly")</f>
        <v>Possibly</v>
      </c>
      <c r="W190" s="66" t="str">
        <f>IFERROR(__xludf.DUMMYFUNCTION("QUERY('Volunteer Survey'!P197)"),"Congenital Myopathies")</f>
        <v>Congenital Myopathies</v>
      </c>
      <c r="X190" s="64" t="str">
        <f>IFERROR(__xludf.DUMMYFUNCTION("QUERY('Volunteer Survey'!R197)"),"Yes- I am willing to volunteer with any available ClinGen group")</f>
        <v>Yes- I am willing to volunteer with any available ClinGen group</v>
      </c>
      <c r="Y190" s="53"/>
      <c r="Z190" s="182">
        <f>IFERROR(__xludf.DUMMYFUNCTION("QUERY('Volunteer Survey'!A189)"),43591.44244180556)</f>
        <v>43591.44244</v>
      </c>
      <c r="AA190" s="183" t="str">
        <f>IFERROR(__xludf.DUMMYFUNCTION("QUERY('Volunteer Survey'!B189)"),"Jimena Murguia")</f>
        <v>Jimena Murguia</v>
      </c>
      <c r="AB190" s="183" t="str">
        <f>IFERROR(__xludf.DUMMYFUNCTION("QUERY('Volunteer Survey'!C189)"),"Laboratoire National de Santé")</f>
        <v>Laboratoire National de Santé</v>
      </c>
      <c r="AC190" s="183" t="str">
        <f>IFERROR(__xludf.DUMMYFUNCTION("QUERY('Volunteer Survey'!D189)"),"")</f>
        <v/>
      </c>
      <c r="AD190" s="183" t="str">
        <f>IFERROR(__xludf.DUMMYFUNCTION("QUERY('Volunteer Survey'!E189)"),"jimena887@yahoo.es")</f>
        <v>jimena887@yahoo.es</v>
      </c>
      <c r="AE190" s="183" t="str">
        <f>IFERROR(__xludf.DUMMYFUNCTION("QUERY('Volunteer Survey'!F189)"),"Clinical laboratory geneticist")</f>
        <v>Clinical laboratory geneticist</v>
      </c>
      <c r="AF190" s="183" t="str">
        <f>IFERROR(__xludf.DUMMYFUNCTION("QUERY('Volunteer Survey'!G189)"),"The clinicalgenome.org website")</f>
        <v>The clinicalgenome.org website</v>
      </c>
      <c r="AG190" s="183" t="str">
        <f>IFERROR(__xludf.DUMMYFUNCTION("QUERY('Volunteer Survey'!H189)"),"Baseline")</f>
        <v>Baseline</v>
      </c>
      <c r="AH190" s="183" t="str">
        <f>IFERROR(__xludf.DUMMYFUNCTION("QUERY('Volunteer Survey'!I189)"),"Variant Pathogenicity")</f>
        <v>Variant Pathogenicity</v>
      </c>
      <c r="AI190" s="183" t="str">
        <f>IFERROR(__xludf.DUMMYFUNCTION("QUERY('Volunteer Survey'!J189)"),"Clinical Actionability")</f>
        <v>Clinical Actionability</v>
      </c>
      <c r="AJ190" s="183" t="str">
        <f>IFERROR(__xludf.DUMMYFUNCTION("QUERY('Volunteer Survey'!K189)"),"Gene-Disease Validity")</f>
        <v>Gene-Disease Validity</v>
      </c>
      <c r="AK190" s="183" t="str">
        <f>IFERROR(__xludf.DUMMYFUNCTION("QUERY('Volunteer Survey'!L189)"),"Dosage Sensitivity")</f>
        <v>Dosage Sensitivity</v>
      </c>
      <c r="AL190" s="183" t="str">
        <f>IFERROR(__xludf.DUMMYFUNCTION("QUERY('Volunteer Survey'!M189)"),"Somatic Cancer")</f>
        <v>Somatic Cancer</v>
      </c>
      <c r="AM190" s="183" t="str">
        <f>IFERROR(__xludf.DUMMYFUNCTION("QUERY('Volunteer Survey'!N189)"),"")</f>
        <v/>
      </c>
      <c r="AN190" s="183" t="str">
        <f>IFERROR(__xludf.DUMMYFUNCTION("QUERY('Volunteer Survey'!O189)"),"Possibly")</f>
        <v>Possibly</v>
      </c>
      <c r="AO190" s="183" t="str">
        <f>IFERROR(__xludf.DUMMYFUNCTION("QUERY('Volunteer Survey'!P189)"),"")</f>
        <v/>
      </c>
    </row>
    <row r="191">
      <c r="A191" s="50">
        <f>IFERROR(__xludf.DUMMYFUNCTION("QUERY('Volunteer Survey'!A198)"),43390.565046296295)</f>
        <v>43390.56505</v>
      </c>
      <c r="B191" s="48" t="s">
        <v>108</v>
      </c>
      <c r="C191" s="79">
        <v>43819.0</v>
      </c>
      <c r="D191" s="55"/>
      <c r="E191" s="48"/>
      <c r="F191" s="48" t="s">
        <v>130</v>
      </c>
      <c r="G191" s="48" t="s">
        <v>122</v>
      </c>
      <c r="H191" s="53"/>
      <c r="I191" s="51" t="s">
        <v>139</v>
      </c>
      <c r="J191" s="55"/>
      <c r="K191" s="55"/>
      <c r="L191" s="55" t="str">
        <f>IFERROR(__xludf.DUMMYFUNCTION("QUERY('Volunteer Survey'!B198)"),"Ingrid Paine")</f>
        <v>Ingrid Paine</v>
      </c>
      <c r="M191" s="55" t="str">
        <f>IFERROR(__xludf.DUMMYFUNCTION("QUERY('Volunteer Survey'!E198)"),"runquist@alumni.bcm.edu")</f>
        <v>runquist@alumni.bcm.edu</v>
      </c>
      <c r="N191" s="55" t="str">
        <f>IFERROR(__xludf.DUMMYFUNCTION("QUERY('Volunteer Survey'!F198)"),"Post Doc/Resident/Fellow (MD and/or PhD)")</f>
        <v>Post Doc/Resident/Fellow (MD and/or PhD)</v>
      </c>
      <c r="O191" s="48" t="str">
        <f>IFERROR(__xludf.DUMMYFUNCTION("QUERY('Volunteer Survey'!H198)"),"Comprehensive")</f>
        <v>Comprehensive</v>
      </c>
      <c r="P191" s="55" t="str">
        <f>IFERROR(__xludf.DUMMYFUNCTION("QUERY('Volunteer Survey'!I198)"),"Gene-Disease Validity")</f>
        <v>Gene-Disease Validity</v>
      </c>
      <c r="Q191" s="60" t="str">
        <f>IFERROR(__xludf.DUMMYFUNCTION("QUERY('Volunteer Survey'!J198)"),"Variant Pathogenicity")</f>
        <v>Variant Pathogenicity</v>
      </c>
      <c r="R191" s="55" t="str">
        <f>IFERROR(__xludf.DUMMYFUNCTION("QUERY('Volunteer Survey'!K198)"),"")</f>
        <v/>
      </c>
      <c r="S191" s="55" t="str">
        <f>IFERROR(__xludf.DUMMYFUNCTION("QUERY('Volunteer Survey'!L198)"),"")</f>
        <v/>
      </c>
      <c r="T191" s="55" t="str">
        <f>IFERROR(__xludf.DUMMYFUNCTION("QUERY('Volunteer Survey'!M198)"),"")</f>
        <v/>
      </c>
      <c r="U191" s="64" t="str">
        <f>IFERROR(__xludf.DUMMYFUNCTION("QUERY('Volunteer Survey'!N198)"),"No")</f>
        <v>No</v>
      </c>
      <c r="V191" s="55" t="str">
        <f>IFERROR(__xludf.DUMMYFUNCTION("QUERY('Volunteer Survey'!O198)"),"Possibly")</f>
        <v>Possibly</v>
      </c>
      <c r="W191" s="66" t="str">
        <f>IFERROR(__xludf.DUMMYFUNCTION("QUERY('Volunteer Survey'!P198)"),"Epilepsy genes and neurodevelopmental")</f>
        <v>Epilepsy genes and neurodevelopmental</v>
      </c>
      <c r="X191" s="64" t="str">
        <f>IFERROR(__xludf.DUMMYFUNCTION("QUERY('Volunteer Survey'!R198)"),"Maybe -- please contact me with other options, and I will decide based on what is available")</f>
        <v>Maybe -- please contact me with other options, and I will decide based on what is available</v>
      </c>
      <c r="Y191" s="103" t="s">
        <v>3148</v>
      </c>
      <c r="Z191" s="182">
        <f>IFERROR(__xludf.DUMMYFUNCTION("QUERY('Volunteer Survey'!A190)"),43591.690803784724)</f>
        <v>43591.6908</v>
      </c>
      <c r="AA191" s="183" t="str">
        <f>IFERROR(__xludf.DUMMYFUNCTION("QUERY('Volunteer Survey'!B190)"),"Robert Lewis")</f>
        <v>Robert Lewis</v>
      </c>
      <c r="AB191" s="183" t="str">
        <f>IFERROR(__xludf.DUMMYFUNCTION("QUERY('Volunteer Survey'!C190)"),"University of California, Irvine School of Medicine")</f>
        <v>University of California, Irvine School of Medicine</v>
      </c>
      <c r="AC191" s="183" t="str">
        <f>IFERROR(__xludf.DUMMYFUNCTION("QUERY('Volunteer Survey'!D190)"),"350 Sprague Hall Irvine CA 92617")</f>
        <v>350 Sprague Hall Irvine CA 92617</v>
      </c>
      <c r="AD191" s="183" t="str">
        <f>IFERROR(__xludf.DUMMYFUNCTION("QUERY('Volunteer Survey'!E190)"),"rglewis@uci.edu")</f>
        <v>rglewis@uci.edu</v>
      </c>
      <c r="AE191" s="183" t="str">
        <f>IFERROR(__xludf.DUMMYFUNCTION("QUERY('Volunteer Survey'!F190)"),"Graduate Student")</f>
        <v>Graduate Student</v>
      </c>
      <c r="AF191" s="183" t="str">
        <f>IFERROR(__xludf.DUMMYFUNCTION("QUERY('Volunteer Survey'!G190)"),"Networking, Suggestion from mentor")</f>
        <v>Networking, Suggestion from mentor</v>
      </c>
      <c r="AG191" s="183" t="str">
        <f>IFERROR(__xludf.DUMMYFUNCTION("QUERY('Volunteer Survey'!H190)"),"Baseline")</f>
        <v>Baseline</v>
      </c>
      <c r="AH191" s="183" t="str">
        <f>IFERROR(__xludf.DUMMYFUNCTION("QUERY('Volunteer Survey'!I190)"),"Gene-Disease Validity")</f>
        <v>Gene-Disease Validity</v>
      </c>
      <c r="AI191" s="183" t="str">
        <f>IFERROR(__xludf.DUMMYFUNCTION("QUERY('Volunteer Survey'!J190)"),"Variant Pathogenicity")</f>
        <v>Variant Pathogenicity</v>
      </c>
      <c r="AJ191" s="183" t="str">
        <f>IFERROR(__xludf.DUMMYFUNCTION("QUERY('Volunteer Survey'!K190)"),"Clinical Actionability")</f>
        <v>Clinical Actionability</v>
      </c>
      <c r="AK191" s="183" t="str">
        <f>IFERROR(__xludf.DUMMYFUNCTION("QUERY('Volunteer Survey'!L190)"),"Dosage Sensitivity")</f>
        <v>Dosage Sensitivity</v>
      </c>
      <c r="AL191" s="183" t="str">
        <f>IFERROR(__xludf.DUMMYFUNCTION("QUERY('Volunteer Survey'!M190)"),"Somatic Cancer")</f>
        <v>Somatic Cancer</v>
      </c>
      <c r="AM191" s="183" t="str">
        <f>IFERROR(__xludf.DUMMYFUNCTION("QUERY('Volunteer Survey'!N190)"),"")</f>
        <v/>
      </c>
      <c r="AN191" s="183" t="str">
        <f>IFERROR(__xludf.DUMMYFUNCTION("QUERY('Volunteer Survey'!O190)"),"Possibly")</f>
        <v>Possibly</v>
      </c>
      <c r="AO191" s="183" t="str">
        <f>IFERROR(__xludf.DUMMYFUNCTION("QUERY('Volunteer Survey'!P190)"),"Neurodevelopmental")</f>
        <v>Neurodevelopmental</v>
      </c>
    </row>
    <row r="192">
      <c r="A192" s="50">
        <f>IFERROR(__xludf.DUMMYFUNCTION("QUERY('Volunteer Survey'!A199)"),43601.325485277775)</f>
        <v>43601.32549</v>
      </c>
      <c r="B192" s="48" t="s">
        <v>322</v>
      </c>
      <c r="C192" s="53"/>
      <c r="D192" s="55"/>
      <c r="E192" s="48"/>
      <c r="F192" s="48" t="s">
        <v>130</v>
      </c>
      <c r="G192" s="48" t="s">
        <v>202</v>
      </c>
      <c r="H192" s="53"/>
      <c r="I192" s="51" t="s">
        <v>139</v>
      </c>
      <c r="J192" s="55"/>
      <c r="K192" s="55"/>
      <c r="L192" s="55" t="str">
        <f>IFERROR(__xludf.DUMMYFUNCTION("QUERY('Volunteer Survey'!B199)"),"Michelle Paczosa")</f>
        <v>Michelle Paczosa</v>
      </c>
      <c r="M192" s="55" t="str">
        <f>IFERROR(__xludf.DUMMYFUNCTION("QUERY('Volunteer Survey'!E199)"),"Michelle.K.Paczosa@questdiagnostics.com")</f>
        <v>Michelle.K.Paczosa@questdiagnostics.com</v>
      </c>
      <c r="N192" s="55" t="str">
        <f>IFERROR(__xludf.DUMMYFUNCTION("QUERY('Volunteer Survey'!F199)"),"Variant Analyst/Scientist - Industry")</f>
        <v>Variant Analyst/Scientist - Industry</v>
      </c>
      <c r="O192" s="48" t="str">
        <f>IFERROR(__xludf.DUMMYFUNCTION("QUERY('Volunteer Survey'!H199)"),"Comprehensive")</f>
        <v>Comprehensive</v>
      </c>
      <c r="P192" s="55" t="str">
        <f>IFERROR(__xludf.DUMMYFUNCTION("QUERY('Volunteer Survey'!I199)"),"Dosage Sensitivity")</f>
        <v>Dosage Sensitivity</v>
      </c>
      <c r="Q192" s="60" t="str">
        <f>IFERROR(__xludf.DUMMYFUNCTION("QUERY('Volunteer Survey'!J199)"),"Gene-Disease Validity")</f>
        <v>Gene-Disease Validity</v>
      </c>
      <c r="R192" s="55" t="str">
        <f>IFERROR(__xludf.DUMMYFUNCTION("QUERY('Volunteer Survey'!K199)"),"")</f>
        <v/>
      </c>
      <c r="S192" s="55" t="str">
        <f>IFERROR(__xludf.DUMMYFUNCTION("QUERY('Volunteer Survey'!L199)"),"")</f>
        <v/>
      </c>
      <c r="T192" s="55" t="str">
        <f>IFERROR(__xludf.DUMMYFUNCTION("QUERY('Volunteer Survey'!M199)"),"")</f>
        <v/>
      </c>
      <c r="U192" s="64" t="str">
        <f>IFERROR(__xludf.DUMMYFUNCTION("QUERY('Volunteer Survey'!N199)"),"")</f>
        <v/>
      </c>
      <c r="V192" s="55" t="str">
        <f>IFERROR(__xludf.DUMMYFUNCTION("QUERY('Volunteer Survey'!O199)"),"")</f>
        <v/>
      </c>
      <c r="W192" s="66" t="str">
        <f>IFERROR(__xludf.DUMMYFUNCTION("QUERY('Volunteer Survey'!P199)"),"1. Recurrent 2. Neurodevelopmental 3. Cancer 4. Mitochondrial 5.Hereditary Cancer 6. Monogenic Diabetes")</f>
        <v>1. Recurrent 2. Neurodevelopmental 3. Cancer 4. Mitochondrial 5.Hereditary Cancer 6. Monogenic Diabetes</v>
      </c>
      <c r="X192" s="64" t="str">
        <f>IFERROR(__xludf.DUMMYFUNCTION("QUERY('Volunteer Survey'!R199)"),"Yes- I am willing to volunteer with any available ClinGen group")</f>
        <v>Yes- I am willing to volunteer with any available ClinGen group</v>
      </c>
      <c r="Y192" s="51" t="s">
        <v>355</v>
      </c>
      <c r="Z192" s="182">
        <f>IFERROR(__xludf.DUMMYFUNCTION("QUERY('Volunteer Survey'!A191)"),43592.73996135417)</f>
        <v>43592.73996</v>
      </c>
      <c r="AA192" s="183" t="str">
        <f>IFERROR(__xludf.DUMMYFUNCTION("QUERY('Volunteer Survey'!B191)"),"FEN GUO")</f>
        <v>FEN GUO</v>
      </c>
      <c r="AB192" s="183" t="str">
        <f>IFERROR(__xludf.DUMMYFUNCTION("QUERY('Volunteer Survey'!C191)"),"Wisconsin State Laboratory of Hygiene")</f>
        <v>Wisconsin State Laboratory of Hygiene</v>
      </c>
      <c r="AC192" s="183" t="str">
        <f>IFERROR(__xludf.DUMMYFUNCTION("QUERY('Volunteer Survey'!D191)"),"	465 Henry Mall   Madison, WI 53706")</f>
        <v>	465 Henry Mall   Madison, WI 53706</v>
      </c>
      <c r="AD192" s="183" t="str">
        <f>IFERROR(__xludf.DUMMYFUNCTION("QUERY('Volunteer Survey'!E191)"),"fguo34@wisc.edu")</f>
        <v>fguo34@wisc.edu</v>
      </c>
      <c r="AE192" s="183" t="str">
        <f>IFERROR(__xludf.DUMMYFUNCTION("QUERY('Volunteer Survey'!F191)"),"Post Doc/Resident/Fellow (MD and/or PhD)")</f>
        <v>Post Doc/Resident/Fellow (MD and/or PhD)</v>
      </c>
      <c r="AF192" s="183" t="str">
        <f>IFERROR(__xludf.DUMMYFUNCTION("QUERY('Volunteer Survey'!G191)"),"ACMG Conference 2019, Networking, Colleagues")</f>
        <v>ACMG Conference 2019, Networking, Colleagues</v>
      </c>
      <c r="AG192" s="183" t="str">
        <f>IFERROR(__xludf.DUMMYFUNCTION("QUERY('Volunteer Survey'!H191)"),"Comprehensive")</f>
        <v>Comprehensive</v>
      </c>
      <c r="AH192" s="183" t="str">
        <f>IFERROR(__xludf.DUMMYFUNCTION("QUERY('Volunteer Survey'!I191)"),"Gene-Disease Validity")</f>
        <v>Gene-Disease Validity</v>
      </c>
      <c r="AI192" s="183" t="str">
        <f>IFERROR(__xludf.DUMMYFUNCTION("QUERY('Volunteer Survey'!J191)"),"Variant Pathogenicity")</f>
        <v>Variant Pathogenicity</v>
      </c>
      <c r="AJ192" s="183" t="str">
        <f>IFERROR(__xludf.DUMMYFUNCTION("QUERY('Volunteer Survey'!K191)"),"Somatic Cancer")</f>
        <v>Somatic Cancer</v>
      </c>
      <c r="AK192" s="183" t="str">
        <f>IFERROR(__xludf.DUMMYFUNCTION("QUERY('Volunteer Survey'!L191)"),"Clinical Actionability")</f>
        <v>Clinical Actionability</v>
      </c>
      <c r="AL192" s="183" t="str">
        <f>IFERROR(__xludf.DUMMYFUNCTION("QUERY('Volunteer Survey'!M191)"),"Dosage Sensitivity")</f>
        <v>Dosage Sensitivity</v>
      </c>
      <c r="AM192" s="183" t="str">
        <f>IFERROR(__xludf.DUMMYFUNCTION("QUERY('Volunteer Survey'!N191)"),"No")</f>
        <v>No</v>
      </c>
      <c r="AN192" s="183" t="str">
        <f>IFERROR(__xludf.DUMMYFUNCTION("QUERY('Volunteer Survey'!O191)"),"Possibly")</f>
        <v>Possibly</v>
      </c>
      <c r="AO192" s="183" t="str">
        <f>IFERROR(__xludf.DUMMYFUNCTION("QUERY('Volunteer Survey'!P191)"),"Gene Curation Expert Panels-Hereditary Cancer")</f>
        <v>Gene Curation Expert Panels-Hereditary Cancer</v>
      </c>
    </row>
    <row r="193">
      <c r="A193" s="50">
        <f>IFERROR(__xludf.DUMMYFUNCTION("QUERY('Volunteer Survey'!A200)"),43601.53615817129)</f>
        <v>43601.53616</v>
      </c>
      <c r="B193" s="48" t="s">
        <v>160</v>
      </c>
      <c r="C193" s="53"/>
      <c r="D193" s="56">
        <v>43605.0</v>
      </c>
      <c r="E193" s="48" t="s">
        <v>117</v>
      </c>
      <c r="F193" s="48" t="s">
        <v>117</v>
      </c>
      <c r="G193" s="48" t="s">
        <v>251</v>
      </c>
      <c r="H193" s="51" t="s">
        <v>305</v>
      </c>
      <c r="I193" s="51" t="s">
        <v>356</v>
      </c>
      <c r="J193" s="56">
        <v>43712.0</v>
      </c>
      <c r="K193" s="56"/>
      <c r="L193" s="55" t="str">
        <f>IFERROR(__xludf.DUMMYFUNCTION("QUERY('Volunteer Survey'!B200)"),"Olivia Rennie")</f>
        <v>Olivia Rennie</v>
      </c>
      <c r="M193" s="55" t="str">
        <f>IFERROR(__xludf.DUMMYFUNCTION("QUERY('Volunteer Survey'!E200)"),"olivia.rennie@sickkids.ca")</f>
        <v>olivia.rennie@sickkids.ca</v>
      </c>
      <c r="N193" s="55" t="str">
        <f>IFERROR(__xludf.DUMMYFUNCTION("QUERY('Volunteer Survey'!F200)"),"Biocurator")</f>
        <v>Biocurator</v>
      </c>
      <c r="O193" s="48" t="str">
        <f>IFERROR(__xludf.DUMMYFUNCTION("QUERY('Volunteer Survey'!H200)"),"Comprehensive")</f>
        <v>Comprehensive</v>
      </c>
      <c r="P193" s="55" t="str">
        <f>IFERROR(__xludf.DUMMYFUNCTION("QUERY('Volunteer Survey'!I200)"),"Variant Pathogenicity")</f>
        <v>Variant Pathogenicity</v>
      </c>
      <c r="Q193" s="60" t="str">
        <f>IFERROR(__xludf.DUMMYFUNCTION("QUERY('Volunteer Survey'!J200)"),"Somatic Cancer")</f>
        <v>Somatic Cancer</v>
      </c>
      <c r="R193" s="55" t="str">
        <f>IFERROR(__xludf.DUMMYFUNCTION("QUERY('Volunteer Survey'!K200)"),"Clinical Actionability")</f>
        <v>Clinical Actionability</v>
      </c>
      <c r="S193" s="55" t="str">
        <f>IFERROR(__xludf.DUMMYFUNCTION("QUERY('Volunteer Survey'!L200)"),"")</f>
        <v/>
      </c>
      <c r="T193" s="55" t="str">
        <f>IFERROR(__xludf.DUMMYFUNCTION("QUERY('Volunteer Survey'!M200)"),"")</f>
        <v/>
      </c>
      <c r="U193" s="64" t="str">
        <f>IFERROR(__xludf.DUMMYFUNCTION("QUERY('Volunteer Survey'!N200)"),"As noted above, I am currently a gene-disease curator with the ID &amp; ASD EP.")</f>
        <v>As noted above, I am currently a gene-disease curator with the ID &amp; ASD EP.</v>
      </c>
      <c r="V193" s="55" t="str">
        <f>IFERROR(__xludf.DUMMYFUNCTION("QUERY('Volunteer Survey'!O200)"),"Yes")</f>
        <v>Yes</v>
      </c>
      <c r="W193" s="66" t="str">
        <f>IFERROR(__xludf.DUMMYFUNCTION("QUERY('Volunteer Survey'!P200)"),"I am open to any variant curation EPs that are currently looking for volunteers. ")</f>
        <v>I am open to any variant curation EPs that are currently looking for volunteers. </v>
      </c>
      <c r="X193" s="64" t="str">
        <f>IFERROR(__xludf.DUMMYFUNCTION("QUERY('Volunteer Survey'!R200)"),"Yes- I am willing to volunteer with any available ClinGen group")</f>
        <v>Yes- I am willing to volunteer with any available ClinGen group</v>
      </c>
      <c r="Y193" s="51" t="s">
        <v>357</v>
      </c>
      <c r="Z193" s="182">
        <f>IFERROR(__xludf.DUMMYFUNCTION("QUERY('Volunteer Survey'!A192)"),43592.88754996528)</f>
        <v>43592.88755</v>
      </c>
      <c r="AA193" s="183" t="str">
        <f>IFERROR(__xludf.DUMMYFUNCTION("QUERY('Volunteer Survey'!B192)"),"Elizabeth Palmer")</f>
        <v>Elizabeth Palmer</v>
      </c>
      <c r="AB193" s="183" t="str">
        <f>IFERROR(__xludf.DUMMYFUNCTION("QUERY('Volunteer Survey'!C192)"),"Genetics of Learning Disability")</f>
        <v>Genetics of Learning Disability</v>
      </c>
      <c r="AC193" s="183" t="str">
        <f>IFERROR(__xludf.DUMMYFUNCTION("QUERY('Volunteer Survey'!D192)"),"Sydney, Australia")</f>
        <v>Sydney, Australia</v>
      </c>
      <c r="AD193" s="183" t="str">
        <f>IFERROR(__xludf.DUMMYFUNCTION("QUERY('Volunteer Survey'!E192)"),"elizabeth.palmer1@health.nsw.gov.au")</f>
        <v>elizabeth.palmer1@health.nsw.gov.au</v>
      </c>
      <c r="AE193" s="183" t="str">
        <f>IFERROR(__xludf.DUMMYFUNCTION("QUERY('Volunteer Survey'!F192)"),"Clinical Medical Geneticist")</f>
        <v>Clinical Medical Geneticist</v>
      </c>
      <c r="AF193" s="183" t="str">
        <f>IFERROR(__xludf.DUMMYFUNCTION("QUERY('Volunteer Survey'!G192)"),"The clinicalgenome.org website")</f>
        <v>The clinicalgenome.org website</v>
      </c>
      <c r="AG193" s="183" t="str">
        <f>IFERROR(__xludf.DUMMYFUNCTION("QUERY('Volunteer Survey'!H192)"),"Comprehensive")</f>
        <v>Comprehensive</v>
      </c>
      <c r="AH193" s="183" t="str">
        <f>IFERROR(__xludf.DUMMYFUNCTION("QUERY('Volunteer Survey'!I192)"),"Gene-Disease Validity")</f>
        <v>Gene-Disease Validity</v>
      </c>
      <c r="AI193" s="183" t="str">
        <f>IFERROR(__xludf.DUMMYFUNCTION("QUERY('Volunteer Survey'!J192)"),"Variant Pathogenicity")</f>
        <v>Variant Pathogenicity</v>
      </c>
      <c r="AJ193" s="183" t="str">
        <f>IFERROR(__xludf.DUMMYFUNCTION("QUERY('Volunteer Survey'!K192)"),"")</f>
        <v/>
      </c>
      <c r="AK193" s="183" t="str">
        <f>IFERROR(__xludf.DUMMYFUNCTION("QUERY('Volunteer Survey'!L192)"),"")</f>
        <v/>
      </c>
      <c r="AL193" s="183" t="str">
        <f>IFERROR(__xludf.DUMMYFUNCTION("QUERY('Volunteer Survey'!M192)"),"")</f>
        <v/>
      </c>
      <c r="AM193" s="183" t="str">
        <f>IFERROR(__xludf.DUMMYFUNCTION("QUERY('Volunteer Survey'!N192)"),"member of AUSTRALIAN FUNCTIONAL GENOMICS CLINICAL REVIEW PANEL. Variant curation as part of my PhD and clinical research practice. ")</f>
        <v>member of AUSTRALIAN FUNCTIONAL GENOMICS CLINICAL REVIEW PANEL. Variant curation as part of my PhD and clinical research practice. </v>
      </c>
      <c r="AN193" s="183" t="str">
        <f>IFERROR(__xludf.DUMMYFUNCTION("QUERY('Volunteer Survey'!O192)"),"No")</f>
        <v>No</v>
      </c>
      <c r="AO193" s="183" t="str">
        <f>IFERROR(__xludf.DUMMYFUNCTION("QUERY('Volunteer Survey'!P192)"),"epilepsy / ID and autism")</f>
        <v>epilepsy / ID and autism</v>
      </c>
    </row>
    <row r="194">
      <c r="A194" s="50">
        <f>IFERROR(__xludf.DUMMYFUNCTION("QUERY('Volunteer Survey'!A201)"),43602.702408564815)</f>
        <v>43602.70241</v>
      </c>
      <c r="B194" s="48" t="s">
        <v>108</v>
      </c>
      <c r="C194" s="53"/>
      <c r="D194" s="56">
        <v>43627.0</v>
      </c>
      <c r="E194" s="48" t="s">
        <v>117</v>
      </c>
      <c r="F194" s="48" t="s">
        <v>117</v>
      </c>
      <c r="G194" s="48" t="s">
        <v>313</v>
      </c>
      <c r="H194" s="53"/>
      <c r="I194" s="51" t="s">
        <v>139</v>
      </c>
      <c r="J194" s="55"/>
      <c r="K194" s="55"/>
      <c r="L194" s="55" t="str">
        <f>IFERROR(__xludf.DUMMYFUNCTION("QUERY('Volunteer Survey'!B201)"),"Aleš Maver")</f>
        <v>Aleš Maver</v>
      </c>
      <c r="M194" s="55" t="str">
        <f>IFERROR(__xludf.DUMMYFUNCTION("QUERY('Volunteer Survey'!E201)"),"ales.maver@kclj.si")</f>
        <v>ales.maver@kclj.si</v>
      </c>
      <c r="N194" s="55" t="str">
        <f>IFERROR(__xludf.DUMMYFUNCTION("QUERY('Volunteer Survey'!F201)"),"Clinical laboratory geneticist")</f>
        <v>Clinical laboratory geneticist</v>
      </c>
      <c r="O194" s="48" t="str">
        <f>IFERROR(__xludf.DUMMYFUNCTION("QUERY('Volunteer Survey'!H201)"),"Comprehensive")</f>
        <v>Comprehensive</v>
      </c>
      <c r="P194" s="55" t="str">
        <f>IFERROR(__xludf.DUMMYFUNCTION("QUERY('Volunteer Survey'!I201)"),"Variant Pathogenicity")</f>
        <v>Variant Pathogenicity</v>
      </c>
      <c r="Q194" s="60" t="str">
        <f>IFERROR(__xludf.DUMMYFUNCTION("QUERY('Volunteer Survey'!J201)"),"Gene-Disease Validity")</f>
        <v>Gene-Disease Validity</v>
      </c>
      <c r="R194" s="55" t="str">
        <f>IFERROR(__xludf.DUMMYFUNCTION("QUERY('Volunteer Survey'!K201)"),"Clinical Actionability")</f>
        <v>Clinical Actionability</v>
      </c>
      <c r="S194" s="55" t="str">
        <f>IFERROR(__xludf.DUMMYFUNCTION("QUERY('Volunteer Survey'!L201)"),"Dosage Sensitivity")</f>
        <v>Dosage Sensitivity</v>
      </c>
      <c r="T194" s="55" t="str">
        <f>IFERROR(__xludf.DUMMYFUNCTION("QUERY('Volunteer Survey'!M201)"),"Somatic Cancer")</f>
        <v>Somatic Cancer</v>
      </c>
      <c r="U194" s="64" t="str">
        <f>IFERROR(__xludf.DUMMYFUNCTION("QUERY('Volunteer Survey'!N201)"),"Not extensive, but I am the responsible person for ClinVar deposits and data sharing at our institution. I also participate in the Variant discrepancy resolution project led by Steven Harrison. ")</f>
        <v>Not extensive, but I am the responsible person for ClinVar deposits and data sharing at our institution. I also participate in the Variant discrepancy resolution project led by Steven Harrison. </v>
      </c>
      <c r="V194" s="55" t="str">
        <f>IFERROR(__xludf.DUMMYFUNCTION("QUERY('Volunteer Survey'!O201)"),"Yes")</f>
        <v>Yes</v>
      </c>
      <c r="W194" s="66" t="str">
        <f>IFERROR(__xludf.DUMMYFUNCTION("QUERY('Volunteer Survey'!P201)"),"Variant Curation Expert Panels and Gene Curation Expert Panels")</f>
        <v>Variant Curation Expert Panels and Gene Curation Expert Panels</v>
      </c>
      <c r="X194" s="64" t="str">
        <f>IFERROR(__xludf.DUMMYFUNCTION("QUERY('Volunteer Survey'!R201)"),"Yes- I am willing to volunteer with any available ClinGen group")</f>
        <v>Yes- I am willing to volunteer with any available ClinGen group</v>
      </c>
      <c r="Y194" s="53"/>
      <c r="Z194" s="182">
        <f>IFERROR(__xludf.DUMMYFUNCTION("QUERY('Volunteer Survey'!A193)"),43593.204109722225)</f>
        <v>43593.20411</v>
      </c>
      <c r="AA194" s="183" t="str">
        <f>IFERROR(__xludf.DUMMYFUNCTION("QUERY('Volunteer Survey'!B193)"),"Vira Lamtieva")</f>
        <v>Vira Lamtieva</v>
      </c>
      <c r="AB194" s="183" t="str">
        <f>IFERROR(__xludf.DUMMYFUNCTION("QUERY('Volunteer Survey'!C193)"),"Clinic of Reproductive Medicine ""Nadiya""")</f>
        <v>Clinic of Reproductive Medicine "Nadiya"</v>
      </c>
      <c r="AC194" s="183" t="str">
        <f>IFERROR(__xludf.DUMMYFUNCTION("QUERY('Volunteer Survey'!D193)"),"Kyiv, Ukraine")</f>
        <v>Kyiv, Ukraine</v>
      </c>
      <c r="AD194" s="183" t="str">
        <f>IFERROR(__xludf.DUMMYFUNCTION("QUERY('Volunteer Survey'!E193)"),"lamteva.vera@gmail.com")</f>
        <v>lamteva.vera@gmail.com</v>
      </c>
      <c r="AE194" s="183" t="str">
        <f>IFERROR(__xludf.DUMMYFUNCTION("QUERY('Volunteer Survey'!F193)"),"Clinical laboratory geneticist")</f>
        <v>Clinical laboratory geneticist</v>
      </c>
      <c r="AF194" s="183" t="str">
        <f>IFERROR(__xludf.DUMMYFUNCTION("QUERY('Volunteer Survey'!G193)"),"The clinicalgenome.org website")</f>
        <v>The clinicalgenome.org website</v>
      </c>
      <c r="AG194" s="183" t="str">
        <f>IFERROR(__xludf.DUMMYFUNCTION("QUERY('Volunteer Survey'!H193)"),"Baseline")</f>
        <v>Baseline</v>
      </c>
      <c r="AH194" s="183" t="str">
        <f>IFERROR(__xludf.DUMMYFUNCTION("QUERY('Volunteer Survey'!I193)"),"Variant Pathogenicity")</f>
        <v>Variant Pathogenicity</v>
      </c>
      <c r="AI194" s="183" t="str">
        <f>IFERROR(__xludf.DUMMYFUNCTION("QUERY('Volunteer Survey'!J193)"),"Gene-Disease Validity")</f>
        <v>Gene-Disease Validity</v>
      </c>
      <c r="AJ194" s="183" t="str">
        <f>IFERROR(__xludf.DUMMYFUNCTION("QUERY('Volunteer Survey'!K193)"),"")</f>
        <v/>
      </c>
      <c r="AK194" s="183" t="str">
        <f>IFERROR(__xludf.DUMMYFUNCTION("QUERY('Volunteer Survey'!L193)"),"")</f>
        <v/>
      </c>
      <c r="AL194" s="183" t="str">
        <f>IFERROR(__xludf.DUMMYFUNCTION("QUERY('Volunteer Survey'!M193)"),"")</f>
        <v/>
      </c>
      <c r="AM194" s="183" t="str">
        <f>IFERROR(__xludf.DUMMYFUNCTION("QUERY('Volunteer Survey'!N193)"),"I don't have curation experience but I have been learning variant analysis and interpretation since 2016. Our lab has been offering WES interpretation for some time, and it is currently my working responsibility. Yet I have analysed up to 10 cases so far."&amp;" ")</f>
        <v>I don't have curation experience but I have been learning variant analysis and interpretation since 2016. Our lab has been offering WES interpretation for some time, and it is currently my working responsibility. Yet I have analysed up to 10 cases so far. </v>
      </c>
      <c r="AN194" s="183" t="str">
        <f>IFERROR(__xludf.DUMMYFUNCTION("QUERY('Volunteer Survey'!O193)"),"Possibly")</f>
        <v>Possibly</v>
      </c>
      <c r="AO194" s="183" t="str">
        <f>IFERROR(__xludf.DUMMYFUNCTION("QUERY('Volunteer Survey'!P193)"),"Brain malformations, Lysosomal storage diseases, Mitochondrial diseases, Intellectual Disability/Autism")</f>
        <v>Brain malformations, Lysosomal storage diseases, Mitochondrial diseases, Intellectual Disability/Autism</v>
      </c>
    </row>
    <row r="195">
      <c r="A195" s="50">
        <f>IFERROR(__xludf.DUMMYFUNCTION("QUERY('Volunteer Survey'!A202)"),43605.50311005787)</f>
        <v>43605.50311</v>
      </c>
      <c r="B195" s="48" t="s">
        <v>108</v>
      </c>
      <c r="C195" s="79">
        <v>43689.0</v>
      </c>
      <c r="D195" s="55"/>
      <c r="E195" s="48"/>
      <c r="F195" s="48" t="s">
        <v>130</v>
      </c>
      <c r="G195" s="48" t="s">
        <v>19</v>
      </c>
      <c r="H195" s="69"/>
      <c r="I195" s="69" t="s">
        <v>139</v>
      </c>
      <c r="J195" s="55"/>
      <c r="K195" s="55"/>
      <c r="L195" s="55" t="str">
        <f>IFERROR(__xludf.DUMMYFUNCTION("QUERY('Volunteer Survey'!B202)"),"Léon Tshilolo")</f>
        <v>Léon Tshilolo</v>
      </c>
      <c r="M195" s="55" t="str">
        <f>IFERROR(__xludf.DUMMYFUNCTION("QUERY('Volunteer Survey'!E202)"),"leon.tshilolo2012@gmail.com")</f>
        <v>leon.tshilolo2012@gmail.com</v>
      </c>
      <c r="N195" s="55" t="str">
        <f>IFERROR(__xludf.DUMMYFUNCTION("QUERY('Volunteer Survey'!F202)"),"hematologist, expert of SCD")</f>
        <v>hematologist, expert of SCD</v>
      </c>
      <c r="O195" s="48" t="str">
        <f>IFERROR(__xludf.DUMMYFUNCTION("QUERY('Volunteer Survey'!H202)"),"Comprehensive")</f>
        <v>Comprehensive</v>
      </c>
      <c r="P195" s="55" t="str">
        <f>IFERROR(__xludf.DUMMYFUNCTION("QUERY('Volunteer Survey'!I202)"),"Clinical Actionability")</f>
        <v>Clinical Actionability</v>
      </c>
      <c r="Q195" s="60" t="str">
        <f>IFERROR(__xludf.DUMMYFUNCTION("QUERY('Volunteer Survey'!J202)"),"Variant Pathogenicity")</f>
        <v>Variant Pathogenicity</v>
      </c>
      <c r="R195" s="55" t="str">
        <f>IFERROR(__xludf.DUMMYFUNCTION("QUERY('Volunteer Survey'!K202)"),"Gene-Disease Validity")</f>
        <v>Gene-Disease Validity</v>
      </c>
      <c r="S195" s="55" t="str">
        <f>IFERROR(__xludf.DUMMYFUNCTION("QUERY('Volunteer Survey'!L202)"),"Dosage Sensitivity")</f>
        <v>Dosage Sensitivity</v>
      </c>
      <c r="T195" s="55" t="str">
        <f>IFERROR(__xludf.DUMMYFUNCTION("QUERY('Volunteer Survey'!M202)"),"Somatic Cancer")</f>
        <v>Somatic Cancer</v>
      </c>
      <c r="U195" s="64" t="str">
        <f>IFERROR(__xludf.DUMMYFUNCTION("QUERY('Volunteer Survey'!N202)"),"")</f>
        <v/>
      </c>
      <c r="V195" s="55" t="str">
        <f>IFERROR(__xludf.DUMMYFUNCTION("QUERY('Volunteer Survey'!O202)"),"No")</f>
        <v>No</v>
      </c>
      <c r="W195" s="66" t="str">
        <f>IFERROR(__xludf.DUMMYFUNCTION("QUERY('Volunteer Survey'!P202)"),"hemoglobinopathies")</f>
        <v>hemoglobinopathies</v>
      </c>
      <c r="X195" s="64" t="str">
        <f>IFERROR(__xludf.DUMMYFUNCTION("QUERY('Volunteer Survey'!R202)"),"Maybe -- please contact me with other options, and I will decide based on what is available")</f>
        <v>Maybe -- please contact me with other options, and I will decide based on what is available</v>
      </c>
      <c r="Y195" s="53"/>
      <c r="Z195" s="182">
        <f>IFERROR(__xludf.DUMMYFUNCTION("QUERY('Volunteer Survey'!A194)"),43593.56649472222)</f>
        <v>43593.56649</v>
      </c>
      <c r="AA195" s="183" t="str">
        <f>IFERROR(__xludf.DUMMYFUNCTION("QUERY('Volunteer Survey'!B194)"),"Lisa Dyer")</f>
        <v>Lisa Dyer</v>
      </c>
      <c r="AB195" s="183" t="str">
        <f>IFERROR(__xludf.DUMMYFUNCTION("QUERY('Volunteer Survey'!C194)"),"NA")</f>
        <v>NA</v>
      </c>
      <c r="AC195" s="183" t="str">
        <f>IFERROR(__xludf.DUMMYFUNCTION("QUERY('Volunteer Survey'!D194)"),"")</f>
        <v/>
      </c>
      <c r="AD195" s="183" t="str">
        <f>IFERROR(__xludf.DUMMYFUNCTION("QUERY('Volunteer Survey'!E194)"),"Lisa.Dyer@cchmc.org")</f>
        <v>Lisa.Dyer@cchmc.org</v>
      </c>
      <c r="AE195" s="183" t="str">
        <f>IFERROR(__xludf.DUMMYFUNCTION("QUERY('Volunteer Survey'!F194)"),"NA")</f>
        <v>NA</v>
      </c>
      <c r="AF195" s="183" t="str">
        <f>IFERROR(__xludf.DUMMYFUNCTION("QUERY('Volunteer Survey'!G194)"),"NA")</f>
        <v>NA</v>
      </c>
      <c r="AG195" s="183" t="str">
        <f>IFERROR(__xludf.DUMMYFUNCTION("QUERY('Volunteer Survey'!H194)"),"Comprehensive")</f>
        <v>Comprehensive</v>
      </c>
      <c r="AH195" s="183" t="str">
        <f>IFERROR(__xludf.DUMMYFUNCTION("QUERY('Volunteer Survey'!I194)"),"Somatic Cancer")</f>
        <v>Somatic Cancer</v>
      </c>
      <c r="AI195" s="183" t="str">
        <f>IFERROR(__xludf.DUMMYFUNCTION("QUERY('Volunteer Survey'!J194)"),"")</f>
        <v/>
      </c>
      <c r="AJ195" s="183" t="str">
        <f>IFERROR(__xludf.DUMMYFUNCTION("QUERY('Volunteer Survey'!K194)"),"")</f>
        <v/>
      </c>
      <c r="AK195" s="183" t="str">
        <f>IFERROR(__xludf.DUMMYFUNCTION("QUERY('Volunteer Survey'!L194)"),"")</f>
        <v/>
      </c>
      <c r="AL195" s="183" t="str">
        <f>IFERROR(__xludf.DUMMYFUNCTION("QUERY('Volunteer Survey'!M194)"),"")</f>
        <v/>
      </c>
      <c r="AM195" s="183" t="str">
        <f>IFERROR(__xludf.DUMMYFUNCTION("QUERY('Volunteer Survey'!N194)"),"")</f>
        <v/>
      </c>
      <c r="AN195" s="183" t="str">
        <f>IFERROR(__xludf.DUMMYFUNCTION("QUERY('Volunteer Survey'!O194)"),"")</f>
        <v/>
      </c>
      <c r="AO195" s="183" t="str">
        <f>IFERROR(__xludf.DUMMYFUNCTION("QUERY('Volunteer Survey'!P194)"),"")</f>
        <v/>
      </c>
    </row>
    <row r="196">
      <c r="A196" s="50">
        <f>IFERROR(__xludf.DUMMYFUNCTION("QUERY('Volunteer Survey'!A203)"),43605.743656238425)</f>
        <v>43605.74366</v>
      </c>
      <c r="B196" s="48" t="s">
        <v>108</v>
      </c>
      <c r="C196" s="53"/>
      <c r="D196" s="56"/>
      <c r="E196" s="48"/>
      <c r="F196" s="48" t="s">
        <v>130</v>
      </c>
      <c r="G196" s="48" t="s">
        <v>202</v>
      </c>
      <c r="H196" s="53"/>
      <c r="I196" s="51" t="s">
        <v>139</v>
      </c>
      <c r="J196" s="55"/>
      <c r="K196" s="55"/>
      <c r="L196" s="55" t="str">
        <f>IFERROR(__xludf.DUMMYFUNCTION("QUERY('Volunteer Survey'!B203)"),"Danielle Mouhlas")</f>
        <v>Danielle Mouhlas</v>
      </c>
      <c r="M196" s="55" t="str">
        <f>IFERROR(__xludf.DUMMYFUNCTION("QUERY('Volunteer Survey'!E203)"),"danielle.mouhlas@nationwidechildrens.org")</f>
        <v>danielle.mouhlas@nationwidechildrens.org</v>
      </c>
      <c r="N196" s="55" t="str">
        <f>IFERROR(__xludf.DUMMYFUNCTION("QUERY('Volunteer Survey'!F203)"),"Genetic counselor")</f>
        <v>Genetic counselor</v>
      </c>
      <c r="O196" s="48" t="str">
        <f>IFERROR(__xludf.DUMMYFUNCTION("QUERY('Volunteer Survey'!H203)"),"Baseline")</f>
        <v>Baseline</v>
      </c>
      <c r="P196" s="55" t="str">
        <f>IFERROR(__xludf.DUMMYFUNCTION("QUERY('Volunteer Survey'!I203)"),"Variant Pathogenicity")</f>
        <v>Variant Pathogenicity</v>
      </c>
      <c r="Q196" s="60" t="str">
        <f>IFERROR(__xludf.DUMMYFUNCTION("QUERY('Volunteer Survey'!J203)"),"Gene-Disease Validity")</f>
        <v>Gene-Disease Validity</v>
      </c>
      <c r="R196" s="55" t="str">
        <f>IFERROR(__xludf.DUMMYFUNCTION("QUERY('Volunteer Survey'!K203)"),"Dosage Sensitivity")</f>
        <v>Dosage Sensitivity</v>
      </c>
      <c r="S196" s="55" t="str">
        <f>IFERROR(__xludf.DUMMYFUNCTION("QUERY('Volunteer Survey'!L203)"),"Clinical Actionability")</f>
        <v>Clinical Actionability</v>
      </c>
      <c r="T196" s="55" t="str">
        <f>IFERROR(__xludf.DUMMYFUNCTION("QUERY('Volunteer Survey'!M203)"),"Somatic Cancer")</f>
        <v>Somatic Cancer</v>
      </c>
      <c r="U196" s="64" t="str">
        <f>IFERROR(__xludf.DUMMYFUNCTION("QUERY('Volunteer Survey'!N203)"),"I have performed some variant interpretation for clinical report writing. ")</f>
        <v>I have performed some variant interpretation for clinical report writing. </v>
      </c>
      <c r="V196" s="55" t="str">
        <f>IFERROR(__xludf.DUMMYFUNCTION("QUERY('Volunteer Survey'!O203)"),"Yes")</f>
        <v>Yes</v>
      </c>
      <c r="W196" s="66" t="str">
        <f>IFERROR(__xludf.DUMMYFUNCTION("QUERY('Volunteer Survey'!P203)"),"")</f>
        <v/>
      </c>
      <c r="X196" s="64" t="str">
        <f>IFERROR(__xludf.DUMMYFUNCTION("QUERY('Volunteer Survey'!R203)"),"")</f>
        <v/>
      </c>
      <c r="Y196" s="51" t="s">
        <v>358</v>
      </c>
      <c r="Z196" s="182">
        <f>IFERROR(__xludf.DUMMYFUNCTION("QUERY('Volunteer Survey'!A195)"),43593.736186539354)</f>
        <v>43593.73619</v>
      </c>
      <c r="AA196" s="183" t="str">
        <f>IFERROR(__xludf.DUMMYFUNCTION("QUERY('Volunteer Survey'!B195)"),"Andrea Hallberg")</f>
        <v>Andrea Hallberg</v>
      </c>
      <c r="AB196" s="183" t="str">
        <f>IFERROR(__xludf.DUMMYFUNCTION("QUERY('Volunteer Survey'!C195)"),"University of Iowa")</f>
        <v>University of Iowa</v>
      </c>
      <c r="AC196" s="183" t="str">
        <f>IFERROR(__xludf.DUMMYFUNCTION("QUERY('Volunteer Survey'!D195)"),"1422 Aber Ave, Iowa City, IA")</f>
        <v>1422 Aber Ave, Iowa City, IA</v>
      </c>
      <c r="AD196" s="183" t="str">
        <f>IFERROR(__xludf.DUMMYFUNCTION("QUERY('Volunteer Survey'!E195)"),"hallberg.andrea@gmail.com")</f>
        <v>hallberg.andrea@gmail.com</v>
      </c>
      <c r="AE196" s="183" t="str">
        <f>IFERROR(__xludf.DUMMYFUNCTION("QUERY('Volunteer Survey'!F195)"),"Post Doc/Resident/Fellow (MD and/or PhD)")</f>
        <v>Post Doc/Resident/Fellow (MD and/or PhD)</v>
      </c>
      <c r="AF196" s="183" t="str">
        <f>IFERROR(__xludf.DUMMYFUNCTION("QUERY('Volunteer Survey'!G195)"),"The clinicalgenome.org website")</f>
        <v>The clinicalgenome.org website</v>
      </c>
      <c r="AG196" s="183" t="str">
        <f>IFERROR(__xludf.DUMMYFUNCTION("QUERY('Volunteer Survey'!H195)"),"Comprehensive")</f>
        <v>Comprehensive</v>
      </c>
      <c r="AH196" s="183" t="str">
        <f>IFERROR(__xludf.DUMMYFUNCTION("QUERY('Volunteer Survey'!I195)"),"Gene-Disease Validity")</f>
        <v>Gene-Disease Validity</v>
      </c>
      <c r="AI196" s="183" t="str">
        <f>IFERROR(__xludf.DUMMYFUNCTION("QUERY('Volunteer Survey'!J195)"),"Variant Pathogenicity")</f>
        <v>Variant Pathogenicity</v>
      </c>
      <c r="AJ196" s="183" t="str">
        <f>IFERROR(__xludf.DUMMYFUNCTION("QUERY('Volunteer Survey'!K195)"),"Dosage Sensitivity")</f>
        <v>Dosage Sensitivity</v>
      </c>
      <c r="AK196" s="183" t="str">
        <f>IFERROR(__xludf.DUMMYFUNCTION("QUERY('Volunteer Survey'!L195)"),"Clinical Actionability")</f>
        <v>Clinical Actionability</v>
      </c>
      <c r="AL196" s="183" t="str">
        <f>IFERROR(__xludf.DUMMYFUNCTION("QUERY('Volunteer Survey'!M195)"),"Somatic Cancer")</f>
        <v>Somatic Cancer</v>
      </c>
      <c r="AM196" s="183" t="str">
        <f>IFERROR(__xludf.DUMMYFUNCTION("QUERY('Volunteer Survey'!N195)"),"No ")</f>
        <v>No </v>
      </c>
      <c r="AN196" s="183" t="str">
        <f>IFERROR(__xludf.DUMMYFUNCTION("QUERY('Volunteer Survey'!O195)"),"Possibly")</f>
        <v>Possibly</v>
      </c>
      <c r="AO196" s="183" t="str">
        <f>IFERROR(__xludf.DUMMYFUNCTION("QUERY('Volunteer Survey'!P195)"),"")</f>
        <v/>
      </c>
    </row>
    <row r="197" ht="17.25" customHeight="1">
      <c r="A197" s="50">
        <f>IFERROR(__xludf.DUMMYFUNCTION("QUERY('Volunteer Survey'!A204)"),43606.40039928241)</f>
        <v>43606.4004</v>
      </c>
      <c r="B197" s="48" t="s">
        <v>108</v>
      </c>
      <c r="C197" s="79">
        <v>43819.0</v>
      </c>
      <c r="D197" s="56"/>
      <c r="E197" s="48"/>
      <c r="F197" s="48" t="s">
        <v>130</v>
      </c>
      <c r="G197" s="48" t="s">
        <v>122</v>
      </c>
      <c r="H197" s="51"/>
      <c r="I197" s="51" t="s">
        <v>356</v>
      </c>
      <c r="J197" s="55"/>
      <c r="K197" s="55"/>
      <c r="L197" s="55" t="str">
        <f>IFERROR(__xludf.DUMMYFUNCTION("QUERY('Volunteer Survey'!B204)"),"Emma Reble")</f>
        <v>Emma Reble</v>
      </c>
      <c r="M197" s="55" t="str">
        <f>IFERROR(__xludf.DUMMYFUNCTION("QUERY('Volunteer Survey'!E204)"),"reblee@smh.ca")</f>
        <v>reblee@smh.ca</v>
      </c>
      <c r="N197" s="55" t="str">
        <f>IFERROR(__xludf.DUMMYFUNCTION("QUERY('Volunteer Survey'!F204)"),"Variant Analyst/Scientist - Academic")</f>
        <v>Variant Analyst/Scientist - Academic</v>
      </c>
      <c r="O197" s="48" t="str">
        <f>IFERROR(__xludf.DUMMYFUNCTION("QUERY('Volunteer Survey'!H204)"),"Comprehensive")</f>
        <v>Comprehensive</v>
      </c>
      <c r="P197" s="55" t="str">
        <f>IFERROR(__xludf.DUMMYFUNCTION("QUERY('Volunteer Survey'!I204)"),"Gene-Disease Validity")</f>
        <v>Gene-Disease Validity</v>
      </c>
      <c r="Q197" s="60" t="str">
        <f>IFERROR(__xludf.DUMMYFUNCTION("QUERY('Volunteer Survey'!J204)"),"")</f>
        <v/>
      </c>
      <c r="R197" s="55" t="str">
        <f>IFERROR(__xludf.DUMMYFUNCTION("QUERY('Volunteer Survey'!K204)"),"")</f>
        <v/>
      </c>
      <c r="S197" s="55" t="str">
        <f>IFERROR(__xludf.DUMMYFUNCTION("QUERY('Volunteer Survey'!L204)"),"")</f>
        <v/>
      </c>
      <c r="T197" s="55" t="str">
        <f>IFERROR(__xludf.DUMMYFUNCTION("QUERY('Volunteer Survey'!M204)"),"")</f>
        <v/>
      </c>
      <c r="U197" s="64" t="str">
        <f>IFERROR(__xludf.DUMMYFUNCTION("QUERY('Volunteer Survey'!N204)"),"This is my second time filing out this survey. I am doing the variant curation training and have re-filled out this survey to participate in the gene curation training in the future. ")</f>
        <v>This is my second time filing out this survey. I am doing the variant curation training and have re-filled out this survey to participate in the gene curation training in the future. </v>
      </c>
      <c r="V197" s="55" t="str">
        <f>IFERROR(__xludf.DUMMYFUNCTION("QUERY('Volunteer Survey'!O204)"),"Yes")</f>
        <v>Yes</v>
      </c>
      <c r="W197" s="66" t="str">
        <f>IFERROR(__xludf.DUMMYFUNCTION("QUERY('Volunteer Survey'!P204)"),"ID/Autism")</f>
        <v>ID/Autism</v>
      </c>
      <c r="X197" s="64" t="str">
        <f>IFERROR(__xludf.DUMMYFUNCTION("QUERY('Volunteer Survey'!R204)"),"Maybe -- please contact me with other options, and I will decide based on what is available")</f>
        <v>Maybe -- please contact me with other options, and I will decide based on what is available</v>
      </c>
      <c r="Y197" s="51" t="s">
        <v>359</v>
      </c>
      <c r="Z197" s="182">
        <f>IFERROR(__xludf.DUMMYFUNCTION("QUERY('Volunteer Survey'!A196)"),43595.37445846065)</f>
        <v>43595.37446</v>
      </c>
      <c r="AA197" s="183" t="str">
        <f>IFERROR(__xludf.DUMMYFUNCTION("QUERY('Volunteer Survey'!B196)"),"Bianca Tesi")</f>
        <v>Bianca Tesi</v>
      </c>
      <c r="AB197" s="183" t="str">
        <f>IFERROR(__xludf.DUMMYFUNCTION("QUERY('Volunteer Survey'!C196)"),"Karolinska University Hospital")</f>
        <v>Karolinska University Hospital</v>
      </c>
      <c r="AC197" s="183" t="str">
        <f>IFERROR(__xludf.DUMMYFUNCTION("QUERY('Volunteer Survey'!D196)"),"Department of Clinical Genetics L3:04 Karolinska University Hospital 17176 Stockholm")</f>
        <v>Department of Clinical Genetics L3:04 Karolinska University Hospital 17176 Stockholm</v>
      </c>
      <c r="AD197" s="183" t="str">
        <f>IFERROR(__xludf.DUMMYFUNCTION("QUERY('Volunteer Survey'!E196)"),"bianca.tesi@sll.se")</f>
        <v>bianca.tesi@sll.se</v>
      </c>
      <c r="AE197" s="183" t="str">
        <f>IFERROR(__xludf.DUMMYFUNCTION("QUERY('Volunteer Survey'!F196)"),"Post Doc/Resident/Fellow (MD and/or PhD)")</f>
        <v>Post Doc/Resident/Fellow (MD and/or PhD)</v>
      </c>
      <c r="AF197" s="183" t="str">
        <f>IFERROR(__xludf.DUMMYFUNCTION("QUERY('Volunteer Survey'!G196)"),"ClinGen conference advertisements (i.e. booth, workshop, presentation), The clinicalgenome.org website")</f>
        <v>ClinGen conference advertisements (i.e. booth, workshop, presentation), The clinicalgenome.org website</v>
      </c>
      <c r="AG197" s="183" t="str">
        <f>IFERROR(__xludf.DUMMYFUNCTION("QUERY('Volunteer Survey'!H196)"),"Baseline")</f>
        <v>Baseline</v>
      </c>
      <c r="AH197" s="183" t="str">
        <f>IFERROR(__xludf.DUMMYFUNCTION("QUERY('Volunteer Survey'!I196)"),"Clinical Actionability")</f>
        <v>Clinical Actionability</v>
      </c>
      <c r="AI197" s="183" t="str">
        <f>IFERROR(__xludf.DUMMYFUNCTION("QUERY('Volunteer Survey'!J196)"),"Gene-Disease Validity")</f>
        <v>Gene-Disease Validity</v>
      </c>
      <c r="AJ197" s="183" t="str">
        <f>IFERROR(__xludf.DUMMYFUNCTION("QUERY('Volunteer Survey'!K196)"),"Variant Pathogenicity")</f>
        <v>Variant Pathogenicity</v>
      </c>
      <c r="AK197" s="183" t="str">
        <f>IFERROR(__xludf.DUMMYFUNCTION("QUERY('Volunteer Survey'!L196)"),"Somatic Cancer")</f>
        <v>Somatic Cancer</v>
      </c>
      <c r="AL197" s="183" t="str">
        <f>IFERROR(__xludf.DUMMYFUNCTION("QUERY('Volunteer Survey'!M196)"),"Dosage Sensitivity")</f>
        <v>Dosage Sensitivity</v>
      </c>
      <c r="AM197" s="183" t="str">
        <f>IFERROR(__xludf.DUMMYFUNCTION("QUERY('Volunteer Survey'!N196)"),"Experienced with reading literature, evaluating results in the clinical setting.")</f>
        <v>Experienced with reading literature, evaluating results in the clinical setting.</v>
      </c>
      <c r="AN197" s="183" t="str">
        <f>IFERROR(__xludf.DUMMYFUNCTION("QUERY('Volunteer Survey'!O196)"),"Possibly")</f>
        <v>Possibly</v>
      </c>
      <c r="AO197" s="183" t="str">
        <f>IFERROR(__xludf.DUMMYFUNCTION("QUERY('Volunteer Survey'!P196)"),"myeloid neoplasm, hereditary cancer")</f>
        <v>myeloid neoplasm, hereditary cancer</v>
      </c>
    </row>
    <row r="198">
      <c r="A198" s="50">
        <f>IFERROR(__xludf.DUMMYFUNCTION("QUERY('Volunteer Survey'!A205)"),43607.54873863426)</f>
        <v>43607.54874</v>
      </c>
      <c r="B198" s="48" t="s">
        <v>108</v>
      </c>
      <c r="C198" s="53"/>
      <c r="D198" s="56">
        <v>43627.0</v>
      </c>
      <c r="E198" s="48" t="s">
        <v>117</v>
      </c>
      <c r="F198" s="48" t="s">
        <v>117</v>
      </c>
      <c r="G198" s="48" t="s">
        <v>313</v>
      </c>
      <c r="H198" s="53"/>
      <c r="I198" s="51" t="s">
        <v>139</v>
      </c>
      <c r="J198" s="55"/>
      <c r="K198" s="55"/>
      <c r="L198" s="55" t="str">
        <f>IFERROR(__xludf.DUMMYFUNCTION("QUERY('Volunteer Survey'!B205)"),"Robert Butler")</f>
        <v>Robert Butler</v>
      </c>
      <c r="M198" s="55" t="str">
        <f>IFERROR(__xludf.DUMMYFUNCTION("QUERY('Volunteer Survey'!E205)"),"rbutler@northshore.org")</f>
        <v>rbutler@northshore.org</v>
      </c>
      <c r="N198" s="55" t="str">
        <f>IFERROR(__xludf.DUMMYFUNCTION("QUERY('Volunteer Survey'!F205)"),"Post Doc/Resident/Fellow (MD and/or PhD)")</f>
        <v>Post Doc/Resident/Fellow (MD and/or PhD)</v>
      </c>
      <c r="O198" s="48" t="str">
        <f>IFERROR(__xludf.DUMMYFUNCTION("QUERY('Volunteer Survey'!H205)"),"Comprehensive")</f>
        <v>Comprehensive</v>
      </c>
      <c r="P198" s="55" t="str">
        <f>IFERROR(__xludf.DUMMYFUNCTION("QUERY('Volunteer Survey'!I205)"),"Variant Pathogenicity")</f>
        <v>Variant Pathogenicity</v>
      </c>
      <c r="Q198" s="60" t="str">
        <f>IFERROR(__xludf.DUMMYFUNCTION("QUERY('Volunteer Survey'!J205)"),"Gene-Disease Validity")</f>
        <v>Gene-Disease Validity</v>
      </c>
      <c r="R198" s="55" t="str">
        <f>IFERROR(__xludf.DUMMYFUNCTION("QUERY('Volunteer Survey'!K205)"),"")</f>
        <v/>
      </c>
      <c r="S198" s="55" t="str">
        <f>IFERROR(__xludf.DUMMYFUNCTION("QUERY('Volunteer Survey'!L205)"),"")</f>
        <v/>
      </c>
      <c r="T198" s="55" t="str">
        <f>IFERROR(__xludf.DUMMYFUNCTION("QUERY('Volunteer Survey'!M205)"),"")</f>
        <v/>
      </c>
      <c r="U198" s="64" t="str">
        <f>IFERROR(__xludf.DUMMYFUNCTION("QUERY('Volunteer Survey'!N205)"),"I have some experience with variant interpretation and classification. My primary role in my job at NorthShore is research on our hospital cohort of variant data. I also authored a software tool, Clinotator, to examine variant evidence in ClinVar. My seco"&amp;"ndary job position is with the UChicago Department of Psychiatry and Behavioral Neuroscience and deals with neurodegenerative conditions (mainly AD). ")</f>
        <v>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v>
      </c>
      <c r="V198" s="55" t="str">
        <f>IFERROR(__xludf.DUMMYFUNCTION("QUERY('Volunteer Survey'!O205)"),"Possibly")</f>
        <v>Possibly</v>
      </c>
      <c r="W198" s="66" t="str">
        <f>IFERROR(__xludf.DUMMYFUNCTION("QUERY('Volunteer Survey'!P205)"),"Ideally a working group regarding my experience, like Sequence Variant Discrepancy Resolution or Interpretation. Alternately, I have a growing interest (but much less knowledge) in the three areas of dosage sensitivity working groups, coming from a comput"&amp;"ational perspective (equal interest in all three). ")</f>
        <v>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v>
      </c>
      <c r="X198" s="64" t="str">
        <f>IFERROR(__xludf.DUMMYFUNCTION("QUERY('Volunteer Survey'!R205)"),"Maybe -- please contact me with other options, and I will decide based on what is available")</f>
        <v>Maybe -- please contact me with other options, and I will decide based on what is available</v>
      </c>
      <c r="Y198" s="53"/>
      <c r="Z198" s="182">
        <f>IFERROR(__xludf.DUMMYFUNCTION("QUERY('Volunteer Survey'!A197)"),43596.24046488426)</f>
        <v>43596.24046</v>
      </c>
      <c r="AA198" s="183" t="str">
        <f>IFERROR(__xludf.DUMMYFUNCTION("QUERY('Volunteer Survey'!B197)"),"Lisa Chen")</f>
        <v>Lisa Chen</v>
      </c>
      <c r="AB198" s="183" t="str">
        <f>IFERROR(__xludf.DUMMYFUNCTION("QUERY('Volunteer Survey'!C197)"),"BGI")</f>
        <v>BGI</v>
      </c>
      <c r="AC198" s="183" t="str">
        <f>IFERROR(__xludf.DUMMYFUNCTION("QUERY('Volunteer Survey'!D197)"),"")</f>
        <v/>
      </c>
      <c r="AD198" s="183" t="str">
        <f>IFERROR(__xludf.DUMMYFUNCTION("QUERY('Volunteer Survey'!E197)"),"lisa498484901@gmail.com")</f>
        <v>lisa498484901@gmail.com</v>
      </c>
      <c r="AE198" s="183" t="str">
        <f>IFERROR(__xludf.DUMMYFUNCTION("QUERY('Volunteer Survey'!F197)"),"Graduate Student")</f>
        <v>Graduate Student</v>
      </c>
      <c r="AF198" s="183" t="str">
        <f>IFERROR(__xludf.DUMMYFUNCTION("QUERY('Volunteer Survey'!G197)"),"The clinicalgenome.org website")</f>
        <v>The clinicalgenome.org website</v>
      </c>
      <c r="AG198" s="183" t="str">
        <f>IFERROR(__xludf.DUMMYFUNCTION("QUERY('Volunteer Survey'!H197)"),"Comprehensive")</f>
        <v>Comprehensive</v>
      </c>
      <c r="AH198" s="183" t="str">
        <f>IFERROR(__xludf.DUMMYFUNCTION("QUERY('Volunteer Survey'!I197)"),"Variant Pathogenicity")</f>
        <v>Variant Pathogenicity</v>
      </c>
      <c r="AI198" s="183" t="str">
        <f>IFERROR(__xludf.DUMMYFUNCTION("QUERY('Volunteer Survey'!J197)"),"Gene-Disease Validity")</f>
        <v>Gene-Disease Validity</v>
      </c>
      <c r="AJ198" s="183" t="str">
        <f>IFERROR(__xludf.DUMMYFUNCTION("QUERY('Volunteer Survey'!K197)"),"Clinical Actionability")</f>
        <v>Clinical Actionability</v>
      </c>
      <c r="AK198" s="183" t="str">
        <f>IFERROR(__xludf.DUMMYFUNCTION("QUERY('Volunteer Survey'!L197)"),"Dosage Sensitivity")</f>
        <v>Dosage Sensitivity</v>
      </c>
      <c r="AL198" s="183" t="str">
        <f>IFERROR(__xludf.DUMMYFUNCTION("QUERY('Volunteer Survey'!M197)"),"Somatic Cancer")</f>
        <v>Somatic Cancer</v>
      </c>
      <c r="AM198" s="183" t="str">
        <f>IFERROR(__xludf.DUMMYFUNCTION("QUERY('Volunteer Survey'!N197)"),"I have been doing variant classification for 4 years.")</f>
        <v>I have been doing variant classification for 4 years.</v>
      </c>
      <c r="AN198" s="183" t="str">
        <f>IFERROR(__xludf.DUMMYFUNCTION("QUERY('Volunteer Survey'!O197)"),"Possibly")</f>
        <v>Possibly</v>
      </c>
      <c r="AO198" s="183" t="str">
        <f>IFERROR(__xludf.DUMMYFUNCTION("QUERY('Volunteer Survey'!P197)"),"Congenital Myopathies")</f>
        <v>Congenital Myopathies</v>
      </c>
    </row>
    <row r="199">
      <c r="A199" s="50">
        <f>IFERROR(__xludf.DUMMYFUNCTION("QUERY('Volunteer Survey'!A206)"),43609.955753240734)</f>
        <v>43609.95575</v>
      </c>
      <c r="B199" s="48" t="s">
        <v>108</v>
      </c>
      <c r="C199" s="53"/>
      <c r="D199" s="56">
        <v>43626.0</v>
      </c>
      <c r="E199" s="48" t="s">
        <v>117</v>
      </c>
      <c r="F199" s="48" t="s">
        <v>117</v>
      </c>
      <c r="G199" s="48" t="s">
        <v>251</v>
      </c>
      <c r="H199" s="53"/>
      <c r="I199" s="51" t="s">
        <v>356</v>
      </c>
      <c r="J199" s="55"/>
      <c r="K199" s="55"/>
      <c r="L199" s="55" t="str">
        <f>IFERROR(__xludf.DUMMYFUNCTION("QUERY('Volunteer Survey'!B206)"),"Ljubica Caldovic")</f>
        <v>Ljubica Caldovic</v>
      </c>
      <c r="M199" s="55" t="str">
        <f>IFERROR(__xludf.DUMMYFUNCTION("QUERY('Volunteer Survey'!E206)"),"lcaldovic@childrensnational.org")</f>
        <v>lcaldovic@childrensnational.org</v>
      </c>
      <c r="N199" s="55" t="str">
        <f>IFERROR(__xludf.DUMMYFUNCTION("QUERY('Volunteer Survey'!F206)"),"Scientific Researcher")</f>
        <v>Scientific Researcher</v>
      </c>
      <c r="O199" s="48" t="str">
        <f>IFERROR(__xludf.DUMMYFUNCTION("QUERY('Volunteer Survey'!H206)"),"Comprehensive")</f>
        <v>Comprehensive</v>
      </c>
      <c r="P199" s="55" t="str">
        <f>IFERROR(__xludf.DUMMYFUNCTION("QUERY('Volunteer Survey'!I206)"),"Variant Pathogenicity")</f>
        <v>Variant Pathogenicity</v>
      </c>
      <c r="Q199" s="60" t="str">
        <f>IFERROR(__xludf.DUMMYFUNCTION("QUERY('Volunteer Survey'!J206)"),"Gene-Disease Validity")</f>
        <v>Gene-Disease Validity</v>
      </c>
      <c r="R199" s="55" t="str">
        <f>IFERROR(__xludf.DUMMYFUNCTION("QUERY('Volunteer Survey'!K206)"),"")</f>
        <v/>
      </c>
      <c r="S199" s="55" t="str">
        <f>IFERROR(__xludf.DUMMYFUNCTION("QUERY('Volunteer Survey'!L206)"),"")</f>
        <v/>
      </c>
      <c r="T199" s="55" t="str">
        <f>IFERROR(__xludf.DUMMYFUNCTION("QUERY('Volunteer Survey'!M206)"),"")</f>
        <v/>
      </c>
      <c r="U199" s="64" t="str">
        <f>IFERROR(__xludf.DUMMYFUNCTION("QUERY('Volunteer Survey'!N206)"),"I am currently a member of the aminoacidopathy expert panel and curator for the NAGS gene. Because of my expertise in molecular biology, biochemistry, genetics and genomics I am really interested in variant curation")</f>
        <v>I am currently a member of the aminoacidopathy expert panel and curator for the NAGS gene. Because of my expertise in molecular biology, biochemistry, genetics and genomics I am really interested in variant curation</v>
      </c>
      <c r="V199" s="55" t="str">
        <f>IFERROR(__xludf.DUMMYFUNCTION("QUERY('Volunteer Survey'!O206)"),"Yes")</f>
        <v>Yes</v>
      </c>
      <c r="W199" s="66" t="str">
        <f>IFERROR(__xludf.DUMMYFUNCTION("QUERY('Volunteer Survey'!P206)"),"I am a member of the aminoacidopathy expert panel")</f>
        <v>I am a member of the aminoacidopathy expert panel</v>
      </c>
      <c r="X199" s="64" t="str">
        <f>IFERROR(__xludf.DUMMYFUNCTION("QUERY('Volunteer Survey'!R206)"),"No - I am only interested in the group(s) I previously indicated")</f>
        <v>No - I am only interested in the group(s) I previously indicated</v>
      </c>
      <c r="Y199" s="51" t="s">
        <v>360</v>
      </c>
      <c r="Z199" s="182">
        <f>IFERROR(__xludf.DUMMYFUNCTION("QUERY('Volunteer Survey'!A198)"),43390.565046296295)</f>
        <v>43390.56505</v>
      </c>
      <c r="AA199" s="183" t="str">
        <f>IFERROR(__xludf.DUMMYFUNCTION("QUERY('Volunteer Survey'!B198)"),"Ingrid Paine")</f>
        <v>Ingrid Paine</v>
      </c>
      <c r="AB199" s="183" t="str">
        <f>IFERROR(__xludf.DUMMYFUNCTION("QUERY('Volunteer Survey'!C198)"),"Baylor College of Medicine")</f>
        <v>Baylor College of Medicine</v>
      </c>
      <c r="AC199" s="183" t="str">
        <f>IFERROR(__xludf.DUMMYFUNCTION("QUERY('Volunteer Survey'!D198)"),"1 Baylor plaza, Houston, Tx 77030 USA")</f>
        <v>1 Baylor plaza, Houston, Tx 77030 USA</v>
      </c>
      <c r="AD199" s="183" t="str">
        <f>IFERROR(__xludf.DUMMYFUNCTION("QUERY('Volunteer Survey'!E198)"),"runquist@alumni.bcm.edu")</f>
        <v>runquist@alumni.bcm.edu</v>
      </c>
      <c r="AE199" s="183" t="str">
        <f>IFERROR(__xludf.DUMMYFUNCTION("QUERY('Volunteer Survey'!F198)"),"Post Doc/Resident/Fellow (MD and/or PhD)")</f>
        <v>Post Doc/Resident/Fellow (MD and/or PhD)</v>
      </c>
      <c r="AF199" s="183" t="str">
        <f>IFERROR(__xludf.DUMMYFUNCTION("QUERY('Volunteer Survey'!G198)"),"I heard about the working groups at a lecture by Heidi Rehm at the Jackson Lab Short Course")</f>
        <v>I heard about the working groups at a lecture by Heidi Rehm at the Jackson Lab Short Course</v>
      </c>
      <c r="AG199" s="183" t="str">
        <f>IFERROR(__xludf.DUMMYFUNCTION("QUERY('Volunteer Survey'!H198)"),"Comprehensive")</f>
        <v>Comprehensive</v>
      </c>
      <c r="AH199" s="183" t="str">
        <f>IFERROR(__xludf.DUMMYFUNCTION("QUERY('Volunteer Survey'!I198)"),"Gene-Disease Validity")</f>
        <v>Gene-Disease Validity</v>
      </c>
      <c r="AI199" s="183" t="str">
        <f>IFERROR(__xludf.DUMMYFUNCTION("QUERY('Volunteer Survey'!J198)"),"Variant Pathogenicity")</f>
        <v>Variant Pathogenicity</v>
      </c>
      <c r="AJ199" s="183" t="str">
        <f>IFERROR(__xludf.DUMMYFUNCTION("QUERY('Volunteer Survey'!K198)"),"")</f>
        <v/>
      </c>
      <c r="AK199" s="183" t="str">
        <f>IFERROR(__xludf.DUMMYFUNCTION("QUERY('Volunteer Survey'!L198)"),"")</f>
        <v/>
      </c>
      <c r="AL199" s="183" t="str">
        <f>IFERROR(__xludf.DUMMYFUNCTION("QUERY('Volunteer Survey'!M198)"),"")</f>
        <v/>
      </c>
      <c r="AM199" s="183" t="str">
        <f>IFERROR(__xludf.DUMMYFUNCTION("QUERY('Volunteer Survey'!N198)"),"No")</f>
        <v>No</v>
      </c>
      <c r="AN199" s="183" t="str">
        <f>IFERROR(__xludf.DUMMYFUNCTION("QUERY('Volunteer Survey'!O198)"),"Possibly")</f>
        <v>Possibly</v>
      </c>
      <c r="AO199" s="183" t="str">
        <f>IFERROR(__xludf.DUMMYFUNCTION("QUERY('Volunteer Survey'!P198)"),"Epilepsy genes and neurodevelopmental")</f>
        <v>Epilepsy genes and neurodevelopmental</v>
      </c>
    </row>
    <row r="200">
      <c r="A200" s="50">
        <f>IFERROR(__xludf.DUMMYFUNCTION("QUERY('Volunteer Survey'!A207)"),43610.740048368054)</f>
        <v>43610.74005</v>
      </c>
      <c r="B200" s="48" t="s">
        <v>160</v>
      </c>
      <c r="C200" s="53"/>
      <c r="D200" s="56">
        <v>43627.0</v>
      </c>
      <c r="E200" s="48" t="s">
        <v>117</v>
      </c>
      <c r="F200" s="48" t="s">
        <v>117</v>
      </c>
      <c r="G200" s="48" t="s">
        <v>251</v>
      </c>
      <c r="H200" s="51" t="s">
        <v>303</v>
      </c>
      <c r="I200" s="51" t="s">
        <v>139</v>
      </c>
      <c r="J200" s="56">
        <v>43712.0</v>
      </c>
      <c r="K200" s="56"/>
      <c r="L200" s="55" t="str">
        <f>IFERROR(__xludf.DUMMYFUNCTION("QUERY('Volunteer Survey'!B207)"),"Joy Goffena")</f>
        <v>Joy Goffena</v>
      </c>
      <c r="M200" s="55" t="str">
        <f>IFERROR(__xludf.DUMMYFUNCTION("QUERY('Volunteer Survey'!E207)"),"joy.goffena@gmail.com")</f>
        <v>joy.goffena@gmail.com</v>
      </c>
      <c r="N200" s="55" t="str">
        <f>IFERROR(__xludf.DUMMYFUNCTION("QUERY('Volunteer Survey'!F207)"),"Scientific Researcher")</f>
        <v>Scientific Researcher</v>
      </c>
      <c r="O200" s="48" t="str">
        <f>IFERROR(__xludf.DUMMYFUNCTION("QUERY('Volunteer Survey'!H207)"),"Comprehensive")</f>
        <v>Comprehensive</v>
      </c>
      <c r="P200" s="55" t="str">
        <f>IFERROR(__xludf.DUMMYFUNCTION("QUERY('Volunteer Survey'!I207)"),"Variant Pathogenicity")</f>
        <v>Variant Pathogenicity</v>
      </c>
      <c r="Q200" s="60" t="str">
        <f>IFERROR(__xludf.DUMMYFUNCTION("QUERY('Volunteer Survey'!J207)"),"Gene-Disease Validity")</f>
        <v>Gene-Disease Validity</v>
      </c>
      <c r="R200" s="55" t="str">
        <f>IFERROR(__xludf.DUMMYFUNCTION("QUERY('Volunteer Survey'!K207)"),"Somatic Cancer")</f>
        <v>Somatic Cancer</v>
      </c>
      <c r="S200" s="55" t="str">
        <f>IFERROR(__xludf.DUMMYFUNCTION("QUERY('Volunteer Survey'!L207)"),"Clinical Actionability")</f>
        <v>Clinical Actionability</v>
      </c>
      <c r="T200" s="55" t="str">
        <f>IFERROR(__xludf.DUMMYFUNCTION("QUERY('Volunteer Survey'!M207)"),"Dosage Sensitivity")</f>
        <v>Dosage Sensitivity</v>
      </c>
      <c r="U200" s="64" t="str">
        <f>IFERROR(__xludf.DUMMYFUNCTION("QUERY('Volunteer Survey'!N207)"),"")</f>
        <v/>
      </c>
      <c r="V200" s="55" t="str">
        <f>IFERROR(__xludf.DUMMYFUNCTION("QUERY('Volunteer Survey'!O207)"),"Yes")</f>
        <v>Yes</v>
      </c>
      <c r="W200" s="66" t="str">
        <f>IFERROR(__xludf.DUMMYFUNCTION("QUERY('Volunteer Survey'!P207)"),"")</f>
        <v/>
      </c>
      <c r="X200" s="64" t="str">
        <f>IFERROR(__xludf.DUMMYFUNCTION("QUERY('Volunteer Survey'!R207)"),"Yes- I am willing to volunteer with any available ClinGen group")</f>
        <v>Yes- I am willing to volunteer with any available ClinGen group</v>
      </c>
      <c r="Y200" s="53"/>
      <c r="Z200" s="182">
        <f>IFERROR(__xludf.DUMMYFUNCTION("QUERY('Volunteer Survey'!A199)"),43601.325485277775)</f>
        <v>43601.32549</v>
      </c>
      <c r="AA200" s="183" t="str">
        <f>IFERROR(__xludf.DUMMYFUNCTION("QUERY('Volunteer Survey'!B199)"),"Michelle Paczosa")</f>
        <v>Michelle Paczosa</v>
      </c>
      <c r="AB200" s="183" t="str">
        <f>IFERROR(__xludf.DUMMYFUNCTION("QUERY('Volunteer Survey'!C199)"),"Quest Diagnostics")</f>
        <v>Quest Diagnostics</v>
      </c>
      <c r="AC200" s="183" t="str">
        <f>IFERROR(__xludf.DUMMYFUNCTION("QUERY('Volunteer Survey'!D199)"),"")</f>
        <v/>
      </c>
      <c r="AD200" s="183" t="str">
        <f>IFERROR(__xludf.DUMMYFUNCTION("QUERY('Volunteer Survey'!E199)"),"Michelle.K.Paczosa@questdiagnostics.com")</f>
        <v>Michelle.K.Paczosa@questdiagnostics.com</v>
      </c>
      <c r="AE200" s="183" t="str">
        <f>IFERROR(__xludf.DUMMYFUNCTION("QUERY('Volunteer Survey'!F199)"),"Variant Analyst/Scientist - Industry")</f>
        <v>Variant Analyst/Scientist - Industry</v>
      </c>
      <c r="AF200" s="183" t="str">
        <f>IFERROR(__xludf.DUMMYFUNCTION("QUERY('Volunteer Survey'!G199)"),"ClinGen conference advertisements (i.e. booth, workshop, presentation)")</f>
        <v>ClinGen conference advertisements (i.e. booth, workshop, presentation)</v>
      </c>
      <c r="AG200" s="183" t="str">
        <f>IFERROR(__xludf.DUMMYFUNCTION("QUERY('Volunteer Survey'!H199)"),"Comprehensive")</f>
        <v>Comprehensive</v>
      </c>
      <c r="AH200" s="183" t="str">
        <f>IFERROR(__xludf.DUMMYFUNCTION("QUERY('Volunteer Survey'!I199)"),"Dosage Sensitivity")</f>
        <v>Dosage Sensitivity</v>
      </c>
      <c r="AI200" s="183" t="str">
        <f>IFERROR(__xludf.DUMMYFUNCTION("QUERY('Volunteer Survey'!J199)"),"Gene-Disease Validity")</f>
        <v>Gene-Disease Validity</v>
      </c>
      <c r="AJ200" s="183" t="str">
        <f>IFERROR(__xludf.DUMMYFUNCTION("QUERY('Volunteer Survey'!K199)"),"")</f>
        <v/>
      </c>
      <c r="AK200" s="183" t="str">
        <f>IFERROR(__xludf.DUMMYFUNCTION("QUERY('Volunteer Survey'!L199)"),"")</f>
        <v/>
      </c>
      <c r="AL200" s="183" t="str">
        <f>IFERROR(__xludf.DUMMYFUNCTION("QUERY('Volunteer Survey'!M199)"),"")</f>
        <v/>
      </c>
      <c r="AM200" s="183" t="str">
        <f>IFERROR(__xludf.DUMMYFUNCTION("QUERY('Volunteer Survey'!N199)"),"")</f>
        <v/>
      </c>
      <c r="AN200" s="183" t="str">
        <f>IFERROR(__xludf.DUMMYFUNCTION("QUERY('Volunteer Survey'!O199)"),"")</f>
        <v/>
      </c>
      <c r="AO200" s="183" t="str">
        <f>IFERROR(__xludf.DUMMYFUNCTION("QUERY('Volunteer Survey'!P199)"),"1. Recurrent 2. Neurodevelopmental 3. Cancer 4. Mitochondrial 5.Hereditary Cancer 6. Monogenic Diabetes")</f>
        <v>1. Recurrent 2. Neurodevelopmental 3. Cancer 4. Mitochondrial 5.Hereditary Cancer 6. Monogenic Diabetes</v>
      </c>
    </row>
    <row r="201">
      <c r="A201" s="50">
        <f>IFERROR(__xludf.DUMMYFUNCTION("QUERY('Volunteer Survey'!A208)"),43612.744829560186)</f>
        <v>43612.74483</v>
      </c>
      <c r="B201" s="48" t="s">
        <v>108</v>
      </c>
      <c r="C201" s="53"/>
      <c r="D201" s="65">
        <v>43692.0</v>
      </c>
      <c r="E201" s="48" t="s">
        <v>117</v>
      </c>
      <c r="F201" s="48" t="s">
        <v>117</v>
      </c>
      <c r="G201" s="48" t="s">
        <v>122</v>
      </c>
      <c r="H201" s="53"/>
      <c r="I201" s="51" t="s">
        <v>299</v>
      </c>
      <c r="J201" s="55"/>
      <c r="K201" s="55"/>
      <c r="L201" s="55" t="str">
        <f>IFERROR(__xludf.DUMMYFUNCTION("QUERY('Volunteer Survey'!B208)"),"Amruta Phatak")</f>
        <v>Amruta Phatak</v>
      </c>
      <c r="M201" s="55" t="str">
        <f>IFERROR(__xludf.DUMMYFUNCTION("QUERY('Volunteer Survey'!E208)"),"arphatak@iu.edu")</f>
        <v>arphatak@iu.edu</v>
      </c>
      <c r="N201" s="55" t="str">
        <f>IFERROR(__xludf.DUMMYFUNCTION("QUERY('Volunteer Survey'!F208)"),"Post Doc/Resident/Fellow (MD and/or PhD)")</f>
        <v>Post Doc/Resident/Fellow (MD and/or PhD)</v>
      </c>
      <c r="O201" s="48" t="str">
        <f>IFERROR(__xludf.DUMMYFUNCTION("QUERY('Volunteer Survey'!H208)"),"Comprehensive")</f>
        <v>Comprehensive</v>
      </c>
      <c r="P201" s="55" t="str">
        <f>IFERROR(__xludf.DUMMYFUNCTION("QUERY('Volunteer Survey'!I208)"),"Gene-Disease Validity")</f>
        <v>Gene-Disease Validity</v>
      </c>
      <c r="Q201" s="60" t="str">
        <f>IFERROR(__xludf.DUMMYFUNCTION("QUERY('Volunteer Survey'!J208)"),"Variant Pathogenicity")</f>
        <v>Variant Pathogenicity</v>
      </c>
      <c r="R201" s="55" t="str">
        <f>IFERROR(__xludf.DUMMYFUNCTION("QUERY('Volunteer Survey'!K208)"),"Dosage Sensitivity")</f>
        <v>Dosage Sensitivity</v>
      </c>
      <c r="S201" s="55" t="str">
        <f>IFERROR(__xludf.DUMMYFUNCTION("QUERY('Volunteer Survey'!L208)"),"")</f>
        <v/>
      </c>
      <c r="T201" s="55" t="str">
        <f>IFERROR(__xludf.DUMMYFUNCTION("QUERY('Volunteer Survey'!M208)"),"")</f>
        <v/>
      </c>
      <c r="U201" s="64" t="str">
        <f>IFERROR(__xludf.DUMMYFUNCTION("QUERY('Volunteer Survey'!N208)"),"")</f>
        <v/>
      </c>
      <c r="V201" s="55" t="str">
        <f>IFERROR(__xludf.DUMMYFUNCTION("QUERY('Volunteer Survey'!O208)"),"Yes")</f>
        <v>Yes</v>
      </c>
      <c r="W201" s="66" t="str">
        <f>IFERROR(__xludf.DUMMYFUNCTION("QUERY('Volunteer Survey'!P208)"),"")</f>
        <v/>
      </c>
      <c r="X201" s="64" t="str">
        <f>IFERROR(__xludf.DUMMYFUNCTION("QUERY('Volunteer Survey'!R208)"),"Yes- I am willing to volunteer with any available ClinGen group")</f>
        <v>Yes- I am willing to volunteer with any available ClinGen group</v>
      </c>
      <c r="Y201" s="53"/>
      <c r="Z201" s="182">
        <f>IFERROR(__xludf.DUMMYFUNCTION("QUERY('Volunteer Survey'!A200)"),43601.53615817129)</f>
        <v>43601.53616</v>
      </c>
      <c r="AA201" s="183" t="str">
        <f>IFERROR(__xludf.DUMMYFUNCTION("QUERY('Volunteer Survey'!B200)"),"Olivia Rennie")</f>
        <v>Olivia Rennie</v>
      </c>
      <c r="AB201" s="183" t="str">
        <f>IFERROR(__xludf.DUMMYFUNCTION("QUERY('Volunteer Survey'!C200)"),"The Hospital for Sick Children")</f>
        <v>The Hospital for Sick Children</v>
      </c>
      <c r="AC201" s="183" t="str">
        <f>IFERROR(__xludf.DUMMYFUNCTION("QUERY('Volunteer Survey'!D200)"),"555 University Ave., Toronto, Ontario, M5G 1X8")</f>
        <v>555 University Ave., Toronto, Ontario, M5G 1X8</v>
      </c>
      <c r="AD201" s="183" t="str">
        <f>IFERROR(__xludf.DUMMYFUNCTION("QUERY('Volunteer Survey'!E200)"),"olivia.rennie@sickkids.ca")</f>
        <v>olivia.rennie@sickkids.ca</v>
      </c>
      <c r="AE201" s="183" t="str">
        <f>IFERROR(__xludf.DUMMYFUNCTION("QUERY('Volunteer Survey'!F200)"),"Biocurator")</f>
        <v>Biocurator</v>
      </c>
      <c r="AF201" s="183" t="str">
        <f>IFERROR(__xludf.DUMMYFUNCTION("QUERY('Volunteer Survey'!G200)"),"Networking, Colleagues, Suggestion from mentor, Educational coursework, ClinGen affiliated emails and/or newsletters, The clinicalgenome.org website")</f>
        <v>Networking, Colleagues, Suggestion from mentor, Educational coursework, ClinGen affiliated emails and/or newsletters, The clinicalgenome.org website</v>
      </c>
      <c r="AG201" s="183" t="str">
        <f>IFERROR(__xludf.DUMMYFUNCTION("QUERY('Volunteer Survey'!H200)"),"Comprehensive")</f>
        <v>Comprehensive</v>
      </c>
      <c r="AH201" s="183" t="str">
        <f>IFERROR(__xludf.DUMMYFUNCTION("QUERY('Volunteer Survey'!I200)"),"Variant Pathogenicity")</f>
        <v>Variant Pathogenicity</v>
      </c>
      <c r="AI201" s="183" t="str">
        <f>IFERROR(__xludf.DUMMYFUNCTION("QUERY('Volunteer Survey'!J200)"),"Somatic Cancer")</f>
        <v>Somatic Cancer</v>
      </c>
      <c r="AJ201" s="183" t="str">
        <f>IFERROR(__xludf.DUMMYFUNCTION("QUERY('Volunteer Survey'!K200)"),"Clinical Actionability")</f>
        <v>Clinical Actionability</v>
      </c>
      <c r="AK201" s="183" t="str">
        <f>IFERROR(__xludf.DUMMYFUNCTION("QUERY('Volunteer Survey'!L200)"),"")</f>
        <v/>
      </c>
      <c r="AL201" s="183" t="str">
        <f>IFERROR(__xludf.DUMMYFUNCTION("QUERY('Volunteer Survey'!M200)"),"")</f>
        <v/>
      </c>
      <c r="AM201" s="183" t="str">
        <f>IFERROR(__xludf.DUMMYFUNCTION("QUERY('Volunteer Survey'!N200)"),"As noted above, I am currently a gene-disease curator with the ID &amp; ASD EP.")</f>
        <v>As noted above, I am currently a gene-disease curator with the ID &amp; ASD EP.</v>
      </c>
      <c r="AN201" s="183" t="str">
        <f>IFERROR(__xludf.DUMMYFUNCTION("QUERY('Volunteer Survey'!O200)"),"Yes")</f>
        <v>Yes</v>
      </c>
      <c r="AO201" s="183" t="str">
        <f>IFERROR(__xludf.DUMMYFUNCTION("QUERY('Volunteer Survey'!P200)"),"I am open to any variant curation EPs that are currently looking for volunteers. ")</f>
        <v>I am open to any variant curation EPs that are currently looking for volunteers. </v>
      </c>
    </row>
    <row r="202">
      <c r="A202" s="50">
        <f>IFERROR(__xludf.DUMMYFUNCTION("QUERY('Volunteer Survey'!A209)"),43614.60976244212)</f>
        <v>43614.60976</v>
      </c>
      <c r="B202" s="48" t="s">
        <v>108</v>
      </c>
      <c r="C202" s="53"/>
      <c r="D202" s="55"/>
      <c r="E202" s="55"/>
      <c r="F202" s="48" t="s">
        <v>130</v>
      </c>
      <c r="G202" s="48" t="s">
        <v>202</v>
      </c>
      <c r="H202" s="53"/>
      <c r="I202" s="51" t="s">
        <v>139</v>
      </c>
      <c r="J202" s="55"/>
      <c r="K202" s="55"/>
      <c r="L202" s="55" t="str">
        <f>IFERROR(__xludf.DUMMYFUNCTION("QUERY('Volunteer Survey'!B209)"),"Marcela Dias Hanna")</f>
        <v>Marcela Dias Hanna</v>
      </c>
      <c r="M202" s="55" t="str">
        <f>IFERROR(__xludf.DUMMYFUNCTION("QUERY('Volunteer Survey'!E209)"),"marcelahanna8@gmail.com")</f>
        <v>marcelahanna8@gmail.com</v>
      </c>
      <c r="N202" s="55" t="str">
        <f>IFERROR(__xludf.DUMMYFUNCTION("QUERY('Volunteer Survey'!F209)"),"Graduate Student")</f>
        <v>Graduate Student</v>
      </c>
      <c r="O202" s="48" t="str">
        <f>IFERROR(__xludf.DUMMYFUNCTION("QUERY('Volunteer Survey'!H209)"),"Baseline")</f>
        <v>Baseline</v>
      </c>
      <c r="P202" s="55" t="str">
        <f>IFERROR(__xludf.DUMMYFUNCTION("QUERY('Volunteer Survey'!I209)"),"Gene-Disease Validity")</f>
        <v>Gene-Disease Validity</v>
      </c>
      <c r="Q202" s="60" t="str">
        <f>IFERROR(__xludf.DUMMYFUNCTION("QUERY('Volunteer Survey'!J209)"),"Variant Pathogenicity")</f>
        <v>Variant Pathogenicity</v>
      </c>
      <c r="R202" s="55" t="str">
        <f>IFERROR(__xludf.DUMMYFUNCTION("QUERY('Volunteer Survey'!K209)"),"Somatic Cancer")</f>
        <v>Somatic Cancer</v>
      </c>
      <c r="S202" s="55" t="str">
        <f>IFERROR(__xludf.DUMMYFUNCTION("QUERY('Volunteer Survey'!L209)"),"")</f>
        <v/>
      </c>
      <c r="T202" s="55" t="str">
        <f>IFERROR(__xludf.DUMMYFUNCTION("QUERY('Volunteer Survey'!M209)"),"")</f>
        <v/>
      </c>
      <c r="U202" s="64" t="str">
        <f>IFERROR(__xludf.DUMMYFUNCTION("QUERY('Volunteer Survey'!N209)"),"No.")</f>
        <v>No.</v>
      </c>
      <c r="V202" s="55" t="str">
        <f>IFERROR(__xludf.DUMMYFUNCTION("QUERY('Volunteer Survey'!O209)"),"No")</f>
        <v>No</v>
      </c>
      <c r="W202" s="66" t="str">
        <f>IFERROR(__xludf.DUMMYFUNCTION("QUERY('Volunteer Survey'!P209)"),"In order of preference: Gene curations: brain malformations; Variant: platelet disorder, TP53, VHL, brain malformations; Somatic: prediatric")</f>
        <v>In order of preference: Gene curations: brain malformations; Variant: platelet disorder, TP53, VHL, brain malformations; Somatic: prediatric</v>
      </c>
      <c r="X202" s="64" t="str">
        <f>IFERROR(__xludf.DUMMYFUNCTION("QUERY('Volunteer Survey'!R209)"),"Maybe -- please contact me with other options, and I will decide based on what is available")</f>
        <v>Maybe -- please contact me with other options, and I will decide based on what is available</v>
      </c>
      <c r="Y202" s="53"/>
      <c r="Z202" s="182">
        <f>IFERROR(__xludf.DUMMYFUNCTION("QUERY('Volunteer Survey'!A201)"),43602.702408564815)</f>
        <v>43602.70241</v>
      </c>
      <c r="AA202" s="183" t="str">
        <f>IFERROR(__xludf.DUMMYFUNCTION("QUERY('Volunteer Survey'!B201)"),"Aleš Maver")</f>
        <v>Aleš Maver</v>
      </c>
      <c r="AB202" s="183" t="str">
        <f>IFERROR(__xludf.DUMMYFUNCTION("QUERY('Volunteer Survey'!C201)"),"Clinical institute od Medical Genetics, Ljubljana, Slovenia")</f>
        <v>Clinical institute od Medical Genetics, Ljubljana, Slovenia</v>
      </c>
      <c r="AC202" s="183" t="str">
        <f>IFERROR(__xludf.DUMMYFUNCTION("QUERY('Volunteer Survey'!D201)"),"Slajmerjeva 3")</f>
        <v>Slajmerjeva 3</v>
      </c>
      <c r="AD202" s="183" t="str">
        <f>IFERROR(__xludf.DUMMYFUNCTION("QUERY('Volunteer Survey'!E201)"),"ales.maver@kclj.si")</f>
        <v>ales.maver@kclj.si</v>
      </c>
      <c r="AE202" s="183" t="str">
        <f>IFERROR(__xludf.DUMMYFUNCTION("QUERY('Volunteer Survey'!F201)"),"Clinical laboratory geneticist")</f>
        <v>Clinical laboratory geneticist</v>
      </c>
      <c r="AF202" s="183" t="str">
        <f>IFERROR(__xludf.DUMMYFUNCTION("QUERY('Volunteer Survey'!G201)"),"ClinGen conference advertisements (i.e. booth, workshop, presentation), Networking, Colleagues, ClinGen affiliated emails and/or newsletters, The clinicalgenome.org website, Collaborating in the variant discrepancy resolution project")</f>
        <v>ClinGen conference advertisements (i.e. booth, workshop, presentation), Networking, Colleagues, ClinGen affiliated emails and/or newsletters, The clinicalgenome.org website, Collaborating in the variant discrepancy resolution project</v>
      </c>
      <c r="AG202" s="183" t="str">
        <f>IFERROR(__xludf.DUMMYFUNCTION("QUERY('Volunteer Survey'!H201)"),"Comprehensive")</f>
        <v>Comprehensive</v>
      </c>
      <c r="AH202" s="183" t="str">
        <f>IFERROR(__xludf.DUMMYFUNCTION("QUERY('Volunteer Survey'!I201)"),"Variant Pathogenicity")</f>
        <v>Variant Pathogenicity</v>
      </c>
      <c r="AI202" s="183" t="str">
        <f>IFERROR(__xludf.DUMMYFUNCTION("QUERY('Volunteer Survey'!J201)"),"Gene-Disease Validity")</f>
        <v>Gene-Disease Validity</v>
      </c>
      <c r="AJ202" s="183" t="str">
        <f>IFERROR(__xludf.DUMMYFUNCTION("QUERY('Volunteer Survey'!K201)"),"Clinical Actionability")</f>
        <v>Clinical Actionability</v>
      </c>
      <c r="AK202" s="183" t="str">
        <f>IFERROR(__xludf.DUMMYFUNCTION("QUERY('Volunteer Survey'!L201)"),"Dosage Sensitivity")</f>
        <v>Dosage Sensitivity</v>
      </c>
      <c r="AL202" s="183" t="str">
        <f>IFERROR(__xludf.DUMMYFUNCTION("QUERY('Volunteer Survey'!M201)"),"Somatic Cancer")</f>
        <v>Somatic Cancer</v>
      </c>
      <c r="AM202" s="183" t="str">
        <f>IFERROR(__xludf.DUMMYFUNCTION("QUERY('Volunteer Survey'!N201)"),"Not extensive, but I am the responsible person for ClinVar deposits and data sharing at our institution. I also participate in the Variant discrepancy resolution project led by Steven Harrison. ")</f>
        <v>Not extensive, but I am the responsible person for ClinVar deposits and data sharing at our institution. I also participate in the Variant discrepancy resolution project led by Steven Harrison. </v>
      </c>
      <c r="AN202" s="183" t="str">
        <f>IFERROR(__xludf.DUMMYFUNCTION("QUERY('Volunteer Survey'!O201)"),"Yes")</f>
        <v>Yes</v>
      </c>
      <c r="AO202" s="183" t="str">
        <f>IFERROR(__xludf.DUMMYFUNCTION("QUERY('Volunteer Survey'!P201)"),"Variant Curation Expert Panels and Gene Curation Expert Panels")</f>
        <v>Variant Curation Expert Panels and Gene Curation Expert Panels</v>
      </c>
    </row>
    <row r="203">
      <c r="A203" s="50">
        <f>IFERROR(__xludf.DUMMYFUNCTION("QUERY('Volunteer Survey'!A210)"),43615.06075428241)</f>
        <v>43615.06075</v>
      </c>
      <c r="B203" s="48" t="s">
        <v>361</v>
      </c>
      <c r="C203" s="79">
        <v>43819.0</v>
      </c>
      <c r="D203" s="55"/>
      <c r="E203" s="55"/>
      <c r="F203" s="48" t="s">
        <v>130</v>
      </c>
      <c r="G203" s="48" t="s">
        <v>251</v>
      </c>
      <c r="H203" s="53"/>
      <c r="I203" s="51" t="s">
        <v>139</v>
      </c>
      <c r="J203" s="55"/>
      <c r="K203" s="55"/>
      <c r="L203" s="55" t="str">
        <f>IFERROR(__xludf.DUMMYFUNCTION("QUERY('Volunteer Survey'!B210)"),"Cath Tyner")</f>
        <v>Cath Tyner</v>
      </c>
      <c r="M203" s="55" t="str">
        <f>IFERROR(__xludf.DUMMYFUNCTION("QUERY('Volunteer Survey'!E210)"),"cathtyner@gmail.com")</f>
        <v>cathtyner@gmail.com</v>
      </c>
      <c r="N203" s="55" t="str">
        <f>IFERROR(__xludf.DUMMYFUNCTION("QUERY('Volunteer Survey'!F210)"),"Software QA Engineer at Invitae")</f>
        <v>Software QA Engineer at Invitae</v>
      </c>
      <c r="O203" s="48" t="str">
        <f>IFERROR(__xludf.DUMMYFUNCTION("QUERY('Volunteer Survey'!H210)"),"Comprehensive")</f>
        <v>Comprehensive</v>
      </c>
      <c r="P203" s="55" t="str">
        <f>IFERROR(__xludf.DUMMYFUNCTION("QUERY('Volunteer Survey'!I210)"),"Variant Pathogenicity")</f>
        <v>Variant Pathogenicity</v>
      </c>
      <c r="Q203" s="60" t="str">
        <f>IFERROR(__xludf.DUMMYFUNCTION("QUERY('Volunteer Survey'!J210)"),"Gene-Disease Validity")</f>
        <v>Gene-Disease Validity</v>
      </c>
      <c r="R203" s="55" t="str">
        <f>IFERROR(__xludf.DUMMYFUNCTION("QUERY('Volunteer Survey'!K210)"),"Clinical Actionability")</f>
        <v>Clinical Actionability</v>
      </c>
      <c r="S203" s="55" t="str">
        <f>IFERROR(__xludf.DUMMYFUNCTION("QUERY('Volunteer Survey'!L210)"),"Somatic Cancer")</f>
        <v>Somatic Cancer</v>
      </c>
      <c r="T203" s="55" t="str">
        <f>IFERROR(__xludf.DUMMYFUNCTION("QUERY('Volunteer Survey'!M210)"),"Dosage Sensitivity")</f>
        <v>Dosage Sensitivity</v>
      </c>
      <c r="U203" s="64" t="str">
        <f>IFERROR(__xludf.DUMMYFUNCTION("QUERY('Volunteer Survey'!N210)"),"QA software which is used in gene curation for Invitae")</f>
        <v>QA software which is used in gene curation for Invitae</v>
      </c>
      <c r="V203" s="55" t="str">
        <f>IFERROR(__xludf.DUMMYFUNCTION("QUERY('Volunteer Survey'!O210)"),"Possibly")</f>
        <v>Possibly</v>
      </c>
      <c r="W203" s="66" t="str">
        <f>IFERROR(__xludf.DUMMYFUNCTION("QUERY('Volunteer Survey'!P210)"),"")</f>
        <v/>
      </c>
      <c r="X203" s="64" t="str">
        <f>IFERROR(__xludf.DUMMYFUNCTION("QUERY('Volunteer Survey'!R210)"),"Maybe -- please contact me with other options, and I will decide based on what is available")</f>
        <v>Maybe -- please contact me with other options, and I will decide based on what is available</v>
      </c>
      <c r="Y203" s="51" t="s">
        <v>355</v>
      </c>
      <c r="Z203" s="182">
        <f>IFERROR(__xludf.DUMMYFUNCTION("QUERY('Volunteer Survey'!A202)"),43605.50311005787)</f>
        <v>43605.50311</v>
      </c>
      <c r="AA203" s="183" t="str">
        <f>IFERROR(__xludf.DUMMYFUNCTION("QUERY('Volunteer Survey'!B202)"),"Léon Tshilolo")</f>
        <v>Léon Tshilolo</v>
      </c>
      <c r="AB203" s="183" t="str">
        <f>IFERROR(__xludf.DUMMYFUNCTION("QUERY('Volunteer Survey'!C202)"),"Centre Hospitalier Monkole/CEFA  (Centre de Formation et d'Appui Sanitaire")</f>
        <v>Centre Hospitalier Monkole/CEFA  (Centre de Formation et d'Appui Sanitaire</v>
      </c>
      <c r="AC203" s="183" t="str">
        <f>IFERROR(__xludf.DUMMYFUNCTION("QUERY('Volunteer Survey'!D202)"),"Avenue Ngafani; 4804, Mont Ngafula. Kinshasa")</f>
        <v>Avenue Ngafani; 4804, Mont Ngafula. Kinshasa</v>
      </c>
      <c r="AD203" s="183" t="str">
        <f>IFERROR(__xludf.DUMMYFUNCTION("QUERY('Volunteer Survey'!E202)"),"leon.tshilolo2012@gmail.com")</f>
        <v>leon.tshilolo2012@gmail.com</v>
      </c>
      <c r="AE203" s="183" t="str">
        <f>IFERROR(__xludf.DUMMYFUNCTION("QUERY('Volunteer Survey'!F202)"),"hematologist, expert of SCD")</f>
        <v>hematologist, expert of SCD</v>
      </c>
      <c r="AF203" s="183" t="str">
        <f>IFERROR(__xludf.DUMMYFUNCTION("QUERY('Volunteer Survey'!G202)"),"ClinGen affiliated emails and/or newsletters")</f>
        <v>ClinGen affiliated emails and/or newsletters</v>
      </c>
      <c r="AG203" s="183" t="str">
        <f>IFERROR(__xludf.DUMMYFUNCTION("QUERY('Volunteer Survey'!H202)"),"Comprehensive")</f>
        <v>Comprehensive</v>
      </c>
      <c r="AH203" s="183" t="str">
        <f>IFERROR(__xludf.DUMMYFUNCTION("QUERY('Volunteer Survey'!I202)"),"Clinical Actionability")</f>
        <v>Clinical Actionability</v>
      </c>
      <c r="AI203" s="183" t="str">
        <f>IFERROR(__xludf.DUMMYFUNCTION("QUERY('Volunteer Survey'!J202)"),"Variant Pathogenicity")</f>
        <v>Variant Pathogenicity</v>
      </c>
      <c r="AJ203" s="183" t="str">
        <f>IFERROR(__xludf.DUMMYFUNCTION("QUERY('Volunteer Survey'!K202)"),"Gene-Disease Validity")</f>
        <v>Gene-Disease Validity</v>
      </c>
      <c r="AK203" s="183" t="str">
        <f>IFERROR(__xludf.DUMMYFUNCTION("QUERY('Volunteer Survey'!L202)"),"Dosage Sensitivity")</f>
        <v>Dosage Sensitivity</v>
      </c>
      <c r="AL203" s="183" t="str">
        <f>IFERROR(__xludf.DUMMYFUNCTION("QUERY('Volunteer Survey'!M202)"),"Somatic Cancer")</f>
        <v>Somatic Cancer</v>
      </c>
      <c r="AM203" s="183" t="str">
        <f>IFERROR(__xludf.DUMMYFUNCTION("QUERY('Volunteer Survey'!N202)"),"")</f>
        <v/>
      </c>
      <c r="AN203" s="183" t="str">
        <f>IFERROR(__xludf.DUMMYFUNCTION("QUERY('Volunteer Survey'!O202)"),"No")</f>
        <v>No</v>
      </c>
      <c r="AO203" s="183" t="str">
        <f>IFERROR(__xludf.DUMMYFUNCTION("QUERY('Volunteer Survey'!P202)"),"hemoglobinopathies")</f>
        <v>hemoglobinopathies</v>
      </c>
    </row>
    <row r="204">
      <c r="A204" s="50">
        <f>IFERROR(__xludf.DUMMYFUNCTION("QUERY('Volunteer Survey'!A211)"),43615.399297673604)</f>
        <v>43615.3993</v>
      </c>
      <c r="B204" s="48" t="s">
        <v>108</v>
      </c>
      <c r="C204" s="53"/>
      <c r="D204" s="56">
        <v>43627.0</v>
      </c>
      <c r="E204" s="48" t="s">
        <v>117</v>
      </c>
      <c r="F204" s="48" t="s">
        <v>130</v>
      </c>
      <c r="G204" s="48" t="s">
        <v>251</v>
      </c>
      <c r="H204" s="53"/>
      <c r="I204" s="51" t="s">
        <v>139</v>
      </c>
      <c r="J204" s="55"/>
      <c r="K204" s="55"/>
      <c r="L204" s="55" t="str">
        <f>IFERROR(__xludf.DUMMYFUNCTION("QUERY('Volunteer Survey'!B211)"),"Abdelazeem Elhabyan ")</f>
        <v>Abdelazeem Elhabyan </v>
      </c>
      <c r="M204" s="55" t="str">
        <f>IFERROR(__xludf.DUMMYFUNCTION("QUERY('Volunteer Survey'!E211)"),"Abdelazeem_abdelhameed2015505@yahoo.com")</f>
        <v>Abdelazeem_abdelhameed2015505@yahoo.com</v>
      </c>
      <c r="N204" s="55" t="str">
        <f>IFERROR(__xludf.DUMMYFUNCTION("QUERY('Volunteer Survey'!F211)"),"Graduate Student")</f>
        <v>Graduate Student</v>
      </c>
      <c r="O204" s="48" t="str">
        <f>IFERROR(__xludf.DUMMYFUNCTION("QUERY('Volunteer Survey'!H211)"),"Comprehensive")</f>
        <v>Comprehensive</v>
      </c>
      <c r="P204" s="55" t="str">
        <f>IFERROR(__xludf.DUMMYFUNCTION("QUERY('Volunteer Survey'!I211)"),"Variant Pathogenicity")</f>
        <v>Variant Pathogenicity</v>
      </c>
      <c r="Q204" s="60" t="str">
        <f>IFERROR(__xludf.DUMMYFUNCTION("QUERY('Volunteer Survey'!J211)"),"Somatic Cancer")</f>
        <v>Somatic Cancer</v>
      </c>
      <c r="R204" s="55" t="str">
        <f>IFERROR(__xludf.DUMMYFUNCTION("QUERY('Volunteer Survey'!K211)"),"Gene-Disease Validity")</f>
        <v>Gene-Disease Validity</v>
      </c>
      <c r="S204" s="55" t="str">
        <f>IFERROR(__xludf.DUMMYFUNCTION("QUERY('Volunteer Survey'!L211)"),"Clinical Actionability")</f>
        <v>Clinical Actionability</v>
      </c>
      <c r="T204" s="55" t="str">
        <f>IFERROR(__xludf.DUMMYFUNCTION("QUERY('Volunteer Survey'!M211)"),"Dosage Sensitivity")</f>
        <v>Dosage Sensitivity</v>
      </c>
      <c r="U204" s="64" t="str">
        <f>IFERROR(__xludf.DUMMYFUNCTION("QUERY('Volunteer Survey'!N211)"),"I have received training In mapping,  variant calling using galaxy project and received many online courses in genomics ")</f>
        <v>I have received training In mapping,  variant calling using galaxy project and received many online courses in genomics </v>
      </c>
      <c r="V204" s="55" t="str">
        <f>IFERROR(__xludf.DUMMYFUNCTION("QUERY('Volunteer Survey'!O211)"),"Yes")</f>
        <v>Yes</v>
      </c>
      <c r="W204" s="66" t="str">
        <f>IFERROR(__xludf.DUMMYFUNCTION("QUERY('Volunteer Survey'!P211)"),"Hereditary cancer ")</f>
        <v>Hereditary cancer </v>
      </c>
      <c r="X204" s="64" t="str">
        <f>IFERROR(__xludf.DUMMYFUNCTION("QUERY('Volunteer Survey'!R211)"),"Yes- I am willing to volunteer with any available ClinGen group")</f>
        <v>Yes- I am willing to volunteer with any available ClinGen group</v>
      </c>
      <c r="Y204" s="53"/>
      <c r="Z204" s="182">
        <f>IFERROR(__xludf.DUMMYFUNCTION("QUERY('Volunteer Survey'!A203)"),43605.743656238425)</f>
        <v>43605.74366</v>
      </c>
      <c r="AA204" s="183" t="str">
        <f>IFERROR(__xludf.DUMMYFUNCTION("QUERY('Volunteer Survey'!B203)"),"Danielle Mouhlas")</f>
        <v>Danielle Mouhlas</v>
      </c>
      <c r="AB204" s="183" t="str">
        <f>IFERROR(__xludf.DUMMYFUNCTION("QUERY('Volunteer Survey'!C203)"),"Nationwide Children's Hospital ")</f>
        <v>Nationwide Children's Hospital </v>
      </c>
      <c r="AC204" s="183" t="str">
        <f>IFERROR(__xludf.DUMMYFUNCTION("QUERY('Volunteer Survey'!D203)"),"700 Children's Dr. Columbus Ohio 43205")</f>
        <v>700 Children's Dr. Columbus Ohio 43205</v>
      </c>
      <c r="AD204" s="183" t="str">
        <f>IFERROR(__xludf.DUMMYFUNCTION("QUERY('Volunteer Survey'!E203)"),"danielle.mouhlas@nationwidechildrens.org")</f>
        <v>danielle.mouhlas@nationwidechildrens.org</v>
      </c>
      <c r="AE204" s="183" t="str">
        <f>IFERROR(__xludf.DUMMYFUNCTION("QUERY('Volunteer Survey'!F203)"),"Genetic counselor")</f>
        <v>Genetic counselor</v>
      </c>
      <c r="AF204" s="183" t="str">
        <f>IFERROR(__xludf.DUMMYFUNCTION("QUERY('Volunteer Survey'!G203)"),"Networking")</f>
        <v>Networking</v>
      </c>
      <c r="AG204" s="183" t="str">
        <f>IFERROR(__xludf.DUMMYFUNCTION("QUERY('Volunteer Survey'!H203)"),"Baseline")</f>
        <v>Baseline</v>
      </c>
      <c r="AH204" s="183" t="str">
        <f>IFERROR(__xludf.DUMMYFUNCTION("QUERY('Volunteer Survey'!I203)"),"Variant Pathogenicity")</f>
        <v>Variant Pathogenicity</v>
      </c>
      <c r="AI204" s="183" t="str">
        <f>IFERROR(__xludf.DUMMYFUNCTION("QUERY('Volunteer Survey'!J203)"),"Gene-Disease Validity")</f>
        <v>Gene-Disease Validity</v>
      </c>
      <c r="AJ204" s="183" t="str">
        <f>IFERROR(__xludf.DUMMYFUNCTION("QUERY('Volunteer Survey'!K203)"),"Dosage Sensitivity")</f>
        <v>Dosage Sensitivity</v>
      </c>
      <c r="AK204" s="183" t="str">
        <f>IFERROR(__xludf.DUMMYFUNCTION("QUERY('Volunteer Survey'!L203)"),"Clinical Actionability")</f>
        <v>Clinical Actionability</v>
      </c>
      <c r="AL204" s="183" t="str">
        <f>IFERROR(__xludf.DUMMYFUNCTION("QUERY('Volunteer Survey'!M203)"),"Somatic Cancer")</f>
        <v>Somatic Cancer</v>
      </c>
      <c r="AM204" s="183" t="str">
        <f>IFERROR(__xludf.DUMMYFUNCTION("QUERY('Volunteer Survey'!N203)"),"I have performed some variant interpretation for clinical report writing. ")</f>
        <v>I have performed some variant interpretation for clinical report writing. </v>
      </c>
      <c r="AN204" s="183" t="str">
        <f>IFERROR(__xludf.DUMMYFUNCTION("QUERY('Volunteer Survey'!O203)"),"Yes")</f>
        <v>Yes</v>
      </c>
      <c r="AO204" s="183" t="str">
        <f>IFERROR(__xludf.DUMMYFUNCTION("QUERY('Volunteer Survey'!P203)"),"")</f>
        <v/>
      </c>
    </row>
    <row r="205">
      <c r="A205" s="50">
        <f>IFERROR(__xludf.DUMMYFUNCTION("QUERY('Volunteer Survey'!A212)"),43615.57070869213)</f>
        <v>43615.57071</v>
      </c>
      <c r="B205" s="48" t="s">
        <v>108</v>
      </c>
      <c r="C205" s="79">
        <v>43819.0</v>
      </c>
      <c r="D205" s="55"/>
      <c r="E205" s="55"/>
      <c r="F205" s="48" t="s">
        <v>130</v>
      </c>
      <c r="G205" s="48" t="s">
        <v>122</v>
      </c>
      <c r="H205" s="53"/>
      <c r="I205" s="51" t="s">
        <v>139</v>
      </c>
      <c r="J205" s="55"/>
      <c r="K205" s="55"/>
      <c r="L205" s="55" t="str">
        <f>IFERROR(__xludf.DUMMYFUNCTION("QUERY('Volunteer Survey'!B212)"),"Claudia Gonzaga-Jauregui")</f>
        <v>Claudia Gonzaga-Jauregui</v>
      </c>
      <c r="M205" s="55" t="str">
        <f>IFERROR(__xludf.DUMMYFUNCTION("QUERY('Volunteer Survey'!E212)"),"cgonzagaj@gmail.com")</f>
        <v>cgonzagaj@gmail.com</v>
      </c>
      <c r="N205" s="55" t="str">
        <f>IFERROR(__xludf.DUMMYFUNCTION("QUERY('Volunteer Survey'!F212)"),"Scientific Researcher")</f>
        <v>Scientific Researcher</v>
      </c>
      <c r="O205" s="48" t="str">
        <f>IFERROR(__xludf.DUMMYFUNCTION("QUERY('Volunteer Survey'!H212)"),"Comprehensive")</f>
        <v>Comprehensive</v>
      </c>
      <c r="P205" s="55" t="str">
        <f>IFERROR(__xludf.DUMMYFUNCTION("QUERY('Volunteer Survey'!I212)"),"Gene-Disease Validity")</f>
        <v>Gene-Disease Validity</v>
      </c>
      <c r="Q205" s="60" t="str">
        <f>IFERROR(__xludf.DUMMYFUNCTION("QUERY('Volunteer Survey'!J212)"),"Clinical Actionability")</f>
        <v>Clinical Actionability</v>
      </c>
      <c r="R205" s="55" t="str">
        <f>IFERROR(__xludf.DUMMYFUNCTION("QUERY('Volunteer Survey'!K212)"),"Variant Pathogenicity")</f>
        <v>Variant Pathogenicity</v>
      </c>
      <c r="S205" s="55" t="str">
        <f>IFERROR(__xludf.DUMMYFUNCTION("QUERY('Volunteer Survey'!L212)"),"")</f>
        <v/>
      </c>
      <c r="T205" s="55" t="str">
        <f>IFERROR(__xludf.DUMMYFUNCTION("QUERY('Volunteer Survey'!M212)"),"")</f>
        <v/>
      </c>
      <c r="U205" s="64" t="str">
        <f>IFERROR(__xludf.DUMMYFUNCTION("QUERY('Volunteer Survey'!N212)"),"Yes, I have analyzed more than 5,000 probands and families segregating Mendelian and yet uncharacterized rare genetic disorders and identified and published more than 20 novel disease gene associations, as well as characterized pathogenic variants in know"&amp;"n disease genes to enable diagnoses in patients with suspected genetic disorders. I have also analyzed and curated pathogenic and likely pathogenic variation in large population cohorts such as the Gesinger DiscovEHR collaboration and the UK Bionbank to a"&amp;"ssess clinical actionability of pathogenic variation and prevalence of disease in unascertained populations.")</f>
        <v>Yes, I have analyzed more than 5,000 probands and families segregating Mendelian and yet uncharacterized rare genetic disorders and identified and published more than 20 novel disease gene associations, as well as characterized pathogenic variants in known disease genes to enable diagnoses in patients with suspected genetic disorders. I have also analyzed and curated pathogenic and likely pathogenic variation in large population cohorts such as the Gesinger DiscovEHR collaboration and the UK Bionbank to assess clinical actionability of pathogenic variation and prevalence of disease in unascertained populations.</v>
      </c>
      <c r="V205" s="55" t="str">
        <f>IFERROR(__xludf.DUMMYFUNCTION("QUERY('Volunteer Survey'!O212)"),"Possibly")</f>
        <v>Possibly</v>
      </c>
      <c r="W205" s="66" t="str">
        <f>IFERROR(__xludf.DUMMYFUNCTION("QUERY('Volunteer Survey'!P212)"),"Intellectual Disability and Autism, Brain Malformations, Charcot-Marie-Tooth Disease")</f>
        <v>Intellectual Disability and Autism, Brain Malformations, Charcot-Marie-Tooth Disease</v>
      </c>
      <c r="X205" s="64" t="str">
        <f>IFERROR(__xludf.DUMMYFUNCTION("QUERY('Volunteer Survey'!R212)"),"Maybe -- please contact me with other options, and I will decide based on what is available")</f>
        <v>Maybe -- please contact me with other options, and I will decide based on what is available</v>
      </c>
      <c r="Y205" s="53"/>
      <c r="Z205" s="182">
        <f>IFERROR(__xludf.DUMMYFUNCTION("QUERY('Volunteer Survey'!A204)"),43606.40039928241)</f>
        <v>43606.4004</v>
      </c>
      <c r="AA205" s="183" t="str">
        <f>IFERROR(__xludf.DUMMYFUNCTION("QUERY('Volunteer Survey'!B204)"),"Emma Reble")</f>
        <v>Emma Reble</v>
      </c>
      <c r="AB205" s="183" t="str">
        <f>IFERROR(__xludf.DUMMYFUNCTION("QUERY('Volunteer Survey'!C204)"),"St. Michael's Hospital")</f>
        <v>St. Michael's Hospital</v>
      </c>
      <c r="AC205" s="183" t="str">
        <f>IFERROR(__xludf.DUMMYFUNCTION("QUERY('Volunteer Survey'!D204)"),"")</f>
        <v/>
      </c>
      <c r="AD205" s="183" t="str">
        <f>IFERROR(__xludf.DUMMYFUNCTION("QUERY('Volunteer Survey'!E204)"),"reblee@smh.ca")</f>
        <v>reblee@smh.ca</v>
      </c>
      <c r="AE205" s="183" t="str">
        <f>IFERROR(__xludf.DUMMYFUNCTION("QUERY('Volunteer Survey'!F204)"),"Variant Analyst/Scientist - Academic")</f>
        <v>Variant Analyst/Scientist - Academic</v>
      </c>
      <c r="AF205" s="183" t="str">
        <f>IFERROR(__xludf.DUMMYFUNCTION("QUERY('Volunteer Survey'!G204)"),"Colleagues")</f>
        <v>Colleagues</v>
      </c>
      <c r="AG205" s="183" t="str">
        <f>IFERROR(__xludf.DUMMYFUNCTION("QUERY('Volunteer Survey'!H204)"),"Comprehensive")</f>
        <v>Comprehensive</v>
      </c>
      <c r="AH205" s="183" t="str">
        <f>IFERROR(__xludf.DUMMYFUNCTION("QUERY('Volunteer Survey'!I204)"),"Gene-Disease Validity")</f>
        <v>Gene-Disease Validity</v>
      </c>
      <c r="AI205" s="183" t="str">
        <f>IFERROR(__xludf.DUMMYFUNCTION("QUERY('Volunteer Survey'!J204)"),"")</f>
        <v/>
      </c>
      <c r="AJ205" s="183" t="str">
        <f>IFERROR(__xludf.DUMMYFUNCTION("QUERY('Volunteer Survey'!K204)"),"")</f>
        <v/>
      </c>
      <c r="AK205" s="183" t="str">
        <f>IFERROR(__xludf.DUMMYFUNCTION("QUERY('Volunteer Survey'!L204)"),"")</f>
        <v/>
      </c>
      <c r="AL205" s="183" t="str">
        <f>IFERROR(__xludf.DUMMYFUNCTION("QUERY('Volunteer Survey'!M204)"),"")</f>
        <v/>
      </c>
      <c r="AM205" s="183" t="str">
        <f>IFERROR(__xludf.DUMMYFUNCTION("QUERY('Volunteer Survey'!N204)"),"This is my second time filing out this survey. I am doing the variant curation training and have re-filled out this survey to participate in the gene curation training in the future. ")</f>
        <v>This is my second time filing out this survey. I am doing the variant curation training and have re-filled out this survey to participate in the gene curation training in the future. </v>
      </c>
      <c r="AN205" s="183" t="str">
        <f>IFERROR(__xludf.DUMMYFUNCTION("QUERY('Volunteer Survey'!O204)"),"Yes")</f>
        <v>Yes</v>
      </c>
      <c r="AO205" s="183" t="str">
        <f>IFERROR(__xludf.DUMMYFUNCTION("QUERY('Volunteer Survey'!P204)"),"ID/Autism")</f>
        <v>ID/Autism</v>
      </c>
    </row>
    <row r="206">
      <c r="A206" s="50">
        <f>IFERROR(__xludf.DUMMYFUNCTION("QUERY('Volunteer Survey'!A213)"),43615.977712569445)</f>
        <v>43615.97771</v>
      </c>
      <c r="B206" s="48" t="s">
        <v>168</v>
      </c>
      <c r="C206" s="79">
        <v>43689.0</v>
      </c>
      <c r="D206" s="55"/>
      <c r="E206" s="55"/>
      <c r="F206" s="48" t="s">
        <v>130</v>
      </c>
      <c r="G206" s="48" t="s">
        <v>19</v>
      </c>
      <c r="H206" s="69"/>
      <c r="I206" s="51" t="s">
        <v>139</v>
      </c>
      <c r="J206" s="55"/>
      <c r="K206" s="55"/>
      <c r="L206" s="55" t="str">
        <f>IFERROR(__xludf.DUMMYFUNCTION("QUERY('Volunteer Survey'!B213)"),"Altovise Ewing")</f>
        <v>Altovise Ewing</v>
      </c>
      <c r="M206" s="55" t="str">
        <f>IFERROR(__xludf.DUMMYFUNCTION("QUERY('Volunteer Survey'!E213)"),"altovisee@gmail.com")</f>
        <v>altovisee@gmail.com</v>
      </c>
      <c r="N206" s="55" t="str">
        <f>IFERROR(__xludf.DUMMYFUNCTION("QUERY('Volunteer Survey'!F213)"),"Genetic counselor and health equity scientist")</f>
        <v>Genetic counselor and health equity scientist</v>
      </c>
      <c r="O206" s="48" t="str">
        <f>IFERROR(__xludf.DUMMYFUNCTION("QUERY('Volunteer Survey'!H213)"),"Comprehensive")</f>
        <v>Comprehensive</v>
      </c>
      <c r="P206" s="55" t="str">
        <f>IFERROR(__xludf.DUMMYFUNCTION("QUERY('Volunteer Survey'!I213)"),"Clinical Actionability")</f>
        <v>Clinical Actionability</v>
      </c>
      <c r="Q206" s="60" t="str">
        <f>IFERROR(__xludf.DUMMYFUNCTION("QUERY('Volunteer Survey'!J213)"),"Variant Pathogenicity")</f>
        <v>Variant Pathogenicity</v>
      </c>
      <c r="R206" s="55" t="str">
        <f>IFERROR(__xludf.DUMMYFUNCTION("QUERY('Volunteer Survey'!K213)"),"Gene-Disease Validity")</f>
        <v>Gene-Disease Validity</v>
      </c>
      <c r="S206" s="55" t="str">
        <f>IFERROR(__xludf.DUMMYFUNCTION("QUERY('Volunteer Survey'!L213)"),"Dosage Sensitivity")</f>
        <v>Dosage Sensitivity</v>
      </c>
      <c r="T206" s="55" t="str">
        <f>IFERROR(__xludf.DUMMYFUNCTION("QUERY('Volunteer Survey'!M213)"),"Somatic Cancer")</f>
        <v>Somatic Cancer</v>
      </c>
      <c r="U206" s="64" t="str">
        <f>IFERROR(__xludf.DUMMYFUNCTION("QUERY('Volunteer Survey'!N213)"),"")</f>
        <v/>
      </c>
      <c r="V206" s="55" t="str">
        <f>IFERROR(__xludf.DUMMYFUNCTION("QUERY('Volunteer Survey'!O213)"),"Yes")</f>
        <v>Yes</v>
      </c>
      <c r="W206" s="66" t="str">
        <f>IFERROR(__xludf.DUMMYFUNCTION("QUERY('Volunteer Survey'!P213)"),"Hereditary cancer")</f>
        <v>Hereditary cancer</v>
      </c>
      <c r="X206" s="64" t="str">
        <f>IFERROR(__xludf.DUMMYFUNCTION("QUERY('Volunteer Survey'!R213)"),"Yes- I am willing to volunteer with any available ClinGen group")</f>
        <v>Yes- I am willing to volunteer with any available ClinGen group</v>
      </c>
      <c r="Y206" s="53"/>
      <c r="Z206" s="182">
        <f>IFERROR(__xludf.DUMMYFUNCTION("QUERY('Volunteer Survey'!A205)"),43607.54873863426)</f>
        <v>43607.54874</v>
      </c>
      <c r="AA206" s="183" t="str">
        <f>IFERROR(__xludf.DUMMYFUNCTION("QUERY('Volunteer Survey'!B205)"),"Robert Butler")</f>
        <v>Robert Butler</v>
      </c>
      <c r="AB206" s="183" t="str">
        <f>IFERROR(__xludf.DUMMYFUNCTION("QUERY('Volunteer Survey'!C205)"),"NorthShore University HealthSystem")</f>
        <v>NorthShore University HealthSystem</v>
      </c>
      <c r="AC206" s="183" t="str">
        <f>IFERROR(__xludf.DUMMYFUNCTION("QUERY('Volunteer Survey'!D205)"),"1001 University Place, Evanston, IL, 60201")</f>
        <v>1001 University Place, Evanston, IL, 60201</v>
      </c>
      <c r="AD206" s="183" t="str">
        <f>IFERROR(__xludf.DUMMYFUNCTION("QUERY('Volunteer Survey'!E205)"),"rbutler@northshore.org")</f>
        <v>rbutler@northshore.org</v>
      </c>
      <c r="AE206" s="183" t="str">
        <f>IFERROR(__xludf.DUMMYFUNCTION("QUERY('Volunteer Survey'!F205)"),"Post Doc/Resident/Fellow (MD and/or PhD)")</f>
        <v>Post Doc/Resident/Fellow (MD and/or PhD)</v>
      </c>
      <c r="AF206" s="183" t="str">
        <f>IFERROR(__xludf.DUMMYFUNCTION("QUERY('Volunteer Survey'!G205)"),"ClinVar Website")</f>
        <v>ClinVar Website</v>
      </c>
      <c r="AG206" s="183" t="str">
        <f>IFERROR(__xludf.DUMMYFUNCTION("QUERY('Volunteer Survey'!H205)"),"Comprehensive")</f>
        <v>Comprehensive</v>
      </c>
      <c r="AH206" s="183" t="str">
        <f>IFERROR(__xludf.DUMMYFUNCTION("QUERY('Volunteer Survey'!I205)"),"Variant Pathogenicity")</f>
        <v>Variant Pathogenicity</v>
      </c>
      <c r="AI206" s="183" t="str">
        <f>IFERROR(__xludf.DUMMYFUNCTION("QUERY('Volunteer Survey'!J205)"),"Gene-Disease Validity")</f>
        <v>Gene-Disease Validity</v>
      </c>
      <c r="AJ206" s="183" t="str">
        <f>IFERROR(__xludf.DUMMYFUNCTION("QUERY('Volunteer Survey'!K205)"),"")</f>
        <v/>
      </c>
      <c r="AK206" s="183" t="str">
        <f>IFERROR(__xludf.DUMMYFUNCTION("QUERY('Volunteer Survey'!L205)"),"")</f>
        <v/>
      </c>
      <c r="AL206" s="183" t="str">
        <f>IFERROR(__xludf.DUMMYFUNCTION("QUERY('Volunteer Survey'!M205)"),"")</f>
        <v/>
      </c>
      <c r="AM206" s="183" t="str">
        <f>IFERROR(__xludf.DUMMYFUNCTION("QUERY('Volunteer Survey'!N205)"),"I have some experience with variant interpretation and classification. My primary role in my job at NorthShore is research on our hospital cohort of variant data. I also authored a software tool, Clinotator, to examine variant evidence in ClinVar. My seco"&amp;"ndary job position is with the UChicago Department of Psychiatry and Behavioral Neuroscience and deals with neurodegenerative conditions (mainly AD). ")</f>
        <v>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v>
      </c>
      <c r="AN206" s="183" t="str">
        <f>IFERROR(__xludf.DUMMYFUNCTION("QUERY('Volunteer Survey'!O205)"),"Possibly")</f>
        <v>Possibly</v>
      </c>
      <c r="AO206" s="183" t="str">
        <f>IFERROR(__xludf.DUMMYFUNCTION("QUERY('Volunteer Survey'!P205)"),"Ideally a working group regarding my experience, like Sequence Variant Discrepancy Resolution or Interpretation. Alternately, I have a growing interest (but much less knowledge) in the three areas of dosage sensitivity working groups, coming from a comput"&amp;"ational perspective (equal interest in all three). ")</f>
        <v>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v>
      </c>
    </row>
    <row r="207">
      <c r="A207" s="50">
        <f>IFERROR(__xludf.DUMMYFUNCTION("QUERY('Volunteer Survey'!A214)"),43619.48182516204)</f>
        <v>43619.48183</v>
      </c>
      <c r="B207" s="48" t="s">
        <v>322</v>
      </c>
      <c r="C207" s="53"/>
      <c r="D207" s="55"/>
      <c r="E207" s="55"/>
      <c r="F207" s="48" t="s">
        <v>130</v>
      </c>
      <c r="G207" s="48" t="s">
        <v>163</v>
      </c>
      <c r="H207" s="53"/>
      <c r="I207" s="51" t="s">
        <v>139</v>
      </c>
      <c r="J207" s="55"/>
      <c r="K207" s="55"/>
      <c r="L207" s="55" t="str">
        <f>IFERROR(__xludf.DUMMYFUNCTION("QUERY('Volunteer Survey'!B214)"),"Laura Sack")</f>
        <v>Laura Sack</v>
      </c>
      <c r="M207" s="55" t="str">
        <f>IFERROR(__xludf.DUMMYFUNCTION("QUERY('Volunteer Survey'!E214)"),"laura@sack.io")</f>
        <v>laura@sack.io</v>
      </c>
      <c r="N207" s="55" t="str">
        <f>IFERROR(__xludf.DUMMYFUNCTION("QUERY('Volunteer Survey'!F214)"),"Variant Analyst/Scientist - Industry")</f>
        <v>Variant Analyst/Scientist - Industry</v>
      </c>
      <c r="O207" s="48" t="str">
        <f>IFERROR(__xludf.DUMMYFUNCTION("QUERY('Volunteer Survey'!H214)"),"Comprehensive")</f>
        <v>Comprehensive</v>
      </c>
      <c r="P207" s="55" t="str">
        <f>IFERROR(__xludf.DUMMYFUNCTION("QUERY('Volunteer Survey'!I214)"),"Dosage Sensitivity")</f>
        <v>Dosage Sensitivity</v>
      </c>
      <c r="Q207" s="60" t="str">
        <f>IFERROR(__xludf.DUMMYFUNCTION("QUERY('Volunteer Survey'!J214)"),"Gene-Disease Validity")</f>
        <v>Gene-Disease Validity</v>
      </c>
      <c r="R207" s="55" t="str">
        <f>IFERROR(__xludf.DUMMYFUNCTION("QUERY('Volunteer Survey'!K214)"),"Variant Pathogenicity")</f>
        <v>Variant Pathogenicity</v>
      </c>
      <c r="S207" s="55" t="str">
        <f>IFERROR(__xludf.DUMMYFUNCTION("QUERY('Volunteer Survey'!L214)"),"")</f>
        <v/>
      </c>
      <c r="T207" s="55" t="str">
        <f>IFERROR(__xludf.DUMMYFUNCTION("QUERY('Volunteer Survey'!M214)"),"")</f>
        <v/>
      </c>
      <c r="U207" s="64" t="str">
        <f>IFERROR(__xludf.DUMMYFUNCTION("QUERY('Volunteer Survey'!N214)"),"Yes, in interpreting CNVs in clinical cases, I assess dosage sensitivity and gene-disease associations in order to determine variant pathogenicity")</f>
        <v>Yes, in interpreting CNVs in clinical cases, I assess dosage sensitivity and gene-disease associations in order to determine variant pathogenicity</v>
      </c>
      <c r="V207" s="55" t="str">
        <f>IFERROR(__xludf.DUMMYFUNCTION("QUERY('Volunteer Survey'!O214)"),"Possibly")</f>
        <v>Possibly</v>
      </c>
      <c r="W207" s="66" t="str">
        <f>IFERROR(__xludf.DUMMYFUNCTION("QUERY('Volunteer Survey'!P214)"),"Dosage-Recurrent Regions, Dosage- Neurodevelopemental, Hereditary Cancer, Intellectual Disability and Autism, Epilepsy")</f>
        <v>Dosage-Recurrent Regions, Dosage- Neurodevelopemental, Hereditary Cancer, Intellectual Disability and Autism, Epilepsy</v>
      </c>
      <c r="X207" s="64" t="str">
        <f>IFERROR(__xludf.DUMMYFUNCTION("QUERY('Volunteer Survey'!R214)"),"Yes- I am willing to volunteer with any available ClinGen group")</f>
        <v>Yes- I am willing to volunteer with any available ClinGen group</v>
      </c>
      <c r="Y207" s="53"/>
      <c r="Z207" s="182">
        <f>IFERROR(__xludf.DUMMYFUNCTION("QUERY('Volunteer Survey'!A206)"),43609.955753240734)</f>
        <v>43609.95575</v>
      </c>
      <c r="AA207" s="183" t="str">
        <f>IFERROR(__xludf.DUMMYFUNCTION("QUERY('Volunteer Survey'!B206)"),"Ljubica Caldovic")</f>
        <v>Ljubica Caldovic</v>
      </c>
      <c r="AB207" s="183" t="str">
        <f>IFERROR(__xludf.DUMMYFUNCTION("QUERY('Volunteer Survey'!C206)"),"Children's National Medical Center")</f>
        <v>Children's National Medical Center</v>
      </c>
      <c r="AC207" s="183" t="str">
        <f>IFERROR(__xludf.DUMMYFUNCTION("QUERY('Volunteer Survey'!D206)"),"111 Michigan AVe NW; Washington DC 20010")</f>
        <v>111 Michigan AVe NW; Washington DC 20010</v>
      </c>
      <c r="AD207" s="183" t="str">
        <f>IFERROR(__xludf.DUMMYFUNCTION("QUERY('Volunteer Survey'!E206)"),"lcaldovic@childrensnational.org")</f>
        <v>lcaldovic@childrensnational.org</v>
      </c>
      <c r="AE207" s="183" t="str">
        <f>IFERROR(__xludf.DUMMYFUNCTION("QUERY('Volunteer Survey'!F206)"),"Scientific Researcher")</f>
        <v>Scientific Researcher</v>
      </c>
      <c r="AF207" s="183" t="str">
        <f>IFERROR(__xludf.DUMMYFUNCTION("QUERY('Volunteer Survey'!G206)"),"Networking, Colleagues")</f>
        <v>Networking, Colleagues</v>
      </c>
      <c r="AG207" s="183" t="str">
        <f>IFERROR(__xludf.DUMMYFUNCTION("QUERY('Volunteer Survey'!H206)"),"Comprehensive")</f>
        <v>Comprehensive</v>
      </c>
      <c r="AH207" s="183" t="str">
        <f>IFERROR(__xludf.DUMMYFUNCTION("QUERY('Volunteer Survey'!I206)"),"Variant Pathogenicity")</f>
        <v>Variant Pathogenicity</v>
      </c>
      <c r="AI207" s="183" t="str">
        <f>IFERROR(__xludf.DUMMYFUNCTION("QUERY('Volunteer Survey'!J206)"),"Gene-Disease Validity")</f>
        <v>Gene-Disease Validity</v>
      </c>
      <c r="AJ207" s="183" t="str">
        <f>IFERROR(__xludf.DUMMYFUNCTION("QUERY('Volunteer Survey'!K206)"),"")</f>
        <v/>
      </c>
      <c r="AK207" s="183" t="str">
        <f>IFERROR(__xludf.DUMMYFUNCTION("QUERY('Volunteer Survey'!L206)"),"")</f>
        <v/>
      </c>
      <c r="AL207" s="183" t="str">
        <f>IFERROR(__xludf.DUMMYFUNCTION("QUERY('Volunteer Survey'!M206)"),"")</f>
        <v/>
      </c>
      <c r="AM207" s="183" t="str">
        <f>IFERROR(__xludf.DUMMYFUNCTION("QUERY('Volunteer Survey'!N206)"),"I am currently a member of the aminoacidopathy expert panel and curator for the NAGS gene. Because of my expertise in molecular biology, biochemistry, genetics and genomics I am really interested in variant curation")</f>
        <v>I am currently a member of the aminoacidopathy expert panel and curator for the NAGS gene. Because of my expertise in molecular biology, biochemistry, genetics and genomics I am really interested in variant curation</v>
      </c>
      <c r="AN207" s="183" t="str">
        <f>IFERROR(__xludf.DUMMYFUNCTION("QUERY('Volunteer Survey'!O206)"),"Yes")</f>
        <v>Yes</v>
      </c>
      <c r="AO207" s="183" t="str">
        <f>IFERROR(__xludf.DUMMYFUNCTION("QUERY('Volunteer Survey'!P206)"),"I am a member of the aminoacidopathy expert panel")</f>
        <v>I am a member of the aminoacidopathy expert panel</v>
      </c>
    </row>
    <row r="208">
      <c r="A208" s="50">
        <f>IFERROR(__xludf.DUMMYFUNCTION("QUERY('Volunteer Survey'!A215)"),43620.78905363426)</f>
        <v>43620.78905</v>
      </c>
      <c r="B208" s="48" t="s">
        <v>108</v>
      </c>
      <c r="C208" s="79">
        <v>43819.0</v>
      </c>
      <c r="D208" s="55"/>
      <c r="E208" s="55"/>
      <c r="F208" s="48" t="s">
        <v>130</v>
      </c>
      <c r="G208" s="48" t="s">
        <v>251</v>
      </c>
      <c r="H208" s="53"/>
      <c r="I208" s="51" t="s">
        <v>139</v>
      </c>
      <c r="J208" s="55"/>
      <c r="K208" s="55"/>
      <c r="L208" s="55" t="str">
        <f>IFERROR(__xludf.DUMMYFUNCTION("QUERY('Volunteer Survey'!B215)"),"Janel Case")</f>
        <v>Janel Case</v>
      </c>
      <c r="M208" s="55" t="str">
        <f>IFERROR(__xludf.DUMMYFUNCTION("QUERY('Volunteer Survey'!E215)"),"janelcase@live.com")</f>
        <v>janelcase@live.com</v>
      </c>
      <c r="N208" s="55" t="str">
        <f>IFERROR(__xludf.DUMMYFUNCTION("QUERY('Volunteer Survey'!F215)"),"Genetic counselor")</f>
        <v>Genetic counselor</v>
      </c>
      <c r="O208" s="48" t="str">
        <f>IFERROR(__xludf.DUMMYFUNCTION("QUERY('Volunteer Survey'!H215)"),"Comprehensive")</f>
        <v>Comprehensive</v>
      </c>
      <c r="P208" s="55" t="str">
        <f>IFERROR(__xludf.DUMMYFUNCTION("QUERY('Volunteer Survey'!I215)"),"Variant Pathogenicity")</f>
        <v>Variant Pathogenicity</v>
      </c>
      <c r="Q208" s="60" t="str">
        <f>IFERROR(__xludf.DUMMYFUNCTION("QUERY('Volunteer Survey'!J215)"),"Actionability")</f>
        <v>Actionability</v>
      </c>
      <c r="R208" s="55" t="str">
        <f>IFERROR(__xludf.DUMMYFUNCTION("QUERY('Volunteer Survey'!K215)"),"")</f>
        <v/>
      </c>
      <c r="S208" s="55" t="str">
        <f>IFERROR(__xludf.DUMMYFUNCTION("QUERY('Volunteer Survey'!L215)"),"")</f>
        <v/>
      </c>
      <c r="T208" s="55" t="str">
        <f>IFERROR(__xludf.DUMMYFUNCTION("QUERY('Volunteer Survey'!M215)"),"")</f>
        <v/>
      </c>
      <c r="U208" s="64" t="str">
        <f>IFERROR(__xludf.DUMMYFUNCTION("QUERY('Volunteer Survey'!N215)"),"Variant curation internship at Illumina ")</f>
        <v>Variant curation internship at Illumina </v>
      </c>
      <c r="V208" s="55" t="str">
        <f>IFERROR(__xludf.DUMMYFUNCTION("QUERY('Volunteer Survey'!O215)"),"Possibly")</f>
        <v>Possibly</v>
      </c>
      <c r="W208" s="66" t="str">
        <f>IFERROR(__xludf.DUMMYFUNCTION("QUERY('Volunteer Survey'!P215)"),"Any hereditary cancer related groups ")</f>
        <v>Any hereditary cancer related groups </v>
      </c>
      <c r="X208" s="64" t="str">
        <f>IFERROR(__xludf.DUMMYFUNCTION("QUERY('Volunteer Survey'!R215)"),"Maybe -- please contact me with other options, and I will decide based on what is available")</f>
        <v>Maybe -- please contact me with other options, and I will decide based on what is available</v>
      </c>
      <c r="Y208" s="53"/>
      <c r="Z208" s="182">
        <f>IFERROR(__xludf.DUMMYFUNCTION("QUERY('Volunteer Survey'!A207)"),43610.740048368054)</f>
        <v>43610.74005</v>
      </c>
      <c r="AA208" s="183" t="str">
        <f>IFERROR(__xludf.DUMMYFUNCTION("QUERY('Volunteer Survey'!B207)"),"Joy Goffena")</f>
        <v>Joy Goffena</v>
      </c>
      <c r="AB208" s="183" t="str">
        <f>IFERROR(__xludf.DUMMYFUNCTION("QUERY('Volunteer Survey'!C207)"),"Roundup Memorial Healthcare")</f>
        <v>Roundup Memorial Healthcare</v>
      </c>
      <c r="AC208" s="183" t="str">
        <f>IFERROR(__xludf.DUMMYFUNCTION("QUERY('Volunteer Survey'!D207)"),"324 3rd St W Roundup, MT 59072")</f>
        <v>324 3rd St W Roundup, MT 59072</v>
      </c>
      <c r="AD208" s="183" t="str">
        <f>IFERROR(__xludf.DUMMYFUNCTION("QUERY('Volunteer Survey'!E207)"),"joy.goffena@gmail.com")</f>
        <v>joy.goffena@gmail.com</v>
      </c>
      <c r="AE208" s="183" t="str">
        <f>IFERROR(__xludf.DUMMYFUNCTION("QUERY('Volunteer Survey'!F207)"),"Scientific Researcher")</f>
        <v>Scientific Researcher</v>
      </c>
      <c r="AF208" s="183" t="str">
        <f>IFERROR(__xludf.DUMMYFUNCTION("QUERY('Volunteer Survey'!G207)"),"The clinicalgenome.org website")</f>
        <v>The clinicalgenome.org website</v>
      </c>
      <c r="AG208" s="183" t="str">
        <f>IFERROR(__xludf.DUMMYFUNCTION("QUERY('Volunteer Survey'!H207)"),"Comprehensive")</f>
        <v>Comprehensive</v>
      </c>
      <c r="AH208" s="183" t="str">
        <f>IFERROR(__xludf.DUMMYFUNCTION("QUERY('Volunteer Survey'!I207)"),"Variant Pathogenicity")</f>
        <v>Variant Pathogenicity</v>
      </c>
      <c r="AI208" s="183" t="str">
        <f>IFERROR(__xludf.DUMMYFUNCTION("QUERY('Volunteer Survey'!J207)"),"Gene-Disease Validity")</f>
        <v>Gene-Disease Validity</v>
      </c>
      <c r="AJ208" s="183" t="str">
        <f>IFERROR(__xludf.DUMMYFUNCTION("QUERY('Volunteer Survey'!K207)"),"Somatic Cancer")</f>
        <v>Somatic Cancer</v>
      </c>
      <c r="AK208" s="183" t="str">
        <f>IFERROR(__xludf.DUMMYFUNCTION("QUERY('Volunteer Survey'!L207)"),"Clinical Actionability")</f>
        <v>Clinical Actionability</v>
      </c>
      <c r="AL208" s="183" t="str">
        <f>IFERROR(__xludf.DUMMYFUNCTION("QUERY('Volunteer Survey'!M207)"),"Dosage Sensitivity")</f>
        <v>Dosage Sensitivity</v>
      </c>
      <c r="AM208" s="183" t="str">
        <f>IFERROR(__xludf.DUMMYFUNCTION("QUERY('Volunteer Survey'!N207)"),"")</f>
        <v/>
      </c>
      <c r="AN208" s="183" t="str">
        <f>IFERROR(__xludf.DUMMYFUNCTION("QUERY('Volunteer Survey'!O207)"),"Yes")</f>
        <v>Yes</v>
      </c>
      <c r="AO208" s="183" t="str">
        <f>IFERROR(__xludf.DUMMYFUNCTION("QUERY('Volunteer Survey'!P207)"),"")</f>
        <v/>
      </c>
    </row>
    <row r="209">
      <c r="A209" s="50">
        <f>IFERROR(__xludf.DUMMYFUNCTION("QUERY('Volunteer Survey'!A216)"),43621.34168687501)</f>
        <v>43621.34169</v>
      </c>
      <c r="B209" s="48" t="s">
        <v>108</v>
      </c>
      <c r="C209" s="53"/>
      <c r="D209" s="56">
        <v>43627.0</v>
      </c>
      <c r="E209" s="48" t="s">
        <v>117</v>
      </c>
      <c r="F209" s="48" t="s">
        <v>117</v>
      </c>
      <c r="G209" s="48" t="s">
        <v>251</v>
      </c>
      <c r="H209" s="53"/>
      <c r="I209" s="51" t="s">
        <v>139</v>
      </c>
      <c r="J209" s="55"/>
      <c r="K209" s="55"/>
      <c r="L209" s="55" t="str">
        <f>IFERROR(__xludf.DUMMYFUNCTION("QUERY('Volunteer Survey'!B216)"),"Carolina Bustamante")</f>
        <v>Carolina Bustamante</v>
      </c>
      <c r="M209" s="55" t="str">
        <f>IFERROR(__xludf.DUMMYFUNCTION("QUERY('Volunteer Survey'!E216)"),"carolina.bustamante@gmail.com")</f>
        <v>carolina.bustamante@gmail.com</v>
      </c>
      <c r="N209" s="55" t="str">
        <f>IFERROR(__xludf.DUMMYFUNCTION("QUERY('Volunteer Survey'!F216)"),"Variant Analyst/Scientist - Industry")</f>
        <v>Variant Analyst/Scientist - Industry</v>
      </c>
      <c r="O209" s="48" t="str">
        <f>IFERROR(__xludf.DUMMYFUNCTION("QUERY('Volunteer Survey'!H216)"),"Comprehensive")</f>
        <v>Comprehensive</v>
      </c>
      <c r="P209" s="55" t="str">
        <f>IFERROR(__xludf.DUMMYFUNCTION("QUERY('Volunteer Survey'!I216)"),"Variant Pathogenicity")</f>
        <v>Variant Pathogenicity</v>
      </c>
      <c r="Q209" s="60" t="str">
        <f>IFERROR(__xludf.DUMMYFUNCTION("QUERY('Volunteer Survey'!J216)"),"Somatic Cancer")</f>
        <v>Somatic Cancer</v>
      </c>
      <c r="R209" s="55" t="str">
        <f>IFERROR(__xludf.DUMMYFUNCTION("QUERY('Volunteer Survey'!K216)"),"Clinical Actionability")</f>
        <v>Clinical Actionability</v>
      </c>
      <c r="S209" s="55" t="str">
        <f>IFERROR(__xludf.DUMMYFUNCTION("QUERY('Volunteer Survey'!L216)"),"Gene-Disease Validity")</f>
        <v>Gene-Disease Validity</v>
      </c>
      <c r="T209" s="55" t="str">
        <f>IFERROR(__xludf.DUMMYFUNCTION("QUERY('Volunteer Survey'!M216)"),"Dosage Sensitivity")</f>
        <v>Dosage Sensitivity</v>
      </c>
      <c r="U209" s="64" t="str">
        <f>IFERROR(__xludf.DUMMYFUNCTION("QUERY('Volunteer Survey'!N216)"),"Yes, I worked as bioinformatician performing NGS analyses and variant interpretation in a genetic diagnostic lab that sequenced cerca 600 samples a month.")</f>
        <v>Yes, I worked as bioinformatician performing NGS analyses and variant interpretation in a genetic diagnostic lab that sequenced cerca 600 samples a month.</v>
      </c>
      <c r="V209" s="55" t="str">
        <f>IFERROR(__xludf.DUMMYFUNCTION("QUERY('Volunteer Survey'!O216)"),"Yes")</f>
        <v>Yes</v>
      </c>
      <c r="W209" s="66" t="str">
        <f>IFERROR(__xludf.DUMMYFUNCTION("QUERY('Volunteer Survey'!P216)"),"Cancer, Hereditary Cancer, Colorectal Cancer, Genitourinary Tract Cancers, TP53, PTEN, CDH1, FBN1. ")</f>
        <v>Cancer, Hereditary Cancer, Colorectal Cancer, Genitourinary Tract Cancers, TP53, PTEN, CDH1, FBN1. </v>
      </c>
      <c r="X209" s="64" t="str">
        <f>IFERROR(__xludf.DUMMYFUNCTION("QUERY('Volunteer Survey'!R216)"),"Yes- I am willing to volunteer with any available ClinGen group")</f>
        <v>Yes- I am willing to volunteer with any available ClinGen group</v>
      </c>
      <c r="Y209" s="53"/>
      <c r="Z209" s="182">
        <f>IFERROR(__xludf.DUMMYFUNCTION("QUERY('Volunteer Survey'!A208)"),43612.744829560186)</f>
        <v>43612.74483</v>
      </c>
      <c r="AA209" s="183" t="str">
        <f>IFERROR(__xludf.DUMMYFUNCTION("QUERY('Volunteer Survey'!B208)"),"Amruta Phatak")</f>
        <v>Amruta Phatak</v>
      </c>
      <c r="AB209" s="183" t="str">
        <f>IFERROR(__xludf.DUMMYFUNCTION("QUERY('Volunteer Survey'!C208)"),"Indiana University")</f>
        <v>Indiana University</v>
      </c>
      <c r="AC209" s="183" t="str">
        <f>IFERROR(__xludf.DUMMYFUNCTION("QUERY('Volunteer Survey'!D208)"),"")</f>
        <v/>
      </c>
      <c r="AD209" s="183" t="str">
        <f>IFERROR(__xludf.DUMMYFUNCTION("QUERY('Volunteer Survey'!E208)"),"arphatak@iu.edu")</f>
        <v>arphatak@iu.edu</v>
      </c>
      <c r="AE209" s="183" t="str">
        <f>IFERROR(__xludf.DUMMYFUNCTION("QUERY('Volunteer Survey'!F208)"),"Post Doc/Resident/Fellow (MD and/or PhD)")</f>
        <v>Post Doc/Resident/Fellow (MD and/or PhD)</v>
      </c>
      <c r="AF209" s="183" t="str">
        <f>IFERROR(__xludf.DUMMYFUNCTION("QUERY('Volunteer Survey'!G208)"),"The clinicalgenome.org website")</f>
        <v>The clinicalgenome.org website</v>
      </c>
      <c r="AG209" s="183" t="str">
        <f>IFERROR(__xludf.DUMMYFUNCTION("QUERY('Volunteer Survey'!H208)"),"Comprehensive")</f>
        <v>Comprehensive</v>
      </c>
      <c r="AH209" s="183" t="str">
        <f>IFERROR(__xludf.DUMMYFUNCTION("QUERY('Volunteer Survey'!I208)"),"Gene-Disease Validity")</f>
        <v>Gene-Disease Validity</v>
      </c>
      <c r="AI209" s="183" t="str">
        <f>IFERROR(__xludf.DUMMYFUNCTION("QUERY('Volunteer Survey'!J208)"),"Variant Pathogenicity")</f>
        <v>Variant Pathogenicity</v>
      </c>
      <c r="AJ209" s="183" t="str">
        <f>IFERROR(__xludf.DUMMYFUNCTION("QUERY('Volunteer Survey'!K208)"),"Dosage Sensitivity")</f>
        <v>Dosage Sensitivity</v>
      </c>
      <c r="AK209" s="183" t="str">
        <f>IFERROR(__xludf.DUMMYFUNCTION("QUERY('Volunteer Survey'!L208)"),"")</f>
        <v/>
      </c>
      <c r="AL209" s="183" t="str">
        <f>IFERROR(__xludf.DUMMYFUNCTION("QUERY('Volunteer Survey'!M208)"),"")</f>
        <v/>
      </c>
      <c r="AM209" s="183" t="str">
        <f>IFERROR(__xludf.DUMMYFUNCTION("QUERY('Volunteer Survey'!N208)"),"")</f>
        <v/>
      </c>
      <c r="AN209" s="183" t="str">
        <f>IFERROR(__xludf.DUMMYFUNCTION("QUERY('Volunteer Survey'!O208)"),"Yes")</f>
        <v>Yes</v>
      </c>
      <c r="AO209" s="183" t="str">
        <f>IFERROR(__xludf.DUMMYFUNCTION("QUERY('Volunteer Survey'!P208)"),"")</f>
        <v/>
      </c>
    </row>
    <row r="210">
      <c r="A210" s="50">
        <f>IFERROR(__xludf.DUMMYFUNCTION("QUERY('Volunteer Survey'!A217)"),43621.37989456018)</f>
        <v>43621.37989</v>
      </c>
      <c r="B210" s="48" t="s">
        <v>108</v>
      </c>
      <c r="C210" s="53"/>
      <c r="D210" s="55"/>
      <c r="E210" s="55"/>
      <c r="F210" s="48" t="s">
        <v>130</v>
      </c>
      <c r="G210" s="48" t="s">
        <v>202</v>
      </c>
      <c r="H210" s="53"/>
      <c r="I210" s="51" t="s">
        <v>139</v>
      </c>
      <c r="J210" s="55"/>
      <c r="K210" s="55"/>
      <c r="L210" s="55" t="str">
        <f>IFERROR(__xludf.DUMMYFUNCTION("QUERY('Volunteer Survey'!B217)"),"Natalie Hollister")</f>
        <v>Natalie Hollister</v>
      </c>
      <c r="M210" s="55" t="str">
        <f>IFERROR(__xludf.DUMMYFUNCTION("QUERY('Volunteer Survey'!E217)"),"nsh10@alumni.duke.edu")</f>
        <v>nsh10@alumni.duke.edu</v>
      </c>
      <c r="N210" s="55" t="str">
        <f>IFERROR(__xludf.DUMMYFUNCTION("QUERY('Volunteer Survey'!F217)"),"Graduate Student")</f>
        <v>Graduate Student</v>
      </c>
      <c r="O210" s="48" t="str">
        <f>IFERROR(__xludf.DUMMYFUNCTION("QUERY('Volunteer Survey'!H217)"),"Baseline")</f>
        <v>Baseline</v>
      </c>
      <c r="P210" s="55" t="str">
        <f>IFERROR(__xludf.DUMMYFUNCTION("QUERY('Volunteer Survey'!I217)"),"")</f>
        <v/>
      </c>
      <c r="Q210" s="60" t="str">
        <f>IFERROR(__xludf.DUMMYFUNCTION("QUERY('Volunteer Survey'!J217)"),"")</f>
        <v/>
      </c>
      <c r="R210" s="55" t="str">
        <f>IFERROR(__xludf.DUMMYFUNCTION("QUERY('Volunteer Survey'!K217)"),"")</f>
        <v/>
      </c>
      <c r="S210" s="55" t="str">
        <f>IFERROR(__xludf.DUMMYFUNCTION("QUERY('Volunteer Survey'!L217)"),"")</f>
        <v/>
      </c>
      <c r="T210" s="55" t="str">
        <f>IFERROR(__xludf.DUMMYFUNCTION("QUERY('Volunteer Survey'!M217)"),"")</f>
        <v/>
      </c>
      <c r="U210" s="64" t="str">
        <f>IFERROR(__xludf.DUMMYFUNCTION("QUERY('Volunteer Survey'!N217)"),"")</f>
        <v/>
      </c>
      <c r="V210" s="55" t="str">
        <f>IFERROR(__xludf.DUMMYFUNCTION("QUERY('Volunteer Survey'!O217)"),"No")</f>
        <v>No</v>
      </c>
      <c r="W210" s="66" t="str">
        <f>IFERROR(__xludf.DUMMYFUNCTION("QUERY('Volunteer Survey'!P217)"),"")</f>
        <v/>
      </c>
      <c r="X210" s="64" t="str">
        <f>IFERROR(__xludf.DUMMYFUNCTION("QUERY('Volunteer Survey'!R217)"),"")</f>
        <v/>
      </c>
      <c r="Y210" s="53"/>
      <c r="Z210" s="182">
        <f>IFERROR(__xludf.DUMMYFUNCTION("QUERY('Volunteer Survey'!A209)"),43614.60976244212)</f>
        <v>43614.60976</v>
      </c>
      <c r="AA210" s="183" t="str">
        <f>IFERROR(__xludf.DUMMYFUNCTION("QUERY('Volunteer Survey'!B209)"),"Marcela Dias Hanna")</f>
        <v>Marcela Dias Hanna</v>
      </c>
      <c r="AB210" s="183" t="str">
        <f>IFERROR(__xludf.DUMMYFUNCTION("QUERY('Volunteer Survey'!C209)"),"None")</f>
        <v>None</v>
      </c>
      <c r="AC210" s="183" t="str">
        <f>IFERROR(__xludf.DUMMYFUNCTION("QUERY('Volunteer Survey'!D209)"),"SQNW 107 Bloco D apt 407")</f>
        <v>SQNW 107 Bloco D apt 407</v>
      </c>
      <c r="AD210" s="183" t="str">
        <f>IFERROR(__xludf.DUMMYFUNCTION("QUERY('Volunteer Survey'!E209)"),"marcelahanna8@gmail.com")</f>
        <v>marcelahanna8@gmail.com</v>
      </c>
      <c r="AE210" s="183" t="str">
        <f>IFERROR(__xludf.DUMMYFUNCTION("QUERY('Volunteer Survey'!F209)"),"Graduate Student")</f>
        <v>Graduate Student</v>
      </c>
      <c r="AF210" s="183" t="str">
        <f>IFERROR(__xludf.DUMMYFUNCTION("QUERY('Volunteer Survey'!G209)"),"2018 NSGC")</f>
        <v>2018 NSGC</v>
      </c>
      <c r="AG210" s="183" t="str">
        <f>IFERROR(__xludf.DUMMYFUNCTION("QUERY('Volunteer Survey'!H209)"),"Baseline")</f>
        <v>Baseline</v>
      </c>
      <c r="AH210" s="183" t="str">
        <f>IFERROR(__xludf.DUMMYFUNCTION("QUERY('Volunteer Survey'!I209)"),"Gene-Disease Validity")</f>
        <v>Gene-Disease Validity</v>
      </c>
      <c r="AI210" s="183" t="str">
        <f>IFERROR(__xludf.DUMMYFUNCTION("QUERY('Volunteer Survey'!J209)"),"Variant Pathogenicity")</f>
        <v>Variant Pathogenicity</v>
      </c>
      <c r="AJ210" s="183" t="str">
        <f>IFERROR(__xludf.DUMMYFUNCTION("QUERY('Volunteer Survey'!K209)"),"Somatic Cancer")</f>
        <v>Somatic Cancer</v>
      </c>
      <c r="AK210" s="183" t="str">
        <f>IFERROR(__xludf.DUMMYFUNCTION("QUERY('Volunteer Survey'!L209)"),"")</f>
        <v/>
      </c>
      <c r="AL210" s="183" t="str">
        <f>IFERROR(__xludf.DUMMYFUNCTION("QUERY('Volunteer Survey'!M209)"),"")</f>
        <v/>
      </c>
      <c r="AM210" s="183" t="str">
        <f>IFERROR(__xludf.DUMMYFUNCTION("QUERY('Volunteer Survey'!N209)"),"No.")</f>
        <v>No.</v>
      </c>
      <c r="AN210" s="183" t="str">
        <f>IFERROR(__xludf.DUMMYFUNCTION("QUERY('Volunteer Survey'!O209)"),"No")</f>
        <v>No</v>
      </c>
      <c r="AO210" s="183" t="str">
        <f>IFERROR(__xludf.DUMMYFUNCTION("QUERY('Volunteer Survey'!P209)"),"In order of preference: Gene curations: brain malformations; Variant: platelet disorder, TP53, VHL, brain malformations; Somatic: prediatric")</f>
        <v>In order of preference: Gene curations: brain malformations; Variant: platelet disorder, TP53, VHL, brain malformations; Somatic: prediatric</v>
      </c>
    </row>
    <row r="211">
      <c r="A211" s="50">
        <f>IFERROR(__xludf.DUMMYFUNCTION("QUERY('Volunteer Survey'!A218)"),43622.554816875)</f>
        <v>43622.55482</v>
      </c>
      <c r="B211" s="48" t="s">
        <v>108</v>
      </c>
      <c r="C211" s="53"/>
      <c r="D211" s="65">
        <v>43692.0</v>
      </c>
      <c r="E211" s="48" t="s">
        <v>117</v>
      </c>
      <c r="F211" s="48" t="s">
        <v>117</v>
      </c>
      <c r="G211" s="48" t="s">
        <v>122</v>
      </c>
      <c r="H211" s="53"/>
      <c r="I211" s="51" t="s">
        <v>139</v>
      </c>
      <c r="J211" s="55"/>
      <c r="K211" s="55"/>
      <c r="L211" s="55" t="str">
        <f>IFERROR(__xludf.DUMMYFUNCTION("QUERY('Volunteer Survey'!B218)"),"Jean Davidson")</f>
        <v>Jean Davidson</v>
      </c>
      <c r="M211" s="55" t="str">
        <f>IFERROR(__xludf.DUMMYFUNCTION("QUERY('Volunteer Survey'!E218)"),"jdavid06@calpoly.edu")</f>
        <v>jdavid06@calpoly.edu</v>
      </c>
      <c r="N211" s="55" t="str">
        <f>IFERROR(__xludf.DUMMYFUNCTION("QUERY('Volunteer Survey'!F218)"),"Scientific Researcher")</f>
        <v>Scientific Researcher</v>
      </c>
      <c r="O211" s="48" t="str">
        <f>IFERROR(__xludf.DUMMYFUNCTION("QUERY('Volunteer Survey'!H218)"),"Comprehensive")</f>
        <v>Comprehensive</v>
      </c>
      <c r="P211" s="55" t="str">
        <f>IFERROR(__xludf.DUMMYFUNCTION("QUERY('Volunteer Survey'!I218)"),"Gene-Disease Validity")</f>
        <v>Gene-Disease Validity</v>
      </c>
      <c r="Q211" s="60" t="str">
        <f>IFERROR(__xludf.DUMMYFUNCTION("QUERY('Volunteer Survey'!J218)"),"Variant Pathogenicity")</f>
        <v>Variant Pathogenicity</v>
      </c>
      <c r="R211" s="55" t="str">
        <f>IFERROR(__xludf.DUMMYFUNCTION("QUERY('Volunteer Survey'!K218)"),"Clinical Actionability")</f>
        <v>Clinical Actionability</v>
      </c>
      <c r="S211" s="55" t="str">
        <f>IFERROR(__xludf.DUMMYFUNCTION("QUERY('Volunteer Survey'!L218)"),"Dosage Sensitivity")</f>
        <v>Dosage Sensitivity</v>
      </c>
      <c r="T211" s="55" t="str">
        <f>IFERROR(__xludf.DUMMYFUNCTION("QUERY('Volunteer Survey'!M218)"),"Somatic Cancer")</f>
        <v>Somatic Cancer</v>
      </c>
      <c r="U211" s="64" t="str">
        <f>IFERROR(__xludf.DUMMYFUNCTION("QUERY('Volunteer Survey'!N218)"),"I was a member of the Undiagnosed Disease Network at Stanford University as a genomics coordinator, as well as a member of the ENCODE coordination center at Stanford.  ")</f>
        <v>I was a member of the Undiagnosed Disease Network at Stanford University as a genomics coordinator, as well as a member of the ENCODE coordination center at Stanford.  </v>
      </c>
      <c r="V211" s="55" t="str">
        <f>IFERROR(__xludf.DUMMYFUNCTION("QUERY('Volunteer Survey'!O218)"),"No")</f>
        <v>No</v>
      </c>
      <c r="W211" s="66" t="str">
        <f>IFERROR(__xludf.DUMMYFUNCTION("QUERY('Volunteer Survey'!P218)"),"mitochondrial diseases, dilated cardiomyopathy, ")</f>
        <v>mitochondrial diseases, dilated cardiomyopathy, </v>
      </c>
      <c r="X211" s="64" t="str">
        <f>IFERROR(__xludf.DUMMYFUNCTION("QUERY('Volunteer Survey'!R218)"),"Yes- I am willing to volunteer with any available ClinGen group")</f>
        <v>Yes- I am willing to volunteer with any available ClinGen group</v>
      </c>
      <c r="Y211" s="53"/>
      <c r="Z211" s="182">
        <f>IFERROR(__xludf.DUMMYFUNCTION("QUERY('Volunteer Survey'!A210)"),43615.06075428241)</f>
        <v>43615.06075</v>
      </c>
      <c r="AA211" s="183" t="str">
        <f>IFERROR(__xludf.DUMMYFUNCTION("QUERY('Volunteer Survey'!B210)"),"Cath Tyner")</f>
        <v>Cath Tyner</v>
      </c>
      <c r="AB211" s="183" t="str">
        <f>IFERROR(__xludf.DUMMYFUNCTION("QUERY('Volunteer Survey'!C210)"),"Invitae")</f>
        <v>Invitae</v>
      </c>
      <c r="AC211" s="183" t="str">
        <f>IFERROR(__xludf.DUMMYFUNCTION("QUERY('Volunteer Survey'!D210)"),"1127 N BRANCIFORTE AVE, SANTA CRUZ CA 95062")</f>
        <v>1127 N BRANCIFORTE AVE, SANTA CRUZ CA 95062</v>
      </c>
      <c r="AD211" s="183" t="str">
        <f>IFERROR(__xludf.DUMMYFUNCTION("QUERY('Volunteer Survey'!E210)"),"cathtyner@gmail.com")</f>
        <v>cathtyner@gmail.com</v>
      </c>
      <c r="AE211" s="183" t="str">
        <f>IFERROR(__xludf.DUMMYFUNCTION("QUERY('Volunteer Survey'!F210)"),"Software QA Engineer at Invitae")</f>
        <v>Software QA Engineer at Invitae</v>
      </c>
      <c r="AF211" s="183" t="str">
        <f>IFERROR(__xludf.DUMMYFUNCTION("QUERY('Volunteer Survey'!G210)"),"Youtube")</f>
        <v>Youtube</v>
      </c>
      <c r="AG211" s="183" t="str">
        <f>IFERROR(__xludf.DUMMYFUNCTION("QUERY('Volunteer Survey'!H210)"),"Comprehensive")</f>
        <v>Comprehensive</v>
      </c>
      <c r="AH211" s="183" t="str">
        <f>IFERROR(__xludf.DUMMYFUNCTION("QUERY('Volunteer Survey'!I210)"),"Variant Pathogenicity")</f>
        <v>Variant Pathogenicity</v>
      </c>
      <c r="AI211" s="183" t="str">
        <f>IFERROR(__xludf.DUMMYFUNCTION("QUERY('Volunteer Survey'!J210)"),"Gene-Disease Validity")</f>
        <v>Gene-Disease Validity</v>
      </c>
      <c r="AJ211" s="183" t="str">
        <f>IFERROR(__xludf.DUMMYFUNCTION("QUERY('Volunteer Survey'!K210)"),"Clinical Actionability")</f>
        <v>Clinical Actionability</v>
      </c>
      <c r="AK211" s="183" t="str">
        <f>IFERROR(__xludf.DUMMYFUNCTION("QUERY('Volunteer Survey'!L210)"),"Somatic Cancer")</f>
        <v>Somatic Cancer</v>
      </c>
      <c r="AL211" s="183" t="str">
        <f>IFERROR(__xludf.DUMMYFUNCTION("QUERY('Volunteer Survey'!M210)"),"Dosage Sensitivity")</f>
        <v>Dosage Sensitivity</v>
      </c>
      <c r="AM211" s="183" t="str">
        <f>IFERROR(__xludf.DUMMYFUNCTION("QUERY('Volunteer Survey'!N210)"),"QA software which is used in gene curation for Invitae")</f>
        <v>QA software which is used in gene curation for Invitae</v>
      </c>
      <c r="AN211" s="183" t="str">
        <f>IFERROR(__xludf.DUMMYFUNCTION("QUERY('Volunteer Survey'!O210)"),"Possibly")</f>
        <v>Possibly</v>
      </c>
      <c r="AO211" s="183" t="str">
        <f>IFERROR(__xludf.DUMMYFUNCTION("QUERY('Volunteer Survey'!P210)"),"")</f>
        <v/>
      </c>
    </row>
    <row r="212">
      <c r="A212" s="50">
        <f>IFERROR(__xludf.DUMMYFUNCTION("QUERY('Volunteer Survey'!A219)"),43623.2904925463)</f>
        <v>43623.29049</v>
      </c>
      <c r="B212" s="48" t="s">
        <v>168</v>
      </c>
      <c r="C212" s="53"/>
      <c r="D212" s="55"/>
      <c r="E212" s="55"/>
      <c r="F212" s="48" t="s">
        <v>130</v>
      </c>
      <c r="G212" s="48" t="s">
        <v>251</v>
      </c>
      <c r="H212" s="53"/>
      <c r="I212" s="51" t="s">
        <v>139</v>
      </c>
      <c r="J212" s="55"/>
      <c r="K212" s="55"/>
      <c r="L212" s="55" t="str">
        <f>IFERROR(__xludf.DUMMYFUNCTION("QUERY('Volunteer Survey'!B219)"),"Timo Dereani")</f>
        <v>Timo Dereani</v>
      </c>
      <c r="M212" s="55" t="str">
        <f>IFERROR(__xludf.DUMMYFUNCTION("QUERY('Volunteer Survey'!E219)"),"dereani@biologis.diagnosticum.eu")</f>
        <v>dereani@biologis.diagnosticum.eu</v>
      </c>
      <c r="N212" s="55" t="str">
        <f>IFERROR(__xludf.DUMMYFUNCTION("QUERY('Volunteer Survey'!F219)"),"Clinical laboratory geneticist")</f>
        <v>Clinical laboratory geneticist</v>
      </c>
      <c r="O212" s="48" t="str">
        <f>IFERROR(__xludf.DUMMYFUNCTION("QUERY('Volunteer Survey'!H219)"),"Comprehensive")</f>
        <v>Comprehensive</v>
      </c>
      <c r="P212" s="55" t="str">
        <f>IFERROR(__xludf.DUMMYFUNCTION("QUERY('Volunteer Survey'!I219)"),"Variant Pathogenicity")</f>
        <v>Variant Pathogenicity</v>
      </c>
      <c r="Q212" s="60" t="str">
        <f>IFERROR(__xludf.DUMMYFUNCTION("QUERY('Volunteer Survey'!J219)"),"Clinical Actionability")</f>
        <v>Clinical Actionability</v>
      </c>
      <c r="R212" s="55" t="str">
        <f>IFERROR(__xludf.DUMMYFUNCTION("QUERY('Volunteer Survey'!K219)"),"Dosage Sensitivity")</f>
        <v>Dosage Sensitivity</v>
      </c>
      <c r="S212" s="55" t="str">
        <f>IFERROR(__xludf.DUMMYFUNCTION("QUERY('Volunteer Survey'!L219)"),"Gene-Disease Validity")</f>
        <v>Gene-Disease Validity</v>
      </c>
      <c r="T212" s="55" t="str">
        <f>IFERROR(__xludf.DUMMYFUNCTION("QUERY('Volunteer Survey'!M219)"),"Somatic Cancer")</f>
        <v>Somatic Cancer</v>
      </c>
      <c r="U212" s="64" t="str">
        <f>IFERROR(__xludf.DUMMYFUNCTION("QUERY('Volunteer Survey'!N219)"),"I've already curated hundreds of variants during my work as a clinical laboratory geneticist. Additionally I've used various classification guidelines (internal, ACMG etc.) and I'm constantly trying to implement new ideas. I am currently also participatig"&amp;" in the ClinGen low penetrance working group. Additionally I've helped to create various virtual panels for the routine diagnostics at our center.")</f>
        <v>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v>
      </c>
      <c r="V212" s="55" t="str">
        <f>IFERROR(__xludf.DUMMYFUNCTION("QUERY('Volunteer Survey'!O219)"),"Yes")</f>
        <v>Yes</v>
      </c>
      <c r="W212" s="66" t="str">
        <f>IFERROR(__xludf.DUMMYFUNCTION("QUERY('Volunteer Survey'!P219)"),"Monogenic Diabetes, Hereditary Cancer")</f>
        <v>Monogenic Diabetes, Hereditary Cancer</v>
      </c>
      <c r="X212" s="64" t="str">
        <f>IFERROR(__xludf.DUMMYFUNCTION("QUERY('Volunteer Survey'!R219)"),"Maybe -- please contact me with other options, and I will decide based on what is available")</f>
        <v>Maybe -- please contact me with other options, and I will decide based on what is available</v>
      </c>
      <c r="Y212" s="53"/>
      <c r="Z212" s="182">
        <f>IFERROR(__xludf.DUMMYFUNCTION("QUERY('Volunteer Survey'!A211)"),43615.399297673604)</f>
        <v>43615.3993</v>
      </c>
      <c r="AA212" s="183" t="str">
        <f>IFERROR(__xludf.DUMMYFUNCTION("QUERY('Volunteer Survey'!B211)"),"Abdelazeem Elhabyan ")</f>
        <v>Abdelazeem Elhabyan </v>
      </c>
      <c r="AB212" s="183" t="str">
        <f>IFERROR(__xludf.DUMMYFUNCTION("QUERY('Volunteer Survey'!C211)"),"Tanta university Faculty of Medicine")</f>
        <v>Tanta university Faculty of Medicine</v>
      </c>
      <c r="AC212" s="183" t="str">
        <f>IFERROR(__xludf.DUMMYFUNCTION("QUERY('Volunteer Survey'!D211)"),"Tanta , Ali Dawood street from Kafr Essam street Dr.Abdelhameed Elhabyan house")</f>
        <v>Tanta , Ali Dawood street from Kafr Essam street Dr.Abdelhameed Elhabyan house</v>
      </c>
      <c r="AD212" s="183" t="str">
        <f>IFERROR(__xludf.DUMMYFUNCTION("QUERY('Volunteer Survey'!E211)"),"Abdelazeem_abdelhameed2015505@yahoo.com")</f>
        <v>Abdelazeem_abdelhameed2015505@yahoo.com</v>
      </c>
      <c r="AE212" s="183" t="str">
        <f>IFERROR(__xludf.DUMMYFUNCTION("QUERY('Volunteer Survey'!F211)"),"Graduate Student")</f>
        <v>Graduate Student</v>
      </c>
      <c r="AF212" s="183" t="str">
        <f>IFERROR(__xludf.DUMMYFUNCTION("QUERY('Volunteer Survey'!G211)"),"Twitter")</f>
        <v>Twitter</v>
      </c>
      <c r="AG212" s="183" t="str">
        <f>IFERROR(__xludf.DUMMYFUNCTION("QUERY('Volunteer Survey'!H211)"),"Comprehensive")</f>
        <v>Comprehensive</v>
      </c>
      <c r="AH212" s="183" t="str">
        <f>IFERROR(__xludf.DUMMYFUNCTION("QUERY('Volunteer Survey'!I211)"),"Variant Pathogenicity")</f>
        <v>Variant Pathogenicity</v>
      </c>
      <c r="AI212" s="183" t="str">
        <f>IFERROR(__xludf.DUMMYFUNCTION("QUERY('Volunteer Survey'!J211)"),"Somatic Cancer")</f>
        <v>Somatic Cancer</v>
      </c>
      <c r="AJ212" s="183" t="str">
        <f>IFERROR(__xludf.DUMMYFUNCTION("QUERY('Volunteer Survey'!K211)"),"Gene-Disease Validity")</f>
        <v>Gene-Disease Validity</v>
      </c>
      <c r="AK212" s="183" t="str">
        <f>IFERROR(__xludf.DUMMYFUNCTION("QUERY('Volunteer Survey'!L211)"),"Clinical Actionability")</f>
        <v>Clinical Actionability</v>
      </c>
      <c r="AL212" s="183" t="str">
        <f>IFERROR(__xludf.DUMMYFUNCTION("QUERY('Volunteer Survey'!M211)"),"Dosage Sensitivity")</f>
        <v>Dosage Sensitivity</v>
      </c>
      <c r="AM212" s="183" t="str">
        <f>IFERROR(__xludf.DUMMYFUNCTION("QUERY('Volunteer Survey'!N211)"),"I have received training In mapping,  variant calling using galaxy project and received many online courses in genomics ")</f>
        <v>I have received training In mapping,  variant calling using galaxy project and received many online courses in genomics </v>
      </c>
      <c r="AN212" s="183" t="str">
        <f>IFERROR(__xludf.DUMMYFUNCTION("QUERY('Volunteer Survey'!O211)"),"Yes")</f>
        <v>Yes</v>
      </c>
      <c r="AO212" s="183" t="str">
        <f>IFERROR(__xludf.DUMMYFUNCTION("QUERY('Volunteer Survey'!P211)"),"Hereditary cancer ")</f>
        <v>Hereditary cancer </v>
      </c>
    </row>
    <row r="213">
      <c r="A213" s="50">
        <f>IFERROR(__xludf.DUMMYFUNCTION("QUERY('Volunteer Survey'!A220)"),43625.51218064815)</f>
        <v>43625.51218</v>
      </c>
      <c r="B213" s="48" t="s">
        <v>322</v>
      </c>
      <c r="C213" s="53"/>
      <c r="D213" s="55"/>
      <c r="E213" s="55"/>
      <c r="F213" s="48" t="s">
        <v>130</v>
      </c>
      <c r="G213" s="48" t="s">
        <v>122</v>
      </c>
      <c r="H213" s="53"/>
      <c r="I213" s="51" t="s">
        <v>139</v>
      </c>
      <c r="J213" s="55"/>
      <c r="K213" s="55"/>
      <c r="L213" s="55" t="str">
        <f>IFERROR(__xludf.DUMMYFUNCTION("QUERY('Volunteer Survey'!B220)"),"Konstantinos Varvagiannis")</f>
        <v>Konstantinos Varvagiannis</v>
      </c>
      <c r="M213" s="55" t="str">
        <f>IFERROR(__xludf.DUMMYFUNCTION("QUERY('Volunteer Survey'!E220)"),"knsvarv@ath.forthnet.gr")</f>
        <v>knsvarv@ath.forthnet.gr</v>
      </c>
      <c r="N213" s="55" t="str">
        <f>IFERROR(__xludf.DUMMYFUNCTION("QUERY('Volunteer Survey'!F220)"),"Clinical Medical Geneticist")</f>
        <v>Clinical Medical Geneticist</v>
      </c>
      <c r="O213" s="48" t="str">
        <f>IFERROR(__xludf.DUMMYFUNCTION("QUERY('Volunteer Survey'!H220)"),"Baseline")</f>
        <v>Baseline</v>
      </c>
      <c r="P213" s="55" t="str">
        <f>IFERROR(__xludf.DUMMYFUNCTION("QUERY('Volunteer Survey'!I220)"),"Gene-Disease Validity")</f>
        <v>Gene-Disease Validity</v>
      </c>
      <c r="Q213" s="60" t="str">
        <f>IFERROR(__xludf.DUMMYFUNCTION("QUERY('Volunteer Survey'!J220)"),"Variant Pathogenicity")</f>
        <v>Variant Pathogenicity</v>
      </c>
      <c r="R213" s="55" t="str">
        <f>IFERROR(__xludf.DUMMYFUNCTION("QUERY('Volunteer Survey'!K220)"),"Dosage Sensitivity")</f>
        <v>Dosage Sensitivity</v>
      </c>
      <c r="S213" s="55" t="str">
        <f>IFERROR(__xludf.DUMMYFUNCTION("QUERY('Volunteer Survey'!L220)"),"Clinical Actionability")</f>
        <v>Clinical Actionability</v>
      </c>
      <c r="T213" s="55" t="str">
        <f>IFERROR(__xludf.DUMMYFUNCTION("QUERY('Volunteer Survey'!M220)"),"Somatic Cancer")</f>
        <v>Somatic Cancer</v>
      </c>
      <c r="U213" s="64" t="str">
        <f>IFERROR(__xludf.DUMMYFUNCTION("QUERY('Volunteer Survey'!N220)"),"Genomics England PanelApp - ID/epilepsy panels - (reviews available after filtering the respective panels' activity / : https://panelapp.genomicsengland.co.uk/panels/activity/?panel=285  -  https://panelapp.genomicsengland.co.uk/panels/activity/?panel=402"&amp;" )")</f>
        <v>Genomics England PanelApp - ID/epilepsy panels - (reviews available after filtering the respective panels' activity / : https://panelapp.genomicsengland.co.uk/panels/activity/?panel=285  -  https://panelapp.genomicsengland.co.uk/panels/activity/?panel=402 )</v>
      </c>
      <c r="V213" s="55" t="str">
        <f>IFERROR(__xludf.DUMMYFUNCTION("QUERY('Volunteer Survey'!O220)"),"Possibly")</f>
        <v>Possibly</v>
      </c>
      <c r="W213" s="66" t="str">
        <f>IFERROR(__xludf.DUMMYFUNCTION("QUERY('Volunteer Survey'!P220)"),"Intellectual Disability and Autism / Epilepsy")</f>
        <v>Intellectual Disability and Autism / Epilepsy</v>
      </c>
      <c r="X213" s="64" t="str">
        <f>IFERROR(__xludf.DUMMYFUNCTION("QUERY('Volunteer Survey'!R220)"),"Maybe -- please contact me with other options, and I will decide based on what is available")</f>
        <v>Maybe -- please contact me with other options, and I will decide based on what is available</v>
      </c>
      <c r="Y213" s="53"/>
      <c r="Z213" s="182">
        <f>IFERROR(__xludf.DUMMYFUNCTION("QUERY('Volunteer Survey'!A212)"),43615.57070869213)</f>
        <v>43615.57071</v>
      </c>
      <c r="AA213" s="183" t="str">
        <f>IFERROR(__xludf.DUMMYFUNCTION("QUERY('Volunteer Survey'!B212)"),"Claudia Gonzaga-Jauregui")</f>
        <v>Claudia Gonzaga-Jauregui</v>
      </c>
      <c r="AB213" s="183" t="str">
        <f>IFERROR(__xludf.DUMMYFUNCTION("QUERY('Volunteer Survey'!C212)"),"Regeneron Genetics Center")</f>
        <v>Regeneron Genetics Center</v>
      </c>
      <c r="AC213" s="183" t="str">
        <f>IFERROR(__xludf.DUMMYFUNCTION("QUERY('Volunteer Survey'!D212)"),"777 Old Saw Mill River Road")</f>
        <v>777 Old Saw Mill River Road</v>
      </c>
      <c r="AD213" s="183" t="str">
        <f>IFERROR(__xludf.DUMMYFUNCTION("QUERY('Volunteer Survey'!E212)"),"cgonzagaj@gmail.com")</f>
        <v>cgonzagaj@gmail.com</v>
      </c>
      <c r="AE213" s="183" t="str">
        <f>IFERROR(__xludf.DUMMYFUNCTION("QUERY('Volunteer Survey'!F212)"),"Scientific Researcher")</f>
        <v>Scientific Researcher</v>
      </c>
      <c r="AF213" s="183" t="str">
        <f>IFERROR(__xludf.DUMMYFUNCTION("QUERY('Volunteer Survey'!G212)"),"Networking, Colleagues, Twitter")</f>
        <v>Networking, Colleagues, Twitter</v>
      </c>
      <c r="AG213" s="183" t="str">
        <f>IFERROR(__xludf.DUMMYFUNCTION("QUERY('Volunteer Survey'!H212)"),"Comprehensive")</f>
        <v>Comprehensive</v>
      </c>
      <c r="AH213" s="183" t="str">
        <f>IFERROR(__xludf.DUMMYFUNCTION("QUERY('Volunteer Survey'!I212)"),"Gene-Disease Validity")</f>
        <v>Gene-Disease Validity</v>
      </c>
      <c r="AI213" s="183" t="str">
        <f>IFERROR(__xludf.DUMMYFUNCTION("QUERY('Volunteer Survey'!J212)"),"Clinical Actionability")</f>
        <v>Clinical Actionability</v>
      </c>
      <c r="AJ213" s="183" t="str">
        <f>IFERROR(__xludf.DUMMYFUNCTION("QUERY('Volunteer Survey'!K212)"),"Variant Pathogenicity")</f>
        <v>Variant Pathogenicity</v>
      </c>
      <c r="AK213" s="183" t="str">
        <f>IFERROR(__xludf.DUMMYFUNCTION("QUERY('Volunteer Survey'!L212)"),"")</f>
        <v/>
      </c>
      <c r="AL213" s="183" t="str">
        <f>IFERROR(__xludf.DUMMYFUNCTION("QUERY('Volunteer Survey'!M212)"),"")</f>
        <v/>
      </c>
      <c r="AM213" s="183" t="str">
        <f>IFERROR(__xludf.DUMMYFUNCTION("QUERY('Volunteer Survey'!N212)"),"Yes, I have analyzed more than 5,000 probands and families segregating Mendelian and yet uncharacterized rare genetic disorders and identified and published more than 20 novel disease gene associations, as well as characterized pathogenic variants in know"&amp;"n disease genes to enable diagnoses in patients with suspected genetic disorders. I have also analyzed and curated pathogenic and likely pathogenic variation in large population cohorts such as the Gesinger DiscovEHR collaboration and the UK Bionbank to a"&amp;"ssess clinical actionability of pathogenic variation and prevalence of disease in unascertained populations.")</f>
        <v>Yes, I have analyzed more than 5,000 probands and families segregating Mendelian and yet uncharacterized rare genetic disorders and identified and published more than 20 novel disease gene associations, as well as characterized pathogenic variants in known disease genes to enable diagnoses in patients with suspected genetic disorders. I have also analyzed and curated pathogenic and likely pathogenic variation in large population cohorts such as the Gesinger DiscovEHR collaboration and the UK Bionbank to assess clinical actionability of pathogenic variation and prevalence of disease in unascertained populations.</v>
      </c>
      <c r="AN213" s="183" t="str">
        <f>IFERROR(__xludf.DUMMYFUNCTION("QUERY('Volunteer Survey'!O212)"),"Possibly")</f>
        <v>Possibly</v>
      </c>
      <c r="AO213" s="183" t="str">
        <f>IFERROR(__xludf.DUMMYFUNCTION("QUERY('Volunteer Survey'!P212)"),"Intellectual Disability and Autism, Brain Malformations, Charcot-Marie-Tooth Disease")</f>
        <v>Intellectual Disability and Autism, Brain Malformations, Charcot-Marie-Tooth Disease</v>
      </c>
    </row>
    <row r="214">
      <c r="A214" s="50">
        <f>IFERROR(__xludf.DUMMYFUNCTION("QUERY('Volunteer Survey'!A221)"),43625.56646847222)</f>
        <v>43625.56647</v>
      </c>
      <c r="B214" s="48" t="s">
        <v>168</v>
      </c>
      <c r="C214" s="53"/>
      <c r="D214" s="55"/>
      <c r="E214" s="55"/>
      <c r="F214" s="48" t="s">
        <v>130</v>
      </c>
      <c r="G214" s="48" t="s">
        <v>251</v>
      </c>
      <c r="H214" s="53"/>
      <c r="I214" s="51" t="s">
        <v>139</v>
      </c>
      <c r="J214" s="55"/>
      <c r="K214" s="55"/>
      <c r="L214" s="55" t="str">
        <f>IFERROR(__xludf.DUMMYFUNCTION("QUERY('Volunteer Survey'!B221)"),"Jennifer Bullard")</f>
        <v>Jennifer Bullard</v>
      </c>
      <c r="M214" s="55" t="str">
        <f>IFERROR(__xludf.DUMMYFUNCTION("QUERY('Volunteer Survey'!E221)"),"jenniferluja@gmail.com")</f>
        <v>jenniferluja@gmail.com</v>
      </c>
      <c r="N214" s="55" t="str">
        <f>IFERROR(__xludf.DUMMYFUNCTION("QUERY('Volunteer Survey'!F221)"),"Clinical laboratory geneticist")</f>
        <v>Clinical laboratory geneticist</v>
      </c>
      <c r="O214" s="48" t="str">
        <f>IFERROR(__xludf.DUMMYFUNCTION("QUERY('Volunteer Survey'!H221)"),"Comprehensive")</f>
        <v>Comprehensive</v>
      </c>
      <c r="P214" s="55" t="str">
        <f>IFERROR(__xludf.DUMMYFUNCTION("QUERY('Volunteer Survey'!I221)"),"Variant Pathogenicity")</f>
        <v>Variant Pathogenicity</v>
      </c>
      <c r="Q214" s="60" t="str">
        <f>IFERROR(__xludf.DUMMYFUNCTION("QUERY('Volunteer Survey'!J221)"),"Gene-Disease Validity")</f>
        <v>Gene-Disease Validity</v>
      </c>
      <c r="R214" s="55" t="str">
        <f>IFERROR(__xludf.DUMMYFUNCTION("QUERY('Volunteer Survey'!K221)"),"Dosage Sensitivity")</f>
        <v>Dosage Sensitivity</v>
      </c>
      <c r="S214" s="55" t="str">
        <f>IFERROR(__xludf.DUMMYFUNCTION("QUERY('Volunteer Survey'!L221)"),"Clinical Actionability")</f>
        <v>Clinical Actionability</v>
      </c>
      <c r="T214" s="55" t="str">
        <f>IFERROR(__xludf.DUMMYFUNCTION("QUERY('Volunteer Survey'!M221)"),"Somatic Cancer")</f>
        <v>Somatic Cancer</v>
      </c>
      <c r="U214" s="64" t="str">
        <f>IFERROR(__xludf.DUMMYFUNCTION("QUERY('Volunteer Survey'!N221)"),"")</f>
        <v/>
      </c>
      <c r="V214" s="55" t="str">
        <f>IFERROR(__xludf.DUMMYFUNCTION("QUERY('Volunteer Survey'!O221)"),"No")</f>
        <v>No</v>
      </c>
      <c r="W214" s="66" t="str">
        <f>IFERROR(__xludf.DUMMYFUNCTION("QUERY('Volunteer Survey'!P221)"),"Monogenic Diabetes")</f>
        <v>Monogenic Diabetes</v>
      </c>
      <c r="X214" s="64" t="str">
        <f>IFERROR(__xludf.DUMMYFUNCTION("QUERY('Volunteer Survey'!R221)"),"Yes- I am willing to volunteer with any available ClinGen group")</f>
        <v>Yes- I am willing to volunteer with any available ClinGen group</v>
      </c>
      <c r="Y214" s="53"/>
      <c r="Z214" s="182">
        <f>IFERROR(__xludf.DUMMYFUNCTION("QUERY('Volunteer Survey'!A213)"),43615.977712569445)</f>
        <v>43615.97771</v>
      </c>
      <c r="AA214" s="183" t="str">
        <f>IFERROR(__xludf.DUMMYFUNCTION("QUERY('Volunteer Survey'!B213)"),"Altovise Ewing")</f>
        <v>Altovise Ewing</v>
      </c>
      <c r="AB214" s="183" t="str">
        <f>IFERROR(__xludf.DUMMYFUNCTION("QUERY('Volunteer Survey'!C213)"),"23andMe")</f>
        <v>23andMe</v>
      </c>
      <c r="AC214" s="183" t="str">
        <f>IFERROR(__xludf.DUMMYFUNCTION("QUERY('Volunteer Survey'!D213)"),"1520 Southwest Expressway")</f>
        <v>1520 Southwest Expressway</v>
      </c>
      <c r="AD214" s="183" t="str">
        <f>IFERROR(__xludf.DUMMYFUNCTION("QUERY('Volunteer Survey'!E213)"),"altovisee@gmail.com")</f>
        <v>altovisee@gmail.com</v>
      </c>
      <c r="AE214" s="183" t="str">
        <f>IFERROR(__xludf.DUMMYFUNCTION("QUERY('Volunteer Survey'!F213)"),"Genetic counselor and health equity scientist")</f>
        <v>Genetic counselor and health equity scientist</v>
      </c>
      <c r="AF214" s="183" t="str">
        <f>IFERROR(__xludf.DUMMYFUNCTION("QUERY('Volunteer Survey'!G213)"),"CCG 2019")</f>
        <v>CCG 2019</v>
      </c>
      <c r="AG214" s="183" t="str">
        <f>IFERROR(__xludf.DUMMYFUNCTION("QUERY('Volunteer Survey'!H213)"),"Comprehensive")</f>
        <v>Comprehensive</v>
      </c>
      <c r="AH214" s="183" t="str">
        <f>IFERROR(__xludf.DUMMYFUNCTION("QUERY('Volunteer Survey'!I213)"),"Clinical Actionability")</f>
        <v>Clinical Actionability</v>
      </c>
      <c r="AI214" s="183" t="str">
        <f>IFERROR(__xludf.DUMMYFUNCTION("QUERY('Volunteer Survey'!J213)"),"Variant Pathogenicity")</f>
        <v>Variant Pathogenicity</v>
      </c>
      <c r="AJ214" s="183" t="str">
        <f>IFERROR(__xludf.DUMMYFUNCTION("QUERY('Volunteer Survey'!K213)"),"Gene-Disease Validity")</f>
        <v>Gene-Disease Validity</v>
      </c>
      <c r="AK214" s="183" t="str">
        <f>IFERROR(__xludf.DUMMYFUNCTION("QUERY('Volunteer Survey'!L213)"),"Dosage Sensitivity")</f>
        <v>Dosage Sensitivity</v>
      </c>
      <c r="AL214" s="183" t="str">
        <f>IFERROR(__xludf.DUMMYFUNCTION("QUERY('Volunteer Survey'!M213)"),"Somatic Cancer")</f>
        <v>Somatic Cancer</v>
      </c>
      <c r="AM214" s="183" t="str">
        <f>IFERROR(__xludf.DUMMYFUNCTION("QUERY('Volunteer Survey'!N213)"),"")</f>
        <v/>
      </c>
      <c r="AN214" s="183" t="str">
        <f>IFERROR(__xludf.DUMMYFUNCTION("QUERY('Volunteer Survey'!O213)"),"Yes")</f>
        <v>Yes</v>
      </c>
      <c r="AO214" s="183" t="str">
        <f>IFERROR(__xludf.DUMMYFUNCTION("QUERY('Volunteer Survey'!P213)"),"Hereditary cancer")</f>
        <v>Hereditary cancer</v>
      </c>
    </row>
    <row r="215">
      <c r="A215" s="50">
        <f>IFERROR(__xludf.DUMMYFUNCTION("QUERY('Volunteer Survey'!A222)"),43625.72974097222)</f>
        <v>43625.72974</v>
      </c>
      <c r="B215" s="48" t="s">
        <v>108</v>
      </c>
      <c r="C215" s="79">
        <v>43689.0</v>
      </c>
      <c r="D215" s="65">
        <v>43768.0</v>
      </c>
      <c r="E215" s="48" t="s">
        <v>117</v>
      </c>
      <c r="F215" s="48" t="s">
        <v>117</v>
      </c>
      <c r="G215" s="48" t="s">
        <v>19</v>
      </c>
      <c r="H215" s="69" t="s">
        <v>19</v>
      </c>
      <c r="I215" s="51" t="s">
        <v>139</v>
      </c>
      <c r="J215" s="55"/>
      <c r="K215" s="55"/>
      <c r="L215" s="55" t="str">
        <f>IFERROR(__xludf.DUMMYFUNCTION("QUERY('Volunteer Survey'!B222)"),"Greg Lennon")</f>
        <v>Greg Lennon</v>
      </c>
      <c r="M215" s="55" t="str">
        <f>IFERROR(__xludf.DUMMYFUNCTION("QUERY('Volunteer Survey'!E222)"),"greg.lennon@gmail.com")</f>
        <v>greg.lennon@gmail.com</v>
      </c>
      <c r="N215" s="55" t="str">
        <f>IFERROR(__xludf.DUMMYFUNCTION("QUERY('Volunteer Survey'!F222)"),"Scientific Researcher")</f>
        <v>Scientific Researcher</v>
      </c>
      <c r="O215" s="48" t="str">
        <f>IFERROR(__xludf.DUMMYFUNCTION("QUERY('Volunteer Survey'!H222)"),"Comprehensive")</f>
        <v>Comprehensive</v>
      </c>
      <c r="P215" s="55" t="str">
        <f>IFERROR(__xludf.DUMMYFUNCTION("QUERY('Volunteer Survey'!I222)"),"Clinical Actionability")</f>
        <v>Clinical Actionability</v>
      </c>
      <c r="Q215" s="60" t="str">
        <f>IFERROR(__xludf.DUMMYFUNCTION("QUERY('Volunteer Survey'!J222)"),"Variant Pathogenicity")</f>
        <v>Variant Pathogenicity</v>
      </c>
      <c r="R215" s="55" t="str">
        <f>IFERROR(__xludf.DUMMYFUNCTION("QUERY('Volunteer Survey'!K222)"),"")</f>
        <v/>
      </c>
      <c r="S215" s="55" t="str">
        <f>IFERROR(__xludf.DUMMYFUNCTION("QUERY('Volunteer Survey'!L222)"),"")</f>
        <v/>
      </c>
      <c r="T215" s="55" t="str">
        <f>IFERROR(__xludf.DUMMYFUNCTION("QUERY('Volunteer Survey'!M222)"),"")</f>
        <v/>
      </c>
      <c r="U215" s="64" t="str">
        <f>IFERROR(__xludf.DUMMYFUNCTION("QUERY('Volunteer Survey'!N222)"),"Curation of SNPedia (since 2006)")</f>
        <v>Curation of SNPedia (since 2006)</v>
      </c>
      <c r="V215" s="55" t="str">
        <f>IFERROR(__xludf.DUMMYFUNCTION("QUERY('Volunteer Survey'!O222)"),"Possibly")</f>
        <v>Possibly</v>
      </c>
      <c r="W215" s="66" t="str">
        <f>IFERROR(__xludf.DUMMYFUNCTION("QUERY('Volunteer Survey'!P222)"),"Actionability Working Group")</f>
        <v>Actionability Working Group</v>
      </c>
      <c r="X215" s="64" t="str">
        <f>IFERROR(__xludf.DUMMYFUNCTION("QUERY('Volunteer Survey'!R222)"),"Maybe -- please contact me with other options, and I will decide based on what is available")</f>
        <v>Maybe -- please contact me with other options, and I will decide based on what is available</v>
      </c>
      <c r="Y215" s="53"/>
      <c r="Z215" s="182">
        <f>IFERROR(__xludf.DUMMYFUNCTION("QUERY('Volunteer Survey'!A214)"),43619.48182516204)</f>
        <v>43619.48183</v>
      </c>
      <c r="AA215" s="183" t="str">
        <f>IFERROR(__xludf.DUMMYFUNCTION("QUERY('Volunteer Survey'!B214)"),"Laura Sack")</f>
        <v>Laura Sack</v>
      </c>
      <c r="AB215" s="183" t="str">
        <f>IFERROR(__xludf.DUMMYFUNCTION("QUERY('Volunteer Survey'!C214)"),"GeneDx")</f>
        <v>GeneDx</v>
      </c>
      <c r="AC215" s="183" t="str">
        <f>IFERROR(__xludf.DUMMYFUNCTION("QUERY('Volunteer Survey'!D214)"),"")</f>
        <v/>
      </c>
      <c r="AD215" s="183" t="str">
        <f>IFERROR(__xludf.DUMMYFUNCTION("QUERY('Volunteer Survey'!E214)"),"laura@sack.io")</f>
        <v>laura@sack.io</v>
      </c>
      <c r="AE215" s="183" t="str">
        <f>IFERROR(__xludf.DUMMYFUNCTION("QUERY('Volunteer Survey'!F214)"),"Variant Analyst/Scientist - Industry")</f>
        <v>Variant Analyst/Scientist - Industry</v>
      </c>
      <c r="AF215" s="183" t="str">
        <f>IFERROR(__xludf.DUMMYFUNCTION("QUERY('Volunteer Survey'!G214)"),"Colleagues")</f>
        <v>Colleagues</v>
      </c>
      <c r="AG215" s="183" t="str">
        <f>IFERROR(__xludf.DUMMYFUNCTION("QUERY('Volunteer Survey'!H214)"),"Comprehensive")</f>
        <v>Comprehensive</v>
      </c>
      <c r="AH215" s="183" t="str">
        <f>IFERROR(__xludf.DUMMYFUNCTION("QUERY('Volunteer Survey'!I214)"),"Dosage Sensitivity")</f>
        <v>Dosage Sensitivity</v>
      </c>
      <c r="AI215" s="183" t="str">
        <f>IFERROR(__xludf.DUMMYFUNCTION("QUERY('Volunteer Survey'!J214)"),"Gene-Disease Validity")</f>
        <v>Gene-Disease Validity</v>
      </c>
      <c r="AJ215" s="183" t="str">
        <f>IFERROR(__xludf.DUMMYFUNCTION("QUERY('Volunteer Survey'!K214)"),"Variant Pathogenicity")</f>
        <v>Variant Pathogenicity</v>
      </c>
      <c r="AK215" s="183" t="str">
        <f>IFERROR(__xludf.DUMMYFUNCTION("QUERY('Volunteer Survey'!L214)"),"")</f>
        <v/>
      </c>
      <c r="AL215" s="183" t="str">
        <f>IFERROR(__xludf.DUMMYFUNCTION("QUERY('Volunteer Survey'!M214)"),"")</f>
        <v/>
      </c>
      <c r="AM215" s="183" t="str">
        <f>IFERROR(__xludf.DUMMYFUNCTION("QUERY('Volunteer Survey'!N214)"),"Yes, in interpreting CNVs in clinical cases, I assess dosage sensitivity and gene-disease associations in order to determine variant pathogenicity")</f>
        <v>Yes, in interpreting CNVs in clinical cases, I assess dosage sensitivity and gene-disease associations in order to determine variant pathogenicity</v>
      </c>
      <c r="AN215" s="183" t="str">
        <f>IFERROR(__xludf.DUMMYFUNCTION("QUERY('Volunteer Survey'!O214)"),"Possibly")</f>
        <v>Possibly</v>
      </c>
      <c r="AO215" s="183" t="str">
        <f>IFERROR(__xludf.DUMMYFUNCTION("QUERY('Volunteer Survey'!P214)"),"Dosage-Recurrent Regions, Dosage- Neurodevelopemental, Hereditary Cancer, Intellectual Disability and Autism, Epilepsy")</f>
        <v>Dosage-Recurrent Regions, Dosage- Neurodevelopemental, Hereditary Cancer, Intellectual Disability and Autism, Epilepsy</v>
      </c>
    </row>
    <row r="216">
      <c r="A216" s="50">
        <f>IFERROR(__xludf.DUMMYFUNCTION("QUERY('Volunteer Survey'!A223)"),43626.46727800926)</f>
        <v>43626.46728</v>
      </c>
      <c r="B216" s="48" t="s">
        <v>108</v>
      </c>
      <c r="C216" s="53"/>
      <c r="D216" s="56">
        <v>43626.0</v>
      </c>
      <c r="E216" s="48" t="s">
        <v>117</v>
      </c>
      <c r="F216" s="48" t="s">
        <v>117</v>
      </c>
      <c r="G216" s="48" t="s">
        <v>313</v>
      </c>
      <c r="H216" s="53"/>
      <c r="I216" s="51" t="s">
        <v>139</v>
      </c>
      <c r="J216" s="55"/>
      <c r="K216" s="55"/>
      <c r="L216" s="55" t="str">
        <f>IFERROR(__xludf.DUMMYFUNCTION("QUERY('Volunteer Survey'!B223)"),"Pamela")</f>
        <v>Pamela</v>
      </c>
      <c r="M216" s="55" t="str">
        <f>IFERROR(__xludf.DUMMYFUNCTION("QUERY('Volunteer Survey'!E223)"),"pchristopherson@versiti.org")</f>
        <v>pchristopherson@versiti.org</v>
      </c>
      <c r="N216" s="55" t="str">
        <f>IFERROR(__xludf.DUMMYFUNCTION("QUERY('Volunteer Survey'!F223)"),"Scientific Researcher")</f>
        <v>Scientific Researcher</v>
      </c>
      <c r="O216" s="48" t="str">
        <f>IFERROR(__xludf.DUMMYFUNCTION("QUERY('Volunteer Survey'!H223)"),"Comprehensive")</f>
        <v>Comprehensive</v>
      </c>
      <c r="P216" s="55" t="str">
        <f>IFERROR(__xludf.DUMMYFUNCTION("QUERY('Volunteer Survey'!I223)"),"Variant Pathogenicity")</f>
        <v>Variant Pathogenicity</v>
      </c>
      <c r="Q216" s="60" t="str">
        <f>IFERROR(__xludf.DUMMYFUNCTION("QUERY('Volunteer Survey'!J223)"),"")</f>
        <v/>
      </c>
      <c r="R216" s="55" t="str">
        <f>IFERROR(__xludf.DUMMYFUNCTION("QUERY('Volunteer Survey'!K223)"),"")</f>
        <v/>
      </c>
      <c r="S216" s="55" t="str">
        <f>IFERROR(__xludf.DUMMYFUNCTION("QUERY('Volunteer Survey'!L223)"),"")</f>
        <v/>
      </c>
      <c r="T216" s="55" t="str">
        <f>IFERROR(__xludf.DUMMYFUNCTION("QUERY('Volunteer Survey'!M223)"),"")</f>
        <v/>
      </c>
      <c r="U216" s="64" t="str">
        <f>IFERROR(__xludf.DUMMYFUNCTION("QUERY('Volunteer Survey'!N223)"),"Submission of variants to LOVD")</f>
        <v>Submission of variants to LOVD</v>
      </c>
      <c r="V216" s="55" t="str">
        <f>IFERROR(__xludf.DUMMYFUNCTION("QUERY('Volunteer Survey'!O223)"),"Possibly")</f>
        <v>Possibly</v>
      </c>
      <c r="W216" s="66" t="str">
        <f>IFERROR(__xludf.DUMMYFUNCTION("QUERY('Volunteer Survey'!P223)"),"Already on VWD working group")</f>
        <v>Already on VWD working group</v>
      </c>
      <c r="X216" s="64" t="str">
        <f>IFERROR(__xludf.DUMMYFUNCTION("QUERY('Volunteer Survey'!R223)"),"No - I am only interested in the group(s) I previously indicated")</f>
        <v>No - I am only interested in the group(s) I previously indicated</v>
      </c>
      <c r="Y216" s="53"/>
      <c r="Z216" s="182">
        <f>IFERROR(__xludf.DUMMYFUNCTION("QUERY('Volunteer Survey'!A215)"),43620.78905363426)</f>
        <v>43620.78905</v>
      </c>
      <c r="AA216" s="183" t="str">
        <f>IFERROR(__xludf.DUMMYFUNCTION("QUERY('Volunteer Survey'!B215)"),"Janel Case")</f>
        <v>Janel Case</v>
      </c>
      <c r="AB216" s="183" t="str">
        <f>IFERROR(__xludf.DUMMYFUNCTION("QUERY('Volunteer Survey'!C215)"),"Scripps Health")</f>
        <v>Scripps Health</v>
      </c>
      <c r="AC216" s="183" t="str">
        <f>IFERROR(__xludf.DUMMYFUNCTION("QUERY('Volunteer Survey'!D215)"),"")</f>
        <v/>
      </c>
      <c r="AD216" s="183" t="str">
        <f>IFERROR(__xludf.DUMMYFUNCTION("QUERY('Volunteer Survey'!E215)"),"janelcase@live.com")</f>
        <v>janelcase@live.com</v>
      </c>
      <c r="AE216" s="183" t="str">
        <f>IFERROR(__xludf.DUMMYFUNCTION("QUERY('Volunteer Survey'!F215)"),"Genetic counselor")</f>
        <v>Genetic counselor</v>
      </c>
      <c r="AF216" s="183" t="str">
        <f>IFERROR(__xludf.DUMMYFUNCTION("QUERY('Volunteer Survey'!G215)"),"NSGC")</f>
        <v>NSGC</v>
      </c>
      <c r="AG216" s="183" t="str">
        <f>IFERROR(__xludf.DUMMYFUNCTION("QUERY('Volunteer Survey'!H215)"),"Comprehensive")</f>
        <v>Comprehensive</v>
      </c>
      <c r="AH216" s="183" t="str">
        <f>IFERROR(__xludf.DUMMYFUNCTION("QUERY('Volunteer Survey'!I215)"),"Variant Pathogenicity")</f>
        <v>Variant Pathogenicity</v>
      </c>
      <c r="AI216" s="183" t="str">
        <f>IFERROR(__xludf.DUMMYFUNCTION("QUERY('Volunteer Survey'!J215)"),"Actionability")</f>
        <v>Actionability</v>
      </c>
      <c r="AJ216" s="183" t="str">
        <f>IFERROR(__xludf.DUMMYFUNCTION("QUERY('Volunteer Survey'!K215)"),"")</f>
        <v/>
      </c>
      <c r="AK216" s="183" t="str">
        <f>IFERROR(__xludf.DUMMYFUNCTION("QUERY('Volunteer Survey'!L215)"),"")</f>
        <v/>
      </c>
      <c r="AL216" s="183" t="str">
        <f>IFERROR(__xludf.DUMMYFUNCTION("QUERY('Volunteer Survey'!M215)"),"")</f>
        <v/>
      </c>
      <c r="AM216" s="183" t="str">
        <f>IFERROR(__xludf.DUMMYFUNCTION("QUERY('Volunteer Survey'!N215)"),"Variant curation internship at Illumina ")</f>
        <v>Variant curation internship at Illumina </v>
      </c>
      <c r="AN216" s="183" t="str">
        <f>IFERROR(__xludf.DUMMYFUNCTION("QUERY('Volunteer Survey'!O215)"),"Possibly")</f>
        <v>Possibly</v>
      </c>
      <c r="AO216" s="183" t="str">
        <f>IFERROR(__xludf.DUMMYFUNCTION("QUERY('Volunteer Survey'!P215)"),"Any hereditary cancer related groups ")</f>
        <v>Any hereditary cancer related groups </v>
      </c>
    </row>
    <row r="217">
      <c r="A217" s="50">
        <f>IFERROR(__xludf.DUMMYFUNCTION("QUERY('Volunteer Survey'!A224)"),43626.62412516204)</f>
        <v>43626.62413</v>
      </c>
      <c r="B217" s="48" t="s">
        <v>160</v>
      </c>
      <c r="C217" s="53"/>
      <c r="D217" s="55"/>
      <c r="E217" s="55"/>
      <c r="F217" s="48" t="s">
        <v>130</v>
      </c>
      <c r="G217" s="48" t="s">
        <v>202</v>
      </c>
      <c r="H217" s="53"/>
      <c r="I217" s="51" t="s">
        <v>139</v>
      </c>
      <c r="J217" s="55"/>
      <c r="K217" s="55"/>
      <c r="L217" s="55" t="str">
        <f>IFERROR(__xludf.DUMMYFUNCTION("QUERY('Volunteer Survey'!B224)"),"Ernie Hobbs")</f>
        <v>Ernie Hobbs</v>
      </c>
      <c r="M217" s="55" t="str">
        <f>IFERROR(__xludf.DUMMYFUNCTION("QUERY('Volunteer Survey'!E224)"),"ernie.hobbs@congenica.com")</f>
        <v>ernie.hobbs@congenica.com</v>
      </c>
      <c r="N217" s="55" t="str">
        <f>IFERROR(__xludf.DUMMYFUNCTION("QUERY('Volunteer Survey'!F224)"),"Citizen Scientist/Patient Advocate")</f>
        <v>Citizen Scientist/Patient Advocate</v>
      </c>
      <c r="O217" s="48" t="str">
        <f>IFERROR(__xludf.DUMMYFUNCTION("QUERY('Volunteer Survey'!H224)"),"Baseline")</f>
        <v>Baseline</v>
      </c>
      <c r="P217" s="55" t="str">
        <f>IFERROR(__xludf.DUMMYFUNCTION("QUERY('Volunteer Survey'!I224)"),"Variant Pathogenicity")</f>
        <v>Variant Pathogenicity</v>
      </c>
      <c r="Q217" s="60" t="str">
        <f>IFERROR(__xludf.DUMMYFUNCTION("QUERY('Volunteer Survey'!J224)"),"Clinical Actionability")</f>
        <v>Clinical Actionability</v>
      </c>
      <c r="R217" s="55" t="str">
        <f>IFERROR(__xludf.DUMMYFUNCTION("QUERY('Volunteer Survey'!K224)"),"")</f>
        <v/>
      </c>
      <c r="S217" s="55" t="str">
        <f>IFERROR(__xludf.DUMMYFUNCTION("QUERY('Volunteer Survey'!L224)"),"")</f>
        <v/>
      </c>
      <c r="T217" s="55" t="str">
        <f>IFERROR(__xludf.DUMMYFUNCTION("QUERY('Volunteer Survey'!M224)"),"")</f>
        <v/>
      </c>
      <c r="U217" s="64" t="str">
        <f>IFERROR(__xludf.DUMMYFUNCTION("QUERY('Volunteer Survey'!N224)"),"No (but have worked for several companies that offered genomic analysis software)")</f>
        <v>No (but have worked for several companies that offered genomic analysis software)</v>
      </c>
      <c r="V217" s="55" t="str">
        <f>IFERROR(__xludf.DUMMYFUNCTION("QUERY('Volunteer Survey'!O224)"),"Possibly")</f>
        <v>Possibly</v>
      </c>
      <c r="W217" s="66" t="str">
        <f>IFERROR(__xludf.DUMMYFUNCTION("QUERY('Volunteer Survey'!P224)"),"Mitochondrial Diseases")</f>
        <v>Mitochondrial Diseases</v>
      </c>
      <c r="X217" s="64" t="str">
        <f>IFERROR(__xludf.DUMMYFUNCTION("QUERY('Volunteer Survey'!R224)"),"Maybe -- please contact me with other options, and I will decide based on what is available")</f>
        <v>Maybe -- please contact me with other options, and I will decide based on what is available</v>
      </c>
      <c r="Y217" s="53"/>
      <c r="Z217" s="182">
        <f>IFERROR(__xludf.DUMMYFUNCTION("QUERY('Volunteer Survey'!A216)"),43621.34168687501)</f>
        <v>43621.34169</v>
      </c>
      <c r="AA217" s="183" t="str">
        <f>IFERROR(__xludf.DUMMYFUNCTION("QUERY('Volunteer Survey'!B216)"),"Carolina Bustamante")</f>
        <v>Carolina Bustamante</v>
      </c>
      <c r="AB217" s="183" t="str">
        <f>IFERROR(__xludf.DUMMYFUNCTION("QUERY('Volunteer Survey'!C216)"),"Richet")</f>
        <v>Richet</v>
      </c>
      <c r="AC217" s="183" t="str">
        <f>IFERROR(__xludf.DUMMYFUNCTION("QUERY('Volunteer Survey'!D216)"),"Av. das Américas, 13331. Recreio, Rio de Janeiro, Brazil")</f>
        <v>Av. das Américas, 13331. Recreio, Rio de Janeiro, Brazil</v>
      </c>
      <c r="AD217" s="183" t="str">
        <f>IFERROR(__xludf.DUMMYFUNCTION("QUERY('Volunteer Survey'!E216)"),"carolina.bustamante@gmail.com")</f>
        <v>carolina.bustamante@gmail.com</v>
      </c>
      <c r="AE217" s="183" t="str">
        <f>IFERROR(__xludf.DUMMYFUNCTION("QUERY('Volunteer Survey'!F216)"),"Variant Analyst/Scientist - Industry")</f>
        <v>Variant Analyst/Scientist - Industry</v>
      </c>
      <c r="AF217" s="183" t="str">
        <f>IFERROR(__xludf.DUMMYFUNCTION("QUERY('Volunteer Survey'!G216)"),"The clinicalgenome.org website")</f>
        <v>The clinicalgenome.org website</v>
      </c>
      <c r="AG217" s="183" t="str">
        <f>IFERROR(__xludf.DUMMYFUNCTION("QUERY('Volunteer Survey'!H216)"),"Comprehensive")</f>
        <v>Comprehensive</v>
      </c>
      <c r="AH217" s="183" t="str">
        <f>IFERROR(__xludf.DUMMYFUNCTION("QUERY('Volunteer Survey'!I216)"),"Variant Pathogenicity")</f>
        <v>Variant Pathogenicity</v>
      </c>
      <c r="AI217" s="183" t="str">
        <f>IFERROR(__xludf.DUMMYFUNCTION("QUERY('Volunteer Survey'!J216)"),"Somatic Cancer")</f>
        <v>Somatic Cancer</v>
      </c>
      <c r="AJ217" s="183" t="str">
        <f>IFERROR(__xludf.DUMMYFUNCTION("QUERY('Volunteer Survey'!K216)"),"Clinical Actionability")</f>
        <v>Clinical Actionability</v>
      </c>
      <c r="AK217" s="183" t="str">
        <f>IFERROR(__xludf.DUMMYFUNCTION("QUERY('Volunteer Survey'!L216)"),"Gene-Disease Validity")</f>
        <v>Gene-Disease Validity</v>
      </c>
      <c r="AL217" s="183" t="str">
        <f>IFERROR(__xludf.DUMMYFUNCTION("QUERY('Volunteer Survey'!M216)"),"Dosage Sensitivity")</f>
        <v>Dosage Sensitivity</v>
      </c>
      <c r="AM217" s="183" t="str">
        <f>IFERROR(__xludf.DUMMYFUNCTION("QUERY('Volunteer Survey'!N216)"),"Yes, I worked as bioinformatician performing NGS analyses and variant interpretation in a genetic diagnostic lab that sequenced cerca 600 samples a month.")</f>
        <v>Yes, I worked as bioinformatician performing NGS analyses and variant interpretation in a genetic diagnostic lab that sequenced cerca 600 samples a month.</v>
      </c>
      <c r="AN217" s="183" t="str">
        <f>IFERROR(__xludf.DUMMYFUNCTION("QUERY('Volunteer Survey'!O216)"),"Yes")</f>
        <v>Yes</v>
      </c>
      <c r="AO217" s="183" t="str">
        <f>IFERROR(__xludf.DUMMYFUNCTION("QUERY('Volunteer Survey'!P216)"),"Cancer, Hereditary Cancer, Colorectal Cancer, Genitourinary Tract Cancers, TP53, PTEN, CDH1, FBN1. ")</f>
        <v>Cancer, Hereditary Cancer, Colorectal Cancer, Genitourinary Tract Cancers, TP53, PTEN, CDH1, FBN1. </v>
      </c>
    </row>
    <row r="218">
      <c r="A218" s="50">
        <f>IFERROR(__xludf.DUMMYFUNCTION("QUERY('Volunteer Survey'!A225)"),43626.94418322916)</f>
        <v>43626.94418</v>
      </c>
      <c r="B218" s="48" t="s">
        <v>108</v>
      </c>
      <c r="C218" s="53"/>
      <c r="D218" s="55"/>
      <c r="E218" s="55"/>
      <c r="F218" s="48" t="s">
        <v>130</v>
      </c>
      <c r="G218" s="48" t="s">
        <v>202</v>
      </c>
      <c r="H218" s="53"/>
      <c r="I218" s="51" t="s">
        <v>139</v>
      </c>
      <c r="J218" s="55"/>
      <c r="K218" s="55"/>
      <c r="L218" s="55" t="str">
        <f>IFERROR(__xludf.DUMMYFUNCTION("QUERY('Volunteer Survey'!B225)"),"Sandy Au")</f>
        <v>Sandy Au</v>
      </c>
      <c r="M218" s="55" t="str">
        <f>IFERROR(__xludf.DUMMYFUNCTION("QUERY('Volunteer Survey'!E225)"),"alkuen@hku.hk")</f>
        <v>alkuen@hku.hk</v>
      </c>
      <c r="N218" s="55" t="str">
        <f>IFERROR(__xludf.DUMMYFUNCTION("QUERY('Volunteer Survey'!F225)"),"Scientific Researcher")</f>
        <v>Scientific Researcher</v>
      </c>
      <c r="O218" s="48" t="str">
        <f>IFERROR(__xludf.DUMMYFUNCTION("QUERY('Volunteer Survey'!H225)"),"Baseline")</f>
        <v>Baseline</v>
      </c>
      <c r="P218" s="55" t="str">
        <f>IFERROR(__xludf.DUMMYFUNCTION("QUERY('Volunteer Survey'!I225)"),"Variant Pathogenicity")</f>
        <v>Variant Pathogenicity</v>
      </c>
      <c r="Q218" s="60" t="str">
        <f>IFERROR(__xludf.DUMMYFUNCTION("QUERY('Volunteer Survey'!J225)"),"Gene-Disease Validity")</f>
        <v>Gene-Disease Validity</v>
      </c>
      <c r="R218" s="55" t="str">
        <f>IFERROR(__xludf.DUMMYFUNCTION("QUERY('Volunteer Survey'!K225)"),"Dosage Sensitivity")</f>
        <v>Dosage Sensitivity</v>
      </c>
      <c r="S218" s="55" t="str">
        <f>IFERROR(__xludf.DUMMYFUNCTION("QUERY('Volunteer Survey'!L225)"),"Somatic Cancer")</f>
        <v>Somatic Cancer</v>
      </c>
      <c r="T218" s="55" t="str">
        <f>IFERROR(__xludf.DUMMYFUNCTION("QUERY('Volunteer Survey'!M225)"),"Clinical Actionability")</f>
        <v>Clinical Actionability</v>
      </c>
      <c r="U218" s="64" t="str">
        <f>IFERROR(__xludf.DUMMYFUNCTION("QUERY('Volunteer Survey'!N225)"),"I am working in a prenatal diagnostic laboratory and perform WES for prenatal cases. We have experience in variant classification and clinical reporting. ")</f>
        <v>I am working in a prenatal diagnostic laboratory and perform WES for prenatal cases. We have experience in variant classification and clinical reporting. </v>
      </c>
      <c r="V218" s="55" t="str">
        <f>IFERROR(__xludf.DUMMYFUNCTION("QUERY('Volunteer Survey'!O225)"),"Yes")</f>
        <v>Yes</v>
      </c>
      <c r="W218" s="66" t="str">
        <f>IFERROR(__xludf.DUMMYFUNCTION("QUERY('Volunteer Survey'!P225)"),"Variant Curation Expert Panels")</f>
        <v>Variant Curation Expert Panels</v>
      </c>
      <c r="X218" s="64" t="str">
        <f>IFERROR(__xludf.DUMMYFUNCTION("QUERY('Volunteer Survey'!R225)"),"Yes- I am willing to volunteer with any available ClinGen group")</f>
        <v>Yes- I am willing to volunteer with any available ClinGen group</v>
      </c>
      <c r="Y218" s="53"/>
      <c r="Z218" s="182">
        <f>IFERROR(__xludf.DUMMYFUNCTION("QUERY('Volunteer Survey'!A217)"),43621.37989456018)</f>
        <v>43621.37989</v>
      </c>
      <c r="AA218" s="183" t="str">
        <f>IFERROR(__xludf.DUMMYFUNCTION("QUERY('Volunteer Survey'!B217)"),"Natalie Hollister")</f>
        <v>Natalie Hollister</v>
      </c>
      <c r="AB218" s="183" t="str">
        <f>IFERROR(__xludf.DUMMYFUNCTION("QUERY('Volunteer Survey'!C217)"),"UNC Chapel Hill")</f>
        <v>UNC Chapel Hill</v>
      </c>
      <c r="AC218" s="183" t="str">
        <f>IFERROR(__xludf.DUMMYFUNCTION("QUERY('Volunteer Survey'!D217)"),"")</f>
        <v/>
      </c>
      <c r="AD218" s="183" t="str">
        <f>IFERROR(__xludf.DUMMYFUNCTION("QUERY('Volunteer Survey'!E217)"),"nsh10@alumni.duke.edu")</f>
        <v>nsh10@alumni.duke.edu</v>
      </c>
      <c r="AE218" s="183" t="str">
        <f>IFERROR(__xludf.DUMMYFUNCTION("QUERY('Volunteer Survey'!F217)"),"Graduate Student")</f>
        <v>Graduate Student</v>
      </c>
      <c r="AF218" s="183" t="str">
        <f>IFERROR(__xludf.DUMMYFUNCTION("QUERY('Volunteer Survey'!G217)"),"Colleagues")</f>
        <v>Colleagues</v>
      </c>
      <c r="AG218" s="183" t="str">
        <f>IFERROR(__xludf.DUMMYFUNCTION("QUERY('Volunteer Survey'!H217)"),"Baseline")</f>
        <v>Baseline</v>
      </c>
      <c r="AH218" s="183" t="str">
        <f>IFERROR(__xludf.DUMMYFUNCTION("QUERY('Volunteer Survey'!I217)"),"")</f>
        <v/>
      </c>
      <c r="AI218" s="183" t="str">
        <f>IFERROR(__xludf.DUMMYFUNCTION("QUERY('Volunteer Survey'!J217)"),"")</f>
        <v/>
      </c>
      <c r="AJ218" s="183" t="str">
        <f>IFERROR(__xludf.DUMMYFUNCTION("QUERY('Volunteer Survey'!K217)"),"")</f>
        <v/>
      </c>
      <c r="AK218" s="183" t="str">
        <f>IFERROR(__xludf.DUMMYFUNCTION("QUERY('Volunteer Survey'!L217)"),"")</f>
        <v/>
      </c>
      <c r="AL218" s="183" t="str">
        <f>IFERROR(__xludf.DUMMYFUNCTION("QUERY('Volunteer Survey'!M217)"),"")</f>
        <v/>
      </c>
      <c r="AM218" s="183" t="str">
        <f>IFERROR(__xludf.DUMMYFUNCTION("QUERY('Volunteer Survey'!N217)"),"")</f>
        <v/>
      </c>
      <c r="AN218" s="183" t="str">
        <f>IFERROR(__xludf.DUMMYFUNCTION("QUERY('Volunteer Survey'!O217)"),"No")</f>
        <v>No</v>
      </c>
      <c r="AO218" s="183" t="str">
        <f>IFERROR(__xludf.DUMMYFUNCTION("QUERY('Volunteer Survey'!P217)"),"")</f>
        <v/>
      </c>
    </row>
    <row r="219">
      <c r="A219" s="50">
        <f>IFERROR(__xludf.DUMMYFUNCTION("QUERY('Volunteer Survey'!A226)"),43627.30079422453)</f>
        <v>43627.30079</v>
      </c>
      <c r="B219" s="48" t="s">
        <v>108</v>
      </c>
      <c r="C219" s="79">
        <v>43689.0</v>
      </c>
      <c r="D219" s="55"/>
      <c r="E219" s="48" t="s">
        <v>117</v>
      </c>
      <c r="F219" s="48" t="s">
        <v>130</v>
      </c>
      <c r="G219" s="48" t="s">
        <v>19</v>
      </c>
      <c r="H219" s="69"/>
      <c r="I219" s="51" t="s">
        <v>139</v>
      </c>
      <c r="J219" s="55"/>
      <c r="K219" s="55"/>
      <c r="L219" s="55" t="str">
        <f>IFERROR(__xludf.DUMMYFUNCTION("QUERY('Volunteer Survey'!B226)"),"Generoso")</f>
        <v>Generoso</v>
      </c>
      <c r="M219" s="55" t="str">
        <f>IFERROR(__xludf.DUMMYFUNCTION("QUERY('Volunteer Survey'!E226)"),"generoso@dantelabs.com")</f>
        <v>generoso@dantelabs.com</v>
      </c>
      <c r="N219" s="55" t="str">
        <f>IFERROR(__xludf.DUMMYFUNCTION("QUERY('Volunteer Survey'!F226)"),"Variant Analyst/Scientist - Industry")</f>
        <v>Variant Analyst/Scientist - Industry</v>
      </c>
      <c r="O219" s="48" t="str">
        <f>IFERROR(__xludf.DUMMYFUNCTION("QUERY('Volunteer Survey'!H226)"),"Comprehensive")</f>
        <v>Comprehensive</v>
      </c>
      <c r="P219" s="55" t="str">
        <f>IFERROR(__xludf.DUMMYFUNCTION("QUERY('Volunteer Survey'!I226)"),"Clinical Actionability")</f>
        <v>Clinical Actionability</v>
      </c>
      <c r="Q219" s="60" t="str">
        <f>IFERROR(__xludf.DUMMYFUNCTION("QUERY('Volunteer Survey'!J226)"),"Gene-Disease Validity")</f>
        <v>Gene-Disease Validity</v>
      </c>
      <c r="R219" s="55" t="str">
        <f>IFERROR(__xludf.DUMMYFUNCTION("QUERY('Volunteer Survey'!K226)"),"Variant Pathogenicity")</f>
        <v>Variant Pathogenicity</v>
      </c>
      <c r="S219" s="55" t="str">
        <f>IFERROR(__xludf.DUMMYFUNCTION("QUERY('Volunteer Survey'!L226)"),"Dosage Sensitivity")</f>
        <v>Dosage Sensitivity</v>
      </c>
      <c r="T219" s="55" t="str">
        <f>IFERROR(__xludf.DUMMYFUNCTION("QUERY('Volunteer Survey'!M226)"),"Somatic Cancer")</f>
        <v>Somatic Cancer</v>
      </c>
      <c r="U219" s="64" t="str">
        <f>IFERROR(__xludf.DUMMYFUNCTION("QUERY('Volunteer Survey'!N226)"),"Yes, I have curated few variants for people who receive WES data.")</f>
        <v>Yes, I have curated few variants for people who receive WES data.</v>
      </c>
      <c r="V219" s="55" t="str">
        <f>IFERROR(__xludf.DUMMYFUNCTION("QUERY('Volunteer Survey'!O226)"),"Possibly")</f>
        <v>Possibly</v>
      </c>
      <c r="W219" s="66" t="str">
        <f>IFERROR(__xludf.DUMMYFUNCTION("QUERY('Volunteer Survey'!P226)"),"")</f>
        <v/>
      </c>
      <c r="X219" s="64" t="str">
        <f>IFERROR(__xludf.DUMMYFUNCTION("QUERY('Volunteer Survey'!R226)"),"Yes- I am willing to volunteer with any available ClinGen group")</f>
        <v>Yes- I am willing to volunteer with any available ClinGen group</v>
      </c>
      <c r="Y219" s="53"/>
      <c r="Z219" s="182">
        <f>IFERROR(__xludf.DUMMYFUNCTION("QUERY('Volunteer Survey'!A218)"),43622.554816875)</f>
        <v>43622.55482</v>
      </c>
      <c r="AA219" s="183" t="str">
        <f>IFERROR(__xludf.DUMMYFUNCTION("QUERY('Volunteer Survey'!B218)"),"Jean Davidson")</f>
        <v>Jean Davidson</v>
      </c>
      <c r="AB219" s="183" t="str">
        <f>IFERROR(__xludf.DUMMYFUNCTION("QUERY('Volunteer Survey'!C218)"),"Cal Poly, San Luis Obispo")</f>
        <v>Cal Poly, San Luis Obispo</v>
      </c>
      <c r="AC219" s="183" t="str">
        <f>IFERROR(__xludf.DUMMYFUNCTION("QUERY('Volunteer Survey'!D218)"),"1180 Vista del Lago")</f>
        <v>1180 Vista del Lago</v>
      </c>
      <c r="AD219" s="183" t="str">
        <f>IFERROR(__xludf.DUMMYFUNCTION("QUERY('Volunteer Survey'!E218)"),"jdavid06@calpoly.edu")</f>
        <v>jdavid06@calpoly.edu</v>
      </c>
      <c r="AE219" s="183" t="str">
        <f>IFERROR(__xludf.DUMMYFUNCTION("QUERY('Volunteer Survey'!F218)"),"Scientific Researcher")</f>
        <v>Scientific Researcher</v>
      </c>
      <c r="AF219" s="183" t="str">
        <f>IFERROR(__xludf.DUMMYFUNCTION("QUERY('Volunteer Survey'!G218)"),"Colleagues")</f>
        <v>Colleagues</v>
      </c>
      <c r="AG219" s="183" t="str">
        <f>IFERROR(__xludf.DUMMYFUNCTION("QUERY('Volunteer Survey'!H218)"),"Comprehensive")</f>
        <v>Comprehensive</v>
      </c>
      <c r="AH219" s="183" t="str">
        <f>IFERROR(__xludf.DUMMYFUNCTION("QUERY('Volunteer Survey'!I218)"),"Gene-Disease Validity")</f>
        <v>Gene-Disease Validity</v>
      </c>
      <c r="AI219" s="183" t="str">
        <f>IFERROR(__xludf.DUMMYFUNCTION("QUERY('Volunteer Survey'!J218)"),"Variant Pathogenicity")</f>
        <v>Variant Pathogenicity</v>
      </c>
      <c r="AJ219" s="183" t="str">
        <f>IFERROR(__xludf.DUMMYFUNCTION("QUERY('Volunteer Survey'!K218)"),"Clinical Actionability")</f>
        <v>Clinical Actionability</v>
      </c>
      <c r="AK219" s="183" t="str">
        <f>IFERROR(__xludf.DUMMYFUNCTION("QUERY('Volunteer Survey'!L218)"),"Dosage Sensitivity")</f>
        <v>Dosage Sensitivity</v>
      </c>
      <c r="AL219" s="183" t="str">
        <f>IFERROR(__xludf.DUMMYFUNCTION("QUERY('Volunteer Survey'!M218)"),"Somatic Cancer")</f>
        <v>Somatic Cancer</v>
      </c>
      <c r="AM219" s="183" t="str">
        <f>IFERROR(__xludf.DUMMYFUNCTION("QUERY('Volunteer Survey'!N218)"),"I was a member of the Undiagnosed Disease Network at Stanford University as a genomics coordinator, as well as a member of the ENCODE coordination center at Stanford.  ")</f>
        <v>I was a member of the Undiagnosed Disease Network at Stanford University as a genomics coordinator, as well as a member of the ENCODE coordination center at Stanford.  </v>
      </c>
      <c r="AN219" s="183" t="str">
        <f>IFERROR(__xludf.DUMMYFUNCTION("QUERY('Volunteer Survey'!O218)"),"No")</f>
        <v>No</v>
      </c>
      <c r="AO219" s="183" t="str">
        <f>IFERROR(__xludf.DUMMYFUNCTION("QUERY('Volunteer Survey'!P218)"),"mitochondrial diseases, dilated cardiomyopathy, ")</f>
        <v>mitochondrial diseases, dilated cardiomyopathy, </v>
      </c>
    </row>
    <row r="220">
      <c r="A220" s="50">
        <f>IFERROR(__xludf.DUMMYFUNCTION("QUERY('Volunteer Survey'!A227)"),43627.80087137731)</f>
        <v>43627.80087</v>
      </c>
      <c r="B220" s="48" t="s">
        <v>168</v>
      </c>
      <c r="C220" s="53"/>
      <c r="D220" s="55"/>
      <c r="E220" s="55"/>
      <c r="F220" s="48" t="s">
        <v>130</v>
      </c>
      <c r="G220" s="48" t="s">
        <v>251</v>
      </c>
      <c r="H220" s="53"/>
      <c r="I220" s="51" t="s">
        <v>139</v>
      </c>
      <c r="J220" s="55"/>
      <c r="K220" s="55"/>
      <c r="L220" s="55" t="str">
        <f>IFERROR(__xludf.DUMMYFUNCTION("QUERY('Volunteer Survey'!B227)"),"Hemantkumar Nemade ")</f>
        <v>Hemantkumar Nemade </v>
      </c>
      <c r="M220" s="55" t="str">
        <f>IFERROR(__xludf.DUMMYFUNCTION("QUERY('Volunteer Survey'!E227)"),"drhemantnemade@gmail.com")</f>
        <v>drhemantnemade@gmail.com</v>
      </c>
      <c r="N220" s="55" t="str">
        <f>IFERROR(__xludf.DUMMYFUNCTION("QUERY('Volunteer Survey'!F227)"),"Physician (Non-geneticist)")</f>
        <v>Physician (Non-geneticist)</v>
      </c>
      <c r="O220" s="48" t="str">
        <f>IFERROR(__xludf.DUMMYFUNCTION("QUERY('Volunteer Survey'!H227)"),"Comprehensive")</f>
        <v>Comprehensive</v>
      </c>
      <c r="P220" s="55" t="str">
        <f>IFERROR(__xludf.DUMMYFUNCTION("QUERY('Volunteer Survey'!I227)"),"Variant Pathogenicity")</f>
        <v>Variant Pathogenicity</v>
      </c>
      <c r="Q220" s="60" t="str">
        <f>IFERROR(__xludf.DUMMYFUNCTION("QUERY('Volunteer Survey'!J227)"),"Clinical Actionability")</f>
        <v>Clinical Actionability</v>
      </c>
      <c r="R220" s="55" t="str">
        <f>IFERROR(__xludf.DUMMYFUNCTION("QUERY('Volunteer Survey'!K227)"),"Gene-Disease Validity")</f>
        <v>Gene-Disease Validity</v>
      </c>
      <c r="S220" s="55" t="str">
        <f>IFERROR(__xludf.DUMMYFUNCTION("QUERY('Volunteer Survey'!L227)"),"Somatic Cancer")</f>
        <v>Somatic Cancer</v>
      </c>
      <c r="T220" s="55" t="str">
        <f>IFERROR(__xludf.DUMMYFUNCTION("QUERY('Volunteer Survey'!M227)"),"")</f>
        <v/>
      </c>
      <c r="U220" s="64" t="str">
        <f>IFERROR(__xludf.DUMMYFUNCTION("QUERY('Volunteer Survey'!N227)"),"Not genetic but I have collected and analyzed cancer database. Trained in statistics ")</f>
        <v>Not genetic but I have collected and analyzed cancer database. Trained in statistics </v>
      </c>
      <c r="V220" s="55" t="str">
        <f>IFERROR(__xludf.DUMMYFUNCTION("QUERY('Volunteer Survey'!O227)"),"Possibly")</f>
        <v>Possibly</v>
      </c>
      <c r="W220" s="66" t="str">
        <f>IFERROR(__xludf.DUMMYFUNCTION("QUERY('Volunteer Survey'!P227)"),"Somatic cancer")</f>
        <v>Somatic cancer</v>
      </c>
      <c r="X220" s="64" t="str">
        <f>IFERROR(__xludf.DUMMYFUNCTION("QUERY('Volunteer Survey'!R227)"),"Maybe -- please contact me with other options, and I will decide based on what is available")</f>
        <v>Maybe -- please contact me with other options, and I will decide based on what is available</v>
      </c>
      <c r="Y220" s="53"/>
      <c r="Z220" s="182">
        <f>IFERROR(__xludf.DUMMYFUNCTION("QUERY('Volunteer Survey'!A219)"),43623.2904925463)</f>
        <v>43623.29049</v>
      </c>
      <c r="AA220" s="183" t="str">
        <f>IFERROR(__xludf.DUMMYFUNCTION("QUERY('Volunteer Survey'!B219)"),"Timo Dereani")</f>
        <v>Timo Dereani</v>
      </c>
      <c r="AB220" s="183" t="str">
        <f>IFERROR(__xludf.DUMMYFUNCTION("QUERY('Volunteer Survey'!C219)"),"bio.logis Center for Human Genetics")</f>
        <v>bio.logis Center for Human Genetics</v>
      </c>
      <c r="AC220" s="183" t="str">
        <f>IFERROR(__xludf.DUMMYFUNCTION("QUERY('Volunteer Survey'!D219)"),"Altenhöferallee 3, 60438 Frankfurt am Main")</f>
        <v>Altenhöferallee 3, 60438 Frankfurt am Main</v>
      </c>
      <c r="AD220" s="183" t="str">
        <f>IFERROR(__xludf.DUMMYFUNCTION("QUERY('Volunteer Survey'!E219)"),"dereani@biologis.diagnosticum.eu")</f>
        <v>dereani@biologis.diagnosticum.eu</v>
      </c>
      <c r="AE220" s="183" t="str">
        <f>IFERROR(__xludf.DUMMYFUNCTION("QUERY('Volunteer Survey'!F219)"),"Clinical laboratory geneticist")</f>
        <v>Clinical laboratory geneticist</v>
      </c>
      <c r="AF220" s="183" t="str">
        <f>IFERROR(__xludf.DUMMYFUNCTION("QUERY('Volunteer Survey'!G219)"),"Networking")</f>
        <v>Networking</v>
      </c>
      <c r="AG220" s="183" t="str">
        <f>IFERROR(__xludf.DUMMYFUNCTION("QUERY('Volunteer Survey'!H219)"),"Comprehensive")</f>
        <v>Comprehensive</v>
      </c>
      <c r="AH220" s="183" t="str">
        <f>IFERROR(__xludf.DUMMYFUNCTION("QUERY('Volunteer Survey'!I219)"),"Variant Pathogenicity")</f>
        <v>Variant Pathogenicity</v>
      </c>
      <c r="AI220" s="183" t="str">
        <f>IFERROR(__xludf.DUMMYFUNCTION("QUERY('Volunteer Survey'!J219)"),"Clinical Actionability")</f>
        <v>Clinical Actionability</v>
      </c>
      <c r="AJ220" s="183" t="str">
        <f>IFERROR(__xludf.DUMMYFUNCTION("QUERY('Volunteer Survey'!K219)"),"Dosage Sensitivity")</f>
        <v>Dosage Sensitivity</v>
      </c>
      <c r="AK220" s="183" t="str">
        <f>IFERROR(__xludf.DUMMYFUNCTION("QUERY('Volunteer Survey'!L219)"),"Gene-Disease Validity")</f>
        <v>Gene-Disease Validity</v>
      </c>
      <c r="AL220" s="183" t="str">
        <f>IFERROR(__xludf.DUMMYFUNCTION("QUERY('Volunteer Survey'!M219)"),"Somatic Cancer")</f>
        <v>Somatic Cancer</v>
      </c>
      <c r="AM220" s="183" t="str">
        <f>IFERROR(__xludf.DUMMYFUNCTION("QUERY('Volunteer Survey'!N219)"),"I've already curated hundreds of variants during my work as a clinical laboratory geneticist. Additionally I've used various classification guidelines (internal, ACMG etc.) and I'm constantly trying to implement new ideas. I am currently also participatig"&amp;" in the ClinGen low penetrance working group. Additionally I've helped to create various virtual panels for the routine diagnostics at our center.")</f>
        <v>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v>
      </c>
      <c r="AN220" s="183" t="str">
        <f>IFERROR(__xludf.DUMMYFUNCTION("QUERY('Volunteer Survey'!O219)"),"Yes")</f>
        <v>Yes</v>
      </c>
      <c r="AO220" s="183" t="str">
        <f>IFERROR(__xludf.DUMMYFUNCTION("QUERY('Volunteer Survey'!P219)"),"Monogenic Diabetes, Hereditary Cancer")</f>
        <v>Monogenic Diabetes, Hereditary Cancer</v>
      </c>
    </row>
    <row r="221">
      <c r="A221" s="50">
        <f>IFERROR(__xludf.DUMMYFUNCTION("QUERY('Volunteer Survey'!A228)"),43628.495487175926)</f>
        <v>43628.49549</v>
      </c>
      <c r="B221" s="48" t="s">
        <v>108</v>
      </c>
      <c r="C221" s="79">
        <v>43705.0</v>
      </c>
      <c r="D221" s="65">
        <v>43719.0</v>
      </c>
      <c r="E221" s="48" t="s">
        <v>130</v>
      </c>
      <c r="F221" s="48" t="s">
        <v>130</v>
      </c>
      <c r="G221" s="48" t="s">
        <v>136</v>
      </c>
      <c r="H221" s="53"/>
      <c r="I221" s="51" t="s">
        <v>139</v>
      </c>
      <c r="J221" s="55"/>
      <c r="K221" s="55"/>
      <c r="L221" s="55" t="str">
        <f>IFERROR(__xludf.DUMMYFUNCTION("QUERY('Volunteer Survey'!B228)"),"Christina Bridges")</f>
        <v>Christina Bridges</v>
      </c>
      <c r="M221" s="55" t="str">
        <f>IFERROR(__xludf.DUMMYFUNCTION("QUERY('Volunteer Survey'!E228)"),"c.bridges@med.unc.edu")</f>
        <v>c.bridges@med.unc.edu</v>
      </c>
      <c r="N221" s="55" t="str">
        <f>IFERROR(__xludf.DUMMYFUNCTION("QUERY('Volunteer Survey'!F228)"),"Variant Analyst/Scientist - Industry")</f>
        <v>Variant Analyst/Scientist - Industry</v>
      </c>
      <c r="O221" s="48" t="str">
        <f>IFERROR(__xludf.DUMMYFUNCTION("QUERY('Volunteer Survey'!H228)"),"Comprehensive")</f>
        <v>Comprehensive</v>
      </c>
      <c r="P221" s="55" t="str">
        <f>IFERROR(__xludf.DUMMYFUNCTION("QUERY('Volunteer Survey'!I228)"),"Somatic Cancer")</f>
        <v>Somatic Cancer</v>
      </c>
      <c r="Q221" s="60" t="str">
        <f>IFERROR(__xludf.DUMMYFUNCTION("QUERY('Volunteer Survey'!J228)"),"Variant Pathogenicity")</f>
        <v>Variant Pathogenicity</v>
      </c>
      <c r="R221" s="55" t="str">
        <f>IFERROR(__xludf.DUMMYFUNCTION("QUERY('Volunteer Survey'!K228)"),"Gene-Disease Validity")</f>
        <v>Gene-Disease Validity</v>
      </c>
      <c r="S221" s="55" t="str">
        <f>IFERROR(__xludf.DUMMYFUNCTION("QUERY('Volunteer Survey'!L228)"),"Dosage Sensitivity")</f>
        <v>Dosage Sensitivity</v>
      </c>
      <c r="T221" s="55" t="str">
        <f>IFERROR(__xludf.DUMMYFUNCTION("QUERY('Volunteer Survey'!M228)"),"")</f>
        <v/>
      </c>
      <c r="U221" s="64" t="str">
        <f>IFERROR(__xludf.DUMMYFUNCTION("QUERY('Volunteer Survey'!N228)"),"Some experience as part of my work in clinical genetics laboratory, as well as pursuit on my own of additional educational opportunities, such as those provided through ClinGen (thank you!) as well as other resources (professional clinical group featured "&amp;"presentations, publications from ACMG/AMP, etc.).")</f>
        <v>Some experience as part of my work in clinical genetics laboratory, as well as pursuit on my own of additional educational opportunities, such as those provided through ClinGen (thank you!) as well as other resources (professional clinical group featured presentations, publications from ACMG/AMP, etc.).</v>
      </c>
      <c r="V221" s="55" t="str">
        <f>IFERROR(__xludf.DUMMYFUNCTION("QUERY('Volunteer Survey'!O228)"),"No")</f>
        <v>No</v>
      </c>
      <c r="W221" s="66" t="str">
        <f>IFERROR(__xludf.DUMMYFUNCTION("QUERY('Volunteer Survey'!P228)"),"I do not feel that I am qualified, at this time, for any Expert Panels, but I have indicated some preferences for Working Group involvement.  However, I would be interested to learn which areas represent ClinGen's greatest needs, currently, and I would co"&amp;"nsider if it seems I could offer value in such an area. ")</f>
        <v>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v>
      </c>
      <c r="X221" s="64" t="str">
        <f>IFERROR(__xludf.DUMMYFUNCTION("QUERY('Volunteer Survey'!R228)"),"Maybe -- please contact me with other options, and I will decide based on what is available")</f>
        <v>Maybe -- please contact me with other options, and I will decide based on what is available</v>
      </c>
      <c r="Y221" s="53"/>
      <c r="Z221" s="182">
        <f>IFERROR(__xludf.DUMMYFUNCTION("QUERY('Volunteer Survey'!A220)"),43625.51218064815)</f>
        <v>43625.51218</v>
      </c>
      <c r="AA221" s="183" t="str">
        <f>IFERROR(__xludf.DUMMYFUNCTION("QUERY('Volunteer Survey'!B220)"),"Konstantinos Varvagiannis")</f>
        <v>Konstantinos Varvagiannis</v>
      </c>
      <c r="AB221" s="183" t="str">
        <f>IFERROR(__xludf.DUMMYFUNCTION("QUERY('Volunteer Survey'!C220)"),"Currently working in private practice (will possibly move to academic hospital again)")</f>
        <v>Currently working in private practice (will possibly move to academic hospital again)</v>
      </c>
      <c r="AC221" s="183" t="str">
        <f>IFERROR(__xludf.DUMMYFUNCTION("QUERY('Volunteer Survey'!D220)"),"Athens - Greece")</f>
        <v>Athens - Greece</v>
      </c>
      <c r="AD221" s="183" t="str">
        <f>IFERROR(__xludf.DUMMYFUNCTION("QUERY('Volunteer Survey'!E220)"),"knsvarv@ath.forthnet.gr")</f>
        <v>knsvarv@ath.forthnet.gr</v>
      </c>
      <c r="AE221" s="183" t="str">
        <f>IFERROR(__xludf.DUMMYFUNCTION("QUERY('Volunteer Survey'!F220)"),"Clinical Medical Geneticist")</f>
        <v>Clinical Medical Geneticist</v>
      </c>
      <c r="AF221" s="183" t="str">
        <f>IFERROR(__xludf.DUMMYFUNCTION("QUERY('Volunteer Survey'!G220)"),"ClinGen conference advertisements (i.e. booth, workshop, presentation), The clinicalgenome.org website, Twitter")</f>
        <v>ClinGen conference advertisements (i.e. booth, workshop, presentation), The clinicalgenome.org website, Twitter</v>
      </c>
      <c r="AG221" s="183" t="str">
        <f>IFERROR(__xludf.DUMMYFUNCTION("QUERY('Volunteer Survey'!H220)"),"Baseline")</f>
        <v>Baseline</v>
      </c>
      <c r="AH221" s="183" t="str">
        <f>IFERROR(__xludf.DUMMYFUNCTION("QUERY('Volunteer Survey'!I220)"),"Gene-Disease Validity")</f>
        <v>Gene-Disease Validity</v>
      </c>
      <c r="AI221" s="183" t="str">
        <f>IFERROR(__xludf.DUMMYFUNCTION("QUERY('Volunteer Survey'!J220)"),"Variant Pathogenicity")</f>
        <v>Variant Pathogenicity</v>
      </c>
      <c r="AJ221" s="183" t="str">
        <f>IFERROR(__xludf.DUMMYFUNCTION("QUERY('Volunteer Survey'!K220)"),"Dosage Sensitivity")</f>
        <v>Dosage Sensitivity</v>
      </c>
      <c r="AK221" s="183" t="str">
        <f>IFERROR(__xludf.DUMMYFUNCTION("QUERY('Volunteer Survey'!L220)"),"Clinical Actionability")</f>
        <v>Clinical Actionability</v>
      </c>
      <c r="AL221" s="183" t="str">
        <f>IFERROR(__xludf.DUMMYFUNCTION("QUERY('Volunteer Survey'!M220)"),"Somatic Cancer")</f>
        <v>Somatic Cancer</v>
      </c>
      <c r="AM221" s="183" t="str">
        <f>IFERROR(__xludf.DUMMYFUNCTION("QUERY('Volunteer Survey'!N220)"),"Genomics England PanelApp - ID/epilepsy panels - (reviews available after filtering the respective panels' activity / : https://panelapp.genomicsengland.co.uk/panels/activity/?panel=285  -  https://panelapp.genomicsengland.co.uk/panels/activity/?panel=402"&amp;" )")</f>
        <v>Genomics England PanelApp - ID/epilepsy panels - (reviews available after filtering the respective panels' activity / : https://panelapp.genomicsengland.co.uk/panels/activity/?panel=285  -  https://panelapp.genomicsengland.co.uk/panels/activity/?panel=402 )</v>
      </c>
      <c r="AN221" s="183" t="str">
        <f>IFERROR(__xludf.DUMMYFUNCTION("QUERY('Volunteer Survey'!O220)"),"Possibly")</f>
        <v>Possibly</v>
      </c>
      <c r="AO221" s="183" t="str">
        <f>IFERROR(__xludf.DUMMYFUNCTION("QUERY('Volunteer Survey'!P220)"),"Intellectual Disability and Autism / Epilepsy")</f>
        <v>Intellectual Disability and Autism / Epilepsy</v>
      </c>
    </row>
    <row r="222" ht="15.0" customHeight="1">
      <c r="A222" s="50">
        <f>IFERROR(__xludf.DUMMYFUNCTION("QUERY('Volunteer Survey'!A230)"),43632.88082258102)</f>
        <v>43632.88082</v>
      </c>
      <c r="B222" s="48" t="s">
        <v>108</v>
      </c>
      <c r="C222" s="79"/>
      <c r="D222" s="65"/>
      <c r="E222" s="48" t="s">
        <v>130</v>
      </c>
      <c r="F222" s="48" t="s">
        <v>130</v>
      </c>
      <c r="G222" s="48" t="s">
        <v>202</v>
      </c>
      <c r="H222" s="51"/>
      <c r="I222" s="51" t="s">
        <v>139</v>
      </c>
      <c r="J222" s="55"/>
      <c r="K222" s="55"/>
      <c r="L222" s="55" t="str">
        <f>IFERROR(__xludf.DUMMYFUNCTION("QUERY('Volunteer Survey'!B230)"),"Malak Ashraf")</f>
        <v>Malak Ashraf</v>
      </c>
      <c r="M222" s="55" t="str">
        <f>IFERROR(__xludf.DUMMYFUNCTION("QUERY('Volunteer Survey'!E230)"),"malak.2118144@stemkalubya.moe.edu.eg")</f>
        <v>malak.2118144@stemkalubya.moe.edu.eg</v>
      </c>
      <c r="N222" s="55" t="str">
        <f>IFERROR(__xludf.DUMMYFUNCTION("QUERY('Volunteer Survey'!F230)"),"High School Student")</f>
        <v>High School Student</v>
      </c>
      <c r="O222" s="48" t="str">
        <f>IFERROR(__xludf.DUMMYFUNCTION("QUERY('Volunteer Survey'!H230)"),"Baseline")</f>
        <v>Baseline</v>
      </c>
      <c r="P222" s="55" t="str">
        <f>IFERROR(__xludf.DUMMYFUNCTION("QUERY('Volunteer Survey'!I230)"),"Somatic Cancer")</f>
        <v>Somatic Cancer</v>
      </c>
      <c r="Q222" s="60" t="str">
        <f>IFERROR(__xludf.DUMMYFUNCTION("QUERY('Volunteer Survey'!J230)"),"Variant Pathogenicity")</f>
        <v>Variant Pathogenicity</v>
      </c>
      <c r="R222" s="55" t="str">
        <f>IFERROR(__xludf.DUMMYFUNCTION("QUERY('Volunteer Survey'!K230)"),"Gene-Disease Validity")</f>
        <v>Gene-Disease Validity</v>
      </c>
      <c r="S222" s="55" t="str">
        <f>IFERROR(__xludf.DUMMYFUNCTION("QUERY('Volunteer Survey'!L230)"),"")</f>
        <v/>
      </c>
      <c r="T222" s="55" t="str">
        <f>IFERROR(__xludf.DUMMYFUNCTION("QUERY('Volunteer Survey'!M230)"),"")</f>
        <v/>
      </c>
      <c r="U222" s="64" t="str">
        <f>IFERROR(__xludf.DUMMYFUNCTION("QUERY('Volunteer Survey'!N230)"),"I did not have the opportunity to have a sufficient experiences, but i think passion will make me do it. i am a reader in pathology and virology, so, i think am a good candidate to be a member in one of these great working groups.")</f>
        <v>I did not have the opportunity to have a sufficient experiences, but i think passion will make me do it. i am a reader in pathology and virology, so, i think am a good candidate to be a member in one of these great working groups.</v>
      </c>
      <c r="V222" s="55" t="str">
        <f>IFERROR(__xludf.DUMMYFUNCTION("QUERY('Volunteer Survey'!O230)"),"No")</f>
        <v>No</v>
      </c>
      <c r="W222" s="66" t="str">
        <f>IFERROR(__xludf.DUMMYFUNCTION("QUERY('Volunteer Survey'!P230)"),"yes, i am interested in joining Somatic Cancer working group!")</f>
        <v>yes, i am interested in joining Somatic Cancer working group!</v>
      </c>
      <c r="X222" s="64" t="str">
        <f>IFERROR(__xludf.DUMMYFUNCTION("QUERY('Volunteer Survey'!R230)"),"Maybe -- please contact me with other options, and I will decide based on what is available")</f>
        <v>Maybe -- please contact me with other options, and I will decide based on what is available</v>
      </c>
      <c r="Y222" s="51" t="s">
        <v>362</v>
      </c>
      <c r="Z222" s="182">
        <f>IFERROR(__xludf.DUMMYFUNCTION("QUERY('Volunteer Survey'!A221)"),43625.56646847222)</f>
        <v>43625.56647</v>
      </c>
      <c r="AA222" s="183" t="str">
        <f>IFERROR(__xludf.DUMMYFUNCTION("QUERY('Volunteer Survey'!B221)"),"Jennifer Bullard")</f>
        <v>Jennifer Bullard</v>
      </c>
      <c r="AB222" s="183" t="str">
        <f>IFERROR(__xludf.DUMMYFUNCTION("QUERY('Volunteer Survey'!C221)"),"University of South Alabama")</f>
        <v>University of South Alabama</v>
      </c>
      <c r="AC222" s="183" t="str">
        <f>IFERROR(__xludf.DUMMYFUNCTION("QUERY('Volunteer Survey'!D221)"),"")</f>
        <v/>
      </c>
      <c r="AD222" s="183" t="str">
        <f>IFERROR(__xludf.DUMMYFUNCTION("QUERY('Volunteer Survey'!E221)"),"jenniferluja@gmail.com")</f>
        <v>jenniferluja@gmail.com</v>
      </c>
      <c r="AE222" s="183" t="str">
        <f>IFERROR(__xludf.DUMMYFUNCTION("QUERY('Volunteer Survey'!F221)"),"Clinical laboratory geneticist")</f>
        <v>Clinical laboratory geneticist</v>
      </c>
      <c r="AF222" s="183" t="str">
        <f>IFERROR(__xludf.DUMMYFUNCTION("QUERY('Volunteer Survey'!G221)"),"The clinicalgenome.org website")</f>
        <v>The clinicalgenome.org website</v>
      </c>
      <c r="AG222" s="183" t="str">
        <f>IFERROR(__xludf.DUMMYFUNCTION("QUERY('Volunteer Survey'!H221)"),"Comprehensive")</f>
        <v>Comprehensive</v>
      </c>
      <c r="AH222" s="183" t="str">
        <f>IFERROR(__xludf.DUMMYFUNCTION("QUERY('Volunteer Survey'!I221)"),"Variant Pathogenicity")</f>
        <v>Variant Pathogenicity</v>
      </c>
      <c r="AI222" s="183" t="str">
        <f>IFERROR(__xludf.DUMMYFUNCTION("QUERY('Volunteer Survey'!J221)"),"Gene-Disease Validity")</f>
        <v>Gene-Disease Validity</v>
      </c>
      <c r="AJ222" s="183" t="str">
        <f>IFERROR(__xludf.DUMMYFUNCTION("QUERY('Volunteer Survey'!K221)"),"Dosage Sensitivity")</f>
        <v>Dosage Sensitivity</v>
      </c>
      <c r="AK222" s="183" t="str">
        <f>IFERROR(__xludf.DUMMYFUNCTION("QUERY('Volunteer Survey'!L221)"),"Clinical Actionability")</f>
        <v>Clinical Actionability</v>
      </c>
      <c r="AL222" s="183" t="str">
        <f>IFERROR(__xludf.DUMMYFUNCTION("QUERY('Volunteer Survey'!M221)"),"Somatic Cancer")</f>
        <v>Somatic Cancer</v>
      </c>
      <c r="AM222" s="183" t="str">
        <f>IFERROR(__xludf.DUMMYFUNCTION("QUERY('Volunteer Survey'!N221)"),"")</f>
        <v/>
      </c>
      <c r="AN222" s="183" t="str">
        <f>IFERROR(__xludf.DUMMYFUNCTION("QUERY('Volunteer Survey'!O221)"),"No")</f>
        <v>No</v>
      </c>
      <c r="AO222" s="183" t="str">
        <f>IFERROR(__xludf.DUMMYFUNCTION("QUERY('Volunteer Survey'!P221)"),"Monogenic Diabetes")</f>
        <v>Monogenic Diabetes</v>
      </c>
    </row>
    <row r="223">
      <c r="Z223" s="182">
        <f>IFERROR(__xludf.DUMMYFUNCTION("QUERY('Volunteer Survey'!A222)"),43625.72974097222)</f>
        <v>43625.72974</v>
      </c>
      <c r="AA223" s="183" t="str">
        <f>IFERROR(__xludf.DUMMYFUNCTION("QUERY('Volunteer Survey'!B222)"),"Greg Lennon")</f>
        <v>Greg Lennon</v>
      </c>
      <c r="AB223" s="183" t="str">
        <f>IFERROR(__xludf.DUMMYFUNCTION("QUERY('Volunteer Survey'!C222)"),"SNPedia")</f>
        <v>SNPedia</v>
      </c>
      <c r="AC223" s="183" t="str">
        <f>IFERROR(__xludf.DUMMYFUNCTION("QUERY('Volunteer Survey'!D222)"),"9812 Falls Rd #114-237, Potomac MD 20854")</f>
        <v>9812 Falls Rd #114-237, Potomac MD 20854</v>
      </c>
      <c r="AD223" s="183" t="str">
        <f>IFERROR(__xludf.DUMMYFUNCTION("QUERY('Volunteer Survey'!E222)"),"greg.lennon@gmail.com")</f>
        <v>greg.lennon@gmail.com</v>
      </c>
      <c r="AE223" s="183" t="str">
        <f>IFERROR(__xludf.DUMMYFUNCTION("QUERY('Volunteer Survey'!F222)"),"Scientific Researcher")</f>
        <v>Scientific Researcher</v>
      </c>
      <c r="AF223" s="183" t="str">
        <f>IFERROR(__xludf.DUMMYFUNCTION("QUERY('Volunteer Survey'!G222)"),"Colleagues")</f>
        <v>Colleagues</v>
      </c>
      <c r="AG223" s="183" t="str">
        <f>IFERROR(__xludf.DUMMYFUNCTION("QUERY('Volunteer Survey'!H222)"),"Comprehensive")</f>
        <v>Comprehensive</v>
      </c>
      <c r="AH223" s="183" t="str">
        <f>IFERROR(__xludf.DUMMYFUNCTION("QUERY('Volunteer Survey'!I222)"),"Clinical Actionability")</f>
        <v>Clinical Actionability</v>
      </c>
      <c r="AI223" s="183" t="str">
        <f>IFERROR(__xludf.DUMMYFUNCTION("QUERY('Volunteer Survey'!J222)"),"Variant Pathogenicity")</f>
        <v>Variant Pathogenicity</v>
      </c>
      <c r="AJ223" s="183" t="str">
        <f>IFERROR(__xludf.DUMMYFUNCTION("QUERY('Volunteer Survey'!K222)"),"")</f>
        <v/>
      </c>
      <c r="AK223" s="183" t="str">
        <f>IFERROR(__xludf.DUMMYFUNCTION("QUERY('Volunteer Survey'!L222)"),"")</f>
        <v/>
      </c>
      <c r="AL223" s="183" t="str">
        <f>IFERROR(__xludf.DUMMYFUNCTION("QUERY('Volunteer Survey'!M222)"),"")</f>
        <v/>
      </c>
      <c r="AM223" s="183" t="str">
        <f>IFERROR(__xludf.DUMMYFUNCTION("QUERY('Volunteer Survey'!N222)"),"Curation of SNPedia (since 2006)")</f>
        <v>Curation of SNPedia (since 2006)</v>
      </c>
      <c r="AN223" s="183" t="str">
        <f>IFERROR(__xludf.DUMMYFUNCTION("QUERY('Volunteer Survey'!O222)"),"Possibly")</f>
        <v>Possibly</v>
      </c>
      <c r="AO223" s="183" t="str">
        <f>IFERROR(__xludf.DUMMYFUNCTION("QUERY('Volunteer Survey'!P222)"),"Actionability Working Group")</f>
        <v>Actionability Working Group</v>
      </c>
    </row>
    <row r="224">
      <c r="A224" s="50">
        <f>IFERROR(__xludf.DUMMYFUNCTION("QUERY('Volunteer Survey'!A231)"),43633.67853769676)</f>
        <v>43633.67854</v>
      </c>
      <c r="B224" s="48" t="s">
        <v>108</v>
      </c>
      <c r="C224" s="79">
        <v>43689.0</v>
      </c>
      <c r="D224" s="65">
        <v>43769.0</v>
      </c>
      <c r="E224" s="48" t="s">
        <v>117</v>
      </c>
      <c r="F224" s="48" t="s">
        <v>117</v>
      </c>
      <c r="G224" s="48" t="s">
        <v>19</v>
      </c>
      <c r="H224" s="69" t="s">
        <v>19</v>
      </c>
      <c r="I224" s="51" t="s">
        <v>299</v>
      </c>
      <c r="J224" s="55"/>
      <c r="K224" s="55"/>
      <c r="L224" s="55" t="str">
        <f>IFERROR(__xludf.DUMMYFUNCTION("QUERY('Volunteer Survey'!B231)"),"Abul Kalam Azad")</f>
        <v>Abul Kalam Azad</v>
      </c>
      <c r="M224" s="55" t="str">
        <f>IFERROR(__xludf.DUMMYFUNCTION("QUERY('Volunteer Survey'!E231)"),"azadak@gmail.com")</f>
        <v>azadak@gmail.com</v>
      </c>
      <c r="N224" s="55" t="str">
        <f>IFERROR(__xludf.DUMMYFUNCTION("QUERY('Volunteer Survey'!F231)"),"Post Doc/Resident/Fellow (MD and/or PhD)")</f>
        <v>Post Doc/Resident/Fellow (MD and/or PhD)</v>
      </c>
      <c r="O224" s="48" t="str">
        <f>IFERROR(__xludf.DUMMYFUNCTION("QUERY('Volunteer Survey'!H231)"),"Comprehensive")</f>
        <v>Comprehensive</v>
      </c>
      <c r="P224" s="55" t="str">
        <f>IFERROR(__xludf.DUMMYFUNCTION("QUERY('Volunteer Survey'!I231)"),"Clinical Actionability")</f>
        <v>Clinical Actionability</v>
      </c>
      <c r="Q224" s="60" t="str">
        <f>IFERROR(__xludf.DUMMYFUNCTION("QUERY('Volunteer Survey'!J231)"),"Variant Pathogenicity")</f>
        <v>Variant Pathogenicity</v>
      </c>
      <c r="R224" s="55" t="str">
        <f>IFERROR(__xludf.DUMMYFUNCTION("QUERY('Volunteer Survey'!K231)"),"Gene-Disease Validity")</f>
        <v>Gene-Disease Validity</v>
      </c>
      <c r="S224" s="55" t="str">
        <f>IFERROR(__xludf.DUMMYFUNCTION("QUERY('Volunteer Survey'!L231)"),"Somatic Cancer")</f>
        <v>Somatic Cancer</v>
      </c>
      <c r="T224" s="55" t="str">
        <f>IFERROR(__xludf.DUMMYFUNCTION("QUERY('Volunteer Survey'!M231)"),"Dosage Sensitivity")</f>
        <v>Dosage Sensitivity</v>
      </c>
      <c r="U224" s="64" t="str">
        <f>IFERROR(__xludf.DUMMYFUNCTION("QUERY('Volunteer Survey'!N231)"),"")</f>
        <v/>
      </c>
      <c r="V224" s="55" t="str">
        <f>IFERROR(__xludf.DUMMYFUNCTION("QUERY('Volunteer Survey'!O231)"),"Yes")</f>
        <v>Yes</v>
      </c>
      <c r="W224" s="66" t="str">
        <f>IFERROR(__xludf.DUMMYFUNCTION("QUERY('Volunteer Survey'!P231)"),"")</f>
        <v/>
      </c>
      <c r="X224" s="64" t="str">
        <f>IFERROR(__xludf.DUMMYFUNCTION("QUERY('Volunteer Survey'!R231)"),"Yes- I am willing to volunteer with any available ClinGen group")</f>
        <v>Yes- I am willing to volunteer with any available ClinGen group</v>
      </c>
      <c r="Y224" s="53"/>
      <c r="Z224" s="182">
        <f>IFERROR(__xludf.DUMMYFUNCTION("QUERY('Volunteer Survey'!A223)"),43626.46727800926)</f>
        <v>43626.46728</v>
      </c>
      <c r="AA224" s="183" t="str">
        <f>IFERROR(__xludf.DUMMYFUNCTION("QUERY('Volunteer Survey'!B223)"),"Pamela")</f>
        <v>Pamela</v>
      </c>
      <c r="AB224" s="183" t="str">
        <f>IFERROR(__xludf.DUMMYFUNCTION("QUERY('Volunteer Survey'!C223)"),"Versiti Blood Research Institute")</f>
        <v>Versiti Blood Research Institute</v>
      </c>
      <c r="AC224" s="183" t="str">
        <f>IFERROR(__xludf.DUMMYFUNCTION("QUERY('Volunteer Survey'!D223)"),"8727 Watertown Plank Rd.")</f>
        <v>8727 Watertown Plank Rd.</v>
      </c>
      <c r="AD224" s="183" t="str">
        <f>IFERROR(__xludf.DUMMYFUNCTION("QUERY('Volunteer Survey'!E223)"),"pchristopherson@versiti.org")</f>
        <v>pchristopherson@versiti.org</v>
      </c>
      <c r="AE224" s="183" t="str">
        <f>IFERROR(__xludf.DUMMYFUNCTION("QUERY('Volunteer Survey'!F223)"),"Scientific Researcher")</f>
        <v>Scientific Researcher</v>
      </c>
      <c r="AF224" s="183" t="str">
        <f>IFERROR(__xludf.DUMMYFUNCTION("QUERY('Volunteer Survey'!G223)"),"Colleagues")</f>
        <v>Colleagues</v>
      </c>
      <c r="AG224" s="183" t="str">
        <f>IFERROR(__xludf.DUMMYFUNCTION("QUERY('Volunteer Survey'!H223)"),"Comprehensive")</f>
        <v>Comprehensive</v>
      </c>
      <c r="AH224" s="183" t="str">
        <f>IFERROR(__xludf.DUMMYFUNCTION("QUERY('Volunteer Survey'!I223)"),"Variant Pathogenicity")</f>
        <v>Variant Pathogenicity</v>
      </c>
      <c r="AI224" s="183" t="str">
        <f>IFERROR(__xludf.DUMMYFUNCTION("QUERY('Volunteer Survey'!J223)"),"")</f>
        <v/>
      </c>
      <c r="AJ224" s="183" t="str">
        <f>IFERROR(__xludf.DUMMYFUNCTION("QUERY('Volunteer Survey'!K223)"),"")</f>
        <v/>
      </c>
      <c r="AK224" s="183" t="str">
        <f>IFERROR(__xludf.DUMMYFUNCTION("QUERY('Volunteer Survey'!L223)"),"")</f>
        <v/>
      </c>
      <c r="AL224" s="183" t="str">
        <f>IFERROR(__xludf.DUMMYFUNCTION("QUERY('Volunteer Survey'!M223)"),"")</f>
        <v/>
      </c>
      <c r="AM224" s="183" t="str">
        <f>IFERROR(__xludf.DUMMYFUNCTION("QUERY('Volunteer Survey'!N223)"),"Submission of variants to LOVD")</f>
        <v>Submission of variants to LOVD</v>
      </c>
      <c r="AN224" s="183" t="str">
        <f>IFERROR(__xludf.DUMMYFUNCTION("QUERY('Volunteer Survey'!O223)"),"Possibly")</f>
        <v>Possibly</v>
      </c>
      <c r="AO224" s="183" t="str">
        <f>IFERROR(__xludf.DUMMYFUNCTION("QUERY('Volunteer Survey'!P223)"),"Already on VWD working group")</f>
        <v>Already on VWD working group</v>
      </c>
    </row>
    <row r="225">
      <c r="A225" s="50">
        <f>IFERROR(__xludf.DUMMYFUNCTION("QUERY('Volunteer Survey'!A232)"),43634.57313834491)</f>
        <v>43634.57314</v>
      </c>
      <c r="B225" s="48" t="s">
        <v>322</v>
      </c>
      <c r="C225" s="53"/>
      <c r="D225" s="55"/>
      <c r="E225" s="55"/>
      <c r="F225" s="48" t="s">
        <v>130</v>
      </c>
      <c r="G225" s="48" t="s">
        <v>122</v>
      </c>
      <c r="H225" s="53"/>
      <c r="I225" s="51" t="s">
        <v>356</v>
      </c>
      <c r="J225" s="55"/>
      <c r="K225" s="55"/>
      <c r="L225" s="55" t="str">
        <f>IFERROR(__xludf.DUMMYFUNCTION("QUERY('Volunteer Survey'!B232)"),"Amruta Phatak")</f>
        <v>Amruta Phatak</v>
      </c>
      <c r="M225" s="55" t="str">
        <f>IFERROR(__xludf.DUMMYFUNCTION("QUERY('Volunteer Survey'!E232)"),"arphatak@iu.edu")</f>
        <v>arphatak@iu.edu</v>
      </c>
      <c r="N225" s="55" t="str">
        <f>IFERROR(__xludf.DUMMYFUNCTION("QUERY('Volunteer Survey'!F232)"),"Post Doc/Resident/Fellow (MD and/or PhD)")</f>
        <v>Post Doc/Resident/Fellow (MD and/or PhD)</v>
      </c>
      <c r="O225" s="48" t="str">
        <f>IFERROR(__xludf.DUMMYFUNCTION("QUERY('Volunteer Survey'!H232)"),"Comprehensive")</f>
        <v>Comprehensive</v>
      </c>
      <c r="P225" s="55" t="str">
        <f>IFERROR(__xludf.DUMMYFUNCTION("QUERY('Volunteer Survey'!I232)"),"Gene-Disease Validity")</f>
        <v>Gene-Disease Validity</v>
      </c>
      <c r="Q225" s="60" t="str">
        <f>IFERROR(__xludf.DUMMYFUNCTION("QUERY('Volunteer Survey'!J232)"),"Variant Pathogenicity")</f>
        <v>Variant Pathogenicity</v>
      </c>
      <c r="R225" s="55" t="str">
        <f>IFERROR(__xludf.DUMMYFUNCTION("QUERY('Volunteer Survey'!K232)"),"Clinical Actionability")</f>
        <v>Clinical Actionability</v>
      </c>
      <c r="S225" s="55" t="str">
        <f>IFERROR(__xludf.DUMMYFUNCTION("QUERY('Volunteer Survey'!L232)"),"Dosage Sensitivity")</f>
        <v>Dosage Sensitivity</v>
      </c>
      <c r="T225" s="55" t="str">
        <f>IFERROR(__xludf.DUMMYFUNCTION("QUERY('Volunteer Survey'!M232)"),"Somatic Cancer")</f>
        <v>Somatic Cancer</v>
      </c>
      <c r="U225" s="64" t="str">
        <f>IFERROR(__xludf.DUMMYFUNCTION("QUERY('Volunteer Survey'!N232)"),"")</f>
        <v/>
      </c>
      <c r="V225" s="55" t="str">
        <f>IFERROR(__xludf.DUMMYFUNCTION("QUERY('Volunteer Survey'!O232)"),"Yes")</f>
        <v>Yes</v>
      </c>
      <c r="W225" s="66" t="str">
        <f>IFERROR(__xludf.DUMMYFUNCTION("QUERY('Volunteer Survey'!P232)"),"")</f>
        <v/>
      </c>
      <c r="X225" s="64" t="str">
        <f>IFERROR(__xludf.DUMMYFUNCTION("QUERY('Volunteer Survey'!R232)"),"Yes- I am willing to volunteer with any available ClinGen group")</f>
        <v>Yes- I am willing to volunteer with any available ClinGen group</v>
      </c>
      <c r="Y225" s="53"/>
      <c r="Z225" s="182">
        <f>IFERROR(__xludf.DUMMYFUNCTION("QUERY('Volunteer Survey'!A224)"),43626.62412516204)</f>
        <v>43626.62413</v>
      </c>
      <c r="AA225" s="183" t="str">
        <f>IFERROR(__xludf.DUMMYFUNCTION("QUERY('Volunteer Survey'!B224)"),"Ernie Hobbs")</f>
        <v>Ernie Hobbs</v>
      </c>
      <c r="AB225" s="183" t="str">
        <f>IFERROR(__xludf.DUMMYFUNCTION("QUERY('Volunteer Survey'!C224)"),"Congenica")</f>
        <v>Congenica</v>
      </c>
      <c r="AC225" s="183" t="str">
        <f>IFERROR(__xludf.DUMMYFUNCTION("QUERY('Volunteer Survey'!D224)"),"4452 Lochurst Drive, Pfafftown, NC 27040")</f>
        <v>4452 Lochurst Drive, Pfafftown, NC 27040</v>
      </c>
      <c r="AD225" s="183" t="str">
        <f>IFERROR(__xludf.DUMMYFUNCTION("QUERY('Volunteer Survey'!E224)"),"ernie.hobbs@congenica.com")</f>
        <v>ernie.hobbs@congenica.com</v>
      </c>
      <c r="AE225" s="183" t="str">
        <f>IFERROR(__xludf.DUMMYFUNCTION("QUERY('Volunteer Survey'!F224)"),"Citizen Scientist/Patient Advocate")</f>
        <v>Citizen Scientist/Patient Advocate</v>
      </c>
      <c r="AF225" s="183" t="str">
        <f>IFERROR(__xludf.DUMMYFUNCTION("QUERY('Volunteer Survey'!G224)"),"CCG 2019")</f>
        <v>CCG 2019</v>
      </c>
      <c r="AG225" s="183" t="str">
        <f>IFERROR(__xludf.DUMMYFUNCTION("QUERY('Volunteer Survey'!H224)"),"Baseline")</f>
        <v>Baseline</v>
      </c>
      <c r="AH225" s="183" t="str">
        <f>IFERROR(__xludf.DUMMYFUNCTION("QUERY('Volunteer Survey'!I224)"),"Variant Pathogenicity")</f>
        <v>Variant Pathogenicity</v>
      </c>
      <c r="AI225" s="183" t="str">
        <f>IFERROR(__xludf.DUMMYFUNCTION("QUERY('Volunteer Survey'!J224)"),"Clinical Actionability")</f>
        <v>Clinical Actionability</v>
      </c>
      <c r="AJ225" s="183" t="str">
        <f>IFERROR(__xludf.DUMMYFUNCTION("QUERY('Volunteer Survey'!K224)"),"")</f>
        <v/>
      </c>
      <c r="AK225" s="183" t="str">
        <f>IFERROR(__xludf.DUMMYFUNCTION("QUERY('Volunteer Survey'!L224)"),"")</f>
        <v/>
      </c>
      <c r="AL225" s="183" t="str">
        <f>IFERROR(__xludf.DUMMYFUNCTION("QUERY('Volunteer Survey'!M224)"),"")</f>
        <v/>
      </c>
      <c r="AM225" s="183" t="str">
        <f>IFERROR(__xludf.DUMMYFUNCTION("QUERY('Volunteer Survey'!N224)"),"No (but have worked for several companies that offered genomic analysis software)")</f>
        <v>No (but have worked for several companies that offered genomic analysis software)</v>
      </c>
      <c r="AN225" s="183" t="str">
        <f>IFERROR(__xludf.DUMMYFUNCTION("QUERY('Volunteer Survey'!O224)"),"Possibly")</f>
        <v>Possibly</v>
      </c>
      <c r="AO225" s="183" t="str">
        <f>IFERROR(__xludf.DUMMYFUNCTION("QUERY('Volunteer Survey'!P224)"),"Mitochondrial Diseases")</f>
        <v>Mitochondrial Diseases</v>
      </c>
    </row>
    <row r="226">
      <c r="A226" s="50">
        <f>IFERROR(__xludf.DUMMYFUNCTION("QUERY('Volunteer Survey'!A233)"),43635.01375898148)</f>
        <v>43635.01376</v>
      </c>
      <c r="B226" s="48" t="s">
        <v>108</v>
      </c>
      <c r="C226" s="79">
        <v>43705.0</v>
      </c>
      <c r="D226" s="65">
        <v>43719.0</v>
      </c>
      <c r="E226" s="48" t="s">
        <v>130</v>
      </c>
      <c r="F226" s="48" t="s">
        <v>130</v>
      </c>
      <c r="G226" s="48" t="s">
        <v>136</v>
      </c>
      <c r="H226" s="53"/>
      <c r="I226" s="51" t="s">
        <v>139</v>
      </c>
      <c r="J226" s="55"/>
      <c r="K226" s="55"/>
      <c r="L226" s="55" t="str">
        <f>IFERROR(__xludf.DUMMYFUNCTION("QUERY('Volunteer Survey'!B233)"),"Priyabrata Panigrahi")</f>
        <v>Priyabrata Panigrahi</v>
      </c>
      <c r="M226" s="55" t="str">
        <f>IFERROR(__xludf.DUMMYFUNCTION("QUERY('Volunteer Survey'!E233)"),"pb.panigrahi86@gmail.com")</f>
        <v>pb.panigrahi86@gmail.com</v>
      </c>
      <c r="N226" s="55" t="str">
        <f>IFERROR(__xludf.DUMMYFUNCTION("QUERY('Volunteer Survey'!F233)"),"Scientific Researcher")</f>
        <v>Scientific Researcher</v>
      </c>
      <c r="O226" s="48" t="str">
        <f>IFERROR(__xludf.DUMMYFUNCTION("QUERY('Volunteer Survey'!H233)"),"Comprehensive")</f>
        <v>Comprehensive</v>
      </c>
      <c r="P226" s="55" t="str">
        <f>IFERROR(__xludf.DUMMYFUNCTION("QUERY('Volunteer Survey'!I233)"),"Somatic Cancer")</f>
        <v>Somatic Cancer</v>
      </c>
      <c r="Q226" s="60" t="str">
        <f>IFERROR(__xludf.DUMMYFUNCTION("QUERY('Volunteer Survey'!J233)"),"Variant Pathogenicity")</f>
        <v>Variant Pathogenicity</v>
      </c>
      <c r="R226" s="55" t="str">
        <f>IFERROR(__xludf.DUMMYFUNCTION("QUERY('Volunteer Survey'!K233)"),"Clinical Actionability")</f>
        <v>Clinical Actionability</v>
      </c>
      <c r="S226" s="55" t="str">
        <f>IFERROR(__xludf.DUMMYFUNCTION("QUERY('Volunteer Survey'!L233)"),"Gene-Disease Validity")</f>
        <v>Gene-Disease Validity</v>
      </c>
      <c r="T226" s="55" t="str">
        <f>IFERROR(__xludf.DUMMYFUNCTION("QUERY('Volunteer Survey'!M233)"),"Dosage Sensitivity")</f>
        <v>Dosage Sensitivity</v>
      </c>
      <c r="U226" s="64" t="str">
        <f>IFERROR(__xludf.DUMMYFUNCTION("QUERY('Volunteer Survey'!N233)"),"I have experience of performing somatic cancer variant detection NGS based pipelines, downstream variant annotation methods and have good exposure to databases like dbsnp etc.")</f>
        <v>I have experience of performing somatic cancer variant detection NGS based pipelines, downstream variant annotation methods and have good exposure to databases like dbsnp etc.</v>
      </c>
      <c r="V226" s="55" t="str">
        <f>IFERROR(__xludf.DUMMYFUNCTION("QUERY('Volunteer Survey'!O233)"),"Yes")</f>
        <v>Yes</v>
      </c>
      <c r="W226" s="66" t="str">
        <f>IFERROR(__xludf.DUMMYFUNCTION("QUERY('Volunteer Survey'!P233)"),"Dont know")</f>
        <v>Dont know</v>
      </c>
      <c r="X226" s="64" t="str">
        <f>IFERROR(__xludf.DUMMYFUNCTION("QUERY('Volunteer Survey'!R233)"),"Yes- I am willing to volunteer with any available ClinGen group")</f>
        <v>Yes- I am willing to volunteer with any available ClinGen group</v>
      </c>
      <c r="Y226" s="53"/>
      <c r="Z226" s="182">
        <f>IFERROR(__xludf.DUMMYFUNCTION("QUERY('Volunteer Survey'!A225)"),43626.94418322916)</f>
        <v>43626.94418</v>
      </c>
      <c r="AA226" s="183" t="str">
        <f>IFERROR(__xludf.DUMMYFUNCTION("QUERY('Volunteer Survey'!B225)"),"Sandy Au")</f>
        <v>Sandy Au</v>
      </c>
      <c r="AB226" s="183" t="str">
        <f>IFERROR(__xludf.DUMMYFUNCTION("QUERY('Volunteer Survey'!C225)"),"The University of Hong Kong")</f>
        <v>The University of Hong Kong</v>
      </c>
      <c r="AC226" s="183" t="str">
        <f>IFERROR(__xludf.DUMMYFUNCTION("QUERY('Volunteer Survey'!D225)"),"30 Hospital Road, Sai Ying Pun")</f>
        <v>30 Hospital Road, Sai Ying Pun</v>
      </c>
      <c r="AD226" s="183" t="str">
        <f>IFERROR(__xludf.DUMMYFUNCTION("QUERY('Volunteer Survey'!E225)"),"alkuen@hku.hk")</f>
        <v>alkuen@hku.hk</v>
      </c>
      <c r="AE226" s="183" t="str">
        <f>IFERROR(__xludf.DUMMYFUNCTION("QUERY('Volunteer Survey'!F225)"),"Scientific Researcher")</f>
        <v>Scientific Researcher</v>
      </c>
      <c r="AF226" s="183" t="str">
        <f>IFERROR(__xludf.DUMMYFUNCTION("QUERY('Volunteer Survey'!G225)"),"Colleagues")</f>
        <v>Colleagues</v>
      </c>
      <c r="AG226" s="183" t="str">
        <f>IFERROR(__xludf.DUMMYFUNCTION("QUERY('Volunteer Survey'!H225)"),"Baseline")</f>
        <v>Baseline</v>
      </c>
      <c r="AH226" s="183" t="str">
        <f>IFERROR(__xludf.DUMMYFUNCTION("QUERY('Volunteer Survey'!I225)"),"Variant Pathogenicity")</f>
        <v>Variant Pathogenicity</v>
      </c>
      <c r="AI226" s="183" t="str">
        <f>IFERROR(__xludf.DUMMYFUNCTION("QUERY('Volunteer Survey'!J225)"),"Gene-Disease Validity")</f>
        <v>Gene-Disease Validity</v>
      </c>
      <c r="AJ226" s="183" t="str">
        <f>IFERROR(__xludf.DUMMYFUNCTION("QUERY('Volunteer Survey'!K225)"),"Dosage Sensitivity")</f>
        <v>Dosage Sensitivity</v>
      </c>
      <c r="AK226" s="183" t="str">
        <f>IFERROR(__xludf.DUMMYFUNCTION("QUERY('Volunteer Survey'!L225)"),"Somatic Cancer")</f>
        <v>Somatic Cancer</v>
      </c>
      <c r="AL226" s="183" t="str">
        <f>IFERROR(__xludf.DUMMYFUNCTION("QUERY('Volunteer Survey'!M225)"),"Clinical Actionability")</f>
        <v>Clinical Actionability</v>
      </c>
      <c r="AM226" s="183" t="str">
        <f>IFERROR(__xludf.DUMMYFUNCTION("QUERY('Volunteer Survey'!N225)"),"I am working in a prenatal diagnostic laboratory and perform WES for prenatal cases. We have experience in variant classification and clinical reporting. ")</f>
        <v>I am working in a prenatal diagnostic laboratory and perform WES for prenatal cases. We have experience in variant classification and clinical reporting. </v>
      </c>
      <c r="AN226" s="183" t="str">
        <f>IFERROR(__xludf.DUMMYFUNCTION("QUERY('Volunteer Survey'!O225)"),"Yes")</f>
        <v>Yes</v>
      </c>
      <c r="AO226" s="183" t="str">
        <f>IFERROR(__xludf.DUMMYFUNCTION("QUERY('Volunteer Survey'!P225)"),"Variant Curation Expert Panels")</f>
        <v>Variant Curation Expert Panels</v>
      </c>
    </row>
    <row r="227">
      <c r="A227" s="50">
        <f>IFERROR(__xludf.DUMMYFUNCTION("QUERY('Volunteer Survey'!A234)"),43635.56924690973)</f>
        <v>43635.56925</v>
      </c>
      <c r="B227" s="48" t="s">
        <v>108</v>
      </c>
      <c r="C227" s="79">
        <v>43819.0</v>
      </c>
      <c r="D227" s="55"/>
      <c r="E227" s="55"/>
      <c r="F227" s="48" t="s">
        <v>130</v>
      </c>
      <c r="G227" s="48" t="s">
        <v>251</v>
      </c>
      <c r="H227" s="53"/>
      <c r="I227" s="51" t="s">
        <v>139</v>
      </c>
      <c r="J227" s="55"/>
      <c r="K227" s="55"/>
      <c r="L227" s="55" t="str">
        <f>IFERROR(__xludf.DUMMYFUNCTION("QUERY('Volunteer Survey'!B234)"),"José Patricio Miranda Marín")</f>
        <v>José Patricio Miranda Marín</v>
      </c>
      <c r="M227" s="55" t="str">
        <f>IFERROR(__xludf.DUMMYFUNCTION("QUERY('Volunteer Survey'!E234)"),"jose.miranda@uc.cl")</f>
        <v>jose.miranda@uc.cl</v>
      </c>
      <c r="N227" s="55" t="str">
        <f>IFERROR(__xludf.DUMMYFUNCTION("QUERY('Volunteer Survey'!F234)"),"Post Doc/Resident/Fellow (MD and/or PhD)")</f>
        <v>Post Doc/Resident/Fellow (MD and/or PhD)</v>
      </c>
      <c r="O227" s="48" t="str">
        <f>IFERROR(__xludf.DUMMYFUNCTION("QUERY('Volunteer Survey'!H234)"),"Comprehensive")</f>
        <v>Comprehensive</v>
      </c>
      <c r="P227" s="55" t="str">
        <f>IFERROR(__xludf.DUMMYFUNCTION("QUERY('Volunteer Survey'!I234)"),"Variant Pathogenicity")</f>
        <v>Variant Pathogenicity</v>
      </c>
      <c r="Q227" s="60" t="str">
        <f>IFERROR(__xludf.DUMMYFUNCTION("QUERY('Volunteer Survey'!J234)"),"Gene-Disease Validity")</f>
        <v>Gene-Disease Validity</v>
      </c>
      <c r="R227" s="55" t="str">
        <f>IFERROR(__xludf.DUMMYFUNCTION("QUERY('Volunteer Survey'!K234)"),"")</f>
        <v/>
      </c>
      <c r="S227" s="55" t="str">
        <f>IFERROR(__xludf.DUMMYFUNCTION("QUERY('Volunteer Survey'!L234)"),"")</f>
        <v/>
      </c>
      <c r="T227" s="55" t="str">
        <f>IFERROR(__xludf.DUMMYFUNCTION("QUERY('Volunteer Survey'!M234)"),"")</f>
        <v/>
      </c>
      <c r="U227" s="64" t="str">
        <f>IFERROR(__xludf.DUMMYFUNCTION("QUERY('Volunteer Survey'!N234)"),"yes, I am the Lab Director of the Medical Genomic Unit at the Pontificia Universidad Católica de Chile, and we regularly send submissions to ClinVar (https://www.ncbi.nlm.nih.gov/clinvar/submitters/506969/)")</f>
        <v>yes, I am the Lab Director of the Medical Genomic Unit at the Pontificia Universidad Católica de Chile, and we regularly send submissions to ClinVar (https://www.ncbi.nlm.nih.gov/clinvar/submitters/506969/)</v>
      </c>
      <c r="V227" s="55" t="str">
        <f>IFERROR(__xludf.DUMMYFUNCTION("QUERY('Volunteer Survey'!O234)"),"Yes")</f>
        <v>Yes</v>
      </c>
      <c r="W227" s="66" t="str">
        <f>IFERROR(__xludf.DUMMYFUNCTION("QUERY('Volunteer Survey'!P234)"),"Monogenic Diabetes Variant Curation Expert Panel or Mitochondrial Disease Variant Curation Expert Panel")</f>
        <v>Monogenic Diabetes Variant Curation Expert Panel or Mitochondrial Disease Variant Curation Expert Panel</v>
      </c>
      <c r="X227" s="64" t="str">
        <f>IFERROR(__xludf.DUMMYFUNCTION("QUERY('Volunteer Survey'!R234)"),"Yes- I am willing to volunteer with any available ClinGen group")</f>
        <v>Yes- I am willing to volunteer with any available ClinGen group</v>
      </c>
      <c r="Y227" s="53"/>
      <c r="Z227" s="182">
        <f>IFERROR(__xludf.DUMMYFUNCTION("QUERY('Volunteer Survey'!A226)"),43627.30079422453)</f>
        <v>43627.30079</v>
      </c>
      <c r="AA227" s="183" t="str">
        <f>IFERROR(__xludf.DUMMYFUNCTION("QUERY('Volunteer Survey'!B226)"),"Generoso")</f>
        <v>Generoso</v>
      </c>
      <c r="AB227" s="183" t="str">
        <f>IFERROR(__xludf.DUMMYFUNCTION("QUERY('Volunteer Survey'!C226)"),"Dante Labs")</f>
        <v>Dante Labs</v>
      </c>
      <c r="AC227" s="183" t="str">
        <f>IFERROR(__xludf.DUMMYFUNCTION("QUERY('Volunteer Survey'!D226)"),"Corso Federico II 72 B ")</f>
        <v>Corso Federico II 72 B </v>
      </c>
      <c r="AD227" s="183" t="str">
        <f>IFERROR(__xludf.DUMMYFUNCTION("QUERY('Volunteer Survey'!E226)"),"generoso@dantelabs.com")</f>
        <v>generoso@dantelabs.com</v>
      </c>
      <c r="AE227" s="183" t="str">
        <f>IFERROR(__xludf.DUMMYFUNCTION("QUERY('Volunteer Survey'!F226)"),"Variant Analyst/Scientist - Industry")</f>
        <v>Variant Analyst/Scientist - Industry</v>
      </c>
      <c r="AF227" s="183" t="str">
        <f>IFERROR(__xludf.DUMMYFUNCTION("QUERY('Volunteer Survey'!G226)"),"ClinGen conference advertisements (i.e. booth, workshop, presentation)")</f>
        <v>ClinGen conference advertisements (i.e. booth, workshop, presentation)</v>
      </c>
      <c r="AG227" s="183" t="str">
        <f>IFERROR(__xludf.DUMMYFUNCTION("QUERY('Volunteer Survey'!H226)"),"Comprehensive")</f>
        <v>Comprehensive</v>
      </c>
      <c r="AH227" s="183" t="str">
        <f>IFERROR(__xludf.DUMMYFUNCTION("QUERY('Volunteer Survey'!I226)"),"Clinical Actionability")</f>
        <v>Clinical Actionability</v>
      </c>
      <c r="AI227" s="183" t="str">
        <f>IFERROR(__xludf.DUMMYFUNCTION("QUERY('Volunteer Survey'!J226)"),"Gene-Disease Validity")</f>
        <v>Gene-Disease Validity</v>
      </c>
      <c r="AJ227" s="183" t="str">
        <f>IFERROR(__xludf.DUMMYFUNCTION("QUERY('Volunteer Survey'!K226)"),"Variant Pathogenicity")</f>
        <v>Variant Pathogenicity</v>
      </c>
      <c r="AK227" s="183" t="str">
        <f>IFERROR(__xludf.DUMMYFUNCTION("QUERY('Volunteer Survey'!L226)"),"Dosage Sensitivity")</f>
        <v>Dosage Sensitivity</v>
      </c>
      <c r="AL227" s="183" t="str">
        <f>IFERROR(__xludf.DUMMYFUNCTION("QUERY('Volunteer Survey'!M226)"),"Somatic Cancer")</f>
        <v>Somatic Cancer</v>
      </c>
      <c r="AM227" s="183" t="str">
        <f>IFERROR(__xludf.DUMMYFUNCTION("QUERY('Volunteer Survey'!N226)"),"Yes, I have curated few variants for people who receive WES data.")</f>
        <v>Yes, I have curated few variants for people who receive WES data.</v>
      </c>
      <c r="AN227" s="183" t="str">
        <f>IFERROR(__xludf.DUMMYFUNCTION("QUERY('Volunteer Survey'!O226)"),"Possibly")</f>
        <v>Possibly</v>
      </c>
      <c r="AO227" s="183" t="str">
        <f>IFERROR(__xludf.DUMMYFUNCTION("QUERY('Volunteer Survey'!P226)"),"")</f>
        <v/>
      </c>
    </row>
    <row r="228">
      <c r="A228" s="50">
        <f>IFERROR(__xludf.DUMMYFUNCTION("QUERY('Volunteer Survey'!A235)"),43638.36269362269)</f>
        <v>43638.36269</v>
      </c>
      <c r="B228" s="48" t="s">
        <v>108</v>
      </c>
      <c r="C228" s="53"/>
      <c r="D228" s="55"/>
      <c r="E228" s="55"/>
      <c r="F228" s="48" t="s">
        <v>130</v>
      </c>
      <c r="G228" s="48" t="s">
        <v>202</v>
      </c>
      <c r="H228" s="53"/>
      <c r="I228" s="51" t="s">
        <v>139</v>
      </c>
      <c r="J228" s="55"/>
      <c r="K228" s="55"/>
      <c r="L228" s="55" t="str">
        <f>IFERROR(__xludf.DUMMYFUNCTION("QUERY('Volunteer Survey'!B235)"),"Helen O'Shea")</f>
        <v>Helen O'Shea</v>
      </c>
      <c r="M228" s="55" t="str">
        <f>IFERROR(__xludf.DUMMYFUNCTION("QUERY('Volunteer Survey'!E235)"),"helen.oshea@olchc.ie")</f>
        <v>helen.oshea@olchc.ie</v>
      </c>
      <c r="N228" s="55" t="str">
        <f>IFERROR(__xludf.DUMMYFUNCTION("QUERY('Volunteer Survey'!F235)"),"Clinical laboratory geneticist")</f>
        <v>Clinical laboratory geneticist</v>
      </c>
      <c r="O228" s="48" t="str">
        <f>IFERROR(__xludf.DUMMYFUNCTION("QUERY('Volunteer Survey'!H235)"),"Baseline")</f>
        <v>Baseline</v>
      </c>
      <c r="P228" s="55" t="str">
        <f>IFERROR(__xludf.DUMMYFUNCTION("QUERY('Volunteer Survey'!I235)"),"")</f>
        <v/>
      </c>
      <c r="Q228" s="60" t="str">
        <f>IFERROR(__xludf.DUMMYFUNCTION("QUERY('Volunteer Survey'!J235)"),"")</f>
        <v/>
      </c>
      <c r="R228" s="55" t="str">
        <f>IFERROR(__xludf.DUMMYFUNCTION("QUERY('Volunteer Survey'!K235)"),"")</f>
        <v/>
      </c>
      <c r="S228" s="55" t="str">
        <f>IFERROR(__xludf.DUMMYFUNCTION("QUERY('Volunteer Survey'!L235)"),"")</f>
        <v/>
      </c>
      <c r="T228" s="55" t="str">
        <f>IFERROR(__xludf.DUMMYFUNCTION("QUERY('Volunteer Survey'!M235)"),"")</f>
        <v/>
      </c>
      <c r="U228" s="64" t="str">
        <f>IFERROR(__xludf.DUMMYFUNCTION("QUERY('Volunteer Survey'!N235)"),"I am involved in neurodevelopmental disorders research using exome sequencing and variant assessment.")</f>
        <v>I am involved in neurodevelopmental disorders research using exome sequencing and variant assessment.</v>
      </c>
      <c r="V228" s="55" t="str">
        <f>IFERROR(__xludf.DUMMYFUNCTION("QUERY('Volunteer Survey'!O235)"),"No")</f>
        <v>No</v>
      </c>
      <c r="W228" s="66" t="str">
        <f>IFERROR(__xludf.DUMMYFUNCTION("QUERY('Volunteer Survey'!P235)"),"Neurodevelopmental disorders, cardiovascular diseases and cancer")</f>
        <v>Neurodevelopmental disorders, cardiovascular diseases and cancer</v>
      </c>
      <c r="X228" s="64" t="str">
        <f>IFERROR(__xludf.DUMMYFUNCTION("QUERY('Volunteer Survey'!R235)"),"Yes- I am willing to volunteer with any available ClinGen group")</f>
        <v>Yes- I am willing to volunteer with any available ClinGen group</v>
      </c>
      <c r="Y228" s="53"/>
      <c r="Z228" s="182">
        <f>IFERROR(__xludf.DUMMYFUNCTION("QUERY('Volunteer Survey'!A227)"),43627.80087137731)</f>
        <v>43627.80087</v>
      </c>
      <c r="AA228" s="183" t="str">
        <f>IFERROR(__xludf.DUMMYFUNCTION("QUERY('Volunteer Survey'!B227)"),"Hemantkumar Nemade ")</f>
        <v>Hemantkumar Nemade </v>
      </c>
      <c r="AB228" s="183" t="str">
        <f>IFERROR(__xludf.DUMMYFUNCTION("QUERY('Volunteer Survey'!C227)"),"Basavatarakam Indo American Cancer Hospital and Research Institute Hyderabad India")</f>
        <v>Basavatarakam Indo American Cancer Hospital and Research Institute Hyderabad India</v>
      </c>
      <c r="AC228" s="183" t="str">
        <f>IFERROR(__xludf.DUMMYFUNCTION("QUERY('Volunteer Survey'!D227)"),"Department of Surgical Oncology, Basavatarakam Indo American Cancer Hospital and Research Institute, Road number 10, Banjara Hills Hyderabad India 500034")</f>
        <v>Department of Surgical Oncology, Basavatarakam Indo American Cancer Hospital and Research Institute, Road number 10, Banjara Hills Hyderabad India 500034</v>
      </c>
      <c r="AD228" s="183" t="str">
        <f>IFERROR(__xludf.DUMMYFUNCTION("QUERY('Volunteer Survey'!E227)"),"drhemantnemade@gmail.com")</f>
        <v>drhemantnemade@gmail.com</v>
      </c>
      <c r="AE228" s="183" t="str">
        <f>IFERROR(__xludf.DUMMYFUNCTION("QUERY('Volunteer Survey'!F227)"),"Physician (Non-geneticist)")</f>
        <v>Physician (Non-geneticist)</v>
      </c>
      <c r="AF228" s="183" t="str">
        <f>IFERROR(__xludf.DUMMYFUNCTION("QUERY('Volunteer Survey'!G227)"),"Educational coursework, Youtube")</f>
        <v>Educational coursework, Youtube</v>
      </c>
      <c r="AG228" s="183" t="str">
        <f>IFERROR(__xludf.DUMMYFUNCTION("QUERY('Volunteer Survey'!H227)"),"Comprehensive")</f>
        <v>Comprehensive</v>
      </c>
      <c r="AH228" s="183" t="str">
        <f>IFERROR(__xludf.DUMMYFUNCTION("QUERY('Volunteer Survey'!I227)"),"Variant Pathogenicity")</f>
        <v>Variant Pathogenicity</v>
      </c>
      <c r="AI228" s="183" t="str">
        <f>IFERROR(__xludf.DUMMYFUNCTION("QUERY('Volunteer Survey'!J227)"),"Clinical Actionability")</f>
        <v>Clinical Actionability</v>
      </c>
      <c r="AJ228" s="183" t="str">
        <f>IFERROR(__xludf.DUMMYFUNCTION("QUERY('Volunteer Survey'!K227)"),"Gene-Disease Validity")</f>
        <v>Gene-Disease Validity</v>
      </c>
      <c r="AK228" s="183" t="str">
        <f>IFERROR(__xludf.DUMMYFUNCTION("QUERY('Volunteer Survey'!L227)"),"Somatic Cancer")</f>
        <v>Somatic Cancer</v>
      </c>
      <c r="AL228" s="183" t="str">
        <f>IFERROR(__xludf.DUMMYFUNCTION("QUERY('Volunteer Survey'!M227)"),"")</f>
        <v/>
      </c>
      <c r="AM228" s="183" t="str">
        <f>IFERROR(__xludf.DUMMYFUNCTION("QUERY('Volunteer Survey'!N227)"),"Not genetic but I have collected and analyzed cancer database. Trained in statistics ")</f>
        <v>Not genetic but I have collected and analyzed cancer database. Trained in statistics </v>
      </c>
      <c r="AN228" s="183" t="str">
        <f>IFERROR(__xludf.DUMMYFUNCTION("QUERY('Volunteer Survey'!O227)"),"Possibly")</f>
        <v>Possibly</v>
      </c>
      <c r="AO228" s="183" t="str">
        <f>IFERROR(__xludf.DUMMYFUNCTION("QUERY('Volunteer Survey'!P227)"),"Somatic cancer")</f>
        <v>Somatic cancer</v>
      </c>
    </row>
    <row r="229">
      <c r="A229" s="50">
        <f>IFERROR(__xludf.DUMMYFUNCTION("QUERY('Volunteer Survey'!A236)"),43640.12661005787)</f>
        <v>43640.12661</v>
      </c>
      <c r="B229" s="48" t="s">
        <v>108</v>
      </c>
      <c r="C229" s="53"/>
      <c r="D229" s="55"/>
      <c r="E229" s="55"/>
      <c r="F229" s="48" t="s">
        <v>130</v>
      </c>
      <c r="G229" s="48" t="s">
        <v>202</v>
      </c>
      <c r="H229" s="53"/>
      <c r="I229" s="51" t="s">
        <v>139</v>
      </c>
      <c r="J229" s="55"/>
      <c r="K229" s="55"/>
      <c r="L229" s="55" t="str">
        <f>IFERROR(__xludf.DUMMYFUNCTION("QUERY('Volunteer Survey'!B236)"),"Panos Sergouniotis")</f>
        <v>Panos Sergouniotis</v>
      </c>
      <c r="M229" s="55" t="str">
        <f>IFERROR(__xludf.DUMMYFUNCTION("QUERY('Volunteer Survey'!E236)"),"panagiotis.sergouniotis@manchester.ac.uk")</f>
        <v>panagiotis.sergouniotis@manchester.ac.uk</v>
      </c>
      <c r="N229" s="55" t="str">
        <f>IFERROR(__xludf.DUMMYFUNCTION("QUERY('Volunteer Survey'!F236)"),"I am a qualified Ophthalmologist (FEBO, FRCOphth) with an interest in Ophtalmic Genetics")</f>
        <v>I am a qualified Ophthalmologist (FEBO, FRCOphth) with an interest in Ophtalmic Genetics</v>
      </c>
      <c r="O229" s="48" t="str">
        <f>IFERROR(__xludf.DUMMYFUNCTION("QUERY('Volunteer Survey'!H236)"),"Baseline")</f>
        <v>Baseline</v>
      </c>
      <c r="P229" s="55" t="str">
        <f>IFERROR(__xludf.DUMMYFUNCTION("QUERY('Volunteer Survey'!I236)"),"Gene-Disease Validity")</f>
        <v>Gene-Disease Validity</v>
      </c>
      <c r="Q229" s="60" t="str">
        <f>IFERROR(__xludf.DUMMYFUNCTION("QUERY('Volunteer Survey'!J236)"),"Dosage Sensitivity")</f>
        <v>Dosage Sensitivity</v>
      </c>
      <c r="R229" s="55" t="str">
        <f>IFERROR(__xludf.DUMMYFUNCTION("QUERY('Volunteer Survey'!K236)"),"Variant Pathogenicity")</f>
        <v>Variant Pathogenicity</v>
      </c>
      <c r="S229" s="55" t="str">
        <f>IFERROR(__xludf.DUMMYFUNCTION("QUERY('Volunteer Survey'!L236)"),"Clinical Actionability")</f>
        <v>Clinical Actionability</v>
      </c>
      <c r="T229" s="55" t="str">
        <f>IFERROR(__xludf.DUMMYFUNCTION("QUERY('Volunteer Survey'!M236)"),"Somatic Cancer")</f>
        <v>Somatic Cancer</v>
      </c>
      <c r="U229" s="64" t="str">
        <f>IFERROR(__xludf.DUMMYFUNCTION("QUERY('Volunteer Survey'!N236)"),"Yes. I have worked as a curator for PanelApp (https://panelapp.genomicsengland.co.uk/) and I have significantly contributed to HPO and Orphanet (e.g. https://www.ncbi.nlm.nih.gov/pubmed/30626441)")</f>
        <v>Yes. I have worked as a curator for PanelApp (https://panelapp.genomicsengland.co.uk/) and I have significantly contributed to HPO and Orphanet (e.g. https://www.ncbi.nlm.nih.gov/pubmed/30626441)</v>
      </c>
      <c r="V229" s="55" t="str">
        <f>IFERROR(__xludf.DUMMYFUNCTION("QUERY('Volunteer Survey'!O236)"),"Possibly")</f>
        <v>Possibly</v>
      </c>
      <c r="W229" s="66" t="str">
        <f>IFERROR(__xludf.DUMMYFUNCTION("QUERY('Volunteer Survey'!P236)"),"Dosage Sensitivity Curation")</f>
        <v>Dosage Sensitivity Curation</v>
      </c>
      <c r="X229" s="64" t="str">
        <f>IFERROR(__xludf.DUMMYFUNCTION("QUERY('Volunteer Survey'!R236)"),"Maybe -- please contact me with other options, and I will decide based on what is available")</f>
        <v>Maybe -- please contact me with other options, and I will decide based on what is available</v>
      </c>
      <c r="Y229" s="53"/>
      <c r="Z229" s="182">
        <f>IFERROR(__xludf.DUMMYFUNCTION("QUERY('Volunteer Survey'!A228)"),43628.495487175926)</f>
        <v>43628.49549</v>
      </c>
      <c r="AA229" s="183" t="str">
        <f>IFERROR(__xludf.DUMMYFUNCTION("QUERY('Volunteer Survey'!B228)"),"Christina Bridges")</f>
        <v>Christina Bridges</v>
      </c>
      <c r="AB229" s="183" t="str">
        <f>IFERROR(__xludf.DUMMYFUNCTION("QUERY('Volunteer Survey'!C228)"),"Fullerton Genetics &amp; UNC")</f>
        <v>Fullerton Genetics &amp; UNC</v>
      </c>
      <c r="AC229" s="183" t="str">
        <f>IFERROR(__xludf.DUMMYFUNCTION("QUERY('Volunteer Survey'!D228)"),"9 Vanderbilt Park Dr, Asheville NC 28801")</f>
        <v>9 Vanderbilt Park Dr, Asheville NC 28801</v>
      </c>
      <c r="AD229" s="183" t="str">
        <f>IFERROR(__xludf.DUMMYFUNCTION("QUERY('Volunteer Survey'!E228)"),"c.bridges@med.unc.edu")</f>
        <v>c.bridges@med.unc.edu</v>
      </c>
      <c r="AE229" s="183" t="str">
        <f>IFERROR(__xludf.DUMMYFUNCTION("QUERY('Volunteer Survey'!F228)"),"Variant Analyst/Scientist - Industry")</f>
        <v>Variant Analyst/Scientist - Industry</v>
      </c>
      <c r="AF229" s="183" t="str">
        <f>IFERROR(__xludf.DUMMYFUNCTION("QUERY('Volunteer Survey'!G228)"),"The clinicalgenome.org website")</f>
        <v>The clinicalgenome.org website</v>
      </c>
      <c r="AG229" s="183" t="str">
        <f>IFERROR(__xludf.DUMMYFUNCTION("QUERY('Volunteer Survey'!H228)"),"Comprehensive")</f>
        <v>Comprehensive</v>
      </c>
      <c r="AH229" s="183" t="str">
        <f>IFERROR(__xludf.DUMMYFUNCTION("QUERY('Volunteer Survey'!I228)"),"Somatic Cancer")</f>
        <v>Somatic Cancer</v>
      </c>
      <c r="AI229" s="183" t="str">
        <f>IFERROR(__xludf.DUMMYFUNCTION("QUERY('Volunteer Survey'!J228)"),"Variant Pathogenicity")</f>
        <v>Variant Pathogenicity</v>
      </c>
      <c r="AJ229" s="183" t="str">
        <f>IFERROR(__xludf.DUMMYFUNCTION("QUERY('Volunteer Survey'!K228)"),"Gene-Disease Validity")</f>
        <v>Gene-Disease Validity</v>
      </c>
      <c r="AK229" s="183" t="str">
        <f>IFERROR(__xludf.DUMMYFUNCTION("QUERY('Volunteer Survey'!L228)"),"Dosage Sensitivity")</f>
        <v>Dosage Sensitivity</v>
      </c>
      <c r="AL229" s="183" t="str">
        <f>IFERROR(__xludf.DUMMYFUNCTION("QUERY('Volunteer Survey'!M228)"),"")</f>
        <v/>
      </c>
      <c r="AM229" s="183" t="str">
        <f>IFERROR(__xludf.DUMMYFUNCTION("QUERY('Volunteer Survey'!N228)"),"Some experience as part of my work in clinical genetics laboratory, as well as pursuit on my own of additional educational opportunities, such as those provided through ClinGen (thank you!) as well as other resources (professional clinical group featured "&amp;"presentations, publications from ACMG/AMP, etc.).")</f>
        <v>Some experience as part of my work in clinical genetics laboratory, as well as pursuit on my own of additional educational opportunities, such as those provided through ClinGen (thank you!) as well as other resources (professional clinical group featured presentations, publications from ACMG/AMP, etc.).</v>
      </c>
      <c r="AN229" s="183" t="str">
        <f>IFERROR(__xludf.DUMMYFUNCTION("QUERY('Volunteer Survey'!O228)"),"No")</f>
        <v>No</v>
      </c>
      <c r="AO229" s="183" t="str">
        <f>IFERROR(__xludf.DUMMYFUNCTION("QUERY('Volunteer Survey'!P228)"),"I do not feel that I am qualified, at this time, for any Expert Panels, but I have indicated some preferences for Working Group involvement.  However, I would be interested to learn which areas represent ClinGen's greatest needs, currently, and I would co"&amp;"nsider if it seems I could offer value in such an area. ")</f>
        <v>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v>
      </c>
    </row>
    <row r="230">
      <c r="A230" s="50">
        <f>IFERROR(__xludf.DUMMYFUNCTION("QUERY('Volunteer Survey'!A237)"),43643.49489582176)</f>
        <v>43643.4949</v>
      </c>
      <c r="B230" s="48" t="s">
        <v>108</v>
      </c>
      <c r="C230" s="53"/>
      <c r="D230" s="65">
        <v>43692.0</v>
      </c>
      <c r="E230" s="48" t="s">
        <v>117</v>
      </c>
      <c r="F230" s="48" t="s">
        <v>117</v>
      </c>
      <c r="G230" s="48" t="s">
        <v>122</v>
      </c>
      <c r="H230" s="53"/>
      <c r="I230" s="51" t="s">
        <v>139</v>
      </c>
      <c r="J230" s="55"/>
      <c r="K230" s="55"/>
      <c r="L230" s="55" t="str">
        <f>IFERROR(__xludf.DUMMYFUNCTION("QUERY('Volunteer Survey'!B237)"),"Marc Lataillade")</f>
        <v>Marc Lataillade</v>
      </c>
      <c r="M230" s="55" t="str">
        <f>IFERROR(__xludf.DUMMYFUNCTION("QUERY('Volunteer Survey'!E237)"),"marclataillade258@gmail.com")</f>
        <v>marclataillade258@gmail.com</v>
      </c>
      <c r="N230" s="55" t="str">
        <f>IFERROR(__xludf.DUMMYFUNCTION("QUERY('Volunteer Survey'!F237)"),"Undergraduate Student")</f>
        <v>Undergraduate Student</v>
      </c>
      <c r="O230" s="48" t="str">
        <f>IFERROR(__xludf.DUMMYFUNCTION("QUERY('Volunteer Survey'!H237)"),"Comprehensive")</f>
        <v>Comprehensive</v>
      </c>
      <c r="P230" s="55" t="str">
        <f>IFERROR(__xludf.DUMMYFUNCTION("QUERY('Volunteer Survey'!I237)"),"Gene-Disease Validity")</f>
        <v>Gene-Disease Validity</v>
      </c>
      <c r="Q230" s="60" t="str">
        <f>IFERROR(__xludf.DUMMYFUNCTION("QUERY('Volunteer Survey'!J237)"),"Variant Pathogenicity")</f>
        <v>Variant Pathogenicity</v>
      </c>
      <c r="R230" s="55" t="str">
        <f>IFERROR(__xludf.DUMMYFUNCTION("QUERY('Volunteer Survey'!K237)"),"Clinical Actionability")</f>
        <v>Clinical Actionability</v>
      </c>
      <c r="S230" s="55" t="str">
        <f>IFERROR(__xludf.DUMMYFUNCTION("QUERY('Volunteer Survey'!L237)"),"Dosage Sensitivity")</f>
        <v>Dosage Sensitivity</v>
      </c>
      <c r="T230" s="55" t="str">
        <f>IFERROR(__xludf.DUMMYFUNCTION("QUERY('Volunteer Survey'!M237)"),"Somatic Cancer")</f>
        <v>Somatic Cancer</v>
      </c>
      <c r="U230" s="64" t="str">
        <f>IFERROR(__xludf.DUMMYFUNCTION("QUERY('Volunteer Survey'!N237)"),"I isolated genes with PCR and screened exons for a local variant of ebidermolysis bullosa.")</f>
        <v>I isolated genes with PCR and screened exons for a local variant of ebidermolysis bullosa.</v>
      </c>
      <c r="V230" s="55" t="str">
        <f>IFERROR(__xludf.DUMMYFUNCTION("QUERY('Volunteer Survey'!O237)"),"Possibly")</f>
        <v>Possibly</v>
      </c>
      <c r="W230" s="66" t="str">
        <f>IFERROR(__xludf.DUMMYFUNCTION("QUERY('Volunteer Survey'!P237)"),"Of the panels listed I am interested in the aminoacidopathy and VHL group.")</f>
        <v>Of the panels listed I am interested in the aminoacidopathy and VHL group.</v>
      </c>
      <c r="X230" s="64" t="str">
        <f>IFERROR(__xludf.DUMMYFUNCTION("QUERY('Volunteer Survey'!R237)"),"Maybe -- please contact me with other options, and I will decide based on what is available")</f>
        <v>Maybe -- please contact me with other options, and I will decide based on what is available</v>
      </c>
      <c r="Y230" s="53"/>
      <c r="Z230" s="182">
        <f>IFERROR(__xludf.DUMMYFUNCTION("QUERY('Volunteer Survey'!A229)"),43628.62621785879)</f>
        <v>43628.62622</v>
      </c>
      <c r="AA230" s="183" t="str">
        <f>IFERROR(__xludf.DUMMYFUNCTION("QUERY('Volunteer Survey'!B229)"),"Laetitia Meyrueix")</f>
        <v>Laetitia Meyrueix</v>
      </c>
      <c r="AB230" s="183" t="str">
        <f>IFERROR(__xludf.DUMMYFUNCTION("QUERY('Volunteer Survey'!C229)"),"University of North Carolina at Chapel Hill")</f>
        <v>University of North Carolina at Chapel Hill</v>
      </c>
      <c r="AC230" s="183" t="str">
        <f>IFERROR(__xludf.DUMMYFUNCTION("QUERY('Volunteer Survey'!D229)"),"509 Stonehill Road Chapel Hill NC 27516")</f>
        <v>509 Stonehill Road Chapel Hill NC 27516</v>
      </c>
      <c r="AD230" s="183" t="str">
        <f>IFERROR(__xludf.DUMMYFUNCTION("QUERY('Volunteer Survey'!E229)"),"lmeyruei@email.unc.edu")</f>
        <v>lmeyruei@email.unc.edu</v>
      </c>
      <c r="AE230" s="183" t="str">
        <f>IFERROR(__xludf.DUMMYFUNCTION("QUERY('Volunteer Survey'!F229)"),"Graduate Student")</f>
        <v>Graduate Student</v>
      </c>
      <c r="AF230" s="183" t="str">
        <f>IFERROR(__xludf.DUMMYFUNCTION("QUERY('Volunteer Survey'!G229)"),"Networking, Co-director of UNC Clinical Fellowship")</f>
        <v>Networking, Co-director of UNC Clinical Fellowship</v>
      </c>
      <c r="AG230" s="183" t="str">
        <f>IFERROR(__xludf.DUMMYFUNCTION("QUERY('Volunteer Survey'!H229)"),"Comprehensive")</f>
        <v>Comprehensive</v>
      </c>
      <c r="AH230" s="183" t="str">
        <f>IFERROR(__xludf.DUMMYFUNCTION("QUERY('Volunteer Survey'!I229)"),"Gene-Disease Validity")</f>
        <v>Gene-Disease Validity</v>
      </c>
      <c r="AI230" s="183" t="str">
        <f>IFERROR(__xludf.DUMMYFUNCTION("QUERY('Volunteer Survey'!J229)"),"Variant Pathogenicity")</f>
        <v>Variant Pathogenicity</v>
      </c>
      <c r="AJ230" s="183" t="str">
        <f>IFERROR(__xludf.DUMMYFUNCTION("QUERY('Volunteer Survey'!K229)"),"Dosage Sensitivity")</f>
        <v>Dosage Sensitivity</v>
      </c>
      <c r="AK230" s="183" t="str">
        <f>IFERROR(__xludf.DUMMYFUNCTION("QUERY('Volunteer Survey'!L229)"),"Clinical Actionability")</f>
        <v>Clinical Actionability</v>
      </c>
      <c r="AL230" s="183" t="str">
        <f>IFERROR(__xludf.DUMMYFUNCTION("QUERY('Volunteer Survey'!M229)"),"")</f>
        <v/>
      </c>
      <c r="AM230" s="183" t="str">
        <f>IFERROR(__xludf.DUMMYFUNCTION("QUERY('Volunteer Survey'!N229)"),"I do not per se have experience. I am familiar with the topics.")</f>
        <v>I do not per se have experience. I am familiar with the topics.</v>
      </c>
      <c r="AN230" s="183" t="str">
        <f>IFERROR(__xludf.DUMMYFUNCTION("QUERY('Volunteer Survey'!O229)"),"No")</f>
        <v>No</v>
      </c>
      <c r="AO230" s="183" t="str">
        <f>IFERROR(__xludf.DUMMYFUNCTION("QUERY('Volunteer Survey'!P229)"),"")</f>
        <v/>
      </c>
    </row>
    <row r="231">
      <c r="A231" s="50">
        <f>IFERROR(__xludf.DUMMYFUNCTION("QUERY('Volunteer Survey'!A238)"),43648.49980006944)</f>
        <v>43648.4998</v>
      </c>
      <c r="B231" s="48" t="s">
        <v>108</v>
      </c>
      <c r="C231" s="53"/>
      <c r="D231" s="55"/>
      <c r="E231" s="55"/>
      <c r="F231" s="48" t="s">
        <v>130</v>
      </c>
      <c r="G231" s="48" t="s">
        <v>202</v>
      </c>
      <c r="H231" s="53"/>
      <c r="I231" s="51" t="s">
        <v>139</v>
      </c>
      <c r="J231" s="55"/>
      <c r="K231" s="55"/>
      <c r="L231" s="55" t="str">
        <f>IFERROR(__xludf.DUMMYFUNCTION("QUERY('Volunteer Survey'!B238)"),"Sarah Payne ")</f>
        <v>Sarah Payne </v>
      </c>
      <c r="M231" s="55" t="str">
        <f>IFERROR(__xludf.DUMMYFUNCTION("QUERY('Volunteer Survey'!E238)"),"sarahhale79@gmail.com")</f>
        <v>sarahhale79@gmail.com</v>
      </c>
      <c r="N231" s="55" t="str">
        <f>IFERROR(__xludf.DUMMYFUNCTION("QUERY('Volunteer Survey'!F238)"),"Female family with unknown genetic disorder ")</f>
        <v>Female family with unknown genetic disorder </v>
      </c>
      <c r="O231" s="48" t="str">
        <f>IFERROR(__xludf.DUMMYFUNCTION("QUERY('Volunteer Survey'!H238)"),"Baseline")</f>
        <v>Baseline</v>
      </c>
      <c r="P231" s="55" t="str">
        <f>IFERROR(__xludf.DUMMYFUNCTION("QUERY('Volunteer Survey'!I238)"),"Gene-Disease Validity")</f>
        <v>Gene-Disease Validity</v>
      </c>
      <c r="Q231" s="60" t="str">
        <f>IFERROR(__xludf.DUMMYFUNCTION("QUERY('Volunteer Survey'!J238)"),"Variant Pathogenicity")</f>
        <v>Variant Pathogenicity</v>
      </c>
      <c r="R231" s="55" t="str">
        <f>IFERROR(__xludf.DUMMYFUNCTION("QUERY('Volunteer Survey'!K238)"),"Clinical Actionability")</f>
        <v>Clinical Actionability</v>
      </c>
      <c r="S231" s="55" t="str">
        <f>IFERROR(__xludf.DUMMYFUNCTION("QUERY('Volunteer Survey'!L238)"),"Dosage Sensitivity")</f>
        <v>Dosage Sensitivity</v>
      </c>
      <c r="T231" s="55" t="str">
        <f>IFERROR(__xludf.DUMMYFUNCTION("QUERY('Volunteer Survey'!M238)"),"Somatic Cancer")</f>
        <v>Somatic Cancer</v>
      </c>
      <c r="U231" s="64" t="str">
        <f>IFERROR(__xludf.DUMMYFUNCTION("QUERY('Volunteer Survey'!N238)"),"I've been in medical trials ")</f>
        <v>I've been in medical trials </v>
      </c>
      <c r="V231" s="55" t="str">
        <f>IFERROR(__xludf.DUMMYFUNCTION("QUERY('Volunteer Survey'!O238)"),"Yes")</f>
        <v>Yes</v>
      </c>
      <c r="W231" s="66" t="str">
        <f>IFERROR(__xludf.DUMMYFUNCTION("QUERY('Volunteer Survey'!P238)"),"Yes")</f>
        <v>Yes</v>
      </c>
      <c r="X231" s="64" t="str">
        <f>IFERROR(__xludf.DUMMYFUNCTION("QUERY('Volunteer Survey'!R238)"),"Yes- I am willing to volunteer with any available ClinGen group")</f>
        <v>Yes- I am willing to volunteer with any available ClinGen group</v>
      </c>
      <c r="Y231" s="51" t="s">
        <v>3149</v>
      </c>
      <c r="Z231" s="182">
        <f>IFERROR(__xludf.DUMMYFUNCTION("QUERY('Volunteer Survey'!A230)"),43632.88082258102)</f>
        <v>43632.88082</v>
      </c>
      <c r="AA231" s="183" t="str">
        <f>IFERROR(__xludf.DUMMYFUNCTION("QUERY('Volunteer Survey'!B230)"),"Malak Ashraf")</f>
        <v>Malak Ashraf</v>
      </c>
      <c r="AB231" s="183" t="str">
        <f>IFERROR(__xludf.DUMMYFUNCTION("QUERY('Volunteer Survey'!C230)"),"El Qalyubia STEM School.")</f>
        <v>El Qalyubia STEM School.</v>
      </c>
      <c r="AC231" s="183" t="str">
        <f>IFERROR(__xludf.DUMMYFUNCTION("QUERY('Volunteer Survey'!D230)"),"10 Ali el shazly st. Dar el salaam, Cairo, Egypt. ")</f>
        <v>10 Ali el shazly st. Dar el salaam, Cairo, Egypt. </v>
      </c>
      <c r="AD231" s="183" t="str">
        <f>IFERROR(__xludf.DUMMYFUNCTION("QUERY('Volunteer Survey'!E230)"),"malak.2118144@stemkalubya.moe.edu.eg")</f>
        <v>malak.2118144@stemkalubya.moe.edu.eg</v>
      </c>
      <c r="AE231" s="183" t="str">
        <f>IFERROR(__xludf.DUMMYFUNCTION("QUERY('Volunteer Survey'!F230)"),"High School Student")</f>
        <v>High School Student</v>
      </c>
      <c r="AF231" s="183" t="str">
        <f>IFERROR(__xludf.DUMMYFUNCTION("QUERY('Volunteer Survey'!G230)"),"Networking")</f>
        <v>Networking</v>
      </c>
      <c r="AG231" s="183" t="str">
        <f>IFERROR(__xludf.DUMMYFUNCTION("QUERY('Volunteer Survey'!H230)"),"Baseline")</f>
        <v>Baseline</v>
      </c>
      <c r="AH231" s="183" t="str">
        <f>IFERROR(__xludf.DUMMYFUNCTION("QUERY('Volunteer Survey'!I230)"),"Somatic Cancer")</f>
        <v>Somatic Cancer</v>
      </c>
      <c r="AI231" s="183" t="str">
        <f>IFERROR(__xludf.DUMMYFUNCTION("QUERY('Volunteer Survey'!J230)"),"Variant Pathogenicity")</f>
        <v>Variant Pathogenicity</v>
      </c>
      <c r="AJ231" s="183" t="str">
        <f>IFERROR(__xludf.DUMMYFUNCTION("QUERY('Volunteer Survey'!K230)"),"Gene-Disease Validity")</f>
        <v>Gene-Disease Validity</v>
      </c>
      <c r="AK231" s="183" t="str">
        <f>IFERROR(__xludf.DUMMYFUNCTION("QUERY('Volunteer Survey'!L230)"),"")</f>
        <v/>
      </c>
      <c r="AL231" s="183" t="str">
        <f>IFERROR(__xludf.DUMMYFUNCTION("QUERY('Volunteer Survey'!M230)"),"")</f>
        <v/>
      </c>
      <c r="AM231" s="183" t="str">
        <f>IFERROR(__xludf.DUMMYFUNCTION("QUERY('Volunteer Survey'!N230)"),"I did not have the opportunity to have a sufficient experiences, but i think passion will make me do it. i am a reader in pathology and virology, so, i think am a good candidate to be a member in one of these great working groups.")</f>
        <v>I did not have the opportunity to have a sufficient experiences, but i think passion will make me do it. i am a reader in pathology and virology, so, i think am a good candidate to be a member in one of these great working groups.</v>
      </c>
      <c r="AN231" s="183" t="str">
        <f>IFERROR(__xludf.DUMMYFUNCTION("QUERY('Volunteer Survey'!O230)"),"No")</f>
        <v>No</v>
      </c>
      <c r="AO231" s="183" t="str">
        <f>IFERROR(__xludf.DUMMYFUNCTION("QUERY('Volunteer Survey'!P230)"),"yes, i am interested in joining Somatic Cancer working group!")</f>
        <v>yes, i am interested in joining Somatic Cancer working group!</v>
      </c>
    </row>
    <row r="232">
      <c r="A232" s="50">
        <f>IFERROR(__xludf.DUMMYFUNCTION("QUERY('Volunteer Survey'!A239)"),43648.64460309028)</f>
        <v>43648.6446</v>
      </c>
      <c r="B232" s="48" t="s">
        <v>160</v>
      </c>
      <c r="C232" s="79">
        <v>43705.0</v>
      </c>
      <c r="D232" s="65">
        <v>43719.0</v>
      </c>
      <c r="E232" s="48" t="s">
        <v>117</v>
      </c>
      <c r="F232" s="48" t="s">
        <v>130</v>
      </c>
      <c r="G232" s="48" t="s">
        <v>136</v>
      </c>
      <c r="H232" s="51" t="s">
        <v>317</v>
      </c>
      <c r="I232" s="51" t="s">
        <v>139</v>
      </c>
      <c r="J232" s="55"/>
      <c r="K232" s="55"/>
      <c r="L232" s="55" t="str">
        <f>IFERROR(__xludf.DUMMYFUNCTION("QUERY('Volunteer Survey'!B239)"),"Lori Millner")</f>
        <v>Lori Millner</v>
      </c>
      <c r="M232" s="55" t="str">
        <f>IFERROR(__xludf.DUMMYFUNCTION("QUERY('Volunteer Survey'!E239)"),"lorimillner77@gmail.com")</f>
        <v>lorimillner77@gmail.com</v>
      </c>
      <c r="N232" s="55" t="str">
        <f>IFERROR(__xludf.DUMMYFUNCTION("QUERY('Volunteer Survey'!F239)"),"Clinical Lab Director")</f>
        <v>Clinical Lab Director</v>
      </c>
      <c r="O232" s="48" t="str">
        <f>IFERROR(__xludf.DUMMYFUNCTION("QUERY('Volunteer Survey'!H239)"),"Comprehensive")</f>
        <v>Comprehensive</v>
      </c>
      <c r="P232" s="55" t="str">
        <f>IFERROR(__xludf.DUMMYFUNCTION("QUERY('Volunteer Survey'!I239)"),"Somatic Cancer")</f>
        <v>Somatic Cancer</v>
      </c>
      <c r="Q232" s="60" t="str">
        <f>IFERROR(__xludf.DUMMYFUNCTION("QUERY('Volunteer Survey'!J239)"),"Clinical Actionability")</f>
        <v>Clinical Actionability</v>
      </c>
      <c r="R232" s="55" t="str">
        <f>IFERROR(__xludf.DUMMYFUNCTION("QUERY('Volunteer Survey'!K239)"),"")</f>
        <v/>
      </c>
      <c r="S232" s="55" t="str">
        <f>IFERROR(__xludf.DUMMYFUNCTION("QUERY('Volunteer Survey'!L239)"),"")</f>
        <v/>
      </c>
      <c r="T232" s="55" t="str">
        <f>IFERROR(__xludf.DUMMYFUNCTION("QUERY('Volunteer Survey'!M239)"),"")</f>
        <v/>
      </c>
      <c r="U232" s="64" t="str">
        <f>IFERROR(__xludf.DUMMYFUNCTION("QUERY('Volunteer Survey'!N239)"),"Yes, I performed NGS somatic mutation panels on single cells.")</f>
        <v>Yes, I performed NGS somatic mutation panels on single cells.</v>
      </c>
      <c r="V232" s="55" t="str">
        <f>IFERROR(__xludf.DUMMYFUNCTION("QUERY('Volunteer Survey'!O239)"),"Possibly")</f>
        <v>Possibly</v>
      </c>
      <c r="W232" s="66" t="str">
        <f>IFERROR(__xludf.DUMMYFUNCTION("QUERY('Volunteer Survey'!P239)"),"")</f>
        <v/>
      </c>
      <c r="X232" s="64" t="str">
        <f>IFERROR(__xludf.DUMMYFUNCTION("QUERY('Volunteer Survey'!R239)"),"Maybe -- please contact me with other options, and I will decide based on what is available")</f>
        <v>Maybe -- please contact me with other options, and I will decide based on what is available</v>
      </c>
      <c r="Y232" s="53"/>
      <c r="Z232" s="182">
        <f>IFERROR(__xludf.DUMMYFUNCTION("QUERY('Volunteer Survey'!A231)"),43633.67853769676)</f>
        <v>43633.67854</v>
      </c>
      <c r="AA232" s="183" t="str">
        <f>IFERROR(__xludf.DUMMYFUNCTION("QUERY('Volunteer Survey'!B231)"),"Abul Kalam Azad")</f>
        <v>Abul Kalam Azad</v>
      </c>
      <c r="AB232" s="183" t="str">
        <f>IFERROR(__xludf.DUMMYFUNCTION("QUERY('Volunteer Survey'!C231)"),"Montefiore Medical Center")</f>
        <v>Montefiore Medical Center</v>
      </c>
      <c r="AC232" s="183" t="str">
        <f>IFERROR(__xludf.DUMMYFUNCTION("QUERY('Volunteer Survey'!D231)"),"1641 Metropolitan Ave
Apt 3A")</f>
        <v>1641 Metropolitan Ave
Apt 3A</v>
      </c>
      <c r="AD232" s="183" t="str">
        <f>IFERROR(__xludf.DUMMYFUNCTION("QUERY('Volunteer Survey'!E231)"),"azadak@gmail.com")</f>
        <v>azadak@gmail.com</v>
      </c>
      <c r="AE232" s="183" t="str">
        <f>IFERROR(__xludf.DUMMYFUNCTION("QUERY('Volunteer Survey'!F231)"),"Post Doc/Resident/Fellow (MD and/or PhD)")</f>
        <v>Post Doc/Resident/Fellow (MD and/or PhD)</v>
      </c>
      <c r="AF232" s="183" t="str">
        <f>IFERROR(__xludf.DUMMYFUNCTION("QUERY('Volunteer Survey'!G231)"),"ACMG Conference 2019")</f>
        <v>ACMG Conference 2019</v>
      </c>
      <c r="AG232" s="183" t="str">
        <f>IFERROR(__xludf.DUMMYFUNCTION("QUERY('Volunteer Survey'!H231)"),"Comprehensive")</f>
        <v>Comprehensive</v>
      </c>
      <c r="AH232" s="183" t="str">
        <f>IFERROR(__xludf.DUMMYFUNCTION("QUERY('Volunteer Survey'!I231)"),"Clinical Actionability")</f>
        <v>Clinical Actionability</v>
      </c>
      <c r="AI232" s="183" t="str">
        <f>IFERROR(__xludf.DUMMYFUNCTION("QUERY('Volunteer Survey'!J231)"),"Variant Pathogenicity")</f>
        <v>Variant Pathogenicity</v>
      </c>
      <c r="AJ232" s="183" t="str">
        <f>IFERROR(__xludf.DUMMYFUNCTION("QUERY('Volunteer Survey'!K231)"),"Gene-Disease Validity")</f>
        <v>Gene-Disease Validity</v>
      </c>
      <c r="AK232" s="183" t="str">
        <f>IFERROR(__xludf.DUMMYFUNCTION("QUERY('Volunteer Survey'!L231)"),"Somatic Cancer")</f>
        <v>Somatic Cancer</v>
      </c>
      <c r="AL232" s="183" t="str">
        <f>IFERROR(__xludf.DUMMYFUNCTION("QUERY('Volunteer Survey'!M231)"),"Dosage Sensitivity")</f>
        <v>Dosage Sensitivity</v>
      </c>
      <c r="AM232" s="183" t="str">
        <f>IFERROR(__xludf.DUMMYFUNCTION("QUERY('Volunteer Survey'!N231)"),"")</f>
        <v/>
      </c>
      <c r="AN232" s="183" t="str">
        <f>IFERROR(__xludf.DUMMYFUNCTION("QUERY('Volunteer Survey'!O231)"),"Yes")</f>
        <v>Yes</v>
      </c>
      <c r="AO232" s="183" t="str">
        <f>IFERROR(__xludf.DUMMYFUNCTION("QUERY('Volunteer Survey'!P231)"),"")</f>
        <v/>
      </c>
    </row>
    <row r="233">
      <c r="A233" s="50">
        <f>IFERROR(__xludf.DUMMYFUNCTION("QUERY('Volunteer Survey'!A240)"),43651.29248090278)</f>
        <v>43651.29248</v>
      </c>
      <c r="B233" s="48" t="s">
        <v>108</v>
      </c>
      <c r="C233" s="79">
        <v>43689.0</v>
      </c>
      <c r="D233" s="55"/>
      <c r="E233" s="55"/>
      <c r="F233" s="48" t="s">
        <v>130</v>
      </c>
      <c r="G233" s="48" t="s">
        <v>19</v>
      </c>
      <c r="H233" s="69"/>
      <c r="I233" s="51" t="s">
        <v>139</v>
      </c>
      <c r="J233" s="55"/>
      <c r="K233" s="55"/>
      <c r="L233" s="55" t="str">
        <f>IFERROR(__xludf.DUMMYFUNCTION("QUERY('Volunteer Survey'!B240)"),"Agnes Sebastian")</f>
        <v>Agnes Sebastian</v>
      </c>
      <c r="M233" s="55" t="str">
        <f>IFERROR(__xludf.DUMMYFUNCTION("QUERY('Volunteer Survey'!E240)"),"agnes.sebastian@mail.utoronto.ca")</f>
        <v>agnes.sebastian@mail.utoronto.ca</v>
      </c>
      <c r="N233" s="55" t="str">
        <f>IFERROR(__xludf.DUMMYFUNCTION("QUERY('Volunteer Survey'!F240)"),"Graduate Student")</f>
        <v>Graduate Student</v>
      </c>
      <c r="O233" s="48" t="str">
        <f>IFERROR(__xludf.DUMMYFUNCTION("QUERY('Volunteer Survey'!H240)"),"Comprehensive")</f>
        <v>Comprehensive</v>
      </c>
      <c r="P233" s="55" t="str">
        <f>IFERROR(__xludf.DUMMYFUNCTION("QUERY('Volunteer Survey'!I240)"),"Clinical Actionability")</f>
        <v>Clinical Actionability</v>
      </c>
      <c r="Q233" s="60" t="str">
        <f>IFERROR(__xludf.DUMMYFUNCTION("QUERY('Volunteer Survey'!J240)"),"Variant Pathogenicity")</f>
        <v>Variant Pathogenicity</v>
      </c>
      <c r="R233" s="55" t="str">
        <f>IFERROR(__xludf.DUMMYFUNCTION("QUERY('Volunteer Survey'!K240)"),"Gene-Disease Validity")</f>
        <v>Gene-Disease Validity</v>
      </c>
      <c r="S233" s="55" t="str">
        <f>IFERROR(__xludf.DUMMYFUNCTION("QUERY('Volunteer Survey'!L240)"),"Dosage Sensitivity")</f>
        <v>Dosage Sensitivity</v>
      </c>
      <c r="T233" s="55" t="str">
        <f>IFERROR(__xludf.DUMMYFUNCTION("QUERY('Volunteer Survey'!M240)"),"Somatic Cancer")</f>
        <v>Somatic Cancer</v>
      </c>
      <c r="U233" s="64" t="str">
        <f>IFERROR(__xludf.DUMMYFUNCTION("QUERY('Volunteer Survey'!N240)"),"")</f>
        <v/>
      </c>
      <c r="V233" s="55" t="str">
        <f>IFERROR(__xludf.DUMMYFUNCTION("QUERY('Volunteer Survey'!O240)"),"Possibly")</f>
        <v>Possibly</v>
      </c>
      <c r="W233" s="66" t="str">
        <f>IFERROR(__xludf.DUMMYFUNCTION("QUERY('Volunteer Survey'!P240)"),"No - any group related to cancer or hearing loss is preferable")</f>
        <v>No - any group related to cancer or hearing loss is preferable</v>
      </c>
      <c r="X233" s="64" t="str">
        <f>IFERROR(__xludf.DUMMYFUNCTION("QUERY('Volunteer Survey'!R240)"),"Maybe -- please contact me with other options, and I will decide based on what is available")</f>
        <v>Maybe -- please contact me with other options, and I will decide based on what is available</v>
      </c>
      <c r="Y233" s="53"/>
      <c r="Z233" s="182">
        <f>IFERROR(__xludf.DUMMYFUNCTION("QUERY('Volunteer Survey'!A232)"),43634.57313834491)</f>
        <v>43634.57314</v>
      </c>
      <c r="AA233" s="183" t="str">
        <f>IFERROR(__xludf.DUMMYFUNCTION("QUERY('Volunteer Survey'!B232)"),"Amruta Phatak")</f>
        <v>Amruta Phatak</v>
      </c>
      <c r="AB233" s="183" t="str">
        <f>IFERROR(__xludf.DUMMYFUNCTION("QUERY('Volunteer Survey'!C232)"),"Indiana University")</f>
        <v>Indiana University</v>
      </c>
      <c r="AC233" s="183" t="str">
        <f>IFERROR(__xludf.DUMMYFUNCTION("QUERY('Volunteer Survey'!D232)"),"1044 West Walnut Street
R4-W204
IUPUI, Indianapolis")</f>
        <v>1044 West Walnut Street
R4-W204
IUPUI, Indianapolis</v>
      </c>
      <c r="AD233" s="183" t="str">
        <f>IFERROR(__xludf.DUMMYFUNCTION("QUERY('Volunteer Survey'!E232)"),"arphatak@iu.edu")</f>
        <v>arphatak@iu.edu</v>
      </c>
      <c r="AE233" s="183" t="str">
        <f>IFERROR(__xludf.DUMMYFUNCTION("QUERY('Volunteer Survey'!F232)"),"Post Doc/Resident/Fellow (MD and/or PhD)")</f>
        <v>Post Doc/Resident/Fellow (MD and/or PhD)</v>
      </c>
      <c r="AF233" s="183" t="str">
        <f>IFERROR(__xludf.DUMMYFUNCTION("QUERY('Volunteer Survey'!G232)"),"The clinicalgenome.org website")</f>
        <v>The clinicalgenome.org website</v>
      </c>
      <c r="AG233" s="183" t="str">
        <f>IFERROR(__xludf.DUMMYFUNCTION("QUERY('Volunteer Survey'!H232)"),"Comprehensive")</f>
        <v>Comprehensive</v>
      </c>
      <c r="AH233" s="183" t="str">
        <f>IFERROR(__xludf.DUMMYFUNCTION("QUERY('Volunteer Survey'!I232)"),"Gene-Disease Validity")</f>
        <v>Gene-Disease Validity</v>
      </c>
      <c r="AI233" s="183" t="str">
        <f>IFERROR(__xludf.DUMMYFUNCTION("QUERY('Volunteer Survey'!J232)"),"Variant Pathogenicity")</f>
        <v>Variant Pathogenicity</v>
      </c>
      <c r="AJ233" s="183" t="str">
        <f>IFERROR(__xludf.DUMMYFUNCTION("QUERY('Volunteer Survey'!K232)"),"Clinical Actionability")</f>
        <v>Clinical Actionability</v>
      </c>
      <c r="AK233" s="183" t="str">
        <f>IFERROR(__xludf.DUMMYFUNCTION("QUERY('Volunteer Survey'!L232)"),"Dosage Sensitivity")</f>
        <v>Dosage Sensitivity</v>
      </c>
      <c r="AL233" s="183" t="str">
        <f>IFERROR(__xludf.DUMMYFUNCTION("QUERY('Volunteer Survey'!M232)"),"Somatic Cancer")</f>
        <v>Somatic Cancer</v>
      </c>
      <c r="AM233" s="183" t="str">
        <f>IFERROR(__xludf.DUMMYFUNCTION("QUERY('Volunteer Survey'!N232)"),"")</f>
        <v/>
      </c>
      <c r="AN233" s="183" t="str">
        <f>IFERROR(__xludf.DUMMYFUNCTION("QUERY('Volunteer Survey'!O232)"),"Yes")</f>
        <v>Yes</v>
      </c>
      <c r="AO233" s="183" t="str">
        <f>IFERROR(__xludf.DUMMYFUNCTION("QUERY('Volunteer Survey'!P232)"),"")</f>
        <v/>
      </c>
    </row>
    <row r="234">
      <c r="A234" s="50">
        <f>IFERROR(__xludf.DUMMYFUNCTION("QUERY('Volunteer Survey'!A241)"),43651.61837447916)</f>
        <v>43651.61837</v>
      </c>
      <c r="B234" s="48" t="s">
        <v>168</v>
      </c>
      <c r="C234" s="53"/>
      <c r="D234" s="55"/>
      <c r="E234" s="55"/>
      <c r="F234" s="48" t="s">
        <v>130</v>
      </c>
      <c r="G234" s="48" t="s">
        <v>251</v>
      </c>
      <c r="H234" s="53"/>
      <c r="I234" s="51" t="s">
        <v>139</v>
      </c>
      <c r="J234" s="55"/>
      <c r="K234" s="55"/>
      <c r="L234" s="55" t="str">
        <f>IFERROR(__xludf.DUMMYFUNCTION("QUERY('Volunteer Survey'!B241)"),"Xiangqiang Shao")</f>
        <v>Xiangqiang Shao</v>
      </c>
      <c r="M234" s="55" t="str">
        <f>IFERROR(__xludf.DUMMYFUNCTION("QUERY('Volunteer Survey'!E241)"),"xshao5@wisc.edu")</f>
        <v>xshao5@wisc.edu</v>
      </c>
      <c r="N234" s="55" t="str">
        <f>IFERROR(__xludf.DUMMYFUNCTION("QUERY('Volunteer Survey'!F241)"),"Scientific Researcher")</f>
        <v>Scientific Researcher</v>
      </c>
      <c r="O234" s="48" t="str">
        <f>IFERROR(__xludf.DUMMYFUNCTION("QUERY('Volunteer Survey'!H241)"),"Comprehensive")</f>
        <v>Comprehensive</v>
      </c>
      <c r="P234" s="55" t="str">
        <f>IFERROR(__xludf.DUMMYFUNCTION("QUERY('Volunteer Survey'!I241)"),"Variant Pathogenicity")</f>
        <v>Variant Pathogenicity</v>
      </c>
      <c r="Q234" s="60" t="str">
        <f>IFERROR(__xludf.DUMMYFUNCTION("QUERY('Volunteer Survey'!J241)"),"Dosage Sensitivity")</f>
        <v>Dosage Sensitivity</v>
      </c>
      <c r="R234" s="55" t="str">
        <f>IFERROR(__xludf.DUMMYFUNCTION("QUERY('Volunteer Survey'!K241)"),"Clinical Actionability")</f>
        <v>Clinical Actionability</v>
      </c>
      <c r="S234" s="55" t="str">
        <f>IFERROR(__xludf.DUMMYFUNCTION("QUERY('Volunteer Survey'!L241)"),"Gene-Disease Validity")</f>
        <v>Gene-Disease Validity</v>
      </c>
      <c r="T234" s="55" t="str">
        <f>IFERROR(__xludf.DUMMYFUNCTION("QUERY('Volunteer Survey'!M241)"),"Somatic Cancer")</f>
        <v>Somatic Cancer</v>
      </c>
      <c r="U234" s="64" t="str">
        <f>IFERROR(__xludf.DUMMYFUNCTION("QUERY('Volunteer Survey'!N241)"),"I currently do microarray analysis for clinical samples at Wisconsin State Lab of Hygiene to determine the pathogenicity of the CNVs we detected, and I am working on a project to develop a NGS panel for Familial Hypercholesterolemia.")</f>
        <v>I currently do microarray analysis for clinical samples at Wisconsin State Lab of Hygiene to determine the pathogenicity of the CNVs we detected, and I am working on a project to develop a NGS panel for Familial Hypercholesterolemia.</v>
      </c>
      <c r="V234" s="55" t="str">
        <f>IFERROR(__xludf.DUMMYFUNCTION("QUERY('Volunteer Survey'!O241)"),"Possibly")</f>
        <v>Possibly</v>
      </c>
      <c r="W234" s="66" t="str">
        <f>IFERROR(__xludf.DUMMYFUNCTION("QUERY('Volunteer Survey'!P241)"),"Epilepsy, and Intellectual Disability and Autism")</f>
        <v>Epilepsy, and Intellectual Disability and Autism</v>
      </c>
      <c r="X234" s="64" t="str">
        <f>IFERROR(__xludf.DUMMYFUNCTION("QUERY('Volunteer Survey'!R241)"),"Yes- I am willing to volunteer with any available ClinGen group")</f>
        <v>Yes- I am willing to volunteer with any available ClinGen group</v>
      </c>
      <c r="Y234" s="53"/>
      <c r="Z234" s="182">
        <f>IFERROR(__xludf.DUMMYFUNCTION("QUERY('Volunteer Survey'!A233)"),43635.01375898148)</f>
        <v>43635.01376</v>
      </c>
      <c r="AA234" s="183" t="str">
        <f>IFERROR(__xludf.DUMMYFUNCTION("QUERY('Volunteer Survey'!B233)"),"Priyabrata Panigrahi")</f>
        <v>Priyabrata Panigrahi</v>
      </c>
      <c r="AB234" s="183" t="str">
        <f>IFERROR(__xludf.DUMMYFUNCTION("QUERY('Volunteer Survey'!C233)"),"Innoplexus Pvt Ltd")</f>
        <v>Innoplexus Pvt Ltd</v>
      </c>
      <c r="AC234" s="183" t="str">
        <f>IFERROR(__xludf.DUMMYFUNCTION("QUERY('Volunteer Survey'!D233)"),"Midas Tower, Phase1, Hinjawadi")</f>
        <v>Midas Tower, Phase1, Hinjawadi</v>
      </c>
      <c r="AD234" s="183" t="str">
        <f>IFERROR(__xludf.DUMMYFUNCTION("QUERY('Volunteer Survey'!E233)"),"pb.panigrahi86@gmail.com")</f>
        <v>pb.panigrahi86@gmail.com</v>
      </c>
      <c r="AE234" s="183" t="str">
        <f>IFERROR(__xludf.DUMMYFUNCTION("QUERY('Volunteer Survey'!F233)"),"Scientific Researcher")</f>
        <v>Scientific Researcher</v>
      </c>
      <c r="AF234" s="183" t="str">
        <f>IFERROR(__xludf.DUMMYFUNCTION("QUERY('Volunteer Survey'!G233)"),"The clinicalgenome.org website")</f>
        <v>The clinicalgenome.org website</v>
      </c>
      <c r="AG234" s="183" t="str">
        <f>IFERROR(__xludf.DUMMYFUNCTION("QUERY('Volunteer Survey'!H233)"),"Comprehensive")</f>
        <v>Comprehensive</v>
      </c>
      <c r="AH234" s="183" t="str">
        <f>IFERROR(__xludf.DUMMYFUNCTION("QUERY('Volunteer Survey'!I233)"),"Somatic Cancer")</f>
        <v>Somatic Cancer</v>
      </c>
      <c r="AI234" s="183" t="str">
        <f>IFERROR(__xludf.DUMMYFUNCTION("QUERY('Volunteer Survey'!J233)"),"Variant Pathogenicity")</f>
        <v>Variant Pathogenicity</v>
      </c>
      <c r="AJ234" s="183" t="str">
        <f>IFERROR(__xludf.DUMMYFUNCTION("QUERY('Volunteer Survey'!K233)"),"Clinical Actionability")</f>
        <v>Clinical Actionability</v>
      </c>
      <c r="AK234" s="183" t="str">
        <f>IFERROR(__xludf.DUMMYFUNCTION("QUERY('Volunteer Survey'!L233)"),"Gene-Disease Validity")</f>
        <v>Gene-Disease Validity</v>
      </c>
      <c r="AL234" s="183" t="str">
        <f>IFERROR(__xludf.DUMMYFUNCTION("QUERY('Volunteer Survey'!M233)"),"Dosage Sensitivity")</f>
        <v>Dosage Sensitivity</v>
      </c>
      <c r="AM234" s="183" t="str">
        <f>IFERROR(__xludf.DUMMYFUNCTION("QUERY('Volunteer Survey'!N233)"),"I have experience of performing somatic cancer variant detection NGS based pipelines, downstream variant annotation methods and have good exposure to databases like dbsnp etc.")</f>
        <v>I have experience of performing somatic cancer variant detection NGS based pipelines, downstream variant annotation methods and have good exposure to databases like dbsnp etc.</v>
      </c>
      <c r="AN234" s="183" t="str">
        <f>IFERROR(__xludf.DUMMYFUNCTION("QUERY('Volunteer Survey'!O233)"),"Yes")</f>
        <v>Yes</v>
      </c>
      <c r="AO234" s="183" t="str">
        <f>IFERROR(__xludf.DUMMYFUNCTION("QUERY('Volunteer Survey'!P233)"),"Dont know")</f>
        <v>Dont know</v>
      </c>
    </row>
    <row r="235">
      <c r="A235" s="50">
        <f>IFERROR(__xludf.DUMMYFUNCTION("QUERY('Volunteer Survey'!A242)"),43653.19000947917)</f>
        <v>43653.19001</v>
      </c>
      <c r="B235" s="48" t="s">
        <v>108</v>
      </c>
      <c r="C235" s="53"/>
      <c r="D235" s="55"/>
      <c r="E235" s="55"/>
      <c r="F235" s="48" t="s">
        <v>130</v>
      </c>
      <c r="G235" s="48" t="s">
        <v>202</v>
      </c>
      <c r="H235" s="53"/>
      <c r="I235" s="51" t="s">
        <v>139</v>
      </c>
      <c r="J235" s="55"/>
      <c r="K235" s="55"/>
      <c r="L235" s="55" t="str">
        <f>IFERROR(__xludf.DUMMYFUNCTION("QUERY('Volunteer Survey'!B242)"),"Pradeep Varathan")</f>
        <v>Pradeep Varathan</v>
      </c>
      <c r="M235" s="55" t="str">
        <f>IFERROR(__xludf.DUMMYFUNCTION("QUERY('Volunteer Survey'!E242)"),"pradluzog@gmail.com")</f>
        <v>pradluzog@gmail.com</v>
      </c>
      <c r="N235" s="55" t="str">
        <f>IFERROR(__xludf.DUMMYFUNCTION("QUERY('Volunteer Survey'!F242)"),"Graduate Student")</f>
        <v>Graduate Student</v>
      </c>
      <c r="O235" s="48" t="str">
        <f>IFERROR(__xludf.DUMMYFUNCTION("QUERY('Volunteer Survey'!H242)"),"Baseline")</f>
        <v>Baseline</v>
      </c>
      <c r="P235" s="55" t="str">
        <f>IFERROR(__xludf.DUMMYFUNCTION("QUERY('Volunteer Survey'!I242)"),"")</f>
        <v/>
      </c>
      <c r="Q235" s="60" t="str">
        <f>IFERROR(__xludf.DUMMYFUNCTION("QUERY('Volunteer Survey'!J242)"),"")</f>
        <v/>
      </c>
      <c r="R235" s="55" t="str">
        <f>IFERROR(__xludf.DUMMYFUNCTION("QUERY('Volunteer Survey'!K242)"),"")</f>
        <v/>
      </c>
      <c r="S235" s="55" t="str">
        <f>IFERROR(__xludf.DUMMYFUNCTION("QUERY('Volunteer Survey'!L242)"),"")</f>
        <v/>
      </c>
      <c r="T235" s="55" t="str">
        <f>IFERROR(__xludf.DUMMYFUNCTION("QUERY('Volunteer Survey'!M242)"),"")</f>
        <v/>
      </c>
      <c r="U235" s="64" t="str">
        <f>IFERROR(__xludf.DUMMYFUNCTION("QUERY('Volunteer Survey'!N242)"),"")</f>
        <v/>
      </c>
      <c r="V235" s="55" t="str">
        <f>IFERROR(__xludf.DUMMYFUNCTION("QUERY('Volunteer Survey'!O242)"),"Yes")</f>
        <v>Yes</v>
      </c>
      <c r="W235" s="66" t="str">
        <f>IFERROR(__xludf.DUMMYFUNCTION("QUERY('Volunteer Survey'!P242)"),"")</f>
        <v/>
      </c>
      <c r="X235" s="64" t="str">
        <f>IFERROR(__xludf.DUMMYFUNCTION("QUERY('Volunteer Survey'!R242)"),"Yes- I am willing to volunteer with any available ClinGen group")</f>
        <v>Yes- I am willing to volunteer with any available ClinGen group</v>
      </c>
      <c r="Y235" s="53"/>
      <c r="Z235" s="182">
        <f>IFERROR(__xludf.DUMMYFUNCTION("QUERY('Volunteer Survey'!A234)"),43635.56924690973)</f>
        <v>43635.56925</v>
      </c>
      <c r="AA235" s="183" t="str">
        <f>IFERROR(__xludf.DUMMYFUNCTION("QUERY('Volunteer Survey'!B234)"),"José Patricio Miranda Marín")</f>
        <v>José Patricio Miranda Marín</v>
      </c>
      <c r="AB235" s="183" t="str">
        <f>IFERROR(__xludf.DUMMYFUNCTION("QUERY('Volunteer Survey'!C234)"),"Pontificia Universidad Católica de Chile")</f>
        <v>Pontificia Universidad Católica de Chile</v>
      </c>
      <c r="AC235" s="183" t="str">
        <f>IFERROR(__xludf.DUMMYFUNCTION("QUERY('Volunteer Survey'!D234)"),"Avda. Libertador Bernardo O'Higgins 340")</f>
        <v>Avda. Libertador Bernardo O'Higgins 340</v>
      </c>
      <c r="AD235" s="183" t="str">
        <f>IFERROR(__xludf.DUMMYFUNCTION("QUERY('Volunteer Survey'!E234)"),"jose.miranda@uc.cl")</f>
        <v>jose.miranda@uc.cl</v>
      </c>
      <c r="AE235" s="183" t="str">
        <f>IFERROR(__xludf.DUMMYFUNCTION("QUERY('Volunteer Survey'!F234)"),"Post Doc/Resident/Fellow (MD and/or PhD)")</f>
        <v>Post Doc/Resident/Fellow (MD and/or PhD)</v>
      </c>
      <c r="AF235" s="183" t="str">
        <f>IFERROR(__xludf.DUMMYFUNCTION("QUERY('Volunteer Survey'!G234)"),"The clinicalgenome.org website")</f>
        <v>The clinicalgenome.org website</v>
      </c>
      <c r="AG235" s="183" t="str">
        <f>IFERROR(__xludf.DUMMYFUNCTION("QUERY('Volunteer Survey'!H234)"),"Comprehensive")</f>
        <v>Comprehensive</v>
      </c>
      <c r="AH235" s="183" t="str">
        <f>IFERROR(__xludf.DUMMYFUNCTION("QUERY('Volunteer Survey'!I234)"),"Variant Pathogenicity")</f>
        <v>Variant Pathogenicity</v>
      </c>
      <c r="AI235" s="183" t="str">
        <f>IFERROR(__xludf.DUMMYFUNCTION("QUERY('Volunteer Survey'!J234)"),"Gene-Disease Validity")</f>
        <v>Gene-Disease Validity</v>
      </c>
      <c r="AJ235" s="183" t="str">
        <f>IFERROR(__xludf.DUMMYFUNCTION("QUERY('Volunteer Survey'!K234)"),"")</f>
        <v/>
      </c>
      <c r="AK235" s="183" t="str">
        <f>IFERROR(__xludf.DUMMYFUNCTION("QUERY('Volunteer Survey'!L234)"),"")</f>
        <v/>
      </c>
      <c r="AL235" s="183" t="str">
        <f>IFERROR(__xludf.DUMMYFUNCTION("QUERY('Volunteer Survey'!M234)"),"")</f>
        <v/>
      </c>
      <c r="AM235" s="183" t="str">
        <f>IFERROR(__xludf.DUMMYFUNCTION("QUERY('Volunteer Survey'!N234)"),"yes, I am the Lab Director of the Medical Genomic Unit at the Pontificia Universidad Católica de Chile, and we regularly send submissions to ClinVar (https://www.ncbi.nlm.nih.gov/clinvar/submitters/506969/)")</f>
        <v>yes, I am the Lab Director of the Medical Genomic Unit at the Pontificia Universidad Católica de Chile, and we regularly send submissions to ClinVar (https://www.ncbi.nlm.nih.gov/clinvar/submitters/506969/)</v>
      </c>
      <c r="AN235" s="183" t="str">
        <f>IFERROR(__xludf.DUMMYFUNCTION("QUERY('Volunteer Survey'!O234)"),"Yes")</f>
        <v>Yes</v>
      </c>
      <c r="AO235" s="183" t="str">
        <f>IFERROR(__xludf.DUMMYFUNCTION("QUERY('Volunteer Survey'!P234)"),"Monogenic Diabetes Variant Curation Expert Panel or Mitochondrial Disease Variant Curation Expert Panel")</f>
        <v>Monogenic Diabetes Variant Curation Expert Panel or Mitochondrial Disease Variant Curation Expert Panel</v>
      </c>
    </row>
    <row r="236">
      <c r="A236" s="50">
        <f>IFERROR(__xludf.DUMMYFUNCTION("QUERY('Volunteer Survey'!A243)"),43654.534963287035)</f>
        <v>43654.53496</v>
      </c>
      <c r="B236" s="48" t="s">
        <v>108</v>
      </c>
      <c r="C236" s="79">
        <v>43689.0</v>
      </c>
      <c r="D236" s="55"/>
      <c r="E236" s="55"/>
      <c r="F236" s="48" t="s">
        <v>130</v>
      </c>
      <c r="G236" s="48" t="s">
        <v>19</v>
      </c>
      <c r="H236" s="69"/>
      <c r="I236" s="51" t="s">
        <v>139</v>
      </c>
      <c r="J236" s="55"/>
      <c r="K236" s="55"/>
      <c r="L236" s="55" t="str">
        <f>IFERROR(__xludf.DUMMYFUNCTION("QUERY('Volunteer Survey'!B243)"),"Terri McVeigh")</f>
        <v>Terri McVeigh</v>
      </c>
      <c r="M236" s="55" t="str">
        <f>IFERROR(__xludf.DUMMYFUNCTION("QUERY('Volunteer Survey'!E243)"),"terri.mcveigh@rmh.nhs.uk")</f>
        <v>terri.mcveigh@rmh.nhs.uk</v>
      </c>
      <c r="N236" s="55" t="str">
        <f>IFERROR(__xludf.DUMMYFUNCTION("QUERY('Volunteer Survey'!F243)"),"Clinical Medical Geneticist")</f>
        <v>Clinical Medical Geneticist</v>
      </c>
      <c r="O236" s="48" t="str">
        <f>IFERROR(__xludf.DUMMYFUNCTION("QUERY('Volunteer Survey'!H243)"),"Comprehensive")</f>
        <v>Comprehensive</v>
      </c>
      <c r="P236" s="55" t="str">
        <f>IFERROR(__xludf.DUMMYFUNCTION("QUERY('Volunteer Survey'!I243)"),"Clinical Actionability")</f>
        <v>Clinical Actionability</v>
      </c>
      <c r="Q236" s="60" t="str">
        <f>IFERROR(__xludf.DUMMYFUNCTION("QUERY('Volunteer Survey'!J243)"),"Variant Pathogenicity")</f>
        <v>Variant Pathogenicity</v>
      </c>
      <c r="R236" s="55" t="str">
        <f>IFERROR(__xludf.DUMMYFUNCTION("QUERY('Volunteer Survey'!K243)"),"Gene-Disease Validity")</f>
        <v>Gene-Disease Validity</v>
      </c>
      <c r="S236" s="55" t="str">
        <f>IFERROR(__xludf.DUMMYFUNCTION("QUERY('Volunteer Survey'!L243)"),"Somatic Cancer")</f>
        <v>Somatic Cancer</v>
      </c>
      <c r="T236" s="55" t="str">
        <f>IFERROR(__xludf.DUMMYFUNCTION("QUERY('Volunteer Survey'!M243)"),"Dosage Sensitivity")</f>
        <v>Dosage Sensitivity</v>
      </c>
      <c r="U236" s="64" t="str">
        <f>IFERROR(__xludf.DUMMYFUNCTION("QUERY('Volunteer Survey'!N243)"),"I work as a Medical Geneticist so routinely interrogate variants from the point of view of pathogenicity, actionability and relationship to the patient phenotype. Furthermore, I actively participate in the molecular tumour board,  where we interrogate sim"&amp;"ilar features of somatic variants. ")</f>
        <v>I work as a Medical Geneticist so routinely interrogate variants from the point of view of pathogenicity, actionability and relationship to the patient phenotype. Furthermore, I actively participate in the molecular tumour board,  where we interrogate similar features of somatic variants. </v>
      </c>
      <c r="V236" s="55" t="str">
        <f>IFERROR(__xludf.DUMMYFUNCTION("QUERY('Volunteer Survey'!O243)"),"Possibly")</f>
        <v>Possibly</v>
      </c>
      <c r="W236" s="66" t="str">
        <f>IFERROR(__xludf.DUMMYFUNCTION("QUERY('Volunteer Survey'!P243)"),"")</f>
        <v/>
      </c>
      <c r="X236" s="64" t="str">
        <f>IFERROR(__xludf.DUMMYFUNCTION("QUERY('Volunteer Survey'!R243)"),"Maybe -- please contact me with other options, and I will decide based on what is available")</f>
        <v>Maybe -- please contact me with other options, and I will decide based on what is available</v>
      </c>
      <c r="Y236" s="53"/>
      <c r="Z236" s="182">
        <f>IFERROR(__xludf.DUMMYFUNCTION("QUERY('Volunteer Survey'!A235)"),43638.36269362269)</f>
        <v>43638.36269</v>
      </c>
      <c r="AA236" s="183" t="str">
        <f>IFERROR(__xludf.DUMMYFUNCTION("QUERY('Volunteer Survey'!B235)"),"Helen O'Shea")</f>
        <v>Helen O'Shea</v>
      </c>
      <c r="AB236" s="183" t="str">
        <f>IFERROR(__xludf.DUMMYFUNCTION("QUERY('Volunteer Survey'!C235)"),"Department of Clinical Genetics, Children's Health Ireland")</f>
        <v>Department of Clinical Genetics, Children's Health Ireland</v>
      </c>
      <c r="AC236" s="183" t="str">
        <f>IFERROR(__xludf.DUMMYFUNCTION("QUERY('Volunteer Survey'!D235)"),"Children's Health Ireland at Crumlin D12 N512")</f>
        <v>Children's Health Ireland at Crumlin D12 N512</v>
      </c>
      <c r="AD236" s="183" t="str">
        <f>IFERROR(__xludf.DUMMYFUNCTION("QUERY('Volunteer Survey'!E235)"),"helen.oshea@olchc.ie")</f>
        <v>helen.oshea@olchc.ie</v>
      </c>
      <c r="AE236" s="183" t="str">
        <f>IFERROR(__xludf.DUMMYFUNCTION("QUERY('Volunteer Survey'!F235)"),"Clinical laboratory geneticist")</f>
        <v>Clinical laboratory geneticist</v>
      </c>
      <c r="AF236" s="183" t="str">
        <f>IFERROR(__xludf.DUMMYFUNCTION("QUERY('Volunteer Survey'!G235)"),"Networking")</f>
        <v>Networking</v>
      </c>
      <c r="AG236" s="183" t="str">
        <f>IFERROR(__xludf.DUMMYFUNCTION("QUERY('Volunteer Survey'!H235)"),"Baseline")</f>
        <v>Baseline</v>
      </c>
      <c r="AH236" s="183" t="str">
        <f>IFERROR(__xludf.DUMMYFUNCTION("QUERY('Volunteer Survey'!I235)"),"")</f>
        <v/>
      </c>
      <c r="AI236" s="183" t="str">
        <f>IFERROR(__xludf.DUMMYFUNCTION("QUERY('Volunteer Survey'!J235)"),"")</f>
        <v/>
      </c>
      <c r="AJ236" s="183" t="str">
        <f>IFERROR(__xludf.DUMMYFUNCTION("QUERY('Volunteer Survey'!K235)"),"")</f>
        <v/>
      </c>
      <c r="AK236" s="183" t="str">
        <f>IFERROR(__xludf.DUMMYFUNCTION("QUERY('Volunteer Survey'!L235)"),"")</f>
        <v/>
      </c>
      <c r="AL236" s="183" t="str">
        <f>IFERROR(__xludf.DUMMYFUNCTION("QUERY('Volunteer Survey'!M235)"),"")</f>
        <v/>
      </c>
      <c r="AM236" s="183" t="str">
        <f>IFERROR(__xludf.DUMMYFUNCTION("QUERY('Volunteer Survey'!N235)"),"I am involved in neurodevelopmental disorders research using exome sequencing and variant assessment.")</f>
        <v>I am involved in neurodevelopmental disorders research using exome sequencing and variant assessment.</v>
      </c>
      <c r="AN236" s="183" t="str">
        <f>IFERROR(__xludf.DUMMYFUNCTION("QUERY('Volunteer Survey'!O235)"),"No")</f>
        <v>No</v>
      </c>
      <c r="AO236" s="183" t="str">
        <f>IFERROR(__xludf.DUMMYFUNCTION("QUERY('Volunteer Survey'!P235)"),"Neurodevelopmental disorders, cardiovascular diseases and cancer")</f>
        <v>Neurodevelopmental disorders, cardiovascular diseases and cancer</v>
      </c>
    </row>
    <row r="237">
      <c r="A237" s="50">
        <f>IFERROR(__xludf.DUMMYFUNCTION("QUERY('Volunteer Survey'!A244)"),43655.43017872685)</f>
        <v>43655.43018</v>
      </c>
      <c r="B237" s="48" t="s">
        <v>168</v>
      </c>
      <c r="C237" s="53"/>
      <c r="D237" s="55"/>
      <c r="E237" s="55"/>
      <c r="F237" s="48" t="s">
        <v>130</v>
      </c>
      <c r="G237" s="48" t="s">
        <v>251</v>
      </c>
      <c r="H237" s="53"/>
      <c r="I237" s="51" t="s">
        <v>139</v>
      </c>
      <c r="J237" s="55"/>
      <c r="K237" s="55"/>
      <c r="L237" s="55" t="str">
        <f>IFERROR(__xludf.DUMMYFUNCTION("QUERY('Volunteer Survey'!B244)"),"Gretchen Cote")</f>
        <v>Gretchen Cote</v>
      </c>
      <c r="M237" s="55" t="str">
        <f>IFERROR(__xludf.DUMMYFUNCTION("QUERY('Volunteer Survey'!E244)"),"gretchen.cote@dgs.virginia.gov")</f>
        <v>gretchen.cote@dgs.virginia.gov</v>
      </c>
      <c r="N237" s="55" t="str">
        <f>IFERROR(__xludf.DUMMYFUNCTION("QUERY('Volunteer Survey'!F244)"),"Bioinformatician focusing on Variant Interpretation")</f>
        <v>Bioinformatician focusing on Variant Interpretation</v>
      </c>
      <c r="O237" s="48" t="str">
        <f>IFERROR(__xludf.DUMMYFUNCTION("QUERY('Volunteer Survey'!H244)"),"Comprehensive")</f>
        <v>Comprehensive</v>
      </c>
      <c r="P237" s="55" t="str">
        <f>IFERROR(__xludf.DUMMYFUNCTION("QUERY('Volunteer Survey'!I244)"),"Variant Pathogenicity")</f>
        <v>Variant Pathogenicity</v>
      </c>
      <c r="Q237" s="60" t="str">
        <f>IFERROR(__xludf.DUMMYFUNCTION("QUERY('Volunteer Survey'!J244)"),"Clinical Actionability")</f>
        <v>Clinical Actionability</v>
      </c>
      <c r="R237" s="55" t="str">
        <f>IFERROR(__xludf.DUMMYFUNCTION("QUERY('Volunteer Survey'!K244)"),"Gene-Disease Validity")</f>
        <v>Gene-Disease Validity</v>
      </c>
      <c r="S237" s="55" t="str">
        <f>IFERROR(__xludf.DUMMYFUNCTION("QUERY('Volunteer Survey'!L244)"),"Somatic Cancer")</f>
        <v>Somatic Cancer</v>
      </c>
      <c r="T237" s="55" t="str">
        <f>IFERROR(__xludf.DUMMYFUNCTION("QUERY('Volunteer Survey'!M244)"),"Dosage Sensitivity")</f>
        <v>Dosage Sensitivity</v>
      </c>
      <c r="U237" s="64" t="str">
        <f>IFERROR(__xludf.DUMMYFUNCTION("QUERY('Volunteer Survey'!N244)"),"I participate and weekly variant interpretation meetings for variant based newborn screening for Pompe and MPS1")</f>
        <v>I participate and weekly variant interpretation meetings for variant based newborn screening for Pompe and MPS1</v>
      </c>
      <c r="V237" s="55" t="str">
        <f>IFERROR(__xludf.DUMMYFUNCTION("QUERY('Volunteer Survey'!O244)"),"Possibly")</f>
        <v>Possibly</v>
      </c>
      <c r="W237" s="66" t="str">
        <f>IFERROR(__xludf.DUMMYFUNCTION("QUERY('Volunteer Survey'!P244)"),"Lysosomal Storage Disorders")</f>
        <v>Lysosomal Storage Disorders</v>
      </c>
      <c r="X237" s="64" t="str">
        <f>IFERROR(__xludf.DUMMYFUNCTION("QUERY('Volunteer Survey'!R244)"),"Yes- I am willing to volunteer with any available ClinGen group")</f>
        <v>Yes- I am willing to volunteer with any available ClinGen group</v>
      </c>
      <c r="Y237" s="53"/>
      <c r="Z237" s="182">
        <f>IFERROR(__xludf.DUMMYFUNCTION("QUERY('Volunteer Survey'!A236)"),43640.12661005787)</f>
        <v>43640.12661</v>
      </c>
      <c r="AA237" s="183" t="str">
        <f>IFERROR(__xludf.DUMMYFUNCTION("QUERY('Volunteer Survey'!B236)"),"Panos Sergouniotis")</f>
        <v>Panos Sergouniotis</v>
      </c>
      <c r="AB237" s="183" t="str">
        <f>IFERROR(__xludf.DUMMYFUNCTION("QUERY('Volunteer Survey'!C236)"),"University of Manchester, UK")</f>
        <v>University of Manchester, UK</v>
      </c>
      <c r="AC237" s="183" t="str">
        <f>IFERROR(__xludf.DUMMYFUNCTION("QUERY('Volunteer Survey'!D236)"),"Manchester Centre for Genomic Medicine, St Mary's Hospital, Oxford Road, Manchester M13 9WL, UK")</f>
        <v>Manchester Centre for Genomic Medicine, St Mary's Hospital, Oxford Road, Manchester M13 9WL, UK</v>
      </c>
      <c r="AD237" s="183" t="str">
        <f>IFERROR(__xludf.DUMMYFUNCTION("QUERY('Volunteer Survey'!E236)"),"panagiotis.sergouniotis@manchester.ac.uk")</f>
        <v>panagiotis.sergouniotis@manchester.ac.uk</v>
      </c>
      <c r="AE237" s="183" t="str">
        <f>IFERROR(__xludf.DUMMYFUNCTION("QUERY('Volunteer Survey'!F236)"),"I am a qualified Ophthalmologist (FEBO, FRCOphth) with an interest in Ophtalmic Genetics")</f>
        <v>I am a qualified Ophthalmologist (FEBO, FRCOphth) with an interest in Ophtalmic Genetics</v>
      </c>
      <c r="AF237" s="183" t="str">
        <f>IFERROR(__xludf.DUMMYFUNCTION("QUERY('Volunteer Survey'!G236)"),"The clinicalgenome.org website")</f>
        <v>The clinicalgenome.org website</v>
      </c>
      <c r="AG237" s="183" t="str">
        <f>IFERROR(__xludf.DUMMYFUNCTION("QUERY('Volunteer Survey'!H236)"),"Baseline")</f>
        <v>Baseline</v>
      </c>
      <c r="AH237" s="183" t="str">
        <f>IFERROR(__xludf.DUMMYFUNCTION("QUERY('Volunteer Survey'!I236)"),"Gene-Disease Validity")</f>
        <v>Gene-Disease Validity</v>
      </c>
      <c r="AI237" s="183" t="str">
        <f>IFERROR(__xludf.DUMMYFUNCTION("QUERY('Volunteer Survey'!J236)"),"Dosage Sensitivity")</f>
        <v>Dosage Sensitivity</v>
      </c>
      <c r="AJ237" s="183" t="str">
        <f>IFERROR(__xludf.DUMMYFUNCTION("QUERY('Volunteer Survey'!K236)"),"Variant Pathogenicity")</f>
        <v>Variant Pathogenicity</v>
      </c>
      <c r="AK237" s="183" t="str">
        <f>IFERROR(__xludf.DUMMYFUNCTION("QUERY('Volunteer Survey'!L236)"),"Clinical Actionability")</f>
        <v>Clinical Actionability</v>
      </c>
      <c r="AL237" s="183" t="str">
        <f>IFERROR(__xludf.DUMMYFUNCTION("QUERY('Volunteer Survey'!M236)"),"Somatic Cancer")</f>
        <v>Somatic Cancer</v>
      </c>
      <c r="AM237" s="183" t="str">
        <f>IFERROR(__xludf.DUMMYFUNCTION("QUERY('Volunteer Survey'!N236)"),"Yes. I have worked as a curator for PanelApp (https://panelapp.genomicsengland.co.uk/) and I have significantly contributed to HPO and Orphanet (e.g. https://www.ncbi.nlm.nih.gov/pubmed/30626441)")</f>
        <v>Yes. I have worked as a curator for PanelApp (https://panelapp.genomicsengland.co.uk/) and I have significantly contributed to HPO and Orphanet (e.g. https://www.ncbi.nlm.nih.gov/pubmed/30626441)</v>
      </c>
      <c r="AN237" s="183" t="str">
        <f>IFERROR(__xludf.DUMMYFUNCTION("QUERY('Volunteer Survey'!O236)"),"Possibly")</f>
        <v>Possibly</v>
      </c>
      <c r="AO237" s="183" t="str">
        <f>IFERROR(__xludf.DUMMYFUNCTION("QUERY('Volunteer Survey'!P236)"),"Dosage Sensitivity Curation")</f>
        <v>Dosage Sensitivity Curation</v>
      </c>
    </row>
    <row r="238">
      <c r="A238" s="50">
        <f>IFERROR(__xludf.DUMMYFUNCTION("QUERY('Volunteer Survey'!A245)"),43661.550887303245)</f>
        <v>43661.55089</v>
      </c>
      <c r="B238" s="48" t="s">
        <v>108</v>
      </c>
      <c r="C238" s="53"/>
      <c r="D238" s="65">
        <v>43692.0</v>
      </c>
      <c r="E238" s="48" t="s">
        <v>117</v>
      </c>
      <c r="F238" s="48" t="s">
        <v>117</v>
      </c>
      <c r="G238" s="48" t="s">
        <v>122</v>
      </c>
      <c r="H238" s="53"/>
      <c r="I238" s="51" t="s">
        <v>139</v>
      </c>
      <c r="J238" s="55"/>
      <c r="K238" s="55"/>
      <c r="L238" s="55" t="str">
        <f>IFERROR(__xludf.DUMMYFUNCTION("QUERY('Volunteer Survey'!B245)"),"Mayher Patel")</f>
        <v>Mayher Patel</v>
      </c>
      <c r="M238" s="55" t="str">
        <f>IFERROR(__xludf.DUMMYFUNCTION("QUERY('Volunteer Survey'!E245)"),"mayher@broadinstitute.org")</f>
        <v>mayher@broadinstitute.org</v>
      </c>
      <c r="N238" s="55" t="str">
        <f>IFERROR(__xludf.DUMMYFUNCTION("QUERY('Volunteer Survey'!F245)"),"Biocurator")</f>
        <v>Biocurator</v>
      </c>
      <c r="O238" s="48" t="str">
        <f>IFERROR(__xludf.DUMMYFUNCTION("QUERY('Volunteer Survey'!H245)"),"Comprehensive")</f>
        <v>Comprehensive</v>
      </c>
      <c r="P238" s="55" t="str">
        <f>IFERROR(__xludf.DUMMYFUNCTION("QUERY('Volunteer Survey'!I245)"),"Gene-Disease Validity")</f>
        <v>Gene-Disease Validity</v>
      </c>
      <c r="Q238" s="60" t="str">
        <f>IFERROR(__xludf.DUMMYFUNCTION("QUERY('Volunteer Survey'!J245)"),"")</f>
        <v/>
      </c>
      <c r="R238" s="55" t="str">
        <f>IFERROR(__xludf.DUMMYFUNCTION("QUERY('Volunteer Survey'!K245)"),"")</f>
        <v/>
      </c>
      <c r="S238" s="55" t="str">
        <f>IFERROR(__xludf.DUMMYFUNCTION("QUERY('Volunteer Survey'!L245)"),"")</f>
        <v/>
      </c>
      <c r="T238" s="55" t="str">
        <f>IFERROR(__xludf.DUMMYFUNCTION("QUERY('Volunteer Survey'!M245)"),"")</f>
        <v/>
      </c>
      <c r="U238" s="64" t="str">
        <f>IFERROR(__xludf.DUMMYFUNCTION("QUERY('Volunteer Survey'!N245)"),"")</f>
        <v/>
      </c>
      <c r="V238" s="55" t="str">
        <f>IFERROR(__xludf.DUMMYFUNCTION("QUERY('Volunteer Survey'!O245)"),"")</f>
        <v/>
      </c>
      <c r="W238" s="66" t="str">
        <f>IFERROR(__xludf.DUMMYFUNCTION("QUERY('Volunteer Survey'!P245)"),"")</f>
        <v/>
      </c>
      <c r="X238" s="64" t="str">
        <f>IFERROR(__xludf.DUMMYFUNCTION("QUERY('Volunteer Survey'!R245)"),"")</f>
        <v/>
      </c>
      <c r="Y238" s="53"/>
      <c r="Z238" s="182">
        <f>IFERROR(__xludf.DUMMYFUNCTION("QUERY('Volunteer Survey'!A237)"),43643.49489582176)</f>
        <v>43643.4949</v>
      </c>
      <c r="AA238" s="183" t="str">
        <f>IFERROR(__xludf.DUMMYFUNCTION("QUERY('Volunteer Survey'!B237)"),"Marc Lataillade")</f>
        <v>Marc Lataillade</v>
      </c>
      <c r="AB238" s="183" t="str">
        <f>IFERROR(__xludf.DUMMYFUNCTION("QUERY('Volunteer Survey'!C237)"),"Rutgers University")</f>
        <v>Rutgers University</v>
      </c>
      <c r="AC238" s="183" t="str">
        <f>IFERROR(__xludf.DUMMYFUNCTION("QUERY('Volunteer Survey'!D237)"),"23 William Street")</f>
        <v>23 William Street</v>
      </c>
      <c r="AD238" s="183" t="str">
        <f>IFERROR(__xludf.DUMMYFUNCTION("QUERY('Volunteer Survey'!E237)"),"marclataillade258@gmail.com")</f>
        <v>marclataillade258@gmail.com</v>
      </c>
      <c r="AE238" s="183" t="str">
        <f>IFERROR(__xludf.DUMMYFUNCTION("QUERY('Volunteer Survey'!F237)"),"Undergraduate Student")</f>
        <v>Undergraduate Student</v>
      </c>
      <c r="AF238" s="183" t="str">
        <f>IFERROR(__xludf.DUMMYFUNCTION("QUERY('Volunteer Survey'!G237)"),"The clinicalgenome.org website")</f>
        <v>The clinicalgenome.org website</v>
      </c>
      <c r="AG238" s="183" t="str">
        <f>IFERROR(__xludf.DUMMYFUNCTION("QUERY('Volunteer Survey'!H237)"),"Comprehensive")</f>
        <v>Comprehensive</v>
      </c>
      <c r="AH238" s="183" t="str">
        <f>IFERROR(__xludf.DUMMYFUNCTION("QUERY('Volunteer Survey'!I237)"),"Gene-Disease Validity")</f>
        <v>Gene-Disease Validity</v>
      </c>
      <c r="AI238" s="183" t="str">
        <f>IFERROR(__xludf.DUMMYFUNCTION("QUERY('Volunteer Survey'!J237)"),"Variant Pathogenicity")</f>
        <v>Variant Pathogenicity</v>
      </c>
      <c r="AJ238" s="183" t="str">
        <f>IFERROR(__xludf.DUMMYFUNCTION("QUERY('Volunteer Survey'!K237)"),"Clinical Actionability")</f>
        <v>Clinical Actionability</v>
      </c>
      <c r="AK238" s="183" t="str">
        <f>IFERROR(__xludf.DUMMYFUNCTION("QUERY('Volunteer Survey'!L237)"),"Dosage Sensitivity")</f>
        <v>Dosage Sensitivity</v>
      </c>
      <c r="AL238" s="183" t="str">
        <f>IFERROR(__xludf.DUMMYFUNCTION("QUERY('Volunteer Survey'!M237)"),"Somatic Cancer")</f>
        <v>Somatic Cancer</v>
      </c>
      <c r="AM238" s="183" t="str">
        <f>IFERROR(__xludf.DUMMYFUNCTION("QUERY('Volunteer Survey'!N237)"),"I isolated genes with PCR and screened exons for a local variant of ebidermolysis bullosa.")</f>
        <v>I isolated genes with PCR and screened exons for a local variant of ebidermolysis bullosa.</v>
      </c>
      <c r="AN238" s="183" t="str">
        <f>IFERROR(__xludf.DUMMYFUNCTION("QUERY('Volunteer Survey'!O237)"),"Possibly")</f>
        <v>Possibly</v>
      </c>
      <c r="AO238" s="183" t="str">
        <f>IFERROR(__xludf.DUMMYFUNCTION("QUERY('Volunteer Survey'!P237)"),"Of the panels listed I am interested in the aminoacidopathy and VHL group.")</f>
        <v>Of the panels listed I am interested in the aminoacidopathy and VHL group.</v>
      </c>
    </row>
    <row r="239">
      <c r="A239" s="50">
        <f>IFERROR(__xludf.DUMMYFUNCTION("QUERY('Volunteer Survey'!A246)"),43662.48937493055)</f>
        <v>43662.48937</v>
      </c>
      <c r="B239" s="48" t="s">
        <v>168</v>
      </c>
      <c r="C239" s="53"/>
      <c r="D239" s="55"/>
      <c r="E239" s="55"/>
      <c r="F239" s="48" t="s">
        <v>130</v>
      </c>
      <c r="G239" s="48" t="s">
        <v>251</v>
      </c>
      <c r="H239" s="53"/>
      <c r="I239" s="51" t="s">
        <v>139</v>
      </c>
      <c r="J239" s="55"/>
      <c r="K239" s="55"/>
      <c r="L239" s="55" t="str">
        <f>IFERROR(__xludf.DUMMYFUNCTION("QUERY('Volunteer Survey'!B246)"),"Bryan Gall")</f>
        <v>Bryan Gall</v>
      </c>
      <c r="M239" s="55" t="str">
        <f>IFERROR(__xludf.DUMMYFUNCTION("QUERY('Volunteer Survey'!E246)"),"bgall005@gmail.com")</f>
        <v>bgall005@gmail.com</v>
      </c>
      <c r="N239" s="55" t="str">
        <f>IFERROR(__xludf.DUMMYFUNCTION("QUERY('Volunteer Survey'!F246)"),"Variant Analyst/Scientist - Industry")</f>
        <v>Variant Analyst/Scientist - Industry</v>
      </c>
      <c r="O239" s="48" t="str">
        <f>IFERROR(__xludf.DUMMYFUNCTION("QUERY('Volunteer Survey'!H246)"),"Comprehensive")</f>
        <v>Comprehensive</v>
      </c>
      <c r="P239" s="55" t="str">
        <f>IFERROR(__xludf.DUMMYFUNCTION("QUERY('Volunteer Survey'!I246)"),"Variant Pathogenicity")</f>
        <v>Variant Pathogenicity</v>
      </c>
      <c r="Q239" s="60" t="str">
        <f>IFERROR(__xludf.DUMMYFUNCTION("QUERY('Volunteer Survey'!J246)"),"Clinical Actionability")</f>
        <v>Clinical Actionability</v>
      </c>
      <c r="R239" s="55" t="str">
        <f>IFERROR(__xludf.DUMMYFUNCTION("QUERY('Volunteer Survey'!K246)"),"Gene-Disease Validity")</f>
        <v>Gene-Disease Validity</v>
      </c>
      <c r="S239" s="55" t="str">
        <f>IFERROR(__xludf.DUMMYFUNCTION("QUERY('Volunteer Survey'!L246)"),"Somatic Cancer")</f>
        <v>Somatic Cancer</v>
      </c>
      <c r="T239" s="55" t="str">
        <f>IFERROR(__xludf.DUMMYFUNCTION("QUERY('Volunteer Survey'!M246)"),"Dosage Sensitivity")</f>
        <v>Dosage Sensitivity</v>
      </c>
      <c r="U239" s="64" t="str">
        <f>IFERROR(__xludf.DUMMYFUNCTION("QUERY('Volunteer Survey'!N246)"),"Manual variant interpretation using ClinGen resources")</f>
        <v>Manual variant interpretation using ClinGen resources</v>
      </c>
      <c r="V239" s="55" t="str">
        <f>IFERROR(__xludf.DUMMYFUNCTION("QUERY('Volunteer Survey'!O246)"),"No")</f>
        <v>No</v>
      </c>
      <c r="W239" s="66" t="str">
        <f>IFERROR(__xludf.DUMMYFUNCTION("QUERY('Volunteer Survey'!P246)"),"Colorectal Cancer, Familial Hypercholesterolemia, and Myeloid Malignancy")</f>
        <v>Colorectal Cancer, Familial Hypercholesterolemia, and Myeloid Malignancy</v>
      </c>
      <c r="X239" s="64" t="str">
        <f>IFERROR(__xludf.DUMMYFUNCTION("QUERY('Volunteer Survey'!R246)"),"Yes- I am willing to volunteer with any available ClinGen group")</f>
        <v>Yes- I am willing to volunteer with any available ClinGen group</v>
      </c>
      <c r="Y239" s="53"/>
      <c r="Z239" s="182">
        <f>IFERROR(__xludf.DUMMYFUNCTION("QUERY('Volunteer Survey'!A238)"),43648.49980006944)</f>
        <v>43648.4998</v>
      </c>
      <c r="AA239" s="183" t="str">
        <f>IFERROR(__xludf.DUMMYFUNCTION("QUERY('Volunteer Survey'!B238)"),"Sarah Payne ")</f>
        <v>Sarah Payne </v>
      </c>
      <c r="AB239" s="183" t="str">
        <f>IFERROR(__xludf.DUMMYFUNCTION("QUERY('Volunteer Survey'!C238)"),"N/A")</f>
        <v>N/A</v>
      </c>
      <c r="AC239" s="183" t="str">
        <f>IFERROR(__xludf.DUMMYFUNCTION("QUERY('Volunteer Survey'!D238)"),"12228 SW 7th Circle ")</f>
        <v>12228 SW 7th Circle </v>
      </c>
      <c r="AD239" s="183" t="str">
        <f>IFERROR(__xludf.DUMMYFUNCTION("QUERY('Volunteer Survey'!E238)"),"sarahhale79@gmail.com")</f>
        <v>sarahhale79@gmail.com</v>
      </c>
      <c r="AE239" s="183" t="str">
        <f>IFERROR(__xludf.DUMMYFUNCTION("QUERY('Volunteer Survey'!F238)"),"Female family with unknown genetic disorder ")</f>
        <v>Female family with unknown genetic disorder </v>
      </c>
      <c r="AF239" s="183" t="str">
        <f>IFERROR(__xludf.DUMMYFUNCTION("QUERY('Volunteer Survey'!G238)"),"Facebook")</f>
        <v>Facebook</v>
      </c>
      <c r="AG239" s="183" t="str">
        <f>IFERROR(__xludf.DUMMYFUNCTION("QUERY('Volunteer Survey'!H238)"),"Baseline")</f>
        <v>Baseline</v>
      </c>
      <c r="AH239" s="183" t="str">
        <f>IFERROR(__xludf.DUMMYFUNCTION("QUERY('Volunteer Survey'!I238)"),"Gene-Disease Validity")</f>
        <v>Gene-Disease Validity</v>
      </c>
      <c r="AI239" s="183" t="str">
        <f>IFERROR(__xludf.DUMMYFUNCTION("QUERY('Volunteer Survey'!J238)"),"Variant Pathogenicity")</f>
        <v>Variant Pathogenicity</v>
      </c>
      <c r="AJ239" s="183" t="str">
        <f>IFERROR(__xludf.DUMMYFUNCTION("QUERY('Volunteer Survey'!K238)"),"Clinical Actionability")</f>
        <v>Clinical Actionability</v>
      </c>
      <c r="AK239" s="183" t="str">
        <f>IFERROR(__xludf.DUMMYFUNCTION("QUERY('Volunteer Survey'!L238)"),"Dosage Sensitivity")</f>
        <v>Dosage Sensitivity</v>
      </c>
      <c r="AL239" s="183" t="str">
        <f>IFERROR(__xludf.DUMMYFUNCTION("QUERY('Volunteer Survey'!M238)"),"Somatic Cancer")</f>
        <v>Somatic Cancer</v>
      </c>
      <c r="AM239" s="183" t="str">
        <f>IFERROR(__xludf.DUMMYFUNCTION("QUERY('Volunteer Survey'!N238)"),"I've been in medical trials ")</f>
        <v>I've been in medical trials </v>
      </c>
      <c r="AN239" s="183" t="str">
        <f>IFERROR(__xludf.DUMMYFUNCTION("QUERY('Volunteer Survey'!O238)"),"Yes")</f>
        <v>Yes</v>
      </c>
      <c r="AO239" s="183" t="str">
        <f>IFERROR(__xludf.DUMMYFUNCTION("QUERY('Volunteer Survey'!P238)"),"Yes")</f>
        <v>Yes</v>
      </c>
    </row>
    <row r="240">
      <c r="A240" s="50">
        <f>IFERROR(__xludf.DUMMYFUNCTION("QUERY('Volunteer Survey'!A247)"),43663.56819197916)</f>
        <v>43663.56819</v>
      </c>
      <c r="B240" s="48" t="s">
        <v>108</v>
      </c>
      <c r="C240" s="53"/>
      <c r="D240" s="65">
        <v>43692.0</v>
      </c>
      <c r="E240" s="48" t="s">
        <v>117</v>
      </c>
      <c r="F240" s="48" t="s">
        <v>117</v>
      </c>
      <c r="G240" s="48" t="s">
        <v>122</v>
      </c>
      <c r="H240" s="53"/>
      <c r="I240" s="51" t="s">
        <v>139</v>
      </c>
      <c r="J240" s="55"/>
      <c r="K240" s="55"/>
      <c r="L240" s="55" t="str">
        <f>IFERROR(__xludf.DUMMYFUNCTION("QUERY('Volunteer Survey'!B247)"),"Hwaida Hannoush")</f>
        <v>Hwaida Hannoush</v>
      </c>
      <c r="M240" s="55" t="str">
        <f>IFERROR(__xludf.DUMMYFUNCTION("QUERY('Volunteer Survey'!E247)"),"hhannoush@acmg.net")</f>
        <v>hhannoush@acmg.net</v>
      </c>
      <c r="N240" s="55" t="str">
        <f>IFERROR(__xludf.DUMMYFUNCTION("QUERY('Volunteer Survey'!F247)"),"Post Doc/Resident/Fellow (MD and/or PhD)")</f>
        <v>Post Doc/Resident/Fellow (MD and/or PhD)</v>
      </c>
      <c r="O240" s="48" t="str">
        <f>IFERROR(__xludf.DUMMYFUNCTION("QUERY('Volunteer Survey'!H247)"),"Comprehensive")</f>
        <v>Comprehensive</v>
      </c>
      <c r="P240" s="55" t="str">
        <f>IFERROR(__xludf.DUMMYFUNCTION("QUERY('Volunteer Survey'!I247)"),"Gene-Disease Validity")</f>
        <v>Gene-Disease Validity</v>
      </c>
      <c r="Q240" s="60" t="str">
        <f>IFERROR(__xludf.DUMMYFUNCTION("QUERY('Volunteer Survey'!J247)"),"Variant Pathogenicity")</f>
        <v>Variant Pathogenicity</v>
      </c>
      <c r="R240" s="55" t="str">
        <f>IFERROR(__xludf.DUMMYFUNCTION("QUERY('Volunteer Survey'!K247)"),"")</f>
        <v/>
      </c>
      <c r="S240" s="55" t="str">
        <f>IFERROR(__xludf.DUMMYFUNCTION("QUERY('Volunteer Survey'!L247)"),"")</f>
        <v/>
      </c>
      <c r="T240" s="55" t="str">
        <f>IFERROR(__xludf.DUMMYFUNCTION("QUERY('Volunteer Survey'!M247)"),"")</f>
        <v/>
      </c>
      <c r="U240" s="64" t="str">
        <f>IFERROR(__xludf.DUMMYFUNCTION("QUERY('Volunteer Survey'!N247)"),"None")</f>
        <v>None</v>
      </c>
      <c r="V240" s="55" t="str">
        <f>IFERROR(__xludf.DUMMYFUNCTION("QUERY('Volunteer Survey'!O247)"),"No")</f>
        <v>No</v>
      </c>
      <c r="W240" s="66" t="str">
        <f>IFERROR(__xludf.DUMMYFUNCTION("QUERY('Volunteer Survey'!P247)"),"Cardiomyopathy, Familial Hypercholesterolemia")</f>
        <v>Cardiomyopathy, Familial Hypercholesterolemia</v>
      </c>
      <c r="X240" s="64" t="str">
        <f>IFERROR(__xludf.DUMMYFUNCTION("QUERY('Volunteer Survey'!R247)"),"Maybe -- please contact me with other options, and I will decide based on what is available")</f>
        <v>Maybe -- please contact me with other options, and I will decide based on what is available</v>
      </c>
      <c r="Y240" s="53"/>
      <c r="Z240" s="182">
        <f>IFERROR(__xludf.DUMMYFUNCTION("QUERY('Volunteer Survey'!A239)"),43648.64460309028)</f>
        <v>43648.6446</v>
      </c>
      <c r="AA240" s="183" t="str">
        <f>IFERROR(__xludf.DUMMYFUNCTION("QUERY('Volunteer Survey'!B239)"),"Lori Millner")</f>
        <v>Lori Millner</v>
      </c>
      <c r="AB240" s="183" t="str">
        <f>IFERROR(__xludf.DUMMYFUNCTION("QUERY('Volunteer Survey'!C239)"),"Bluewater Diagnostic Lab")</f>
        <v>Bluewater Diagnostic Lab</v>
      </c>
      <c r="AC240" s="183" t="str">
        <f>IFERROR(__xludf.DUMMYFUNCTION("QUERY('Volunteer Survey'!D239)"),"3410 Hardwood Forest Dr.")</f>
        <v>3410 Hardwood Forest Dr.</v>
      </c>
      <c r="AD240" s="183" t="str">
        <f>IFERROR(__xludf.DUMMYFUNCTION("QUERY('Volunteer Survey'!E239)"),"lorimillner77@gmail.com")</f>
        <v>lorimillner77@gmail.com</v>
      </c>
      <c r="AE240" s="183" t="str">
        <f>IFERROR(__xludf.DUMMYFUNCTION("QUERY('Volunteer Survey'!F239)"),"Clinical Lab Director")</f>
        <v>Clinical Lab Director</v>
      </c>
      <c r="AF240" s="183" t="str">
        <f>IFERROR(__xludf.DUMMYFUNCTION("QUERY('Volunteer Survey'!G239)"),"Networking")</f>
        <v>Networking</v>
      </c>
      <c r="AG240" s="183" t="str">
        <f>IFERROR(__xludf.DUMMYFUNCTION("QUERY('Volunteer Survey'!H239)"),"Comprehensive")</f>
        <v>Comprehensive</v>
      </c>
      <c r="AH240" s="183" t="str">
        <f>IFERROR(__xludf.DUMMYFUNCTION("QUERY('Volunteer Survey'!I239)"),"Somatic Cancer")</f>
        <v>Somatic Cancer</v>
      </c>
      <c r="AI240" s="183" t="str">
        <f>IFERROR(__xludf.DUMMYFUNCTION("QUERY('Volunteer Survey'!J239)"),"Clinical Actionability")</f>
        <v>Clinical Actionability</v>
      </c>
      <c r="AJ240" s="183" t="str">
        <f>IFERROR(__xludf.DUMMYFUNCTION("QUERY('Volunteer Survey'!K239)"),"")</f>
        <v/>
      </c>
      <c r="AK240" s="183" t="str">
        <f>IFERROR(__xludf.DUMMYFUNCTION("QUERY('Volunteer Survey'!L239)"),"")</f>
        <v/>
      </c>
      <c r="AL240" s="183" t="str">
        <f>IFERROR(__xludf.DUMMYFUNCTION("QUERY('Volunteer Survey'!M239)"),"")</f>
        <v/>
      </c>
      <c r="AM240" s="183" t="str">
        <f>IFERROR(__xludf.DUMMYFUNCTION("QUERY('Volunteer Survey'!N239)"),"Yes, I performed NGS somatic mutation panels on single cells.")</f>
        <v>Yes, I performed NGS somatic mutation panels on single cells.</v>
      </c>
      <c r="AN240" s="183" t="str">
        <f>IFERROR(__xludf.DUMMYFUNCTION("QUERY('Volunteer Survey'!O239)"),"Possibly")</f>
        <v>Possibly</v>
      </c>
      <c r="AO240" s="183" t="str">
        <f>IFERROR(__xludf.DUMMYFUNCTION("QUERY('Volunteer Survey'!P239)"),"")</f>
        <v/>
      </c>
    </row>
    <row r="241">
      <c r="A241" s="50">
        <f>IFERROR(__xludf.DUMMYFUNCTION("QUERY('Volunteer Survey'!A248)"),43663.98611565972)</f>
        <v>43663.98612</v>
      </c>
      <c r="B241" s="48" t="s">
        <v>108</v>
      </c>
      <c r="C241" s="79">
        <v>43689.0</v>
      </c>
      <c r="D241" s="55"/>
      <c r="E241" s="55"/>
      <c r="F241" s="48" t="s">
        <v>130</v>
      </c>
      <c r="G241" s="48" t="s">
        <v>19</v>
      </c>
      <c r="H241" s="69"/>
      <c r="I241" s="51" t="s">
        <v>139</v>
      </c>
      <c r="J241" s="55"/>
      <c r="K241" s="55"/>
      <c r="L241" s="55" t="str">
        <f>IFERROR(__xludf.DUMMYFUNCTION("QUERY('Volunteer Survey'!B248)"),"Rawan Awwad")</f>
        <v>Rawan Awwad</v>
      </c>
      <c r="M241" s="55" t="str">
        <f>IFERROR(__xludf.DUMMYFUNCTION("QUERY('Volunteer Survey'!E248)"),"rawan.awwad@gmail.com")</f>
        <v>rawan.awwad@gmail.com</v>
      </c>
      <c r="N241" s="55" t="str">
        <f>IFERROR(__xludf.DUMMYFUNCTION("QUERY('Volunteer Survey'!F248)"),"Genetic counselor")</f>
        <v>Genetic counselor</v>
      </c>
      <c r="O241" s="48" t="str">
        <f>IFERROR(__xludf.DUMMYFUNCTION("QUERY('Volunteer Survey'!H248)"),"Comprehensive")</f>
        <v>Comprehensive</v>
      </c>
      <c r="P241" s="55" t="str">
        <f>IFERROR(__xludf.DUMMYFUNCTION("QUERY('Volunteer Survey'!I248)"),"Clinical Actionability")</f>
        <v>Clinical Actionability</v>
      </c>
      <c r="Q241" s="60" t="str">
        <f>IFERROR(__xludf.DUMMYFUNCTION("QUERY('Volunteer Survey'!J248)"),"Gene-Disease Validity")</f>
        <v>Gene-Disease Validity</v>
      </c>
      <c r="R241" s="55" t="str">
        <f>IFERROR(__xludf.DUMMYFUNCTION("QUERY('Volunteer Survey'!K248)"),"Variant Pathogenicity")</f>
        <v>Variant Pathogenicity</v>
      </c>
      <c r="S241" s="55" t="str">
        <f>IFERROR(__xludf.DUMMYFUNCTION("QUERY('Volunteer Survey'!L248)"),"")</f>
        <v/>
      </c>
      <c r="T241" s="55" t="str">
        <f>IFERROR(__xludf.DUMMYFUNCTION("QUERY('Volunteer Survey'!M248)"),"")</f>
        <v/>
      </c>
      <c r="U241" s="64" t="str">
        <f>IFERROR(__xludf.DUMMYFUNCTION("QUERY('Volunteer Survey'!N248)"),"No but I know I can pick it up ")</f>
        <v>No but I know I can pick it up </v>
      </c>
      <c r="V241" s="55" t="str">
        <f>IFERROR(__xludf.DUMMYFUNCTION("QUERY('Volunteer Survey'!O248)"),"No")</f>
        <v>No</v>
      </c>
      <c r="W241" s="66" t="str">
        <f>IFERROR(__xludf.DUMMYFUNCTION("QUERY('Volunteer Survey'!P248)"),"Clinical actionability for Peds ")</f>
        <v>Clinical actionability for Peds </v>
      </c>
      <c r="X241" s="64" t="str">
        <f>IFERROR(__xludf.DUMMYFUNCTION("QUERY('Volunteer Survey'!R248)"),"Maybe -- please contact me with other options, and I will decide based on what is available")</f>
        <v>Maybe -- please contact me with other options, and I will decide based on what is available</v>
      </c>
      <c r="Y241" s="53"/>
      <c r="Z241" s="182">
        <f>IFERROR(__xludf.DUMMYFUNCTION("QUERY('Volunteer Survey'!A240)"),43651.29248090278)</f>
        <v>43651.29248</v>
      </c>
      <c r="AA241" s="183" t="str">
        <f>IFERROR(__xludf.DUMMYFUNCTION("QUERY('Volunteer Survey'!B240)"),"Agnes Sebastian")</f>
        <v>Agnes Sebastian</v>
      </c>
      <c r="AB241" s="183" t="str">
        <f>IFERROR(__xludf.DUMMYFUNCTION("QUERY('Volunteer Survey'!C240)"),"University of Toronto")</f>
        <v>University of Toronto</v>
      </c>
      <c r="AC241" s="183" t="str">
        <f>IFERROR(__xludf.DUMMYFUNCTION("QUERY('Volunteer Survey'!D240)"),"")</f>
        <v/>
      </c>
      <c r="AD241" s="183" t="str">
        <f>IFERROR(__xludf.DUMMYFUNCTION("QUERY('Volunteer Survey'!E240)"),"agnes.sebastian@mail.utoronto.ca")</f>
        <v>agnes.sebastian@mail.utoronto.ca</v>
      </c>
      <c r="AE241" s="183" t="str">
        <f>IFERROR(__xludf.DUMMYFUNCTION("QUERY('Volunteer Survey'!F240)"),"Graduate Student")</f>
        <v>Graduate Student</v>
      </c>
      <c r="AF241" s="183" t="str">
        <f>IFERROR(__xludf.DUMMYFUNCTION("QUERY('Volunteer Survey'!G240)"),"Someone's profile on LinkedIn")</f>
        <v>Someone's profile on LinkedIn</v>
      </c>
      <c r="AG241" s="183" t="str">
        <f>IFERROR(__xludf.DUMMYFUNCTION("QUERY('Volunteer Survey'!H240)"),"Comprehensive")</f>
        <v>Comprehensive</v>
      </c>
      <c r="AH241" s="183" t="str">
        <f>IFERROR(__xludf.DUMMYFUNCTION("QUERY('Volunteer Survey'!I240)"),"Clinical Actionability")</f>
        <v>Clinical Actionability</v>
      </c>
      <c r="AI241" s="183" t="str">
        <f>IFERROR(__xludf.DUMMYFUNCTION("QUERY('Volunteer Survey'!J240)"),"Variant Pathogenicity")</f>
        <v>Variant Pathogenicity</v>
      </c>
      <c r="AJ241" s="183" t="str">
        <f>IFERROR(__xludf.DUMMYFUNCTION("QUERY('Volunteer Survey'!K240)"),"Gene-Disease Validity")</f>
        <v>Gene-Disease Validity</v>
      </c>
      <c r="AK241" s="183" t="str">
        <f>IFERROR(__xludf.DUMMYFUNCTION("QUERY('Volunteer Survey'!L240)"),"Dosage Sensitivity")</f>
        <v>Dosage Sensitivity</v>
      </c>
      <c r="AL241" s="183" t="str">
        <f>IFERROR(__xludf.DUMMYFUNCTION("QUERY('Volunteer Survey'!M240)"),"Somatic Cancer")</f>
        <v>Somatic Cancer</v>
      </c>
      <c r="AM241" s="183" t="str">
        <f>IFERROR(__xludf.DUMMYFUNCTION("QUERY('Volunteer Survey'!N240)"),"")</f>
        <v/>
      </c>
      <c r="AN241" s="183" t="str">
        <f>IFERROR(__xludf.DUMMYFUNCTION("QUERY('Volunteer Survey'!O240)"),"Possibly")</f>
        <v>Possibly</v>
      </c>
      <c r="AO241" s="183" t="str">
        <f>IFERROR(__xludf.DUMMYFUNCTION("QUERY('Volunteer Survey'!P240)"),"No - any group related to cancer or hearing loss is preferable")</f>
        <v>No - any group related to cancer or hearing loss is preferable</v>
      </c>
    </row>
    <row r="242">
      <c r="A242" s="50">
        <f>IFERROR(__xludf.DUMMYFUNCTION("QUERY('Volunteer Survey'!A249)"),43665.50623513889)</f>
        <v>43665.50624</v>
      </c>
      <c r="B242" s="48" t="s">
        <v>168</v>
      </c>
      <c r="C242" s="79"/>
      <c r="D242" s="55"/>
      <c r="E242" s="55"/>
      <c r="F242" s="48" t="s">
        <v>130</v>
      </c>
      <c r="G242" s="48" t="s">
        <v>251</v>
      </c>
      <c r="H242" s="53"/>
      <c r="I242" s="51" t="s">
        <v>139</v>
      </c>
      <c r="J242" s="55"/>
      <c r="K242" s="55"/>
      <c r="L242" s="55" t="str">
        <f>IFERROR(__xludf.DUMMYFUNCTION("QUERY('Volunteer Survey'!B249)"),"Yanhui Li")</f>
        <v>Yanhui Li</v>
      </c>
      <c r="M242" s="55" t="str">
        <f>IFERROR(__xludf.DUMMYFUNCTION("QUERY('Volunteer Survey'!E249)"),"yxl280@gmail.com")</f>
        <v>yxl280@gmail.com</v>
      </c>
      <c r="N242" s="55" t="str">
        <f>IFERROR(__xludf.DUMMYFUNCTION("QUERY('Volunteer Survey'!F249)"),"Post Doc/Resident/Fellow (MD and/or PhD)")</f>
        <v>Post Doc/Resident/Fellow (MD and/or PhD)</v>
      </c>
      <c r="O242" s="48" t="str">
        <f>IFERROR(__xludf.DUMMYFUNCTION("QUERY('Volunteer Survey'!H249)"),"Comprehensive")</f>
        <v>Comprehensive</v>
      </c>
      <c r="P242" s="55" t="str">
        <f>IFERROR(__xludf.DUMMYFUNCTION("QUERY('Volunteer Survey'!I249)"),"Variant Pathogenicity")</f>
        <v>Variant Pathogenicity</v>
      </c>
      <c r="Q242" s="60" t="str">
        <f>IFERROR(__xludf.DUMMYFUNCTION("QUERY('Volunteer Survey'!J249)"),"Gene-Disease Validity")</f>
        <v>Gene-Disease Validity</v>
      </c>
      <c r="R242" s="55" t="str">
        <f>IFERROR(__xludf.DUMMYFUNCTION("QUERY('Volunteer Survey'!K249)"),"Somatic Cancer")</f>
        <v>Somatic Cancer</v>
      </c>
      <c r="S242" s="55" t="str">
        <f>IFERROR(__xludf.DUMMYFUNCTION("QUERY('Volunteer Survey'!L249)"),"Clinical Actionability")</f>
        <v>Clinical Actionability</v>
      </c>
      <c r="T242" s="55" t="str">
        <f>IFERROR(__xludf.DUMMYFUNCTION("QUERY('Volunteer Survey'!M249)"),"Dosage Sensitivity")</f>
        <v>Dosage Sensitivity</v>
      </c>
      <c r="U242" s="64" t="str">
        <f>IFERROR(__xludf.DUMMYFUNCTION("QUERY('Volunteer Survey'!N249)"),"")</f>
        <v/>
      </c>
      <c r="V242" s="55" t="str">
        <f>IFERROR(__xludf.DUMMYFUNCTION("QUERY('Volunteer Survey'!O249)"),"Possibly")</f>
        <v>Possibly</v>
      </c>
      <c r="W242" s="66" t="str">
        <f>IFERROR(__xludf.DUMMYFUNCTION("QUERY('Volunteer Survey'!P249)"),"Yes")</f>
        <v>Yes</v>
      </c>
      <c r="X242" s="64" t="str">
        <f>IFERROR(__xludf.DUMMYFUNCTION("QUERY('Volunteer Survey'!R249)"),"Yes- I am willing to volunteer with any available ClinGen group")</f>
        <v>Yes- I am willing to volunteer with any available ClinGen group</v>
      </c>
      <c r="Y242" s="53"/>
      <c r="Z242" s="182">
        <f>IFERROR(__xludf.DUMMYFUNCTION("QUERY('Volunteer Survey'!A241)"),43651.61837447916)</f>
        <v>43651.61837</v>
      </c>
      <c r="AA242" s="183" t="str">
        <f>IFERROR(__xludf.DUMMYFUNCTION("QUERY('Volunteer Survey'!B241)"),"Xiangqiang Shao")</f>
        <v>Xiangqiang Shao</v>
      </c>
      <c r="AB242" s="183" t="str">
        <f>IFERROR(__xludf.DUMMYFUNCTION("QUERY('Volunteer Survey'!C241)"),"University of Wisconsin-Madison")</f>
        <v>University of Wisconsin-Madison</v>
      </c>
      <c r="AC242" s="183" t="str">
        <f>IFERROR(__xludf.DUMMYFUNCTION("QUERY('Volunteer Survey'!D241)"),"465 Henry Mall, Room 345, Madison, WI, 53706")</f>
        <v>465 Henry Mall, Room 345, Madison, WI, 53706</v>
      </c>
      <c r="AD242" s="183" t="str">
        <f>IFERROR(__xludf.DUMMYFUNCTION("QUERY('Volunteer Survey'!E241)"),"xshao5@wisc.edu")</f>
        <v>xshao5@wisc.edu</v>
      </c>
      <c r="AE242" s="183" t="str">
        <f>IFERROR(__xludf.DUMMYFUNCTION("QUERY('Volunteer Survey'!F241)"),"Scientific Researcher")</f>
        <v>Scientific Researcher</v>
      </c>
      <c r="AF242" s="183" t="str">
        <f>IFERROR(__xludf.DUMMYFUNCTION("QUERY('Volunteer Survey'!G241)"),"Networking, Colleagues")</f>
        <v>Networking, Colleagues</v>
      </c>
      <c r="AG242" s="183" t="str">
        <f>IFERROR(__xludf.DUMMYFUNCTION("QUERY('Volunteer Survey'!H241)"),"Comprehensive")</f>
        <v>Comprehensive</v>
      </c>
      <c r="AH242" s="183" t="str">
        <f>IFERROR(__xludf.DUMMYFUNCTION("QUERY('Volunteer Survey'!I241)"),"Variant Pathogenicity")</f>
        <v>Variant Pathogenicity</v>
      </c>
      <c r="AI242" s="183" t="str">
        <f>IFERROR(__xludf.DUMMYFUNCTION("QUERY('Volunteer Survey'!J241)"),"Dosage Sensitivity")</f>
        <v>Dosage Sensitivity</v>
      </c>
      <c r="AJ242" s="183" t="str">
        <f>IFERROR(__xludf.DUMMYFUNCTION("QUERY('Volunteer Survey'!K241)"),"Clinical Actionability")</f>
        <v>Clinical Actionability</v>
      </c>
      <c r="AK242" s="183" t="str">
        <f>IFERROR(__xludf.DUMMYFUNCTION("QUERY('Volunteer Survey'!L241)"),"Gene-Disease Validity")</f>
        <v>Gene-Disease Validity</v>
      </c>
      <c r="AL242" s="183" t="str">
        <f>IFERROR(__xludf.DUMMYFUNCTION("QUERY('Volunteer Survey'!M241)"),"Somatic Cancer")</f>
        <v>Somatic Cancer</v>
      </c>
      <c r="AM242" s="183" t="str">
        <f>IFERROR(__xludf.DUMMYFUNCTION("QUERY('Volunteer Survey'!N241)"),"I currently do microarray analysis for clinical samples at Wisconsin State Lab of Hygiene to determine the pathogenicity of the CNVs we detected, and I am working on a project to develop a NGS panel for Familial Hypercholesterolemia.")</f>
        <v>I currently do microarray analysis for clinical samples at Wisconsin State Lab of Hygiene to determine the pathogenicity of the CNVs we detected, and I am working on a project to develop a NGS panel for Familial Hypercholesterolemia.</v>
      </c>
      <c r="AN242" s="183" t="str">
        <f>IFERROR(__xludf.DUMMYFUNCTION("QUERY('Volunteer Survey'!O241)"),"Possibly")</f>
        <v>Possibly</v>
      </c>
      <c r="AO242" s="183" t="str">
        <f>IFERROR(__xludf.DUMMYFUNCTION("QUERY('Volunteer Survey'!P241)"),"Epilepsy, and Intellectual Disability and Autism")</f>
        <v>Epilepsy, and Intellectual Disability and Autism</v>
      </c>
    </row>
    <row r="243">
      <c r="A243" s="50">
        <f>IFERROR(__xludf.DUMMYFUNCTION("QUERY('Volunteer Survey'!A250)"),43668.94500358796)</f>
        <v>43668.945</v>
      </c>
      <c r="B243" s="48" t="s">
        <v>108</v>
      </c>
      <c r="C243" s="79">
        <v>43689.0</v>
      </c>
      <c r="D243" s="55"/>
      <c r="E243" s="55"/>
      <c r="F243" s="48" t="s">
        <v>130</v>
      </c>
      <c r="G243" s="48" t="s">
        <v>19</v>
      </c>
      <c r="H243" s="69"/>
      <c r="I243" s="51" t="s">
        <v>139</v>
      </c>
      <c r="J243" s="55"/>
      <c r="K243" s="55"/>
      <c r="L243" s="55" t="str">
        <f>IFERROR(__xludf.DUMMYFUNCTION("QUERY('Volunteer Survey'!B250)"),"Leila Jamal")</f>
        <v>Leila Jamal</v>
      </c>
      <c r="M243" s="55" t="str">
        <f>IFERROR(__xludf.DUMMYFUNCTION("QUERY('Volunteer Survey'!E250)"),"leila.jamal@nih.gov")</f>
        <v>leila.jamal@nih.gov</v>
      </c>
      <c r="N243" s="55" t="str">
        <f>IFERROR(__xludf.DUMMYFUNCTION("QUERY('Volunteer Survey'!F250)"),"Genetic counselor")</f>
        <v>Genetic counselor</v>
      </c>
      <c r="O243" s="48" t="str">
        <f>IFERROR(__xludf.DUMMYFUNCTION("QUERY('Volunteer Survey'!H250)"),"Comprehensive")</f>
        <v>Comprehensive</v>
      </c>
      <c r="P243" s="55" t="str">
        <f>IFERROR(__xludf.DUMMYFUNCTION("QUERY('Volunteer Survey'!I250)"),"Clinical Actionability")</f>
        <v>Clinical Actionability</v>
      </c>
      <c r="Q243" s="60" t="str">
        <f>IFERROR(__xludf.DUMMYFUNCTION("QUERY('Volunteer Survey'!J250)"),"Gene-Disease Validity")</f>
        <v>Gene-Disease Validity</v>
      </c>
      <c r="R243" s="55" t="str">
        <f>IFERROR(__xludf.DUMMYFUNCTION("QUERY('Volunteer Survey'!K250)"),"Variant Pathogenicity")</f>
        <v>Variant Pathogenicity</v>
      </c>
      <c r="S243" s="55" t="str">
        <f>IFERROR(__xludf.DUMMYFUNCTION("QUERY('Volunteer Survey'!L250)"),"")</f>
        <v/>
      </c>
      <c r="T243" s="55" t="str">
        <f>IFERROR(__xludf.DUMMYFUNCTION("QUERY('Volunteer Survey'!M250)"),"")</f>
        <v/>
      </c>
      <c r="U243" s="64" t="str">
        <f>IFERROR(__xludf.DUMMYFUNCTION("QUERY('Volunteer Survey'!N250)"),"I have PhD training in public health and have also written clinical test reports for study participants enrolled in a large sequencing research protocol at NIAID (on which I am a co-investigator).   ")</f>
        <v>I have PhD training in public health and have also written clinical test reports for study participants enrolled in a large sequencing research protocol at NIAID (on which I am a co-investigator).   </v>
      </c>
      <c r="V243" s="55" t="str">
        <f>IFERROR(__xludf.DUMMYFUNCTION("QUERY('Volunteer Survey'!O250)"),"No")</f>
        <v>No</v>
      </c>
      <c r="W243" s="66" t="str">
        <f>IFERROR(__xludf.DUMMYFUNCTION("QUERY('Volunteer Survey'!P250)"),"I am most interested in the Pediatric Actionability Working Group and/or the Charcot-Marie-Tooth Gene Curation Group.  I would consider joining other gene or variant curation working groups as well.   ")</f>
        <v>I am most interested in the Pediatric Actionability Working Group and/or the Charcot-Marie-Tooth Gene Curation Group.  I would consider joining other gene or variant curation working groups as well.   </v>
      </c>
      <c r="X243" s="64" t="str">
        <f>IFERROR(__xludf.DUMMYFUNCTION("QUERY('Volunteer Survey'!R250)"),"Maybe -- please contact me with other options, and I will decide based on what is available")</f>
        <v>Maybe -- please contact me with other options, and I will decide based on what is available</v>
      </c>
      <c r="Y243" s="53"/>
      <c r="Z243" s="182">
        <f>IFERROR(__xludf.DUMMYFUNCTION("QUERY('Volunteer Survey'!A242)"),43653.19000947917)</f>
        <v>43653.19001</v>
      </c>
      <c r="AA243" s="183" t="str">
        <f>IFERROR(__xludf.DUMMYFUNCTION("QUERY('Volunteer Survey'!B242)"),"Pradeep Varathan")</f>
        <v>Pradeep Varathan</v>
      </c>
      <c r="AB243" s="183" t="str">
        <f>IFERROR(__xludf.DUMMYFUNCTION("QUERY('Volunteer Survey'!C242)"),"IUPUI-Indianapolis")</f>
        <v>IUPUI-Indianapolis</v>
      </c>
      <c r="AC243" s="183" t="str">
        <f>IFERROR(__xludf.DUMMYFUNCTION("QUERY('Volunteer Survey'!D242)"),"725W,11th Street Apt 28, Indianapolis, IN 46202")</f>
        <v>725W,11th Street Apt 28, Indianapolis, IN 46202</v>
      </c>
      <c r="AD243" s="183" t="str">
        <f>IFERROR(__xludf.DUMMYFUNCTION("QUERY('Volunteer Survey'!E242)"),"pradluzog@gmail.com")</f>
        <v>pradluzog@gmail.com</v>
      </c>
      <c r="AE243" s="183" t="str">
        <f>IFERROR(__xludf.DUMMYFUNCTION("QUERY('Volunteer Survey'!F242)"),"Graduate Student")</f>
        <v>Graduate Student</v>
      </c>
      <c r="AF243" s="183" t="str">
        <f>IFERROR(__xludf.DUMMYFUNCTION("QUERY('Volunteer Survey'!G242)"),"Youtube, edx courses")</f>
        <v>Youtube, edx courses</v>
      </c>
      <c r="AG243" s="183" t="str">
        <f>IFERROR(__xludf.DUMMYFUNCTION("QUERY('Volunteer Survey'!H242)"),"Baseline")</f>
        <v>Baseline</v>
      </c>
      <c r="AH243" s="183" t="str">
        <f>IFERROR(__xludf.DUMMYFUNCTION("QUERY('Volunteer Survey'!I242)"),"")</f>
        <v/>
      </c>
      <c r="AI243" s="183" t="str">
        <f>IFERROR(__xludf.DUMMYFUNCTION("QUERY('Volunteer Survey'!J242)"),"")</f>
        <v/>
      </c>
      <c r="AJ243" s="183" t="str">
        <f>IFERROR(__xludf.DUMMYFUNCTION("QUERY('Volunteer Survey'!K242)"),"")</f>
        <v/>
      </c>
      <c r="AK243" s="183" t="str">
        <f>IFERROR(__xludf.DUMMYFUNCTION("QUERY('Volunteer Survey'!L242)"),"")</f>
        <v/>
      </c>
      <c r="AL243" s="183" t="str">
        <f>IFERROR(__xludf.DUMMYFUNCTION("QUERY('Volunteer Survey'!M242)"),"")</f>
        <v/>
      </c>
      <c r="AM243" s="183" t="str">
        <f>IFERROR(__xludf.DUMMYFUNCTION("QUERY('Volunteer Survey'!N242)"),"")</f>
        <v/>
      </c>
      <c r="AN243" s="183" t="str">
        <f>IFERROR(__xludf.DUMMYFUNCTION("QUERY('Volunteer Survey'!O242)"),"Yes")</f>
        <v>Yes</v>
      </c>
      <c r="AO243" s="183" t="str">
        <f>IFERROR(__xludf.DUMMYFUNCTION("QUERY('Volunteer Survey'!P242)"),"")</f>
        <v/>
      </c>
    </row>
    <row r="244">
      <c r="A244" s="50">
        <f>IFERROR(__xludf.DUMMYFUNCTION("QUERY('Volunteer Survey'!A251)"),43671.887762453705)</f>
        <v>43671.88776</v>
      </c>
      <c r="B244" s="48" t="s">
        <v>108</v>
      </c>
      <c r="C244" s="79">
        <v>43819.0</v>
      </c>
      <c r="D244" s="55"/>
      <c r="E244" s="55"/>
      <c r="F244" s="48" t="s">
        <v>130</v>
      </c>
      <c r="G244" s="48" t="s">
        <v>251</v>
      </c>
      <c r="H244" s="53"/>
      <c r="I244" s="51" t="s">
        <v>139</v>
      </c>
      <c r="J244" s="55"/>
      <c r="K244" s="55"/>
      <c r="L244" s="55" t="str">
        <f>IFERROR(__xludf.DUMMYFUNCTION("QUERY('Volunteer Survey'!B251)"),"Shahad Rahawi")</f>
        <v>Shahad Rahawi</v>
      </c>
      <c r="M244" s="55" t="str">
        <f>IFERROR(__xludf.DUMMYFUNCTION("QUERY('Volunteer Survey'!E251)"),"shahadrahawi@gmail.com")</f>
        <v>shahadrahawi@gmail.com</v>
      </c>
      <c r="N244" s="55" t="str">
        <f>IFERROR(__xludf.DUMMYFUNCTION("QUERY('Volunteer Survey'!F251)"),"Genetic counselor")</f>
        <v>Genetic counselor</v>
      </c>
      <c r="O244" s="48" t="str">
        <f>IFERROR(__xludf.DUMMYFUNCTION("QUERY('Volunteer Survey'!H251)"),"Comprehensive")</f>
        <v>Comprehensive</v>
      </c>
      <c r="P244" s="55" t="str">
        <f>IFERROR(__xludf.DUMMYFUNCTION("QUERY('Volunteer Survey'!I251)"),"Variant Pathogenicity")</f>
        <v>Variant Pathogenicity</v>
      </c>
      <c r="Q244" s="60" t="str">
        <f>IFERROR(__xludf.DUMMYFUNCTION("QUERY('Volunteer Survey'!J251)"),"Gene-Disease Validity")</f>
        <v>Gene-Disease Validity</v>
      </c>
      <c r="R244" s="55" t="str">
        <f>IFERROR(__xludf.DUMMYFUNCTION("QUERY('Volunteer Survey'!K251)"),"Clinical Actionability")</f>
        <v>Clinical Actionability</v>
      </c>
      <c r="S244" s="55" t="str">
        <f>IFERROR(__xludf.DUMMYFUNCTION("QUERY('Volunteer Survey'!L251)"),"Dosage Sensitivity")</f>
        <v>Dosage Sensitivity</v>
      </c>
      <c r="T244" s="55" t="str">
        <f>IFERROR(__xludf.DUMMYFUNCTION("QUERY('Volunteer Survey'!M251)"),"Somatic Cancer")</f>
        <v>Somatic Cancer</v>
      </c>
      <c r="U244" s="64" t="str">
        <f>IFERROR(__xludf.DUMMYFUNCTION("QUERY('Volunteer Survey'!N251)"),"brief variant interpretation activities in ""analyze your genome"" class in grad school")</f>
        <v>brief variant interpretation activities in "analyze your genome" class in grad school</v>
      </c>
      <c r="V244" s="55" t="str">
        <f>IFERROR(__xludf.DUMMYFUNCTION("QUERY('Volunteer Survey'!O251)"),"Possibly")</f>
        <v>Possibly</v>
      </c>
      <c r="W244" s="66" t="str">
        <f>IFERROR(__xludf.DUMMYFUNCTION("QUERY('Volunteer Survey'!P251)"),"")</f>
        <v/>
      </c>
      <c r="X244" s="64" t="str">
        <f>IFERROR(__xludf.DUMMYFUNCTION("QUERY('Volunteer Survey'!R251)"),"Yes- I am willing to volunteer with any available ClinGen group")</f>
        <v>Yes- I am willing to volunteer with any available ClinGen group</v>
      </c>
      <c r="Y244" s="53"/>
      <c r="Z244" s="182">
        <f>IFERROR(__xludf.DUMMYFUNCTION("QUERY('Volunteer Survey'!A243)"),43654.534963287035)</f>
        <v>43654.53496</v>
      </c>
      <c r="AA244" s="183" t="str">
        <f>IFERROR(__xludf.DUMMYFUNCTION("QUERY('Volunteer Survey'!B243)"),"Terri McVeigh")</f>
        <v>Terri McVeigh</v>
      </c>
      <c r="AB244" s="183" t="str">
        <f>IFERROR(__xludf.DUMMYFUNCTION("QUERY('Volunteer Survey'!C243)"),"Royal Marsden NHS Foundation Trust ")</f>
        <v>Royal Marsden NHS Foundation Trust </v>
      </c>
      <c r="AC244" s="183" t="str">
        <f>IFERROR(__xludf.DUMMYFUNCTION("QUERY('Volunteer Survey'!D243)"),"Cancer Genetics Unit, The Royal Marsden, Fulham Road, London SW3 6JJ")</f>
        <v>Cancer Genetics Unit, The Royal Marsden, Fulham Road, London SW3 6JJ</v>
      </c>
      <c r="AD244" s="183" t="str">
        <f>IFERROR(__xludf.DUMMYFUNCTION("QUERY('Volunteer Survey'!E243)"),"terri.mcveigh@rmh.nhs.uk")</f>
        <v>terri.mcveigh@rmh.nhs.uk</v>
      </c>
      <c r="AE244" s="183" t="str">
        <f>IFERROR(__xludf.DUMMYFUNCTION("QUERY('Volunteer Survey'!F243)"),"Clinical Medical Geneticist")</f>
        <v>Clinical Medical Geneticist</v>
      </c>
      <c r="AF244" s="183" t="str">
        <f>IFERROR(__xludf.DUMMYFUNCTION("QUERY('Volunteer Survey'!G243)"),"ClinGen affiliated emails and/or newsletters")</f>
        <v>ClinGen affiliated emails and/or newsletters</v>
      </c>
      <c r="AG244" s="183" t="str">
        <f>IFERROR(__xludf.DUMMYFUNCTION("QUERY('Volunteer Survey'!H243)"),"Comprehensive")</f>
        <v>Comprehensive</v>
      </c>
      <c r="AH244" s="183" t="str">
        <f>IFERROR(__xludf.DUMMYFUNCTION("QUERY('Volunteer Survey'!I243)"),"Clinical Actionability")</f>
        <v>Clinical Actionability</v>
      </c>
      <c r="AI244" s="183" t="str">
        <f>IFERROR(__xludf.DUMMYFUNCTION("QUERY('Volunteer Survey'!J243)"),"Variant Pathogenicity")</f>
        <v>Variant Pathogenicity</v>
      </c>
      <c r="AJ244" s="183" t="str">
        <f>IFERROR(__xludf.DUMMYFUNCTION("QUERY('Volunteer Survey'!K243)"),"Gene-Disease Validity")</f>
        <v>Gene-Disease Validity</v>
      </c>
      <c r="AK244" s="183" t="str">
        <f>IFERROR(__xludf.DUMMYFUNCTION("QUERY('Volunteer Survey'!L243)"),"Somatic Cancer")</f>
        <v>Somatic Cancer</v>
      </c>
      <c r="AL244" s="183" t="str">
        <f>IFERROR(__xludf.DUMMYFUNCTION("QUERY('Volunteer Survey'!M243)"),"Dosage Sensitivity")</f>
        <v>Dosage Sensitivity</v>
      </c>
      <c r="AM244" s="183" t="str">
        <f>IFERROR(__xludf.DUMMYFUNCTION("QUERY('Volunteer Survey'!N243)"),"I work as a Medical Geneticist so routinely interrogate variants from the point of view of pathogenicity, actionability and relationship to the patient phenotype. Furthermore, I actively participate in the molecular tumour board,  where we interrogate sim"&amp;"ilar features of somatic variants. ")</f>
        <v>I work as a Medical Geneticist so routinely interrogate variants from the point of view of pathogenicity, actionability and relationship to the patient phenotype. Furthermore, I actively participate in the molecular tumour board,  where we interrogate similar features of somatic variants. </v>
      </c>
      <c r="AN244" s="183" t="str">
        <f>IFERROR(__xludf.DUMMYFUNCTION("QUERY('Volunteer Survey'!O243)"),"Possibly")</f>
        <v>Possibly</v>
      </c>
      <c r="AO244" s="183" t="str">
        <f>IFERROR(__xludf.DUMMYFUNCTION("QUERY('Volunteer Survey'!P243)"),"")</f>
        <v/>
      </c>
    </row>
    <row r="245">
      <c r="A245" s="50">
        <f>IFERROR(__xludf.DUMMYFUNCTION("QUERY('Volunteer Survey'!A252)"),43672.24757622685)</f>
        <v>43672.24758</v>
      </c>
      <c r="B245" s="48" t="s">
        <v>108</v>
      </c>
      <c r="C245" s="53"/>
      <c r="D245" s="55"/>
      <c r="E245" s="55"/>
      <c r="F245" s="48" t="s">
        <v>130</v>
      </c>
      <c r="G245" s="48" t="s">
        <v>202</v>
      </c>
      <c r="H245" s="53"/>
      <c r="I245" s="51" t="s">
        <v>139</v>
      </c>
      <c r="J245" s="55"/>
      <c r="K245" s="55"/>
      <c r="L245" s="55" t="str">
        <f>IFERROR(__xludf.DUMMYFUNCTION("QUERY('Volunteer Survey'!B252)"),"John Beilby")</f>
        <v>John Beilby</v>
      </c>
      <c r="M245" s="55" t="str">
        <f>IFERROR(__xludf.DUMMYFUNCTION("QUERY('Volunteer Survey'!E252)"),"John.Beilby@health.wa.gov.au")</f>
        <v>John.Beilby@health.wa.gov.au</v>
      </c>
      <c r="N245" s="55" t="str">
        <f>IFERROR(__xludf.DUMMYFUNCTION("QUERY('Volunteer Survey'!F252)"),"Clinical laboratory geneticist")</f>
        <v>Clinical laboratory geneticist</v>
      </c>
      <c r="O245" s="48" t="str">
        <f>IFERROR(__xludf.DUMMYFUNCTION("QUERY('Volunteer Survey'!H252)"),"Baseline")</f>
        <v>Baseline</v>
      </c>
      <c r="P245" s="55" t="str">
        <f>IFERROR(__xludf.DUMMYFUNCTION("QUERY('Volunteer Survey'!I252)"),"Variant Pathogenicity")</f>
        <v>Variant Pathogenicity</v>
      </c>
      <c r="Q245" s="60" t="str">
        <f>IFERROR(__xludf.DUMMYFUNCTION("QUERY('Volunteer Survey'!J252)"),"Clinical Actionability")</f>
        <v>Clinical Actionability</v>
      </c>
      <c r="R245" s="55" t="str">
        <f>IFERROR(__xludf.DUMMYFUNCTION("QUERY('Volunteer Survey'!K252)"),"Dosage Sensitivity")</f>
        <v>Dosage Sensitivity</v>
      </c>
      <c r="S245" s="55" t="str">
        <f>IFERROR(__xludf.DUMMYFUNCTION("QUERY('Volunteer Survey'!L252)"),"")</f>
        <v/>
      </c>
      <c r="T245" s="55" t="str">
        <f>IFERROR(__xludf.DUMMYFUNCTION("QUERY('Volunteer Survey'!M252)"),"")</f>
        <v/>
      </c>
      <c r="U245" s="64" t="str">
        <f>IFERROR(__xludf.DUMMYFUNCTION("QUERY('Volunteer Survey'!N252)"),"Regular classification of variants to incorporate into patient reports.")</f>
        <v>Regular classification of variants to incorporate into patient reports.</v>
      </c>
      <c r="V245" s="55" t="str">
        <f>IFERROR(__xludf.DUMMYFUNCTION("QUERY('Volunteer Survey'!O252)"),"Possibly")</f>
        <v>Possibly</v>
      </c>
      <c r="W245" s="66" t="str">
        <f>IFERROR(__xludf.DUMMYFUNCTION("QUERY('Volunteer Survey'!P252)"),"Cancer and cardiovascular diseases.")</f>
        <v>Cancer and cardiovascular diseases.</v>
      </c>
      <c r="X245" s="64" t="str">
        <f>IFERROR(__xludf.DUMMYFUNCTION("QUERY('Volunteer Survey'!R252)"),"Yes- I am willing to volunteer with any available ClinGen group")</f>
        <v>Yes- I am willing to volunteer with any available ClinGen group</v>
      </c>
      <c r="Y245" s="53"/>
      <c r="Z245" s="182">
        <f>IFERROR(__xludf.DUMMYFUNCTION("QUERY('Volunteer Survey'!A244)"),43655.43017872685)</f>
        <v>43655.43018</v>
      </c>
      <c r="AA245" s="183" t="str">
        <f>IFERROR(__xludf.DUMMYFUNCTION("QUERY('Volunteer Survey'!B244)"),"Gretchen Cote")</f>
        <v>Gretchen Cote</v>
      </c>
      <c r="AB245" s="183" t="str">
        <f>IFERROR(__xludf.DUMMYFUNCTION("QUERY('Volunteer Survey'!C244)"),"Virginia Division of Consolidated Laboratory Services")</f>
        <v>Virginia Division of Consolidated Laboratory Services</v>
      </c>
      <c r="AC245" s="183" t="str">
        <f>IFERROR(__xludf.DUMMYFUNCTION("QUERY('Volunteer Survey'!D244)"),"")</f>
        <v/>
      </c>
      <c r="AD245" s="183" t="str">
        <f>IFERROR(__xludf.DUMMYFUNCTION("QUERY('Volunteer Survey'!E244)"),"gretchen.cote@dgs.virginia.gov")</f>
        <v>gretchen.cote@dgs.virginia.gov</v>
      </c>
      <c r="AE245" s="183" t="str">
        <f>IFERROR(__xludf.DUMMYFUNCTION("QUERY('Volunteer Survey'!F244)"),"Bioinformatician focusing on Variant Interpretation")</f>
        <v>Bioinformatician focusing on Variant Interpretation</v>
      </c>
      <c r="AF245" s="183" t="str">
        <f>IFERROR(__xludf.DUMMYFUNCTION("QUERY('Volunteer Survey'!G244)"),"ClinGen affiliated emails and/or newsletters")</f>
        <v>ClinGen affiliated emails and/or newsletters</v>
      </c>
      <c r="AG245" s="183" t="str">
        <f>IFERROR(__xludf.DUMMYFUNCTION("QUERY('Volunteer Survey'!H244)"),"Comprehensive")</f>
        <v>Comprehensive</v>
      </c>
      <c r="AH245" s="183" t="str">
        <f>IFERROR(__xludf.DUMMYFUNCTION("QUERY('Volunteer Survey'!I244)"),"Variant Pathogenicity")</f>
        <v>Variant Pathogenicity</v>
      </c>
      <c r="AI245" s="183" t="str">
        <f>IFERROR(__xludf.DUMMYFUNCTION("QUERY('Volunteer Survey'!J244)"),"Clinical Actionability")</f>
        <v>Clinical Actionability</v>
      </c>
      <c r="AJ245" s="183" t="str">
        <f>IFERROR(__xludf.DUMMYFUNCTION("QUERY('Volunteer Survey'!K244)"),"Gene-Disease Validity")</f>
        <v>Gene-Disease Validity</v>
      </c>
      <c r="AK245" s="183" t="str">
        <f>IFERROR(__xludf.DUMMYFUNCTION("QUERY('Volunteer Survey'!L244)"),"Somatic Cancer")</f>
        <v>Somatic Cancer</v>
      </c>
      <c r="AL245" s="183" t="str">
        <f>IFERROR(__xludf.DUMMYFUNCTION("QUERY('Volunteer Survey'!M244)"),"Dosage Sensitivity")</f>
        <v>Dosage Sensitivity</v>
      </c>
      <c r="AM245" s="183" t="str">
        <f>IFERROR(__xludf.DUMMYFUNCTION("QUERY('Volunteer Survey'!N244)"),"I participate and weekly variant interpretation meetings for variant based newborn screening for Pompe and MPS1")</f>
        <v>I participate and weekly variant interpretation meetings for variant based newborn screening for Pompe and MPS1</v>
      </c>
      <c r="AN245" s="183" t="str">
        <f>IFERROR(__xludf.DUMMYFUNCTION("QUERY('Volunteer Survey'!O244)"),"Possibly")</f>
        <v>Possibly</v>
      </c>
      <c r="AO245" s="183" t="str">
        <f>IFERROR(__xludf.DUMMYFUNCTION("QUERY('Volunteer Survey'!P244)"),"Lysosomal Storage Disorders")</f>
        <v>Lysosomal Storage Disorders</v>
      </c>
    </row>
    <row r="246">
      <c r="A246" s="50">
        <f>IFERROR(__xludf.DUMMYFUNCTION("QUERY('Volunteer Survey'!A253)"),43673.078783564815)</f>
        <v>43673.07878</v>
      </c>
      <c r="B246" s="48" t="s">
        <v>125</v>
      </c>
      <c r="C246" s="79">
        <v>43689.0</v>
      </c>
      <c r="D246" s="55"/>
      <c r="E246" s="55"/>
      <c r="F246" s="48" t="s">
        <v>130</v>
      </c>
      <c r="G246" s="48" t="s">
        <v>19</v>
      </c>
      <c r="H246" s="51"/>
      <c r="I246" s="51" t="s">
        <v>139</v>
      </c>
      <c r="J246" s="55"/>
      <c r="K246" s="55"/>
      <c r="L246" s="55" t="str">
        <f>IFERROR(__xludf.DUMMYFUNCTION("QUERY('Volunteer Survey'!B253)"),"Parham Habibzadeh")</f>
        <v>Parham Habibzadeh</v>
      </c>
      <c r="M246" s="55" t="str">
        <f>IFERROR(__xludf.DUMMYFUNCTION("QUERY('Volunteer Survey'!E253)"),"parham.habibzadeh@yahoo.com")</f>
        <v>parham.habibzadeh@yahoo.com</v>
      </c>
      <c r="N246" s="55" t="str">
        <f>IFERROR(__xludf.DUMMYFUNCTION("QUERY('Volunteer Survey'!F253)"),"Scientific Researcher")</f>
        <v>Scientific Researcher</v>
      </c>
      <c r="O246" s="48" t="str">
        <f>IFERROR(__xludf.DUMMYFUNCTION("QUERY('Volunteer Survey'!H253)"),"Comprehensive")</f>
        <v>Comprehensive</v>
      </c>
      <c r="P246" s="55" t="str">
        <f>IFERROR(__xludf.DUMMYFUNCTION("QUERY('Volunteer Survey'!I253)"),"Clinical Actionability")</f>
        <v>Clinical Actionability</v>
      </c>
      <c r="Q246" s="60" t="str">
        <f>IFERROR(__xludf.DUMMYFUNCTION("QUERY('Volunteer Survey'!J253)"),"Variant Pathogenicity")</f>
        <v>Variant Pathogenicity</v>
      </c>
      <c r="R246" s="55" t="str">
        <f>IFERROR(__xludf.DUMMYFUNCTION("QUERY('Volunteer Survey'!K253)"),"Gene-Disease Validity")</f>
        <v>Gene-Disease Validity</v>
      </c>
      <c r="S246" s="55" t="str">
        <f>IFERROR(__xludf.DUMMYFUNCTION("QUERY('Volunteer Survey'!L253)"),"")</f>
        <v/>
      </c>
      <c r="T246" s="55" t="str">
        <f>IFERROR(__xludf.DUMMYFUNCTION("QUERY('Volunteer Survey'!M253)"),"")</f>
        <v/>
      </c>
      <c r="U246" s="64" t="str">
        <f>IFERROR(__xludf.DUMMYFUNCTION("QUERY('Volunteer Survey'!N253)"),"")</f>
        <v/>
      </c>
      <c r="V246" s="55" t="str">
        <f>IFERROR(__xludf.DUMMYFUNCTION("QUERY('Volunteer Survey'!O253)"),"Possibly")</f>
        <v>Possibly</v>
      </c>
      <c r="W246" s="66" t="str">
        <f>IFERROR(__xludf.DUMMYFUNCTION("QUERY('Volunteer Survey'!P253)"),"Cardiomyopathy, Brain Malformations")</f>
        <v>Cardiomyopathy, Brain Malformations</v>
      </c>
      <c r="X246" s="64" t="str">
        <f>IFERROR(__xludf.DUMMYFUNCTION("QUERY('Volunteer Survey'!R253)"),"Maybe -- please contact me with other options, and I will decide based on what is available")</f>
        <v>Maybe -- please contact me with other options, and I will decide based on what is available</v>
      </c>
      <c r="Y246" s="53"/>
      <c r="Z246" s="182">
        <f>IFERROR(__xludf.DUMMYFUNCTION("QUERY('Volunteer Survey'!A245)"),43661.550887303245)</f>
        <v>43661.55089</v>
      </c>
      <c r="AA246" s="183" t="str">
        <f>IFERROR(__xludf.DUMMYFUNCTION("QUERY('Volunteer Survey'!B245)"),"Mayher Patel")</f>
        <v>Mayher Patel</v>
      </c>
      <c r="AB246" s="183" t="str">
        <f>IFERROR(__xludf.DUMMYFUNCTION("QUERY('Volunteer Survey'!C245)"),"Broad Institute")</f>
        <v>Broad Institute</v>
      </c>
      <c r="AC246" s="183" t="str">
        <f>IFERROR(__xludf.DUMMYFUNCTION("QUERY('Volunteer Survey'!D245)"),"")</f>
        <v/>
      </c>
      <c r="AD246" s="183" t="str">
        <f>IFERROR(__xludf.DUMMYFUNCTION("QUERY('Volunteer Survey'!E245)"),"mayher@broadinstitute.org")</f>
        <v>mayher@broadinstitute.org</v>
      </c>
      <c r="AE246" s="183" t="str">
        <f>IFERROR(__xludf.DUMMYFUNCTION("QUERY('Volunteer Survey'!F245)"),"Biocurator")</f>
        <v>Biocurator</v>
      </c>
      <c r="AF246" s="183" t="str">
        <f>IFERROR(__xludf.DUMMYFUNCTION("QUERY('Volunteer Survey'!G245)"),"Colleagues, ClinGen affiliated emails and/or newsletters")</f>
        <v>Colleagues, ClinGen affiliated emails and/or newsletters</v>
      </c>
      <c r="AG246" s="183" t="str">
        <f>IFERROR(__xludf.DUMMYFUNCTION("QUERY('Volunteer Survey'!H245)"),"Comprehensive")</f>
        <v>Comprehensive</v>
      </c>
      <c r="AH246" s="183" t="str">
        <f>IFERROR(__xludf.DUMMYFUNCTION("QUERY('Volunteer Survey'!I245)"),"Gene-Disease Validity")</f>
        <v>Gene-Disease Validity</v>
      </c>
      <c r="AI246" s="183" t="str">
        <f>IFERROR(__xludf.DUMMYFUNCTION("QUERY('Volunteer Survey'!J245)"),"")</f>
        <v/>
      </c>
      <c r="AJ246" s="183" t="str">
        <f>IFERROR(__xludf.DUMMYFUNCTION("QUERY('Volunteer Survey'!K245)"),"")</f>
        <v/>
      </c>
      <c r="AK246" s="183" t="str">
        <f>IFERROR(__xludf.DUMMYFUNCTION("QUERY('Volunteer Survey'!L245)"),"")</f>
        <v/>
      </c>
      <c r="AL246" s="183" t="str">
        <f>IFERROR(__xludf.DUMMYFUNCTION("QUERY('Volunteer Survey'!M245)"),"")</f>
        <v/>
      </c>
      <c r="AM246" s="183" t="str">
        <f>IFERROR(__xludf.DUMMYFUNCTION("QUERY('Volunteer Survey'!N245)"),"")</f>
        <v/>
      </c>
      <c r="AN246" s="183" t="str">
        <f>IFERROR(__xludf.DUMMYFUNCTION("QUERY('Volunteer Survey'!O245)"),"")</f>
        <v/>
      </c>
      <c r="AO246" s="183" t="str">
        <f>IFERROR(__xludf.DUMMYFUNCTION("QUERY('Volunteer Survey'!P245)"),"")</f>
        <v/>
      </c>
    </row>
    <row r="247">
      <c r="A247" s="50">
        <f>IFERROR(__xludf.DUMMYFUNCTION("QUERY('Volunteer Survey'!A254)"),43674.42165924769)</f>
        <v>43674.42166</v>
      </c>
      <c r="B247" s="48" t="s">
        <v>108</v>
      </c>
      <c r="C247" s="79">
        <v>43717.0</v>
      </c>
      <c r="D247" s="65">
        <v>43769.0</v>
      </c>
      <c r="E247" s="48" t="s">
        <v>117</v>
      </c>
      <c r="F247" s="48" t="s">
        <v>117</v>
      </c>
      <c r="G247" s="48" t="s">
        <v>19</v>
      </c>
      <c r="H247" s="51" t="s">
        <v>19</v>
      </c>
      <c r="I247" s="51" t="s">
        <v>139</v>
      </c>
      <c r="J247" s="55"/>
      <c r="K247" s="55"/>
      <c r="L247" s="55" t="str">
        <f>IFERROR(__xludf.DUMMYFUNCTION("QUERY('Volunteer Survey'!B254)"),"Xiaolin Hu")</f>
        <v>Xiaolin Hu</v>
      </c>
      <c r="M247" s="55" t="str">
        <f>IFERROR(__xludf.DUMMYFUNCTION("QUERY('Volunteer Survey'!E254)"),"xiaolin.hu@cchmc.org")</f>
        <v>xiaolin.hu@cchmc.org</v>
      </c>
      <c r="N247" s="55" t="str">
        <f>IFERROR(__xludf.DUMMYFUNCTION("QUERY('Volunteer Survey'!F254)"),"Post Doc/Resident/Fellow (MD and/or PhD)")</f>
        <v>Post Doc/Resident/Fellow (MD and/or PhD)</v>
      </c>
      <c r="O247" s="48" t="str">
        <f>IFERROR(__xludf.DUMMYFUNCTION("QUERY('Volunteer Survey'!H254)"),"Comprehensive")</f>
        <v>Comprehensive</v>
      </c>
      <c r="P247" s="55" t="str">
        <f>IFERROR(__xludf.DUMMYFUNCTION("QUERY('Volunteer Survey'!I254)"),"Clinical Actionability")</f>
        <v>Clinical Actionability</v>
      </c>
      <c r="Q247" s="60" t="str">
        <f>IFERROR(__xludf.DUMMYFUNCTION("QUERY('Volunteer Survey'!J254)"),"Somatic Cancer")</f>
        <v>Somatic Cancer</v>
      </c>
      <c r="R247" s="55" t="str">
        <f>IFERROR(__xludf.DUMMYFUNCTION("QUERY('Volunteer Survey'!K254)"),"Gene-Disease Validity")</f>
        <v>Gene-Disease Validity</v>
      </c>
      <c r="S247" s="55" t="str">
        <f>IFERROR(__xludf.DUMMYFUNCTION("QUERY('Volunteer Survey'!L254)"),"Variant Pathogenicity")</f>
        <v>Variant Pathogenicity</v>
      </c>
      <c r="T247" s="55" t="str">
        <f>IFERROR(__xludf.DUMMYFUNCTION("QUERY('Volunteer Survey'!M254)"),"Dosage Sensitivity")</f>
        <v>Dosage Sensitivity</v>
      </c>
      <c r="U247" s="64" t="str">
        <f>IFERROR(__xludf.DUMMYFUNCTION("QUERY('Volunteer Survey'!N254)"),"Yes, as part of our fellow's training")</f>
        <v>Yes, as part of our fellow's training</v>
      </c>
      <c r="V247" s="55" t="str">
        <f>IFERROR(__xludf.DUMMYFUNCTION("QUERY('Volunteer Survey'!O254)"),"Yes")</f>
        <v>Yes</v>
      </c>
      <c r="W247" s="66" t="str">
        <f>IFERROR(__xludf.DUMMYFUNCTION("QUERY('Volunteer Survey'!P254)"),"hereditary cancer, somatic cancer, Mitochondrial Diseases")</f>
        <v>hereditary cancer, somatic cancer, Mitochondrial Diseases</v>
      </c>
      <c r="X247" s="64" t="str">
        <f>IFERROR(__xludf.DUMMYFUNCTION("QUERY('Volunteer Survey'!R254)"),"Maybe -- please contact me with other options, and I will decide based on what is available")</f>
        <v>Maybe -- please contact me with other options, and I will decide based on what is available</v>
      </c>
      <c r="Y247" s="53"/>
      <c r="Z247" s="182">
        <f>IFERROR(__xludf.DUMMYFUNCTION("QUERY('Volunteer Survey'!A246)"),43662.48937493055)</f>
        <v>43662.48937</v>
      </c>
      <c r="AA247" s="183" t="str">
        <f>IFERROR(__xludf.DUMMYFUNCTION("QUERY('Volunteer Survey'!B246)"),"Bryan Gall")</f>
        <v>Bryan Gall</v>
      </c>
      <c r="AB247" s="183" t="str">
        <f>IFERROR(__xludf.DUMMYFUNCTION("QUERY('Volunteer Survey'!C246)"),"Center for Genomic Interpretation")</f>
        <v>Center for Genomic Interpretation</v>
      </c>
      <c r="AC247" s="183" t="str">
        <f>IFERROR(__xludf.DUMMYFUNCTION("QUERY('Volunteer Survey'!D246)"),"")</f>
        <v/>
      </c>
      <c r="AD247" s="183" t="str">
        <f>IFERROR(__xludf.DUMMYFUNCTION("QUERY('Volunteer Survey'!E246)"),"bgall005@gmail.com")</f>
        <v>bgall005@gmail.com</v>
      </c>
      <c r="AE247" s="183" t="str">
        <f>IFERROR(__xludf.DUMMYFUNCTION("QUERY('Volunteer Survey'!F246)"),"Variant Analyst/Scientist - Industry")</f>
        <v>Variant Analyst/Scientist - Industry</v>
      </c>
      <c r="AF247" s="183" t="str">
        <f>IFERROR(__xludf.DUMMYFUNCTION("QUERY('Volunteer Survey'!G246)"),"Networking")</f>
        <v>Networking</v>
      </c>
      <c r="AG247" s="183" t="str">
        <f>IFERROR(__xludf.DUMMYFUNCTION("QUERY('Volunteer Survey'!H246)"),"Comprehensive")</f>
        <v>Comprehensive</v>
      </c>
      <c r="AH247" s="183" t="str">
        <f>IFERROR(__xludf.DUMMYFUNCTION("QUERY('Volunteer Survey'!I246)"),"Variant Pathogenicity")</f>
        <v>Variant Pathogenicity</v>
      </c>
      <c r="AI247" s="183" t="str">
        <f>IFERROR(__xludf.DUMMYFUNCTION("QUERY('Volunteer Survey'!J246)"),"Clinical Actionability")</f>
        <v>Clinical Actionability</v>
      </c>
      <c r="AJ247" s="183" t="str">
        <f>IFERROR(__xludf.DUMMYFUNCTION("QUERY('Volunteer Survey'!K246)"),"Gene-Disease Validity")</f>
        <v>Gene-Disease Validity</v>
      </c>
      <c r="AK247" s="183" t="str">
        <f>IFERROR(__xludf.DUMMYFUNCTION("QUERY('Volunteer Survey'!L246)"),"Somatic Cancer")</f>
        <v>Somatic Cancer</v>
      </c>
      <c r="AL247" s="183" t="str">
        <f>IFERROR(__xludf.DUMMYFUNCTION("QUERY('Volunteer Survey'!M246)"),"Dosage Sensitivity")</f>
        <v>Dosage Sensitivity</v>
      </c>
      <c r="AM247" s="183" t="str">
        <f>IFERROR(__xludf.DUMMYFUNCTION("QUERY('Volunteer Survey'!N246)"),"Manual variant interpretation using ClinGen resources")</f>
        <v>Manual variant interpretation using ClinGen resources</v>
      </c>
      <c r="AN247" s="183" t="str">
        <f>IFERROR(__xludf.DUMMYFUNCTION("QUERY('Volunteer Survey'!O246)"),"No")</f>
        <v>No</v>
      </c>
      <c r="AO247" s="183" t="str">
        <f>IFERROR(__xludf.DUMMYFUNCTION("QUERY('Volunteer Survey'!P246)"),"Colorectal Cancer, Familial Hypercholesterolemia, and Myeloid Malignancy")</f>
        <v>Colorectal Cancer, Familial Hypercholesterolemia, and Myeloid Malignancy</v>
      </c>
    </row>
    <row r="248">
      <c r="A248" s="50">
        <f>IFERROR(__xludf.DUMMYFUNCTION("QUERY('Volunteer Survey'!A255)"),43674.68125140046)</f>
        <v>43674.68125</v>
      </c>
      <c r="B248" s="48" t="s">
        <v>108</v>
      </c>
      <c r="C248" s="79">
        <v>43819.0</v>
      </c>
      <c r="D248" s="55"/>
      <c r="E248" s="55"/>
      <c r="F248" s="48" t="s">
        <v>130</v>
      </c>
      <c r="G248" s="48" t="s">
        <v>251</v>
      </c>
      <c r="H248" s="53"/>
      <c r="I248" s="51" t="s">
        <v>139</v>
      </c>
      <c r="J248" s="55"/>
      <c r="K248" s="55"/>
      <c r="L248" s="55" t="str">
        <f>IFERROR(__xludf.DUMMYFUNCTION("QUERY('Volunteer Survey'!B255)"),"Leighton Telling")</f>
        <v>Leighton Telling</v>
      </c>
      <c r="M248" s="55" t="str">
        <f>IFERROR(__xludf.DUMMYFUNCTION("QUERY('Volunteer Survey'!E255)"),"lptellin@ncsu.edu")</f>
        <v>lptellin@ncsu.edu</v>
      </c>
      <c r="N248" s="55" t="str">
        <f>IFERROR(__xludf.DUMMYFUNCTION("QUERY('Volunteer Survey'!F255)"),"Former UNC ClinGen Research Assistant")</f>
        <v>Former UNC ClinGen Research Assistant</v>
      </c>
      <c r="O248" s="48" t="str">
        <f>IFERROR(__xludf.DUMMYFUNCTION("QUERY('Volunteer Survey'!H255)"),"Comprehensive")</f>
        <v>Comprehensive</v>
      </c>
      <c r="P248" s="55" t="str">
        <f>IFERROR(__xludf.DUMMYFUNCTION("QUERY('Volunteer Survey'!I255)"),"Variant Pathogenicity")</f>
        <v>Variant Pathogenicity</v>
      </c>
      <c r="Q248" s="60" t="str">
        <f>IFERROR(__xludf.DUMMYFUNCTION("QUERY('Volunteer Survey'!J255)"),"")</f>
        <v/>
      </c>
      <c r="R248" s="55" t="str">
        <f>IFERROR(__xludf.DUMMYFUNCTION("QUERY('Volunteer Survey'!K255)"),"")</f>
        <v/>
      </c>
      <c r="S248" s="55" t="str">
        <f>IFERROR(__xludf.DUMMYFUNCTION("QUERY('Volunteer Survey'!L255)"),"")</f>
        <v/>
      </c>
      <c r="T248" s="55" t="str">
        <f>IFERROR(__xludf.DUMMYFUNCTION("QUERY('Volunteer Survey'!M255)"),"")</f>
        <v/>
      </c>
      <c r="U248" s="64" t="str">
        <f>IFERROR(__xludf.DUMMYFUNCTION("QUERY('Volunteer Survey'!N255)"),"")</f>
        <v/>
      </c>
      <c r="V248" s="55" t="str">
        <f>IFERROR(__xludf.DUMMYFUNCTION("QUERY('Volunteer Survey'!O255)"),"Yes")</f>
        <v>Yes</v>
      </c>
      <c r="W248" s="66" t="str">
        <f>IFERROR(__xludf.DUMMYFUNCTION("QUERY('Volunteer Survey'!P255)"),"N/A")</f>
        <v>N/A</v>
      </c>
      <c r="X248" s="64" t="str">
        <f>IFERROR(__xludf.DUMMYFUNCTION("QUERY('Volunteer Survey'!R255)"),"Yes- I am willing to volunteer with any available ClinGen group")</f>
        <v>Yes- I am willing to volunteer with any available ClinGen group</v>
      </c>
      <c r="Y248" s="53"/>
      <c r="Z248" s="182">
        <f>IFERROR(__xludf.DUMMYFUNCTION("QUERY('Volunteer Survey'!A247)"),43663.56819197916)</f>
        <v>43663.56819</v>
      </c>
      <c r="AA248" s="183" t="str">
        <f>IFERROR(__xludf.DUMMYFUNCTION("QUERY('Volunteer Survey'!B247)"),"Hwaida Hannoush")</f>
        <v>Hwaida Hannoush</v>
      </c>
      <c r="AB248" s="183" t="str">
        <f>IFERROR(__xludf.DUMMYFUNCTION("QUERY('Volunteer Survey'!C247)"),"ACMG")</f>
        <v>ACMG</v>
      </c>
      <c r="AC248" s="183" t="str">
        <f>IFERROR(__xludf.DUMMYFUNCTION("QUERY('Volunteer Survey'!D247)"),"8816 Bells Mill Road Potomac , MD 20854")</f>
        <v>8816 Bells Mill Road Potomac , MD 20854</v>
      </c>
      <c r="AD248" s="183" t="str">
        <f>IFERROR(__xludf.DUMMYFUNCTION("QUERY('Volunteer Survey'!E247)"),"hhannoush@acmg.net")</f>
        <v>hhannoush@acmg.net</v>
      </c>
      <c r="AE248" s="183" t="str">
        <f>IFERROR(__xludf.DUMMYFUNCTION("QUERY('Volunteer Survey'!F247)"),"Post Doc/Resident/Fellow (MD and/or PhD)")</f>
        <v>Post Doc/Resident/Fellow (MD and/or PhD)</v>
      </c>
      <c r="AF248" s="183" t="str">
        <f>IFERROR(__xludf.DUMMYFUNCTION("QUERY('Volunteer Survey'!G247)"),"ACMG training ")</f>
        <v>ACMG training </v>
      </c>
      <c r="AG248" s="183" t="str">
        <f>IFERROR(__xludf.DUMMYFUNCTION("QUERY('Volunteer Survey'!H247)"),"Comprehensive")</f>
        <v>Comprehensive</v>
      </c>
      <c r="AH248" s="183" t="str">
        <f>IFERROR(__xludf.DUMMYFUNCTION("QUERY('Volunteer Survey'!I247)"),"Gene-Disease Validity")</f>
        <v>Gene-Disease Validity</v>
      </c>
      <c r="AI248" s="183" t="str">
        <f>IFERROR(__xludf.DUMMYFUNCTION("QUERY('Volunteer Survey'!J247)"),"Variant Pathogenicity")</f>
        <v>Variant Pathogenicity</v>
      </c>
      <c r="AJ248" s="183" t="str">
        <f>IFERROR(__xludf.DUMMYFUNCTION("QUERY('Volunteer Survey'!K247)"),"")</f>
        <v/>
      </c>
      <c r="AK248" s="183" t="str">
        <f>IFERROR(__xludf.DUMMYFUNCTION("QUERY('Volunteer Survey'!L247)"),"")</f>
        <v/>
      </c>
      <c r="AL248" s="183" t="str">
        <f>IFERROR(__xludf.DUMMYFUNCTION("QUERY('Volunteer Survey'!M247)"),"")</f>
        <v/>
      </c>
      <c r="AM248" s="183" t="str">
        <f>IFERROR(__xludf.DUMMYFUNCTION("QUERY('Volunteer Survey'!N247)"),"None")</f>
        <v>None</v>
      </c>
      <c r="AN248" s="183" t="str">
        <f>IFERROR(__xludf.DUMMYFUNCTION("QUERY('Volunteer Survey'!O247)"),"No")</f>
        <v>No</v>
      </c>
      <c r="AO248" s="183" t="str">
        <f>IFERROR(__xludf.DUMMYFUNCTION("QUERY('Volunteer Survey'!P247)"),"Cardiomyopathy, Familial Hypercholesterolemia")</f>
        <v>Cardiomyopathy, Familial Hypercholesterolemia</v>
      </c>
    </row>
    <row r="249">
      <c r="A249" s="50">
        <f>IFERROR(__xludf.DUMMYFUNCTION("QUERY('Volunteer Survey'!A256)"),43675.64387090278)</f>
        <v>43675.64387</v>
      </c>
      <c r="B249" s="48" t="s">
        <v>160</v>
      </c>
      <c r="C249" s="79">
        <v>43705.0</v>
      </c>
      <c r="D249" s="65">
        <v>43719.0</v>
      </c>
      <c r="E249" s="48" t="s">
        <v>117</v>
      </c>
      <c r="F249" s="48" t="s">
        <v>130</v>
      </c>
      <c r="G249" s="48" t="s">
        <v>136</v>
      </c>
      <c r="H249" s="51" t="s">
        <v>319</v>
      </c>
      <c r="I249" s="51" t="s">
        <v>139</v>
      </c>
      <c r="J249" s="55"/>
      <c r="K249" s="55"/>
      <c r="L249" s="55" t="str">
        <f>IFERROR(__xludf.DUMMYFUNCTION("QUERY('Volunteer Survey'!B256)"),"Panieh Terraf")</f>
        <v>Panieh Terraf</v>
      </c>
      <c r="M249" s="55" t="str">
        <f>IFERROR(__xludf.DUMMYFUNCTION("QUERY('Volunteer Survey'!E256)"),"pterraf@bwh.harvard.edu")</f>
        <v>pterraf@bwh.harvard.edu</v>
      </c>
      <c r="N249" s="55" t="str">
        <f>IFERROR(__xludf.DUMMYFUNCTION("QUERY('Volunteer Survey'!F256)"),"Clinical laboratory geneticist")</f>
        <v>Clinical laboratory geneticist</v>
      </c>
      <c r="O249" s="48" t="str">
        <f>IFERROR(__xludf.DUMMYFUNCTION("QUERY('Volunteer Survey'!H256)"),"Comprehensive")</f>
        <v>Comprehensive</v>
      </c>
      <c r="P249" s="55" t="str">
        <f>IFERROR(__xludf.DUMMYFUNCTION("QUERY('Volunteer Survey'!I256)"),"Somatic Cancer")</f>
        <v>Somatic Cancer</v>
      </c>
      <c r="Q249" s="60" t="str">
        <f>IFERROR(__xludf.DUMMYFUNCTION("QUERY('Volunteer Survey'!J256)"),"Variant Pathogenicity, Dosage Sensitivity")</f>
        <v>Variant Pathogenicity, Dosage Sensitivity</v>
      </c>
      <c r="R249" s="55" t="str">
        <f>IFERROR(__xludf.DUMMYFUNCTION("QUERY('Volunteer Survey'!K256)"),"Gene-Disease Validity")</f>
        <v>Gene-Disease Validity</v>
      </c>
      <c r="S249" s="55" t="str">
        <f>IFERROR(__xludf.DUMMYFUNCTION("QUERY('Volunteer Survey'!L256)"),"Clinical Actionability")</f>
        <v>Clinical Actionability</v>
      </c>
      <c r="T249" s="55" t="str">
        <f>IFERROR(__xludf.DUMMYFUNCTION("QUERY('Volunteer Survey'!M256)"),"")</f>
        <v/>
      </c>
      <c r="U249" s="64" t="str">
        <f>IFERROR(__xludf.DUMMYFUNCTION("QUERY('Volunteer Survey'!N256)"),"Yes, in somatic cancer variant curation through my clinical training at the Brigham and Women's Hospital. ")</f>
        <v>Yes, in somatic cancer variant curation through my clinical training at the Brigham and Women's Hospital. </v>
      </c>
      <c r="V249" s="55" t="str">
        <f>IFERROR(__xludf.DUMMYFUNCTION("QUERY('Volunteer Survey'!O256)"),"No")</f>
        <v>No</v>
      </c>
      <c r="W249" s="66" t="str">
        <f>IFERROR(__xludf.DUMMYFUNCTION("QUERY('Volunteer Survey'!P256)"),"Variant curation: myeloid malignancy, colorectal cancer, cardiomyopathy 
Somatic cancer working group: All, particularly pediatrics.
Dosage sensitivity: hereditary cancers, neurodevelopmental ")</f>
        <v>Variant curation: myeloid malignancy, colorectal cancer, cardiomyopathy 
Somatic cancer working group: All, particularly pediatrics.
Dosage sensitivity: hereditary cancers, neurodevelopmental </v>
      </c>
      <c r="X249" s="64" t="str">
        <f>IFERROR(__xludf.DUMMYFUNCTION("QUERY('Volunteer Survey'!R256)"),"Maybe -- please contact me with other options, and I will decide based on what is available")</f>
        <v>Maybe -- please contact me with other options, and I will decide based on what is available</v>
      </c>
      <c r="Y249" s="53"/>
      <c r="Z249" s="182">
        <f>IFERROR(__xludf.DUMMYFUNCTION("QUERY('Volunteer Survey'!A248)"),43663.98611565972)</f>
        <v>43663.98612</v>
      </c>
      <c r="AA249" s="183" t="str">
        <f>IFERROR(__xludf.DUMMYFUNCTION("QUERY('Volunteer Survey'!B248)"),"Rawan Awwad")</f>
        <v>Rawan Awwad</v>
      </c>
      <c r="AB249" s="183" t="str">
        <f>IFERROR(__xludf.DUMMYFUNCTION("QUERY('Volunteer Survey'!C248)"),"GeneMatters")</f>
        <v>GeneMatters</v>
      </c>
      <c r="AC249" s="183" t="str">
        <f>IFERROR(__xludf.DUMMYFUNCTION("QUERY('Volunteer Survey'!D248)"),"Michigan")</f>
        <v>Michigan</v>
      </c>
      <c r="AD249" s="183" t="str">
        <f>IFERROR(__xludf.DUMMYFUNCTION("QUERY('Volunteer Survey'!E248)"),"rawan.awwad@gmail.com")</f>
        <v>rawan.awwad@gmail.com</v>
      </c>
      <c r="AE249" s="183" t="str">
        <f>IFERROR(__xludf.DUMMYFUNCTION("QUERY('Volunteer Survey'!F248)"),"Genetic counselor")</f>
        <v>Genetic counselor</v>
      </c>
      <c r="AF249" s="183" t="str">
        <f>IFERROR(__xludf.DUMMYFUNCTION("QUERY('Volunteer Survey'!G248)"),"Networking")</f>
        <v>Networking</v>
      </c>
      <c r="AG249" s="183" t="str">
        <f>IFERROR(__xludf.DUMMYFUNCTION("QUERY('Volunteer Survey'!H248)"),"Comprehensive")</f>
        <v>Comprehensive</v>
      </c>
      <c r="AH249" s="183" t="str">
        <f>IFERROR(__xludf.DUMMYFUNCTION("QUERY('Volunteer Survey'!I248)"),"Clinical Actionability")</f>
        <v>Clinical Actionability</v>
      </c>
      <c r="AI249" s="183" t="str">
        <f>IFERROR(__xludf.DUMMYFUNCTION("QUERY('Volunteer Survey'!J248)"),"Gene-Disease Validity")</f>
        <v>Gene-Disease Validity</v>
      </c>
      <c r="AJ249" s="183" t="str">
        <f>IFERROR(__xludf.DUMMYFUNCTION("QUERY('Volunteer Survey'!K248)"),"Variant Pathogenicity")</f>
        <v>Variant Pathogenicity</v>
      </c>
      <c r="AK249" s="183" t="str">
        <f>IFERROR(__xludf.DUMMYFUNCTION("QUERY('Volunteer Survey'!L248)"),"")</f>
        <v/>
      </c>
      <c r="AL249" s="183" t="str">
        <f>IFERROR(__xludf.DUMMYFUNCTION("QUERY('Volunteer Survey'!M248)"),"")</f>
        <v/>
      </c>
      <c r="AM249" s="183" t="str">
        <f>IFERROR(__xludf.DUMMYFUNCTION("QUERY('Volunteer Survey'!N248)"),"No but I know I can pick it up ")</f>
        <v>No but I know I can pick it up </v>
      </c>
      <c r="AN249" s="183" t="str">
        <f>IFERROR(__xludf.DUMMYFUNCTION("QUERY('Volunteer Survey'!O248)"),"No")</f>
        <v>No</v>
      </c>
      <c r="AO249" s="183" t="str">
        <f>IFERROR(__xludf.DUMMYFUNCTION("QUERY('Volunteer Survey'!P248)"),"Clinical actionability for Peds ")</f>
        <v>Clinical actionability for Peds </v>
      </c>
    </row>
    <row r="250">
      <c r="A250" s="50">
        <f>IFERROR(__xludf.DUMMYFUNCTION("QUERY('Volunteer Survey'!A257)"),43677.461992488425)</f>
        <v>43677.46199</v>
      </c>
      <c r="B250" s="48" t="s">
        <v>108</v>
      </c>
      <c r="C250" s="79">
        <v>43819.0</v>
      </c>
      <c r="D250" s="55"/>
      <c r="E250" s="55"/>
      <c r="F250" s="48" t="s">
        <v>130</v>
      </c>
      <c r="G250" s="48" t="s">
        <v>122</v>
      </c>
      <c r="H250" s="53"/>
      <c r="I250" s="51" t="s">
        <v>139</v>
      </c>
      <c r="J250" s="55"/>
      <c r="K250" s="55"/>
      <c r="L250" s="55" t="str">
        <f>IFERROR(__xludf.DUMMYFUNCTION("QUERY('Volunteer Survey'!B257)"),"Jennifer Hull")</f>
        <v>Jennifer Hull</v>
      </c>
      <c r="M250" s="55" t="str">
        <f>IFERROR(__xludf.DUMMYFUNCTION("QUERY('Volunteer Survey'!E257)"),"jhull86@gmail.com")</f>
        <v>jhull86@gmail.com</v>
      </c>
      <c r="N250" s="55" t="str">
        <f>IFERROR(__xludf.DUMMYFUNCTION("QUERY('Volunteer Survey'!F257)"),"Graduate Student")</f>
        <v>Graduate Student</v>
      </c>
      <c r="O250" s="48" t="str">
        <f>IFERROR(__xludf.DUMMYFUNCTION("QUERY('Volunteer Survey'!H257)"),"comprehensive")</f>
        <v>comprehensive</v>
      </c>
      <c r="P250" s="55" t="str">
        <f>IFERROR(__xludf.DUMMYFUNCTION("QUERY('Volunteer Survey'!I257)"),"Gene-Disease Validity")</f>
        <v>Gene-Disease Validity</v>
      </c>
      <c r="Q250" s="60" t="str">
        <f>IFERROR(__xludf.DUMMYFUNCTION("QUERY('Volunteer Survey'!J257)"),"Variant Pathogenicity")</f>
        <v>Variant Pathogenicity</v>
      </c>
      <c r="R250" s="55" t="str">
        <f>IFERROR(__xludf.DUMMYFUNCTION("QUERY('Volunteer Survey'!K257)"),"Clinical Actionability")</f>
        <v>Clinical Actionability</v>
      </c>
      <c r="S250" s="55" t="str">
        <f>IFERROR(__xludf.DUMMYFUNCTION("QUERY('Volunteer Survey'!L257)"),"Dosage Sensitivity")</f>
        <v>Dosage Sensitivity</v>
      </c>
      <c r="T250" s="55" t="str">
        <f>IFERROR(__xludf.DUMMYFUNCTION("QUERY('Volunteer Survey'!M257)"),"Somatic Cancer")</f>
        <v>Somatic Cancer</v>
      </c>
      <c r="U250" s="64" t="str">
        <f>IFERROR(__xludf.DUMMYFUNCTION("QUERY('Volunteer Survey'!N257)"),"N/A")</f>
        <v>N/A</v>
      </c>
      <c r="V250" s="55" t="str">
        <f>IFERROR(__xludf.DUMMYFUNCTION("QUERY('Volunteer Survey'!O257)"),"Yes")</f>
        <v>Yes</v>
      </c>
      <c r="W250" s="66" t="str">
        <f>IFERROR(__xludf.DUMMYFUNCTION("QUERY('Volunteer Survey'!P257)"),"Phenylketonuria Variant Curation Expert Panel, epilepsy, CMT, hypercholesterolemia, colorectal cancer")</f>
        <v>Phenylketonuria Variant Curation Expert Panel, epilepsy, CMT, hypercholesterolemia, colorectal cancer</v>
      </c>
      <c r="X250" s="64" t="str">
        <f>IFERROR(__xludf.DUMMYFUNCTION("QUERY('Volunteer Survey'!R257)"),"Yes- I am willing to volunteer with any available ClinGen group")</f>
        <v>Yes- I am willing to volunteer with any available ClinGen group</v>
      </c>
      <c r="Y250" s="53"/>
      <c r="Z250" s="182">
        <f>IFERROR(__xludf.DUMMYFUNCTION("QUERY('Volunteer Survey'!A249)"),43665.50623513889)</f>
        <v>43665.50624</v>
      </c>
      <c r="AA250" s="183" t="str">
        <f>IFERROR(__xludf.DUMMYFUNCTION("QUERY('Volunteer Survey'!B249)"),"Yanhui Li")</f>
        <v>Yanhui Li</v>
      </c>
      <c r="AB250" s="183" t="str">
        <f>IFERROR(__xludf.DUMMYFUNCTION("QUERY('Volunteer Survey'!C249)"),"University of Texas Southwestern Medical Center")</f>
        <v>University of Texas Southwestern Medical Center</v>
      </c>
      <c r="AC250" s="183" t="str">
        <f>IFERROR(__xludf.DUMMYFUNCTION("QUERY('Volunteer Survey'!D249)"),"")</f>
        <v/>
      </c>
      <c r="AD250" s="183" t="str">
        <f>IFERROR(__xludf.DUMMYFUNCTION("QUERY('Volunteer Survey'!E249)"),"yxl280@gmail.com")</f>
        <v>yxl280@gmail.com</v>
      </c>
      <c r="AE250" s="183" t="str">
        <f>IFERROR(__xludf.DUMMYFUNCTION("QUERY('Volunteer Survey'!F249)"),"Post Doc/Resident/Fellow (MD and/or PhD)")</f>
        <v>Post Doc/Resident/Fellow (MD and/or PhD)</v>
      </c>
      <c r="AF250" s="183" t="str">
        <f>IFERROR(__xludf.DUMMYFUNCTION("QUERY('Volunteer Survey'!G249)"),"The clinicalgenome.org website")</f>
        <v>The clinicalgenome.org website</v>
      </c>
      <c r="AG250" s="183" t="str">
        <f>IFERROR(__xludf.DUMMYFUNCTION("QUERY('Volunteer Survey'!H249)"),"Comprehensive")</f>
        <v>Comprehensive</v>
      </c>
      <c r="AH250" s="183" t="str">
        <f>IFERROR(__xludf.DUMMYFUNCTION("QUERY('Volunteer Survey'!I249)"),"Variant Pathogenicity")</f>
        <v>Variant Pathogenicity</v>
      </c>
      <c r="AI250" s="183" t="str">
        <f>IFERROR(__xludf.DUMMYFUNCTION("QUERY('Volunteer Survey'!J249)"),"Gene-Disease Validity")</f>
        <v>Gene-Disease Validity</v>
      </c>
      <c r="AJ250" s="183" t="str">
        <f>IFERROR(__xludf.DUMMYFUNCTION("QUERY('Volunteer Survey'!K249)"),"Somatic Cancer")</f>
        <v>Somatic Cancer</v>
      </c>
      <c r="AK250" s="183" t="str">
        <f>IFERROR(__xludf.DUMMYFUNCTION("QUERY('Volunteer Survey'!L249)"),"Clinical Actionability")</f>
        <v>Clinical Actionability</v>
      </c>
      <c r="AL250" s="183" t="str">
        <f>IFERROR(__xludf.DUMMYFUNCTION("QUERY('Volunteer Survey'!M249)"),"Dosage Sensitivity")</f>
        <v>Dosage Sensitivity</v>
      </c>
      <c r="AM250" s="183" t="str">
        <f>IFERROR(__xludf.DUMMYFUNCTION("QUERY('Volunteer Survey'!N249)"),"")</f>
        <v/>
      </c>
      <c r="AN250" s="183" t="str">
        <f>IFERROR(__xludf.DUMMYFUNCTION("QUERY('Volunteer Survey'!O249)"),"Possibly")</f>
        <v>Possibly</v>
      </c>
      <c r="AO250" s="183" t="str">
        <f>IFERROR(__xludf.DUMMYFUNCTION("QUERY('Volunteer Survey'!P249)"),"Yes")</f>
        <v>Yes</v>
      </c>
    </row>
    <row r="251">
      <c r="A251" s="50">
        <f>IFERROR(__xludf.DUMMYFUNCTION("QUERY('Volunteer Survey'!A258)"),43678.412040613424)</f>
        <v>43678.41204</v>
      </c>
      <c r="B251" s="48" t="s">
        <v>108</v>
      </c>
      <c r="C251" s="79">
        <v>43705.0</v>
      </c>
      <c r="D251" s="65">
        <v>43719.0</v>
      </c>
      <c r="E251" s="48" t="s">
        <v>117</v>
      </c>
      <c r="F251" s="48" t="s">
        <v>130</v>
      </c>
      <c r="G251" s="48" t="s">
        <v>136</v>
      </c>
      <c r="H251" s="51"/>
      <c r="I251" s="51" t="s">
        <v>139</v>
      </c>
      <c r="J251" s="55"/>
      <c r="K251" s="55"/>
      <c r="L251" s="55" t="str">
        <f>IFERROR(__xludf.DUMMYFUNCTION("QUERY('Volunteer Survey'!B258)"),"Eric Kil")</f>
        <v>Eric Kil</v>
      </c>
      <c r="M251" s="55" t="str">
        <f>IFERROR(__xludf.DUMMYFUNCTION("QUERY('Volunteer Survey'!E258)"),"ekil18@students.kgi.edu")</f>
        <v>ekil18@students.kgi.edu</v>
      </c>
      <c r="N251" s="55" t="str">
        <f>IFERROR(__xludf.DUMMYFUNCTION("QUERY('Volunteer Survey'!F258)"),"Graduate Student")</f>
        <v>Graduate Student</v>
      </c>
      <c r="O251" s="48" t="str">
        <f>IFERROR(__xludf.DUMMYFUNCTION("QUERY('Volunteer Survey'!H258)"),"comprehensive")</f>
        <v>comprehensive</v>
      </c>
      <c r="P251" s="55" t="str">
        <f>IFERROR(__xludf.DUMMYFUNCTION("QUERY('Volunteer Survey'!I258)"),"Somatic Cancer")</f>
        <v>Somatic Cancer</v>
      </c>
      <c r="Q251" s="60" t="str">
        <f>IFERROR(__xludf.DUMMYFUNCTION("QUERY('Volunteer Survey'!J258)"),"Dosage Sensitivity")</f>
        <v>Dosage Sensitivity</v>
      </c>
      <c r="R251" s="55" t="str">
        <f>IFERROR(__xludf.DUMMYFUNCTION("QUERY('Volunteer Survey'!K258)"),"Variant Pathogenicity")</f>
        <v>Variant Pathogenicity</v>
      </c>
      <c r="S251" s="55" t="str">
        <f>IFERROR(__xludf.DUMMYFUNCTION("QUERY('Volunteer Survey'!L258)"),"Gene-Disease Validity")</f>
        <v>Gene-Disease Validity</v>
      </c>
      <c r="T251" s="55" t="str">
        <f>IFERROR(__xludf.DUMMYFUNCTION("QUERY('Volunteer Survey'!M258)"),"Clinical Actionability")</f>
        <v>Clinical Actionability</v>
      </c>
      <c r="U251" s="64" t="str">
        <f>IFERROR(__xludf.DUMMYFUNCTION("QUERY('Volunteer Survey'!N258)"),"No")</f>
        <v>No</v>
      </c>
      <c r="V251" s="55" t="str">
        <f>IFERROR(__xludf.DUMMYFUNCTION("QUERY('Volunteer Survey'!O258)"),"Possibly")</f>
        <v>Possibly</v>
      </c>
      <c r="W251" s="66" t="str">
        <f>IFERROR(__xludf.DUMMYFUNCTION("QUERY('Volunteer Survey'!P258)"),"I am interested in neuro-related conditions and cancer.")</f>
        <v>I am interested in neuro-related conditions and cancer.</v>
      </c>
      <c r="X251" s="64" t="str">
        <f>IFERROR(__xludf.DUMMYFUNCTION("QUERY('Volunteer Survey'!R258)"),"Yes- I am willing to volunteer with any available ClinGen group")</f>
        <v>Yes- I am willing to volunteer with any available ClinGen group</v>
      </c>
      <c r="Y251" s="53"/>
      <c r="Z251" s="182">
        <f>IFERROR(__xludf.DUMMYFUNCTION("QUERY('Volunteer Survey'!A250)"),43668.94500358796)</f>
        <v>43668.945</v>
      </c>
      <c r="AA251" s="183" t="str">
        <f>IFERROR(__xludf.DUMMYFUNCTION("QUERY('Volunteer Survey'!B250)"),"Leila Jamal")</f>
        <v>Leila Jamal</v>
      </c>
      <c r="AB251" s="183" t="str">
        <f>IFERROR(__xludf.DUMMYFUNCTION("QUERY('Volunteer Survey'!C250)"),"NIH")</f>
        <v>NIH</v>
      </c>
      <c r="AC251" s="183" t="str">
        <f>IFERROR(__xludf.DUMMYFUNCTION("QUERY('Volunteer Survey'!D250)"),"900 Rockville Pike, Bethesda, MD 20892")</f>
        <v>900 Rockville Pike, Bethesda, MD 20892</v>
      </c>
      <c r="AD251" s="183" t="str">
        <f>IFERROR(__xludf.DUMMYFUNCTION("QUERY('Volunteer Survey'!E250)"),"leila.jamal@nih.gov")</f>
        <v>leila.jamal@nih.gov</v>
      </c>
      <c r="AE251" s="183" t="str">
        <f>IFERROR(__xludf.DUMMYFUNCTION("QUERY('Volunteer Survey'!F250)"),"Genetic counselor")</f>
        <v>Genetic counselor</v>
      </c>
      <c r="AF251" s="183" t="str">
        <f>IFERROR(__xludf.DUMMYFUNCTION("QUERY('Volunteer Survey'!G250)"),"Colleagues")</f>
        <v>Colleagues</v>
      </c>
      <c r="AG251" s="183" t="str">
        <f>IFERROR(__xludf.DUMMYFUNCTION("QUERY('Volunteer Survey'!H250)"),"Comprehensive")</f>
        <v>Comprehensive</v>
      </c>
      <c r="AH251" s="183" t="str">
        <f>IFERROR(__xludf.DUMMYFUNCTION("QUERY('Volunteer Survey'!I250)"),"Clinical Actionability")</f>
        <v>Clinical Actionability</v>
      </c>
      <c r="AI251" s="183" t="str">
        <f>IFERROR(__xludf.DUMMYFUNCTION("QUERY('Volunteer Survey'!J250)"),"Gene-Disease Validity")</f>
        <v>Gene-Disease Validity</v>
      </c>
      <c r="AJ251" s="183" t="str">
        <f>IFERROR(__xludf.DUMMYFUNCTION("QUERY('Volunteer Survey'!K250)"),"Variant Pathogenicity")</f>
        <v>Variant Pathogenicity</v>
      </c>
      <c r="AK251" s="183" t="str">
        <f>IFERROR(__xludf.DUMMYFUNCTION("QUERY('Volunteer Survey'!L250)"),"")</f>
        <v/>
      </c>
      <c r="AL251" s="183" t="str">
        <f>IFERROR(__xludf.DUMMYFUNCTION("QUERY('Volunteer Survey'!M250)"),"")</f>
        <v/>
      </c>
      <c r="AM251" s="183" t="str">
        <f>IFERROR(__xludf.DUMMYFUNCTION("QUERY('Volunteer Survey'!N250)"),"I have PhD training in public health and have also written clinical test reports for study participants enrolled in a large sequencing research protocol at NIAID (on which I am a co-investigator).   ")</f>
        <v>I have PhD training in public health and have also written clinical test reports for study participants enrolled in a large sequencing research protocol at NIAID (on which I am a co-investigator).   </v>
      </c>
      <c r="AN251" s="183" t="str">
        <f>IFERROR(__xludf.DUMMYFUNCTION("QUERY('Volunteer Survey'!O250)"),"No")</f>
        <v>No</v>
      </c>
      <c r="AO251" s="183" t="str">
        <f>IFERROR(__xludf.DUMMYFUNCTION("QUERY('Volunteer Survey'!P250)"),"I am most interested in the Pediatric Actionability Working Group and/or the Charcot-Marie-Tooth Gene Curation Group.  I would consider joining other gene or variant curation working groups as well.   ")</f>
        <v>I am most interested in the Pediatric Actionability Working Group and/or the Charcot-Marie-Tooth Gene Curation Group.  I would consider joining other gene or variant curation working groups as well.   </v>
      </c>
    </row>
    <row r="252">
      <c r="A252" s="50">
        <f>IFERROR(__xludf.DUMMYFUNCTION("QUERY('Volunteer Survey'!A259)"),43679.08931378472)</f>
        <v>43679.08931</v>
      </c>
      <c r="B252" s="48" t="s">
        <v>160</v>
      </c>
      <c r="C252" s="79">
        <v>43705.0</v>
      </c>
      <c r="D252" s="65">
        <v>43719.0</v>
      </c>
      <c r="E252" s="48" t="s">
        <v>117</v>
      </c>
      <c r="F252" s="48" t="s">
        <v>130</v>
      </c>
      <c r="G252" s="48" t="s">
        <v>136</v>
      </c>
      <c r="H252" s="51" t="s">
        <v>320</v>
      </c>
      <c r="I252" s="51" t="s">
        <v>139</v>
      </c>
      <c r="J252" s="55"/>
      <c r="K252" s="55"/>
      <c r="L252" s="55" t="str">
        <f>IFERROR(__xludf.DUMMYFUNCTION("QUERY('Volunteer Survey'!B259)"),"Joseph Steward")</f>
        <v>Joseph Steward</v>
      </c>
      <c r="M252" s="55" t="str">
        <f>IFERROR(__xludf.DUMMYFUNCTION("QUERY('Volunteer Survey'!E259)"),"jsteward2930@gmail.com")</f>
        <v>jsteward2930@gmail.com</v>
      </c>
      <c r="N252" s="55" t="str">
        <f>IFERROR(__xludf.DUMMYFUNCTION("QUERY('Volunteer Survey'!F259)"),"Scientific Researcher")</f>
        <v>Scientific Researcher</v>
      </c>
      <c r="O252" s="48" t="str">
        <f>IFERROR(__xludf.DUMMYFUNCTION("QUERY('Volunteer Survey'!H259)"),"comprehensive")</f>
        <v>comprehensive</v>
      </c>
      <c r="P252" s="55" t="str">
        <f>IFERROR(__xludf.DUMMYFUNCTION("QUERY('Volunteer Survey'!I259)"),"Somatic Cancer")</f>
        <v>Somatic Cancer</v>
      </c>
      <c r="Q252" s="60" t="str">
        <f>IFERROR(__xludf.DUMMYFUNCTION("QUERY('Volunteer Survey'!J259)"),"Variant Pathogenicity")</f>
        <v>Variant Pathogenicity</v>
      </c>
      <c r="R252" s="55" t="str">
        <f>IFERROR(__xludf.DUMMYFUNCTION("QUERY('Volunteer Survey'!K259)"),"Gene-Disease Validity")</f>
        <v>Gene-Disease Validity</v>
      </c>
      <c r="S252" s="55" t="str">
        <f>IFERROR(__xludf.DUMMYFUNCTION("QUERY('Volunteer Survey'!L259)"),"Clinical Actionability")</f>
        <v>Clinical Actionability</v>
      </c>
      <c r="T252" s="55" t="str">
        <f>IFERROR(__xludf.DUMMYFUNCTION("QUERY('Volunteer Survey'!M259)"),"Dosage Sensitivity")</f>
        <v>Dosage Sensitivity</v>
      </c>
      <c r="U252" s="64" t="str">
        <f>IFERROR(__xludf.DUMMYFUNCTION("QUERY('Volunteer Survey'!N259)"),"")</f>
        <v/>
      </c>
      <c r="V252" s="55" t="str">
        <f>IFERROR(__xludf.DUMMYFUNCTION("QUERY('Volunteer Survey'!O259)"),"Possibly")</f>
        <v>Possibly</v>
      </c>
      <c r="W252" s="66" t="str">
        <f>IFERROR(__xludf.DUMMYFUNCTION("QUERY('Volunteer Survey'!P259)"),"Pancreatic ")</f>
        <v>Pancreatic </v>
      </c>
      <c r="X252" s="64" t="str">
        <f>IFERROR(__xludf.DUMMYFUNCTION("QUERY('Volunteer Survey'!R259)"),"Yes- I am willing to volunteer with any available ClinGen group")</f>
        <v>Yes- I am willing to volunteer with any available ClinGen group</v>
      </c>
      <c r="Y252" s="53"/>
      <c r="Z252" s="182">
        <f>IFERROR(__xludf.DUMMYFUNCTION("QUERY('Volunteer Survey'!A251)"),43671.887762453705)</f>
        <v>43671.88776</v>
      </c>
      <c r="AA252" s="183" t="str">
        <f>IFERROR(__xludf.DUMMYFUNCTION("QUERY('Volunteer Survey'!B251)"),"Shahad Rahawi")</f>
        <v>Shahad Rahawi</v>
      </c>
      <c r="AB252" s="183" t="str">
        <f>IFERROR(__xludf.DUMMYFUNCTION("QUERY('Volunteer Survey'!C251)"),"Sema4 Genomics")</f>
        <v>Sema4 Genomics</v>
      </c>
      <c r="AC252" s="183" t="str">
        <f>IFERROR(__xludf.DUMMYFUNCTION("QUERY('Volunteer Survey'!D251)"),"2113 Lime Rock Court, El Cajon, CA 92019")</f>
        <v>2113 Lime Rock Court, El Cajon, CA 92019</v>
      </c>
      <c r="AD252" s="183" t="str">
        <f>IFERROR(__xludf.DUMMYFUNCTION("QUERY('Volunteer Survey'!E251)"),"shahadrahawi@gmail.com")</f>
        <v>shahadrahawi@gmail.com</v>
      </c>
      <c r="AE252" s="183" t="str">
        <f>IFERROR(__xludf.DUMMYFUNCTION("QUERY('Volunteer Survey'!F251)"),"Genetic counselor")</f>
        <v>Genetic counselor</v>
      </c>
      <c r="AF252" s="183" t="str">
        <f>IFERROR(__xludf.DUMMYFUNCTION("QUERY('Volunteer Survey'!G251)"),"Colleagues")</f>
        <v>Colleagues</v>
      </c>
      <c r="AG252" s="183" t="str">
        <f>IFERROR(__xludf.DUMMYFUNCTION("QUERY('Volunteer Survey'!H251)"),"Comprehensive")</f>
        <v>Comprehensive</v>
      </c>
      <c r="AH252" s="183" t="str">
        <f>IFERROR(__xludf.DUMMYFUNCTION("QUERY('Volunteer Survey'!I251)"),"Variant Pathogenicity")</f>
        <v>Variant Pathogenicity</v>
      </c>
      <c r="AI252" s="183" t="str">
        <f>IFERROR(__xludf.DUMMYFUNCTION("QUERY('Volunteer Survey'!J251)"),"Gene-Disease Validity")</f>
        <v>Gene-Disease Validity</v>
      </c>
      <c r="AJ252" s="183" t="str">
        <f>IFERROR(__xludf.DUMMYFUNCTION("QUERY('Volunteer Survey'!K251)"),"Clinical Actionability")</f>
        <v>Clinical Actionability</v>
      </c>
      <c r="AK252" s="183" t="str">
        <f>IFERROR(__xludf.DUMMYFUNCTION("QUERY('Volunteer Survey'!L251)"),"Dosage Sensitivity")</f>
        <v>Dosage Sensitivity</v>
      </c>
      <c r="AL252" s="183" t="str">
        <f>IFERROR(__xludf.DUMMYFUNCTION("QUERY('Volunteer Survey'!M251)"),"Somatic Cancer")</f>
        <v>Somatic Cancer</v>
      </c>
      <c r="AM252" s="183" t="str">
        <f>IFERROR(__xludf.DUMMYFUNCTION("QUERY('Volunteer Survey'!N251)"),"brief variant interpretation activities in ""analyze your genome"" class in grad school")</f>
        <v>brief variant interpretation activities in "analyze your genome" class in grad school</v>
      </c>
      <c r="AN252" s="183" t="str">
        <f>IFERROR(__xludf.DUMMYFUNCTION("QUERY('Volunteer Survey'!O251)"),"Possibly")</f>
        <v>Possibly</v>
      </c>
      <c r="AO252" s="183" t="str">
        <f>IFERROR(__xludf.DUMMYFUNCTION("QUERY('Volunteer Survey'!P251)"),"")</f>
        <v/>
      </c>
    </row>
    <row r="253">
      <c r="A253" s="50">
        <f>IFERROR(__xludf.DUMMYFUNCTION("QUERY('Volunteer Survey'!A260)"),43679.89744516204)</f>
        <v>43679.89745</v>
      </c>
      <c r="B253" s="48" t="s">
        <v>322</v>
      </c>
      <c r="C253" s="53"/>
      <c r="D253" s="55"/>
      <c r="E253" s="55"/>
      <c r="F253" s="48" t="s">
        <v>130</v>
      </c>
      <c r="G253" s="48" t="s">
        <v>202</v>
      </c>
      <c r="H253" s="53"/>
      <c r="I253" s="51" t="s">
        <v>139</v>
      </c>
      <c r="J253" s="55"/>
      <c r="K253" s="55"/>
      <c r="L253" s="55" t="str">
        <f>IFERROR(__xludf.DUMMYFUNCTION("QUERY('Volunteer Survey'!B260)"),"NANDITA MULLAPUDI")</f>
        <v>NANDITA MULLAPUDI</v>
      </c>
      <c r="M253" s="55" t="str">
        <f>IFERROR(__xludf.DUMMYFUNCTION("QUERY('Volunteer Survey'!E260)"),"mnandita@gmail.com")</f>
        <v>mnandita@gmail.com</v>
      </c>
      <c r="N253" s="55" t="str">
        <f>IFERROR(__xludf.DUMMYFUNCTION("QUERY('Volunteer Survey'!F260)"),"Scientific Researcher")</f>
        <v>Scientific Researcher</v>
      </c>
      <c r="O253" s="48" t="str">
        <f>IFERROR(__xludf.DUMMYFUNCTION("QUERY('Volunteer Survey'!H260)"),"comprehensive")</f>
        <v>comprehensive</v>
      </c>
      <c r="P253" s="55" t="str">
        <f>IFERROR(__xludf.DUMMYFUNCTION("QUERY('Volunteer Survey'!I260)"),"")</f>
        <v/>
      </c>
      <c r="Q253" s="60" t="str">
        <f>IFERROR(__xludf.DUMMYFUNCTION("QUERY('Volunteer Survey'!J260)"),"")</f>
        <v/>
      </c>
      <c r="R253" s="55" t="str">
        <f>IFERROR(__xludf.DUMMYFUNCTION("QUERY('Volunteer Survey'!K260)"),"")</f>
        <v/>
      </c>
      <c r="S253" s="55" t="str">
        <f>IFERROR(__xludf.DUMMYFUNCTION("QUERY('Volunteer Survey'!L260)"),"")</f>
        <v/>
      </c>
      <c r="T253" s="55" t="str">
        <f>IFERROR(__xludf.DUMMYFUNCTION("QUERY('Volunteer Survey'!M260)"),"")</f>
        <v/>
      </c>
      <c r="U253" s="64" t="str">
        <f>IFERROR(__xludf.DUMMYFUNCTION("QUERY('Volunteer Survey'!N260)"),"I am not currently signing up for being an active member, but I would like to eventually. I would like to state that I have almost two years of experience working with a molecular diagnostics company, wherein I was responsible for setting up the variant a"&amp;"nalyses and interpretation processes for a variety of inherited disorders.")</f>
        <v>I am not currently signing up for being an active member, but I would like to eventually. I would like to state that I have almost two years of experience working with a molecular diagnostics company, wherein I was responsible for setting up the variant analyses and interpretation processes for a variety of inherited disorders.</v>
      </c>
      <c r="V253" s="55" t="str">
        <f>IFERROR(__xludf.DUMMYFUNCTION("QUERY('Volunteer Survey'!O260)"),"")</f>
        <v/>
      </c>
      <c r="W253" s="66" t="str">
        <f>IFERROR(__xludf.DUMMYFUNCTION("QUERY('Volunteer Survey'!P260)"),"Intellectual disability and autism, Mitochondrial diseases, Hearing loss, Familial hypercholesterolemia")</f>
        <v>Intellectual disability and autism, Mitochondrial diseases, Hearing loss, Familial hypercholesterolemia</v>
      </c>
      <c r="X253" s="64" t="str">
        <f>IFERROR(__xludf.DUMMYFUNCTION("QUERY('Volunteer Survey'!R260)"),"Yes- I am willing to volunteer with any available ClinGen group")</f>
        <v>Yes- I am willing to volunteer with any available ClinGen group</v>
      </c>
      <c r="Y253" s="51" t="s">
        <v>608</v>
      </c>
      <c r="Z253" s="182">
        <f>IFERROR(__xludf.DUMMYFUNCTION("QUERY('Volunteer Survey'!A252)"),43672.24757622685)</f>
        <v>43672.24758</v>
      </c>
      <c r="AA253" s="183" t="str">
        <f>IFERROR(__xludf.DUMMYFUNCTION("QUERY('Volunteer Survey'!B252)"),"John Beilby")</f>
        <v>John Beilby</v>
      </c>
      <c r="AB253" s="183" t="str">
        <f>IFERROR(__xludf.DUMMYFUNCTION("QUERY('Volunteer Survey'!C252)"),"PathWest")</f>
        <v>PathWest</v>
      </c>
      <c r="AC253" s="183" t="str">
        <f>IFERROR(__xludf.DUMMYFUNCTION("QUERY('Volunteer Survey'!D252)"),"Diagnostic Genomics, Level 2 PP Block, Queen Elizabeth II Medical Centre, Nedlands, WA. 6009")</f>
        <v>Diagnostic Genomics, Level 2 PP Block, Queen Elizabeth II Medical Centre, Nedlands, WA. 6009</v>
      </c>
      <c r="AD253" s="183" t="str">
        <f>IFERROR(__xludf.DUMMYFUNCTION("QUERY('Volunteer Survey'!E252)"),"John.Beilby@health.wa.gov.au")</f>
        <v>John.Beilby@health.wa.gov.au</v>
      </c>
      <c r="AE253" s="183" t="str">
        <f>IFERROR(__xludf.DUMMYFUNCTION("QUERY('Volunteer Survey'!F252)"),"Clinical laboratory geneticist")</f>
        <v>Clinical laboratory geneticist</v>
      </c>
      <c r="AF253" s="183" t="str">
        <f>IFERROR(__xludf.DUMMYFUNCTION("QUERY('Volunteer Survey'!G252)"),"The clinicalgenome.org website")</f>
        <v>The clinicalgenome.org website</v>
      </c>
      <c r="AG253" s="183" t="str">
        <f>IFERROR(__xludf.DUMMYFUNCTION("QUERY('Volunteer Survey'!H252)"),"Baseline")</f>
        <v>Baseline</v>
      </c>
      <c r="AH253" s="183" t="str">
        <f>IFERROR(__xludf.DUMMYFUNCTION("QUERY('Volunteer Survey'!I252)"),"Variant Pathogenicity")</f>
        <v>Variant Pathogenicity</v>
      </c>
      <c r="AI253" s="183" t="str">
        <f>IFERROR(__xludf.DUMMYFUNCTION("QUERY('Volunteer Survey'!J252)"),"Clinical Actionability")</f>
        <v>Clinical Actionability</v>
      </c>
      <c r="AJ253" s="183" t="str">
        <f>IFERROR(__xludf.DUMMYFUNCTION("QUERY('Volunteer Survey'!K252)"),"Dosage Sensitivity")</f>
        <v>Dosage Sensitivity</v>
      </c>
      <c r="AK253" s="183" t="str">
        <f>IFERROR(__xludf.DUMMYFUNCTION("QUERY('Volunteer Survey'!L252)"),"")</f>
        <v/>
      </c>
      <c r="AL253" s="183" t="str">
        <f>IFERROR(__xludf.DUMMYFUNCTION("QUERY('Volunteer Survey'!M252)"),"")</f>
        <v/>
      </c>
      <c r="AM253" s="183" t="str">
        <f>IFERROR(__xludf.DUMMYFUNCTION("QUERY('Volunteer Survey'!N252)"),"Regular classification of variants to incorporate into patient reports.")</f>
        <v>Regular classification of variants to incorporate into patient reports.</v>
      </c>
      <c r="AN253" s="183" t="str">
        <f>IFERROR(__xludf.DUMMYFUNCTION("QUERY('Volunteer Survey'!O252)"),"Possibly")</f>
        <v>Possibly</v>
      </c>
      <c r="AO253" s="183" t="str">
        <f>IFERROR(__xludf.DUMMYFUNCTION("QUERY('Volunteer Survey'!P252)"),"Cancer and cardiovascular diseases.")</f>
        <v>Cancer and cardiovascular diseases.</v>
      </c>
    </row>
    <row r="254">
      <c r="A254" s="50">
        <f>IFERROR(__xludf.DUMMYFUNCTION("QUERY('Volunteer Survey'!A261)"),43680.050454421296)</f>
        <v>43680.05045</v>
      </c>
      <c r="B254" s="48" t="s">
        <v>108</v>
      </c>
      <c r="C254" s="53"/>
      <c r="D254" s="55"/>
      <c r="E254" s="55"/>
      <c r="F254" s="48" t="s">
        <v>130</v>
      </c>
      <c r="G254" s="48" t="s">
        <v>202</v>
      </c>
      <c r="H254" s="53"/>
      <c r="I254" s="51" t="s">
        <v>139</v>
      </c>
      <c r="J254" s="55"/>
      <c r="K254" s="55"/>
      <c r="L254" s="55" t="str">
        <f>IFERROR(__xludf.DUMMYFUNCTION("QUERY('Volunteer Survey'!B261)"),"Hari Subramanian")</f>
        <v>Hari Subramanian</v>
      </c>
      <c r="M254" s="55" t="str">
        <f>IFERROR(__xludf.DUMMYFUNCTION("QUERY('Volunteer Survey'!E261)"),"hsubramanian@bsd.uchicago.edu")</f>
        <v>hsubramanian@bsd.uchicago.edu</v>
      </c>
      <c r="N254" s="55" t="str">
        <f>IFERROR(__xludf.DUMMYFUNCTION("QUERY('Volunteer Survey'!F261)"),"Bioinformatician, Clinical Diagnostics Lab")</f>
        <v>Bioinformatician, Clinical Diagnostics Lab</v>
      </c>
      <c r="O254" s="48" t="str">
        <f>IFERROR(__xludf.DUMMYFUNCTION("QUERY('Volunteer Survey'!H261)"),"Baseline")</f>
        <v>Baseline</v>
      </c>
      <c r="P254" s="55" t="str">
        <f>IFERROR(__xludf.DUMMYFUNCTION("QUERY('Volunteer Survey'!I261)"),"Dosage Sensitivity")</f>
        <v>Dosage Sensitivity</v>
      </c>
      <c r="Q254" s="60" t="str">
        <f>IFERROR(__xludf.DUMMYFUNCTION("QUERY('Volunteer Survey'!J261)"),"Variant Pathogenicity")</f>
        <v>Variant Pathogenicity</v>
      </c>
      <c r="R254" s="55" t="str">
        <f>IFERROR(__xludf.DUMMYFUNCTION("QUERY('Volunteer Survey'!K261)"),"Gene-Disease Validity")</f>
        <v>Gene-Disease Validity</v>
      </c>
      <c r="S254" s="55" t="str">
        <f>IFERROR(__xludf.DUMMYFUNCTION("QUERY('Volunteer Survey'!L261)"),"Somatic Cancer")</f>
        <v>Somatic Cancer</v>
      </c>
      <c r="T254" s="55" t="str">
        <f>IFERROR(__xludf.DUMMYFUNCTION("QUERY('Volunteer Survey'!M261)"),"")</f>
        <v/>
      </c>
      <c r="U254" s="64" t="str">
        <f>IFERROR(__xludf.DUMMYFUNCTION("QUERY('Volunteer Survey'!N261)"),"")</f>
        <v/>
      </c>
      <c r="V254" s="55" t="str">
        <f>IFERROR(__xludf.DUMMYFUNCTION("QUERY('Volunteer Survey'!O261)"),"Possibly")</f>
        <v>Possibly</v>
      </c>
      <c r="W254" s="66" t="str">
        <f>IFERROR(__xludf.DUMMYFUNCTION("QUERY('Volunteer Survey'!P261)"),"")</f>
        <v/>
      </c>
      <c r="X254" s="64" t="str">
        <f>IFERROR(__xludf.DUMMYFUNCTION("QUERY('Volunteer Survey'!R261)"),"Maybe -- please contact me with other options, and I will decide based on what is available")</f>
        <v>Maybe -- please contact me with other options, and I will decide based on what is available</v>
      </c>
      <c r="Y254" s="53"/>
      <c r="Z254" s="182">
        <f>IFERROR(__xludf.DUMMYFUNCTION("QUERY('Volunteer Survey'!A253)"),43673.078783564815)</f>
        <v>43673.07878</v>
      </c>
      <c r="AA254" s="183" t="str">
        <f>IFERROR(__xludf.DUMMYFUNCTION("QUERY('Volunteer Survey'!B253)"),"Parham Habibzadeh")</f>
        <v>Parham Habibzadeh</v>
      </c>
      <c r="AB254" s="183" t="str">
        <f>IFERROR(__xludf.DUMMYFUNCTION("QUERY('Volunteer Survey'!C253)"),"Persian Bayangene Research and Training Center, Shiraz University of Medical Sciences")</f>
        <v>Persian Bayangene Research and Training Center, Shiraz University of Medical Sciences</v>
      </c>
      <c r="AC254" s="183" t="str">
        <f>IFERROR(__xludf.DUMMYFUNCTION("QUERY('Volunteer Survey'!D253)"),"")</f>
        <v/>
      </c>
      <c r="AD254" s="183" t="str">
        <f>IFERROR(__xludf.DUMMYFUNCTION("QUERY('Volunteer Survey'!E253)"),"parham.habibzadeh@yahoo.com")</f>
        <v>parham.habibzadeh@yahoo.com</v>
      </c>
      <c r="AE254" s="183" t="str">
        <f>IFERROR(__xludf.DUMMYFUNCTION("QUERY('Volunteer Survey'!F253)"),"Scientific Researcher")</f>
        <v>Scientific Researcher</v>
      </c>
      <c r="AF254" s="183" t="str">
        <f>IFERROR(__xludf.DUMMYFUNCTION("QUERY('Volunteer Survey'!G253)"),"Youtube")</f>
        <v>Youtube</v>
      </c>
      <c r="AG254" s="183" t="str">
        <f>IFERROR(__xludf.DUMMYFUNCTION("QUERY('Volunteer Survey'!H253)"),"Comprehensive")</f>
        <v>Comprehensive</v>
      </c>
      <c r="AH254" s="183" t="str">
        <f>IFERROR(__xludf.DUMMYFUNCTION("QUERY('Volunteer Survey'!I253)"),"Clinical Actionability")</f>
        <v>Clinical Actionability</v>
      </c>
      <c r="AI254" s="183" t="str">
        <f>IFERROR(__xludf.DUMMYFUNCTION("QUERY('Volunteer Survey'!J253)"),"Variant Pathogenicity")</f>
        <v>Variant Pathogenicity</v>
      </c>
      <c r="AJ254" s="183" t="str">
        <f>IFERROR(__xludf.DUMMYFUNCTION("QUERY('Volunteer Survey'!K253)"),"Gene-Disease Validity")</f>
        <v>Gene-Disease Validity</v>
      </c>
      <c r="AK254" s="183" t="str">
        <f>IFERROR(__xludf.DUMMYFUNCTION("QUERY('Volunteer Survey'!L253)"),"")</f>
        <v/>
      </c>
      <c r="AL254" s="183" t="str">
        <f>IFERROR(__xludf.DUMMYFUNCTION("QUERY('Volunteer Survey'!M253)"),"")</f>
        <v/>
      </c>
      <c r="AM254" s="183" t="str">
        <f>IFERROR(__xludf.DUMMYFUNCTION("QUERY('Volunteer Survey'!N253)"),"")</f>
        <v/>
      </c>
      <c r="AN254" s="183" t="str">
        <f>IFERROR(__xludf.DUMMYFUNCTION("QUERY('Volunteer Survey'!O253)"),"Possibly")</f>
        <v>Possibly</v>
      </c>
      <c r="AO254" s="183" t="str">
        <f>IFERROR(__xludf.DUMMYFUNCTION("QUERY('Volunteer Survey'!P253)"),"Cardiomyopathy, Brain Malformations")</f>
        <v>Cardiomyopathy, Brain Malformations</v>
      </c>
    </row>
    <row r="255">
      <c r="A255" s="50">
        <f>IFERROR(__xludf.DUMMYFUNCTION("QUERY('Volunteer Survey'!A262)"),43684.398782951386)</f>
        <v>43684.39878</v>
      </c>
      <c r="B255" s="48" t="s">
        <v>108</v>
      </c>
      <c r="C255" s="79">
        <v>43819.0</v>
      </c>
      <c r="D255" s="55"/>
      <c r="E255" s="55"/>
      <c r="F255" s="48" t="s">
        <v>130</v>
      </c>
      <c r="G255" s="48" t="s">
        <v>251</v>
      </c>
      <c r="H255" s="53"/>
      <c r="I255" s="51" t="s">
        <v>139</v>
      </c>
      <c r="J255" s="55"/>
      <c r="K255" s="55"/>
      <c r="L255" s="55" t="str">
        <f>IFERROR(__xludf.DUMMYFUNCTION("QUERY('Volunteer Survey'!B262)"),"Georgios Tsaousis")</f>
        <v>Georgios Tsaousis</v>
      </c>
      <c r="M255" s="55" t="str">
        <f>IFERROR(__xludf.DUMMYFUNCTION("QUERY('Volunteer Survey'!E262)"),"gtsaousis@genekor.com")</f>
        <v>gtsaousis@genekor.com</v>
      </c>
      <c r="N255" s="55" t="str">
        <f>IFERROR(__xludf.DUMMYFUNCTION("QUERY('Volunteer Survey'!F262)"),"Variant Analyst/Scientist - Industry")</f>
        <v>Variant Analyst/Scientist - Industry</v>
      </c>
      <c r="O255" s="48" t="str">
        <f>IFERROR(__xludf.DUMMYFUNCTION("QUERY('Volunteer Survey'!H262)"),"Comprehensive")</f>
        <v>Comprehensive</v>
      </c>
      <c r="P255" s="55" t="str">
        <f>IFERROR(__xludf.DUMMYFUNCTION("QUERY('Volunteer Survey'!I262)"),"Variant Pathogenicity")</f>
        <v>Variant Pathogenicity</v>
      </c>
      <c r="Q255" s="60" t="str">
        <f>IFERROR(__xludf.DUMMYFUNCTION("QUERY('Volunteer Survey'!J262)"),"Gene-Disease Validity")</f>
        <v>Gene-Disease Validity</v>
      </c>
      <c r="R255" s="55" t="str">
        <f>IFERROR(__xludf.DUMMYFUNCTION("QUERY('Volunteer Survey'!K262)"),"Clinical Actionability")</f>
        <v>Clinical Actionability</v>
      </c>
      <c r="S255" s="55" t="str">
        <f>IFERROR(__xludf.DUMMYFUNCTION("QUERY('Volunteer Survey'!L262)"),"Somatic Cancer")</f>
        <v>Somatic Cancer</v>
      </c>
      <c r="T255" s="55" t="str">
        <f>IFERROR(__xludf.DUMMYFUNCTION("QUERY('Volunteer Survey'!M262)"),"Dosage Sensitivity")</f>
        <v>Dosage Sensitivity</v>
      </c>
      <c r="U255" s="64" t="str">
        <f>IFERROR(__xludf.DUMMYFUNCTION("QUERY('Volunteer Survey'!N262)"),"I am the Group Leader of the Bioinformatics department in Genekor Medical SA involved in data collection and curation activities for the determination of variant pathogenicity for all variants identified in our laboratory for Hereditary cancer genes. I am"&amp;" also a Post-doc Research Associate at the Biophysics and Bioinformatics Laboratory at the Department of Biology, School of Sciences, National and Kapodistrian University of Athens, where i am involved with sequence and structure analysis of biological se"&amp;"quences through the development of computational algorithms and biological databases.")</f>
        <v>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v>
      </c>
      <c r="V255" s="55" t="str">
        <f>IFERROR(__xludf.DUMMYFUNCTION("QUERY('Volunteer Survey'!O262)"),"Possibly")</f>
        <v>Possibly</v>
      </c>
      <c r="W255" s="66" t="str">
        <f>IFERROR(__xludf.DUMMYFUNCTION("QUERY('Volunteer Survey'!P262)"),"Hereditary Cancer, Somatic/Germline Variant Curation, Colorectal Cancer, PTEN, TP53, CDH1")</f>
        <v>Hereditary Cancer, Somatic/Germline Variant Curation, Colorectal Cancer, PTEN, TP53, CDH1</v>
      </c>
      <c r="X255" s="64" t="str">
        <f>IFERROR(__xludf.DUMMYFUNCTION("QUERY('Volunteer Survey'!R262)"),"Maybe -- please contact me with other options, and I will decide based on what is available")</f>
        <v>Maybe -- please contact me with other options, and I will decide based on what is available</v>
      </c>
      <c r="Y255" s="53"/>
      <c r="Z255" s="182">
        <f>IFERROR(__xludf.DUMMYFUNCTION("QUERY('Volunteer Survey'!A254)"),43674.42165924769)</f>
        <v>43674.42166</v>
      </c>
      <c r="AA255" s="183" t="str">
        <f>IFERROR(__xludf.DUMMYFUNCTION("QUERY('Volunteer Survey'!B254)"),"Xiaolin Hu")</f>
        <v>Xiaolin Hu</v>
      </c>
      <c r="AB255" s="183" t="str">
        <f>IFERROR(__xludf.DUMMYFUNCTION("QUERY('Volunteer Survey'!C254)"),"Cincinnati Children's hospital")</f>
        <v>Cincinnati Children's hospital</v>
      </c>
      <c r="AC255" s="183" t="str">
        <f>IFERROR(__xludf.DUMMYFUNCTION("QUERY('Volunteer Survey'!D254)"),"3333 Burnet ave, Cincinnati, OH, 45219")</f>
        <v>3333 Burnet ave, Cincinnati, OH, 45219</v>
      </c>
      <c r="AD255" s="183" t="str">
        <f>IFERROR(__xludf.DUMMYFUNCTION("QUERY('Volunteer Survey'!E254)"),"xiaolin.hu@cchmc.org")</f>
        <v>xiaolin.hu@cchmc.org</v>
      </c>
      <c r="AE255" s="183" t="str">
        <f>IFERROR(__xludf.DUMMYFUNCTION("QUERY('Volunteer Survey'!F254)"),"Post Doc/Resident/Fellow (MD and/or PhD)")</f>
        <v>Post Doc/Resident/Fellow (MD and/or PhD)</v>
      </c>
      <c r="AF255" s="183" t="str">
        <f>IFERROR(__xludf.DUMMYFUNCTION("QUERY('Volunteer Survey'!G254)"),"ACMG Conference 2019")</f>
        <v>ACMG Conference 2019</v>
      </c>
      <c r="AG255" s="183" t="str">
        <f>IFERROR(__xludf.DUMMYFUNCTION("QUERY('Volunteer Survey'!H254)"),"Comprehensive")</f>
        <v>Comprehensive</v>
      </c>
      <c r="AH255" s="183" t="str">
        <f>IFERROR(__xludf.DUMMYFUNCTION("QUERY('Volunteer Survey'!I254)"),"Clinical Actionability")</f>
        <v>Clinical Actionability</v>
      </c>
      <c r="AI255" s="183" t="str">
        <f>IFERROR(__xludf.DUMMYFUNCTION("QUERY('Volunteer Survey'!J254)"),"Somatic Cancer")</f>
        <v>Somatic Cancer</v>
      </c>
      <c r="AJ255" s="183" t="str">
        <f>IFERROR(__xludf.DUMMYFUNCTION("QUERY('Volunteer Survey'!K254)"),"Gene-Disease Validity")</f>
        <v>Gene-Disease Validity</v>
      </c>
      <c r="AK255" s="183" t="str">
        <f>IFERROR(__xludf.DUMMYFUNCTION("QUERY('Volunteer Survey'!L254)"),"Variant Pathogenicity")</f>
        <v>Variant Pathogenicity</v>
      </c>
      <c r="AL255" s="183" t="str">
        <f>IFERROR(__xludf.DUMMYFUNCTION("QUERY('Volunteer Survey'!M254)"),"Dosage Sensitivity")</f>
        <v>Dosage Sensitivity</v>
      </c>
      <c r="AM255" s="183" t="str">
        <f>IFERROR(__xludf.DUMMYFUNCTION("QUERY('Volunteer Survey'!N254)"),"Yes, as part of our fellow's training")</f>
        <v>Yes, as part of our fellow's training</v>
      </c>
      <c r="AN255" s="183" t="str">
        <f>IFERROR(__xludf.DUMMYFUNCTION("QUERY('Volunteer Survey'!O254)"),"Yes")</f>
        <v>Yes</v>
      </c>
      <c r="AO255" s="183" t="str">
        <f>IFERROR(__xludf.DUMMYFUNCTION("QUERY('Volunteer Survey'!P254)"),"hereditary cancer, somatic cancer, Mitochondrial Diseases")</f>
        <v>hereditary cancer, somatic cancer, Mitochondrial Diseases</v>
      </c>
    </row>
    <row r="256">
      <c r="A256" s="50">
        <f>IFERROR(__xludf.DUMMYFUNCTION("QUERY('Volunteer Survey'!A263)"),43684.40288785879)</f>
        <v>43684.40289</v>
      </c>
      <c r="B256" s="48" t="s">
        <v>108</v>
      </c>
      <c r="C256" s="79">
        <v>43819.0</v>
      </c>
      <c r="D256" s="55"/>
      <c r="E256" s="55"/>
      <c r="F256" s="48" t="s">
        <v>130</v>
      </c>
      <c r="G256" s="48" t="s">
        <v>251</v>
      </c>
      <c r="H256" s="53"/>
      <c r="I256" s="51" t="s">
        <v>139</v>
      </c>
      <c r="J256" s="55"/>
      <c r="K256" s="55"/>
      <c r="L256" s="55" t="str">
        <f>IFERROR(__xludf.DUMMYFUNCTION("QUERY('Volunteer Survey'!B263)"),"Jessica Hatton")</f>
        <v>Jessica Hatton</v>
      </c>
      <c r="M256" s="55" t="str">
        <f>IFERROR(__xludf.DUMMYFUNCTION("QUERY('Volunteer Survey'!E263)"),"jessica.hatton@nih.gov")</f>
        <v>jessica.hatton@nih.gov</v>
      </c>
      <c r="N256" s="55" t="str">
        <f>IFERROR(__xludf.DUMMYFUNCTION("QUERY('Volunteer Survey'!F263)"),"Genetic counselor")</f>
        <v>Genetic counselor</v>
      </c>
      <c r="O256" s="48" t="str">
        <f>IFERROR(__xludf.DUMMYFUNCTION("QUERY('Volunteer Survey'!H263)"),"Comprehensive")</f>
        <v>Comprehensive</v>
      </c>
      <c r="P256" s="55" t="str">
        <f>IFERROR(__xludf.DUMMYFUNCTION("QUERY('Volunteer Survey'!I263)"),"Variant Pathogenicity")</f>
        <v>Variant Pathogenicity</v>
      </c>
      <c r="Q256" s="60" t="str">
        <f>IFERROR(__xludf.DUMMYFUNCTION("QUERY('Volunteer Survey'!J263)"),"")</f>
        <v/>
      </c>
      <c r="R256" s="55" t="str">
        <f>IFERROR(__xludf.DUMMYFUNCTION("QUERY('Volunteer Survey'!K263)"),"")</f>
        <v/>
      </c>
      <c r="S256" s="55" t="str">
        <f>IFERROR(__xludf.DUMMYFUNCTION("QUERY('Volunteer Survey'!L263)"),"")</f>
        <v/>
      </c>
      <c r="T256" s="55" t="str">
        <f>IFERROR(__xludf.DUMMYFUNCTION("QUERY('Volunteer Survey'!M263)"),"")</f>
        <v/>
      </c>
      <c r="U256" s="64" t="str">
        <f>IFERROR(__xludf.DUMMYFUNCTION("QUERY('Volunteer Survey'!N263)"),"No")</f>
        <v>No</v>
      </c>
      <c r="V256" s="55" t="str">
        <f>IFERROR(__xludf.DUMMYFUNCTION("QUERY('Volunteer Survey'!O263)"),"Possibly")</f>
        <v>Possibly</v>
      </c>
      <c r="W256" s="66" t="str">
        <f>IFERROR(__xludf.DUMMYFUNCTION("QUERY('Volunteer Survey'!P263)"),"TP53")</f>
        <v>TP53</v>
      </c>
      <c r="X256" s="64" t="str">
        <f>IFERROR(__xludf.DUMMYFUNCTION("QUERY('Volunteer Survey'!R263)"),"No - I am only interested in the group(s) I previously indicated")</f>
        <v>No - I am only interested in the group(s) I previously indicated</v>
      </c>
      <c r="Y256" s="53"/>
      <c r="Z256" s="182">
        <f>IFERROR(__xludf.DUMMYFUNCTION("QUERY('Volunteer Survey'!A255)"),43674.68125140046)</f>
        <v>43674.68125</v>
      </c>
      <c r="AA256" s="183" t="str">
        <f>IFERROR(__xludf.DUMMYFUNCTION("QUERY('Volunteer Survey'!B255)"),"Leighton Telling")</f>
        <v>Leighton Telling</v>
      </c>
      <c r="AB256" s="183" t="str">
        <f>IFERROR(__xludf.DUMMYFUNCTION("QUERY('Volunteer Survey'!C255)"),"Formerly UNC")</f>
        <v>Formerly UNC</v>
      </c>
      <c r="AC256" s="183" t="str">
        <f>IFERROR(__xludf.DUMMYFUNCTION("QUERY('Volunteer Survey'!D255)"),"")</f>
        <v/>
      </c>
      <c r="AD256" s="183" t="str">
        <f>IFERROR(__xludf.DUMMYFUNCTION("QUERY('Volunteer Survey'!E255)"),"lptellin@ncsu.edu")</f>
        <v>lptellin@ncsu.edu</v>
      </c>
      <c r="AE256" s="183" t="str">
        <f>IFERROR(__xludf.DUMMYFUNCTION("QUERY('Volunteer Survey'!F255)"),"Former UNC ClinGen Research Assistant")</f>
        <v>Former UNC ClinGen Research Assistant</v>
      </c>
      <c r="AF256" s="183" t="str">
        <f>IFERROR(__xludf.DUMMYFUNCTION("QUERY('Volunteer Survey'!G255)"),"Colleagues")</f>
        <v>Colleagues</v>
      </c>
      <c r="AG256" s="183" t="str">
        <f>IFERROR(__xludf.DUMMYFUNCTION("QUERY('Volunteer Survey'!H255)"),"Comprehensive")</f>
        <v>Comprehensive</v>
      </c>
      <c r="AH256" s="183" t="str">
        <f>IFERROR(__xludf.DUMMYFUNCTION("QUERY('Volunteer Survey'!I255)"),"Variant Pathogenicity")</f>
        <v>Variant Pathogenicity</v>
      </c>
      <c r="AI256" s="183" t="str">
        <f>IFERROR(__xludf.DUMMYFUNCTION("QUERY('Volunteer Survey'!J255)"),"")</f>
        <v/>
      </c>
      <c r="AJ256" s="183" t="str">
        <f>IFERROR(__xludf.DUMMYFUNCTION("QUERY('Volunteer Survey'!K255)"),"")</f>
        <v/>
      </c>
      <c r="AK256" s="183" t="str">
        <f>IFERROR(__xludf.DUMMYFUNCTION("QUERY('Volunteer Survey'!L255)"),"")</f>
        <v/>
      </c>
      <c r="AL256" s="183" t="str">
        <f>IFERROR(__xludf.DUMMYFUNCTION("QUERY('Volunteer Survey'!M255)"),"")</f>
        <v/>
      </c>
      <c r="AM256" s="183" t="str">
        <f>IFERROR(__xludf.DUMMYFUNCTION("QUERY('Volunteer Survey'!N255)"),"")</f>
        <v/>
      </c>
      <c r="AN256" s="183" t="str">
        <f>IFERROR(__xludf.DUMMYFUNCTION("QUERY('Volunteer Survey'!O255)"),"Yes")</f>
        <v>Yes</v>
      </c>
      <c r="AO256" s="183" t="str">
        <f>IFERROR(__xludf.DUMMYFUNCTION("QUERY('Volunteer Survey'!P255)"),"N/A")</f>
        <v>N/A</v>
      </c>
    </row>
    <row r="257">
      <c r="A257" s="50">
        <f>IFERROR(__xludf.DUMMYFUNCTION("QUERY('Volunteer Survey'!A264)"),43684.68687708333)</f>
        <v>43684.68688</v>
      </c>
      <c r="B257" s="48" t="s">
        <v>108</v>
      </c>
      <c r="C257" s="79">
        <v>43819.0</v>
      </c>
      <c r="D257" s="55"/>
      <c r="E257" s="55"/>
      <c r="F257" s="48" t="s">
        <v>130</v>
      </c>
      <c r="G257" s="48" t="s">
        <v>251</v>
      </c>
      <c r="H257" s="53"/>
      <c r="I257" s="51" t="s">
        <v>139</v>
      </c>
      <c r="J257" s="55"/>
      <c r="K257" s="55"/>
      <c r="L257" s="55" t="str">
        <f>IFERROR(__xludf.DUMMYFUNCTION("QUERY('Volunteer Survey'!B264)"),"Xia Tian")</f>
        <v>Xia Tian</v>
      </c>
      <c r="M257" s="55" t="str">
        <f>IFERROR(__xludf.DUMMYFUNCTION("QUERY('Volunteer Survey'!E264)"),"xtian@wuxinextcode.com")</f>
        <v>xtian@wuxinextcode.com</v>
      </c>
      <c r="N257" s="55" t="str">
        <f>IFERROR(__xludf.DUMMYFUNCTION("QUERY('Volunteer Survey'!F264)"),"Variant Analyst/Scientist - Industry")</f>
        <v>Variant Analyst/Scientist - Industry</v>
      </c>
      <c r="O257" s="48" t="str">
        <f>IFERROR(__xludf.DUMMYFUNCTION("QUERY('Volunteer Survey'!H264)"),"Comprehensive")</f>
        <v>Comprehensive</v>
      </c>
      <c r="P257" s="55" t="str">
        <f>IFERROR(__xludf.DUMMYFUNCTION("QUERY('Volunteer Survey'!I264)"),"Variant Pathogenicity")</f>
        <v>Variant Pathogenicity</v>
      </c>
      <c r="Q257" s="60" t="str">
        <f>IFERROR(__xludf.DUMMYFUNCTION("QUERY('Volunteer Survey'!J264)"),"Somatic Cancer")</f>
        <v>Somatic Cancer</v>
      </c>
      <c r="R257" s="55" t="str">
        <f>IFERROR(__xludf.DUMMYFUNCTION("QUERY('Volunteer Survey'!K264)"),"Gene-Disease Validity")</f>
        <v>Gene-Disease Validity</v>
      </c>
      <c r="S257" s="55" t="str">
        <f>IFERROR(__xludf.DUMMYFUNCTION("QUERY('Volunteer Survey'!L264)"),"Dosage Sensitivity")</f>
        <v>Dosage Sensitivity</v>
      </c>
      <c r="T257" s="55" t="str">
        <f>IFERROR(__xludf.DUMMYFUNCTION("QUERY('Volunteer Survey'!M264)"),"Clinical Actionability")</f>
        <v>Clinical Actionability</v>
      </c>
      <c r="U257" s="64" t="str">
        <f>IFERROR(__xludf.DUMMYFUNCTION("QUERY('Volunteer Survey'!N264)"),"eight years' experience of gene/variant curation and clinical case review")</f>
        <v>eight years' experience of gene/variant curation and clinical case review</v>
      </c>
      <c r="V257" s="55" t="str">
        <f>IFERROR(__xludf.DUMMYFUNCTION("QUERY('Volunteer Survey'!O264)"),"Yes")</f>
        <v>Yes</v>
      </c>
      <c r="W257" s="66" t="str">
        <f>IFERROR(__xludf.DUMMYFUNCTION("QUERY('Volunteer Survey'!P264)"),"Mitochondrial Diseases(gene/variant) and Somatic Cancer")</f>
        <v>Mitochondrial Diseases(gene/variant) and Somatic Cancer</v>
      </c>
      <c r="X257" s="64" t="str">
        <f>IFERROR(__xludf.DUMMYFUNCTION("QUERY('Volunteer Survey'!R264)"),"Yes- I am willing to volunteer with any available ClinGen group")</f>
        <v>Yes- I am willing to volunteer with any available ClinGen group</v>
      </c>
      <c r="Y257" s="53"/>
      <c r="Z257" s="182">
        <f>IFERROR(__xludf.DUMMYFUNCTION("QUERY('Volunteer Survey'!A256)"),43675.64387090278)</f>
        <v>43675.64387</v>
      </c>
      <c r="AA257" s="183" t="str">
        <f>IFERROR(__xludf.DUMMYFUNCTION("QUERY('Volunteer Survey'!B256)"),"Panieh Terraf")</f>
        <v>Panieh Terraf</v>
      </c>
      <c r="AB257" s="183" t="str">
        <f>IFERROR(__xludf.DUMMYFUNCTION("QUERY('Volunteer Survey'!C256)"),"Harvard Medical School - Brigham and Women's Hospital")</f>
        <v>Harvard Medical School - Brigham and Women's Hospital</v>
      </c>
      <c r="AC257" s="183" t="str">
        <f>IFERROR(__xludf.DUMMYFUNCTION("QUERY('Volunteer Survey'!D256)"),"75 Francis St. Boston MA 02115 - Dept. of Pathology ")</f>
        <v>75 Francis St. Boston MA 02115 - Dept. of Pathology </v>
      </c>
      <c r="AD257" s="183" t="str">
        <f>IFERROR(__xludf.DUMMYFUNCTION("QUERY('Volunteer Survey'!E256)"),"pterraf@bwh.harvard.edu")</f>
        <v>pterraf@bwh.harvard.edu</v>
      </c>
      <c r="AE257" s="183" t="str">
        <f>IFERROR(__xludf.DUMMYFUNCTION("QUERY('Volunteer Survey'!F256)"),"Clinical laboratory geneticist")</f>
        <v>Clinical laboratory geneticist</v>
      </c>
      <c r="AF257" s="183" t="str">
        <f>IFERROR(__xludf.DUMMYFUNCTION("QUERY('Volunteer Survey'!G256)"),"Colleagues")</f>
        <v>Colleagues</v>
      </c>
      <c r="AG257" s="183" t="str">
        <f>IFERROR(__xludf.DUMMYFUNCTION("QUERY('Volunteer Survey'!H256)"),"Comprehensive")</f>
        <v>Comprehensive</v>
      </c>
      <c r="AH257" s="183" t="str">
        <f>IFERROR(__xludf.DUMMYFUNCTION("QUERY('Volunteer Survey'!I256)"),"Somatic Cancer")</f>
        <v>Somatic Cancer</v>
      </c>
      <c r="AI257" s="183" t="str">
        <f>IFERROR(__xludf.DUMMYFUNCTION("QUERY('Volunteer Survey'!J256)"),"Variant Pathogenicity, Dosage Sensitivity")</f>
        <v>Variant Pathogenicity, Dosage Sensitivity</v>
      </c>
      <c r="AJ257" s="183" t="str">
        <f>IFERROR(__xludf.DUMMYFUNCTION("QUERY('Volunteer Survey'!K256)"),"Gene-Disease Validity")</f>
        <v>Gene-Disease Validity</v>
      </c>
      <c r="AK257" s="183" t="str">
        <f>IFERROR(__xludf.DUMMYFUNCTION("QUERY('Volunteer Survey'!L256)"),"Clinical Actionability")</f>
        <v>Clinical Actionability</v>
      </c>
      <c r="AL257" s="183" t="str">
        <f>IFERROR(__xludf.DUMMYFUNCTION("QUERY('Volunteer Survey'!M256)"),"")</f>
        <v/>
      </c>
      <c r="AM257" s="183" t="str">
        <f>IFERROR(__xludf.DUMMYFUNCTION("QUERY('Volunteer Survey'!N256)"),"Yes, in somatic cancer variant curation through my clinical training at the Brigham and Women's Hospital. ")</f>
        <v>Yes, in somatic cancer variant curation through my clinical training at the Brigham and Women's Hospital. </v>
      </c>
      <c r="AN257" s="183" t="str">
        <f>IFERROR(__xludf.DUMMYFUNCTION("QUERY('Volunteer Survey'!O256)"),"No")</f>
        <v>No</v>
      </c>
      <c r="AO257" s="183" t="str">
        <f>IFERROR(__xludf.DUMMYFUNCTION("QUERY('Volunteer Survey'!P256)"),"Variant curation: myeloid malignancy, colorectal cancer, cardiomyopathy 
Somatic cancer working group: All, particularly pediatrics.
Dosage sensitivity: hereditary cancers, neurodevelopmental ")</f>
        <v>Variant curation: myeloid malignancy, colorectal cancer, cardiomyopathy 
Somatic cancer working group: All, particularly pediatrics.
Dosage sensitivity: hereditary cancers, neurodevelopmental </v>
      </c>
    </row>
    <row r="258">
      <c r="A258" s="50">
        <f>IFERROR(__xludf.DUMMYFUNCTION("QUERY('Volunteer Survey'!A265)"),43685.46748900463)</f>
        <v>43685.46749</v>
      </c>
      <c r="B258" s="48" t="s">
        <v>108</v>
      </c>
      <c r="C258" s="79">
        <v>43819.0</v>
      </c>
      <c r="D258" s="55"/>
      <c r="E258" s="55"/>
      <c r="F258" s="48" t="s">
        <v>130</v>
      </c>
      <c r="G258" s="48" t="s">
        <v>122</v>
      </c>
      <c r="H258" s="53"/>
      <c r="I258" s="51" t="s">
        <v>139</v>
      </c>
      <c r="J258" s="55"/>
      <c r="K258" s="55"/>
      <c r="L258" s="55" t="str">
        <f>IFERROR(__xludf.DUMMYFUNCTION("QUERY('Volunteer Survey'!B265)"),"MEGHA DANI")</f>
        <v>MEGHA DANI</v>
      </c>
      <c r="M258" s="55" t="str">
        <f>IFERROR(__xludf.DUMMYFUNCTION("QUERY('Volunteer Survey'!E265)"),"meghamdani@gmail.com")</f>
        <v>meghamdani@gmail.com</v>
      </c>
      <c r="N258" s="55" t="str">
        <f>IFERROR(__xludf.DUMMYFUNCTION("QUERY('Volunteer Survey'!F265)"),"I owned and worked for my clinical biochemistry/diagnostics laboratory but I have not done Genetics for lack for facilities.  I want to learn Genetics, its use in identification of various genetic disorders, learning new genetic techniques")</f>
        <v>I owned and worked for my clinical biochemistry/diagnostics laboratory but I have not done Genetics for lack for facilities.  I want to learn Genetics, its use in identification of various genetic disorders, learning new genetic techniques</v>
      </c>
      <c r="O258" s="48" t="str">
        <f>IFERROR(__xludf.DUMMYFUNCTION("QUERY('Volunteer Survey'!H265)"),"Comprehensive")</f>
        <v>Comprehensive</v>
      </c>
      <c r="P258" s="55" t="str">
        <f>IFERROR(__xludf.DUMMYFUNCTION("QUERY('Volunteer Survey'!I265)"),"Gene-Disease Validity")</f>
        <v>Gene-Disease Validity</v>
      </c>
      <c r="Q258" s="60" t="str">
        <f>IFERROR(__xludf.DUMMYFUNCTION("QUERY('Volunteer Survey'!J265)"),"Clinical Actionability")</f>
        <v>Clinical Actionability</v>
      </c>
      <c r="R258" s="55" t="str">
        <f>IFERROR(__xludf.DUMMYFUNCTION("QUERY('Volunteer Survey'!K265)"),"Variant Pathogenicity")</f>
        <v>Variant Pathogenicity</v>
      </c>
      <c r="S258" s="55" t="str">
        <f>IFERROR(__xludf.DUMMYFUNCTION("QUERY('Volunteer Survey'!L265)"),"Dosage Sensitivity")</f>
        <v>Dosage Sensitivity</v>
      </c>
      <c r="T258" s="55" t="str">
        <f>IFERROR(__xludf.DUMMYFUNCTION("QUERY('Volunteer Survey'!M265)"),"Somatic Cancer")</f>
        <v>Somatic Cancer</v>
      </c>
      <c r="U258" s="64" t="str">
        <f>IFERROR(__xludf.DUMMYFUNCTION("QUERY('Volunteer Survey'!N265)"),"No")</f>
        <v>No</v>
      </c>
      <c r="V258" s="55" t="str">
        <f>IFERROR(__xludf.DUMMYFUNCTION("QUERY('Volunteer Survey'!O265)"),"Yes")</f>
        <v>Yes</v>
      </c>
      <c r="W258" s="66" t="str">
        <f>IFERROR(__xludf.DUMMYFUNCTION("QUERY('Volunteer Survey'!P265)"),"Yes")</f>
        <v>Yes</v>
      </c>
      <c r="X258" s="64" t="str">
        <f>IFERROR(__xludf.DUMMYFUNCTION("QUERY('Volunteer Survey'!R265)"),"Yes- I am willing to volunteer with any available ClinGen group")</f>
        <v>Yes- I am willing to volunteer with any available ClinGen group</v>
      </c>
      <c r="Y258" s="53"/>
      <c r="Z258" s="182">
        <f>IFERROR(__xludf.DUMMYFUNCTION("QUERY('Volunteer Survey'!A257)"),43677.461992488425)</f>
        <v>43677.46199</v>
      </c>
      <c r="AA258" s="183" t="str">
        <f>IFERROR(__xludf.DUMMYFUNCTION("QUERY('Volunteer Survey'!B257)"),"Jennifer Hull")</f>
        <v>Jennifer Hull</v>
      </c>
      <c r="AB258" s="183" t="str">
        <f>IFERROR(__xludf.DUMMYFUNCTION("QUERY('Volunteer Survey'!C257)"),"Keck Graduate Institute (KGI)")</f>
        <v>Keck Graduate Institute (KGI)</v>
      </c>
      <c r="AC258" s="183" t="str">
        <f>IFERROR(__xludf.DUMMYFUNCTION("QUERY('Volunteer Survey'!D257)"),"4720 Coronado lane La Verne, CA 91750")</f>
        <v>4720 Coronado lane La Verne, CA 91750</v>
      </c>
      <c r="AD258" s="183" t="str">
        <f>IFERROR(__xludf.DUMMYFUNCTION("QUERY('Volunteer Survey'!E257)"),"jhull86@gmail.com")</f>
        <v>jhull86@gmail.com</v>
      </c>
      <c r="AE258" s="183" t="str">
        <f>IFERROR(__xludf.DUMMYFUNCTION("QUERY('Volunteer Survey'!F257)"),"Graduate Student")</f>
        <v>Graduate Student</v>
      </c>
      <c r="AF258" s="183" t="str">
        <f>IFERROR(__xludf.DUMMYFUNCTION("QUERY('Volunteer Survey'!G257)"),"Suggestion from mentor")</f>
        <v>Suggestion from mentor</v>
      </c>
      <c r="AG258" s="183" t="str">
        <f>IFERROR(__xludf.DUMMYFUNCTION("QUERY('Volunteer Survey'!H257)"),"comprehensive")</f>
        <v>comprehensive</v>
      </c>
      <c r="AH258" s="183" t="str">
        <f>IFERROR(__xludf.DUMMYFUNCTION("QUERY('Volunteer Survey'!I257)"),"Gene-Disease Validity")</f>
        <v>Gene-Disease Validity</v>
      </c>
      <c r="AI258" s="183" t="str">
        <f>IFERROR(__xludf.DUMMYFUNCTION("QUERY('Volunteer Survey'!J257)"),"Variant Pathogenicity")</f>
        <v>Variant Pathogenicity</v>
      </c>
      <c r="AJ258" s="183" t="str">
        <f>IFERROR(__xludf.DUMMYFUNCTION("QUERY('Volunteer Survey'!K257)"),"Clinical Actionability")</f>
        <v>Clinical Actionability</v>
      </c>
      <c r="AK258" s="183" t="str">
        <f>IFERROR(__xludf.DUMMYFUNCTION("QUERY('Volunteer Survey'!L257)"),"Dosage Sensitivity")</f>
        <v>Dosage Sensitivity</v>
      </c>
      <c r="AL258" s="183" t="str">
        <f>IFERROR(__xludf.DUMMYFUNCTION("QUERY('Volunteer Survey'!M257)"),"Somatic Cancer")</f>
        <v>Somatic Cancer</v>
      </c>
      <c r="AM258" s="183" t="str">
        <f>IFERROR(__xludf.DUMMYFUNCTION("QUERY('Volunteer Survey'!N257)"),"N/A")</f>
        <v>N/A</v>
      </c>
      <c r="AN258" s="183" t="str">
        <f>IFERROR(__xludf.DUMMYFUNCTION("QUERY('Volunteer Survey'!O257)"),"Yes")</f>
        <v>Yes</v>
      </c>
      <c r="AO258" s="183" t="str">
        <f>IFERROR(__xludf.DUMMYFUNCTION("QUERY('Volunteer Survey'!P257)"),"Phenylketonuria Variant Curation Expert Panel, epilepsy, CMT, hypercholesterolemia, colorectal cancer")</f>
        <v>Phenylketonuria Variant Curation Expert Panel, epilepsy, CMT, hypercholesterolemia, colorectal cancer</v>
      </c>
    </row>
    <row r="259">
      <c r="A259" s="50">
        <f>IFERROR(__xludf.DUMMYFUNCTION("QUERY('Volunteer Survey'!A266)"),43689.40685208333)</f>
        <v>43689.40685</v>
      </c>
      <c r="B259" s="48" t="s">
        <v>108</v>
      </c>
      <c r="C259" s="53"/>
      <c r="D259" s="65">
        <v>43692.0</v>
      </c>
      <c r="E259" s="48" t="s">
        <v>117</v>
      </c>
      <c r="F259" s="48" t="s">
        <v>130</v>
      </c>
      <c r="G259" s="48" t="s">
        <v>122</v>
      </c>
      <c r="H259" s="53"/>
      <c r="I259" s="51" t="s">
        <v>139</v>
      </c>
      <c r="J259" s="55"/>
      <c r="K259" s="55"/>
      <c r="L259" s="55" t="str">
        <f>IFERROR(__xludf.DUMMYFUNCTION("QUERY('Volunteer Survey'!B266)"),"SAILATHA RAVI")</f>
        <v>SAILATHA RAVI</v>
      </c>
      <c r="M259" s="55" t="str">
        <f>IFERROR(__xludf.DUMMYFUNCTION("QUERY('Volunteer Survey'!E266)"),"sailatha.ravi@gmail.com")</f>
        <v>sailatha.ravi@gmail.com</v>
      </c>
      <c r="N259" s="55" t="str">
        <f>IFERROR(__xludf.DUMMYFUNCTION("QUERY('Volunteer Survey'!F266)"),"Post Doc/Resident/Fellow (MD and/or PhD)")</f>
        <v>Post Doc/Resident/Fellow (MD and/or PhD)</v>
      </c>
      <c r="O259" s="48" t="str">
        <f>IFERROR(__xludf.DUMMYFUNCTION("QUERY('Volunteer Survey'!H266)"),"Comprehensive")</f>
        <v>Comprehensive</v>
      </c>
      <c r="P259" s="55" t="str">
        <f>IFERROR(__xludf.DUMMYFUNCTION("QUERY('Volunteer Survey'!I266)"),"Gene-Disease Validity")</f>
        <v>Gene-Disease Validity</v>
      </c>
      <c r="Q259" s="60" t="str">
        <f>IFERROR(__xludf.DUMMYFUNCTION("QUERY('Volunteer Survey'!J266)"),"Dosage Sensitivity")</f>
        <v>Dosage Sensitivity</v>
      </c>
      <c r="R259" s="55" t="str">
        <f>IFERROR(__xludf.DUMMYFUNCTION("QUERY('Volunteer Survey'!K266)"),"Clinical Actionability")</f>
        <v>Clinical Actionability</v>
      </c>
      <c r="S259" s="55" t="str">
        <f>IFERROR(__xludf.DUMMYFUNCTION("QUERY('Volunteer Survey'!L266)"),"Somatic Cancer")</f>
        <v>Somatic Cancer</v>
      </c>
      <c r="T259" s="55" t="str">
        <f>IFERROR(__xludf.DUMMYFUNCTION("QUERY('Volunteer Survey'!M266)"),"Variant Pathogenicity")</f>
        <v>Variant Pathogenicity</v>
      </c>
      <c r="U259" s="64" t="str">
        <f>IFERROR(__xludf.DUMMYFUNCTION("QUERY('Volunteer Survey'!N266)"),"")</f>
        <v/>
      </c>
      <c r="V259" s="55" t="str">
        <f>IFERROR(__xludf.DUMMYFUNCTION("QUERY('Volunteer Survey'!O266)"),"Yes")</f>
        <v>Yes</v>
      </c>
      <c r="W259" s="66" t="str">
        <f>IFERROR(__xludf.DUMMYFUNCTION("QUERY('Volunteer Survey'!P266)"),"")</f>
        <v/>
      </c>
      <c r="X259" s="64" t="str">
        <f>IFERROR(__xludf.DUMMYFUNCTION("QUERY('Volunteer Survey'!R266)"),"Yes- I am willing to volunteer with any available ClinGen group")</f>
        <v>Yes- I am willing to volunteer with any available ClinGen group</v>
      </c>
      <c r="Y259" s="53"/>
      <c r="Z259" s="182">
        <f>IFERROR(__xludf.DUMMYFUNCTION("QUERY('Volunteer Survey'!A258)"),43678.412040613424)</f>
        <v>43678.41204</v>
      </c>
      <c r="AA259" s="183" t="str">
        <f>IFERROR(__xludf.DUMMYFUNCTION("QUERY('Volunteer Survey'!B258)"),"Eric Kil")</f>
        <v>Eric Kil</v>
      </c>
      <c r="AB259" s="183" t="str">
        <f>IFERROR(__xludf.DUMMYFUNCTION("QUERY('Volunteer Survey'!C258)"),"Keck Graduate Institute")</f>
        <v>Keck Graduate Institute</v>
      </c>
      <c r="AC259" s="183" t="str">
        <f>IFERROR(__xludf.DUMMYFUNCTION("QUERY('Volunteer Survey'!D258)"),"535 Watson Dr, Claremont, CA 91711")</f>
        <v>535 Watson Dr, Claremont, CA 91711</v>
      </c>
      <c r="AD259" s="183" t="str">
        <f>IFERROR(__xludf.DUMMYFUNCTION("QUERY('Volunteer Survey'!E258)"),"ekil18@students.kgi.edu")</f>
        <v>ekil18@students.kgi.edu</v>
      </c>
      <c r="AE259" s="183" t="str">
        <f>IFERROR(__xludf.DUMMYFUNCTION("QUERY('Volunteer Survey'!F258)"),"Graduate Student")</f>
        <v>Graduate Student</v>
      </c>
      <c r="AF259" s="183" t="str">
        <f>IFERROR(__xludf.DUMMYFUNCTION("QUERY('Volunteer Survey'!G258)"),"Networking, Suggestion from mentor")</f>
        <v>Networking, Suggestion from mentor</v>
      </c>
      <c r="AG259" s="183" t="str">
        <f>IFERROR(__xludf.DUMMYFUNCTION("QUERY('Volunteer Survey'!H258)"),"comprehensive")</f>
        <v>comprehensive</v>
      </c>
      <c r="AH259" s="183" t="str">
        <f>IFERROR(__xludf.DUMMYFUNCTION("QUERY('Volunteer Survey'!I258)"),"Somatic Cancer")</f>
        <v>Somatic Cancer</v>
      </c>
      <c r="AI259" s="183" t="str">
        <f>IFERROR(__xludf.DUMMYFUNCTION("QUERY('Volunteer Survey'!J258)"),"Dosage Sensitivity")</f>
        <v>Dosage Sensitivity</v>
      </c>
      <c r="AJ259" s="183" t="str">
        <f>IFERROR(__xludf.DUMMYFUNCTION("QUERY('Volunteer Survey'!K258)"),"Variant Pathogenicity")</f>
        <v>Variant Pathogenicity</v>
      </c>
      <c r="AK259" s="183" t="str">
        <f>IFERROR(__xludf.DUMMYFUNCTION("QUERY('Volunteer Survey'!L258)"),"Gene-Disease Validity")</f>
        <v>Gene-Disease Validity</v>
      </c>
      <c r="AL259" s="183" t="str">
        <f>IFERROR(__xludf.DUMMYFUNCTION("QUERY('Volunteer Survey'!M258)"),"Clinical Actionability")</f>
        <v>Clinical Actionability</v>
      </c>
      <c r="AM259" s="183" t="str">
        <f>IFERROR(__xludf.DUMMYFUNCTION("QUERY('Volunteer Survey'!N258)"),"No")</f>
        <v>No</v>
      </c>
      <c r="AN259" s="183" t="str">
        <f>IFERROR(__xludf.DUMMYFUNCTION("QUERY('Volunteer Survey'!O258)"),"Possibly")</f>
        <v>Possibly</v>
      </c>
      <c r="AO259" s="183" t="str">
        <f>IFERROR(__xludf.DUMMYFUNCTION("QUERY('Volunteer Survey'!P258)"),"I am interested in neuro-related conditions and cancer.")</f>
        <v>I am interested in neuro-related conditions and cancer.</v>
      </c>
    </row>
    <row r="260">
      <c r="A260" s="50">
        <f>IFERROR(__xludf.DUMMYFUNCTION("QUERY('Volunteer Survey'!A267)"),43690.258437881945)</f>
        <v>43690.25844</v>
      </c>
      <c r="B260" s="48" t="s">
        <v>108</v>
      </c>
      <c r="C260" s="79">
        <v>43819.0</v>
      </c>
      <c r="D260" s="55"/>
      <c r="E260" s="55"/>
      <c r="F260" s="48" t="s">
        <v>130</v>
      </c>
      <c r="G260" s="48" t="s">
        <v>251</v>
      </c>
      <c r="H260" s="53"/>
      <c r="I260" s="51" t="s">
        <v>139</v>
      </c>
      <c r="J260" s="55"/>
      <c r="K260" s="55"/>
      <c r="L260" s="55" t="str">
        <f>IFERROR(__xludf.DUMMYFUNCTION("QUERY('Volunteer Survey'!B267)"),"Pamela Ajuyah")</f>
        <v>Pamela Ajuyah</v>
      </c>
      <c r="M260" s="55" t="str">
        <f>IFERROR(__xludf.DUMMYFUNCTION("QUERY('Volunteer Survey'!E267)"),"pamela.a.ajuyah@gmail.com")</f>
        <v>pamela.a.ajuyah@gmail.com</v>
      </c>
      <c r="N260" s="55" t="str">
        <f>IFERROR(__xludf.DUMMYFUNCTION("QUERY('Volunteer Survey'!F267)"),"Variant Analyst/Scientist - Industry")</f>
        <v>Variant Analyst/Scientist - Industry</v>
      </c>
      <c r="O260" s="48" t="str">
        <f>IFERROR(__xludf.DUMMYFUNCTION("QUERY('Volunteer Survey'!H267)"),"Comprehensive")</f>
        <v>Comprehensive</v>
      </c>
      <c r="P260" s="55" t="str">
        <f>IFERROR(__xludf.DUMMYFUNCTION("QUERY('Volunteer Survey'!I267)"),"Variant Pathogenicity")</f>
        <v>Variant Pathogenicity</v>
      </c>
      <c r="Q260" s="60" t="str">
        <f>IFERROR(__xludf.DUMMYFUNCTION("QUERY('Volunteer Survey'!J267)"),"Gene-Disease Validity")</f>
        <v>Gene-Disease Validity</v>
      </c>
      <c r="R260" s="55" t="str">
        <f>IFERROR(__xludf.DUMMYFUNCTION("QUERY('Volunteer Survey'!K267)"),"Clinical Actionability")</f>
        <v>Clinical Actionability</v>
      </c>
      <c r="S260" s="55" t="str">
        <f>IFERROR(__xludf.DUMMYFUNCTION("QUERY('Volunteer Survey'!L267)"),"Somatic Cancer")</f>
        <v>Somatic Cancer</v>
      </c>
      <c r="T260" s="55" t="str">
        <f>IFERROR(__xludf.DUMMYFUNCTION("QUERY('Volunteer Survey'!M267)"),"Dosage Sensitivity")</f>
        <v>Dosage Sensitivity</v>
      </c>
      <c r="U260" s="64" t="str">
        <f>IFERROR(__xludf.DUMMYFUNCTION("QUERY('Volunteer Survey'!N267)"),"")</f>
        <v/>
      </c>
      <c r="V260" s="55" t="str">
        <f>IFERROR(__xludf.DUMMYFUNCTION("QUERY('Volunteer Survey'!O267)"),"No")</f>
        <v>No</v>
      </c>
      <c r="W260" s="66" t="str">
        <f>IFERROR(__xludf.DUMMYFUNCTION("QUERY('Volunteer Survey'!P267)"),"")</f>
        <v/>
      </c>
      <c r="X260" s="64" t="str">
        <f>IFERROR(__xludf.DUMMYFUNCTION("QUERY('Volunteer Survey'!R267)"),"Yes- I am willing to volunteer with any available ClinGen group")</f>
        <v>Yes- I am willing to volunteer with any available ClinGen group</v>
      </c>
      <c r="Y260" s="53"/>
      <c r="Z260" s="182">
        <f>IFERROR(__xludf.DUMMYFUNCTION("QUERY('Volunteer Survey'!A259)"),43679.08931378472)</f>
        <v>43679.08931</v>
      </c>
      <c r="AA260" s="183" t="str">
        <f>IFERROR(__xludf.DUMMYFUNCTION("QUERY('Volunteer Survey'!B259)"),"Joseph Steward")</f>
        <v>Joseph Steward</v>
      </c>
      <c r="AB260" s="183" t="str">
        <f>IFERROR(__xludf.DUMMYFUNCTION("QUERY('Volunteer Survey'!C259)"),"Moore’s cancer center")</f>
        <v>Moore’s cancer center</v>
      </c>
      <c r="AC260" s="183" t="str">
        <f>IFERROR(__xludf.DUMMYFUNCTION("QUERY('Volunteer Survey'!D259)"),"4360 Alabama St. San Diego CA")</f>
        <v>4360 Alabama St. San Diego CA</v>
      </c>
      <c r="AD260" s="183" t="str">
        <f>IFERROR(__xludf.DUMMYFUNCTION("QUERY('Volunteer Survey'!E259)"),"jsteward2930@gmail.com")</f>
        <v>jsteward2930@gmail.com</v>
      </c>
      <c r="AE260" s="183" t="str">
        <f>IFERROR(__xludf.DUMMYFUNCTION("QUERY('Volunteer Survey'!F259)"),"Scientific Researcher")</f>
        <v>Scientific Researcher</v>
      </c>
      <c r="AF260" s="183" t="str">
        <f>IFERROR(__xludf.DUMMYFUNCTION("QUERY('Volunteer Survey'!G259)"),"The clinicalgenome.org website")</f>
        <v>The clinicalgenome.org website</v>
      </c>
      <c r="AG260" s="183" t="str">
        <f>IFERROR(__xludf.DUMMYFUNCTION("QUERY('Volunteer Survey'!H259)"),"comprehensive")</f>
        <v>comprehensive</v>
      </c>
      <c r="AH260" s="183" t="str">
        <f>IFERROR(__xludf.DUMMYFUNCTION("QUERY('Volunteer Survey'!I259)"),"Somatic Cancer")</f>
        <v>Somatic Cancer</v>
      </c>
      <c r="AI260" s="183" t="str">
        <f>IFERROR(__xludf.DUMMYFUNCTION("QUERY('Volunteer Survey'!J259)"),"Variant Pathogenicity")</f>
        <v>Variant Pathogenicity</v>
      </c>
      <c r="AJ260" s="183" t="str">
        <f>IFERROR(__xludf.DUMMYFUNCTION("QUERY('Volunteer Survey'!K259)"),"Gene-Disease Validity")</f>
        <v>Gene-Disease Validity</v>
      </c>
      <c r="AK260" s="183" t="str">
        <f>IFERROR(__xludf.DUMMYFUNCTION("QUERY('Volunteer Survey'!L259)"),"Clinical Actionability")</f>
        <v>Clinical Actionability</v>
      </c>
      <c r="AL260" s="183" t="str">
        <f>IFERROR(__xludf.DUMMYFUNCTION("QUERY('Volunteer Survey'!M259)"),"Dosage Sensitivity")</f>
        <v>Dosage Sensitivity</v>
      </c>
      <c r="AM260" s="183" t="str">
        <f>IFERROR(__xludf.DUMMYFUNCTION("QUERY('Volunteer Survey'!N259)"),"")</f>
        <v/>
      </c>
      <c r="AN260" s="183" t="str">
        <f>IFERROR(__xludf.DUMMYFUNCTION("QUERY('Volunteer Survey'!O259)"),"Possibly")</f>
        <v>Possibly</v>
      </c>
      <c r="AO260" s="183" t="str">
        <f>IFERROR(__xludf.DUMMYFUNCTION("QUERY('Volunteer Survey'!P259)"),"Pancreatic ")</f>
        <v>Pancreatic </v>
      </c>
    </row>
    <row r="261">
      <c r="A261" s="50">
        <f>IFERROR(__xludf.DUMMYFUNCTION("QUERY('Volunteer Survey'!A268)"),43691.59204373843)</f>
        <v>43691.59204</v>
      </c>
      <c r="B261" s="48" t="s">
        <v>108</v>
      </c>
      <c r="C261" s="79">
        <v>43819.0</v>
      </c>
      <c r="D261" s="55"/>
      <c r="E261" s="55"/>
      <c r="F261" s="48" t="s">
        <v>130</v>
      </c>
      <c r="G261" s="48" t="s">
        <v>122</v>
      </c>
      <c r="H261" s="53"/>
      <c r="I261" s="53"/>
      <c r="J261" s="55"/>
      <c r="K261" s="55"/>
      <c r="L261" s="55" t="str">
        <f>IFERROR(__xludf.DUMMYFUNCTION("QUERY('Volunteer Survey'!B268)"),"Yasser Sullcahuaman Allende")</f>
        <v>Yasser Sullcahuaman Allende</v>
      </c>
      <c r="M261" s="55" t="str">
        <f>IFERROR(__xludf.DUMMYFUNCTION("QUERY('Volunteer Survey'!E268)"),"ysullcahuaman@hotmail.com")</f>
        <v>ysullcahuaman@hotmail.com</v>
      </c>
      <c r="N261" s="55" t="str">
        <f>IFERROR(__xludf.DUMMYFUNCTION("QUERY('Volunteer Survey'!F268)"),"Clinical Medical Geneticist")</f>
        <v>Clinical Medical Geneticist</v>
      </c>
      <c r="O261" s="48" t="str">
        <f>IFERROR(__xludf.DUMMYFUNCTION("QUERY('Volunteer Survey'!H268)"),"Comprehensive")</f>
        <v>Comprehensive</v>
      </c>
      <c r="P261" s="55" t="str">
        <f>IFERROR(__xludf.DUMMYFUNCTION("QUERY('Volunteer Survey'!I268)"),"Gene-Disease Validity")</f>
        <v>Gene-Disease Validity</v>
      </c>
      <c r="Q261" s="60" t="str">
        <f>IFERROR(__xludf.DUMMYFUNCTION("QUERY('Volunteer Survey'!J268)"),"Variant Pathogenicity")</f>
        <v>Variant Pathogenicity</v>
      </c>
      <c r="R261" s="55" t="str">
        <f>IFERROR(__xludf.DUMMYFUNCTION("QUERY('Volunteer Survey'!K268)"),"Clinical Actionability")</f>
        <v>Clinical Actionability</v>
      </c>
      <c r="S261" s="55" t="str">
        <f>IFERROR(__xludf.DUMMYFUNCTION("QUERY('Volunteer Survey'!L268)"),"Somatic Cancer")</f>
        <v>Somatic Cancer</v>
      </c>
      <c r="T261" s="55" t="str">
        <f>IFERROR(__xludf.DUMMYFUNCTION("QUERY('Volunteer Survey'!M268)"),"Dosage Sensitivity")</f>
        <v>Dosage Sensitivity</v>
      </c>
      <c r="U261" s="64" t="str">
        <f>IFERROR(__xludf.DUMMYFUNCTION("QUERY('Volunteer Survey'!N268)"),"Yasser")</f>
        <v>Yasser</v>
      </c>
      <c r="V261" s="55" t="str">
        <f>IFERROR(__xludf.DUMMYFUNCTION("QUERY('Volunteer Survey'!O268)"),"Yes")</f>
        <v>Yes</v>
      </c>
      <c r="W261" s="66" t="str">
        <f>IFERROR(__xludf.DUMMYFUNCTION("QUERY('Volunteer Survey'!P268)"),"Hereditary cancer")</f>
        <v>Hereditary cancer</v>
      </c>
      <c r="X261" s="64" t="str">
        <f>IFERROR(__xludf.DUMMYFUNCTION("QUERY('Volunteer Survey'!R268)"),"Yes- I am willing to volunteer with any available ClinGen group")</f>
        <v>Yes- I am willing to volunteer with any available ClinGen group</v>
      </c>
      <c r="Y261" s="53"/>
      <c r="Z261" s="182">
        <f>IFERROR(__xludf.DUMMYFUNCTION("QUERY('Volunteer Survey'!A260)"),43679.89744516204)</f>
        <v>43679.89745</v>
      </c>
      <c r="AA261" s="183" t="str">
        <f>IFERROR(__xludf.DUMMYFUNCTION("QUERY('Volunteer Survey'!B260)"),"NANDITA MULLAPUDI")</f>
        <v>NANDITA MULLAPUDI</v>
      </c>
      <c r="AB261" s="183" t="str">
        <f>IFERROR(__xludf.DUMMYFUNCTION("QUERY('Volunteer Survey'!C260)"),"Hong Kong University of Science and Technology")</f>
        <v>Hong Kong University of Science and Technology</v>
      </c>
      <c r="AC261" s="183" t="str">
        <f>IFERROR(__xludf.DUMMYFUNCTION("QUERY('Volunteer Survey'!D260)"),"19-21 TIN HAU TEMPLE ROAD, NORTH POINT, HONG KONG.")</f>
        <v>19-21 TIN HAU TEMPLE ROAD, NORTH POINT, HONG KONG.</v>
      </c>
      <c r="AD261" s="183" t="str">
        <f>IFERROR(__xludf.DUMMYFUNCTION("QUERY('Volunteer Survey'!E260)"),"mnandita@gmail.com")</f>
        <v>mnandita@gmail.com</v>
      </c>
      <c r="AE261" s="183" t="str">
        <f>IFERROR(__xludf.DUMMYFUNCTION("QUERY('Volunteer Survey'!F260)"),"Scientific Researcher")</f>
        <v>Scientific Researcher</v>
      </c>
      <c r="AF261" s="183" t="str">
        <f>IFERROR(__xludf.DUMMYFUNCTION("QUERY('Volunteer Survey'!G260)"),"Suggestion from mentor")</f>
        <v>Suggestion from mentor</v>
      </c>
      <c r="AG261" s="183" t="str">
        <f>IFERROR(__xludf.DUMMYFUNCTION("QUERY('Volunteer Survey'!H260)"),"comprehensive")</f>
        <v>comprehensive</v>
      </c>
      <c r="AH261" s="183" t="str">
        <f>IFERROR(__xludf.DUMMYFUNCTION("QUERY('Volunteer Survey'!I260)"),"")</f>
        <v/>
      </c>
      <c r="AI261" s="183" t="str">
        <f>IFERROR(__xludf.DUMMYFUNCTION("QUERY('Volunteer Survey'!J260)"),"")</f>
        <v/>
      </c>
      <c r="AJ261" s="183" t="str">
        <f>IFERROR(__xludf.DUMMYFUNCTION("QUERY('Volunteer Survey'!K260)"),"")</f>
        <v/>
      </c>
      <c r="AK261" s="183" t="str">
        <f>IFERROR(__xludf.DUMMYFUNCTION("QUERY('Volunteer Survey'!L260)"),"")</f>
        <v/>
      </c>
      <c r="AL261" s="183" t="str">
        <f>IFERROR(__xludf.DUMMYFUNCTION("QUERY('Volunteer Survey'!M260)"),"")</f>
        <v/>
      </c>
      <c r="AM261" s="183" t="str">
        <f>IFERROR(__xludf.DUMMYFUNCTION("QUERY('Volunteer Survey'!N260)"),"I am not currently signing up for being an active member, but I would like to eventually. I would like to state that I have almost two years of experience working with a molecular diagnostics company, wherein I was responsible for setting up the variant a"&amp;"nalyses and interpretation processes for a variety of inherited disorders.")</f>
        <v>I am not currently signing up for being an active member, but I would like to eventually. I would like to state that I have almost two years of experience working with a molecular diagnostics company, wherein I was responsible for setting up the variant analyses and interpretation processes for a variety of inherited disorders.</v>
      </c>
      <c r="AN261" s="183" t="str">
        <f>IFERROR(__xludf.DUMMYFUNCTION("QUERY('Volunteer Survey'!O260)"),"")</f>
        <v/>
      </c>
      <c r="AO261" s="183" t="str">
        <f>IFERROR(__xludf.DUMMYFUNCTION("QUERY('Volunteer Survey'!P260)"),"Intellectual disability and autism, Mitochondrial diseases, Hearing loss, Familial hypercholesterolemia")</f>
        <v>Intellectual disability and autism, Mitochondrial diseases, Hearing loss, Familial hypercholesterolemia</v>
      </c>
    </row>
    <row r="262">
      <c r="A262" s="50">
        <f>IFERROR(__xludf.DUMMYFUNCTION("QUERY('Volunteer Survey'!A269)"),43691.699543414354)</f>
        <v>43691.69954</v>
      </c>
      <c r="B262" s="48" t="s">
        <v>125</v>
      </c>
      <c r="C262" s="79">
        <v>43717.0</v>
      </c>
      <c r="D262" s="55"/>
      <c r="E262" s="55"/>
      <c r="F262" s="48" t="s">
        <v>130</v>
      </c>
      <c r="G262" s="48" t="s">
        <v>19</v>
      </c>
      <c r="H262" s="53"/>
      <c r="I262" s="51" t="s">
        <v>139</v>
      </c>
      <c r="J262" s="55"/>
      <c r="K262" s="55"/>
      <c r="L262" s="55" t="str">
        <f>IFERROR(__xludf.DUMMYFUNCTION("QUERY('Volunteer Survey'!B269)"),"Ellie Jhun")</f>
        <v>Ellie Jhun</v>
      </c>
      <c r="M262" s="55" t="str">
        <f>IFERROR(__xludf.DUMMYFUNCTION("QUERY('Volunteer Survey'!E269)"),"ejhun@base10genetics.com")</f>
        <v>ejhun@base10genetics.com</v>
      </c>
      <c r="N262" s="55" t="str">
        <f>IFERROR(__xludf.DUMMYFUNCTION("QUERY('Volunteer Survey'!F269)"),"Variant Analyst/Scientist - Industry")</f>
        <v>Variant Analyst/Scientist - Industry</v>
      </c>
      <c r="O262" s="48" t="str">
        <f>IFERROR(__xludf.DUMMYFUNCTION("QUERY('Volunteer Survey'!H269)"),"Comprehensive")</f>
        <v>Comprehensive</v>
      </c>
      <c r="P262" s="55" t="str">
        <f>IFERROR(__xludf.DUMMYFUNCTION("QUERY('Volunteer Survey'!I269)"),"Clinical Actionability")</f>
        <v>Clinical Actionability</v>
      </c>
      <c r="Q262" s="60" t="str">
        <f>IFERROR(__xludf.DUMMYFUNCTION("QUERY('Volunteer Survey'!J269)"),"")</f>
        <v/>
      </c>
      <c r="R262" s="55" t="str">
        <f>IFERROR(__xludf.DUMMYFUNCTION("QUERY('Volunteer Survey'!K269)"),"")</f>
        <v/>
      </c>
      <c r="S262" s="55" t="str">
        <f>IFERROR(__xludf.DUMMYFUNCTION("QUERY('Volunteer Survey'!L269)"),"")</f>
        <v/>
      </c>
      <c r="T262" s="55" t="str">
        <f>IFERROR(__xludf.DUMMYFUNCTION("QUERY('Volunteer Survey'!M269)"),"")</f>
        <v/>
      </c>
      <c r="U262" s="64" t="str">
        <f>IFERROR(__xludf.DUMMYFUNCTION("QUERY('Volunteer Survey'!N269)"),"Pharmacogenomics fellowship program at the University of Chicago")</f>
        <v>Pharmacogenomics fellowship program at the University of Chicago</v>
      </c>
      <c r="V262" s="55" t="str">
        <f>IFERROR(__xludf.DUMMYFUNCTION("QUERY('Volunteer Survey'!O269)"),"No")</f>
        <v>No</v>
      </c>
      <c r="W262" s="66" t="str">
        <f>IFERROR(__xludf.DUMMYFUNCTION("QUERY('Volunteer Survey'!P269)"),"")</f>
        <v/>
      </c>
      <c r="X262" s="64" t="str">
        <f>IFERROR(__xludf.DUMMYFUNCTION("QUERY('Volunteer Survey'!R269)"),"No - I am only interested in the group(s) I previously indicated")</f>
        <v>No - I am only interested in the group(s) I previously indicated</v>
      </c>
      <c r="Y262" s="53"/>
      <c r="Z262" s="182">
        <f>IFERROR(__xludf.DUMMYFUNCTION("QUERY('Volunteer Survey'!A261)"),43680.050454421296)</f>
        <v>43680.05045</v>
      </c>
      <c r="AA262" s="183" t="str">
        <f>IFERROR(__xludf.DUMMYFUNCTION("QUERY('Volunteer Survey'!B261)"),"Hari Subramanian")</f>
        <v>Hari Subramanian</v>
      </c>
      <c r="AB262" s="183" t="str">
        <f>IFERROR(__xludf.DUMMYFUNCTION("QUERY('Volunteer Survey'!C261)"),"The University of Chicago")</f>
        <v>The University of Chicago</v>
      </c>
      <c r="AC262" s="183" t="str">
        <f>IFERROR(__xludf.DUMMYFUNCTION("QUERY('Volunteer Survey'!D261)"),"")</f>
        <v/>
      </c>
      <c r="AD262" s="183" t="str">
        <f>IFERROR(__xludf.DUMMYFUNCTION("QUERY('Volunteer Survey'!E261)"),"hsubramanian@bsd.uchicago.edu")</f>
        <v>hsubramanian@bsd.uchicago.edu</v>
      </c>
      <c r="AE262" s="183" t="str">
        <f>IFERROR(__xludf.DUMMYFUNCTION("QUERY('Volunteer Survey'!F261)"),"Bioinformatician, Clinical Diagnostics Lab")</f>
        <v>Bioinformatician, Clinical Diagnostics Lab</v>
      </c>
      <c r="AF262" s="183" t="str">
        <f>IFERROR(__xludf.DUMMYFUNCTION("QUERY('Volunteer Survey'!G261)"),"ClinGen conference advertisements (i.e. booth, workshop, presentation), Colleagues, ClinGen affiliated emails and/or newsletters, The clinicalgenome.org website")</f>
        <v>ClinGen conference advertisements (i.e. booth, workshop, presentation), Colleagues, ClinGen affiliated emails and/or newsletters, The clinicalgenome.org website</v>
      </c>
      <c r="AG262" s="183" t="str">
        <f>IFERROR(__xludf.DUMMYFUNCTION("QUERY('Volunteer Survey'!H261)"),"Baseline")</f>
        <v>Baseline</v>
      </c>
      <c r="AH262" s="183" t="str">
        <f>IFERROR(__xludf.DUMMYFUNCTION("QUERY('Volunteer Survey'!I261)"),"Dosage Sensitivity")</f>
        <v>Dosage Sensitivity</v>
      </c>
      <c r="AI262" s="183" t="str">
        <f>IFERROR(__xludf.DUMMYFUNCTION("QUERY('Volunteer Survey'!J261)"),"Variant Pathogenicity")</f>
        <v>Variant Pathogenicity</v>
      </c>
      <c r="AJ262" s="183" t="str">
        <f>IFERROR(__xludf.DUMMYFUNCTION("QUERY('Volunteer Survey'!K261)"),"Gene-Disease Validity")</f>
        <v>Gene-Disease Validity</v>
      </c>
      <c r="AK262" s="183" t="str">
        <f>IFERROR(__xludf.DUMMYFUNCTION("QUERY('Volunteer Survey'!L261)"),"Somatic Cancer")</f>
        <v>Somatic Cancer</v>
      </c>
      <c r="AL262" s="183" t="str">
        <f>IFERROR(__xludf.DUMMYFUNCTION("QUERY('Volunteer Survey'!M261)"),"")</f>
        <v/>
      </c>
      <c r="AM262" s="183" t="str">
        <f>IFERROR(__xludf.DUMMYFUNCTION("QUERY('Volunteer Survey'!N261)"),"")</f>
        <v/>
      </c>
      <c r="AN262" s="183" t="str">
        <f>IFERROR(__xludf.DUMMYFUNCTION("QUERY('Volunteer Survey'!O261)"),"Possibly")</f>
        <v>Possibly</v>
      </c>
      <c r="AO262" s="183" t="str">
        <f>IFERROR(__xludf.DUMMYFUNCTION("QUERY('Volunteer Survey'!P261)"),"")</f>
        <v/>
      </c>
    </row>
    <row r="263">
      <c r="A263" s="50">
        <f>IFERROR(__xludf.DUMMYFUNCTION("QUERY('Volunteer Survey'!A270)"),43691.85581674768)</f>
        <v>43691.85582</v>
      </c>
      <c r="B263" s="48" t="s">
        <v>108</v>
      </c>
      <c r="C263" s="79">
        <v>43819.0</v>
      </c>
      <c r="D263" s="55"/>
      <c r="E263" s="55"/>
      <c r="F263" s="48" t="s">
        <v>130</v>
      </c>
      <c r="G263" s="48" t="s">
        <v>251</v>
      </c>
      <c r="H263" s="53"/>
      <c r="I263" s="51" t="s">
        <v>139</v>
      </c>
      <c r="J263" s="55"/>
      <c r="K263" s="55"/>
      <c r="L263" s="55" t="str">
        <f>IFERROR(__xludf.DUMMYFUNCTION("QUERY('Volunteer Survey'!B270)"),"Venkatesan Sengoda Gounder")</f>
        <v>Venkatesan Sengoda Gounder</v>
      </c>
      <c r="M263" s="55" t="str">
        <f>IFERROR(__xludf.DUMMYFUNCTION("QUERY('Volunteer Survey'!E270)"),"agrivenkat@gmail.com")</f>
        <v>agrivenkat@gmail.com</v>
      </c>
      <c r="N263" s="55" t="str">
        <f>IFERROR(__xludf.DUMMYFUNCTION("QUERY('Volunteer Survey'!F270)"),"Scientific Researcher")</f>
        <v>Scientific Researcher</v>
      </c>
      <c r="O263" s="48" t="str">
        <f>IFERROR(__xludf.DUMMYFUNCTION("QUERY('Volunteer Survey'!H270)"),"Comprehensive")</f>
        <v>Comprehensive</v>
      </c>
      <c r="P263" s="55" t="str">
        <f>IFERROR(__xludf.DUMMYFUNCTION("QUERY('Volunteer Survey'!I270)"),"Variant Pathogenicity")</f>
        <v>Variant Pathogenicity</v>
      </c>
      <c r="Q263" s="60" t="str">
        <f>IFERROR(__xludf.DUMMYFUNCTION("QUERY('Volunteer Survey'!J270)"),"Dosage Sensitivity")</f>
        <v>Dosage Sensitivity</v>
      </c>
      <c r="R263" s="55" t="str">
        <f>IFERROR(__xludf.DUMMYFUNCTION("QUERY('Volunteer Survey'!K270)"),"Gene-Disease Validity")</f>
        <v>Gene-Disease Validity</v>
      </c>
      <c r="S263" s="55" t="str">
        <f>IFERROR(__xludf.DUMMYFUNCTION("QUERY('Volunteer Survey'!L270)"),"Clinical Actionability")</f>
        <v>Clinical Actionability</v>
      </c>
      <c r="T263" s="55" t="str">
        <f>IFERROR(__xludf.DUMMYFUNCTION("QUERY('Volunteer Survey'!M270)"),"Somatic Cancer")</f>
        <v>Somatic Cancer</v>
      </c>
      <c r="U263" s="64" t="str">
        <f>IFERROR(__xludf.DUMMYFUNCTION("QUERY('Volunteer Survey'!N270)"),"No")</f>
        <v>No</v>
      </c>
      <c r="V263" s="55" t="str">
        <f>IFERROR(__xludf.DUMMYFUNCTION("QUERY('Volunteer Survey'!O270)"),"Yes")</f>
        <v>Yes</v>
      </c>
      <c r="W263" s="66" t="str">
        <f>IFERROR(__xludf.DUMMYFUNCTION("QUERY('Volunteer Survey'!P270)"),"Yes")</f>
        <v>Yes</v>
      </c>
      <c r="X263" s="64" t="str">
        <f>IFERROR(__xludf.DUMMYFUNCTION("QUERY('Volunteer Survey'!R270)"),"Yes- I am willing to volunteer with any available ClinGen group")</f>
        <v>Yes- I am willing to volunteer with any available ClinGen group</v>
      </c>
      <c r="Y263" s="53"/>
      <c r="Z263" s="182">
        <f>IFERROR(__xludf.DUMMYFUNCTION("QUERY('Volunteer Survey'!A262)"),43684.398782951386)</f>
        <v>43684.39878</v>
      </c>
      <c r="AA263" s="183" t="str">
        <f>IFERROR(__xludf.DUMMYFUNCTION("QUERY('Volunteer Survey'!B262)"),"Georgios Tsaousis")</f>
        <v>Georgios Tsaousis</v>
      </c>
      <c r="AB263" s="183" t="str">
        <f>IFERROR(__xludf.DUMMYFUNCTION("QUERY('Volunteer Survey'!C262)"),"Genekor Medical SA")</f>
        <v>Genekor Medical SA</v>
      </c>
      <c r="AC263" s="183" t="str">
        <f>IFERROR(__xludf.DUMMYFUNCTION("QUERY('Volunteer Survey'!D262)"),"52 Spaton Ave, Athens, Greece")</f>
        <v>52 Spaton Ave, Athens, Greece</v>
      </c>
      <c r="AD263" s="183" t="str">
        <f>IFERROR(__xludf.DUMMYFUNCTION("QUERY('Volunteer Survey'!E262)"),"gtsaousis@genekor.com")</f>
        <v>gtsaousis@genekor.com</v>
      </c>
      <c r="AE263" s="183" t="str">
        <f>IFERROR(__xludf.DUMMYFUNCTION("QUERY('Volunteer Survey'!F262)"),"Variant Analyst/Scientist - Industry")</f>
        <v>Variant Analyst/Scientist - Industry</v>
      </c>
      <c r="AF263" s="183" t="str">
        <f>IFERROR(__xludf.DUMMYFUNCTION("QUERY('Volunteer Survey'!G262)"),"ClinGen affiliated emails and/or newsletters, The clinicalgenome.org website, Twitter")</f>
        <v>ClinGen affiliated emails and/or newsletters, The clinicalgenome.org website, Twitter</v>
      </c>
      <c r="AG263" s="183" t="str">
        <f>IFERROR(__xludf.DUMMYFUNCTION("QUERY('Volunteer Survey'!H262)"),"Comprehensive")</f>
        <v>Comprehensive</v>
      </c>
      <c r="AH263" s="183" t="str">
        <f>IFERROR(__xludf.DUMMYFUNCTION("QUERY('Volunteer Survey'!I262)"),"Variant Pathogenicity")</f>
        <v>Variant Pathogenicity</v>
      </c>
      <c r="AI263" s="183" t="str">
        <f>IFERROR(__xludf.DUMMYFUNCTION("QUERY('Volunteer Survey'!J262)"),"Gene-Disease Validity")</f>
        <v>Gene-Disease Validity</v>
      </c>
      <c r="AJ263" s="183" t="str">
        <f>IFERROR(__xludf.DUMMYFUNCTION("QUERY('Volunteer Survey'!K262)"),"Clinical Actionability")</f>
        <v>Clinical Actionability</v>
      </c>
      <c r="AK263" s="183" t="str">
        <f>IFERROR(__xludf.DUMMYFUNCTION("QUERY('Volunteer Survey'!L262)"),"Somatic Cancer")</f>
        <v>Somatic Cancer</v>
      </c>
      <c r="AL263" s="183" t="str">
        <f>IFERROR(__xludf.DUMMYFUNCTION("QUERY('Volunteer Survey'!M262)"),"Dosage Sensitivity")</f>
        <v>Dosage Sensitivity</v>
      </c>
      <c r="AM263" s="183" t="str">
        <f>IFERROR(__xludf.DUMMYFUNCTION("QUERY('Volunteer Survey'!N262)"),"I am the Group Leader of the Bioinformatics department in Genekor Medical SA involved in data collection and curation activities for the determination of variant pathogenicity for all variants identified in our laboratory for Hereditary cancer genes. I am"&amp;" also a Post-doc Research Associate at the Biophysics and Bioinformatics Laboratory at the Department of Biology, School of Sciences, National and Kapodistrian University of Athens, where i am involved with sequence and structure analysis of biological se"&amp;"quences through the development of computational algorithms and biological databases.")</f>
        <v>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v>
      </c>
      <c r="AN263" s="183" t="str">
        <f>IFERROR(__xludf.DUMMYFUNCTION("QUERY('Volunteer Survey'!O262)"),"Possibly")</f>
        <v>Possibly</v>
      </c>
      <c r="AO263" s="183" t="str">
        <f>IFERROR(__xludf.DUMMYFUNCTION("QUERY('Volunteer Survey'!P262)"),"Hereditary Cancer, Somatic/Germline Variant Curation, Colorectal Cancer, PTEN, TP53, CDH1")</f>
        <v>Hereditary Cancer, Somatic/Germline Variant Curation, Colorectal Cancer, PTEN, TP53, CDH1</v>
      </c>
    </row>
    <row r="264">
      <c r="A264" s="50">
        <f>IFERROR(__xludf.DUMMYFUNCTION("QUERY('Volunteer Survey'!A271)"),43692.43983260416)</f>
        <v>43692.43983</v>
      </c>
      <c r="B264" s="48" t="s">
        <v>108</v>
      </c>
      <c r="C264" s="79">
        <v>43819.0</v>
      </c>
      <c r="D264" s="55"/>
      <c r="E264" s="55"/>
      <c r="F264" s="48" t="s">
        <v>130</v>
      </c>
      <c r="G264" s="48" t="s">
        <v>251</v>
      </c>
      <c r="H264" s="53"/>
      <c r="I264" s="51" t="s">
        <v>139</v>
      </c>
      <c r="J264" s="55"/>
      <c r="K264" s="55"/>
      <c r="L264" s="55" t="str">
        <f>IFERROR(__xludf.DUMMYFUNCTION("QUERY('Volunteer Survey'!B271)"),"Ronaldo da Silva Francisco Junior")</f>
        <v>Ronaldo da Silva Francisco Junior</v>
      </c>
      <c r="M264" s="55" t="str">
        <f>IFERROR(__xludf.DUMMYFUNCTION("QUERY('Volunteer Survey'!E271)"),"ronaldoj@lncc.br")</f>
        <v>ronaldoj@lncc.br</v>
      </c>
      <c r="N264" s="55" t="str">
        <f>IFERROR(__xludf.DUMMYFUNCTION("QUERY('Volunteer Survey'!F271)"),"Variant Analyst/Scientist - Academic")</f>
        <v>Variant Analyst/Scientist - Academic</v>
      </c>
      <c r="O264" s="48" t="str">
        <f>IFERROR(__xludf.DUMMYFUNCTION("QUERY('Volunteer Survey'!H271)"),"Comprehensive")</f>
        <v>Comprehensive</v>
      </c>
      <c r="P264" s="55" t="str">
        <f>IFERROR(__xludf.DUMMYFUNCTION("QUERY('Volunteer Survey'!I271)"),"Variant Pathogenicity")</f>
        <v>Variant Pathogenicity</v>
      </c>
      <c r="Q264" s="60" t="str">
        <f>IFERROR(__xludf.DUMMYFUNCTION("QUERY('Volunteer Survey'!J271)"),"Dosage Sensitivity")</f>
        <v>Dosage Sensitivity</v>
      </c>
      <c r="R264" s="55" t="str">
        <f>IFERROR(__xludf.DUMMYFUNCTION("QUERY('Volunteer Survey'!K271)"),"Clinical Actionability")</f>
        <v>Clinical Actionability</v>
      </c>
      <c r="S264" s="55" t="str">
        <f>IFERROR(__xludf.DUMMYFUNCTION("QUERY('Volunteer Survey'!L271)"),"Gene-Disease Validity")</f>
        <v>Gene-Disease Validity</v>
      </c>
      <c r="T264" s="55" t="str">
        <f>IFERROR(__xludf.DUMMYFUNCTION("QUERY('Volunteer Survey'!M271)"),"Somatic Cancer")</f>
        <v>Somatic Cancer</v>
      </c>
      <c r="U264" s="64" t="str">
        <f>IFERROR(__xludf.DUMMYFUNCTION("QUERY('Volunteer Survey'!N271)"),"Yes. I am currently working as a bioinformatician using WES data to perform the diagnosis and filtering of genetic variants in patients with Primary Immudeficiency Disorders")</f>
        <v>Yes. I am currently working as a bioinformatician using WES data to perform the diagnosis and filtering of genetic variants in patients with Primary Immudeficiency Disorders</v>
      </c>
      <c r="V264" s="55" t="str">
        <f>IFERROR(__xludf.DUMMYFUNCTION("QUERY('Volunteer Survey'!O271)"),"Yes")</f>
        <v>Yes</v>
      </c>
      <c r="W264" s="66" t="str">
        <f>IFERROR(__xludf.DUMMYFUNCTION("QUERY('Volunteer Survey'!P271)"),"Yes. RASopathy, Cardiomyopathy, Congenital Myopathies (newly forming), Mitochondrial diseases, Dosage-Recurrent Regions")</f>
        <v>Yes. RASopathy, Cardiomyopathy, Congenital Myopathies (newly forming), Mitochondrial diseases, Dosage-Recurrent Regions</v>
      </c>
      <c r="X264" s="64" t="str">
        <f>IFERROR(__xludf.DUMMYFUNCTION("QUERY('Volunteer Survey'!R271)"),"Yes- I am willing to volunteer with any available ClinGen group")</f>
        <v>Yes- I am willing to volunteer with any available ClinGen group</v>
      </c>
      <c r="Y264" s="53"/>
      <c r="Z264" s="182">
        <f>IFERROR(__xludf.DUMMYFUNCTION("QUERY('Volunteer Survey'!A263)"),43684.40288785879)</f>
        <v>43684.40289</v>
      </c>
      <c r="AA264" s="183" t="str">
        <f>IFERROR(__xludf.DUMMYFUNCTION("QUERY('Volunteer Survey'!B263)"),"Jessica Hatton")</f>
        <v>Jessica Hatton</v>
      </c>
      <c r="AB264" s="183" t="str">
        <f>IFERROR(__xludf.DUMMYFUNCTION("QUERY('Volunteer Survey'!C263)"),"National Cancer Institute")</f>
        <v>National Cancer Institute</v>
      </c>
      <c r="AC264" s="183" t="str">
        <f>IFERROR(__xludf.DUMMYFUNCTION("QUERY('Volunteer Survey'!D263)"),"9609 Medical Center Drive")</f>
        <v>9609 Medical Center Drive</v>
      </c>
      <c r="AD264" s="183" t="str">
        <f>IFERROR(__xludf.DUMMYFUNCTION("QUERY('Volunteer Survey'!E263)"),"jessica.hatton@nih.gov")</f>
        <v>jessica.hatton@nih.gov</v>
      </c>
      <c r="AE264" s="183" t="str">
        <f>IFERROR(__xludf.DUMMYFUNCTION("QUERY('Volunteer Survey'!F263)"),"Genetic counselor")</f>
        <v>Genetic counselor</v>
      </c>
      <c r="AF264" s="183" t="str">
        <f>IFERROR(__xludf.DUMMYFUNCTION("QUERY('Volunteer Survey'!G263)"),"Colleagues")</f>
        <v>Colleagues</v>
      </c>
      <c r="AG264" s="183" t="str">
        <f>IFERROR(__xludf.DUMMYFUNCTION("QUERY('Volunteer Survey'!H263)"),"Comprehensive")</f>
        <v>Comprehensive</v>
      </c>
      <c r="AH264" s="183" t="str">
        <f>IFERROR(__xludf.DUMMYFUNCTION("QUERY('Volunteer Survey'!I263)"),"Variant Pathogenicity")</f>
        <v>Variant Pathogenicity</v>
      </c>
      <c r="AI264" s="183" t="str">
        <f>IFERROR(__xludf.DUMMYFUNCTION("QUERY('Volunteer Survey'!J263)"),"")</f>
        <v/>
      </c>
      <c r="AJ264" s="183" t="str">
        <f>IFERROR(__xludf.DUMMYFUNCTION("QUERY('Volunteer Survey'!K263)"),"")</f>
        <v/>
      </c>
      <c r="AK264" s="183" t="str">
        <f>IFERROR(__xludf.DUMMYFUNCTION("QUERY('Volunteer Survey'!L263)"),"")</f>
        <v/>
      </c>
      <c r="AL264" s="183" t="str">
        <f>IFERROR(__xludf.DUMMYFUNCTION("QUERY('Volunteer Survey'!M263)"),"")</f>
        <v/>
      </c>
      <c r="AM264" s="183" t="str">
        <f>IFERROR(__xludf.DUMMYFUNCTION("QUERY('Volunteer Survey'!N263)"),"No")</f>
        <v>No</v>
      </c>
      <c r="AN264" s="183" t="str">
        <f>IFERROR(__xludf.DUMMYFUNCTION("QUERY('Volunteer Survey'!O263)"),"Possibly")</f>
        <v>Possibly</v>
      </c>
      <c r="AO264" s="183" t="str">
        <f>IFERROR(__xludf.DUMMYFUNCTION("QUERY('Volunteer Survey'!P263)"),"TP53")</f>
        <v>TP53</v>
      </c>
    </row>
    <row r="265">
      <c r="A265" s="50">
        <f>IFERROR(__xludf.DUMMYFUNCTION("QUERY('Volunteer Survey'!A272)"),43692.75764353009)</f>
        <v>43692.75764</v>
      </c>
      <c r="B265" s="48" t="s">
        <v>108</v>
      </c>
      <c r="C265" s="79">
        <v>43819.0</v>
      </c>
      <c r="D265" s="55"/>
      <c r="E265" s="55"/>
      <c r="F265" s="48" t="s">
        <v>130</v>
      </c>
      <c r="G265" s="48" t="s">
        <v>122</v>
      </c>
      <c r="H265" s="53"/>
      <c r="I265" s="51" t="s">
        <v>139</v>
      </c>
      <c r="J265" s="55"/>
      <c r="K265" s="55"/>
      <c r="L265" s="55" t="str">
        <f>IFERROR(__xludf.DUMMYFUNCTION("QUERY('Volunteer Survey'!B272)"),"Krista Bluske")</f>
        <v>Krista Bluske</v>
      </c>
      <c r="M265" s="55" t="str">
        <f>IFERROR(__xludf.DUMMYFUNCTION("QUERY('Volunteer Survey'!E272)"),"kbluske@illumina.com")</f>
        <v>kbluske@illumina.com</v>
      </c>
      <c r="N265" s="55" t="str">
        <f>IFERROR(__xludf.DUMMYFUNCTION("QUERY('Volunteer Survey'!F272)"),"Variant Analyst/Scientist - Industry")</f>
        <v>Variant Analyst/Scientist - Industry</v>
      </c>
      <c r="O265" s="48" t="str">
        <f>IFERROR(__xludf.DUMMYFUNCTION("QUERY('Volunteer Survey'!H272)"),"Comprehensive")</f>
        <v>Comprehensive</v>
      </c>
      <c r="P265" s="55" t="str">
        <f>IFERROR(__xludf.DUMMYFUNCTION("QUERY('Volunteer Survey'!I272)"),"Gene-Disease Validity")</f>
        <v>Gene-Disease Validity</v>
      </c>
      <c r="Q265" s="60" t="str">
        <f>IFERROR(__xludf.DUMMYFUNCTION("QUERY('Volunteer Survey'!J272)"),"")</f>
        <v/>
      </c>
      <c r="R265" s="55" t="str">
        <f>IFERROR(__xludf.DUMMYFUNCTION("QUERY('Volunteer Survey'!K272)"),"")</f>
        <v/>
      </c>
      <c r="S265" s="55" t="str">
        <f>IFERROR(__xludf.DUMMYFUNCTION("QUERY('Volunteer Survey'!L272)"),"")</f>
        <v/>
      </c>
      <c r="T265" s="55" t="str">
        <f>IFERROR(__xludf.DUMMYFUNCTION("QUERY('Volunteer Survey'!M272)"),"")</f>
        <v/>
      </c>
      <c r="U265" s="64" t="str">
        <f>IFERROR(__xludf.DUMMYFUNCTION("QUERY('Volunteer Survey'!N272)"),"Yes, our group at Illumina is already contributing RUGD gene curations to ClinGen and we are active collaborators. I am trained in the ClinGen gene curation protocol. ")</f>
        <v>Yes, our group at Illumina is already contributing RUGD gene curations to ClinGen and we are active collaborators. I am trained in the ClinGen gene curation protocol. </v>
      </c>
      <c r="V265" s="55" t="str">
        <f>IFERROR(__xludf.DUMMYFUNCTION("QUERY('Volunteer Survey'!O272)"),"Possibly")</f>
        <v>Possibly</v>
      </c>
      <c r="W265" s="66" t="str">
        <f>IFERROR(__xludf.DUMMYFUNCTION("QUERY('Volunteer Survey'!P272)"),"Mitochondrial Diseases expert panel (already participating), the soon-to-be-formed RUGD expert panel")</f>
        <v>Mitochondrial Diseases expert panel (already participating), the soon-to-be-formed RUGD expert panel</v>
      </c>
      <c r="X265" s="64" t="str">
        <f>IFERROR(__xludf.DUMMYFUNCTION("QUERY('Volunteer Survey'!R272)"),"No - I am only interested in the group(s) I previously indicated")</f>
        <v>No - I am only interested in the group(s) I previously indicated</v>
      </c>
      <c r="Y265" s="53"/>
      <c r="Z265" s="182">
        <f>IFERROR(__xludf.DUMMYFUNCTION("QUERY('Volunteer Survey'!A264)"),43684.68687708333)</f>
        <v>43684.68688</v>
      </c>
      <c r="AA265" s="183" t="str">
        <f>IFERROR(__xludf.DUMMYFUNCTION("QUERY('Volunteer Survey'!B264)"),"Xia Tian")</f>
        <v>Xia Tian</v>
      </c>
      <c r="AB265" s="183" t="str">
        <f>IFERROR(__xludf.DUMMYFUNCTION("QUERY('Volunteer Survey'!C264)"),"Wuxi Nextcode")</f>
        <v>Wuxi Nextcode</v>
      </c>
      <c r="AC265" s="183" t="str">
        <f>IFERROR(__xludf.DUMMYFUNCTION("QUERY('Volunteer Survey'!D264)"),"")</f>
        <v/>
      </c>
      <c r="AD265" s="183" t="str">
        <f>IFERROR(__xludf.DUMMYFUNCTION("QUERY('Volunteer Survey'!E264)"),"xtian@wuxinextcode.com")</f>
        <v>xtian@wuxinextcode.com</v>
      </c>
      <c r="AE265" s="183" t="str">
        <f>IFERROR(__xludf.DUMMYFUNCTION("QUERY('Volunteer Survey'!F264)"),"Variant Analyst/Scientist - Industry")</f>
        <v>Variant Analyst/Scientist - Industry</v>
      </c>
      <c r="AF265" s="183" t="str">
        <f>IFERROR(__xludf.DUMMYFUNCTION("QUERY('Volunteer Survey'!G264)"),"ACMG Conference 2019")</f>
        <v>ACMG Conference 2019</v>
      </c>
      <c r="AG265" s="183" t="str">
        <f>IFERROR(__xludf.DUMMYFUNCTION("QUERY('Volunteer Survey'!H264)"),"Comprehensive")</f>
        <v>Comprehensive</v>
      </c>
      <c r="AH265" s="183" t="str">
        <f>IFERROR(__xludf.DUMMYFUNCTION("QUERY('Volunteer Survey'!I264)"),"Variant Pathogenicity")</f>
        <v>Variant Pathogenicity</v>
      </c>
      <c r="AI265" s="183" t="str">
        <f>IFERROR(__xludf.DUMMYFUNCTION("QUERY('Volunteer Survey'!J264)"),"Somatic Cancer")</f>
        <v>Somatic Cancer</v>
      </c>
      <c r="AJ265" s="183" t="str">
        <f>IFERROR(__xludf.DUMMYFUNCTION("QUERY('Volunteer Survey'!K264)"),"Gene-Disease Validity")</f>
        <v>Gene-Disease Validity</v>
      </c>
      <c r="AK265" s="183" t="str">
        <f>IFERROR(__xludf.DUMMYFUNCTION("QUERY('Volunteer Survey'!L264)"),"Dosage Sensitivity")</f>
        <v>Dosage Sensitivity</v>
      </c>
      <c r="AL265" s="183" t="str">
        <f>IFERROR(__xludf.DUMMYFUNCTION("QUERY('Volunteer Survey'!M264)"),"Clinical Actionability")</f>
        <v>Clinical Actionability</v>
      </c>
      <c r="AM265" s="183" t="str">
        <f>IFERROR(__xludf.DUMMYFUNCTION("QUERY('Volunteer Survey'!N264)"),"eight years' experience of gene/variant curation and clinical case review")</f>
        <v>eight years' experience of gene/variant curation and clinical case review</v>
      </c>
      <c r="AN265" s="183" t="str">
        <f>IFERROR(__xludf.DUMMYFUNCTION("QUERY('Volunteer Survey'!O264)"),"Yes")</f>
        <v>Yes</v>
      </c>
      <c r="AO265" s="183" t="str">
        <f>IFERROR(__xludf.DUMMYFUNCTION("QUERY('Volunteer Survey'!P264)"),"Mitochondrial Diseases(gene/variant) and Somatic Cancer")</f>
        <v>Mitochondrial Diseases(gene/variant) and Somatic Cancer</v>
      </c>
    </row>
    <row r="266">
      <c r="A266" s="50">
        <f>IFERROR(__xludf.DUMMYFUNCTION("QUERY('Volunteer Survey'!A273)"),43692.80813991898)</f>
        <v>43692.80814</v>
      </c>
      <c r="B266" s="48" t="s">
        <v>108</v>
      </c>
      <c r="C266" s="79">
        <v>43819.0</v>
      </c>
      <c r="D266" s="55"/>
      <c r="E266" s="55"/>
      <c r="F266" s="48" t="s">
        <v>130</v>
      </c>
      <c r="G266" s="48" t="s">
        <v>251</v>
      </c>
      <c r="H266" s="53"/>
      <c r="I266" s="51" t="s">
        <v>139</v>
      </c>
      <c r="J266" s="55"/>
      <c r="K266" s="55"/>
      <c r="L266" s="55" t="str">
        <f>IFERROR(__xludf.DUMMYFUNCTION("QUERY('Volunteer Survey'!B273)"),"Raman Bansal")</f>
        <v>Raman Bansal</v>
      </c>
      <c r="M266" s="55" t="str">
        <f>IFERROR(__xludf.DUMMYFUNCTION("QUERY('Volunteer Survey'!E273)"),"rbansal.osu@gmail.com")</f>
        <v>rbansal.osu@gmail.com</v>
      </c>
      <c r="N266" s="55" t="str">
        <f>IFERROR(__xludf.DUMMYFUNCTION("QUERY('Volunteer Survey'!F273)"),"Scientific Researcher")</f>
        <v>Scientific Researcher</v>
      </c>
      <c r="O266" s="48" t="str">
        <f>IFERROR(__xludf.DUMMYFUNCTION("QUERY('Volunteer Survey'!H273)"),"Comprehensive")</f>
        <v>Comprehensive</v>
      </c>
      <c r="P266" s="55" t="str">
        <f>IFERROR(__xludf.DUMMYFUNCTION("QUERY('Volunteer Survey'!I273)"),"Variant Pathogenicity")</f>
        <v>Variant Pathogenicity</v>
      </c>
      <c r="Q266" s="60" t="str">
        <f>IFERROR(__xludf.DUMMYFUNCTION("QUERY('Volunteer Survey'!J273)"),"Dosage Sensitivity")</f>
        <v>Dosage Sensitivity</v>
      </c>
      <c r="R266" s="55" t="str">
        <f>IFERROR(__xludf.DUMMYFUNCTION("QUERY('Volunteer Survey'!K273)"),"Gene-Disease Validity")</f>
        <v>Gene-Disease Validity</v>
      </c>
      <c r="S266" s="55" t="str">
        <f>IFERROR(__xludf.DUMMYFUNCTION("QUERY('Volunteer Survey'!L273)"),"Clinical Actionability")</f>
        <v>Clinical Actionability</v>
      </c>
      <c r="T266" s="55" t="str">
        <f>IFERROR(__xludf.DUMMYFUNCTION("QUERY('Volunteer Survey'!M273)"),"Somatic Cancer")</f>
        <v>Somatic Cancer</v>
      </c>
      <c r="U266" s="64" t="str">
        <f>IFERROR(__xludf.DUMMYFUNCTION("QUERY('Volunteer Survey'!N273)"),"")</f>
        <v/>
      </c>
      <c r="V266" s="55" t="str">
        <f>IFERROR(__xludf.DUMMYFUNCTION("QUERY('Volunteer Survey'!O273)"),"Yes")</f>
        <v>Yes</v>
      </c>
      <c r="W266" s="66" t="str">
        <f>IFERROR(__xludf.DUMMYFUNCTION("QUERY('Volunteer Survey'!P273)"),"")</f>
        <v/>
      </c>
      <c r="X266" s="64" t="str">
        <f>IFERROR(__xludf.DUMMYFUNCTION("QUERY('Volunteer Survey'!R273)"),"Yes- I am willing to volunteer with any available ClinGen group")</f>
        <v>Yes- I am willing to volunteer with any available ClinGen group</v>
      </c>
      <c r="Y266" s="53"/>
      <c r="Z266" s="182">
        <f>IFERROR(__xludf.DUMMYFUNCTION("QUERY('Volunteer Survey'!A265)"),43685.46748900463)</f>
        <v>43685.46749</v>
      </c>
      <c r="AA266" s="183" t="str">
        <f>IFERROR(__xludf.DUMMYFUNCTION("QUERY('Volunteer Survey'!B265)"),"MEGHA DANI")</f>
        <v>MEGHA DANI</v>
      </c>
      <c r="AB266" s="183" t="str">
        <f>IFERROR(__xludf.DUMMYFUNCTION("QUERY('Volunteer Survey'!C265)"),"Mind Speed Foundation")</f>
        <v>Mind Speed Foundation</v>
      </c>
      <c r="AC266" s="183" t="str">
        <f>IFERROR(__xludf.DUMMYFUNCTION("QUERY('Volunteer Survey'!D265)"),"136 Vivekanand Nagar, Nagpur 440015  India")</f>
        <v>136 Vivekanand Nagar, Nagpur 440015  India</v>
      </c>
      <c r="AD266" s="183" t="str">
        <f>IFERROR(__xludf.DUMMYFUNCTION("QUERY('Volunteer Survey'!E265)"),"meghamdani@gmail.com")</f>
        <v>meghamdani@gmail.com</v>
      </c>
      <c r="AE266" s="183" t="str">
        <f>IFERROR(__xludf.DUMMYFUNCTION("QUERY('Volunteer Survey'!F265)"),"I owned and worked for my clinical biochemistry/diagnostics laboratory but I have not done Genetics for lack for facilities.  I want to learn Genetics, its use in identification of various genetic disorders, learning new genetic techniques")</f>
        <v>I owned and worked for my clinical biochemistry/diagnostics laboratory but I have not done Genetics for lack for facilities.  I want to learn Genetics, its use in identification of various genetic disorders, learning new genetic techniques</v>
      </c>
      <c r="AF266" s="183" t="str">
        <f>IFERROR(__xludf.DUMMYFUNCTION("QUERY('Volunteer Survey'!G265)"),"Educational coursework")</f>
        <v>Educational coursework</v>
      </c>
      <c r="AG266" s="183" t="str">
        <f>IFERROR(__xludf.DUMMYFUNCTION("QUERY('Volunteer Survey'!H265)"),"Comprehensive")</f>
        <v>Comprehensive</v>
      </c>
      <c r="AH266" s="183" t="str">
        <f>IFERROR(__xludf.DUMMYFUNCTION("QUERY('Volunteer Survey'!I265)"),"Gene-Disease Validity")</f>
        <v>Gene-Disease Validity</v>
      </c>
      <c r="AI266" s="183" t="str">
        <f>IFERROR(__xludf.DUMMYFUNCTION("QUERY('Volunteer Survey'!J265)"),"Clinical Actionability")</f>
        <v>Clinical Actionability</v>
      </c>
      <c r="AJ266" s="183" t="str">
        <f>IFERROR(__xludf.DUMMYFUNCTION("QUERY('Volunteer Survey'!K265)"),"Variant Pathogenicity")</f>
        <v>Variant Pathogenicity</v>
      </c>
      <c r="AK266" s="183" t="str">
        <f>IFERROR(__xludf.DUMMYFUNCTION("QUERY('Volunteer Survey'!L265)"),"Dosage Sensitivity")</f>
        <v>Dosage Sensitivity</v>
      </c>
      <c r="AL266" s="183" t="str">
        <f>IFERROR(__xludf.DUMMYFUNCTION("QUERY('Volunteer Survey'!M265)"),"Somatic Cancer")</f>
        <v>Somatic Cancer</v>
      </c>
      <c r="AM266" s="183" t="str">
        <f>IFERROR(__xludf.DUMMYFUNCTION("QUERY('Volunteer Survey'!N265)"),"No")</f>
        <v>No</v>
      </c>
      <c r="AN266" s="183" t="str">
        <f>IFERROR(__xludf.DUMMYFUNCTION("QUERY('Volunteer Survey'!O265)"),"Yes")</f>
        <v>Yes</v>
      </c>
      <c r="AO266" s="183" t="str">
        <f>IFERROR(__xludf.DUMMYFUNCTION("QUERY('Volunteer Survey'!P265)"),"Yes")</f>
        <v>Yes</v>
      </c>
    </row>
    <row r="267">
      <c r="A267" s="50">
        <f>IFERROR(__xludf.DUMMYFUNCTION("QUERY('Volunteer Survey'!A275)"),43693.34301476852)</f>
        <v>43693.34301</v>
      </c>
      <c r="B267" s="48" t="s">
        <v>160</v>
      </c>
      <c r="C267" s="79">
        <v>43705.0</v>
      </c>
      <c r="D267" s="56">
        <v>43719.0</v>
      </c>
      <c r="E267" s="48" t="s">
        <v>117</v>
      </c>
      <c r="F267" s="48" t="s">
        <v>130</v>
      </c>
      <c r="G267" s="48" t="s">
        <v>136</v>
      </c>
      <c r="H267" s="51" t="s">
        <v>321</v>
      </c>
      <c r="I267" s="51" t="s">
        <v>139</v>
      </c>
      <c r="J267" s="55"/>
      <c r="K267" s="55"/>
      <c r="L267" s="55" t="str">
        <f>IFERROR(__xludf.DUMMYFUNCTION("QUERY('Volunteer Survey'!B275)"),"FENGLI ZHANG")</f>
        <v>FENGLI ZHANG</v>
      </c>
      <c r="M267" s="55" t="str">
        <f>IFERROR(__xludf.DUMMYFUNCTION("QUERY('Volunteer Survey'!E275)"),"fengli.zhang@slh.wisc.edu")</f>
        <v>fengli.zhang@slh.wisc.edu</v>
      </c>
      <c r="N267" s="55" t="str">
        <f>IFERROR(__xludf.DUMMYFUNCTION("QUERY('Volunteer Survey'!F275)"),"Clinical laboratory geneticist")</f>
        <v>Clinical laboratory geneticist</v>
      </c>
      <c r="O267" s="48" t="str">
        <f>IFERROR(__xludf.DUMMYFUNCTION("QUERY('Volunteer Survey'!H275)"),"Comprehensive")</f>
        <v>Comprehensive</v>
      </c>
      <c r="P267" s="55" t="str">
        <f>IFERROR(__xludf.DUMMYFUNCTION("QUERY('Volunteer Survey'!I275)"),"Somatic Cancer")</f>
        <v>Somatic Cancer</v>
      </c>
      <c r="Q267" s="60" t="str">
        <f>IFERROR(__xludf.DUMMYFUNCTION("QUERY('Volunteer Survey'!J275)"),"Variant Pathogenicity")</f>
        <v>Variant Pathogenicity</v>
      </c>
      <c r="R267" s="55" t="str">
        <f>IFERROR(__xludf.DUMMYFUNCTION("QUERY('Volunteer Survey'!K275)"),"Gene-Disease Validity")</f>
        <v>Gene-Disease Validity</v>
      </c>
      <c r="S267" s="55" t="str">
        <f>IFERROR(__xludf.DUMMYFUNCTION("QUERY('Volunteer Survey'!L275)"),"Dosage Sensitivity")</f>
        <v>Dosage Sensitivity</v>
      </c>
      <c r="T267" s="55" t="str">
        <f>IFERROR(__xludf.DUMMYFUNCTION("QUERY('Volunteer Survey'!M275)"),"Clinical Actionability")</f>
        <v>Clinical Actionability</v>
      </c>
      <c r="U267" s="64" t="str">
        <f>IFERROR(__xludf.DUMMYFUNCTION("QUERY('Volunteer Survey'!N275)"),"No")</f>
        <v>No</v>
      </c>
      <c r="V267" s="55" t="str">
        <f>IFERROR(__xludf.DUMMYFUNCTION("QUERY('Volunteer Survey'!O275)"),"Possibly")</f>
        <v>Possibly</v>
      </c>
      <c r="W267" s="66" t="str">
        <f>IFERROR(__xludf.DUMMYFUNCTION("QUERY('Volunteer Survey'!P275)"),"Cancer")</f>
        <v>Cancer</v>
      </c>
      <c r="X267" s="64" t="str">
        <f>IFERROR(__xludf.DUMMYFUNCTION("QUERY('Volunteer Survey'!R275)"),"Yes- I am willing to volunteer with any available ClinGen group")</f>
        <v>Yes- I am willing to volunteer with any available ClinGen group</v>
      </c>
      <c r="Y267" s="53"/>
      <c r="Z267" s="182">
        <f>IFERROR(__xludf.DUMMYFUNCTION("QUERY('Volunteer Survey'!A266)"),43689.40685208333)</f>
        <v>43689.40685</v>
      </c>
      <c r="AA267" s="183" t="str">
        <f>IFERROR(__xludf.DUMMYFUNCTION("QUERY('Volunteer Survey'!B266)"),"SAILATHA RAVI")</f>
        <v>SAILATHA RAVI</v>
      </c>
      <c r="AB267" s="183" t="str">
        <f>IFERROR(__xludf.DUMMYFUNCTION("QUERY('Volunteer Survey'!C266)"),"Medlish Communications")</f>
        <v>Medlish Communications</v>
      </c>
      <c r="AC267" s="183" t="str">
        <f>IFERROR(__xludf.DUMMYFUNCTION("QUERY('Volunteer Survey'!D266)"),"New no. 7, 5th cross street, Indranagar, Adyar")</f>
        <v>New no. 7, 5th cross street, Indranagar, Adyar</v>
      </c>
      <c r="AD267" s="183" t="str">
        <f>IFERROR(__xludf.DUMMYFUNCTION("QUERY('Volunteer Survey'!E266)"),"sailatha.ravi@gmail.com")</f>
        <v>sailatha.ravi@gmail.com</v>
      </c>
      <c r="AE267" s="183" t="str">
        <f>IFERROR(__xludf.DUMMYFUNCTION("QUERY('Volunteer Survey'!F266)"),"Post Doc/Resident/Fellow (MD and/or PhD)")</f>
        <v>Post Doc/Resident/Fellow (MD and/or PhD)</v>
      </c>
      <c r="AF267" s="183" t="str">
        <f>IFERROR(__xludf.DUMMYFUNCTION("QUERY('Volunteer Survey'!G266)"),"ClinGen affiliated emails and/or newsletters")</f>
        <v>ClinGen affiliated emails and/or newsletters</v>
      </c>
      <c r="AG267" s="183" t="str">
        <f>IFERROR(__xludf.DUMMYFUNCTION("QUERY('Volunteer Survey'!H266)"),"Comprehensive")</f>
        <v>Comprehensive</v>
      </c>
      <c r="AH267" s="183" t="str">
        <f>IFERROR(__xludf.DUMMYFUNCTION("QUERY('Volunteer Survey'!I266)"),"Gene-Disease Validity")</f>
        <v>Gene-Disease Validity</v>
      </c>
      <c r="AI267" s="183" t="str">
        <f>IFERROR(__xludf.DUMMYFUNCTION("QUERY('Volunteer Survey'!J266)"),"Dosage Sensitivity")</f>
        <v>Dosage Sensitivity</v>
      </c>
      <c r="AJ267" s="183" t="str">
        <f>IFERROR(__xludf.DUMMYFUNCTION("QUERY('Volunteer Survey'!K266)"),"Clinical Actionability")</f>
        <v>Clinical Actionability</v>
      </c>
      <c r="AK267" s="183" t="str">
        <f>IFERROR(__xludf.DUMMYFUNCTION("QUERY('Volunteer Survey'!L266)"),"Somatic Cancer")</f>
        <v>Somatic Cancer</v>
      </c>
      <c r="AL267" s="183" t="str">
        <f>IFERROR(__xludf.DUMMYFUNCTION("QUERY('Volunteer Survey'!M266)"),"Variant Pathogenicity")</f>
        <v>Variant Pathogenicity</v>
      </c>
      <c r="AM267" s="183" t="str">
        <f>IFERROR(__xludf.DUMMYFUNCTION("QUERY('Volunteer Survey'!N266)"),"")</f>
        <v/>
      </c>
      <c r="AN267" s="183" t="str">
        <f>IFERROR(__xludf.DUMMYFUNCTION("QUERY('Volunteer Survey'!O266)"),"Yes")</f>
        <v>Yes</v>
      </c>
      <c r="AO267" s="183" t="str">
        <f>IFERROR(__xludf.DUMMYFUNCTION("QUERY('Volunteer Survey'!P266)"),"")</f>
        <v/>
      </c>
    </row>
    <row r="268">
      <c r="A268" s="50">
        <f>IFERROR(__xludf.DUMMYFUNCTION("QUERY('Volunteer Survey'!A276)"),43693.391088738426)</f>
        <v>43693.39109</v>
      </c>
      <c r="B268" s="48" t="s">
        <v>108</v>
      </c>
      <c r="C268" s="79">
        <v>43819.0</v>
      </c>
      <c r="D268" s="55"/>
      <c r="E268" s="55"/>
      <c r="F268" s="48" t="s">
        <v>130</v>
      </c>
      <c r="G268" s="48" t="s">
        <v>122</v>
      </c>
      <c r="H268" s="53"/>
      <c r="I268" s="51" t="s">
        <v>139</v>
      </c>
      <c r="J268" s="55"/>
      <c r="K268" s="55"/>
      <c r="L268" s="55" t="str">
        <f>IFERROR(__xludf.DUMMYFUNCTION("QUERY('Volunteer Survey'!B276)"),"Amanda Clause")</f>
        <v>Amanda Clause</v>
      </c>
      <c r="M268" s="55" t="str">
        <f>IFERROR(__xludf.DUMMYFUNCTION("QUERY('Volunteer Survey'!E276)"),"aclause@illumina.com")</f>
        <v>aclause@illumina.com</v>
      </c>
      <c r="N268" s="55" t="str">
        <f>IFERROR(__xludf.DUMMYFUNCTION("QUERY('Volunteer Survey'!F276)"),"Variant Analyst/Scientist - Industry")</f>
        <v>Variant Analyst/Scientist - Industry</v>
      </c>
      <c r="O268" s="48" t="str">
        <f>IFERROR(__xludf.DUMMYFUNCTION("QUERY('Volunteer Survey'!H276)"),"Comprehensive")</f>
        <v>Comprehensive</v>
      </c>
      <c r="P268" s="55" t="str">
        <f>IFERROR(__xludf.DUMMYFUNCTION("QUERY('Volunteer Survey'!I276)"),"Gene-Disease Validity")</f>
        <v>Gene-Disease Validity</v>
      </c>
      <c r="Q268" s="60" t="str">
        <f>IFERROR(__xludf.DUMMYFUNCTION("QUERY('Volunteer Survey'!J276)"),"")</f>
        <v/>
      </c>
      <c r="R268" s="55" t="str">
        <f>IFERROR(__xludf.DUMMYFUNCTION("QUERY('Volunteer Survey'!K276)"),"")</f>
        <v/>
      </c>
      <c r="S268" s="55" t="str">
        <f>IFERROR(__xludf.DUMMYFUNCTION("QUERY('Volunteer Survey'!L276)"),"")</f>
        <v/>
      </c>
      <c r="T268" s="55" t="str">
        <f>IFERROR(__xludf.DUMMYFUNCTION("QUERY('Volunteer Survey'!M276)"),"")</f>
        <v/>
      </c>
      <c r="U268" s="64" t="str">
        <f>IFERROR(__xludf.DUMMYFUNCTION("QUERY('Volunteer Survey'!N276)"),"Yes; currently curate variants and GDAs for a clinical whole genome sequencing test")</f>
        <v>Yes; currently curate variants and GDAs for a clinical whole genome sequencing test</v>
      </c>
      <c r="V268" s="55" t="str">
        <f>IFERROR(__xludf.DUMMYFUNCTION("QUERY('Volunteer Survey'!O276)"),"No")</f>
        <v>No</v>
      </c>
      <c r="W268" s="66" t="str">
        <f>IFERROR(__xludf.DUMMYFUNCTION("QUERY('Volunteer Survey'!P276)"),"mitochondrial diseases, rare disease")</f>
        <v>mitochondrial diseases, rare disease</v>
      </c>
      <c r="X268" s="64" t="str">
        <f>IFERROR(__xludf.DUMMYFUNCTION("QUERY('Volunteer Survey'!R276)"),"Maybe -- please contact me with other options, and I will decide based on what is available")</f>
        <v>Maybe -- please contact me with other options, and I will decide based on what is available</v>
      </c>
      <c r="Y268" s="53"/>
      <c r="Z268" s="182">
        <f>IFERROR(__xludf.DUMMYFUNCTION("QUERY('Volunteer Survey'!A267)"),43690.258437881945)</f>
        <v>43690.25844</v>
      </c>
      <c r="AA268" s="183" t="str">
        <f>IFERROR(__xludf.DUMMYFUNCTION("QUERY('Volunteer Survey'!B267)"),"Pamela Ajuyah")</f>
        <v>Pamela Ajuyah</v>
      </c>
      <c r="AB268" s="183" t="str">
        <f>IFERROR(__xludf.DUMMYFUNCTION("QUERY('Volunteer Survey'!C267)"),"GenomeOne")</f>
        <v>GenomeOne</v>
      </c>
      <c r="AC268" s="183" t="str">
        <f>IFERROR(__xludf.DUMMYFUNCTION("QUERY('Volunteer Survey'!D267)"),"")</f>
        <v/>
      </c>
      <c r="AD268" s="183" t="str">
        <f>IFERROR(__xludf.DUMMYFUNCTION("QUERY('Volunteer Survey'!E267)"),"pamela.a.ajuyah@gmail.com")</f>
        <v>pamela.a.ajuyah@gmail.com</v>
      </c>
      <c r="AE268" s="183" t="str">
        <f>IFERROR(__xludf.DUMMYFUNCTION("QUERY('Volunteer Survey'!F267)"),"Variant Analyst/Scientist - Industry")</f>
        <v>Variant Analyst/Scientist - Industry</v>
      </c>
      <c r="AF268" s="183" t="str">
        <f>IFERROR(__xludf.DUMMYFUNCTION("QUERY('Volunteer Survey'!G267)"),"Suggestion from mentor")</f>
        <v>Suggestion from mentor</v>
      </c>
      <c r="AG268" s="183" t="str">
        <f>IFERROR(__xludf.DUMMYFUNCTION("QUERY('Volunteer Survey'!H267)"),"Comprehensive")</f>
        <v>Comprehensive</v>
      </c>
      <c r="AH268" s="183" t="str">
        <f>IFERROR(__xludf.DUMMYFUNCTION("QUERY('Volunteer Survey'!I267)"),"Variant Pathogenicity")</f>
        <v>Variant Pathogenicity</v>
      </c>
      <c r="AI268" s="183" t="str">
        <f>IFERROR(__xludf.DUMMYFUNCTION("QUERY('Volunteer Survey'!J267)"),"Gene-Disease Validity")</f>
        <v>Gene-Disease Validity</v>
      </c>
      <c r="AJ268" s="183" t="str">
        <f>IFERROR(__xludf.DUMMYFUNCTION("QUERY('Volunteer Survey'!K267)"),"Clinical Actionability")</f>
        <v>Clinical Actionability</v>
      </c>
      <c r="AK268" s="183" t="str">
        <f>IFERROR(__xludf.DUMMYFUNCTION("QUERY('Volunteer Survey'!L267)"),"Somatic Cancer")</f>
        <v>Somatic Cancer</v>
      </c>
      <c r="AL268" s="183" t="str">
        <f>IFERROR(__xludf.DUMMYFUNCTION("QUERY('Volunteer Survey'!M267)"),"Dosage Sensitivity")</f>
        <v>Dosage Sensitivity</v>
      </c>
      <c r="AM268" s="183" t="str">
        <f>IFERROR(__xludf.DUMMYFUNCTION("QUERY('Volunteer Survey'!N267)"),"")</f>
        <v/>
      </c>
      <c r="AN268" s="183" t="str">
        <f>IFERROR(__xludf.DUMMYFUNCTION("QUERY('Volunteer Survey'!O267)"),"No")</f>
        <v>No</v>
      </c>
      <c r="AO268" s="183" t="str">
        <f>IFERROR(__xludf.DUMMYFUNCTION("QUERY('Volunteer Survey'!P267)"),"")</f>
        <v/>
      </c>
    </row>
    <row r="269" ht="18.0" customHeight="1">
      <c r="A269" s="50">
        <f>IFERROR(__xludf.DUMMYFUNCTION("QUERY('Volunteer Survey'!A277)"),43693.457710972216)</f>
        <v>43693.45771</v>
      </c>
      <c r="B269" s="48" t="s">
        <v>108</v>
      </c>
      <c r="C269" s="79">
        <v>43819.0</v>
      </c>
      <c r="D269" s="55"/>
      <c r="E269" s="55"/>
      <c r="F269" s="48" t="s">
        <v>130</v>
      </c>
      <c r="G269" s="48" t="s">
        <v>251</v>
      </c>
      <c r="H269" s="53"/>
      <c r="I269" s="51" t="s">
        <v>139</v>
      </c>
      <c r="J269" s="55"/>
      <c r="K269" s="55"/>
      <c r="L269" s="55" t="str">
        <f>IFERROR(__xludf.DUMMYFUNCTION("QUERY('Volunteer Survey'!B277)"),"Sara Spencer")</f>
        <v>Sara Spencer</v>
      </c>
      <c r="M269" s="55" t="str">
        <f>IFERROR(__xludf.DUMMYFUNCTION("QUERY('Volunteer Survey'!E277)"),"saspence@nm.org")</f>
        <v>saspence@nm.org</v>
      </c>
      <c r="N269" s="55" t="str">
        <f>IFERROR(__xludf.DUMMYFUNCTION("QUERY('Volunteer Survey'!F277)"),"Genetic counselor")</f>
        <v>Genetic counselor</v>
      </c>
      <c r="O269" s="48" t="str">
        <f>IFERROR(__xludf.DUMMYFUNCTION("QUERY('Volunteer Survey'!H277)"),"Comprehensive")</f>
        <v>Comprehensive</v>
      </c>
      <c r="P269" s="55" t="str">
        <f>IFERROR(__xludf.DUMMYFUNCTION("QUERY('Volunteer Survey'!I277)"),"Variant Pathogenicity")</f>
        <v>Variant Pathogenicity</v>
      </c>
      <c r="Q269" s="60" t="str">
        <f>IFERROR(__xludf.DUMMYFUNCTION("QUERY('Volunteer Survey'!J277)"),"Gene-Disease Validity")</f>
        <v>Gene-Disease Validity</v>
      </c>
      <c r="R269" s="55" t="str">
        <f>IFERROR(__xludf.DUMMYFUNCTION("QUERY('Volunteer Survey'!K277)"),"Dosage Sensitivity")</f>
        <v>Dosage Sensitivity</v>
      </c>
      <c r="S269" s="55" t="str">
        <f>IFERROR(__xludf.DUMMYFUNCTION("QUERY('Volunteer Survey'!L277)"),"")</f>
        <v/>
      </c>
      <c r="T269" s="55" t="str">
        <f>IFERROR(__xludf.DUMMYFUNCTION("QUERY('Volunteer Survey'!M277)"),"")</f>
        <v/>
      </c>
      <c r="U269" s="164" t="str">
        <f>IFERROR(__xludf.DUMMYFUNCTION("QUERY('Volunteer Survey'!N277)"),"As a clinician, I have been reviewing variant classifications provided by labs for 13 years. In addition, I have personal experience receiving a VOUS. This result motivated me to learn more about the variant classification process through shadowing my col"&amp;"leagues in the lab as well as taking the NSGC Variant Interpretation in the Era of WES/WGS Online Course. I am also currently watching the 2019 BROAD Institute - Interpreting Genomes for Rare Disease: Variant and Gene Interpretation lectures.
")</f>
        <v>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v>
      </c>
      <c r="V269" s="55" t="str">
        <f>IFERROR(__xludf.DUMMYFUNCTION("QUERY('Volunteer Survey'!O277)"),"Possibly")</f>
        <v>Possibly</v>
      </c>
      <c r="W269" s="66" t="str">
        <f>IFERROR(__xludf.DUMMYFUNCTION("QUERY('Volunteer Survey'!P277)"),"Gene Curation Expert Panels - Epilepsy 
Variant Curation Expert Panels - Brain Malformations")</f>
        <v>Gene Curation Expert Panels - Epilepsy 
Variant Curation Expert Panels - Brain Malformations</v>
      </c>
      <c r="X269" s="64" t="str">
        <f>IFERROR(__xludf.DUMMYFUNCTION("QUERY('Volunteer Survey'!R277)"),"Yes- I am willing to volunteer with any available ClinGen group")</f>
        <v>Yes- I am willing to volunteer with any available ClinGen group</v>
      </c>
      <c r="Y269" s="53"/>
      <c r="Z269" s="182">
        <f>IFERROR(__xludf.DUMMYFUNCTION("QUERY('Volunteer Survey'!A268)"),43691.59204373843)</f>
        <v>43691.59204</v>
      </c>
      <c r="AA269" s="183" t="str">
        <f>IFERROR(__xludf.DUMMYFUNCTION("QUERY('Volunteer Survey'!B268)"),"Yasser Sullcahuaman Allende")</f>
        <v>Yasser Sullcahuaman Allende</v>
      </c>
      <c r="AB269" s="183" t="str">
        <f>IFERROR(__xludf.DUMMYFUNCTION("QUERY('Volunteer Survey'!C268)"),"IGENOMICA")</f>
        <v>IGENOMICA</v>
      </c>
      <c r="AC269" s="183" t="str">
        <f>IFERROR(__xludf.DUMMYFUNCTION("QUERY('Volunteer Survey'!D268)"),"F 53  Urb. Juan XXIII, San Borja
lima peru")</f>
        <v>F 53  Urb. Juan XXIII, San Borja
lima peru</v>
      </c>
      <c r="AD269" s="183" t="str">
        <f>IFERROR(__xludf.DUMMYFUNCTION("QUERY('Volunteer Survey'!E268)"),"ysullcahuaman@hotmail.com")</f>
        <v>ysullcahuaman@hotmail.com</v>
      </c>
      <c r="AE269" s="183" t="str">
        <f>IFERROR(__xludf.DUMMYFUNCTION("QUERY('Volunteer Survey'!F268)"),"Clinical Medical Geneticist")</f>
        <v>Clinical Medical Geneticist</v>
      </c>
      <c r="AF269" s="183" t="str">
        <f>IFERROR(__xludf.DUMMYFUNCTION("QUERY('Volunteer Survey'!G268)"),"The clinicalgenome.org website")</f>
        <v>The clinicalgenome.org website</v>
      </c>
      <c r="AG269" s="183" t="str">
        <f>IFERROR(__xludf.DUMMYFUNCTION("QUERY('Volunteer Survey'!H268)"),"Comprehensive")</f>
        <v>Comprehensive</v>
      </c>
      <c r="AH269" s="183" t="str">
        <f>IFERROR(__xludf.DUMMYFUNCTION("QUERY('Volunteer Survey'!I268)"),"Gene-Disease Validity")</f>
        <v>Gene-Disease Validity</v>
      </c>
      <c r="AI269" s="183" t="str">
        <f>IFERROR(__xludf.DUMMYFUNCTION("QUERY('Volunteer Survey'!J268)"),"Variant Pathogenicity")</f>
        <v>Variant Pathogenicity</v>
      </c>
      <c r="AJ269" s="183" t="str">
        <f>IFERROR(__xludf.DUMMYFUNCTION("QUERY('Volunteer Survey'!K268)"),"Clinical Actionability")</f>
        <v>Clinical Actionability</v>
      </c>
      <c r="AK269" s="183" t="str">
        <f>IFERROR(__xludf.DUMMYFUNCTION("QUERY('Volunteer Survey'!L268)"),"Somatic Cancer")</f>
        <v>Somatic Cancer</v>
      </c>
      <c r="AL269" s="183" t="str">
        <f>IFERROR(__xludf.DUMMYFUNCTION("QUERY('Volunteer Survey'!M268)"),"Dosage Sensitivity")</f>
        <v>Dosage Sensitivity</v>
      </c>
      <c r="AM269" s="183" t="str">
        <f>IFERROR(__xludf.DUMMYFUNCTION("QUERY('Volunteer Survey'!N268)"),"Yasser")</f>
        <v>Yasser</v>
      </c>
      <c r="AN269" s="183" t="str">
        <f>IFERROR(__xludf.DUMMYFUNCTION("QUERY('Volunteer Survey'!O268)"),"Yes")</f>
        <v>Yes</v>
      </c>
      <c r="AO269" s="183" t="str">
        <f>IFERROR(__xludf.DUMMYFUNCTION("QUERY('Volunteer Survey'!P268)"),"Hereditary cancer")</f>
        <v>Hereditary cancer</v>
      </c>
    </row>
    <row r="270">
      <c r="A270" s="50">
        <f>IFERROR(__xludf.DUMMYFUNCTION("QUERY('Volunteer Survey'!A278)"),43693.47499200231)</f>
        <v>43693.47499</v>
      </c>
      <c r="B270" s="48" t="s">
        <v>322</v>
      </c>
      <c r="C270" s="53"/>
      <c r="D270" s="55"/>
      <c r="E270" s="55"/>
      <c r="F270" s="48" t="s">
        <v>130</v>
      </c>
      <c r="G270" s="48" t="s">
        <v>163</v>
      </c>
      <c r="H270" s="53"/>
      <c r="I270" s="51" t="s">
        <v>139</v>
      </c>
      <c r="J270" s="55"/>
      <c r="K270" s="55"/>
      <c r="L270" s="55" t="str">
        <f>IFERROR(__xludf.DUMMYFUNCTION("QUERY('Volunteer Survey'!B278)"),"Niroshi Senaratne")</f>
        <v>Niroshi Senaratne</v>
      </c>
      <c r="M270" s="55" t="str">
        <f>IFERROR(__xludf.DUMMYFUNCTION("QUERY('Volunteer Survey'!E278)"),"niroshi.senaratne@gmail.com")</f>
        <v>niroshi.senaratne@gmail.com</v>
      </c>
      <c r="N270" s="55" t="str">
        <f>IFERROR(__xludf.DUMMYFUNCTION("QUERY('Volunteer Survey'!F278)"),"Clinical laboratory geneticist")</f>
        <v>Clinical laboratory geneticist</v>
      </c>
      <c r="O270" s="48" t="str">
        <f>IFERROR(__xludf.DUMMYFUNCTION("QUERY('Volunteer Survey'!H278)"),"Comprehensive")</f>
        <v>Comprehensive</v>
      </c>
      <c r="P270" s="55" t="str">
        <f>IFERROR(__xludf.DUMMYFUNCTION("QUERY('Volunteer Survey'!I278)"),"Dosage Sensitivity")</f>
        <v>Dosage Sensitivity</v>
      </c>
      <c r="Q270" s="60" t="str">
        <f>IFERROR(__xludf.DUMMYFUNCTION("QUERY('Volunteer Survey'!J278)"),"")</f>
        <v/>
      </c>
      <c r="R270" s="55" t="str">
        <f>IFERROR(__xludf.DUMMYFUNCTION("QUERY('Volunteer Survey'!K278)"),"")</f>
        <v/>
      </c>
      <c r="S270" s="55" t="str">
        <f>IFERROR(__xludf.DUMMYFUNCTION("QUERY('Volunteer Survey'!L278)"),"")</f>
        <v/>
      </c>
      <c r="T270" s="55" t="str">
        <f>IFERROR(__xludf.DUMMYFUNCTION("QUERY('Volunteer Survey'!M278)"),"")</f>
        <v/>
      </c>
      <c r="U270" s="64" t="str">
        <f>IFERROR(__xludf.DUMMYFUNCTION("QUERY('Volunteer Survey'!N278)"),"Yes, having worked on constitutional chromosomal microarrays during my fellowship (referred for a variety of indications including autism and other neurodevelopmental disorders) I have often had to research novel CNVs for evidence of dosage pathogenicity.")</f>
        <v>Yes, having worked on constitutional chromosomal microarrays during my fellowship (referred for a variety of indications including autism and other neurodevelopmental disorders) I have often had to research novel CNVs for evidence of dosage pathogenicity.</v>
      </c>
      <c r="V270" s="55" t="str">
        <f>IFERROR(__xludf.DUMMYFUNCTION("QUERY('Volunteer Survey'!O278)"),"Possibly")</f>
        <v>Possibly</v>
      </c>
      <c r="W270" s="66" t="str">
        <f>IFERROR(__xludf.DUMMYFUNCTION("QUERY('Volunteer Survey'!P278)"),"Dosage sensitivity (neurodevelopmental genes subgroup)")</f>
        <v>Dosage sensitivity (neurodevelopmental genes subgroup)</v>
      </c>
      <c r="X270" s="64" t="str">
        <f>IFERROR(__xludf.DUMMYFUNCTION("QUERY('Volunteer Survey'!R278)"),"Yes- I am willing to volunteer with any available ClinGen group")</f>
        <v>Yes- I am willing to volunteer with any available ClinGen group</v>
      </c>
      <c r="Y270" s="53"/>
      <c r="Z270" s="182">
        <f>IFERROR(__xludf.DUMMYFUNCTION("QUERY('Volunteer Survey'!A269)"),43691.699543414354)</f>
        <v>43691.69954</v>
      </c>
      <c r="AA270" s="183" t="str">
        <f>IFERROR(__xludf.DUMMYFUNCTION("QUERY('Volunteer Survey'!B269)"),"Ellie Jhun")</f>
        <v>Ellie Jhun</v>
      </c>
      <c r="AB270" s="183" t="str">
        <f>IFERROR(__xludf.DUMMYFUNCTION("QUERY('Volunteer Survey'!C269)"),"Base10 Genetics")</f>
        <v>Base10 Genetics</v>
      </c>
      <c r="AC270" s="183" t="str">
        <f>IFERROR(__xludf.DUMMYFUNCTION("QUERY('Volunteer Survey'!D269)"),"")</f>
        <v/>
      </c>
      <c r="AD270" s="183" t="str">
        <f>IFERROR(__xludf.DUMMYFUNCTION("QUERY('Volunteer Survey'!E269)"),"ejhun@base10genetics.com")</f>
        <v>ejhun@base10genetics.com</v>
      </c>
      <c r="AE270" s="183" t="str">
        <f>IFERROR(__xludf.DUMMYFUNCTION("QUERY('Volunteer Survey'!F269)"),"Variant Analyst/Scientist - Industry")</f>
        <v>Variant Analyst/Scientist - Industry</v>
      </c>
      <c r="AF270" s="183" t="str">
        <f>IFERROR(__xludf.DUMMYFUNCTION("QUERY('Volunteer Survey'!G269)"),"Colleagues")</f>
        <v>Colleagues</v>
      </c>
      <c r="AG270" s="183" t="str">
        <f>IFERROR(__xludf.DUMMYFUNCTION("QUERY('Volunteer Survey'!H269)"),"Comprehensive")</f>
        <v>Comprehensive</v>
      </c>
      <c r="AH270" s="183" t="str">
        <f>IFERROR(__xludf.DUMMYFUNCTION("QUERY('Volunteer Survey'!I269)"),"Clinical Actionability")</f>
        <v>Clinical Actionability</v>
      </c>
      <c r="AI270" s="183" t="str">
        <f>IFERROR(__xludf.DUMMYFUNCTION("QUERY('Volunteer Survey'!J269)"),"")</f>
        <v/>
      </c>
      <c r="AJ270" s="183" t="str">
        <f>IFERROR(__xludf.DUMMYFUNCTION("QUERY('Volunteer Survey'!K269)"),"")</f>
        <v/>
      </c>
      <c r="AK270" s="183" t="str">
        <f>IFERROR(__xludf.DUMMYFUNCTION("QUERY('Volunteer Survey'!L269)"),"")</f>
        <v/>
      </c>
      <c r="AL270" s="183" t="str">
        <f>IFERROR(__xludf.DUMMYFUNCTION("QUERY('Volunteer Survey'!M269)"),"")</f>
        <v/>
      </c>
      <c r="AM270" s="183" t="str">
        <f>IFERROR(__xludf.DUMMYFUNCTION("QUERY('Volunteer Survey'!N269)"),"Pharmacogenomics fellowship program at the University of Chicago")</f>
        <v>Pharmacogenomics fellowship program at the University of Chicago</v>
      </c>
      <c r="AN270" s="183" t="str">
        <f>IFERROR(__xludf.DUMMYFUNCTION("QUERY('Volunteer Survey'!O269)"),"No")</f>
        <v>No</v>
      </c>
      <c r="AO270" s="183" t="str">
        <f>IFERROR(__xludf.DUMMYFUNCTION("QUERY('Volunteer Survey'!P269)"),"")</f>
        <v/>
      </c>
    </row>
    <row r="271">
      <c r="A271" s="50">
        <f>IFERROR(__xludf.DUMMYFUNCTION("QUERY('Volunteer Survey'!A280)"),43693.871890752314)</f>
        <v>43693.87189</v>
      </c>
      <c r="B271" s="48" t="s">
        <v>108</v>
      </c>
      <c r="C271" s="79">
        <v>43819.0</v>
      </c>
      <c r="D271" s="55"/>
      <c r="E271" s="55"/>
      <c r="F271" s="48" t="s">
        <v>130</v>
      </c>
      <c r="G271" s="48" t="s">
        <v>251</v>
      </c>
      <c r="H271" s="53"/>
      <c r="I271" s="51" t="s">
        <v>139</v>
      </c>
      <c r="J271" s="55"/>
      <c r="K271" s="55"/>
      <c r="L271" s="55" t="str">
        <f>IFERROR(__xludf.DUMMYFUNCTION("QUERY('Volunteer Survey'!B280)"),"Madhu Ouseph")</f>
        <v>Madhu Ouseph</v>
      </c>
      <c r="M271" s="55" t="str">
        <f>IFERROR(__xludf.DUMMYFUNCTION("QUERY('Volunteer Survey'!E280)"),"mouseph@stanford.edu")</f>
        <v>mouseph@stanford.edu</v>
      </c>
      <c r="N271" s="55" t="str">
        <f>IFERROR(__xludf.DUMMYFUNCTION("QUERY('Volunteer Survey'!F280)"),"Post Doc/Resident/Fellow (MD and/or PhD)")</f>
        <v>Post Doc/Resident/Fellow (MD and/or PhD)</v>
      </c>
      <c r="O271" s="48" t="str">
        <f>IFERROR(__xludf.DUMMYFUNCTION("QUERY('Volunteer Survey'!H280)"),"Comprehensive")</f>
        <v>Comprehensive</v>
      </c>
      <c r="P271" s="55" t="str">
        <f>IFERROR(__xludf.DUMMYFUNCTION("QUERY('Volunteer Survey'!I280)"),"Variant Pathogenicity")</f>
        <v>Variant Pathogenicity</v>
      </c>
      <c r="Q271" s="60" t="str">
        <f>IFERROR(__xludf.DUMMYFUNCTION("QUERY('Volunteer Survey'!J280)"),"Somatic Cancer")</f>
        <v>Somatic Cancer</v>
      </c>
      <c r="R271" s="55" t="str">
        <f>IFERROR(__xludf.DUMMYFUNCTION("QUERY('Volunteer Survey'!K280)"),"Clinical Actionability")</f>
        <v>Clinical Actionability</v>
      </c>
      <c r="S271" s="55" t="str">
        <f>IFERROR(__xludf.DUMMYFUNCTION("QUERY('Volunteer Survey'!L280)"),"Dosage Sensitivity")</f>
        <v>Dosage Sensitivity</v>
      </c>
      <c r="T271" s="55" t="str">
        <f>IFERROR(__xludf.DUMMYFUNCTION("QUERY('Volunteer Survey'!M280)"),"Gene-Disease Validity")</f>
        <v>Gene-Disease Validity</v>
      </c>
      <c r="U271" s="64" t="str">
        <f>IFERROR(__xludf.DUMMYFUNCTION("QUERY('Volunteer Survey'!N280)"),"Currently involved in annotation of variants identified in NGS assays")</f>
        <v>Currently involved in annotation of variants identified in NGS assays</v>
      </c>
      <c r="V271" s="55" t="str">
        <f>IFERROR(__xludf.DUMMYFUNCTION("QUERY('Volunteer Survey'!O280)"),"Possibly")</f>
        <v>Possibly</v>
      </c>
      <c r="W271" s="66" t="str">
        <f>IFERROR(__xludf.DUMMYFUNCTION("QUERY('Volunteer Survey'!P280)"),"Myeloid Malignancy")</f>
        <v>Myeloid Malignancy</v>
      </c>
      <c r="X271" s="64" t="str">
        <f>IFERROR(__xludf.DUMMYFUNCTION("QUERY('Volunteer Survey'!R280)"),"Maybe -- please contact me with other options, and I will decide based on what is available")</f>
        <v>Maybe -- please contact me with other options, and I will decide based on what is available</v>
      </c>
      <c r="Y271" s="53"/>
      <c r="Z271" s="182">
        <f>IFERROR(__xludf.DUMMYFUNCTION("QUERY('Volunteer Survey'!A270)"),43691.85581674768)</f>
        <v>43691.85582</v>
      </c>
      <c r="AA271" s="183" t="str">
        <f>IFERROR(__xludf.DUMMYFUNCTION("QUERY('Volunteer Survey'!B270)"),"Venkatesan Sengoda Gounder")</f>
        <v>Venkatesan Sengoda Gounder</v>
      </c>
      <c r="AB271" s="183" t="str">
        <f>IFERROR(__xludf.DUMMYFUNCTION("QUERY('Volunteer Survey'!C270)"),"USDA-ARS")</f>
        <v>USDA-ARS</v>
      </c>
      <c r="AC271" s="183" t="str">
        <f>IFERROR(__xludf.DUMMYFUNCTION("QUERY('Volunteer Survey'!D270)"),"3 Bannock Glen Pl, Sacramento CA 95835")</f>
        <v>3 Bannock Glen Pl, Sacramento CA 95835</v>
      </c>
      <c r="AD271" s="183" t="str">
        <f>IFERROR(__xludf.DUMMYFUNCTION("QUERY('Volunteer Survey'!E270)"),"agrivenkat@gmail.com")</f>
        <v>agrivenkat@gmail.com</v>
      </c>
      <c r="AE271" s="183" t="str">
        <f>IFERROR(__xludf.DUMMYFUNCTION("QUERY('Volunteer Survey'!F270)"),"Scientific Researcher")</f>
        <v>Scientific Researcher</v>
      </c>
      <c r="AF271" s="183" t="str">
        <f>IFERROR(__xludf.DUMMYFUNCTION("QUERY('Volunteer Survey'!G270)"),"Colleagues")</f>
        <v>Colleagues</v>
      </c>
      <c r="AG271" s="183" t="str">
        <f>IFERROR(__xludf.DUMMYFUNCTION("QUERY('Volunteer Survey'!H270)"),"Comprehensive")</f>
        <v>Comprehensive</v>
      </c>
      <c r="AH271" s="183" t="str">
        <f>IFERROR(__xludf.DUMMYFUNCTION("QUERY('Volunteer Survey'!I270)"),"Variant Pathogenicity")</f>
        <v>Variant Pathogenicity</v>
      </c>
      <c r="AI271" s="183" t="str">
        <f>IFERROR(__xludf.DUMMYFUNCTION("QUERY('Volunteer Survey'!J270)"),"Dosage Sensitivity")</f>
        <v>Dosage Sensitivity</v>
      </c>
      <c r="AJ271" s="183" t="str">
        <f>IFERROR(__xludf.DUMMYFUNCTION("QUERY('Volunteer Survey'!K270)"),"Gene-Disease Validity")</f>
        <v>Gene-Disease Validity</v>
      </c>
      <c r="AK271" s="183" t="str">
        <f>IFERROR(__xludf.DUMMYFUNCTION("QUERY('Volunteer Survey'!L270)"),"Clinical Actionability")</f>
        <v>Clinical Actionability</v>
      </c>
      <c r="AL271" s="183" t="str">
        <f>IFERROR(__xludf.DUMMYFUNCTION("QUERY('Volunteer Survey'!M270)"),"Somatic Cancer")</f>
        <v>Somatic Cancer</v>
      </c>
      <c r="AM271" s="183" t="str">
        <f>IFERROR(__xludf.DUMMYFUNCTION("QUERY('Volunteer Survey'!N270)"),"No")</f>
        <v>No</v>
      </c>
      <c r="AN271" s="183" t="str">
        <f>IFERROR(__xludf.DUMMYFUNCTION("QUERY('Volunteer Survey'!O270)"),"Yes")</f>
        <v>Yes</v>
      </c>
      <c r="AO271" s="183" t="str">
        <f>IFERROR(__xludf.DUMMYFUNCTION("QUERY('Volunteer Survey'!P270)"),"Yes")</f>
        <v>Yes</v>
      </c>
    </row>
    <row r="272">
      <c r="A272" s="50">
        <f>IFERROR(__xludf.DUMMYFUNCTION("QUERY('Volunteer Survey'!A281)"),43695.721074687506)</f>
        <v>43695.72107</v>
      </c>
      <c r="B272" s="48" t="s">
        <v>108</v>
      </c>
      <c r="C272" s="79">
        <v>43819.0</v>
      </c>
      <c r="D272" s="55"/>
      <c r="E272" s="55"/>
      <c r="F272" s="48" t="s">
        <v>130</v>
      </c>
      <c r="G272" s="48" t="s">
        <v>251</v>
      </c>
      <c r="H272" s="53"/>
      <c r="I272" s="51" t="s">
        <v>139</v>
      </c>
      <c r="J272" s="55"/>
      <c r="K272" s="55"/>
      <c r="L272" s="55" t="str">
        <f>IFERROR(__xludf.DUMMYFUNCTION("QUERY('Volunteer Survey'!B281)"),"Janey Youngblom")</f>
        <v>Janey Youngblom</v>
      </c>
      <c r="M272" s="55" t="str">
        <f>IFERROR(__xludf.DUMMYFUNCTION("QUERY('Volunteer Survey'!E281)"),"jyoungblom1@csustan.edu")</f>
        <v>jyoungblom1@csustan.edu</v>
      </c>
      <c r="N272" s="55" t="str">
        <f>IFERROR(__xludf.DUMMYFUNCTION("QUERY('Volunteer Survey'!F281)"),"Scientific Researcher")</f>
        <v>Scientific Researcher</v>
      </c>
      <c r="O272" s="48" t="str">
        <f>IFERROR(__xludf.DUMMYFUNCTION("QUERY('Volunteer Survey'!H281)"),"Comprehensive")</f>
        <v>Comprehensive</v>
      </c>
      <c r="P272" s="55" t="str">
        <f>IFERROR(__xludf.DUMMYFUNCTION("QUERY('Volunteer Survey'!I281)"),"Variant Pathogenicity")</f>
        <v>Variant Pathogenicity</v>
      </c>
      <c r="Q272" s="60" t="str">
        <f>IFERROR(__xludf.DUMMYFUNCTION("QUERY('Volunteer Survey'!J281)"),"Gene-Disease Validity")</f>
        <v>Gene-Disease Validity</v>
      </c>
      <c r="R272" s="55" t="str">
        <f>IFERROR(__xludf.DUMMYFUNCTION("QUERY('Volunteer Survey'!K281)"),"Clinical Actionability")</f>
        <v>Clinical Actionability</v>
      </c>
      <c r="S272" s="55" t="str">
        <f>IFERROR(__xludf.DUMMYFUNCTION("QUERY('Volunteer Survey'!L281)"),"Dosage Sensitivity")</f>
        <v>Dosage Sensitivity</v>
      </c>
      <c r="T272" s="55" t="str">
        <f>IFERROR(__xludf.DUMMYFUNCTION("QUERY('Volunteer Survey'!M281)"),"Somatic Cancer")</f>
        <v>Somatic Cancer</v>
      </c>
      <c r="U272" s="64" t="str">
        <f>IFERROR(__xludf.DUMMYFUNCTION("QUERY('Volunteer Survey'!N281)"),"As the Associate Director of a Genetic Counseling Program, I have helped organize and participate in Variant Curation Workshops for training genetic counselors in the variant curation process.  I have also organized a workshop for training university scie"&amp;"nce faculty in the variant curation process so they can start integrating this training module into their undergraduate coursework as a CURES (course-based undergraduate research experience) component. ")</f>
        <v>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v>
      </c>
      <c r="V272" s="55" t="str">
        <f>IFERROR(__xludf.DUMMYFUNCTION("QUERY('Volunteer Survey'!O281)"),"Possibly")</f>
        <v>Possibly</v>
      </c>
      <c r="W272" s="66" t="str">
        <f>IFERROR(__xludf.DUMMYFUNCTION("QUERY('Volunteer Survey'!P281)"),"Familial Hypercholesterolemia")</f>
        <v>Familial Hypercholesterolemia</v>
      </c>
      <c r="X272" s="64" t="str">
        <f>IFERROR(__xludf.DUMMYFUNCTION("QUERY('Volunteer Survey'!R281)"),"Yes- I am willing to volunteer with any available ClinGen group")</f>
        <v>Yes- I am willing to volunteer with any available ClinGen group</v>
      </c>
      <c r="Y272" s="53"/>
      <c r="Z272" s="182">
        <f>IFERROR(__xludf.DUMMYFUNCTION("QUERY('Volunteer Survey'!A271)"),43692.43983260416)</f>
        <v>43692.43983</v>
      </c>
      <c r="AA272" s="183" t="str">
        <f>IFERROR(__xludf.DUMMYFUNCTION("QUERY('Volunteer Survey'!B271)"),"Ronaldo da Silva Francisco Junior")</f>
        <v>Ronaldo da Silva Francisco Junior</v>
      </c>
      <c r="AB272" s="183" t="str">
        <f>IFERROR(__xludf.DUMMYFUNCTION("QUERY('Volunteer Survey'!C271)"),"Bioinformatics Laboratory-LABINFO - National Laboratory of Scientific Computation LNCC/MCTIC")</f>
        <v>Bioinformatics Laboratory-LABINFO - National Laboratory of Scientific Computation LNCC/MCTIC</v>
      </c>
      <c r="AC272" s="183" t="str">
        <f>IFERROR(__xludf.DUMMYFUNCTION("QUERY('Volunteer Survey'!D271)"),"Av. Getulio Vargas, 333, Quitandinha CEP: 25651-075 - Petrópolis - Rio de Janeiro - Brazil")</f>
        <v>Av. Getulio Vargas, 333, Quitandinha CEP: 25651-075 - Petrópolis - Rio de Janeiro - Brazil</v>
      </c>
      <c r="AD272" s="183" t="str">
        <f>IFERROR(__xludf.DUMMYFUNCTION("QUERY('Volunteer Survey'!E271)"),"ronaldoj@lncc.br")</f>
        <v>ronaldoj@lncc.br</v>
      </c>
      <c r="AE272" s="183" t="str">
        <f>IFERROR(__xludf.DUMMYFUNCTION("QUERY('Volunteer Survey'!F271)"),"Variant Analyst/Scientist - Academic")</f>
        <v>Variant Analyst/Scientist - Academic</v>
      </c>
      <c r="AF272" s="183" t="str">
        <f>IFERROR(__xludf.DUMMYFUNCTION("QUERY('Volunteer Survey'!G271)"),"Youtube")</f>
        <v>Youtube</v>
      </c>
      <c r="AG272" s="183" t="str">
        <f>IFERROR(__xludf.DUMMYFUNCTION("QUERY('Volunteer Survey'!H271)"),"Comprehensive")</f>
        <v>Comprehensive</v>
      </c>
      <c r="AH272" s="183" t="str">
        <f>IFERROR(__xludf.DUMMYFUNCTION("QUERY('Volunteer Survey'!I271)"),"Variant Pathogenicity")</f>
        <v>Variant Pathogenicity</v>
      </c>
      <c r="AI272" s="183" t="str">
        <f>IFERROR(__xludf.DUMMYFUNCTION("QUERY('Volunteer Survey'!J271)"),"Dosage Sensitivity")</f>
        <v>Dosage Sensitivity</v>
      </c>
      <c r="AJ272" s="183" t="str">
        <f>IFERROR(__xludf.DUMMYFUNCTION("QUERY('Volunteer Survey'!K271)"),"Clinical Actionability")</f>
        <v>Clinical Actionability</v>
      </c>
      <c r="AK272" s="183" t="str">
        <f>IFERROR(__xludf.DUMMYFUNCTION("QUERY('Volunteer Survey'!L271)"),"Gene-Disease Validity")</f>
        <v>Gene-Disease Validity</v>
      </c>
      <c r="AL272" s="183" t="str">
        <f>IFERROR(__xludf.DUMMYFUNCTION("QUERY('Volunteer Survey'!M271)"),"Somatic Cancer")</f>
        <v>Somatic Cancer</v>
      </c>
      <c r="AM272" s="183" t="str">
        <f>IFERROR(__xludf.DUMMYFUNCTION("QUERY('Volunteer Survey'!N271)"),"Yes. I am currently working as a bioinformatician using WES data to perform the diagnosis and filtering of genetic variants in patients with Primary Immudeficiency Disorders")</f>
        <v>Yes. I am currently working as a bioinformatician using WES data to perform the diagnosis and filtering of genetic variants in patients with Primary Immudeficiency Disorders</v>
      </c>
      <c r="AN272" s="183" t="str">
        <f>IFERROR(__xludf.DUMMYFUNCTION("QUERY('Volunteer Survey'!O271)"),"Yes")</f>
        <v>Yes</v>
      </c>
      <c r="AO272" s="183" t="str">
        <f>IFERROR(__xludf.DUMMYFUNCTION("QUERY('Volunteer Survey'!P271)"),"Yes. RASopathy, Cardiomyopathy, Congenital Myopathies (newly forming), Mitochondrial diseases, Dosage-Recurrent Regions")</f>
        <v>Yes. RASopathy, Cardiomyopathy, Congenital Myopathies (newly forming), Mitochondrial diseases, Dosage-Recurrent Regions</v>
      </c>
    </row>
    <row r="273">
      <c r="A273" s="50">
        <f>IFERROR(__xludf.DUMMYFUNCTION("QUERY('Volunteer Survey'!A282)"),43696.33861744213)</f>
        <v>43696.33862</v>
      </c>
      <c r="B273" s="48" t="s">
        <v>160</v>
      </c>
      <c r="C273" s="79">
        <v>43717.0</v>
      </c>
      <c r="D273" s="65">
        <v>43678.0</v>
      </c>
      <c r="E273" s="48" t="s">
        <v>117</v>
      </c>
      <c r="F273" s="48" t="s">
        <v>117</v>
      </c>
      <c r="G273" s="48" t="s">
        <v>19</v>
      </c>
      <c r="H273" s="53"/>
      <c r="I273" s="51" t="s">
        <v>139</v>
      </c>
      <c r="J273" s="55"/>
      <c r="K273" s="55"/>
      <c r="L273" s="55" t="str">
        <f>IFERROR(__xludf.DUMMYFUNCTION("QUERY('Volunteer Survey'!B282)"),"Andrew Stergachis")</f>
        <v>Andrew Stergachis</v>
      </c>
      <c r="M273" s="55" t="str">
        <f>IFERROR(__xludf.DUMMYFUNCTION("QUERY('Volunteer Survey'!E282)"),"astergachis@bwh.harvard.edu")</f>
        <v>astergachis@bwh.harvard.edu</v>
      </c>
      <c r="N273" s="55" t="str">
        <f>IFERROR(__xludf.DUMMYFUNCTION("QUERY('Volunteer Survey'!F282)"),"Post Doc/Resident/Fellow (MD and/or PhD)")</f>
        <v>Post Doc/Resident/Fellow (MD and/or PhD)</v>
      </c>
      <c r="O273" s="48" t="str">
        <f>IFERROR(__xludf.DUMMYFUNCTION("QUERY('Volunteer Survey'!H282)"),"Comprehensive")</f>
        <v>Comprehensive</v>
      </c>
      <c r="P273" s="55" t="str">
        <f>IFERROR(__xludf.DUMMYFUNCTION("QUERY('Volunteer Survey'!I282)"),"Clinical Actionability")</f>
        <v>Clinical Actionability</v>
      </c>
      <c r="Q273" s="60" t="str">
        <f>IFERROR(__xludf.DUMMYFUNCTION("QUERY('Volunteer Survey'!J282)"),"")</f>
        <v/>
      </c>
      <c r="R273" s="55" t="str">
        <f>IFERROR(__xludf.DUMMYFUNCTION("QUERY('Volunteer Survey'!K282)"),"")</f>
        <v/>
      </c>
      <c r="S273" s="55" t="str">
        <f>IFERROR(__xludf.DUMMYFUNCTION("QUERY('Volunteer Survey'!L282)"),"")</f>
        <v/>
      </c>
      <c r="T273" s="55" t="str">
        <f>IFERROR(__xludf.DUMMYFUNCTION("QUERY('Volunteer Survey'!M282)"),"")</f>
        <v/>
      </c>
      <c r="U273" s="64" t="str">
        <f>IFERROR(__xludf.DUMMYFUNCTION("QUERY('Volunteer Survey'!N282)"),"Involved in the Partners BioBank return of results committee where we discuss the actionability of different genes.")</f>
        <v>Involved in the Partners BioBank return of results committee where we discuss the actionability of different genes.</v>
      </c>
      <c r="V273" s="55" t="str">
        <f>IFERROR(__xludf.DUMMYFUNCTION("QUERY('Volunteer Survey'!O282)"),"Possibly")</f>
        <v>Possibly</v>
      </c>
      <c r="W273" s="66" t="str">
        <f>IFERROR(__xludf.DUMMYFUNCTION("QUERY('Volunteer Survey'!P282)"),"Possibly ")</f>
        <v>Possibly </v>
      </c>
      <c r="X273" s="64" t="str">
        <f>IFERROR(__xludf.DUMMYFUNCTION("QUERY('Volunteer Survey'!R282)"),"Maybe -- please contact me with other options, and I will decide based on what is available")</f>
        <v>Maybe -- please contact me with other options, and I will decide based on what is available</v>
      </c>
      <c r="Y273" s="53"/>
      <c r="Z273" s="182">
        <f>IFERROR(__xludf.DUMMYFUNCTION("QUERY('Volunteer Survey'!A272)"),43692.75764353009)</f>
        <v>43692.75764</v>
      </c>
      <c r="AA273" s="183" t="str">
        <f>IFERROR(__xludf.DUMMYFUNCTION("QUERY('Volunteer Survey'!B272)"),"Krista Bluske")</f>
        <v>Krista Bluske</v>
      </c>
      <c r="AB273" s="183" t="str">
        <f>IFERROR(__xludf.DUMMYFUNCTION("QUERY('Volunteer Survey'!C272)"),"Illumina")</f>
        <v>Illumina</v>
      </c>
      <c r="AC273" s="183" t="str">
        <f>IFERROR(__xludf.DUMMYFUNCTION("QUERY('Volunteer Survey'!D272)"),"")</f>
        <v/>
      </c>
      <c r="AD273" s="183" t="str">
        <f>IFERROR(__xludf.DUMMYFUNCTION("QUERY('Volunteer Survey'!E272)"),"kbluske@illumina.com")</f>
        <v>kbluske@illumina.com</v>
      </c>
      <c r="AE273" s="183" t="str">
        <f>IFERROR(__xludf.DUMMYFUNCTION("QUERY('Volunteer Survey'!F272)"),"Variant Analyst/Scientist - Industry")</f>
        <v>Variant Analyst/Scientist - Industry</v>
      </c>
      <c r="AF273" s="183" t="str">
        <f>IFERROR(__xludf.DUMMYFUNCTION("QUERY('Volunteer Survey'!G272)"),"Colleagues")</f>
        <v>Colleagues</v>
      </c>
      <c r="AG273" s="183" t="str">
        <f>IFERROR(__xludf.DUMMYFUNCTION("QUERY('Volunteer Survey'!H272)"),"Comprehensive")</f>
        <v>Comprehensive</v>
      </c>
      <c r="AH273" s="183" t="str">
        <f>IFERROR(__xludf.DUMMYFUNCTION("QUERY('Volunteer Survey'!I272)"),"Gene-Disease Validity")</f>
        <v>Gene-Disease Validity</v>
      </c>
      <c r="AI273" s="183" t="str">
        <f>IFERROR(__xludf.DUMMYFUNCTION("QUERY('Volunteer Survey'!J272)"),"")</f>
        <v/>
      </c>
      <c r="AJ273" s="183" t="str">
        <f>IFERROR(__xludf.DUMMYFUNCTION("QUERY('Volunteer Survey'!K272)"),"")</f>
        <v/>
      </c>
      <c r="AK273" s="183" t="str">
        <f>IFERROR(__xludf.DUMMYFUNCTION("QUERY('Volunteer Survey'!L272)"),"")</f>
        <v/>
      </c>
      <c r="AL273" s="183" t="str">
        <f>IFERROR(__xludf.DUMMYFUNCTION("QUERY('Volunteer Survey'!M272)"),"")</f>
        <v/>
      </c>
      <c r="AM273" s="183" t="str">
        <f>IFERROR(__xludf.DUMMYFUNCTION("QUERY('Volunteer Survey'!N272)"),"Yes, our group at Illumina is already contributing RUGD gene curations to ClinGen and we are active collaborators. I am trained in the ClinGen gene curation protocol. ")</f>
        <v>Yes, our group at Illumina is already contributing RUGD gene curations to ClinGen and we are active collaborators. I am trained in the ClinGen gene curation protocol. </v>
      </c>
      <c r="AN273" s="183" t="str">
        <f>IFERROR(__xludf.DUMMYFUNCTION("QUERY('Volunteer Survey'!O272)"),"Possibly")</f>
        <v>Possibly</v>
      </c>
      <c r="AO273" s="183" t="str">
        <f>IFERROR(__xludf.DUMMYFUNCTION("QUERY('Volunteer Survey'!P272)"),"Mitochondrial Diseases expert panel (already participating), the soon-to-be-formed RUGD expert panel")</f>
        <v>Mitochondrial Diseases expert panel (already participating), the soon-to-be-formed RUGD expert panel</v>
      </c>
    </row>
    <row r="274">
      <c r="A274" s="50">
        <f>IFERROR(__xludf.DUMMYFUNCTION("QUERY('Volunteer Survey'!A283)"),43699.15815502315)</f>
        <v>43699.15816</v>
      </c>
      <c r="B274" s="48" t="s">
        <v>108</v>
      </c>
      <c r="C274" s="79">
        <v>43717.0</v>
      </c>
      <c r="D274" s="55"/>
      <c r="E274" s="55"/>
      <c r="F274" s="48" t="s">
        <v>130</v>
      </c>
      <c r="G274" s="48" t="s">
        <v>19</v>
      </c>
      <c r="H274" s="53"/>
      <c r="I274" s="51" t="s">
        <v>139</v>
      </c>
      <c r="J274" s="55"/>
      <c r="K274" s="55"/>
      <c r="L274" s="55" t="str">
        <f>IFERROR(__xludf.DUMMYFUNCTION("QUERY('Volunteer Survey'!B283)"),"Lalitha Venkateswaran")</f>
        <v>Lalitha Venkateswaran</v>
      </c>
      <c r="M274" s="55" t="str">
        <f>IFERROR(__xludf.DUMMYFUNCTION("QUERY('Volunteer Survey'!E283)"),"lalithapv19@gmail.com")</f>
        <v>lalithapv19@gmail.com</v>
      </c>
      <c r="N274" s="55" t="str">
        <f>IFERROR(__xludf.DUMMYFUNCTION("QUERY('Volunteer Survey'!F283)"),"Variant Analyst/Scientist - Industry")</f>
        <v>Variant Analyst/Scientist - Industry</v>
      </c>
      <c r="O274" s="48" t="str">
        <f>IFERROR(__xludf.DUMMYFUNCTION("QUERY('Volunteer Survey'!H283)"),"Comprehensive")</f>
        <v>Comprehensive</v>
      </c>
      <c r="P274" s="55" t="str">
        <f>IFERROR(__xludf.DUMMYFUNCTION("QUERY('Volunteer Survey'!I283)"),"Clinical Actionability")</f>
        <v>Clinical Actionability</v>
      </c>
      <c r="Q274" s="60" t="str">
        <f>IFERROR(__xludf.DUMMYFUNCTION("QUERY('Volunteer Survey'!J283)"),"Variant Pathogenicity")</f>
        <v>Variant Pathogenicity</v>
      </c>
      <c r="R274" s="55" t="str">
        <f>IFERROR(__xludf.DUMMYFUNCTION("QUERY('Volunteer Survey'!K283)"),"Gene-Disease Validity")</f>
        <v>Gene-Disease Validity</v>
      </c>
      <c r="S274" s="55" t="str">
        <f>IFERROR(__xludf.DUMMYFUNCTION("QUERY('Volunteer Survey'!L283)"),"Dosage Sensitivity")</f>
        <v>Dosage Sensitivity</v>
      </c>
      <c r="T274" s="55" t="str">
        <f>IFERROR(__xludf.DUMMYFUNCTION("QUERY('Volunteer Survey'!M283)"),"Somatic Cancer")</f>
        <v>Somatic Cancer</v>
      </c>
      <c r="U274" s="64" t="str">
        <f>IFERROR(__xludf.DUMMYFUNCTION("QUERY('Volunteer Survey'!N283)"),"Yes! I have led a team of curators in several Genomic projects. I have worked with Blueprint Genetics and Sema4. I have conducted training and workshops on the basics of curation and scientific writing.")</f>
        <v>Yes! I have led a team of curators in several Genomic projects. I have worked with Blueprint Genetics and Sema4. I have conducted training and workshops on the basics of curation and scientific writing.</v>
      </c>
      <c r="V274" s="55" t="str">
        <f>IFERROR(__xludf.DUMMYFUNCTION("QUERY('Volunteer Survey'!O283)"),"Yes")</f>
        <v>Yes</v>
      </c>
      <c r="W274" s="66" t="str">
        <f>IFERROR(__xludf.DUMMYFUNCTION("QUERY('Volunteer Survey'!P283)"),"")</f>
        <v/>
      </c>
      <c r="X274" s="64" t="str">
        <f>IFERROR(__xludf.DUMMYFUNCTION("QUERY('Volunteer Survey'!R283)"),"Yes- I am willing to volunteer with any available ClinGen group")</f>
        <v>Yes- I am willing to volunteer with any available ClinGen group</v>
      </c>
      <c r="Y274" s="53"/>
      <c r="Z274" s="182">
        <f>IFERROR(__xludf.DUMMYFUNCTION("QUERY('Volunteer Survey'!A273)"),43692.80813991898)</f>
        <v>43692.80814</v>
      </c>
      <c r="AA274" s="183" t="str">
        <f>IFERROR(__xludf.DUMMYFUNCTION("QUERY('Volunteer Survey'!B273)"),"Raman Bansal")</f>
        <v>Raman Bansal</v>
      </c>
      <c r="AB274" s="183" t="str">
        <f>IFERROR(__xludf.DUMMYFUNCTION("QUERY('Volunteer Survey'!C273)"),"ARS")</f>
        <v>ARS</v>
      </c>
      <c r="AC274" s="183" t="str">
        <f>IFERROR(__xludf.DUMMYFUNCTION("QUERY('Volunteer Survey'!D273)"),"")</f>
        <v/>
      </c>
      <c r="AD274" s="183" t="str">
        <f>IFERROR(__xludf.DUMMYFUNCTION("QUERY('Volunteer Survey'!E273)"),"rbansal.osu@gmail.com")</f>
        <v>rbansal.osu@gmail.com</v>
      </c>
      <c r="AE274" s="183" t="str">
        <f>IFERROR(__xludf.DUMMYFUNCTION("QUERY('Volunteer Survey'!F273)"),"Scientific Researcher")</f>
        <v>Scientific Researcher</v>
      </c>
      <c r="AF274" s="183" t="str">
        <f>IFERROR(__xludf.DUMMYFUNCTION("QUERY('Volunteer Survey'!G273)"),"Colleagues")</f>
        <v>Colleagues</v>
      </c>
      <c r="AG274" s="183" t="str">
        <f>IFERROR(__xludf.DUMMYFUNCTION("QUERY('Volunteer Survey'!H273)"),"Comprehensive")</f>
        <v>Comprehensive</v>
      </c>
      <c r="AH274" s="183" t="str">
        <f>IFERROR(__xludf.DUMMYFUNCTION("QUERY('Volunteer Survey'!I273)"),"Variant Pathogenicity")</f>
        <v>Variant Pathogenicity</v>
      </c>
      <c r="AI274" s="183" t="str">
        <f>IFERROR(__xludf.DUMMYFUNCTION("QUERY('Volunteer Survey'!J273)"),"Dosage Sensitivity")</f>
        <v>Dosage Sensitivity</v>
      </c>
      <c r="AJ274" s="183" t="str">
        <f>IFERROR(__xludf.DUMMYFUNCTION("QUERY('Volunteer Survey'!K273)"),"Gene-Disease Validity")</f>
        <v>Gene-Disease Validity</v>
      </c>
      <c r="AK274" s="183" t="str">
        <f>IFERROR(__xludf.DUMMYFUNCTION("QUERY('Volunteer Survey'!L273)"),"Clinical Actionability")</f>
        <v>Clinical Actionability</v>
      </c>
      <c r="AL274" s="183" t="str">
        <f>IFERROR(__xludf.DUMMYFUNCTION("QUERY('Volunteer Survey'!M273)"),"Somatic Cancer")</f>
        <v>Somatic Cancer</v>
      </c>
      <c r="AM274" s="183" t="str">
        <f>IFERROR(__xludf.DUMMYFUNCTION("QUERY('Volunteer Survey'!N273)"),"")</f>
        <v/>
      </c>
      <c r="AN274" s="183" t="str">
        <f>IFERROR(__xludf.DUMMYFUNCTION("QUERY('Volunteer Survey'!O273)"),"Yes")</f>
        <v>Yes</v>
      </c>
      <c r="AO274" s="183" t="str">
        <f>IFERROR(__xludf.DUMMYFUNCTION("QUERY('Volunteer Survey'!P273)"),"")</f>
        <v/>
      </c>
    </row>
    <row r="275">
      <c r="A275" s="50">
        <f>IFERROR(__xludf.DUMMYFUNCTION("QUERY('Volunteer Survey'!A284)"),43699.4692784838)</f>
        <v>43699.46928</v>
      </c>
      <c r="B275" s="48" t="s">
        <v>108</v>
      </c>
      <c r="C275" s="79">
        <v>43819.0</v>
      </c>
      <c r="D275" s="55"/>
      <c r="E275" s="55"/>
      <c r="F275" s="48" t="s">
        <v>130</v>
      </c>
      <c r="G275" s="48" t="s">
        <v>251</v>
      </c>
      <c r="H275" s="53"/>
      <c r="I275" s="51" t="s">
        <v>139</v>
      </c>
      <c r="J275" s="55"/>
      <c r="K275" s="55"/>
      <c r="L275" s="55" t="str">
        <f>IFERROR(__xludf.DUMMYFUNCTION("QUERY('Volunteer Survey'!B284)"),"Caterina Clementi")</f>
        <v>Caterina Clementi</v>
      </c>
      <c r="M275" s="55" t="str">
        <f>IFERROR(__xludf.DUMMYFUNCTION("QUERY('Volunteer Survey'!E284)"),"caterina.clementi@gmail.com")</f>
        <v>caterina.clementi@gmail.com</v>
      </c>
      <c r="N275" s="55" t="str">
        <f>IFERROR(__xludf.DUMMYFUNCTION("QUERY('Volunteer Survey'!F284)"),"Variant Analyst/Scientist - Industry")</f>
        <v>Variant Analyst/Scientist - Industry</v>
      </c>
      <c r="O275" s="48" t="str">
        <f>IFERROR(__xludf.DUMMYFUNCTION("QUERY('Volunteer Survey'!H284)"),"Comprehensive")</f>
        <v>Comprehensive</v>
      </c>
      <c r="P275" s="55" t="str">
        <f>IFERROR(__xludf.DUMMYFUNCTION("QUERY('Volunteer Survey'!I284)"),"Variant Pathogenicity")</f>
        <v>Variant Pathogenicity</v>
      </c>
      <c r="Q275" s="60" t="str">
        <f>IFERROR(__xludf.DUMMYFUNCTION("QUERY('Volunteer Survey'!J284)"),"Gene-Disease Validity")</f>
        <v>Gene-Disease Validity</v>
      </c>
      <c r="R275" s="55" t="str">
        <f>IFERROR(__xludf.DUMMYFUNCTION("QUERY('Volunteer Survey'!K284)"),"Clinical Actionability")</f>
        <v>Clinical Actionability</v>
      </c>
      <c r="S275" s="55" t="str">
        <f>IFERROR(__xludf.DUMMYFUNCTION("QUERY('Volunteer Survey'!L284)"),"")</f>
        <v/>
      </c>
      <c r="T275" s="55" t="str">
        <f>IFERROR(__xludf.DUMMYFUNCTION("QUERY('Volunteer Survey'!M284)"),"")</f>
        <v/>
      </c>
      <c r="U275" s="64" t="str">
        <f>IFERROR(__xludf.DUMMYFUNCTION("QUERY('Volunteer Survey'!N284)"),"Yes, I applied the ClinGen framework to score the clinical validity of gene-condition associations in the context of reproductive conditions")</f>
        <v>Yes, I applied the ClinGen framework to score the clinical validity of gene-condition associations in the context of reproductive conditions</v>
      </c>
      <c r="V275" s="55" t="str">
        <f>IFERROR(__xludf.DUMMYFUNCTION("QUERY('Volunteer Survey'!O284)"),"Possibly")</f>
        <v>Possibly</v>
      </c>
      <c r="W275" s="66" t="str">
        <f>IFERROR(__xludf.DUMMYFUNCTION("QUERY('Volunteer Survey'!P284)"),"Metabolic conditions")</f>
        <v>Metabolic conditions</v>
      </c>
      <c r="X275" s="64" t="str">
        <f>IFERROR(__xludf.DUMMYFUNCTION("QUERY('Volunteer Survey'!R284)"),"Yes- I am willing to volunteer with any available ClinGen group")</f>
        <v>Yes- I am willing to volunteer with any available ClinGen group</v>
      </c>
      <c r="Y275" s="53"/>
      <c r="Z275" s="182">
        <f>IFERROR(__xludf.DUMMYFUNCTION("QUERY('Volunteer Survey'!A274)"),43692.94038061343)</f>
        <v>43692.94038</v>
      </c>
      <c r="AA275" s="183" t="str">
        <f>IFERROR(__xludf.DUMMYFUNCTION("QUERY('Volunteer Survey'!B274)"),"FENGLI ZHANG")</f>
        <v>FENGLI ZHANG</v>
      </c>
      <c r="AB275" s="183" t="str">
        <f>IFERROR(__xludf.DUMMYFUNCTION("QUERY('Volunteer Survey'!C274)"),"UW Madison")</f>
        <v>UW Madison</v>
      </c>
      <c r="AC275" s="183" t="str">
        <f>IFERROR(__xludf.DUMMYFUNCTION("QUERY('Volunteer Survey'!D274)"),"")</f>
        <v/>
      </c>
      <c r="AD275" s="183" t="str">
        <f>IFERROR(__xludf.DUMMYFUNCTION("QUERY('Volunteer Survey'!E274)"),"fengli.zhang@slh.wisc.edu")</f>
        <v>fengli.zhang@slh.wisc.edu</v>
      </c>
      <c r="AE275" s="183" t="str">
        <f>IFERROR(__xludf.DUMMYFUNCTION("QUERY('Volunteer Survey'!F274)"),"Clinical laboratory geneticist")</f>
        <v>Clinical laboratory geneticist</v>
      </c>
      <c r="AF275" s="183" t="str">
        <f>IFERROR(__xludf.DUMMYFUNCTION("QUERY('Volunteer Survey'!G274)"),"Colleagues")</f>
        <v>Colleagues</v>
      </c>
      <c r="AG275" s="183" t="str">
        <f>IFERROR(__xludf.DUMMYFUNCTION("QUERY('Volunteer Survey'!H274)"),"Comprehensive")</f>
        <v>Comprehensive</v>
      </c>
      <c r="AH275" s="183" t="str">
        <f>IFERROR(__xludf.DUMMYFUNCTION("QUERY('Volunteer Survey'!I274)"),"Somatic Cancer")</f>
        <v>Somatic Cancer</v>
      </c>
      <c r="AI275" s="183" t="str">
        <f>IFERROR(__xludf.DUMMYFUNCTION("QUERY('Volunteer Survey'!J274)"),"Variant Pathogenicity")</f>
        <v>Variant Pathogenicity</v>
      </c>
      <c r="AJ275" s="183" t="str">
        <f>IFERROR(__xludf.DUMMYFUNCTION("QUERY('Volunteer Survey'!K274)"),"Gene-Disease Validity")</f>
        <v>Gene-Disease Validity</v>
      </c>
      <c r="AK275" s="183" t="str">
        <f>IFERROR(__xludf.DUMMYFUNCTION("QUERY('Volunteer Survey'!L274)"),"Dosage Sensitivity")</f>
        <v>Dosage Sensitivity</v>
      </c>
      <c r="AL275" s="183" t="str">
        <f>IFERROR(__xludf.DUMMYFUNCTION("QUERY('Volunteer Survey'!M274)"),"Clinical Actionability")</f>
        <v>Clinical Actionability</v>
      </c>
      <c r="AM275" s="183" t="str">
        <f>IFERROR(__xludf.DUMMYFUNCTION("QUERY('Volunteer Survey'!N274)"),"No")</f>
        <v>No</v>
      </c>
      <c r="AN275" s="183" t="str">
        <f>IFERROR(__xludf.DUMMYFUNCTION("QUERY('Volunteer Survey'!O274)"),"Possibly")</f>
        <v>Possibly</v>
      </c>
      <c r="AO275" s="183" t="str">
        <f>IFERROR(__xludf.DUMMYFUNCTION("QUERY('Volunteer Survey'!P274)"),"Cancer")</f>
        <v>Cancer</v>
      </c>
    </row>
    <row r="276">
      <c r="A276" s="50">
        <f>IFERROR(__xludf.DUMMYFUNCTION("QUERY('Volunteer Survey'!A285)"),43701.87979853009)</f>
        <v>43701.8798</v>
      </c>
      <c r="B276" s="48" t="s">
        <v>108</v>
      </c>
      <c r="C276" s="79">
        <v>43819.0</v>
      </c>
      <c r="D276" s="55"/>
      <c r="E276" s="55"/>
      <c r="F276" s="48" t="s">
        <v>130</v>
      </c>
      <c r="G276" s="48" t="s">
        <v>251</v>
      </c>
      <c r="H276" s="53"/>
      <c r="I276" s="51" t="s">
        <v>139</v>
      </c>
      <c r="J276" s="55"/>
      <c r="K276" s="55"/>
      <c r="L276" s="55" t="str">
        <f>IFERROR(__xludf.DUMMYFUNCTION("QUERY('Volunteer Survey'!B285)"),"Catherine Spellicy")</f>
        <v>Catherine Spellicy</v>
      </c>
      <c r="M276" s="55" t="str">
        <f>IFERROR(__xludf.DUMMYFUNCTION("QUERY('Volunteer Survey'!E285)"),"cspellic@counsyl.com")</f>
        <v>cspellic@counsyl.com</v>
      </c>
      <c r="N276" s="55" t="str">
        <f>IFERROR(__xludf.DUMMYFUNCTION("QUERY('Volunteer Survey'!F285)"),"Clinical laboratory geneticist")</f>
        <v>Clinical laboratory geneticist</v>
      </c>
      <c r="O276" s="48" t="str">
        <f>IFERROR(__xludf.DUMMYFUNCTION("QUERY('Volunteer Survey'!H285)"),"Comprehensive")</f>
        <v>Comprehensive</v>
      </c>
      <c r="P276" s="55" t="str">
        <f>IFERROR(__xludf.DUMMYFUNCTION("QUERY('Volunteer Survey'!I285)"),"Variant Pathogenicity")</f>
        <v>Variant Pathogenicity</v>
      </c>
      <c r="Q276" s="60" t="str">
        <f>IFERROR(__xludf.DUMMYFUNCTION("QUERY('Volunteer Survey'!J285)"),"Gene-Disease Validity")</f>
        <v>Gene-Disease Validity</v>
      </c>
      <c r="R276" s="55" t="str">
        <f>IFERROR(__xludf.DUMMYFUNCTION("QUERY('Volunteer Survey'!K285)"),"")</f>
        <v/>
      </c>
      <c r="S276" s="55" t="str">
        <f>IFERROR(__xludf.DUMMYFUNCTION("QUERY('Volunteer Survey'!L285)"),"")</f>
        <v/>
      </c>
      <c r="T276" s="55" t="str">
        <f>IFERROR(__xludf.DUMMYFUNCTION("QUERY('Volunteer Survey'!M285)"),"")</f>
        <v/>
      </c>
      <c r="U276" s="64" t="str">
        <f>IFERROR(__xludf.DUMMYFUNCTION("QUERY('Volunteer Survey'!N285)"),"Many hours experience with variant analysis and classification.")</f>
        <v>Many hours experience with variant analysis and classification.</v>
      </c>
      <c r="V276" s="55" t="str">
        <f>IFERROR(__xludf.DUMMYFUNCTION("QUERY('Volunteer Survey'!O285)"),"Possibly")</f>
        <v>Possibly</v>
      </c>
      <c r="W276" s="66" t="str">
        <f>IFERROR(__xludf.DUMMYFUNCTION("QUERY('Volunteer Survey'!P285)"),"Sequence Variant Interpretation")</f>
        <v>Sequence Variant Interpretation</v>
      </c>
      <c r="X276" s="64" t="str">
        <f>IFERROR(__xludf.DUMMYFUNCTION("QUERY('Volunteer Survey'!R285)"),"Maybe -- please contact me with other options, and I will decide based on what is available")</f>
        <v>Maybe -- please contact me with other options, and I will decide based on what is available</v>
      </c>
      <c r="Y276" s="53"/>
      <c r="Z276" s="182">
        <f>IFERROR(__xludf.DUMMYFUNCTION("QUERY('Volunteer Survey'!A275)"),43693.34301476852)</f>
        <v>43693.34301</v>
      </c>
      <c r="AA276" s="183" t="str">
        <f>IFERROR(__xludf.DUMMYFUNCTION("QUERY('Volunteer Survey'!B275)"),"FENGLI ZHANG")</f>
        <v>FENGLI ZHANG</v>
      </c>
      <c r="AB276" s="183" t="str">
        <f>IFERROR(__xludf.DUMMYFUNCTION("QUERY('Volunteer Survey'!C275)"),"UW Madison")</f>
        <v>UW Madison</v>
      </c>
      <c r="AC276" s="183" t="str">
        <f>IFERROR(__xludf.DUMMYFUNCTION("QUERY('Volunteer Survey'!D275)"),"")</f>
        <v/>
      </c>
      <c r="AD276" s="183" t="str">
        <f>IFERROR(__xludf.DUMMYFUNCTION("QUERY('Volunteer Survey'!E275)"),"fengli.zhang@slh.wisc.edu")</f>
        <v>fengli.zhang@slh.wisc.edu</v>
      </c>
      <c r="AE276" s="183" t="str">
        <f>IFERROR(__xludf.DUMMYFUNCTION("QUERY('Volunteer Survey'!F275)"),"Clinical laboratory geneticist")</f>
        <v>Clinical laboratory geneticist</v>
      </c>
      <c r="AF276" s="183" t="str">
        <f>IFERROR(__xludf.DUMMYFUNCTION("QUERY('Volunteer Survey'!G275)"),"Colleagues")</f>
        <v>Colleagues</v>
      </c>
      <c r="AG276" s="183" t="str">
        <f>IFERROR(__xludf.DUMMYFUNCTION("QUERY('Volunteer Survey'!H275)"),"Comprehensive")</f>
        <v>Comprehensive</v>
      </c>
      <c r="AH276" s="183" t="str">
        <f>IFERROR(__xludf.DUMMYFUNCTION("QUERY('Volunteer Survey'!I275)"),"Somatic Cancer")</f>
        <v>Somatic Cancer</v>
      </c>
      <c r="AI276" s="183" t="str">
        <f>IFERROR(__xludf.DUMMYFUNCTION("QUERY('Volunteer Survey'!J275)"),"Variant Pathogenicity")</f>
        <v>Variant Pathogenicity</v>
      </c>
      <c r="AJ276" s="183" t="str">
        <f>IFERROR(__xludf.DUMMYFUNCTION("QUERY('Volunteer Survey'!K275)"),"Gene-Disease Validity")</f>
        <v>Gene-Disease Validity</v>
      </c>
      <c r="AK276" s="183" t="str">
        <f>IFERROR(__xludf.DUMMYFUNCTION("QUERY('Volunteer Survey'!L275)"),"Dosage Sensitivity")</f>
        <v>Dosage Sensitivity</v>
      </c>
      <c r="AL276" s="183" t="str">
        <f>IFERROR(__xludf.DUMMYFUNCTION("QUERY('Volunteer Survey'!M275)"),"Clinical Actionability")</f>
        <v>Clinical Actionability</v>
      </c>
      <c r="AM276" s="183" t="str">
        <f>IFERROR(__xludf.DUMMYFUNCTION("QUERY('Volunteer Survey'!N275)"),"No")</f>
        <v>No</v>
      </c>
      <c r="AN276" s="183" t="str">
        <f>IFERROR(__xludf.DUMMYFUNCTION("QUERY('Volunteer Survey'!O275)"),"Possibly")</f>
        <v>Possibly</v>
      </c>
      <c r="AO276" s="183" t="str">
        <f>IFERROR(__xludf.DUMMYFUNCTION("QUERY('Volunteer Survey'!P275)"),"Cancer")</f>
        <v>Cancer</v>
      </c>
    </row>
    <row r="277">
      <c r="A277" s="50">
        <f>IFERROR(__xludf.DUMMYFUNCTION("QUERY('Volunteer Survey'!A286)"),43703.24914248843)</f>
        <v>43703.24914</v>
      </c>
      <c r="B277" s="48" t="s">
        <v>108</v>
      </c>
      <c r="C277" s="79">
        <v>43819.0</v>
      </c>
      <c r="D277" s="55"/>
      <c r="E277" s="55"/>
      <c r="F277" s="48" t="s">
        <v>130</v>
      </c>
      <c r="G277" s="48" t="s">
        <v>122</v>
      </c>
      <c r="H277" s="53"/>
      <c r="I277" s="51" t="s">
        <v>139</v>
      </c>
      <c r="J277" s="55"/>
      <c r="K277" s="55"/>
      <c r="L277" s="55" t="str">
        <f>IFERROR(__xludf.DUMMYFUNCTION("QUERY('Volunteer Survey'!B286)"),"Julie P Taylor")</f>
        <v>Julie P Taylor</v>
      </c>
      <c r="M277" s="55" t="str">
        <f>IFERROR(__xludf.DUMMYFUNCTION("QUERY('Volunteer Survey'!E286)"),"jtaylor1@illumina.com")</f>
        <v>jtaylor1@illumina.com</v>
      </c>
      <c r="N277" s="55" t="str">
        <f>IFERROR(__xludf.DUMMYFUNCTION("QUERY('Volunteer Survey'!F286)"),"Biocurator")</f>
        <v>Biocurator</v>
      </c>
      <c r="O277" s="48" t="str">
        <f>IFERROR(__xludf.DUMMYFUNCTION("QUERY('Volunteer Survey'!H286)"),"Comprehensive")</f>
        <v>Comprehensive</v>
      </c>
      <c r="P277" s="55" t="str">
        <f>IFERROR(__xludf.DUMMYFUNCTION("QUERY('Volunteer Survey'!I286)"),"Gene-Disease Validity")</f>
        <v>Gene-Disease Validity</v>
      </c>
      <c r="Q277" s="60" t="str">
        <f>IFERROR(__xludf.DUMMYFUNCTION("QUERY('Volunteer Survey'!J286)"),"")</f>
        <v/>
      </c>
      <c r="R277" s="55" t="str">
        <f>IFERROR(__xludf.DUMMYFUNCTION("QUERY('Volunteer Survey'!K286)"),"")</f>
        <v/>
      </c>
      <c r="S277" s="55" t="str">
        <f>IFERROR(__xludf.DUMMYFUNCTION("QUERY('Volunteer Survey'!L286)"),"")</f>
        <v/>
      </c>
      <c r="T277" s="55" t="str">
        <f>IFERROR(__xludf.DUMMYFUNCTION("QUERY('Volunteer Survey'!M286)"),"")</f>
        <v/>
      </c>
      <c r="U277" s="64" t="str">
        <f>IFERROR(__xludf.DUMMYFUNCTION("QUERY('Volunteer Survey'!N286)"),"ClinGen Gene Curation is part of my role as a curation scientist at Illumina.")</f>
        <v>ClinGen Gene Curation is part of my role as a curation scientist at Illumina.</v>
      </c>
      <c r="V277" s="55" t="str">
        <f>IFERROR(__xludf.DUMMYFUNCTION("QUERY('Volunteer Survey'!O286)"),"Yes")</f>
        <v>Yes</v>
      </c>
      <c r="W277" s="66" t="str">
        <f>IFERROR(__xludf.DUMMYFUNCTION("QUERY('Volunteer Survey'!P286)"),"")</f>
        <v/>
      </c>
      <c r="X277" s="64" t="str">
        <f>IFERROR(__xludf.DUMMYFUNCTION("QUERY('Volunteer Survey'!R286)"),"Maybe -- please contact me with other options, and I will decide based on what is available")</f>
        <v>Maybe -- please contact me with other options, and I will decide based on what is available</v>
      </c>
      <c r="Y277" s="53"/>
      <c r="Z277" s="182">
        <f>IFERROR(__xludf.DUMMYFUNCTION("QUERY('Volunteer Survey'!A276)"),43693.391088738426)</f>
        <v>43693.39109</v>
      </c>
      <c r="AA277" s="183" t="str">
        <f>IFERROR(__xludf.DUMMYFUNCTION("QUERY('Volunteer Survey'!B276)"),"Amanda Clause")</f>
        <v>Amanda Clause</v>
      </c>
      <c r="AB277" s="183" t="str">
        <f>IFERROR(__xludf.DUMMYFUNCTION("QUERY('Volunteer Survey'!C276)"),"Illumina")</f>
        <v>Illumina</v>
      </c>
      <c r="AC277" s="183" t="str">
        <f>IFERROR(__xludf.DUMMYFUNCTION("QUERY('Volunteer Survey'!D276)"),"1501 Tyler Ct.")</f>
        <v>1501 Tyler Ct.</v>
      </c>
      <c r="AD277" s="183" t="str">
        <f>IFERROR(__xludf.DUMMYFUNCTION("QUERY('Volunteer Survey'!E276)"),"aclause@illumina.com")</f>
        <v>aclause@illumina.com</v>
      </c>
      <c r="AE277" s="183" t="str">
        <f>IFERROR(__xludf.DUMMYFUNCTION("QUERY('Volunteer Survey'!F276)"),"Variant Analyst/Scientist - Industry")</f>
        <v>Variant Analyst/Scientist - Industry</v>
      </c>
      <c r="AF277" s="183" t="str">
        <f>IFERROR(__xludf.DUMMYFUNCTION("QUERY('Volunteer Survey'!G276)"),"Colleagues")</f>
        <v>Colleagues</v>
      </c>
      <c r="AG277" s="183" t="str">
        <f>IFERROR(__xludf.DUMMYFUNCTION("QUERY('Volunteer Survey'!H276)"),"Comprehensive")</f>
        <v>Comprehensive</v>
      </c>
      <c r="AH277" s="183" t="str">
        <f>IFERROR(__xludf.DUMMYFUNCTION("QUERY('Volunteer Survey'!I276)"),"Gene-Disease Validity")</f>
        <v>Gene-Disease Validity</v>
      </c>
      <c r="AI277" s="183" t="str">
        <f>IFERROR(__xludf.DUMMYFUNCTION("QUERY('Volunteer Survey'!J276)"),"")</f>
        <v/>
      </c>
      <c r="AJ277" s="183" t="str">
        <f>IFERROR(__xludf.DUMMYFUNCTION("QUERY('Volunteer Survey'!K276)"),"")</f>
        <v/>
      </c>
      <c r="AK277" s="183" t="str">
        <f>IFERROR(__xludf.DUMMYFUNCTION("QUERY('Volunteer Survey'!L276)"),"")</f>
        <v/>
      </c>
      <c r="AL277" s="183" t="str">
        <f>IFERROR(__xludf.DUMMYFUNCTION("QUERY('Volunteer Survey'!M276)"),"")</f>
        <v/>
      </c>
      <c r="AM277" s="183" t="str">
        <f>IFERROR(__xludf.DUMMYFUNCTION("QUERY('Volunteer Survey'!N276)"),"Yes; currently curate variants and GDAs for a clinical whole genome sequencing test")</f>
        <v>Yes; currently curate variants and GDAs for a clinical whole genome sequencing test</v>
      </c>
      <c r="AN277" s="183" t="str">
        <f>IFERROR(__xludf.DUMMYFUNCTION("QUERY('Volunteer Survey'!O276)"),"No")</f>
        <v>No</v>
      </c>
      <c r="AO277" s="183" t="str">
        <f>IFERROR(__xludf.DUMMYFUNCTION("QUERY('Volunteer Survey'!P276)"),"mitochondrial diseases, rare disease")</f>
        <v>mitochondrial diseases, rare disease</v>
      </c>
    </row>
    <row r="278">
      <c r="A278" s="50">
        <f>IFERROR(__xludf.DUMMYFUNCTION("QUERY('Volunteer Survey'!A287)"),43703.62807980324)</f>
        <v>43703.62808</v>
      </c>
      <c r="B278" s="48" t="s">
        <v>108</v>
      </c>
      <c r="C278" s="79">
        <v>43840.0</v>
      </c>
      <c r="D278" s="55"/>
      <c r="E278" s="55"/>
      <c r="F278" s="48" t="s">
        <v>130</v>
      </c>
      <c r="G278" s="48" t="s">
        <v>122</v>
      </c>
      <c r="H278" s="53"/>
      <c r="I278" s="51" t="s">
        <v>139</v>
      </c>
      <c r="J278" s="55"/>
      <c r="K278" s="55"/>
      <c r="L278" s="55" t="str">
        <f>IFERROR(__xludf.DUMMYFUNCTION("QUERY('Volunteer Survey'!B287)"),"Charlene Preys")</f>
        <v>Charlene Preys</v>
      </c>
      <c r="M278" s="55" t="str">
        <f>IFERROR(__xludf.DUMMYFUNCTION("QUERY('Volunteer Survey'!E287)"),"clpreys@bwh.harvard.edu")</f>
        <v>clpreys@bwh.harvard.edu</v>
      </c>
      <c r="N278" s="55" t="str">
        <f>IFERROR(__xludf.DUMMYFUNCTION("QUERY('Volunteer Survey'!F287)"),"Undergraduate Student")</f>
        <v>Undergraduate Student</v>
      </c>
      <c r="O278" s="48" t="str">
        <f>IFERROR(__xludf.DUMMYFUNCTION("QUERY('Volunteer Survey'!H287)"),"Comprehensive")</f>
        <v>Comprehensive</v>
      </c>
      <c r="P278" s="55" t="str">
        <f>IFERROR(__xludf.DUMMYFUNCTION("QUERY('Volunteer Survey'!I287)"),"Gene-Disease Validity")</f>
        <v>Gene-Disease Validity</v>
      </c>
      <c r="Q278" s="60" t="str">
        <f>IFERROR(__xludf.DUMMYFUNCTION("QUERY('Volunteer Survey'!J287)"),"")</f>
        <v/>
      </c>
      <c r="R278" s="55" t="str">
        <f>IFERROR(__xludf.DUMMYFUNCTION("QUERY('Volunteer Survey'!K287)"),"")</f>
        <v/>
      </c>
      <c r="S278" s="55" t="str">
        <f>IFERROR(__xludf.DUMMYFUNCTION("QUERY('Volunteer Survey'!L287)"),"")</f>
        <v/>
      </c>
      <c r="T278" s="55" t="str">
        <f>IFERROR(__xludf.DUMMYFUNCTION("QUERY('Volunteer Survey'!M287)"),"")</f>
        <v/>
      </c>
      <c r="U278" s="64" t="str">
        <f>IFERROR(__xludf.DUMMYFUNCTION("QUERY('Volunteer Survey'!N287)"),"")</f>
        <v/>
      </c>
      <c r="V278" s="55" t="str">
        <f>IFERROR(__xludf.DUMMYFUNCTION("QUERY('Volunteer Survey'!O287)"),"")</f>
        <v/>
      </c>
      <c r="W278" s="66" t="str">
        <f>IFERROR(__xludf.DUMMYFUNCTION("QUERY('Volunteer Survey'!P287)"),"TP53 or Mitochondrial (will gladly help any panel/working group) - Hereditary cancer, Hemostasis or Congenital Myopathy")</f>
        <v>TP53 or Mitochondrial (will gladly help any panel/working group) - Hereditary cancer, Hemostasis or Congenital Myopathy</v>
      </c>
      <c r="X278" s="64" t="str">
        <f>IFERROR(__xludf.DUMMYFUNCTION("QUERY('Volunteer Survey'!R287)"),"Yes- I am willing to volunteer with any available ClinGen group")</f>
        <v>Yes- I am willing to volunteer with any available ClinGen group</v>
      </c>
      <c r="Y278" s="51" t="s">
        <v>1043</v>
      </c>
      <c r="Z278" s="182">
        <f>IFERROR(__xludf.DUMMYFUNCTION("QUERY('Volunteer Survey'!A277)"),43693.457710972216)</f>
        <v>43693.45771</v>
      </c>
      <c r="AA278" s="183" t="str">
        <f>IFERROR(__xludf.DUMMYFUNCTION("QUERY('Volunteer Survey'!B277)"),"Sara Spencer")</f>
        <v>Sara Spencer</v>
      </c>
      <c r="AB278" s="183" t="str">
        <f>IFERROR(__xludf.DUMMYFUNCTION("QUERY('Volunteer Survey'!C277)"),"Northwestern Medicine/Northwestern University")</f>
        <v>Northwestern Medicine/Northwestern University</v>
      </c>
      <c r="AC278" s="183" t="str">
        <f>IFERROR(__xludf.DUMMYFUNCTION("QUERY('Volunteer Survey'!D277)"),"675 N. St. Clair Ste 14-200")</f>
        <v>675 N. St. Clair Ste 14-200</v>
      </c>
      <c r="AD278" s="183" t="str">
        <f>IFERROR(__xludf.DUMMYFUNCTION("QUERY('Volunteer Survey'!E277)"),"saspence@nm.org")</f>
        <v>saspence@nm.org</v>
      </c>
      <c r="AE278" s="183" t="str">
        <f>IFERROR(__xludf.DUMMYFUNCTION("QUERY('Volunteer Survey'!F277)"),"Genetic counselor")</f>
        <v>Genetic counselor</v>
      </c>
      <c r="AF278" s="183" t="str">
        <f>IFERROR(__xludf.DUMMYFUNCTION("QUERY('Volunteer Survey'!G277)"),"Colleagues")</f>
        <v>Colleagues</v>
      </c>
      <c r="AG278" s="183" t="str">
        <f>IFERROR(__xludf.DUMMYFUNCTION("QUERY('Volunteer Survey'!H277)"),"Comprehensive")</f>
        <v>Comprehensive</v>
      </c>
      <c r="AH278" s="183" t="str">
        <f>IFERROR(__xludf.DUMMYFUNCTION("QUERY('Volunteer Survey'!I277)"),"Variant Pathogenicity")</f>
        <v>Variant Pathogenicity</v>
      </c>
      <c r="AI278" s="183" t="str">
        <f>IFERROR(__xludf.DUMMYFUNCTION("QUERY('Volunteer Survey'!J277)"),"Gene-Disease Validity")</f>
        <v>Gene-Disease Validity</v>
      </c>
      <c r="AJ278" s="183" t="str">
        <f>IFERROR(__xludf.DUMMYFUNCTION("QUERY('Volunteer Survey'!K277)"),"Dosage Sensitivity")</f>
        <v>Dosage Sensitivity</v>
      </c>
      <c r="AK278" s="183" t="str">
        <f>IFERROR(__xludf.DUMMYFUNCTION("QUERY('Volunteer Survey'!L277)"),"")</f>
        <v/>
      </c>
      <c r="AL278" s="183" t="str">
        <f>IFERROR(__xludf.DUMMYFUNCTION("QUERY('Volunteer Survey'!M277)"),"")</f>
        <v/>
      </c>
      <c r="AM278" s="183" t="str">
        <f>IFERROR(__xludf.DUMMYFUNCTION("QUERY('Volunteer Survey'!N277)"),"As a clinician, I have been reviewing variant classifications provided by labs for 13 years. In addition, I have personal experience receiving a VOUS. This result motivated me to learn more about the variant classification process through shadowing my col"&amp;"leagues in the lab as well as taking the NSGC Variant Interpretation in the Era of WES/WGS Online Course. I am also currently watching the 2019 BROAD Institute - Interpreting Genomes for Rare Disease: Variant and Gene Interpretation lectures.
")</f>
        <v>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v>
      </c>
      <c r="AN278" s="183" t="str">
        <f>IFERROR(__xludf.DUMMYFUNCTION("QUERY('Volunteer Survey'!O277)"),"Possibly")</f>
        <v>Possibly</v>
      </c>
      <c r="AO278" s="183" t="str">
        <f>IFERROR(__xludf.DUMMYFUNCTION("QUERY('Volunteer Survey'!P277)"),"Gene Curation Expert Panels - Epilepsy 
Variant Curation Expert Panels - Brain Malformations")</f>
        <v>Gene Curation Expert Panels - Epilepsy 
Variant Curation Expert Panels - Brain Malformations</v>
      </c>
    </row>
    <row r="279">
      <c r="A279" s="50">
        <f>IFERROR(__xludf.DUMMYFUNCTION("QUERY('Volunteer Survey'!A288)"),43705.80924916667)</f>
        <v>43705.80925</v>
      </c>
      <c r="B279" s="48" t="s">
        <v>108</v>
      </c>
      <c r="C279" s="79">
        <v>43819.0</v>
      </c>
      <c r="D279" s="55"/>
      <c r="E279" s="55"/>
      <c r="F279" s="48" t="s">
        <v>130</v>
      </c>
      <c r="G279" s="48" t="s">
        <v>251</v>
      </c>
      <c r="H279" s="53"/>
      <c r="I279" s="51" t="s">
        <v>139</v>
      </c>
      <c r="J279" s="55"/>
      <c r="K279" s="55"/>
      <c r="L279" s="55" t="str">
        <f>IFERROR(__xludf.DUMMYFUNCTION("QUERY('Volunteer Survey'!B288)"),"Edgar Ramirez")</f>
        <v>Edgar Ramirez</v>
      </c>
      <c r="M279" s="55" t="str">
        <f>IFERROR(__xludf.DUMMYFUNCTION("QUERY('Volunteer Survey'!E288)"),"e.ramirezr@hotmail.com")</f>
        <v>e.ramirezr@hotmail.com</v>
      </c>
      <c r="N279" s="55" t="str">
        <f>IFERROR(__xludf.DUMMYFUNCTION("QUERY('Volunteer Survey'!F288)"),"Scientific Researcher")</f>
        <v>Scientific Researcher</v>
      </c>
      <c r="O279" s="48" t="str">
        <f>IFERROR(__xludf.DUMMYFUNCTION("QUERY('Volunteer Survey'!H288)"),"Comprehensive")</f>
        <v>Comprehensive</v>
      </c>
      <c r="P279" s="55" t="str">
        <f>IFERROR(__xludf.DUMMYFUNCTION("QUERY('Volunteer Survey'!I288)"),"Variant Pathogenicity")</f>
        <v>Variant Pathogenicity</v>
      </c>
      <c r="Q279" s="60" t="str">
        <f>IFERROR(__xludf.DUMMYFUNCTION("QUERY('Volunteer Survey'!J288)"),"Clinical Actionability")</f>
        <v>Clinical Actionability</v>
      </c>
      <c r="R279" s="55" t="str">
        <f>IFERROR(__xludf.DUMMYFUNCTION("QUERY('Volunteer Survey'!K288)"),"Gene-Disease Validity")</f>
        <v>Gene-Disease Validity</v>
      </c>
      <c r="S279" s="55" t="str">
        <f>IFERROR(__xludf.DUMMYFUNCTION("QUERY('Volunteer Survey'!L288)"),"Dosage Sensitivity")</f>
        <v>Dosage Sensitivity</v>
      </c>
      <c r="T279" s="55" t="str">
        <f>IFERROR(__xludf.DUMMYFUNCTION("QUERY('Volunteer Survey'!M288)"),"Somatic Cancer")</f>
        <v>Somatic Cancer</v>
      </c>
      <c r="U279" s="64" t="str">
        <f>IFERROR(__xludf.DUMMYFUNCTION("QUERY('Volunteer Survey'!N288)"),"I was lead scientist for variant interpretation at a clinical laboratory")</f>
        <v>I was lead scientist for variant interpretation at a clinical laboratory</v>
      </c>
      <c r="V279" s="55" t="str">
        <f>IFERROR(__xludf.DUMMYFUNCTION("QUERY('Volunteer Survey'!O288)"),"Possibly")</f>
        <v>Possibly</v>
      </c>
      <c r="W279" s="66" t="str">
        <f>IFERROR(__xludf.DUMMYFUNCTION("QUERY('Volunteer Survey'!P288)"),"")</f>
        <v/>
      </c>
      <c r="X279" s="64" t="str">
        <f>IFERROR(__xludf.DUMMYFUNCTION("QUERY('Volunteer Survey'!R288)"),"Maybe -- please contact me with other options, and I will decide based on what is available")</f>
        <v>Maybe -- please contact me with other options, and I will decide based on what is available</v>
      </c>
      <c r="Y279" s="53"/>
      <c r="Z279" s="182">
        <f>IFERROR(__xludf.DUMMYFUNCTION("QUERY('Volunteer Survey'!A278)"),43693.47499200231)</f>
        <v>43693.47499</v>
      </c>
      <c r="AA279" s="183" t="str">
        <f>IFERROR(__xludf.DUMMYFUNCTION("QUERY('Volunteer Survey'!B278)"),"Niroshi Senaratne")</f>
        <v>Niroshi Senaratne</v>
      </c>
      <c r="AB279" s="183" t="str">
        <f>IFERROR(__xludf.DUMMYFUNCTION("QUERY('Volunteer Survey'!C278)"),"University of California, Los Angeles")</f>
        <v>University of California, Los Angeles</v>
      </c>
      <c r="AC279" s="183" t="str">
        <f>IFERROR(__xludf.DUMMYFUNCTION("QUERY('Volunteer Survey'!D278)"),"")</f>
        <v/>
      </c>
      <c r="AD279" s="183" t="str">
        <f>IFERROR(__xludf.DUMMYFUNCTION("QUERY('Volunteer Survey'!E278)"),"niroshi.senaratne@gmail.com")</f>
        <v>niroshi.senaratne@gmail.com</v>
      </c>
      <c r="AE279" s="183" t="str">
        <f>IFERROR(__xludf.DUMMYFUNCTION("QUERY('Volunteer Survey'!F278)"),"Clinical laboratory geneticist")</f>
        <v>Clinical laboratory geneticist</v>
      </c>
      <c r="AF279" s="183" t="str">
        <f>IFERROR(__xludf.DUMMYFUNCTION("QUERY('Volunteer Survey'!G278)"),"Colleagues")</f>
        <v>Colleagues</v>
      </c>
      <c r="AG279" s="183" t="str">
        <f>IFERROR(__xludf.DUMMYFUNCTION("QUERY('Volunteer Survey'!H278)"),"Comprehensive")</f>
        <v>Comprehensive</v>
      </c>
      <c r="AH279" s="183" t="str">
        <f>IFERROR(__xludf.DUMMYFUNCTION("QUERY('Volunteer Survey'!I278)"),"Dosage Sensitivity")</f>
        <v>Dosage Sensitivity</v>
      </c>
      <c r="AI279" s="183" t="str">
        <f>IFERROR(__xludf.DUMMYFUNCTION("QUERY('Volunteer Survey'!J278)"),"")</f>
        <v/>
      </c>
      <c r="AJ279" s="183" t="str">
        <f>IFERROR(__xludf.DUMMYFUNCTION("QUERY('Volunteer Survey'!K278)"),"")</f>
        <v/>
      </c>
      <c r="AK279" s="183" t="str">
        <f>IFERROR(__xludf.DUMMYFUNCTION("QUERY('Volunteer Survey'!L278)"),"")</f>
        <v/>
      </c>
      <c r="AL279" s="183" t="str">
        <f>IFERROR(__xludf.DUMMYFUNCTION("QUERY('Volunteer Survey'!M278)"),"")</f>
        <v/>
      </c>
      <c r="AM279" s="183" t="str">
        <f>IFERROR(__xludf.DUMMYFUNCTION("QUERY('Volunteer Survey'!N278)"),"Yes, having worked on constitutional chromosomal microarrays during my fellowship (referred for a variety of indications including autism and other neurodevelopmental disorders) I have often had to research novel CNVs for evidence of dosage pathogenicity.")</f>
        <v>Yes, having worked on constitutional chromosomal microarrays during my fellowship (referred for a variety of indications including autism and other neurodevelopmental disorders) I have often had to research novel CNVs for evidence of dosage pathogenicity.</v>
      </c>
      <c r="AN279" s="183" t="str">
        <f>IFERROR(__xludf.DUMMYFUNCTION("QUERY('Volunteer Survey'!O278)"),"Possibly")</f>
        <v>Possibly</v>
      </c>
      <c r="AO279" s="183" t="str">
        <f>IFERROR(__xludf.DUMMYFUNCTION("QUERY('Volunteer Survey'!P278)"),"Dosage sensitivity (neurodevelopmental genes subgroup)")</f>
        <v>Dosage sensitivity (neurodevelopmental genes subgroup)</v>
      </c>
    </row>
    <row r="280">
      <c r="A280" s="50">
        <f>IFERROR(__xludf.DUMMYFUNCTION("QUERY('Volunteer Survey'!A289)"),43707.296979108796)</f>
        <v>43707.29698</v>
      </c>
      <c r="B280" s="48" t="s">
        <v>108</v>
      </c>
      <c r="C280" s="79">
        <v>43819.0</v>
      </c>
      <c r="D280" s="55"/>
      <c r="E280" s="55"/>
      <c r="F280" s="48" t="s">
        <v>130</v>
      </c>
      <c r="G280" s="48" t="s">
        <v>122</v>
      </c>
      <c r="H280" s="53"/>
      <c r="I280" s="51" t="s">
        <v>139</v>
      </c>
      <c r="J280" s="55"/>
      <c r="K280" s="55"/>
      <c r="L280" s="55" t="str">
        <f>IFERROR(__xludf.DUMMYFUNCTION("QUERY('Volunteer Survey'!B289)"),"Laura Roht")</f>
        <v>Laura Roht</v>
      </c>
      <c r="M280" s="55" t="str">
        <f>IFERROR(__xludf.DUMMYFUNCTION("QUERY('Volunteer Survey'!E289)"),"laura.roht@kliinikum.ee")</f>
        <v>laura.roht@kliinikum.ee</v>
      </c>
      <c r="N280" s="55" t="str">
        <f>IFERROR(__xludf.DUMMYFUNCTION("QUERY('Volunteer Survey'!F289)"),"Clinical Medical Geneticist")</f>
        <v>Clinical Medical Geneticist</v>
      </c>
      <c r="O280" s="48" t="str">
        <f>IFERROR(__xludf.DUMMYFUNCTION("QUERY('Volunteer Survey'!H289)"),"Comprehensive")</f>
        <v>Comprehensive</v>
      </c>
      <c r="P280" s="55" t="str">
        <f>IFERROR(__xludf.DUMMYFUNCTION("QUERY('Volunteer Survey'!I289)"),"Gene-Disease Validity")</f>
        <v>Gene-Disease Validity</v>
      </c>
      <c r="Q280" s="60" t="str">
        <f>IFERROR(__xludf.DUMMYFUNCTION("QUERY('Volunteer Survey'!J289)"),"Variant Pathogenicity")</f>
        <v>Variant Pathogenicity</v>
      </c>
      <c r="R280" s="55" t="str">
        <f>IFERROR(__xludf.DUMMYFUNCTION("QUERY('Volunteer Survey'!K289)"),"")</f>
        <v/>
      </c>
      <c r="S280" s="55" t="str">
        <f>IFERROR(__xludf.DUMMYFUNCTION("QUERY('Volunteer Survey'!L289)"),"")</f>
        <v/>
      </c>
      <c r="T280" s="55" t="str">
        <f>IFERROR(__xludf.DUMMYFUNCTION("QUERY('Volunteer Survey'!M289)"),"")</f>
        <v/>
      </c>
      <c r="U280" s="64" t="str">
        <f>IFERROR(__xludf.DUMMYFUNCTION("QUERY('Volunteer Survey'!N289)"),"")</f>
        <v/>
      </c>
      <c r="V280" s="55" t="str">
        <f>IFERROR(__xludf.DUMMYFUNCTION("QUERY('Volunteer Survey'!O289)"),"Possibly")</f>
        <v>Possibly</v>
      </c>
      <c r="W280" s="66" t="str">
        <f>IFERROR(__xludf.DUMMYFUNCTION("QUERY('Volunteer Survey'!P289)"),"Hereditary Cancer")</f>
        <v>Hereditary Cancer</v>
      </c>
      <c r="X280" s="64" t="str">
        <f>IFERROR(__xludf.DUMMYFUNCTION("QUERY('Volunteer Survey'!R289)"),"Maybe -- please contact me with other options, and I will decide based on what is available")</f>
        <v>Maybe -- please contact me with other options, and I will decide based on what is available</v>
      </c>
      <c r="Y280" s="53"/>
      <c r="Z280" s="182">
        <f>IFERROR(__xludf.DUMMYFUNCTION("QUERY('Volunteer Survey'!A279)"),43693.47666775463)</f>
        <v>43693.47667</v>
      </c>
      <c r="AA280" s="183" t="str">
        <f>IFERROR(__xludf.DUMMYFUNCTION("QUERY('Volunteer Survey'!B279)"),"FENGLI ZHANG")</f>
        <v>FENGLI ZHANG</v>
      </c>
      <c r="AB280" s="183" t="str">
        <f>IFERROR(__xludf.DUMMYFUNCTION("QUERY('Volunteer Survey'!C279)"),"UNIVERSITY OF WISCONSIN")</f>
        <v>UNIVERSITY OF WISCONSIN</v>
      </c>
      <c r="AC280" s="183" t="str">
        <f>IFERROR(__xludf.DUMMYFUNCTION("QUERY('Volunteer Survey'!D279)"),"")</f>
        <v/>
      </c>
      <c r="AD280" s="183" t="str">
        <f>IFERROR(__xludf.DUMMYFUNCTION("QUERY('Volunteer Survey'!E279)"),"fengli.zhang@slh.wisc.edu")</f>
        <v>fengli.zhang@slh.wisc.edu</v>
      </c>
      <c r="AE280" s="183" t="str">
        <f>IFERROR(__xludf.DUMMYFUNCTION("QUERY('Volunteer Survey'!F279)"),"Clinical laboratory geneticist")</f>
        <v>Clinical laboratory geneticist</v>
      </c>
      <c r="AF280" s="183" t="str">
        <f>IFERROR(__xludf.DUMMYFUNCTION("QUERY('Volunteer Survey'!G279)"),"The clinicalgenome.org website")</f>
        <v>The clinicalgenome.org website</v>
      </c>
      <c r="AG280" s="183" t="str">
        <f>IFERROR(__xludf.DUMMYFUNCTION("QUERY('Volunteer Survey'!H279)"),"Comprehensive")</f>
        <v>Comprehensive</v>
      </c>
      <c r="AH280" s="183" t="str">
        <f>IFERROR(__xludf.DUMMYFUNCTION("QUERY('Volunteer Survey'!I279)"),"Somatic Cancer")</f>
        <v>Somatic Cancer</v>
      </c>
      <c r="AI280" s="183" t="str">
        <f>IFERROR(__xludf.DUMMYFUNCTION("QUERY('Volunteer Survey'!J279)"),"Variant Pathogenicity")</f>
        <v>Variant Pathogenicity</v>
      </c>
      <c r="AJ280" s="183" t="str">
        <f>IFERROR(__xludf.DUMMYFUNCTION("QUERY('Volunteer Survey'!K279)"),"Gene-Disease Validity")</f>
        <v>Gene-Disease Validity</v>
      </c>
      <c r="AK280" s="183" t="str">
        <f>IFERROR(__xludf.DUMMYFUNCTION("QUERY('Volunteer Survey'!L279)"),"Dosage Sensitivity")</f>
        <v>Dosage Sensitivity</v>
      </c>
      <c r="AL280" s="183" t="str">
        <f>IFERROR(__xludf.DUMMYFUNCTION("QUERY('Volunteer Survey'!M279)"),"Clinical Actionability")</f>
        <v>Clinical Actionability</v>
      </c>
      <c r="AM280" s="183" t="str">
        <f>IFERROR(__xludf.DUMMYFUNCTION("QUERY('Volunteer Survey'!N279)"),"YES. ")</f>
        <v>YES. </v>
      </c>
      <c r="AN280" s="183" t="str">
        <f>IFERROR(__xludf.DUMMYFUNCTION("QUERY('Volunteer Survey'!O279)"),"Yes")</f>
        <v>Yes</v>
      </c>
      <c r="AO280" s="183" t="str">
        <f>IFERROR(__xludf.DUMMYFUNCTION("QUERY('Volunteer Survey'!P279)"),"")</f>
        <v/>
      </c>
    </row>
    <row r="281">
      <c r="A281" s="50">
        <f>IFERROR(__xludf.DUMMYFUNCTION("QUERY('Volunteer Survey'!A290)"),43707.80857268518)</f>
        <v>43707.80857</v>
      </c>
      <c r="B281" s="48" t="s">
        <v>108</v>
      </c>
      <c r="C281" s="53"/>
      <c r="D281" s="55"/>
      <c r="E281" s="55"/>
      <c r="F281" s="48" t="s">
        <v>130</v>
      </c>
      <c r="G281" s="48" t="s">
        <v>313</v>
      </c>
      <c r="H281" s="53"/>
      <c r="I281" s="51" t="s">
        <v>139</v>
      </c>
      <c r="J281" s="55"/>
      <c r="K281" s="55"/>
      <c r="L281" s="55" t="str">
        <f>IFERROR(__xludf.DUMMYFUNCTION("QUERY('Volunteer Survey'!B290)"),"Donia Hany Mostafa ")</f>
        <v>Donia Hany Mostafa </v>
      </c>
      <c r="M281" s="55" t="str">
        <f>IFERROR(__xludf.DUMMYFUNCTION("QUERY('Volunteer Survey'!E290)"),"donia.1518105@stemkalubya.moe.edu.eg")</f>
        <v>donia.1518105@stemkalubya.moe.edu.eg</v>
      </c>
      <c r="N281" s="55" t="str">
        <f>IFERROR(__xludf.DUMMYFUNCTION("QUERY('Volunteer Survey'!F290)"),"Undergraduate Student")</f>
        <v>Undergraduate Student</v>
      </c>
      <c r="O281" s="48" t="str">
        <f>IFERROR(__xludf.DUMMYFUNCTION("QUERY('Volunteer Survey'!H290)"),"Comprehensive")</f>
        <v>Comprehensive</v>
      </c>
      <c r="P281" s="55" t="str">
        <f>IFERROR(__xludf.DUMMYFUNCTION("QUERY('Volunteer Survey'!I290)"),"Somatic Cancer")</f>
        <v>Somatic Cancer</v>
      </c>
      <c r="Q281" s="60" t="str">
        <f>IFERROR(__xludf.DUMMYFUNCTION("QUERY('Volunteer Survey'!J290)"),"Dosage Sensitivity")</f>
        <v>Dosage Sensitivity</v>
      </c>
      <c r="R281" s="55" t="str">
        <f>IFERROR(__xludf.DUMMYFUNCTION("QUERY('Volunteer Survey'!K290)"),"Gene-Disease Validity")</f>
        <v>Gene-Disease Validity</v>
      </c>
      <c r="S281" s="55" t="str">
        <f>IFERROR(__xludf.DUMMYFUNCTION("QUERY('Volunteer Survey'!L290)"),"Clinical Actionability")</f>
        <v>Clinical Actionability</v>
      </c>
      <c r="T281" s="55" t="str">
        <f>IFERROR(__xludf.DUMMYFUNCTION("QUERY('Volunteer Survey'!M290)"),"Variant Pathogenicity")</f>
        <v>Variant Pathogenicity</v>
      </c>
      <c r="U281" s="64" t="str">
        <f>IFERROR(__xludf.DUMMYFUNCTION("QUERY('Volunteer Survey'!N290)"),"")</f>
        <v/>
      </c>
      <c r="V281" s="55" t="str">
        <f>IFERROR(__xludf.DUMMYFUNCTION("QUERY('Volunteer Survey'!O290)"),"No")</f>
        <v>No</v>
      </c>
      <c r="W281" s="66" t="str">
        <f>IFERROR(__xludf.DUMMYFUNCTION("QUERY('Volunteer Survey'!P290)"),"Yes, I am very interested about being in group that will help me to do many researches and will help me to be through a new experience. ")</f>
        <v>Yes, I am very interested about being in group that will help me to do many researches and will help me to be through a new experience. </v>
      </c>
      <c r="X281" s="64" t="str">
        <f>IFERROR(__xludf.DUMMYFUNCTION("QUERY('Volunteer Survey'!R290)"),"Maybe -- please contact me with other options, and I will decide based on what is available")</f>
        <v>Maybe -- please contact me with other options, and I will decide based on what is available</v>
      </c>
      <c r="Y281" s="53"/>
      <c r="Z281" s="182">
        <f>IFERROR(__xludf.DUMMYFUNCTION("QUERY('Volunteer Survey'!A280)"),43693.871890752314)</f>
        <v>43693.87189</v>
      </c>
      <c r="AA281" s="183" t="str">
        <f>IFERROR(__xludf.DUMMYFUNCTION("QUERY('Volunteer Survey'!B280)"),"Madhu Ouseph")</f>
        <v>Madhu Ouseph</v>
      </c>
      <c r="AB281" s="183" t="str">
        <f>IFERROR(__xludf.DUMMYFUNCTION("QUERY('Volunteer Survey'!C280)"),"Stanford University ")</f>
        <v>Stanford University </v>
      </c>
      <c r="AC281" s="183" t="str">
        <f>IFERROR(__xludf.DUMMYFUNCTION("QUERY('Volunteer Survey'!D280)"),"3377 Hillview Avenue, Palo Alto, CA")</f>
        <v>3377 Hillview Avenue, Palo Alto, CA</v>
      </c>
      <c r="AD281" s="183" t="str">
        <f>IFERROR(__xludf.DUMMYFUNCTION("QUERY('Volunteer Survey'!E280)"),"mouseph@stanford.edu")</f>
        <v>mouseph@stanford.edu</v>
      </c>
      <c r="AE281" s="183" t="str">
        <f>IFERROR(__xludf.DUMMYFUNCTION("QUERY('Volunteer Survey'!F280)"),"Post Doc/Resident/Fellow (MD and/or PhD)")</f>
        <v>Post Doc/Resident/Fellow (MD and/or PhD)</v>
      </c>
      <c r="AF281" s="183" t="str">
        <f>IFERROR(__xludf.DUMMYFUNCTION("QUERY('Volunteer Survey'!G280)"),"Colleagues")</f>
        <v>Colleagues</v>
      </c>
      <c r="AG281" s="183" t="str">
        <f>IFERROR(__xludf.DUMMYFUNCTION("QUERY('Volunteer Survey'!H280)"),"Comprehensive")</f>
        <v>Comprehensive</v>
      </c>
      <c r="AH281" s="183" t="str">
        <f>IFERROR(__xludf.DUMMYFUNCTION("QUERY('Volunteer Survey'!I280)"),"Variant Pathogenicity")</f>
        <v>Variant Pathogenicity</v>
      </c>
      <c r="AI281" s="183" t="str">
        <f>IFERROR(__xludf.DUMMYFUNCTION("QUERY('Volunteer Survey'!J280)"),"Somatic Cancer")</f>
        <v>Somatic Cancer</v>
      </c>
      <c r="AJ281" s="183" t="str">
        <f>IFERROR(__xludf.DUMMYFUNCTION("QUERY('Volunteer Survey'!K280)"),"Clinical Actionability")</f>
        <v>Clinical Actionability</v>
      </c>
      <c r="AK281" s="183" t="str">
        <f>IFERROR(__xludf.DUMMYFUNCTION("QUERY('Volunteer Survey'!L280)"),"Dosage Sensitivity")</f>
        <v>Dosage Sensitivity</v>
      </c>
      <c r="AL281" s="183" t="str">
        <f>IFERROR(__xludf.DUMMYFUNCTION("QUERY('Volunteer Survey'!M280)"),"Gene-Disease Validity")</f>
        <v>Gene-Disease Validity</v>
      </c>
      <c r="AM281" s="183" t="str">
        <f>IFERROR(__xludf.DUMMYFUNCTION("QUERY('Volunteer Survey'!N280)"),"Currently involved in annotation of variants identified in NGS assays")</f>
        <v>Currently involved in annotation of variants identified in NGS assays</v>
      </c>
      <c r="AN281" s="183" t="str">
        <f>IFERROR(__xludf.DUMMYFUNCTION("QUERY('Volunteer Survey'!O280)"),"Possibly")</f>
        <v>Possibly</v>
      </c>
      <c r="AO281" s="183" t="str">
        <f>IFERROR(__xludf.DUMMYFUNCTION("QUERY('Volunteer Survey'!P280)"),"Myeloid Malignancy")</f>
        <v>Myeloid Malignancy</v>
      </c>
    </row>
    <row r="282">
      <c r="A282" s="50">
        <f>IFERROR(__xludf.DUMMYFUNCTION("QUERY('Volunteer Survey'!A291)"),43711.08206508102)</f>
        <v>43711.08207</v>
      </c>
      <c r="B282" s="48" t="s">
        <v>108</v>
      </c>
      <c r="C282" s="79">
        <v>43819.0</v>
      </c>
      <c r="D282" s="55"/>
      <c r="E282" s="55"/>
      <c r="F282" s="48" t="s">
        <v>130</v>
      </c>
      <c r="G282" s="48" t="s">
        <v>251</v>
      </c>
      <c r="H282" s="53"/>
      <c r="I282" s="51" t="s">
        <v>139</v>
      </c>
      <c r="J282" s="55"/>
      <c r="K282" s="55"/>
      <c r="L282" s="55" t="str">
        <f>IFERROR(__xludf.DUMMYFUNCTION("QUERY('Volunteer Survey'!B291)"),"Xin Chen")</f>
        <v>Xin Chen</v>
      </c>
      <c r="M282" s="55" t="str">
        <f>IFERROR(__xludf.DUMMYFUNCTION("QUERY('Volunteer Survey'!E291)"),"chenx30nju@gmail.com")</f>
        <v>chenx30nju@gmail.com</v>
      </c>
      <c r="N282" s="55" t="str">
        <f>IFERROR(__xludf.DUMMYFUNCTION("QUERY('Volunteer Survey'!F291)"),"Post Doc/Resident/Fellow (MD and/or PhD)")</f>
        <v>Post Doc/Resident/Fellow (MD and/or PhD)</v>
      </c>
      <c r="O282" s="48" t="str">
        <f>IFERROR(__xludf.DUMMYFUNCTION("QUERY('Volunteer Survey'!H291)"),"Comprehensive")</f>
        <v>Comprehensive</v>
      </c>
      <c r="P282" s="55" t="str">
        <f>IFERROR(__xludf.DUMMYFUNCTION("QUERY('Volunteer Survey'!I291)"),"Variant Pathogenicity")</f>
        <v>Variant Pathogenicity</v>
      </c>
      <c r="Q282" s="60" t="str">
        <f>IFERROR(__xludf.DUMMYFUNCTION("QUERY('Volunteer Survey'!J291)"),"Somatic Cancer")</f>
        <v>Somatic Cancer</v>
      </c>
      <c r="R282" s="55" t="str">
        <f>IFERROR(__xludf.DUMMYFUNCTION("QUERY('Volunteer Survey'!K291)"),"Gene-Disease Validity")</f>
        <v>Gene-Disease Validity</v>
      </c>
      <c r="S282" s="55" t="str">
        <f>IFERROR(__xludf.DUMMYFUNCTION("QUERY('Volunteer Survey'!L291)"),"Dosage Sensitivity")</f>
        <v>Dosage Sensitivity</v>
      </c>
      <c r="T282" s="55" t="str">
        <f>IFERROR(__xludf.DUMMYFUNCTION("QUERY('Volunteer Survey'!M291)"),"Clinical Actionability")</f>
        <v>Clinical Actionability</v>
      </c>
      <c r="U282" s="64" t="str">
        <f>IFERROR(__xludf.DUMMYFUNCTION("QUERY('Volunteer Survey'!N291)"),"During my PhD study, I summarized all the reported mutations of the gene SETX that were reported to cause neurodegenerative disease AOA2, generated the mutations in the budding yeast model, and experimentally verified the defects caused by the mutations. ")</f>
        <v>During my PhD study, I summarized all the reported mutations of the gene SETX that were reported to cause neurodegenerative disease AOA2, generated the mutations in the budding yeast model, and experimentally verified the defects caused by the mutations. </v>
      </c>
      <c r="V282" s="55" t="str">
        <f>IFERROR(__xludf.DUMMYFUNCTION("QUERY('Volunteer Survey'!O291)"),"Possibly")</f>
        <v>Possibly</v>
      </c>
      <c r="W282" s="66" t="str">
        <f>IFERROR(__xludf.DUMMYFUNCTION("QUERY('Volunteer Survey'!P291)"),"I am open to any opportunity.")</f>
        <v>I am open to any opportunity.</v>
      </c>
      <c r="X282" s="64" t="str">
        <f>IFERROR(__xludf.DUMMYFUNCTION("QUERY('Volunteer Survey'!R291)"),"Yes- I am willing to volunteer with any available ClinGen group")</f>
        <v>Yes- I am willing to volunteer with any available ClinGen group</v>
      </c>
      <c r="Y282" s="53"/>
      <c r="Z282" s="182">
        <f>IFERROR(__xludf.DUMMYFUNCTION("QUERY('Volunteer Survey'!A281)"),43695.721074687506)</f>
        <v>43695.72107</v>
      </c>
      <c r="AA282" s="183" t="str">
        <f>IFERROR(__xludf.DUMMYFUNCTION("QUERY('Volunteer Survey'!B281)"),"Janey Youngblom")</f>
        <v>Janey Youngblom</v>
      </c>
      <c r="AB282" s="183" t="str">
        <f>IFERROR(__xludf.DUMMYFUNCTION("QUERY('Volunteer Survey'!C281)"),"California State University, Stanislaus")</f>
        <v>California State University, Stanislaus</v>
      </c>
      <c r="AC282" s="183" t="str">
        <f>IFERROR(__xludf.DUMMYFUNCTION("QUERY('Volunteer Survey'!D281)"),"1083 El Paseo St., Turlock, CA 95380")</f>
        <v>1083 El Paseo St., Turlock, CA 95380</v>
      </c>
      <c r="AD282" s="183" t="str">
        <f>IFERROR(__xludf.DUMMYFUNCTION("QUERY('Volunteer Survey'!E281)"),"jyoungblom1@csustan.edu")</f>
        <v>jyoungblom1@csustan.edu</v>
      </c>
      <c r="AE282" s="183" t="str">
        <f>IFERROR(__xludf.DUMMYFUNCTION("QUERY('Volunteer Survey'!F281)"),"Scientific Researcher")</f>
        <v>Scientific Researcher</v>
      </c>
      <c r="AF282" s="183" t="str">
        <f>IFERROR(__xludf.DUMMYFUNCTION("QUERY('Volunteer Survey'!G281)"),"Colleagues")</f>
        <v>Colleagues</v>
      </c>
      <c r="AG282" s="183" t="str">
        <f>IFERROR(__xludf.DUMMYFUNCTION("QUERY('Volunteer Survey'!H281)"),"Comprehensive")</f>
        <v>Comprehensive</v>
      </c>
      <c r="AH282" s="183" t="str">
        <f>IFERROR(__xludf.DUMMYFUNCTION("QUERY('Volunteer Survey'!I281)"),"Variant Pathogenicity")</f>
        <v>Variant Pathogenicity</v>
      </c>
      <c r="AI282" s="183" t="str">
        <f>IFERROR(__xludf.DUMMYFUNCTION("QUERY('Volunteer Survey'!J281)"),"Gene-Disease Validity")</f>
        <v>Gene-Disease Validity</v>
      </c>
      <c r="AJ282" s="183" t="str">
        <f>IFERROR(__xludf.DUMMYFUNCTION("QUERY('Volunteer Survey'!K281)"),"Clinical Actionability")</f>
        <v>Clinical Actionability</v>
      </c>
      <c r="AK282" s="183" t="str">
        <f>IFERROR(__xludf.DUMMYFUNCTION("QUERY('Volunteer Survey'!L281)"),"Dosage Sensitivity")</f>
        <v>Dosage Sensitivity</v>
      </c>
      <c r="AL282" s="183" t="str">
        <f>IFERROR(__xludf.DUMMYFUNCTION("QUERY('Volunteer Survey'!M281)"),"Somatic Cancer")</f>
        <v>Somatic Cancer</v>
      </c>
      <c r="AM282" s="183" t="str">
        <f>IFERROR(__xludf.DUMMYFUNCTION("QUERY('Volunteer Survey'!N281)"),"As the Associate Director of a Genetic Counseling Program, I have helped organize and participate in Variant Curation Workshops for training genetic counselors in the variant curation process.  I have also organized a workshop for training university scie"&amp;"nce faculty in the variant curation process so they can start integrating this training module into their undergraduate coursework as a CURES (course-based undergraduate research experience) component. ")</f>
        <v>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v>
      </c>
      <c r="AN282" s="183" t="str">
        <f>IFERROR(__xludf.DUMMYFUNCTION("QUERY('Volunteer Survey'!O281)"),"Possibly")</f>
        <v>Possibly</v>
      </c>
      <c r="AO282" s="183" t="str">
        <f>IFERROR(__xludf.DUMMYFUNCTION("QUERY('Volunteer Survey'!P281)"),"Familial Hypercholesterolemia")</f>
        <v>Familial Hypercholesterolemia</v>
      </c>
    </row>
    <row r="283">
      <c r="A283" s="50">
        <f>IFERROR(__xludf.DUMMYFUNCTION("QUERY('Volunteer Survey'!A292)"),43711.38992238426)</f>
        <v>43711.38992</v>
      </c>
      <c r="B283" s="48" t="s">
        <v>108</v>
      </c>
      <c r="C283" s="53"/>
      <c r="D283" s="56">
        <v>43626.0</v>
      </c>
      <c r="E283" s="48" t="s">
        <v>117</v>
      </c>
      <c r="F283" s="48" t="s">
        <v>117</v>
      </c>
      <c r="G283" s="48" t="s">
        <v>251</v>
      </c>
      <c r="H283" s="53"/>
      <c r="I283" s="51" t="s">
        <v>356</v>
      </c>
      <c r="J283" s="55"/>
      <c r="K283" s="55"/>
      <c r="L283" s="55" t="str">
        <f>IFERROR(__xludf.DUMMYFUNCTION("QUERY('Volunteer Survey'!B292)"),"Tomohiko Ai")</f>
        <v>Tomohiko Ai</v>
      </c>
      <c r="M283" s="55" t="str">
        <f>IFERROR(__xludf.DUMMYFUNCTION("QUERY('Volunteer Survey'!E292)"),"Tomohiko.Ai@osumc.edu")</f>
        <v>Tomohiko.Ai@osumc.edu</v>
      </c>
      <c r="N283" s="55" t="str">
        <f>IFERROR(__xludf.DUMMYFUNCTION("QUERY('Volunteer Survey'!F292)"),"Scientific Researcher")</f>
        <v>Scientific Researcher</v>
      </c>
      <c r="O283" s="48" t="str">
        <f>IFERROR(__xludf.DUMMYFUNCTION("QUERY('Volunteer Survey'!H292)"),"Comprehensive")</f>
        <v>Comprehensive</v>
      </c>
      <c r="P283" s="55" t="str">
        <f>IFERROR(__xludf.DUMMYFUNCTION("QUERY('Volunteer Survey'!I292)"),"Variant Pathogenicity")</f>
        <v>Variant Pathogenicity</v>
      </c>
      <c r="Q283" s="60" t="str">
        <f>IFERROR(__xludf.DUMMYFUNCTION("QUERY('Volunteer Survey'!J292)"),"")</f>
        <v/>
      </c>
      <c r="R283" s="55" t="str">
        <f>IFERROR(__xludf.DUMMYFUNCTION("QUERY('Volunteer Survey'!K292)"),"")</f>
        <v/>
      </c>
      <c r="S283" s="55" t="str">
        <f>IFERROR(__xludf.DUMMYFUNCTION("QUERY('Volunteer Survey'!L292)"),"")</f>
        <v/>
      </c>
      <c r="T283" s="55" t="str">
        <f>IFERROR(__xludf.DUMMYFUNCTION("QUERY('Volunteer Survey'!M292)"),"")</f>
        <v/>
      </c>
      <c r="U283" s="64" t="str">
        <f>IFERROR(__xludf.DUMMYFUNCTION("QUERY('Volunteer Survey'!N292)"),"")</f>
        <v/>
      </c>
      <c r="V283" s="55" t="str">
        <f>IFERROR(__xludf.DUMMYFUNCTION("QUERY('Volunteer Survey'!O292)"),"")</f>
        <v/>
      </c>
      <c r="W283" s="66" t="str">
        <f>IFERROR(__xludf.DUMMYFUNCTION("QUERY('Volunteer Survey'!P292)"),"")</f>
        <v/>
      </c>
      <c r="X283" s="64" t="str">
        <f>IFERROR(__xludf.DUMMYFUNCTION("QUERY('Volunteer Survey'!R292)"),"")</f>
        <v/>
      </c>
      <c r="Y283" s="53"/>
      <c r="Z283" s="182">
        <f>IFERROR(__xludf.DUMMYFUNCTION("QUERY('Volunteer Survey'!A282)"),43696.33861744213)</f>
        <v>43696.33862</v>
      </c>
      <c r="AA283" s="183" t="str">
        <f>IFERROR(__xludf.DUMMYFUNCTION("QUERY('Volunteer Survey'!B282)"),"Andrew Stergachis")</f>
        <v>Andrew Stergachis</v>
      </c>
      <c r="AB283" s="183" t="str">
        <f>IFERROR(__xludf.DUMMYFUNCTION("QUERY('Volunteer Survey'!C282)"),"Brigham and Women's Hospital")</f>
        <v>Brigham and Women's Hospital</v>
      </c>
      <c r="AC283" s="183" t="str">
        <f>IFERROR(__xludf.DUMMYFUNCTION("QUERY('Volunteer Survey'!D282)"),"75 Francis St, Boston MA 02445")</f>
        <v>75 Francis St, Boston MA 02445</v>
      </c>
      <c r="AD283" s="183" t="str">
        <f>IFERROR(__xludf.DUMMYFUNCTION("QUERY('Volunteer Survey'!E282)"),"astergachis@bwh.harvard.edu")</f>
        <v>astergachis@bwh.harvard.edu</v>
      </c>
      <c r="AE283" s="183" t="str">
        <f>IFERROR(__xludf.DUMMYFUNCTION("QUERY('Volunteer Survey'!F282)"),"Post Doc/Resident/Fellow (MD and/or PhD)")</f>
        <v>Post Doc/Resident/Fellow (MD and/or PhD)</v>
      </c>
      <c r="AF283" s="183" t="str">
        <f>IFERROR(__xludf.DUMMYFUNCTION("QUERY('Volunteer Survey'!G282)"),"Colleagues")</f>
        <v>Colleagues</v>
      </c>
      <c r="AG283" s="183" t="str">
        <f>IFERROR(__xludf.DUMMYFUNCTION("QUERY('Volunteer Survey'!H282)"),"Comprehensive")</f>
        <v>Comprehensive</v>
      </c>
      <c r="AH283" s="183" t="str">
        <f>IFERROR(__xludf.DUMMYFUNCTION("QUERY('Volunteer Survey'!I282)"),"Clinical Actionability")</f>
        <v>Clinical Actionability</v>
      </c>
      <c r="AI283" s="183" t="str">
        <f>IFERROR(__xludf.DUMMYFUNCTION("QUERY('Volunteer Survey'!J282)"),"")</f>
        <v/>
      </c>
      <c r="AJ283" s="183" t="str">
        <f>IFERROR(__xludf.DUMMYFUNCTION("QUERY('Volunteer Survey'!K282)"),"")</f>
        <v/>
      </c>
      <c r="AK283" s="183" t="str">
        <f>IFERROR(__xludf.DUMMYFUNCTION("QUERY('Volunteer Survey'!L282)"),"")</f>
        <v/>
      </c>
      <c r="AL283" s="183" t="str">
        <f>IFERROR(__xludf.DUMMYFUNCTION("QUERY('Volunteer Survey'!M282)"),"")</f>
        <v/>
      </c>
      <c r="AM283" s="183" t="str">
        <f>IFERROR(__xludf.DUMMYFUNCTION("QUERY('Volunteer Survey'!N282)"),"Involved in the Partners BioBank return of results committee where we discuss the actionability of different genes.")</f>
        <v>Involved in the Partners BioBank return of results committee where we discuss the actionability of different genes.</v>
      </c>
      <c r="AN283" s="183" t="str">
        <f>IFERROR(__xludf.DUMMYFUNCTION("QUERY('Volunteer Survey'!O282)"),"Possibly")</f>
        <v>Possibly</v>
      </c>
      <c r="AO283" s="183" t="str">
        <f>IFERROR(__xludf.DUMMYFUNCTION("QUERY('Volunteer Survey'!P282)"),"Possibly ")</f>
        <v>Possibly </v>
      </c>
    </row>
    <row r="284">
      <c r="A284" s="50">
        <f>IFERROR(__xludf.DUMMYFUNCTION("QUERY('Volunteer Survey'!A293)"),43711.408003530094)</f>
        <v>43711.408</v>
      </c>
      <c r="B284" s="48" t="s">
        <v>108</v>
      </c>
      <c r="C284" s="53"/>
      <c r="D284" s="56">
        <v>43585.0</v>
      </c>
      <c r="E284" s="48" t="s">
        <v>117</v>
      </c>
      <c r="F284" s="48" t="s">
        <v>130</v>
      </c>
      <c r="G284" s="48" t="s">
        <v>122</v>
      </c>
      <c r="H284" s="53"/>
      <c r="I284" s="51" t="s">
        <v>356</v>
      </c>
      <c r="J284" s="56">
        <v>43712.0</v>
      </c>
      <c r="K284" s="56"/>
      <c r="L284" s="55" t="str">
        <f>IFERROR(__xludf.DUMMYFUNCTION("QUERY('Volunteer Survey'!B293)"),"Coumarane Mani")</f>
        <v>Coumarane Mani</v>
      </c>
      <c r="M284" s="55" t="str">
        <f>IFERROR(__xludf.DUMMYFUNCTION("QUERY('Volunteer Survey'!E293)"),"coumarane.mani@aruplab.com")</f>
        <v>coumarane.mani@aruplab.com</v>
      </c>
      <c r="N284" s="55" t="str">
        <f>IFERROR(__xludf.DUMMYFUNCTION("QUERY('Volunteer Survey'!F293)"),"Variant Analyst/Scientist - Industry")</f>
        <v>Variant Analyst/Scientist - Industry</v>
      </c>
      <c r="O284" s="48" t="str">
        <f>IFERROR(__xludf.DUMMYFUNCTION("QUERY('Volunteer Survey'!H293)"),"Comprehensive")</f>
        <v>Comprehensive</v>
      </c>
      <c r="P284" s="55" t="str">
        <f>IFERROR(__xludf.DUMMYFUNCTION("QUERY('Volunteer Survey'!I293)"),"Gene-Disease Validity")</f>
        <v>Gene-Disease Validity</v>
      </c>
      <c r="Q284" s="60" t="str">
        <f>IFERROR(__xludf.DUMMYFUNCTION("QUERY('Volunteer Survey'!J293)"),"")</f>
        <v/>
      </c>
      <c r="R284" s="55" t="str">
        <f>IFERROR(__xludf.DUMMYFUNCTION("QUERY('Volunteer Survey'!K293)"),"")</f>
        <v/>
      </c>
      <c r="S284" s="55" t="str">
        <f>IFERROR(__xludf.DUMMYFUNCTION("QUERY('Volunteer Survey'!L293)"),"")</f>
        <v/>
      </c>
      <c r="T284" s="55" t="str">
        <f>IFERROR(__xludf.DUMMYFUNCTION("QUERY('Volunteer Survey'!M293)"),"")</f>
        <v/>
      </c>
      <c r="U284" s="64" t="str">
        <f>IFERROR(__xludf.DUMMYFUNCTION("QUERY('Volunteer Survey'!N293)"),"")</f>
        <v/>
      </c>
      <c r="V284" s="55" t="str">
        <f>IFERROR(__xludf.DUMMYFUNCTION("QUERY('Volunteer Survey'!O293)"),"")</f>
        <v/>
      </c>
      <c r="W284" s="66" t="str">
        <f>IFERROR(__xludf.DUMMYFUNCTION("QUERY('Volunteer Survey'!P293)"),"")</f>
        <v/>
      </c>
      <c r="X284" s="64" t="str">
        <f>IFERROR(__xludf.DUMMYFUNCTION("QUERY('Volunteer Survey'!R293)"),"")</f>
        <v/>
      </c>
      <c r="Y284" s="53"/>
      <c r="Z284" s="182">
        <f>IFERROR(__xludf.DUMMYFUNCTION("QUERY('Volunteer Survey'!A283)"),43699.15815502315)</f>
        <v>43699.15816</v>
      </c>
      <c r="AA284" s="183" t="str">
        <f>IFERROR(__xludf.DUMMYFUNCTION("QUERY('Volunteer Survey'!B283)"),"Lalitha Venkateswaran")</f>
        <v>Lalitha Venkateswaran</v>
      </c>
      <c r="AB284" s="183" t="str">
        <f>IFERROR(__xludf.DUMMYFUNCTION("QUERY('Volunteer Survey'!C283)"),"Self-employed (Genomics and LifeSciences)")</f>
        <v>Self-employed (Genomics and LifeSciences)</v>
      </c>
      <c r="AC284" s="183" t="str">
        <f>IFERROR(__xludf.DUMMYFUNCTION("QUERY('Volunteer Survey'!D283)"),"Pune, India")</f>
        <v>Pune, India</v>
      </c>
      <c r="AD284" s="183" t="str">
        <f>IFERROR(__xludf.DUMMYFUNCTION("QUERY('Volunteer Survey'!E283)"),"lalithapv19@gmail.com")</f>
        <v>lalithapv19@gmail.com</v>
      </c>
      <c r="AE284" s="183" t="str">
        <f>IFERROR(__xludf.DUMMYFUNCTION("QUERY('Volunteer Survey'!F283)"),"Variant Analyst/Scientist - Industry")</f>
        <v>Variant Analyst/Scientist - Industry</v>
      </c>
      <c r="AF284" s="183" t="str">
        <f>IFERROR(__xludf.DUMMYFUNCTION("QUERY('Volunteer Survey'!G283)"),"Networking")</f>
        <v>Networking</v>
      </c>
      <c r="AG284" s="183" t="str">
        <f>IFERROR(__xludf.DUMMYFUNCTION("QUERY('Volunteer Survey'!H283)"),"Comprehensive")</f>
        <v>Comprehensive</v>
      </c>
      <c r="AH284" s="183" t="str">
        <f>IFERROR(__xludf.DUMMYFUNCTION("QUERY('Volunteer Survey'!I283)"),"Clinical Actionability")</f>
        <v>Clinical Actionability</v>
      </c>
      <c r="AI284" s="183" t="str">
        <f>IFERROR(__xludf.DUMMYFUNCTION("QUERY('Volunteer Survey'!J283)"),"Variant Pathogenicity")</f>
        <v>Variant Pathogenicity</v>
      </c>
      <c r="AJ284" s="183" t="str">
        <f>IFERROR(__xludf.DUMMYFUNCTION("QUERY('Volunteer Survey'!K283)"),"Gene-Disease Validity")</f>
        <v>Gene-Disease Validity</v>
      </c>
      <c r="AK284" s="183" t="str">
        <f>IFERROR(__xludf.DUMMYFUNCTION("QUERY('Volunteer Survey'!L283)"),"Dosage Sensitivity")</f>
        <v>Dosage Sensitivity</v>
      </c>
      <c r="AL284" s="183" t="str">
        <f>IFERROR(__xludf.DUMMYFUNCTION("QUERY('Volunteer Survey'!M283)"),"Somatic Cancer")</f>
        <v>Somatic Cancer</v>
      </c>
      <c r="AM284" s="183" t="str">
        <f>IFERROR(__xludf.DUMMYFUNCTION("QUERY('Volunteer Survey'!N283)"),"Yes! I have led a team of curators in several Genomic projects. I have worked with Blueprint Genetics and Sema4. I have conducted training and workshops on the basics of curation and scientific writing.")</f>
        <v>Yes! I have led a team of curators in several Genomic projects. I have worked with Blueprint Genetics and Sema4. I have conducted training and workshops on the basics of curation and scientific writing.</v>
      </c>
      <c r="AN284" s="183" t="str">
        <f>IFERROR(__xludf.DUMMYFUNCTION("QUERY('Volunteer Survey'!O283)"),"Yes")</f>
        <v>Yes</v>
      </c>
      <c r="AO284" s="183" t="str">
        <f>IFERROR(__xludf.DUMMYFUNCTION("QUERY('Volunteer Survey'!P283)"),"")</f>
        <v/>
      </c>
    </row>
    <row r="285">
      <c r="A285" s="50">
        <f>IFERROR(__xludf.DUMMYFUNCTION("QUERY('Volunteer Survey'!A294)"),43711.40908538195)</f>
        <v>43711.40909</v>
      </c>
      <c r="B285" s="48" t="s">
        <v>108</v>
      </c>
      <c r="C285" s="53"/>
      <c r="D285" s="56">
        <v>43605.0</v>
      </c>
      <c r="E285" s="48" t="s">
        <v>117</v>
      </c>
      <c r="F285" s="48" t="s">
        <v>117</v>
      </c>
      <c r="G285" s="48" t="s">
        <v>251</v>
      </c>
      <c r="H285" s="53"/>
      <c r="I285" s="51" t="s">
        <v>1229</v>
      </c>
      <c r="J285" s="55"/>
      <c r="K285" s="55"/>
      <c r="L285" s="55" t="str">
        <f>IFERROR(__xludf.DUMMYFUNCTION("QUERY('Volunteer Survey'!B294)"),"Coumarane Mani")</f>
        <v>Coumarane Mani</v>
      </c>
      <c r="M285" s="55" t="str">
        <f>IFERROR(__xludf.DUMMYFUNCTION("QUERY('Volunteer Survey'!E294)"),"coumarane.mani@aruplab.com")</f>
        <v>coumarane.mani@aruplab.com</v>
      </c>
      <c r="N285" s="55" t="str">
        <f>IFERROR(__xludf.DUMMYFUNCTION("QUERY('Volunteer Survey'!F294)"),"Variant Analyst/Scientist - Industry")</f>
        <v>Variant Analyst/Scientist - Industry</v>
      </c>
      <c r="O285" s="48" t="str">
        <f>IFERROR(__xludf.DUMMYFUNCTION("QUERY('Volunteer Survey'!H294)"),"Comprehensive")</f>
        <v>Comprehensive</v>
      </c>
      <c r="P285" s="55" t="str">
        <f>IFERROR(__xludf.DUMMYFUNCTION("QUERY('Volunteer Survey'!I294)"),"Variant Pathogenicity")</f>
        <v>Variant Pathogenicity</v>
      </c>
      <c r="Q285" s="60" t="str">
        <f>IFERROR(__xludf.DUMMYFUNCTION("QUERY('Volunteer Survey'!J294)"),"")</f>
        <v/>
      </c>
      <c r="R285" s="55" t="str">
        <f>IFERROR(__xludf.DUMMYFUNCTION("QUERY('Volunteer Survey'!K294)"),"")</f>
        <v/>
      </c>
      <c r="S285" s="55" t="str">
        <f>IFERROR(__xludf.DUMMYFUNCTION("QUERY('Volunteer Survey'!L294)"),"")</f>
        <v/>
      </c>
      <c r="T285" s="55" t="str">
        <f>IFERROR(__xludf.DUMMYFUNCTION("QUERY('Volunteer Survey'!M294)"),"")</f>
        <v/>
      </c>
      <c r="U285" s="64" t="str">
        <f>IFERROR(__xludf.DUMMYFUNCTION("QUERY('Volunteer Survey'!N294)"),"")</f>
        <v/>
      </c>
      <c r="V285" s="55" t="str">
        <f>IFERROR(__xludf.DUMMYFUNCTION("QUERY('Volunteer Survey'!O294)"),"")</f>
        <v/>
      </c>
      <c r="W285" s="66" t="str">
        <f>IFERROR(__xludf.DUMMYFUNCTION("QUERY('Volunteer Survey'!P294)"),"")</f>
        <v/>
      </c>
      <c r="X285" s="64" t="str">
        <f>IFERROR(__xludf.DUMMYFUNCTION("QUERY('Volunteer Survey'!R294)"),"")</f>
        <v/>
      </c>
      <c r="Y285" s="53"/>
      <c r="Z285" s="182">
        <f>IFERROR(__xludf.DUMMYFUNCTION("QUERY('Volunteer Survey'!A284)"),43699.4692784838)</f>
        <v>43699.46928</v>
      </c>
      <c r="AA285" s="183" t="str">
        <f>IFERROR(__xludf.DUMMYFUNCTION("QUERY('Volunteer Survey'!B284)"),"Caterina Clementi")</f>
        <v>Caterina Clementi</v>
      </c>
      <c r="AB285" s="183" t="str">
        <f>IFERROR(__xludf.DUMMYFUNCTION("QUERY('Volunteer Survey'!C284)"),"Celmatix, Inc.")</f>
        <v>Celmatix, Inc.</v>
      </c>
      <c r="AC285" s="183" t="str">
        <f>IFERROR(__xludf.DUMMYFUNCTION("QUERY('Volunteer Survey'!D284)"),"14 wall street")</f>
        <v>14 wall street</v>
      </c>
      <c r="AD285" s="183" t="str">
        <f>IFERROR(__xludf.DUMMYFUNCTION("QUERY('Volunteer Survey'!E284)"),"caterina.clementi@gmail.com")</f>
        <v>caterina.clementi@gmail.com</v>
      </c>
      <c r="AE285" s="183" t="str">
        <f>IFERROR(__xludf.DUMMYFUNCTION("QUERY('Volunteer Survey'!F284)"),"Variant Analyst/Scientist - Industry")</f>
        <v>Variant Analyst/Scientist - Industry</v>
      </c>
      <c r="AF285" s="183" t="str">
        <f>IFERROR(__xludf.DUMMYFUNCTION("QUERY('Volunteer Survey'!G284)"),"The clinicalgenome.org website")</f>
        <v>The clinicalgenome.org website</v>
      </c>
      <c r="AG285" s="183" t="str">
        <f>IFERROR(__xludf.DUMMYFUNCTION("QUERY('Volunteer Survey'!H284)"),"Comprehensive")</f>
        <v>Comprehensive</v>
      </c>
      <c r="AH285" s="183" t="str">
        <f>IFERROR(__xludf.DUMMYFUNCTION("QUERY('Volunteer Survey'!I284)"),"Variant Pathogenicity")</f>
        <v>Variant Pathogenicity</v>
      </c>
      <c r="AI285" s="183" t="str">
        <f>IFERROR(__xludf.DUMMYFUNCTION("QUERY('Volunteer Survey'!J284)"),"Gene-Disease Validity")</f>
        <v>Gene-Disease Validity</v>
      </c>
      <c r="AJ285" s="183" t="str">
        <f>IFERROR(__xludf.DUMMYFUNCTION("QUERY('Volunteer Survey'!K284)"),"Clinical Actionability")</f>
        <v>Clinical Actionability</v>
      </c>
      <c r="AK285" s="183" t="str">
        <f>IFERROR(__xludf.DUMMYFUNCTION("QUERY('Volunteer Survey'!L284)"),"")</f>
        <v/>
      </c>
      <c r="AL285" s="183" t="str">
        <f>IFERROR(__xludf.DUMMYFUNCTION("QUERY('Volunteer Survey'!M284)"),"")</f>
        <v/>
      </c>
      <c r="AM285" s="183" t="str">
        <f>IFERROR(__xludf.DUMMYFUNCTION("QUERY('Volunteer Survey'!N284)"),"Yes, I applied the ClinGen framework to score the clinical validity of gene-condition associations in the context of reproductive conditions")</f>
        <v>Yes, I applied the ClinGen framework to score the clinical validity of gene-condition associations in the context of reproductive conditions</v>
      </c>
      <c r="AN285" s="183" t="str">
        <f>IFERROR(__xludf.DUMMYFUNCTION("QUERY('Volunteer Survey'!O284)"),"Possibly")</f>
        <v>Possibly</v>
      </c>
      <c r="AO285" s="183" t="str">
        <f>IFERROR(__xludf.DUMMYFUNCTION("QUERY('Volunteer Survey'!P284)"),"Metabolic conditions")</f>
        <v>Metabolic conditions</v>
      </c>
    </row>
    <row r="286">
      <c r="A286" s="50">
        <f>IFERROR(__xludf.DUMMYFUNCTION("QUERY('Volunteer Survey'!A295)"),43711.41408498842)</f>
        <v>43711.41408</v>
      </c>
      <c r="B286" s="48" t="s">
        <v>108</v>
      </c>
      <c r="C286" s="53"/>
      <c r="D286" s="56">
        <v>47258.0</v>
      </c>
      <c r="E286" s="48" t="s">
        <v>117</v>
      </c>
      <c r="F286" s="48" t="s">
        <v>117</v>
      </c>
      <c r="G286" s="48" t="s">
        <v>251</v>
      </c>
      <c r="H286" s="53"/>
      <c r="I286" s="51" t="s">
        <v>356</v>
      </c>
      <c r="J286" s="55"/>
      <c r="K286" s="55"/>
      <c r="L286" s="55" t="str">
        <f>IFERROR(__xludf.DUMMYFUNCTION("QUERY('Volunteer Survey'!B295)"),"Diogo Ventura Lovato")</f>
        <v>Diogo Ventura Lovato</v>
      </c>
      <c r="M286" s="55" t="str">
        <f>IFERROR(__xludf.DUMMYFUNCTION("QUERY('Volunteer Survey'!E295)"),"diogo.v.lovato@gmail.com")</f>
        <v>diogo.v.lovato@gmail.com</v>
      </c>
      <c r="N286" s="55" t="str">
        <f>IFERROR(__xludf.DUMMYFUNCTION("QUERY('Volunteer Survey'!F295)"),"Clinical laboratory geneticist")</f>
        <v>Clinical laboratory geneticist</v>
      </c>
      <c r="O286" s="48" t="str">
        <f>IFERROR(__xludf.DUMMYFUNCTION("QUERY('Volunteer Survey'!H295)"),"Comprehensive")</f>
        <v>Comprehensive</v>
      </c>
      <c r="P286" s="55" t="str">
        <f>IFERROR(__xludf.DUMMYFUNCTION("QUERY('Volunteer Survey'!I295)"),"Variant Pathogenicity")</f>
        <v>Variant Pathogenicity</v>
      </c>
      <c r="Q286" s="60" t="str">
        <f>IFERROR(__xludf.DUMMYFUNCTION("QUERY('Volunteer Survey'!J295)"),"")</f>
        <v/>
      </c>
      <c r="R286" s="55" t="str">
        <f>IFERROR(__xludf.DUMMYFUNCTION("QUERY('Volunteer Survey'!K295)"),"")</f>
        <v/>
      </c>
      <c r="S286" s="55" t="str">
        <f>IFERROR(__xludf.DUMMYFUNCTION("QUERY('Volunteer Survey'!L295)"),"")</f>
        <v/>
      </c>
      <c r="T286" s="55" t="str">
        <f>IFERROR(__xludf.DUMMYFUNCTION("QUERY('Volunteer Survey'!M295)"),"")</f>
        <v/>
      </c>
      <c r="U286" s="64" t="str">
        <f>IFERROR(__xludf.DUMMYFUNCTION("QUERY('Volunteer Survey'!N295)"),"")</f>
        <v/>
      </c>
      <c r="V286" s="55" t="str">
        <f>IFERROR(__xludf.DUMMYFUNCTION("QUERY('Volunteer Survey'!O295)"),"")</f>
        <v/>
      </c>
      <c r="W286" s="66" t="str">
        <f>IFERROR(__xludf.DUMMYFUNCTION("QUERY('Volunteer Survey'!P295)"),"")</f>
        <v/>
      </c>
      <c r="X286" s="64" t="str">
        <f>IFERROR(__xludf.DUMMYFUNCTION("QUERY('Volunteer Survey'!R295)"),"")</f>
        <v/>
      </c>
      <c r="Y286" s="53"/>
      <c r="Z286" s="182">
        <f>IFERROR(__xludf.DUMMYFUNCTION("QUERY('Volunteer Survey'!A285)"),43701.87979853009)</f>
        <v>43701.8798</v>
      </c>
      <c r="AA286" s="183" t="str">
        <f>IFERROR(__xludf.DUMMYFUNCTION("QUERY('Volunteer Survey'!B285)"),"Catherine Spellicy")</f>
        <v>Catherine Spellicy</v>
      </c>
      <c r="AB286" s="183" t="str">
        <f>IFERROR(__xludf.DUMMYFUNCTION("QUERY('Volunteer Survey'!C285)"),"Myriad Women's Health")</f>
        <v>Myriad Women's Health</v>
      </c>
      <c r="AC286" s="183" t="str">
        <f>IFERROR(__xludf.DUMMYFUNCTION("QUERY('Volunteer Survey'!D285)"),"233 School Rd Asheville NC 28806")</f>
        <v>233 School Rd Asheville NC 28806</v>
      </c>
      <c r="AD286" s="183" t="str">
        <f>IFERROR(__xludf.DUMMYFUNCTION("QUERY('Volunteer Survey'!E285)"),"cspellic@counsyl.com")</f>
        <v>cspellic@counsyl.com</v>
      </c>
      <c r="AE286" s="183" t="str">
        <f>IFERROR(__xludf.DUMMYFUNCTION("QUERY('Volunteer Survey'!F285)"),"Clinical laboratory geneticist")</f>
        <v>Clinical laboratory geneticist</v>
      </c>
      <c r="AF286" s="183" t="str">
        <f>IFERROR(__xludf.DUMMYFUNCTION("QUERY('Volunteer Survey'!G285)"),"ACMG Conference 2019")</f>
        <v>ACMG Conference 2019</v>
      </c>
      <c r="AG286" s="183" t="str">
        <f>IFERROR(__xludf.DUMMYFUNCTION("QUERY('Volunteer Survey'!H285)"),"Comprehensive")</f>
        <v>Comprehensive</v>
      </c>
      <c r="AH286" s="183" t="str">
        <f>IFERROR(__xludf.DUMMYFUNCTION("QUERY('Volunteer Survey'!I285)"),"Variant Pathogenicity")</f>
        <v>Variant Pathogenicity</v>
      </c>
      <c r="AI286" s="183" t="str">
        <f>IFERROR(__xludf.DUMMYFUNCTION("QUERY('Volunteer Survey'!J285)"),"Gene-Disease Validity")</f>
        <v>Gene-Disease Validity</v>
      </c>
      <c r="AJ286" s="183" t="str">
        <f>IFERROR(__xludf.DUMMYFUNCTION("QUERY('Volunteer Survey'!K285)"),"")</f>
        <v/>
      </c>
      <c r="AK286" s="183" t="str">
        <f>IFERROR(__xludf.DUMMYFUNCTION("QUERY('Volunteer Survey'!L285)"),"")</f>
        <v/>
      </c>
      <c r="AL286" s="183" t="str">
        <f>IFERROR(__xludf.DUMMYFUNCTION("QUERY('Volunteer Survey'!M285)"),"")</f>
        <v/>
      </c>
      <c r="AM286" s="183" t="str">
        <f>IFERROR(__xludf.DUMMYFUNCTION("QUERY('Volunteer Survey'!N285)"),"Many hours experience with variant analysis and classification.")</f>
        <v>Many hours experience with variant analysis and classification.</v>
      </c>
      <c r="AN286" s="183" t="str">
        <f>IFERROR(__xludf.DUMMYFUNCTION("QUERY('Volunteer Survey'!O285)"),"Possibly")</f>
        <v>Possibly</v>
      </c>
      <c r="AO286" s="183" t="str">
        <f>IFERROR(__xludf.DUMMYFUNCTION("QUERY('Volunteer Survey'!P285)"),"Sequence Variant Interpretation")</f>
        <v>Sequence Variant Interpretation</v>
      </c>
    </row>
    <row r="287">
      <c r="A287" s="50">
        <f>IFERROR(__xludf.DUMMYFUNCTION("QUERY('Volunteer Survey'!A296)"),43711.41696469907)</f>
        <v>43711.41696</v>
      </c>
      <c r="B287" s="48" t="s">
        <v>108</v>
      </c>
      <c r="C287" s="53"/>
      <c r="D287" s="56">
        <v>43626.0</v>
      </c>
      <c r="E287" s="48" t="s">
        <v>117</v>
      </c>
      <c r="F287" s="48" t="s">
        <v>130</v>
      </c>
      <c r="G287" s="48" t="s">
        <v>251</v>
      </c>
      <c r="H287" s="53"/>
      <c r="I287" s="51" t="s">
        <v>356</v>
      </c>
      <c r="J287" s="55"/>
      <c r="K287" s="55"/>
      <c r="L287" s="55" t="str">
        <f>IFERROR(__xludf.DUMMYFUNCTION("QUERY('Volunteer Survey'!B296)"),"Elaine Spector")</f>
        <v>Elaine Spector</v>
      </c>
      <c r="M287" s="55" t="str">
        <f>IFERROR(__xludf.DUMMYFUNCTION("QUERY('Volunteer Survey'!E296)"),"elaine.spector@childrenscolorado.org")</f>
        <v>elaine.spector@childrenscolorado.org</v>
      </c>
      <c r="N287" s="55" t="str">
        <f>IFERROR(__xludf.DUMMYFUNCTION("QUERY('Volunteer Survey'!F296)"),"Clinical laboratory geneticist")</f>
        <v>Clinical laboratory geneticist</v>
      </c>
      <c r="O287" s="48" t="str">
        <f>IFERROR(__xludf.DUMMYFUNCTION("QUERY('Volunteer Survey'!H296)"),"Comprehensive")</f>
        <v>Comprehensive</v>
      </c>
      <c r="P287" s="55" t="str">
        <f>IFERROR(__xludf.DUMMYFUNCTION("QUERY('Volunteer Survey'!I296)"),"Variant Pathogenicity")</f>
        <v>Variant Pathogenicity</v>
      </c>
      <c r="Q287" s="60" t="str">
        <f>IFERROR(__xludf.DUMMYFUNCTION("QUERY('Volunteer Survey'!J296)"),"")</f>
        <v/>
      </c>
      <c r="R287" s="55" t="str">
        <f>IFERROR(__xludf.DUMMYFUNCTION("QUERY('Volunteer Survey'!K296)"),"")</f>
        <v/>
      </c>
      <c r="S287" s="55" t="str">
        <f>IFERROR(__xludf.DUMMYFUNCTION("QUERY('Volunteer Survey'!L296)"),"")</f>
        <v/>
      </c>
      <c r="T287" s="55" t="str">
        <f>IFERROR(__xludf.DUMMYFUNCTION("QUERY('Volunteer Survey'!M296)"),"")</f>
        <v/>
      </c>
      <c r="U287" s="64" t="str">
        <f>IFERROR(__xludf.DUMMYFUNCTION("QUERY('Volunteer Survey'!N296)"),"")</f>
        <v/>
      </c>
      <c r="V287" s="55" t="str">
        <f>IFERROR(__xludf.DUMMYFUNCTION("QUERY('Volunteer Survey'!O296)"),"")</f>
        <v/>
      </c>
      <c r="W287" s="66" t="str">
        <f>IFERROR(__xludf.DUMMYFUNCTION("QUERY('Volunteer Survey'!P296)"),"")</f>
        <v/>
      </c>
      <c r="X287" s="64" t="str">
        <f>IFERROR(__xludf.DUMMYFUNCTION("QUERY('Volunteer Survey'!R296)"),"")</f>
        <v/>
      </c>
      <c r="Y287" s="53"/>
      <c r="Z287" s="182">
        <f>IFERROR(__xludf.DUMMYFUNCTION("QUERY('Volunteer Survey'!A286)"),43703.24914248843)</f>
        <v>43703.24914</v>
      </c>
      <c r="AA287" s="183" t="str">
        <f>IFERROR(__xludf.DUMMYFUNCTION("QUERY('Volunteer Survey'!B286)"),"Julie P Taylor")</f>
        <v>Julie P Taylor</v>
      </c>
      <c r="AB287" s="183" t="str">
        <f>IFERROR(__xludf.DUMMYFUNCTION("QUERY('Volunteer Survey'!C286)"),"Illumina ")</f>
        <v>Illumina </v>
      </c>
      <c r="AC287" s="183" t="str">
        <f>IFERROR(__xludf.DUMMYFUNCTION("QUERY('Volunteer Survey'!D286)"),"")</f>
        <v/>
      </c>
      <c r="AD287" s="183" t="str">
        <f>IFERROR(__xludf.DUMMYFUNCTION("QUERY('Volunteer Survey'!E286)"),"jtaylor1@illumina.com")</f>
        <v>jtaylor1@illumina.com</v>
      </c>
      <c r="AE287" s="183" t="str">
        <f>IFERROR(__xludf.DUMMYFUNCTION("QUERY('Volunteer Survey'!F286)"),"Biocurator")</f>
        <v>Biocurator</v>
      </c>
      <c r="AF287" s="183" t="str">
        <f>IFERROR(__xludf.DUMMYFUNCTION("QUERY('Volunteer Survey'!G286)"),"Suggestion from mentor")</f>
        <v>Suggestion from mentor</v>
      </c>
      <c r="AG287" s="183" t="str">
        <f>IFERROR(__xludf.DUMMYFUNCTION("QUERY('Volunteer Survey'!H286)"),"Comprehensive")</f>
        <v>Comprehensive</v>
      </c>
      <c r="AH287" s="183" t="str">
        <f>IFERROR(__xludf.DUMMYFUNCTION("QUERY('Volunteer Survey'!I286)"),"Gene-Disease Validity")</f>
        <v>Gene-Disease Validity</v>
      </c>
      <c r="AI287" s="183" t="str">
        <f>IFERROR(__xludf.DUMMYFUNCTION("QUERY('Volunteer Survey'!J286)"),"")</f>
        <v/>
      </c>
      <c r="AJ287" s="183" t="str">
        <f>IFERROR(__xludf.DUMMYFUNCTION("QUERY('Volunteer Survey'!K286)"),"")</f>
        <v/>
      </c>
      <c r="AK287" s="183" t="str">
        <f>IFERROR(__xludf.DUMMYFUNCTION("QUERY('Volunteer Survey'!L286)"),"")</f>
        <v/>
      </c>
      <c r="AL287" s="183" t="str">
        <f>IFERROR(__xludf.DUMMYFUNCTION("QUERY('Volunteer Survey'!M286)"),"")</f>
        <v/>
      </c>
      <c r="AM287" s="183" t="str">
        <f>IFERROR(__xludf.DUMMYFUNCTION("QUERY('Volunteer Survey'!N286)"),"ClinGen Gene Curation is part of my role as a curation scientist at Illumina.")</f>
        <v>ClinGen Gene Curation is part of my role as a curation scientist at Illumina.</v>
      </c>
      <c r="AN287" s="183" t="str">
        <f>IFERROR(__xludf.DUMMYFUNCTION("QUERY('Volunteer Survey'!O286)"),"Yes")</f>
        <v>Yes</v>
      </c>
      <c r="AO287" s="183" t="str">
        <f>IFERROR(__xludf.DUMMYFUNCTION("QUERY('Volunteer Survey'!P286)"),"")</f>
        <v/>
      </c>
    </row>
    <row r="288">
      <c r="A288" s="50">
        <f>IFERROR(__xludf.DUMMYFUNCTION("QUERY('Volunteer Survey'!A297)"),43711.422284594904)</f>
        <v>43711.42228</v>
      </c>
      <c r="B288" s="48" t="s">
        <v>108</v>
      </c>
      <c r="C288" s="53"/>
      <c r="D288" s="56">
        <v>43608.0</v>
      </c>
      <c r="E288" s="48" t="s">
        <v>117</v>
      </c>
      <c r="F288" s="48" t="s">
        <v>117</v>
      </c>
      <c r="G288" s="48" t="s">
        <v>251</v>
      </c>
      <c r="H288" s="51" t="s">
        <v>305</v>
      </c>
      <c r="I288" s="51" t="s">
        <v>356</v>
      </c>
      <c r="J288" s="56">
        <v>43712.0</v>
      </c>
      <c r="K288" s="56"/>
      <c r="L288" s="55" t="str">
        <f>IFERROR(__xludf.DUMMYFUNCTION("QUERY('Volunteer Survey'!B297)"),"Laura Fuqua")</f>
        <v>Laura Fuqua</v>
      </c>
      <c r="M288" s="55" t="str">
        <f>IFERROR(__xludf.DUMMYFUNCTION("QUERY('Volunteer Survey'!E297)"),"laura.fuqua@gmail.com")</f>
        <v>laura.fuqua@gmail.com</v>
      </c>
      <c r="N288" s="55" t="str">
        <f>IFERROR(__xludf.DUMMYFUNCTION("QUERY('Volunteer Survey'!F297)"),"Genetic counselor")</f>
        <v>Genetic counselor</v>
      </c>
      <c r="O288" s="48" t="str">
        <f>IFERROR(__xludf.DUMMYFUNCTION("QUERY('Volunteer Survey'!H297)"),"Comprehensive")</f>
        <v>Comprehensive</v>
      </c>
      <c r="P288" s="55" t="str">
        <f>IFERROR(__xludf.DUMMYFUNCTION("QUERY('Volunteer Survey'!I297)"),"Variant Pathogenicity")</f>
        <v>Variant Pathogenicity</v>
      </c>
      <c r="Q288" s="60" t="str">
        <f>IFERROR(__xludf.DUMMYFUNCTION("QUERY('Volunteer Survey'!J297)"),"")</f>
        <v/>
      </c>
      <c r="R288" s="55" t="str">
        <f>IFERROR(__xludf.DUMMYFUNCTION("QUERY('Volunteer Survey'!K297)"),"")</f>
        <v/>
      </c>
      <c r="S288" s="55" t="str">
        <f>IFERROR(__xludf.DUMMYFUNCTION("QUERY('Volunteer Survey'!L297)"),"")</f>
        <v/>
      </c>
      <c r="T288" s="55" t="str">
        <f>IFERROR(__xludf.DUMMYFUNCTION("QUERY('Volunteer Survey'!M297)"),"")</f>
        <v/>
      </c>
      <c r="U288" s="64" t="str">
        <f>IFERROR(__xludf.DUMMYFUNCTION("QUERY('Volunteer Survey'!N297)"),"")</f>
        <v/>
      </c>
      <c r="V288" s="55" t="str">
        <f>IFERROR(__xludf.DUMMYFUNCTION("QUERY('Volunteer Survey'!O297)"),"")</f>
        <v/>
      </c>
      <c r="W288" s="66" t="str">
        <f>IFERROR(__xludf.DUMMYFUNCTION("QUERY('Volunteer Survey'!P297)"),"")</f>
        <v/>
      </c>
      <c r="X288" s="64" t="str">
        <f>IFERROR(__xludf.DUMMYFUNCTION("QUERY('Volunteer Survey'!R297)"),"")</f>
        <v/>
      </c>
      <c r="Y288" s="53"/>
      <c r="Z288" s="182">
        <f>IFERROR(__xludf.DUMMYFUNCTION("QUERY('Volunteer Survey'!A287)"),43703.62807980324)</f>
        <v>43703.62808</v>
      </c>
      <c r="AA288" s="183" t="str">
        <f>IFERROR(__xludf.DUMMYFUNCTION("QUERY('Volunteer Survey'!B287)"),"Charlene Preys")</f>
        <v>Charlene Preys</v>
      </c>
      <c r="AB288" s="183" t="str">
        <f>IFERROR(__xludf.DUMMYFUNCTION("QUERY('Volunteer Survey'!C287)"),"Endicott College/Genomes2People")</f>
        <v>Endicott College/Genomes2People</v>
      </c>
      <c r="AC288" s="183" t="str">
        <f>IFERROR(__xludf.DUMMYFUNCTION("QUERY('Volunteer Survey'!D287)"),"41 Avenue Louis Pasture Boston, MA 02115")</f>
        <v>41 Avenue Louis Pasture Boston, MA 02115</v>
      </c>
      <c r="AD288" s="183" t="str">
        <f>IFERROR(__xludf.DUMMYFUNCTION("QUERY('Volunteer Survey'!E287)"),"clpreys@bwh.harvard.edu")</f>
        <v>clpreys@bwh.harvard.edu</v>
      </c>
      <c r="AE288" s="183" t="str">
        <f>IFERROR(__xludf.DUMMYFUNCTION("QUERY('Volunteer Survey'!F287)"),"Undergraduate Student")</f>
        <v>Undergraduate Student</v>
      </c>
      <c r="AF288" s="183" t="str">
        <f>IFERROR(__xludf.DUMMYFUNCTION("QUERY('Volunteer Survey'!G287)"),"ClinGen conference advertisements (i.e. booth, workshop, presentation)")</f>
        <v>ClinGen conference advertisements (i.e. booth, workshop, presentation)</v>
      </c>
      <c r="AG288" s="183" t="str">
        <f>IFERROR(__xludf.DUMMYFUNCTION("QUERY('Volunteer Survey'!H287)"),"Comprehensive")</f>
        <v>Comprehensive</v>
      </c>
      <c r="AH288" s="183" t="str">
        <f>IFERROR(__xludf.DUMMYFUNCTION("QUERY('Volunteer Survey'!I287)"),"Gene-Disease Validity")</f>
        <v>Gene-Disease Validity</v>
      </c>
      <c r="AI288" s="183" t="str">
        <f>IFERROR(__xludf.DUMMYFUNCTION("QUERY('Volunteer Survey'!J287)"),"")</f>
        <v/>
      </c>
      <c r="AJ288" s="183" t="str">
        <f>IFERROR(__xludf.DUMMYFUNCTION("QUERY('Volunteer Survey'!K287)"),"")</f>
        <v/>
      </c>
      <c r="AK288" s="183" t="str">
        <f>IFERROR(__xludf.DUMMYFUNCTION("QUERY('Volunteer Survey'!L287)"),"")</f>
        <v/>
      </c>
      <c r="AL288" s="183" t="str">
        <f>IFERROR(__xludf.DUMMYFUNCTION("QUERY('Volunteer Survey'!M287)"),"")</f>
        <v/>
      </c>
      <c r="AM288" s="183" t="str">
        <f>IFERROR(__xludf.DUMMYFUNCTION("QUERY('Volunteer Survey'!N287)"),"")</f>
        <v/>
      </c>
      <c r="AN288" s="183" t="str">
        <f>IFERROR(__xludf.DUMMYFUNCTION("QUERY('Volunteer Survey'!O287)"),"")</f>
        <v/>
      </c>
      <c r="AO288" s="183" t="str">
        <f>IFERROR(__xludf.DUMMYFUNCTION("QUERY('Volunteer Survey'!P287)"),"TP53 or Mitochondrial (will gladly help any panel/working group) - Hereditary cancer, Hemostasis or Congenital Myopathy")</f>
        <v>TP53 or Mitochondrial (will gladly help any panel/working group) - Hereditary cancer, Hemostasis or Congenital Myopathy</v>
      </c>
    </row>
    <row r="289">
      <c r="A289" s="50">
        <f>IFERROR(__xludf.DUMMYFUNCTION("QUERY('Volunteer Survey'!A298)"),43712.77477491898)</f>
        <v>43712.77477</v>
      </c>
      <c r="B289" s="48" t="s">
        <v>322</v>
      </c>
      <c r="C289" s="53"/>
      <c r="D289" s="55"/>
      <c r="E289" s="55"/>
      <c r="F289" s="48" t="s">
        <v>130</v>
      </c>
      <c r="G289" s="48" t="s">
        <v>313</v>
      </c>
      <c r="H289" s="53"/>
      <c r="I289" s="53"/>
      <c r="J289" s="55"/>
      <c r="K289" s="55"/>
      <c r="L289" s="55" t="str">
        <f>IFERROR(__xludf.DUMMYFUNCTION("QUERY('Volunteer Survey'!B298)"),"Kelly McGoldrick")</f>
        <v>Kelly McGoldrick</v>
      </c>
      <c r="M289" s="55" t="str">
        <f>IFERROR(__xludf.DUMMYFUNCTION("QUERY('Volunteer Survey'!E298)"),"kmcgoldrick@ambrygenetics.com")</f>
        <v>kmcgoldrick@ambrygenetics.com</v>
      </c>
      <c r="N289" s="55" t="str">
        <f>IFERROR(__xludf.DUMMYFUNCTION("QUERY('Volunteer Survey'!F298)"),"Variant Analyst/Scientist - Industry")</f>
        <v>Variant Analyst/Scientist - Industry</v>
      </c>
      <c r="O289" s="48" t="str">
        <f>IFERROR(__xludf.DUMMYFUNCTION("QUERY('Volunteer Survey'!H298)"),"Comprehensive")</f>
        <v>Comprehensive</v>
      </c>
      <c r="P289" s="55" t="str">
        <f>IFERROR(__xludf.DUMMYFUNCTION("QUERY('Volunteer Survey'!I298)"),"")</f>
        <v/>
      </c>
      <c r="Q289" s="60" t="str">
        <f>IFERROR(__xludf.DUMMYFUNCTION("QUERY('Volunteer Survey'!J298)"),"")</f>
        <v/>
      </c>
      <c r="R289" s="55" t="str">
        <f>IFERROR(__xludf.DUMMYFUNCTION("QUERY('Volunteer Survey'!K298)"),"")</f>
        <v/>
      </c>
      <c r="S289" s="55" t="str">
        <f>IFERROR(__xludf.DUMMYFUNCTION("QUERY('Volunteer Survey'!L298)"),"")</f>
        <v/>
      </c>
      <c r="T289" s="55" t="str">
        <f>IFERROR(__xludf.DUMMYFUNCTION("QUERY('Volunteer Survey'!M298)"),"")</f>
        <v/>
      </c>
      <c r="U289" s="64" t="str">
        <f>IFERROR(__xludf.DUMMYFUNCTION("QUERY('Volunteer Survey'!N298)"),"I am a variant curation scientist at Ambry Genetics")</f>
        <v>I am a variant curation scientist at Ambry Genetics</v>
      </c>
      <c r="V289" s="55" t="str">
        <f>IFERROR(__xludf.DUMMYFUNCTION("QUERY('Volunteer Survey'!O298)"),"Possibly")</f>
        <v>Possibly</v>
      </c>
      <c r="W289" s="66" t="str">
        <f>IFERROR(__xludf.DUMMYFUNCTION("QUERY('Volunteer Survey'!P298)"),"Already a member of TP53 and VHL groups")</f>
        <v>Already a member of TP53 and VHL groups</v>
      </c>
      <c r="X289" s="64" t="str">
        <f>IFERROR(__xludf.DUMMYFUNCTION("QUERY('Volunteer Survey'!R298)"),"No - I am only interested in the group(s) I previously indicated")</f>
        <v>No - I am only interested in the group(s) I previously indicated</v>
      </c>
      <c r="Y289" s="53"/>
      <c r="Z289" s="182">
        <f>IFERROR(__xludf.DUMMYFUNCTION("QUERY('Volunteer Survey'!A288)"),43705.80924916667)</f>
        <v>43705.80925</v>
      </c>
      <c r="AA289" s="183" t="str">
        <f>IFERROR(__xludf.DUMMYFUNCTION("QUERY('Volunteer Survey'!B288)"),"Edgar Ramirez")</f>
        <v>Edgar Ramirez</v>
      </c>
      <c r="AB289" s="183" t="str">
        <f>IFERROR(__xludf.DUMMYFUNCTION("QUERY('Volunteer Survey'!C288)"),"Imagine Biotechnologies")</f>
        <v>Imagine Biotechnologies</v>
      </c>
      <c r="AC289" s="183" t="str">
        <f>IFERROR(__xludf.DUMMYFUNCTION("QUERY('Volunteer Survey'!D288)"),"Paseo de la Rosita 507-A. Campestre La Rosita. Torreón, Coahuila, México. CP 27250")</f>
        <v>Paseo de la Rosita 507-A. Campestre La Rosita. Torreón, Coahuila, México. CP 27250</v>
      </c>
      <c r="AD289" s="183" t="str">
        <f>IFERROR(__xludf.DUMMYFUNCTION("QUERY('Volunteer Survey'!E288)"),"e.ramirezr@hotmail.com")</f>
        <v>e.ramirezr@hotmail.com</v>
      </c>
      <c r="AE289" s="183" t="str">
        <f>IFERROR(__xludf.DUMMYFUNCTION("QUERY('Volunteer Survey'!F288)"),"Scientific Researcher")</f>
        <v>Scientific Researcher</v>
      </c>
      <c r="AF289" s="183" t="str">
        <f>IFERROR(__xludf.DUMMYFUNCTION("QUERY('Volunteer Survey'!G288)"),"The clinicalgenome.org website")</f>
        <v>The clinicalgenome.org website</v>
      </c>
      <c r="AG289" s="183" t="str">
        <f>IFERROR(__xludf.DUMMYFUNCTION("QUERY('Volunteer Survey'!H288)"),"Comprehensive")</f>
        <v>Comprehensive</v>
      </c>
      <c r="AH289" s="183" t="str">
        <f>IFERROR(__xludf.DUMMYFUNCTION("QUERY('Volunteer Survey'!I288)"),"Variant Pathogenicity")</f>
        <v>Variant Pathogenicity</v>
      </c>
      <c r="AI289" s="183" t="str">
        <f>IFERROR(__xludf.DUMMYFUNCTION("QUERY('Volunteer Survey'!J288)"),"Clinical Actionability")</f>
        <v>Clinical Actionability</v>
      </c>
      <c r="AJ289" s="183" t="str">
        <f>IFERROR(__xludf.DUMMYFUNCTION("QUERY('Volunteer Survey'!K288)"),"Gene-Disease Validity")</f>
        <v>Gene-Disease Validity</v>
      </c>
      <c r="AK289" s="183" t="str">
        <f>IFERROR(__xludf.DUMMYFUNCTION("QUERY('Volunteer Survey'!L288)"),"Dosage Sensitivity")</f>
        <v>Dosage Sensitivity</v>
      </c>
      <c r="AL289" s="183" t="str">
        <f>IFERROR(__xludf.DUMMYFUNCTION("QUERY('Volunteer Survey'!M288)"),"Somatic Cancer")</f>
        <v>Somatic Cancer</v>
      </c>
      <c r="AM289" s="183" t="str">
        <f>IFERROR(__xludf.DUMMYFUNCTION("QUERY('Volunteer Survey'!N288)"),"I was lead scientist for variant interpretation at a clinical laboratory")</f>
        <v>I was lead scientist for variant interpretation at a clinical laboratory</v>
      </c>
      <c r="AN289" s="183" t="str">
        <f>IFERROR(__xludf.DUMMYFUNCTION("QUERY('Volunteer Survey'!O288)"),"Possibly")</f>
        <v>Possibly</v>
      </c>
      <c r="AO289" s="183" t="str">
        <f>IFERROR(__xludf.DUMMYFUNCTION("QUERY('Volunteer Survey'!P288)"),"")</f>
        <v/>
      </c>
    </row>
    <row r="290">
      <c r="A290" s="50">
        <f>IFERROR(__xludf.DUMMYFUNCTION("QUERY('Volunteer Survey'!A299)"),43713.48872883102)</f>
        <v>43713.48873</v>
      </c>
      <c r="B290" s="48" t="s">
        <v>108</v>
      </c>
      <c r="C290" s="79">
        <v>43819.0</v>
      </c>
      <c r="D290" s="55"/>
      <c r="E290" s="55"/>
      <c r="F290" s="48" t="s">
        <v>130</v>
      </c>
      <c r="G290" s="48" t="s">
        <v>251</v>
      </c>
      <c r="H290" s="53"/>
      <c r="I290" s="53"/>
      <c r="J290" s="55"/>
      <c r="K290" s="55"/>
      <c r="L290" s="55" t="str">
        <f>IFERROR(__xludf.DUMMYFUNCTION("QUERY('Volunteer Survey'!B299)"),"Patricia Harper")</f>
        <v>Patricia Harper</v>
      </c>
      <c r="M290" s="55" t="str">
        <f>IFERROR(__xludf.DUMMYFUNCTION("QUERY('Volunteer Survey'!E299)"),"pharper@cheo.on.ca")</f>
        <v>pharper@cheo.on.ca</v>
      </c>
      <c r="N290" s="55" t="str">
        <f>IFERROR(__xludf.DUMMYFUNCTION("QUERY('Volunteer Survey'!F299)"),"Genetic counselor")</f>
        <v>Genetic counselor</v>
      </c>
      <c r="O290" s="48" t="str">
        <f>IFERROR(__xludf.DUMMYFUNCTION("QUERY('Volunteer Survey'!H299)"),"Comprehensive")</f>
        <v>Comprehensive</v>
      </c>
      <c r="P290" s="55" t="str">
        <f>IFERROR(__xludf.DUMMYFUNCTION("QUERY('Volunteer Survey'!I299)"),"Variant Pathogenicity")</f>
        <v>Variant Pathogenicity</v>
      </c>
      <c r="Q290" s="60" t="str">
        <f>IFERROR(__xludf.DUMMYFUNCTION("QUERY('Volunteer Survey'!J299)"),"Clinical Actionability")</f>
        <v>Clinical Actionability</v>
      </c>
      <c r="R290" s="55" t="str">
        <f>IFERROR(__xludf.DUMMYFUNCTION("QUERY('Volunteer Survey'!K299)"),"Gene-Disease Validity")</f>
        <v>Gene-Disease Validity</v>
      </c>
      <c r="S290" s="55" t="str">
        <f>IFERROR(__xludf.DUMMYFUNCTION("QUERY('Volunteer Survey'!L299)"),"")</f>
        <v/>
      </c>
      <c r="T290" s="55" t="str">
        <f>IFERROR(__xludf.DUMMYFUNCTION("QUERY('Volunteer Survey'!M299)"),"")</f>
        <v/>
      </c>
      <c r="U290" s="64" t="str">
        <f>IFERROR(__xludf.DUMMYFUNCTION("QUERY('Volunteer Survey'!N299)"),"Yes, currently a member of the ClinGen Cardiomyopathy VCC")</f>
        <v>Yes, currently a member of the ClinGen Cardiomyopathy VCC</v>
      </c>
      <c r="V290" s="55" t="str">
        <f>IFERROR(__xludf.DUMMYFUNCTION("QUERY('Volunteer Survey'!O299)"),"Possibly")</f>
        <v>Possibly</v>
      </c>
      <c r="W290" s="66" t="str">
        <f>IFERROR(__xludf.DUMMYFUNCTION("QUERY('Volunteer Survey'!P299)"),"Hereditary cancer (and/or associated genes such as TP53)")</f>
        <v>Hereditary cancer (and/or associated genes such as TP53)</v>
      </c>
      <c r="X290" s="64" t="str">
        <f>IFERROR(__xludf.DUMMYFUNCTION("QUERY('Volunteer Survey'!R299)"),"Maybe -- please contact me with other options, and I will decide based on what is available")</f>
        <v>Maybe -- please contact me with other options, and I will decide based on what is available</v>
      </c>
      <c r="Y290" s="53"/>
      <c r="Z290" s="182">
        <f>IFERROR(__xludf.DUMMYFUNCTION("QUERY('Volunteer Survey'!A289)"),43707.296979108796)</f>
        <v>43707.29698</v>
      </c>
      <c r="AA290" s="183" t="str">
        <f>IFERROR(__xludf.DUMMYFUNCTION("QUERY('Volunteer Survey'!B289)"),"Laura Roht")</f>
        <v>Laura Roht</v>
      </c>
      <c r="AB290" s="183" t="str">
        <f>IFERROR(__xludf.DUMMYFUNCTION("QUERY('Volunteer Survey'!C289)"),"Tartu University Hospital, Department of Clinical Genetics")</f>
        <v>Tartu University Hospital, Department of Clinical Genetics</v>
      </c>
      <c r="AC290" s="183" t="str">
        <f>IFERROR(__xludf.DUMMYFUNCTION("QUERY('Volunteer Survey'!D289)"),"Puusepa Street 2, Tartu/Hariduse Street 6, Tallinn, Estonia")</f>
        <v>Puusepa Street 2, Tartu/Hariduse Street 6, Tallinn, Estonia</v>
      </c>
      <c r="AD290" s="183" t="str">
        <f>IFERROR(__xludf.DUMMYFUNCTION("QUERY('Volunteer Survey'!E289)"),"laura.roht@kliinikum.ee")</f>
        <v>laura.roht@kliinikum.ee</v>
      </c>
      <c r="AE290" s="183" t="str">
        <f>IFERROR(__xludf.DUMMYFUNCTION("QUERY('Volunteer Survey'!F289)"),"Clinical Medical Geneticist")</f>
        <v>Clinical Medical Geneticist</v>
      </c>
      <c r="AF290" s="183" t="str">
        <f>IFERROR(__xludf.DUMMYFUNCTION("QUERY('Volunteer Survey'!G289)"),"Networking, Suggestion from mentor")</f>
        <v>Networking, Suggestion from mentor</v>
      </c>
      <c r="AG290" s="183" t="str">
        <f>IFERROR(__xludf.DUMMYFUNCTION("QUERY('Volunteer Survey'!H289)"),"Comprehensive")</f>
        <v>Comprehensive</v>
      </c>
      <c r="AH290" s="183" t="str">
        <f>IFERROR(__xludf.DUMMYFUNCTION("QUERY('Volunteer Survey'!I289)"),"Gene-Disease Validity")</f>
        <v>Gene-Disease Validity</v>
      </c>
      <c r="AI290" s="183" t="str">
        <f>IFERROR(__xludf.DUMMYFUNCTION("QUERY('Volunteer Survey'!J289)"),"Variant Pathogenicity")</f>
        <v>Variant Pathogenicity</v>
      </c>
      <c r="AJ290" s="183" t="str">
        <f>IFERROR(__xludf.DUMMYFUNCTION("QUERY('Volunteer Survey'!K289)"),"")</f>
        <v/>
      </c>
      <c r="AK290" s="183" t="str">
        <f>IFERROR(__xludf.DUMMYFUNCTION("QUERY('Volunteer Survey'!L289)"),"")</f>
        <v/>
      </c>
      <c r="AL290" s="183" t="str">
        <f>IFERROR(__xludf.DUMMYFUNCTION("QUERY('Volunteer Survey'!M289)"),"")</f>
        <v/>
      </c>
      <c r="AM290" s="183" t="str">
        <f>IFERROR(__xludf.DUMMYFUNCTION("QUERY('Volunteer Survey'!N289)"),"")</f>
        <v/>
      </c>
      <c r="AN290" s="183" t="str">
        <f>IFERROR(__xludf.DUMMYFUNCTION("QUERY('Volunteer Survey'!O289)"),"Possibly")</f>
        <v>Possibly</v>
      </c>
      <c r="AO290" s="183" t="str">
        <f>IFERROR(__xludf.DUMMYFUNCTION("QUERY('Volunteer Survey'!P289)"),"Hereditary Cancer")</f>
        <v>Hereditary Cancer</v>
      </c>
    </row>
    <row r="291">
      <c r="A291" s="50">
        <f>IFERROR(__xludf.DUMMYFUNCTION("QUERY('Volunteer Survey'!A300)"),43714.55424548611)</f>
        <v>43714.55425</v>
      </c>
      <c r="B291" s="48" t="s">
        <v>322</v>
      </c>
      <c r="C291" s="53"/>
      <c r="D291" s="55"/>
      <c r="E291" s="55"/>
      <c r="F291" s="48" t="s">
        <v>130</v>
      </c>
      <c r="G291" s="48" t="s">
        <v>136</v>
      </c>
      <c r="H291" s="53"/>
      <c r="I291" s="53"/>
      <c r="J291" s="55"/>
      <c r="K291" s="55"/>
      <c r="L291" s="55" t="str">
        <f>IFERROR(__xludf.DUMMYFUNCTION("QUERY('Volunteer Survey'!B300)"),"Rasha hekal ")</f>
        <v>Rasha hekal </v>
      </c>
      <c r="M291" s="55" t="str">
        <f>IFERROR(__xludf.DUMMYFUNCTION("QUERY('Volunteer Survey'!E300)"),"rasha.hekal.152003@gmail.com")</f>
        <v>rasha.hekal.152003@gmail.com</v>
      </c>
      <c r="N291" s="55" t="str">
        <f>IFERROR(__xludf.DUMMYFUNCTION("QUERY('Volunteer Survey'!F300)"),"Undergraduate Student")</f>
        <v>Undergraduate Student</v>
      </c>
      <c r="O291" s="48" t="str">
        <f>IFERROR(__xludf.DUMMYFUNCTION("QUERY('Volunteer Survey'!H300)"),"Comprehensive")</f>
        <v>Comprehensive</v>
      </c>
      <c r="P291" s="55" t="str">
        <f>IFERROR(__xludf.DUMMYFUNCTION("QUERY('Volunteer Survey'!I300)"),"Somatic Cancer")</f>
        <v>Somatic Cancer</v>
      </c>
      <c r="Q291" s="60" t="str">
        <f>IFERROR(__xludf.DUMMYFUNCTION("QUERY('Volunteer Survey'!J300)"),"Gene-Disease Validity")</f>
        <v>Gene-Disease Validity</v>
      </c>
      <c r="R291" s="55" t="str">
        <f>IFERROR(__xludf.DUMMYFUNCTION("QUERY('Volunteer Survey'!K300)"),"Clinical Actionability")</f>
        <v>Clinical Actionability</v>
      </c>
      <c r="S291" s="55" t="str">
        <f>IFERROR(__xludf.DUMMYFUNCTION("QUERY('Volunteer Survey'!L300)"),"Dosage Sensitivity")</f>
        <v>Dosage Sensitivity</v>
      </c>
      <c r="T291" s="55" t="str">
        <f>IFERROR(__xludf.DUMMYFUNCTION("QUERY('Volunteer Survey'!M300)"),"Variant Pathogenicity")</f>
        <v>Variant Pathogenicity</v>
      </c>
      <c r="U291" s="64" t="str">
        <f>IFERROR(__xludf.DUMMYFUNCTION("QUERY('Volunteer Survey'!N300)"),"No I didn't have but I have a lot of information.")</f>
        <v>No I didn't have but I have a lot of information.</v>
      </c>
      <c r="V291" s="55" t="str">
        <f>IFERROR(__xludf.DUMMYFUNCTION("QUERY('Volunteer Survey'!O300)"),"Yes")</f>
        <v>Yes</v>
      </c>
      <c r="W291" s="66" t="str">
        <f>IFERROR(__xludf.DUMMYFUNCTION("QUERY('Volunteer Survey'!P300)"),"Yes I am very interested to join this group. ")</f>
        <v>Yes I am very interested to join this group. </v>
      </c>
      <c r="X291" s="64" t="str">
        <f>IFERROR(__xludf.DUMMYFUNCTION("QUERY('Volunteer Survey'!R300)"),"Yes- I am willing to volunteer with any available ClinGen group")</f>
        <v>Yes- I am willing to volunteer with any available ClinGen group</v>
      </c>
      <c r="Y291" s="53"/>
      <c r="Z291" s="182">
        <f>IFERROR(__xludf.DUMMYFUNCTION("QUERY('Volunteer Survey'!A290)"),43707.80857268518)</f>
        <v>43707.80857</v>
      </c>
      <c r="AA291" s="183" t="str">
        <f>IFERROR(__xludf.DUMMYFUNCTION("QUERY('Volunteer Survey'!B290)"),"Donia Hany Mostafa ")</f>
        <v>Donia Hany Mostafa </v>
      </c>
      <c r="AB291" s="183" t="str">
        <f>IFERROR(__xludf.DUMMYFUNCTION("QUERY('Volunteer Survey'!C290)"),"Kalubya STEM School")</f>
        <v>Kalubya STEM School</v>
      </c>
      <c r="AC291" s="183" t="str">
        <f>IFERROR(__xludf.DUMMYFUNCTION("QUERY('Volunteer Survey'!D290)"),"29 Obyda Ebn El Graah ST. Imbabah-Giza-Cairo-Egypt")</f>
        <v>29 Obyda Ebn El Graah ST. Imbabah-Giza-Cairo-Egypt</v>
      </c>
      <c r="AD291" s="183" t="str">
        <f>IFERROR(__xludf.DUMMYFUNCTION("QUERY('Volunteer Survey'!E290)"),"donia.1518105@stemkalubya.moe.edu.eg")</f>
        <v>donia.1518105@stemkalubya.moe.edu.eg</v>
      </c>
      <c r="AE291" s="183" t="str">
        <f>IFERROR(__xludf.DUMMYFUNCTION("QUERY('Volunteer Survey'!F290)"),"Undergraduate Student")</f>
        <v>Undergraduate Student</v>
      </c>
      <c r="AF291" s="183" t="str">
        <f>IFERROR(__xludf.DUMMYFUNCTION("QUERY('Volunteer Survey'!G290)"),"Facebook")</f>
        <v>Facebook</v>
      </c>
      <c r="AG291" s="183" t="str">
        <f>IFERROR(__xludf.DUMMYFUNCTION("QUERY('Volunteer Survey'!H290)"),"Comprehensive")</f>
        <v>Comprehensive</v>
      </c>
      <c r="AH291" s="183" t="str">
        <f>IFERROR(__xludf.DUMMYFUNCTION("QUERY('Volunteer Survey'!I290)"),"Somatic Cancer")</f>
        <v>Somatic Cancer</v>
      </c>
      <c r="AI291" s="183" t="str">
        <f>IFERROR(__xludf.DUMMYFUNCTION("QUERY('Volunteer Survey'!J290)"),"Dosage Sensitivity")</f>
        <v>Dosage Sensitivity</v>
      </c>
      <c r="AJ291" s="183" t="str">
        <f>IFERROR(__xludf.DUMMYFUNCTION("QUERY('Volunteer Survey'!K290)"),"Gene-Disease Validity")</f>
        <v>Gene-Disease Validity</v>
      </c>
      <c r="AK291" s="183" t="str">
        <f>IFERROR(__xludf.DUMMYFUNCTION("QUERY('Volunteer Survey'!L290)"),"Clinical Actionability")</f>
        <v>Clinical Actionability</v>
      </c>
      <c r="AL291" s="183" t="str">
        <f>IFERROR(__xludf.DUMMYFUNCTION("QUERY('Volunteer Survey'!M290)"),"Variant Pathogenicity")</f>
        <v>Variant Pathogenicity</v>
      </c>
      <c r="AM291" s="183" t="str">
        <f>IFERROR(__xludf.DUMMYFUNCTION("QUERY('Volunteer Survey'!N290)"),"")</f>
        <v/>
      </c>
      <c r="AN291" s="183" t="str">
        <f>IFERROR(__xludf.DUMMYFUNCTION("QUERY('Volunteer Survey'!O290)"),"No")</f>
        <v>No</v>
      </c>
      <c r="AO291" s="183" t="str">
        <f>IFERROR(__xludf.DUMMYFUNCTION("QUERY('Volunteer Survey'!P290)"),"Yes, I am very interested about being in group that will help me to do many researches and will help me to be through a new experience. ")</f>
        <v>Yes, I am very interested about being in group that will help me to do many researches and will help me to be through a new experience. </v>
      </c>
    </row>
    <row r="292">
      <c r="A292" s="50">
        <f>IFERROR(__xludf.DUMMYFUNCTION("QUERY('Volunteer Survey'!A301)"),43714.70152723379)</f>
        <v>43714.70153</v>
      </c>
      <c r="B292" s="48" t="s">
        <v>108</v>
      </c>
      <c r="C292" s="53"/>
      <c r="D292" s="55"/>
      <c r="E292" s="55"/>
      <c r="F292" s="48" t="s">
        <v>130</v>
      </c>
      <c r="G292" s="48" t="s">
        <v>202</v>
      </c>
      <c r="H292" s="53"/>
      <c r="I292" s="51" t="s">
        <v>139</v>
      </c>
      <c r="J292" s="55"/>
      <c r="K292" s="55"/>
      <c r="L292" s="55" t="str">
        <f>IFERROR(__xludf.DUMMYFUNCTION("QUERY('Volunteer Survey'!B301)"),"Nathaniel Jue")</f>
        <v>Nathaniel Jue</v>
      </c>
      <c r="M292" s="55" t="str">
        <f>IFERROR(__xludf.DUMMYFUNCTION("QUERY('Volunteer Survey'!E301)"),"njue@csumb.edu")</f>
        <v>njue@csumb.edu</v>
      </c>
      <c r="N292" s="55" t="str">
        <f>IFERROR(__xludf.DUMMYFUNCTION("QUERY('Volunteer Survey'!F301)"),"Scientific Researcher")</f>
        <v>Scientific Researcher</v>
      </c>
      <c r="O292" s="48" t="str">
        <f>IFERROR(__xludf.DUMMYFUNCTION("QUERY('Volunteer Survey'!H301)"),"Baseline")</f>
        <v>Baseline</v>
      </c>
      <c r="P292" s="55" t="str">
        <f>IFERROR(__xludf.DUMMYFUNCTION("QUERY('Volunteer Survey'!I301)"),"")</f>
        <v/>
      </c>
      <c r="Q292" s="60" t="str">
        <f>IFERROR(__xludf.DUMMYFUNCTION("QUERY('Volunteer Survey'!J301)"),"")</f>
        <v/>
      </c>
      <c r="R292" s="55" t="str">
        <f>IFERROR(__xludf.DUMMYFUNCTION("QUERY('Volunteer Survey'!K301)"),"")</f>
        <v/>
      </c>
      <c r="S292" s="55" t="str">
        <f>IFERROR(__xludf.DUMMYFUNCTION("QUERY('Volunteer Survey'!L301)"),"")</f>
        <v/>
      </c>
      <c r="T292" s="55" t="str">
        <f>IFERROR(__xludf.DUMMYFUNCTION("QUERY('Volunteer Survey'!M301)"),"")</f>
        <v/>
      </c>
      <c r="U292" s="64" t="str">
        <f>IFERROR(__xludf.DUMMYFUNCTION("QUERY('Volunteer Survey'!N301)"),"De novo genome annotation")</f>
        <v>De novo genome annotation</v>
      </c>
      <c r="V292" s="55" t="str">
        <f>IFERROR(__xludf.DUMMYFUNCTION("QUERY('Volunteer Survey'!O301)"),"Possibly")</f>
        <v>Possibly</v>
      </c>
      <c r="W292" s="66" t="str">
        <f>IFERROR(__xludf.DUMMYFUNCTION("QUERY('Volunteer Survey'!P301)"),"No")</f>
        <v>No</v>
      </c>
      <c r="X292" s="64" t="str">
        <f>IFERROR(__xludf.DUMMYFUNCTION("QUERY('Volunteer Survey'!R301)"),"Maybe -- please contact me with other options, and I will decide based on what is available")</f>
        <v>Maybe -- please contact me with other options, and I will decide based on what is available</v>
      </c>
      <c r="Y292" s="53"/>
      <c r="Z292" s="182">
        <f>IFERROR(__xludf.DUMMYFUNCTION("QUERY('Volunteer Survey'!A291)"),43711.08206508102)</f>
        <v>43711.08207</v>
      </c>
      <c r="AA292" s="183" t="str">
        <f>IFERROR(__xludf.DUMMYFUNCTION("QUERY('Volunteer Survey'!B291)"),"Xin Chen")</f>
        <v>Xin Chen</v>
      </c>
      <c r="AB292" s="183" t="str">
        <f>IFERROR(__xludf.DUMMYFUNCTION("QUERY('Volunteer Survey'!C291)"),"Northwestern University")</f>
        <v>Northwestern University</v>
      </c>
      <c r="AC292" s="183" t="str">
        <f>IFERROR(__xludf.DUMMYFUNCTION("QUERY('Volunteer Survey'!D291)"),"2205 Tech Drive, Evanston, IL 60208")</f>
        <v>2205 Tech Drive, Evanston, IL 60208</v>
      </c>
      <c r="AD292" s="183" t="str">
        <f>IFERROR(__xludf.DUMMYFUNCTION("QUERY('Volunteer Survey'!E291)"),"chenx30nju@gmail.com")</f>
        <v>chenx30nju@gmail.com</v>
      </c>
      <c r="AE292" s="183" t="str">
        <f>IFERROR(__xludf.DUMMYFUNCTION("QUERY('Volunteer Survey'!F291)"),"Post Doc/Resident/Fellow (MD and/or PhD)")</f>
        <v>Post Doc/Resident/Fellow (MD and/or PhD)</v>
      </c>
      <c r="AF292" s="183" t="str">
        <f>IFERROR(__xludf.DUMMYFUNCTION("QUERY('Volunteer Survey'!G291)"),"Colleagues")</f>
        <v>Colleagues</v>
      </c>
      <c r="AG292" s="183" t="str">
        <f>IFERROR(__xludf.DUMMYFUNCTION("QUERY('Volunteer Survey'!H291)"),"Comprehensive")</f>
        <v>Comprehensive</v>
      </c>
      <c r="AH292" s="183" t="str">
        <f>IFERROR(__xludf.DUMMYFUNCTION("QUERY('Volunteer Survey'!I291)"),"Variant Pathogenicity")</f>
        <v>Variant Pathogenicity</v>
      </c>
      <c r="AI292" s="183" t="str">
        <f>IFERROR(__xludf.DUMMYFUNCTION("QUERY('Volunteer Survey'!J291)"),"Somatic Cancer")</f>
        <v>Somatic Cancer</v>
      </c>
      <c r="AJ292" s="183" t="str">
        <f>IFERROR(__xludf.DUMMYFUNCTION("QUERY('Volunteer Survey'!K291)"),"Gene-Disease Validity")</f>
        <v>Gene-Disease Validity</v>
      </c>
      <c r="AK292" s="183" t="str">
        <f>IFERROR(__xludf.DUMMYFUNCTION("QUERY('Volunteer Survey'!L291)"),"Dosage Sensitivity")</f>
        <v>Dosage Sensitivity</v>
      </c>
      <c r="AL292" s="183" t="str">
        <f>IFERROR(__xludf.DUMMYFUNCTION("QUERY('Volunteer Survey'!M291)"),"Clinical Actionability")</f>
        <v>Clinical Actionability</v>
      </c>
      <c r="AM292" s="183" t="str">
        <f>IFERROR(__xludf.DUMMYFUNCTION("QUERY('Volunteer Survey'!N291)"),"During my PhD study, I summarized all the reported mutations of the gene SETX that were reported to cause neurodegenerative disease AOA2, generated the mutations in the budding yeast model, and experimentally verified the defects caused by the mutations. ")</f>
        <v>During my PhD study, I summarized all the reported mutations of the gene SETX that were reported to cause neurodegenerative disease AOA2, generated the mutations in the budding yeast model, and experimentally verified the defects caused by the mutations. </v>
      </c>
      <c r="AN292" s="183" t="str">
        <f>IFERROR(__xludf.DUMMYFUNCTION("QUERY('Volunteer Survey'!O291)"),"Possibly")</f>
        <v>Possibly</v>
      </c>
      <c r="AO292" s="183" t="str">
        <f>IFERROR(__xludf.DUMMYFUNCTION("QUERY('Volunteer Survey'!P291)"),"I am open to any opportunity.")</f>
        <v>I am open to any opportunity.</v>
      </c>
    </row>
    <row r="293">
      <c r="A293" s="50">
        <f>IFERROR(__xludf.DUMMYFUNCTION("QUERY('Volunteer Survey'!A302)"),43716.695717106486)</f>
        <v>43716.69572</v>
      </c>
      <c r="B293" s="48" t="s">
        <v>322</v>
      </c>
      <c r="C293" s="53"/>
      <c r="D293" s="55"/>
      <c r="E293" s="55"/>
      <c r="F293" s="48" t="s">
        <v>130</v>
      </c>
      <c r="G293" s="48" t="s">
        <v>136</v>
      </c>
      <c r="H293" s="53"/>
      <c r="I293" s="53"/>
      <c r="J293" s="55"/>
      <c r="K293" s="55"/>
      <c r="L293" s="55" t="str">
        <f>IFERROR(__xludf.DUMMYFUNCTION("QUERY('Volunteer Survey'!B302)"),"Nihal Ahmed ")</f>
        <v>Nihal Ahmed </v>
      </c>
      <c r="M293" s="55" t="str">
        <f>IFERROR(__xludf.DUMMYFUNCTION("QUERY('Volunteer Survey'!E302)"),"nihalahmed087@gmail.com")</f>
        <v>nihalahmed087@gmail.com</v>
      </c>
      <c r="N293" s="55" t="str">
        <f>IFERROR(__xludf.DUMMYFUNCTION("QUERY('Volunteer Survey'!F302)"),"Undergraduate Student")</f>
        <v>Undergraduate Student</v>
      </c>
      <c r="O293" s="48" t="str">
        <f>IFERROR(__xludf.DUMMYFUNCTION("QUERY('Volunteer Survey'!H302)"),"Comprehensive")</f>
        <v>Comprehensive</v>
      </c>
      <c r="P293" s="55" t="str">
        <f>IFERROR(__xludf.DUMMYFUNCTION("QUERY('Volunteer Survey'!I302)"),"Somatic Cancer")</f>
        <v>Somatic Cancer</v>
      </c>
      <c r="Q293" s="60" t="str">
        <f>IFERROR(__xludf.DUMMYFUNCTION("QUERY('Volunteer Survey'!J302)"),"Gene-Disease Validity")</f>
        <v>Gene-Disease Validity</v>
      </c>
      <c r="R293" s="55" t="str">
        <f>IFERROR(__xludf.DUMMYFUNCTION("QUERY('Volunteer Survey'!K302)"),"Variant Pathogenicity")</f>
        <v>Variant Pathogenicity</v>
      </c>
      <c r="S293" s="55" t="str">
        <f>IFERROR(__xludf.DUMMYFUNCTION("QUERY('Volunteer Survey'!L302)"),"Clinical Actionability")</f>
        <v>Clinical Actionability</v>
      </c>
      <c r="T293" s="55" t="str">
        <f>IFERROR(__xludf.DUMMYFUNCTION("QUERY('Volunteer Survey'!M302)"),"Dosage Sensitivity")</f>
        <v>Dosage Sensitivity</v>
      </c>
      <c r="U293" s="64" t="str">
        <f>IFERROR(__xludf.DUMMYFUNCTION("QUERY('Volunteer Survey'!N302)"),"No, this is the first time for me to join something like this")</f>
        <v>No, this is the first time for me to join something like this</v>
      </c>
      <c r="V293" s="55" t="str">
        <f>IFERROR(__xludf.DUMMYFUNCTION("QUERY('Volunteer Survey'!O302)"),"Possibly")</f>
        <v>Possibly</v>
      </c>
      <c r="W293" s="66" t="str">
        <f>IFERROR(__xludf.DUMMYFUNCTION("QUERY('Volunteer Survey'!P302)"),"Not so interested ")</f>
        <v>Not so interested </v>
      </c>
      <c r="X293" s="64" t="str">
        <f>IFERROR(__xludf.DUMMYFUNCTION("QUERY('Volunteer Survey'!R302)"),"Maybe -- please contact me with other options, and I will decide based on what is available")</f>
        <v>Maybe -- please contact me with other options, and I will decide based on what is available</v>
      </c>
      <c r="Y293" s="53"/>
      <c r="Z293" s="182">
        <f>IFERROR(__xludf.DUMMYFUNCTION("QUERY('Volunteer Survey'!A292)"),43711.38992238426)</f>
        <v>43711.38992</v>
      </c>
      <c r="AA293" s="183" t="str">
        <f>IFERROR(__xludf.DUMMYFUNCTION("QUERY('Volunteer Survey'!B292)"),"Tomohiko Ai")</f>
        <v>Tomohiko Ai</v>
      </c>
      <c r="AB293" s="183" t="str">
        <f>IFERROR(__xludf.DUMMYFUNCTION("QUERY('Volunteer Survey'!C292)"),"Ohio State University")</f>
        <v>Ohio State University</v>
      </c>
      <c r="AC293" s="183" t="str">
        <f>IFERROR(__xludf.DUMMYFUNCTION("QUERY('Volunteer Survey'!D292)"),"336 BRT W. 12 Ave. Columbus, Ohio 43210")</f>
        <v>336 BRT W. 12 Ave. Columbus, Ohio 43210</v>
      </c>
      <c r="AD293" s="183" t="str">
        <f>IFERROR(__xludf.DUMMYFUNCTION("QUERY('Volunteer Survey'!E292)"),"Tomohiko.Ai@osumc.edu")</f>
        <v>Tomohiko.Ai@osumc.edu</v>
      </c>
      <c r="AE293" s="183" t="str">
        <f>IFERROR(__xludf.DUMMYFUNCTION("QUERY('Volunteer Survey'!F292)"),"Scientific Researcher")</f>
        <v>Scientific Researcher</v>
      </c>
      <c r="AF293" s="183" t="str">
        <f>IFERROR(__xludf.DUMMYFUNCTION("QUERY('Volunteer Survey'!G292)"),"I have been adjudicating variants of DCM at Ohio State University. I have been performing translational research in cardiovascular medicine. I am interested in underling molecular mechanisms of cardiomayopathy and arrhythmias.")</f>
        <v>I have been adjudicating variants of DCM at Ohio State University. I have been performing translational research in cardiovascular medicine. I am interested in underling molecular mechanisms of cardiomayopathy and arrhythmias.</v>
      </c>
      <c r="AG293" s="183" t="str">
        <f>IFERROR(__xludf.DUMMYFUNCTION("QUERY('Volunteer Survey'!H292)"),"Comprehensive")</f>
        <v>Comprehensive</v>
      </c>
      <c r="AH293" s="183" t="str">
        <f>IFERROR(__xludf.DUMMYFUNCTION("QUERY('Volunteer Survey'!I292)"),"Variant Pathogenicity")</f>
        <v>Variant Pathogenicity</v>
      </c>
      <c r="AI293" s="183" t="str">
        <f>IFERROR(__xludf.DUMMYFUNCTION("QUERY('Volunteer Survey'!J292)"),"")</f>
        <v/>
      </c>
      <c r="AJ293" s="183" t="str">
        <f>IFERROR(__xludf.DUMMYFUNCTION("QUERY('Volunteer Survey'!K292)"),"")</f>
        <v/>
      </c>
      <c r="AK293" s="183" t="str">
        <f>IFERROR(__xludf.DUMMYFUNCTION("QUERY('Volunteer Survey'!L292)"),"")</f>
        <v/>
      </c>
      <c r="AL293" s="183" t="str">
        <f>IFERROR(__xludf.DUMMYFUNCTION("QUERY('Volunteer Survey'!M292)"),"")</f>
        <v/>
      </c>
      <c r="AM293" s="183" t="str">
        <f>IFERROR(__xludf.DUMMYFUNCTION("QUERY('Volunteer Survey'!N292)"),"")</f>
        <v/>
      </c>
      <c r="AN293" s="183" t="str">
        <f>IFERROR(__xludf.DUMMYFUNCTION("QUERY('Volunteer Survey'!O292)"),"")</f>
        <v/>
      </c>
      <c r="AO293" s="183" t="str">
        <f>IFERROR(__xludf.DUMMYFUNCTION("QUERY('Volunteer Survey'!P292)"),"")</f>
        <v/>
      </c>
    </row>
    <row r="294">
      <c r="A294" s="50">
        <f>IFERROR(__xludf.DUMMYFUNCTION("QUERY('Volunteer Survey'!A303)"),43717.72172622685)</f>
        <v>43717.72173</v>
      </c>
      <c r="B294" s="48" t="s">
        <v>108</v>
      </c>
      <c r="C294" s="79">
        <v>43819.0</v>
      </c>
      <c r="D294" s="73">
        <v>43846.0</v>
      </c>
      <c r="E294" s="48" t="s">
        <v>117</v>
      </c>
      <c r="F294" s="48" t="s">
        <v>130</v>
      </c>
      <c r="G294" s="48" t="s">
        <v>122</v>
      </c>
      <c r="H294" s="53"/>
      <c r="I294" s="53"/>
      <c r="J294" s="55"/>
      <c r="K294" s="55"/>
      <c r="L294" s="55" t="str">
        <f>IFERROR(__xludf.DUMMYFUNCTION("QUERY('Volunteer Survey'!B303)"),"Xiaoting Ma")</f>
        <v>Xiaoting Ma</v>
      </c>
      <c r="M294" s="55" t="str">
        <f>IFERROR(__xludf.DUMMYFUNCTION("QUERY('Volunteer Survey'!E303)"),"Xiaoting.Ma@childrens.harvard.edu")</f>
        <v>Xiaoting.Ma@childrens.harvard.edu</v>
      </c>
      <c r="N294" s="55" t="str">
        <f>IFERROR(__xludf.DUMMYFUNCTION("QUERY('Volunteer Survey'!F303)"),"Post Doc/Resident/Fellow (MD and/or PhD)")</f>
        <v>Post Doc/Resident/Fellow (MD and/or PhD)</v>
      </c>
      <c r="O294" s="48" t="str">
        <f>IFERROR(__xludf.DUMMYFUNCTION("QUERY('Volunteer Survey'!H303)"),"Comprehensive")</f>
        <v>Comprehensive</v>
      </c>
      <c r="P294" s="55" t="str">
        <f>IFERROR(__xludf.DUMMYFUNCTION("QUERY('Volunteer Survey'!I303)"),"Gene-Disease Validity")</f>
        <v>Gene-Disease Validity</v>
      </c>
      <c r="Q294" s="60" t="str">
        <f>IFERROR(__xludf.DUMMYFUNCTION("QUERY('Volunteer Survey'!J303)"),"Variant Pathogenicity")</f>
        <v>Variant Pathogenicity</v>
      </c>
      <c r="R294" s="55" t="str">
        <f>IFERROR(__xludf.DUMMYFUNCTION("QUERY('Volunteer Survey'!K303)"),"Somatic Cancer")</f>
        <v>Somatic Cancer</v>
      </c>
      <c r="S294" s="55" t="str">
        <f>IFERROR(__xludf.DUMMYFUNCTION("QUERY('Volunteer Survey'!L303)"),"Dosage Sensitivity")</f>
        <v>Dosage Sensitivity</v>
      </c>
      <c r="T294" s="55" t="str">
        <f>IFERROR(__xludf.DUMMYFUNCTION("QUERY('Volunteer Survey'!M303)"),"Clinical Actionability")</f>
        <v>Clinical Actionability</v>
      </c>
      <c r="U294" s="64" t="str">
        <f>IFERROR(__xludf.DUMMYFUNCTION("QUERY('Volunteer Survey'!N303)"),"")</f>
        <v/>
      </c>
      <c r="V294" s="55" t="str">
        <f>IFERROR(__xludf.DUMMYFUNCTION("QUERY('Volunteer Survey'!O303)"),"Yes")</f>
        <v>Yes</v>
      </c>
      <c r="W294" s="66" t="str">
        <f>IFERROR(__xludf.DUMMYFUNCTION("QUERY('Volunteer Survey'!P303)"),"I am open to any opportunities")</f>
        <v>I am open to any opportunities</v>
      </c>
      <c r="X294" s="64" t="str">
        <f>IFERROR(__xludf.DUMMYFUNCTION("QUERY('Volunteer Survey'!R303)"),"Yes- I am willing to volunteer with any available ClinGen group")</f>
        <v>Yes- I am willing to volunteer with any available ClinGen group</v>
      </c>
      <c r="Y294" s="53"/>
      <c r="Z294" s="182">
        <f>IFERROR(__xludf.DUMMYFUNCTION("QUERY('Volunteer Survey'!A293)"),43711.408003530094)</f>
        <v>43711.408</v>
      </c>
      <c r="AA294" s="183" t="str">
        <f>IFERROR(__xludf.DUMMYFUNCTION("QUERY('Volunteer Survey'!B293)"),"Coumarane Mani")</f>
        <v>Coumarane Mani</v>
      </c>
      <c r="AB294" s="183" t="str">
        <f>IFERROR(__xludf.DUMMYFUNCTION("QUERY('Volunteer Survey'!C293)"),"ARUP Laboratories")</f>
        <v>ARUP Laboratories</v>
      </c>
      <c r="AC294" s="183" t="str">
        <f>IFERROR(__xludf.DUMMYFUNCTION("QUERY('Volunteer Survey'!D293)"),"SLC, Utah")</f>
        <v>SLC, Utah</v>
      </c>
      <c r="AD294" s="183" t="str">
        <f>IFERROR(__xludf.DUMMYFUNCTION("QUERY('Volunteer Survey'!E293)"),"coumarane.mani@aruplab.com")</f>
        <v>coumarane.mani@aruplab.com</v>
      </c>
      <c r="AE294" s="183" t="str">
        <f>IFERROR(__xludf.DUMMYFUNCTION("QUERY('Volunteer Survey'!F293)"),"Variant Analyst/Scientist - Industry")</f>
        <v>Variant Analyst/Scientist - Industry</v>
      </c>
      <c r="AF294" s="183" t="str">
        <f>IFERROR(__xludf.DUMMYFUNCTION("QUERY('Volunteer Survey'!G293)"),"Survey retaken by Liz - question not originally answered.")</f>
        <v>Survey retaken by Liz - question not originally answered.</v>
      </c>
      <c r="AG294" s="183" t="str">
        <f>IFERROR(__xludf.DUMMYFUNCTION("QUERY('Volunteer Survey'!H293)"),"Comprehensive")</f>
        <v>Comprehensive</v>
      </c>
      <c r="AH294" s="183" t="str">
        <f>IFERROR(__xludf.DUMMYFUNCTION("QUERY('Volunteer Survey'!I293)"),"Gene-Disease Validity")</f>
        <v>Gene-Disease Validity</v>
      </c>
      <c r="AI294" s="183" t="str">
        <f>IFERROR(__xludf.DUMMYFUNCTION("QUERY('Volunteer Survey'!J293)"),"")</f>
        <v/>
      </c>
      <c r="AJ294" s="183" t="str">
        <f>IFERROR(__xludf.DUMMYFUNCTION("QUERY('Volunteer Survey'!K293)"),"")</f>
        <v/>
      </c>
      <c r="AK294" s="183" t="str">
        <f>IFERROR(__xludf.DUMMYFUNCTION("QUERY('Volunteer Survey'!L293)"),"")</f>
        <v/>
      </c>
      <c r="AL294" s="183" t="str">
        <f>IFERROR(__xludf.DUMMYFUNCTION("QUERY('Volunteer Survey'!M293)"),"")</f>
        <v/>
      </c>
      <c r="AM294" s="183" t="str">
        <f>IFERROR(__xludf.DUMMYFUNCTION("QUERY('Volunteer Survey'!N293)"),"")</f>
        <v/>
      </c>
      <c r="AN294" s="183" t="str">
        <f>IFERROR(__xludf.DUMMYFUNCTION("QUERY('Volunteer Survey'!O293)"),"")</f>
        <v/>
      </c>
      <c r="AO294" s="183" t="str">
        <f>IFERROR(__xludf.DUMMYFUNCTION("QUERY('Volunteer Survey'!P293)"),"")</f>
        <v/>
      </c>
    </row>
    <row r="295">
      <c r="A295" s="50">
        <f>IFERROR(__xludf.DUMMYFUNCTION("QUERY('Volunteer Survey'!A304)"),43717.77896462963)</f>
        <v>43717.77896</v>
      </c>
      <c r="B295" s="48" t="s">
        <v>108</v>
      </c>
      <c r="C295" s="79">
        <v>43819.0</v>
      </c>
      <c r="D295" s="55"/>
      <c r="E295" s="55"/>
      <c r="F295" s="48" t="s">
        <v>130</v>
      </c>
      <c r="G295" s="48" t="s">
        <v>251</v>
      </c>
      <c r="H295" s="53"/>
      <c r="I295" s="53"/>
      <c r="J295" s="55"/>
      <c r="K295" s="55"/>
      <c r="L295" s="55" t="str">
        <f>IFERROR(__xludf.DUMMYFUNCTION("QUERY('Volunteer Survey'!B304)"),"Saja El Yaacoub")</f>
        <v>Saja El Yaacoub</v>
      </c>
      <c r="M295" s="55" t="str">
        <f>IFERROR(__xludf.DUMMYFUNCTION("QUERY('Volunteer Survey'!E304)"),"saja.alyaacoub@live.com")</f>
        <v>saja.alyaacoub@live.com</v>
      </c>
      <c r="N295" s="55" t="str">
        <f>IFERROR(__xludf.DUMMYFUNCTION("QUERY('Volunteer Survey'!F304)"),"Graduate Student")</f>
        <v>Graduate Student</v>
      </c>
      <c r="O295" s="48" t="str">
        <f>IFERROR(__xludf.DUMMYFUNCTION("QUERY('Volunteer Survey'!H304)"),"Comprehensive")</f>
        <v>Comprehensive</v>
      </c>
      <c r="P295" s="55" t="str">
        <f>IFERROR(__xludf.DUMMYFUNCTION("QUERY('Volunteer Survey'!I304)"),"Variant Pathogenicity")</f>
        <v>Variant Pathogenicity</v>
      </c>
      <c r="Q295" s="60" t="str">
        <f>IFERROR(__xludf.DUMMYFUNCTION("QUERY('Volunteer Survey'!J304)"),"Gene-Disease Validity")</f>
        <v>Gene-Disease Validity</v>
      </c>
      <c r="R295" s="55" t="str">
        <f>IFERROR(__xludf.DUMMYFUNCTION("QUERY('Volunteer Survey'!K304)"),"Somatic Cancer")</f>
        <v>Somatic Cancer</v>
      </c>
      <c r="S295" s="55" t="str">
        <f>IFERROR(__xludf.DUMMYFUNCTION("QUERY('Volunteer Survey'!L304)"),"Dosage Sensitivity")</f>
        <v>Dosage Sensitivity</v>
      </c>
      <c r="T295" s="55" t="str">
        <f>IFERROR(__xludf.DUMMYFUNCTION("QUERY('Volunteer Survey'!M304)"),"Clinical Actionability")</f>
        <v>Clinical Actionability</v>
      </c>
      <c r="U295" s="64" t="str">
        <f>IFERROR(__xludf.DUMMYFUNCTION("QUERY('Volunteer Survey'!N304)"),"")</f>
        <v/>
      </c>
      <c r="V295" s="55" t="str">
        <f>IFERROR(__xludf.DUMMYFUNCTION("QUERY('Volunteer Survey'!O304)"),"No")</f>
        <v>No</v>
      </c>
      <c r="W295" s="66" t="str">
        <f>IFERROR(__xludf.DUMMYFUNCTION("QUERY('Volunteer Survey'!P304)"),"Mitochondrial Diseases")</f>
        <v>Mitochondrial Diseases</v>
      </c>
      <c r="X295" s="64" t="str">
        <f>IFERROR(__xludf.DUMMYFUNCTION("QUERY('Volunteer Survey'!R304)"),"Yes- I am willing to volunteer with any available ClinGen group")</f>
        <v>Yes- I am willing to volunteer with any available ClinGen group</v>
      </c>
      <c r="Y295" s="53"/>
      <c r="Z295" s="182">
        <f>IFERROR(__xludf.DUMMYFUNCTION("QUERY('Volunteer Survey'!A294)"),43711.40908538195)</f>
        <v>43711.40909</v>
      </c>
      <c r="AA295" s="183" t="str">
        <f>IFERROR(__xludf.DUMMYFUNCTION("QUERY('Volunteer Survey'!B294)"),"Coumarane Mani")</f>
        <v>Coumarane Mani</v>
      </c>
      <c r="AB295" s="183" t="str">
        <f>IFERROR(__xludf.DUMMYFUNCTION("QUERY('Volunteer Survey'!C294)"),"ARUP Laboratories")</f>
        <v>ARUP Laboratories</v>
      </c>
      <c r="AC295" s="183" t="str">
        <f>IFERROR(__xludf.DUMMYFUNCTION("QUERY('Volunteer Survey'!D294)"),"SLC, Utah")</f>
        <v>SLC, Utah</v>
      </c>
      <c r="AD295" s="183" t="str">
        <f>IFERROR(__xludf.DUMMYFUNCTION("QUERY('Volunteer Survey'!E294)"),"coumarane.mani@aruplab.com")</f>
        <v>coumarane.mani@aruplab.com</v>
      </c>
      <c r="AE295" s="183" t="str">
        <f>IFERROR(__xludf.DUMMYFUNCTION("QUERY('Volunteer Survey'!F294)"),"Variant Analyst/Scientist - Industry")</f>
        <v>Variant Analyst/Scientist - Industry</v>
      </c>
      <c r="AF295" s="183" t="str">
        <f>IFERROR(__xludf.DUMMYFUNCTION("QUERY('Volunteer Survey'!G294)"),"Survey retaken by Liz - question not originally answered.")</f>
        <v>Survey retaken by Liz - question not originally answered.</v>
      </c>
      <c r="AG295" s="183" t="str">
        <f>IFERROR(__xludf.DUMMYFUNCTION("QUERY('Volunteer Survey'!H294)"),"Comprehensive")</f>
        <v>Comprehensive</v>
      </c>
      <c r="AH295" s="183" t="str">
        <f>IFERROR(__xludf.DUMMYFUNCTION("QUERY('Volunteer Survey'!I294)"),"Variant Pathogenicity")</f>
        <v>Variant Pathogenicity</v>
      </c>
      <c r="AI295" s="183" t="str">
        <f>IFERROR(__xludf.DUMMYFUNCTION("QUERY('Volunteer Survey'!J294)"),"")</f>
        <v/>
      </c>
      <c r="AJ295" s="183" t="str">
        <f>IFERROR(__xludf.DUMMYFUNCTION("QUERY('Volunteer Survey'!K294)"),"")</f>
        <v/>
      </c>
      <c r="AK295" s="183" t="str">
        <f>IFERROR(__xludf.DUMMYFUNCTION("QUERY('Volunteer Survey'!L294)"),"")</f>
        <v/>
      </c>
      <c r="AL295" s="183" t="str">
        <f>IFERROR(__xludf.DUMMYFUNCTION("QUERY('Volunteer Survey'!M294)"),"")</f>
        <v/>
      </c>
      <c r="AM295" s="183" t="str">
        <f>IFERROR(__xludf.DUMMYFUNCTION("QUERY('Volunteer Survey'!N294)"),"")</f>
        <v/>
      </c>
      <c r="AN295" s="183" t="str">
        <f>IFERROR(__xludf.DUMMYFUNCTION("QUERY('Volunteer Survey'!O294)"),"")</f>
        <v/>
      </c>
      <c r="AO295" s="183" t="str">
        <f>IFERROR(__xludf.DUMMYFUNCTION("QUERY('Volunteer Survey'!P294)"),"")</f>
        <v/>
      </c>
    </row>
    <row r="296">
      <c r="A296" s="50">
        <f>IFERROR(__xludf.DUMMYFUNCTION("QUERY('Volunteer Survey'!A305)"),43718.61678217593)</f>
        <v>43718.61678</v>
      </c>
      <c r="B296" s="48" t="s">
        <v>168</v>
      </c>
      <c r="C296" s="53"/>
      <c r="D296" s="55"/>
      <c r="E296" s="55"/>
      <c r="F296" s="48" t="s">
        <v>130</v>
      </c>
      <c r="G296" s="48" t="s">
        <v>19</v>
      </c>
      <c r="H296" s="53"/>
      <c r="I296" s="53"/>
      <c r="J296" s="55"/>
      <c r="K296" s="55"/>
      <c r="L296" s="55" t="str">
        <f>IFERROR(__xludf.DUMMYFUNCTION("QUERY('Volunteer Survey'!B305)"),"Andrew Langlois")</f>
        <v>Andrew Langlois</v>
      </c>
      <c r="M296" s="55" t="str">
        <f>IFERROR(__xludf.DUMMYFUNCTION("QUERY('Volunteer Survey'!E305)"),"andrewlanglois001@gmail.com")</f>
        <v>andrewlanglois001@gmail.com</v>
      </c>
      <c r="N296" s="55" t="str">
        <f>IFERROR(__xludf.DUMMYFUNCTION("QUERY('Volunteer Survey'!F305)"),"Graduate Student")</f>
        <v>Graduate Student</v>
      </c>
      <c r="O296" s="48" t="str">
        <f>IFERROR(__xludf.DUMMYFUNCTION("QUERY('Volunteer Survey'!H305)"),"Comprehensive")</f>
        <v>Comprehensive</v>
      </c>
      <c r="P296" s="55" t="str">
        <f>IFERROR(__xludf.DUMMYFUNCTION("QUERY('Volunteer Survey'!I305)"),"Clinical Actionability")</f>
        <v>Clinical Actionability</v>
      </c>
      <c r="Q296" s="60" t="str">
        <f>IFERROR(__xludf.DUMMYFUNCTION("QUERY('Volunteer Survey'!J305)"),"Dosage Sensitivity")</f>
        <v>Dosage Sensitivity</v>
      </c>
      <c r="R296" s="55" t="str">
        <f>IFERROR(__xludf.DUMMYFUNCTION("QUERY('Volunteer Survey'!K305)"),"Somatic Cancer")</f>
        <v>Somatic Cancer</v>
      </c>
      <c r="S296" s="55" t="str">
        <f>IFERROR(__xludf.DUMMYFUNCTION("QUERY('Volunteer Survey'!L305)"),"Variant Pathogenicity")</f>
        <v>Variant Pathogenicity</v>
      </c>
      <c r="T296" s="55" t="str">
        <f>IFERROR(__xludf.DUMMYFUNCTION("QUERY('Volunteer Survey'!M305)"),"Gene-Disease Validity")</f>
        <v>Gene-Disease Validity</v>
      </c>
      <c r="U296" s="64" t="str">
        <f>IFERROR(__xludf.DUMMYFUNCTION("QUERY('Volunteer Survey'!N305)"),"No")</f>
        <v>No</v>
      </c>
      <c r="V296" s="55" t="str">
        <f>IFERROR(__xludf.DUMMYFUNCTION("QUERY('Volunteer Survey'!O305)"),"Yes")</f>
        <v>Yes</v>
      </c>
      <c r="W296" s="66" t="str">
        <f>IFERROR(__xludf.DUMMYFUNCTION("QUERY('Volunteer Survey'!P305)"),"")</f>
        <v/>
      </c>
      <c r="X296" s="64" t="str">
        <f>IFERROR(__xludf.DUMMYFUNCTION("QUERY('Volunteer Survey'!R305)"),"Yes- I am willing to volunteer with any available ClinGen group")</f>
        <v>Yes- I am willing to volunteer with any available ClinGen group</v>
      </c>
      <c r="Y296" s="53"/>
      <c r="Z296" s="182">
        <f>IFERROR(__xludf.DUMMYFUNCTION("QUERY('Volunteer Survey'!A295)"),43711.41408498842)</f>
        <v>43711.41408</v>
      </c>
      <c r="AA296" s="183" t="str">
        <f>IFERROR(__xludf.DUMMYFUNCTION("QUERY('Volunteer Survey'!B295)"),"Diogo Ventura Lovato")</f>
        <v>Diogo Ventura Lovato</v>
      </c>
      <c r="AB296" s="183" t="str">
        <f>IFERROR(__xludf.DUMMYFUNCTION("QUERY('Volunteer Survey'!C295)"),"Tismoo Biotech")</f>
        <v>Tismoo Biotech</v>
      </c>
      <c r="AC296" s="183" t="str">
        <f>IFERROR(__xludf.DUMMYFUNCTION("QUERY('Volunteer Survey'!D295)"),"Brazil")</f>
        <v>Brazil</v>
      </c>
      <c r="AD296" s="183" t="str">
        <f>IFERROR(__xludf.DUMMYFUNCTION("QUERY('Volunteer Survey'!E295)"),"diogo.v.lovato@gmail.com")</f>
        <v>diogo.v.lovato@gmail.com</v>
      </c>
      <c r="AE296" s="183" t="str">
        <f>IFERROR(__xludf.DUMMYFUNCTION("QUERY('Volunteer Survey'!F295)"),"Clinical laboratory geneticist")</f>
        <v>Clinical laboratory geneticist</v>
      </c>
      <c r="AF296" s="183" t="str">
        <f>IFERROR(__xludf.DUMMYFUNCTION("QUERY('Volunteer Survey'!G295)"),"Survey retaken by Liz - question not originally answered")</f>
        <v>Survey retaken by Liz - question not originally answered</v>
      </c>
      <c r="AG296" s="183" t="str">
        <f>IFERROR(__xludf.DUMMYFUNCTION("QUERY('Volunteer Survey'!H295)"),"Comprehensive")</f>
        <v>Comprehensive</v>
      </c>
      <c r="AH296" s="183" t="str">
        <f>IFERROR(__xludf.DUMMYFUNCTION("QUERY('Volunteer Survey'!I295)"),"Variant Pathogenicity")</f>
        <v>Variant Pathogenicity</v>
      </c>
      <c r="AI296" s="183" t="str">
        <f>IFERROR(__xludf.DUMMYFUNCTION("QUERY('Volunteer Survey'!J295)"),"")</f>
        <v/>
      </c>
      <c r="AJ296" s="183" t="str">
        <f>IFERROR(__xludf.DUMMYFUNCTION("QUERY('Volunteer Survey'!K295)"),"")</f>
        <v/>
      </c>
      <c r="AK296" s="183" t="str">
        <f>IFERROR(__xludf.DUMMYFUNCTION("QUERY('Volunteer Survey'!L295)"),"")</f>
        <v/>
      </c>
      <c r="AL296" s="183" t="str">
        <f>IFERROR(__xludf.DUMMYFUNCTION("QUERY('Volunteer Survey'!M295)"),"")</f>
        <v/>
      </c>
      <c r="AM296" s="183" t="str">
        <f>IFERROR(__xludf.DUMMYFUNCTION("QUERY('Volunteer Survey'!N295)"),"")</f>
        <v/>
      </c>
      <c r="AN296" s="183" t="str">
        <f>IFERROR(__xludf.DUMMYFUNCTION("QUERY('Volunteer Survey'!O295)"),"")</f>
        <v/>
      </c>
      <c r="AO296" s="183" t="str">
        <f>IFERROR(__xludf.DUMMYFUNCTION("QUERY('Volunteer Survey'!P295)"),"")</f>
        <v/>
      </c>
    </row>
    <row r="297">
      <c r="A297" s="50">
        <f>IFERROR(__xludf.DUMMYFUNCTION("QUERY('Volunteer Survey'!A306)"),43720.90226984954)</f>
        <v>43720.90227</v>
      </c>
      <c r="B297" s="48" t="s">
        <v>108</v>
      </c>
      <c r="C297" s="79">
        <v>43819.0</v>
      </c>
      <c r="D297" s="55"/>
      <c r="E297" s="55"/>
      <c r="F297" s="48" t="s">
        <v>130</v>
      </c>
      <c r="G297" s="48" t="s">
        <v>251</v>
      </c>
      <c r="H297" s="53"/>
      <c r="I297" s="53"/>
      <c r="J297" s="55"/>
      <c r="K297" s="55"/>
      <c r="L297" s="55" t="str">
        <f>IFERROR(__xludf.DUMMYFUNCTION("QUERY('Volunteer Survey'!B306)"),"Brandon Chalazan")</f>
        <v>Brandon Chalazan</v>
      </c>
      <c r="M297" s="55" t="str">
        <f>IFERROR(__xludf.DUMMYFUNCTION("QUERY('Volunteer Survey'!E306)"),"brandon.chalazan@cw.bc.ca")</f>
        <v>brandon.chalazan@cw.bc.ca</v>
      </c>
      <c r="N297" s="55" t="str">
        <f>IFERROR(__xludf.DUMMYFUNCTION("QUERY('Volunteer Survey'!F306)"),"Post Doc/Resident/Fellow (MD and/or PhD)")</f>
        <v>Post Doc/Resident/Fellow (MD and/or PhD)</v>
      </c>
      <c r="O297" s="48" t="str">
        <f>IFERROR(__xludf.DUMMYFUNCTION("QUERY('Volunteer Survey'!H306)"),"Comprehensive")</f>
        <v>Comprehensive</v>
      </c>
      <c r="P297" s="55" t="str">
        <f>IFERROR(__xludf.DUMMYFUNCTION("QUERY('Volunteer Survey'!I306)"),"Variant Pathogenicity")</f>
        <v>Variant Pathogenicity</v>
      </c>
      <c r="Q297" s="60" t="str">
        <f>IFERROR(__xludf.DUMMYFUNCTION("QUERY('Volunteer Survey'!J306)"),"Dosage Sensitivity")</f>
        <v>Dosage Sensitivity</v>
      </c>
      <c r="R297" s="55" t="str">
        <f>IFERROR(__xludf.DUMMYFUNCTION("QUERY('Volunteer Survey'!K306)"),"Gene-Disease Validity")</f>
        <v>Gene-Disease Validity</v>
      </c>
      <c r="S297" s="55" t="str">
        <f>IFERROR(__xludf.DUMMYFUNCTION("QUERY('Volunteer Survey'!L306)"),"Clinical Actionability")</f>
        <v>Clinical Actionability</v>
      </c>
      <c r="T297" s="55" t="str">
        <f>IFERROR(__xludf.DUMMYFUNCTION("QUERY('Volunteer Survey'!M306)"),"")</f>
        <v/>
      </c>
      <c r="U297" s="64" t="str">
        <f>IFERROR(__xludf.DUMMYFUNCTION("QUERY('Volunteer Survey'!N306)"),"Yes - I have designed candidate SNP and gene panels, designed specific variant filtering criteria and commonly use ACMG / AMP / ACGS criteria.")</f>
        <v>Yes - I have designed candidate SNP and gene panels, designed specific variant filtering criteria and commonly use ACMG / AMP / ACGS criteria.</v>
      </c>
      <c r="V297" s="55" t="str">
        <f>IFERROR(__xludf.DUMMYFUNCTION("QUERY('Volunteer Survey'!O306)"),"Possibly")</f>
        <v>Possibly</v>
      </c>
      <c r="W297" s="66" t="str">
        <f>IFERROR(__xludf.DUMMYFUNCTION("QUERY('Volunteer Survey'!P306)"),"All inherited cardiovascular genetic conditions.  However, I want to form a Atrial Fibrillation working expert panel.")</f>
        <v>All inherited cardiovascular genetic conditions.  However, I want to form a Atrial Fibrillation working expert panel.</v>
      </c>
      <c r="X297" s="64" t="str">
        <f>IFERROR(__xludf.DUMMYFUNCTION("QUERY('Volunteer Survey'!R306)"),"Maybe -- please contact me with other options, and I will decide based on what is available")</f>
        <v>Maybe -- please contact me with other options, and I will decide based on what is available</v>
      </c>
      <c r="Y297" s="53"/>
      <c r="Z297" s="182">
        <f>IFERROR(__xludf.DUMMYFUNCTION("QUERY('Volunteer Survey'!A296)"),43711.41696469907)</f>
        <v>43711.41696</v>
      </c>
      <c r="AA297" s="183" t="str">
        <f>IFERROR(__xludf.DUMMYFUNCTION("QUERY('Volunteer Survey'!B296)"),"Elaine Spector")</f>
        <v>Elaine Spector</v>
      </c>
      <c r="AB297" s="183" t="str">
        <f>IFERROR(__xludf.DUMMYFUNCTION("QUERY('Volunteer Survey'!C296)"),"Univ of Colorado, Children's Hospital")</f>
        <v>Univ of Colorado, Children's Hospital</v>
      </c>
      <c r="AC297" s="183" t="str">
        <f>IFERROR(__xludf.DUMMYFUNCTION("QUERY('Volunteer Survey'!D296)"),"CO")</f>
        <v>CO</v>
      </c>
      <c r="AD297" s="183" t="str">
        <f>IFERROR(__xludf.DUMMYFUNCTION("QUERY('Volunteer Survey'!E296)"),"elaine.spector@childrenscolorado.org")</f>
        <v>elaine.spector@childrenscolorado.org</v>
      </c>
      <c r="AE297" s="183" t="str">
        <f>IFERROR(__xludf.DUMMYFUNCTION("QUERY('Volunteer Survey'!F296)"),"Clinical laboratory geneticist")</f>
        <v>Clinical laboratory geneticist</v>
      </c>
      <c r="AF297" s="183" t="str">
        <f>IFERROR(__xludf.DUMMYFUNCTION("QUERY('Volunteer Survey'!G296)"),"Survey retaken by Liz - question not originally answered.")</f>
        <v>Survey retaken by Liz - question not originally answered.</v>
      </c>
      <c r="AG297" s="183" t="str">
        <f>IFERROR(__xludf.DUMMYFUNCTION("QUERY('Volunteer Survey'!H296)"),"Comprehensive")</f>
        <v>Comprehensive</v>
      </c>
      <c r="AH297" s="183" t="str">
        <f>IFERROR(__xludf.DUMMYFUNCTION("QUERY('Volunteer Survey'!I296)"),"Variant Pathogenicity")</f>
        <v>Variant Pathogenicity</v>
      </c>
      <c r="AI297" s="183" t="str">
        <f>IFERROR(__xludf.DUMMYFUNCTION("QUERY('Volunteer Survey'!J296)"),"")</f>
        <v/>
      </c>
      <c r="AJ297" s="183" t="str">
        <f>IFERROR(__xludf.DUMMYFUNCTION("QUERY('Volunteer Survey'!K296)"),"")</f>
        <v/>
      </c>
      <c r="AK297" s="183" t="str">
        <f>IFERROR(__xludf.DUMMYFUNCTION("QUERY('Volunteer Survey'!L296)"),"")</f>
        <v/>
      </c>
      <c r="AL297" s="183" t="str">
        <f>IFERROR(__xludf.DUMMYFUNCTION("QUERY('Volunteer Survey'!M296)"),"")</f>
        <v/>
      </c>
      <c r="AM297" s="183" t="str">
        <f>IFERROR(__xludf.DUMMYFUNCTION("QUERY('Volunteer Survey'!N296)"),"")</f>
        <v/>
      </c>
      <c r="AN297" s="183" t="str">
        <f>IFERROR(__xludf.DUMMYFUNCTION("QUERY('Volunteer Survey'!O296)"),"")</f>
        <v/>
      </c>
      <c r="AO297" s="183" t="str">
        <f>IFERROR(__xludf.DUMMYFUNCTION("QUERY('Volunteer Survey'!P296)"),"")</f>
        <v/>
      </c>
    </row>
    <row r="298">
      <c r="A298" s="50">
        <f>IFERROR(__xludf.DUMMYFUNCTION("QUERY('Volunteer Survey'!A307)"),43721.408467650464)</f>
        <v>43721.40847</v>
      </c>
      <c r="B298" s="48" t="s">
        <v>108</v>
      </c>
      <c r="C298" s="79">
        <v>43819.0</v>
      </c>
      <c r="D298" s="55"/>
      <c r="E298" s="55"/>
      <c r="F298" s="48" t="s">
        <v>130</v>
      </c>
      <c r="G298" s="48" t="s">
        <v>251</v>
      </c>
      <c r="H298" s="53"/>
      <c r="I298" s="53"/>
      <c r="J298" s="55"/>
      <c r="K298" s="55"/>
      <c r="L298" s="55" t="str">
        <f>IFERROR(__xludf.DUMMYFUNCTION("QUERY('Volunteer Survey'!B307)"),"jean-leon chong")</f>
        <v>jean-leon chong</v>
      </c>
      <c r="M298" s="55" t="str">
        <f>IFERROR(__xludf.DUMMYFUNCTION("QUERY('Volunteer Survey'!E307)"),"leon0044@gmail.com")</f>
        <v>leon0044@gmail.com</v>
      </c>
      <c r="N298" s="55" t="str">
        <f>IFERROR(__xludf.DUMMYFUNCTION("QUERY('Volunteer Survey'!F307)"),"biochemical genetics lab director")</f>
        <v>biochemical genetics lab director</v>
      </c>
      <c r="O298" s="48" t="str">
        <f>IFERROR(__xludf.DUMMYFUNCTION("QUERY('Volunteer Survey'!H307)"),"Comprehensive")</f>
        <v>Comprehensive</v>
      </c>
      <c r="P298" s="55" t="str">
        <f>IFERROR(__xludf.DUMMYFUNCTION("QUERY('Volunteer Survey'!I307)"),"Variant Pathogenicity")</f>
        <v>Variant Pathogenicity</v>
      </c>
      <c r="Q298" s="60" t="str">
        <f>IFERROR(__xludf.DUMMYFUNCTION("QUERY('Volunteer Survey'!J307)"),"Gene-Disease Validity")</f>
        <v>Gene-Disease Validity</v>
      </c>
      <c r="R298" s="55" t="str">
        <f>IFERROR(__xludf.DUMMYFUNCTION("QUERY('Volunteer Survey'!K307)"),"")</f>
        <v/>
      </c>
      <c r="S298" s="55" t="str">
        <f>IFERROR(__xludf.DUMMYFUNCTION("QUERY('Volunteer Survey'!L307)"),"")</f>
        <v/>
      </c>
      <c r="T298" s="55" t="str">
        <f>IFERROR(__xludf.DUMMYFUNCTION("QUERY('Volunteer Survey'!M307)"),"")</f>
        <v/>
      </c>
      <c r="U298" s="64" t="str">
        <f>IFERROR(__xludf.DUMMYFUNCTION("QUERY('Volunteer Survey'!N307)"),"some experience during fellowship training ")</f>
        <v>some experience during fellowship training </v>
      </c>
      <c r="V298" s="55" t="str">
        <f>IFERROR(__xludf.DUMMYFUNCTION("QUERY('Volunteer Survey'!O307)"),"Possibly")</f>
        <v>Possibly</v>
      </c>
      <c r="W298" s="66" t="str">
        <f>IFERROR(__xludf.DUMMYFUNCTION("QUERY('Volunteer Survey'!P307)"),"")</f>
        <v/>
      </c>
      <c r="X298" s="64" t="str">
        <f>IFERROR(__xludf.DUMMYFUNCTION("QUERY('Volunteer Survey'!R307)"),"Maybe -- please contact me with other options, and I will decide based on what is available")</f>
        <v>Maybe -- please contact me with other options, and I will decide based on what is available</v>
      </c>
      <c r="Y298" s="53"/>
      <c r="Z298" s="182">
        <f>IFERROR(__xludf.DUMMYFUNCTION("QUERY('Volunteer Survey'!A297)"),43711.422284594904)</f>
        <v>43711.42228</v>
      </c>
      <c r="AA298" s="183" t="str">
        <f>IFERROR(__xludf.DUMMYFUNCTION("QUERY('Volunteer Survey'!B297)"),"Laura Fuqua")</f>
        <v>Laura Fuqua</v>
      </c>
      <c r="AB298" s="183" t="str">
        <f>IFERROR(__xludf.DUMMYFUNCTION("QUERY('Volunteer Survey'!C297)"),"NA")</f>
        <v>NA</v>
      </c>
      <c r="AC298" s="183" t="str">
        <f>IFERROR(__xludf.DUMMYFUNCTION("QUERY('Volunteer Survey'!D297)"),"CA")</f>
        <v>CA</v>
      </c>
      <c r="AD298" s="183" t="str">
        <f>IFERROR(__xludf.DUMMYFUNCTION("QUERY('Volunteer Survey'!E297)"),"laura.fuqua@gmail.com")</f>
        <v>laura.fuqua@gmail.com</v>
      </c>
      <c r="AE298" s="183" t="str">
        <f>IFERROR(__xludf.DUMMYFUNCTION("QUERY('Volunteer Survey'!F297)"),"Genetic counselor")</f>
        <v>Genetic counselor</v>
      </c>
      <c r="AF298" s="183" t="str">
        <f>IFERROR(__xludf.DUMMYFUNCTION("QUERY('Volunteer Survey'!G297)"),"Survey retaken by Liz - question not originally answered")</f>
        <v>Survey retaken by Liz - question not originally answered</v>
      </c>
      <c r="AG298" s="183" t="str">
        <f>IFERROR(__xludf.DUMMYFUNCTION("QUERY('Volunteer Survey'!H297)"),"Comprehensive")</f>
        <v>Comprehensive</v>
      </c>
      <c r="AH298" s="183" t="str">
        <f>IFERROR(__xludf.DUMMYFUNCTION("QUERY('Volunteer Survey'!I297)"),"Variant Pathogenicity")</f>
        <v>Variant Pathogenicity</v>
      </c>
      <c r="AI298" s="183" t="str">
        <f>IFERROR(__xludf.DUMMYFUNCTION("QUERY('Volunteer Survey'!J297)"),"")</f>
        <v/>
      </c>
      <c r="AJ298" s="183" t="str">
        <f>IFERROR(__xludf.DUMMYFUNCTION("QUERY('Volunteer Survey'!K297)"),"")</f>
        <v/>
      </c>
      <c r="AK298" s="183" t="str">
        <f>IFERROR(__xludf.DUMMYFUNCTION("QUERY('Volunteer Survey'!L297)"),"")</f>
        <v/>
      </c>
      <c r="AL298" s="183" t="str">
        <f>IFERROR(__xludf.DUMMYFUNCTION("QUERY('Volunteer Survey'!M297)"),"")</f>
        <v/>
      </c>
      <c r="AM298" s="183" t="str">
        <f>IFERROR(__xludf.DUMMYFUNCTION("QUERY('Volunteer Survey'!N297)"),"")</f>
        <v/>
      </c>
      <c r="AN298" s="183" t="str">
        <f>IFERROR(__xludf.DUMMYFUNCTION("QUERY('Volunteer Survey'!O297)"),"")</f>
        <v/>
      </c>
      <c r="AO298" s="183" t="str">
        <f>IFERROR(__xludf.DUMMYFUNCTION("QUERY('Volunteer Survey'!P297)"),"")</f>
        <v/>
      </c>
    </row>
    <row r="299">
      <c r="A299" s="50">
        <f>IFERROR(__xludf.DUMMYFUNCTION("QUERY('Volunteer Survey'!A308)"),43721.66220423611)</f>
        <v>43721.6622</v>
      </c>
      <c r="B299" s="48" t="s">
        <v>108</v>
      </c>
      <c r="C299" s="79">
        <v>43819.0</v>
      </c>
      <c r="D299" s="55"/>
      <c r="E299" s="55"/>
      <c r="F299" s="48" t="s">
        <v>130</v>
      </c>
      <c r="G299" s="48" t="s">
        <v>251</v>
      </c>
      <c r="H299" s="53"/>
      <c r="I299" s="53"/>
      <c r="J299" s="55"/>
      <c r="K299" s="55"/>
      <c r="L299" s="55" t="str">
        <f>IFERROR(__xludf.DUMMYFUNCTION("QUERY('Volunteer Survey'!B308)"),"Terra Brannan")</f>
        <v>Terra Brannan</v>
      </c>
      <c r="M299" s="55" t="str">
        <f>IFERROR(__xludf.DUMMYFUNCTION("QUERY('Volunteer Survey'!E308)"),"tbrannan@ambrygen.com")</f>
        <v>tbrannan@ambrygen.com</v>
      </c>
      <c r="N299" s="55" t="str">
        <f>IFERROR(__xludf.DUMMYFUNCTION("QUERY('Volunteer Survey'!F308)"),"Variant Analyst/Scientist - Industry")</f>
        <v>Variant Analyst/Scientist - Industry</v>
      </c>
      <c r="O299" s="48" t="str">
        <f>IFERROR(__xludf.DUMMYFUNCTION("QUERY('Volunteer Survey'!H308)"),"Comprehensive")</f>
        <v>Comprehensive</v>
      </c>
      <c r="P299" s="55" t="str">
        <f>IFERROR(__xludf.DUMMYFUNCTION("QUERY('Volunteer Survey'!I308)"),"Variant Pathogenicity")</f>
        <v>Variant Pathogenicity</v>
      </c>
      <c r="Q299" s="60" t="str">
        <f>IFERROR(__xludf.DUMMYFUNCTION("QUERY('Volunteer Survey'!J308)"),"")</f>
        <v/>
      </c>
      <c r="R299" s="55" t="str">
        <f>IFERROR(__xludf.DUMMYFUNCTION("QUERY('Volunteer Survey'!K308)"),"")</f>
        <v/>
      </c>
      <c r="S299" s="55" t="str">
        <f>IFERROR(__xludf.DUMMYFUNCTION("QUERY('Volunteer Survey'!L308)"),"")</f>
        <v/>
      </c>
      <c r="T299" s="55" t="str">
        <f>IFERROR(__xludf.DUMMYFUNCTION("QUERY('Volunteer Survey'!M308)"),"")</f>
        <v/>
      </c>
      <c r="U299" s="64" t="str">
        <f>IFERROR(__xludf.DUMMYFUNCTION("QUERY('Volunteer Survey'!N308)"),"Yes, I have been performing variant assessment since December 2018")</f>
        <v>Yes, I have been performing variant assessment since December 2018</v>
      </c>
      <c r="V299" s="55" t="str">
        <f>IFERROR(__xludf.DUMMYFUNCTION("QUERY('Volunteer Survey'!O308)"),"No")</f>
        <v>No</v>
      </c>
      <c r="W299" s="66" t="str">
        <f>IFERROR(__xludf.DUMMYFUNCTION("QUERY('Volunteer Survey'!P308)"),"CDH1")</f>
        <v>CDH1</v>
      </c>
      <c r="X299" s="64" t="str">
        <f>IFERROR(__xludf.DUMMYFUNCTION("QUERY('Volunteer Survey'!R308)"),"No - I am only interested in the group(s) I previously indicated")</f>
        <v>No - I am only interested in the group(s) I previously indicated</v>
      </c>
      <c r="Y299" s="53"/>
      <c r="Z299" s="182">
        <f>IFERROR(__xludf.DUMMYFUNCTION("QUERY('Volunteer Survey'!A298)"),43712.77477491898)</f>
        <v>43712.77477</v>
      </c>
      <c r="AA299" s="183" t="str">
        <f>IFERROR(__xludf.DUMMYFUNCTION("QUERY('Volunteer Survey'!B298)"),"Kelly McGoldrick")</f>
        <v>Kelly McGoldrick</v>
      </c>
      <c r="AB299" s="183" t="str">
        <f>IFERROR(__xludf.DUMMYFUNCTION("QUERY('Volunteer Survey'!C298)"),"Ambry Genetics")</f>
        <v>Ambry Genetics</v>
      </c>
      <c r="AC299" s="183" t="str">
        <f>IFERROR(__xludf.DUMMYFUNCTION("QUERY('Volunteer Survey'!D298)"),"")</f>
        <v/>
      </c>
      <c r="AD299" s="183" t="str">
        <f>IFERROR(__xludf.DUMMYFUNCTION("QUERY('Volunteer Survey'!E298)"),"kmcgoldrick@ambrygenetics.com")</f>
        <v>kmcgoldrick@ambrygenetics.com</v>
      </c>
      <c r="AE299" s="183" t="str">
        <f>IFERROR(__xludf.DUMMYFUNCTION("QUERY('Volunteer Survey'!F298)"),"Variant Analyst/Scientist - Industry")</f>
        <v>Variant Analyst/Scientist - Industry</v>
      </c>
      <c r="AF299" s="183" t="str">
        <f>IFERROR(__xludf.DUMMYFUNCTION("QUERY('Volunteer Survey'!G298)"),"Networking")</f>
        <v>Networking</v>
      </c>
      <c r="AG299" s="183" t="str">
        <f>IFERROR(__xludf.DUMMYFUNCTION("QUERY('Volunteer Survey'!H298)"),"Comprehensive")</f>
        <v>Comprehensive</v>
      </c>
      <c r="AH299" s="183" t="str">
        <f>IFERROR(__xludf.DUMMYFUNCTION("QUERY('Volunteer Survey'!I298)"),"")</f>
        <v/>
      </c>
      <c r="AI299" s="183" t="str">
        <f>IFERROR(__xludf.DUMMYFUNCTION("QUERY('Volunteer Survey'!J298)"),"")</f>
        <v/>
      </c>
      <c r="AJ299" s="183" t="str">
        <f>IFERROR(__xludf.DUMMYFUNCTION("QUERY('Volunteer Survey'!K298)"),"")</f>
        <v/>
      </c>
      <c r="AK299" s="183" t="str">
        <f>IFERROR(__xludf.DUMMYFUNCTION("QUERY('Volunteer Survey'!L298)"),"")</f>
        <v/>
      </c>
      <c r="AL299" s="183" t="str">
        <f>IFERROR(__xludf.DUMMYFUNCTION("QUERY('Volunteer Survey'!M298)"),"")</f>
        <v/>
      </c>
      <c r="AM299" s="183" t="str">
        <f>IFERROR(__xludf.DUMMYFUNCTION("QUERY('Volunteer Survey'!N298)"),"I am a variant curation scientist at Ambry Genetics")</f>
        <v>I am a variant curation scientist at Ambry Genetics</v>
      </c>
      <c r="AN299" s="183" t="str">
        <f>IFERROR(__xludf.DUMMYFUNCTION("QUERY('Volunteer Survey'!O298)"),"Possibly")</f>
        <v>Possibly</v>
      </c>
      <c r="AO299" s="183" t="str">
        <f>IFERROR(__xludf.DUMMYFUNCTION("QUERY('Volunteer Survey'!P298)"),"Already a member of TP53 and VHL groups")</f>
        <v>Already a member of TP53 and VHL groups</v>
      </c>
    </row>
    <row r="300">
      <c r="A300" s="50">
        <f>IFERROR(__xludf.DUMMYFUNCTION("QUERY('Volunteer Survey'!A309)"),43724.55539652777)</f>
        <v>43724.5554</v>
      </c>
      <c r="B300" s="48" t="s">
        <v>322</v>
      </c>
      <c r="C300" s="53"/>
      <c r="D300" s="55"/>
      <c r="E300" s="55"/>
      <c r="F300" s="48" t="s">
        <v>130</v>
      </c>
      <c r="G300" s="48" t="s">
        <v>163</v>
      </c>
      <c r="H300" s="53"/>
      <c r="I300" s="53"/>
      <c r="J300" s="55"/>
      <c r="K300" s="55"/>
      <c r="L300" s="55" t="str">
        <f>IFERROR(__xludf.DUMMYFUNCTION("QUERY('Volunteer Survey'!B309)"),"Ankita Patel")</f>
        <v>Ankita Patel</v>
      </c>
      <c r="M300" s="55" t="str">
        <f>IFERROR(__xludf.DUMMYFUNCTION("QUERY('Volunteer Survey'!E309)"),"aspatel1@yahoo.com")</f>
        <v>aspatel1@yahoo.com</v>
      </c>
      <c r="N300" s="55" t="str">
        <f>IFERROR(__xludf.DUMMYFUNCTION("QUERY('Volunteer Survey'!F309)"),"Independent cytogenetic consultant")</f>
        <v>Independent cytogenetic consultant</v>
      </c>
      <c r="O300" s="48" t="str">
        <f>IFERROR(__xludf.DUMMYFUNCTION("QUERY('Volunteer Survey'!H309)"),"Comprehensive")</f>
        <v>Comprehensive</v>
      </c>
      <c r="P300" s="55" t="str">
        <f>IFERROR(__xludf.DUMMYFUNCTION("QUERY('Volunteer Survey'!I309)"),"Dosage Sensitivity")</f>
        <v>Dosage Sensitivity</v>
      </c>
      <c r="Q300" s="60" t="str">
        <f>IFERROR(__xludf.DUMMYFUNCTION("QUERY('Volunteer Survey'!J309)"),"Variant Pathogenicity")</f>
        <v>Variant Pathogenicity</v>
      </c>
      <c r="R300" s="55" t="str">
        <f>IFERROR(__xludf.DUMMYFUNCTION("QUERY('Volunteer Survey'!K309)"),"Gene-Disease Validity")</f>
        <v>Gene-Disease Validity</v>
      </c>
      <c r="S300" s="55" t="str">
        <f>IFERROR(__xludf.DUMMYFUNCTION("QUERY('Volunteer Survey'!L309)"),"Clinical Actionability")</f>
        <v>Clinical Actionability</v>
      </c>
      <c r="T300" s="55" t="str">
        <f>IFERROR(__xludf.DUMMYFUNCTION("QUERY('Volunteer Survey'!M309)"),"Somatic Cancer")</f>
        <v>Somatic Cancer</v>
      </c>
      <c r="U300" s="64" t="str">
        <f>IFERROR(__xludf.DUMMYFUNCTION("QUERY('Volunteer Survey'!N309)"),"Part of the CLinGen CNV ")</f>
        <v>Part of the CLinGen CNV </v>
      </c>
      <c r="V300" s="55" t="str">
        <f>IFERROR(__xludf.DUMMYFUNCTION("QUERY('Volunteer Survey'!O309)"),"Yes")</f>
        <v>Yes</v>
      </c>
      <c r="W300" s="66" t="str">
        <f>IFERROR(__xludf.DUMMYFUNCTION("QUERY('Volunteer Survey'!P309)"),"no- can owrk on where there is need")</f>
        <v>no- can owrk on where there is need</v>
      </c>
      <c r="X300" s="64" t="str">
        <f>IFERROR(__xludf.DUMMYFUNCTION("QUERY('Volunteer Survey'!R309)"),"Yes- I am willing to volunteer with any available ClinGen group")</f>
        <v>Yes- I am willing to volunteer with any available ClinGen group</v>
      </c>
      <c r="Y300" s="53"/>
      <c r="Z300" s="182">
        <f>IFERROR(__xludf.DUMMYFUNCTION("QUERY('Volunteer Survey'!A299)"),43713.48872883102)</f>
        <v>43713.48873</v>
      </c>
      <c r="AA300" s="183" t="str">
        <f>IFERROR(__xludf.DUMMYFUNCTION("QUERY('Volunteer Survey'!B299)"),"Patricia Harper")</f>
        <v>Patricia Harper</v>
      </c>
      <c r="AB300" s="183" t="str">
        <f>IFERROR(__xludf.DUMMYFUNCTION("QUERY('Volunteer Survey'!C299)"),"CHEO, Ottawa Ontario, Canada")</f>
        <v>CHEO, Ottawa Ontario, Canada</v>
      </c>
      <c r="AC300" s="183" t="str">
        <f>IFERROR(__xludf.DUMMYFUNCTION("QUERY('Volunteer Survey'!D299)"),"")</f>
        <v/>
      </c>
      <c r="AD300" s="183" t="str">
        <f>IFERROR(__xludf.DUMMYFUNCTION("QUERY('Volunteer Survey'!E299)"),"pharper@cheo.on.ca")</f>
        <v>pharper@cheo.on.ca</v>
      </c>
      <c r="AE300" s="183" t="str">
        <f>IFERROR(__xludf.DUMMYFUNCTION("QUERY('Volunteer Survey'!F299)"),"Genetic counselor")</f>
        <v>Genetic counselor</v>
      </c>
      <c r="AF300" s="183" t="str">
        <f>IFERROR(__xludf.DUMMYFUNCTION("QUERY('Volunteer Survey'!G299)"),"Colleagues, ClinGen affiliated emails and/or newsletters")</f>
        <v>Colleagues, ClinGen affiliated emails and/or newsletters</v>
      </c>
      <c r="AG300" s="183" t="str">
        <f>IFERROR(__xludf.DUMMYFUNCTION("QUERY('Volunteer Survey'!H299)"),"Comprehensive")</f>
        <v>Comprehensive</v>
      </c>
      <c r="AH300" s="183" t="str">
        <f>IFERROR(__xludf.DUMMYFUNCTION("QUERY('Volunteer Survey'!I299)"),"Variant Pathogenicity")</f>
        <v>Variant Pathogenicity</v>
      </c>
      <c r="AI300" s="183" t="str">
        <f>IFERROR(__xludf.DUMMYFUNCTION("QUERY('Volunteer Survey'!J299)"),"Clinical Actionability")</f>
        <v>Clinical Actionability</v>
      </c>
      <c r="AJ300" s="183" t="str">
        <f>IFERROR(__xludf.DUMMYFUNCTION("QUERY('Volunteer Survey'!K299)"),"Gene-Disease Validity")</f>
        <v>Gene-Disease Validity</v>
      </c>
      <c r="AK300" s="183" t="str">
        <f>IFERROR(__xludf.DUMMYFUNCTION("QUERY('Volunteer Survey'!L299)"),"")</f>
        <v/>
      </c>
      <c r="AL300" s="183" t="str">
        <f>IFERROR(__xludf.DUMMYFUNCTION("QUERY('Volunteer Survey'!M299)"),"")</f>
        <v/>
      </c>
      <c r="AM300" s="183" t="str">
        <f>IFERROR(__xludf.DUMMYFUNCTION("QUERY('Volunteer Survey'!N299)"),"Yes, currently a member of the ClinGen Cardiomyopathy VCC")</f>
        <v>Yes, currently a member of the ClinGen Cardiomyopathy VCC</v>
      </c>
      <c r="AN300" s="183" t="str">
        <f>IFERROR(__xludf.DUMMYFUNCTION("QUERY('Volunteer Survey'!O299)"),"Possibly")</f>
        <v>Possibly</v>
      </c>
      <c r="AO300" s="183" t="str">
        <f>IFERROR(__xludf.DUMMYFUNCTION("QUERY('Volunteer Survey'!P299)"),"Hereditary cancer (and/or associated genes such as TP53)")</f>
        <v>Hereditary cancer (and/or associated genes such as TP53)</v>
      </c>
    </row>
    <row r="301">
      <c r="A301" s="50">
        <f>IFERROR(__xludf.DUMMYFUNCTION("QUERY('Volunteer Survey'!A310)"),43724.684086863424)</f>
        <v>43724.68409</v>
      </c>
      <c r="B301" s="48" t="s">
        <v>108</v>
      </c>
      <c r="C301" s="79">
        <v>43819.0</v>
      </c>
      <c r="D301" s="55"/>
      <c r="E301" s="55"/>
      <c r="F301" s="48" t="s">
        <v>130</v>
      </c>
      <c r="G301" s="48" t="s">
        <v>251</v>
      </c>
      <c r="H301" s="53"/>
      <c r="I301" s="53"/>
      <c r="J301" s="55"/>
      <c r="K301" s="55"/>
      <c r="L301" s="55" t="str">
        <f>IFERROR(__xludf.DUMMYFUNCTION("QUERY('Volunteer Survey'!B310)"),"Jordan Stern")</f>
        <v>Jordan Stern</v>
      </c>
      <c r="M301" s="55" t="str">
        <f>IFERROR(__xludf.DUMMYFUNCTION("QUERY('Volunteer Survey'!E310)"),"jordanjnstern@gmail.com")</f>
        <v>jordanjnstern@gmail.com</v>
      </c>
      <c r="N301" s="55" t="str">
        <f>IFERROR(__xludf.DUMMYFUNCTION("QUERY('Volunteer Survey'!F310)"),"Undergraduate Student")</f>
        <v>Undergraduate Student</v>
      </c>
      <c r="O301" s="48" t="str">
        <f>IFERROR(__xludf.DUMMYFUNCTION("QUERY('Volunteer Survey'!H310)"),"Comprehensive")</f>
        <v>Comprehensive</v>
      </c>
      <c r="P301" s="55" t="str">
        <f>IFERROR(__xludf.DUMMYFUNCTION("QUERY('Volunteer Survey'!I310)"),"Variant Pathogenicity")</f>
        <v>Variant Pathogenicity</v>
      </c>
      <c r="Q301" s="60" t="str">
        <f>IFERROR(__xludf.DUMMYFUNCTION("QUERY('Volunteer Survey'!J310)"),"Dosage Sensitivity")</f>
        <v>Dosage Sensitivity</v>
      </c>
      <c r="R301" s="55" t="str">
        <f>IFERROR(__xludf.DUMMYFUNCTION("QUERY('Volunteer Survey'!K310)"),"Clinical Actionability")</f>
        <v>Clinical Actionability</v>
      </c>
      <c r="S301" s="55" t="str">
        <f>IFERROR(__xludf.DUMMYFUNCTION("QUERY('Volunteer Survey'!L310)"),"Gene-Disease Validity")</f>
        <v>Gene-Disease Validity</v>
      </c>
      <c r="T301" s="55" t="str">
        <f>IFERROR(__xludf.DUMMYFUNCTION("QUERY('Volunteer Survey'!M310)"),"Somatic Cancer")</f>
        <v>Somatic Cancer</v>
      </c>
      <c r="U301" s="64" t="str">
        <f>IFERROR(__xludf.DUMMYFUNCTION("QUERY('Volunteer Survey'!N310)"),"")</f>
        <v/>
      </c>
      <c r="V301" s="55" t="str">
        <f>IFERROR(__xludf.DUMMYFUNCTION("QUERY('Volunteer Survey'!O310)"),"Yes")</f>
        <v>Yes</v>
      </c>
      <c r="W301" s="66" t="str">
        <f>IFERROR(__xludf.DUMMYFUNCTION("QUERY('Volunteer Survey'!P310)"),"yes")</f>
        <v>yes</v>
      </c>
      <c r="X301" s="64" t="str">
        <f>IFERROR(__xludf.DUMMYFUNCTION("QUERY('Volunteer Survey'!R310)"),"Yes- I am willing to volunteer with any available ClinGen group")</f>
        <v>Yes- I am willing to volunteer with any available ClinGen group</v>
      </c>
      <c r="Y301" s="53"/>
      <c r="Z301" s="182">
        <f>IFERROR(__xludf.DUMMYFUNCTION("QUERY('Volunteer Survey'!A300)"),43714.55424548611)</f>
        <v>43714.55425</v>
      </c>
      <c r="AA301" s="183" t="str">
        <f>IFERROR(__xludf.DUMMYFUNCTION("QUERY('Volunteer Survey'!B300)"),"Rasha hekal ")</f>
        <v>Rasha hekal </v>
      </c>
      <c r="AB301" s="183" t="str">
        <f>IFERROR(__xludf.DUMMYFUNCTION("QUERY('Volunteer Survey'!C300)"),"STEM GHARBIYA ")</f>
        <v>STEM GHARBIYA </v>
      </c>
      <c r="AC301" s="183" t="str">
        <f>IFERROR(__xludf.DUMMYFUNCTION("QUERY('Volunteer Survey'!D300)"),"Kom Hamada El behira ")</f>
        <v>Kom Hamada El behira </v>
      </c>
      <c r="AD301" s="183" t="str">
        <f>IFERROR(__xludf.DUMMYFUNCTION("QUERY('Volunteer Survey'!E300)"),"rasha.hekal.152003@gmail.com")</f>
        <v>rasha.hekal.152003@gmail.com</v>
      </c>
      <c r="AE301" s="183" t="str">
        <f>IFERROR(__xludf.DUMMYFUNCTION("QUERY('Volunteer Survey'!F300)"),"Undergraduate Student")</f>
        <v>Undergraduate Student</v>
      </c>
      <c r="AF301" s="183" t="str">
        <f>IFERROR(__xludf.DUMMYFUNCTION("QUERY('Volunteer Survey'!G300)"),"ClinGen conference advertisements (i.e. booth, workshop, presentation), The clinicalgenome.org website, Facebook")</f>
        <v>ClinGen conference advertisements (i.e. booth, workshop, presentation), The clinicalgenome.org website, Facebook</v>
      </c>
      <c r="AG301" s="183" t="str">
        <f>IFERROR(__xludf.DUMMYFUNCTION("QUERY('Volunteer Survey'!H300)"),"Comprehensive")</f>
        <v>Comprehensive</v>
      </c>
      <c r="AH301" s="183" t="str">
        <f>IFERROR(__xludf.DUMMYFUNCTION("QUERY('Volunteer Survey'!I300)"),"Somatic Cancer")</f>
        <v>Somatic Cancer</v>
      </c>
      <c r="AI301" s="183" t="str">
        <f>IFERROR(__xludf.DUMMYFUNCTION("QUERY('Volunteer Survey'!J300)"),"Gene-Disease Validity")</f>
        <v>Gene-Disease Validity</v>
      </c>
      <c r="AJ301" s="183" t="str">
        <f>IFERROR(__xludf.DUMMYFUNCTION("QUERY('Volunteer Survey'!K300)"),"Clinical Actionability")</f>
        <v>Clinical Actionability</v>
      </c>
      <c r="AK301" s="183" t="str">
        <f>IFERROR(__xludf.DUMMYFUNCTION("QUERY('Volunteer Survey'!L300)"),"Dosage Sensitivity")</f>
        <v>Dosage Sensitivity</v>
      </c>
      <c r="AL301" s="183" t="str">
        <f>IFERROR(__xludf.DUMMYFUNCTION("QUERY('Volunteer Survey'!M300)"),"Variant Pathogenicity")</f>
        <v>Variant Pathogenicity</v>
      </c>
      <c r="AM301" s="183" t="str">
        <f>IFERROR(__xludf.DUMMYFUNCTION("QUERY('Volunteer Survey'!N300)"),"No I didn't have but I have a lot of information.")</f>
        <v>No I didn't have but I have a lot of information.</v>
      </c>
      <c r="AN301" s="183" t="str">
        <f>IFERROR(__xludf.DUMMYFUNCTION("QUERY('Volunteer Survey'!O300)"),"Yes")</f>
        <v>Yes</v>
      </c>
      <c r="AO301" s="183" t="str">
        <f>IFERROR(__xludf.DUMMYFUNCTION("QUERY('Volunteer Survey'!P300)"),"Yes I am very interested to join this group. ")</f>
        <v>Yes I am very interested to join this group. </v>
      </c>
    </row>
    <row r="302">
      <c r="A302" s="50">
        <f>IFERROR(__xludf.DUMMYFUNCTION("QUERY('Volunteer Survey'!A311)"),43725.59430077547)</f>
        <v>43725.5943</v>
      </c>
      <c r="B302" s="48" t="s">
        <v>108</v>
      </c>
      <c r="C302" s="53"/>
      <c r="D302" s="55"/>
      <c r="E302" s="55"/>
      <c r="F302" s="48" t="s">
        <v>130</v>
      </c>
      <c r="G302" s="48" t="s">
        <v>202</v>
      </c>
      <c r="H302" s="53"/>
      <c r="I302" s="51" t="s">
        <v>139</v>
      </c>
      <c r="J302" s="55"/>
      <c r="K302" s="55"/>
      <c r="L302" s="55" t="str">
        <f>IFERROR(__xludf.DUMMYFUNCTION("QUERY('Volunteer Survey'!B311)"),"Chris Darnell")</f>
        <v>Chris Darnell</v>
      </c>
      <c r="M302" s="55" t="str">
        <f>IFERROR(__xludf.DUMMYFUNCTION("QUERY('Volunteer Survey'!E311)"),"chris.darnell@bluewaterdxlab.com")</f>
        <v>chris.darnell@bluewaterdxlab.com</v>
      </c>
      <c r="N302" s="55" t="str">
        <f>IFERROR(__xludf.DUMMYFUNCTION("QUERY('Volunteer Survey'!F311)"),"Laboratory Technical Supervisor")</f>
        <v>Laboratory Technical Supervisor</v>
      </c>
      <c r="O302" s="48" t="str">
        <f>IFERROR(__xludf.DUMMYFUNCTION("QUERY('Volunteer Survey'!H311)"),"Baseline")</f>
        <v>Baseline</v>
      </c>
      <c r="P302" s="55" t="str">
        <f>IFERROR(__xludf.DUMMYFUNCTION("QUERY('Volunteer Survey'!I311)"),"Gene-Disease Validity")</f>
        <v>Gene-Disease Validity</v>
      </c>
      <c r="Q302" s="60" t="str">
        <f>IFERROR(__xludf.DUMMYFUNCTION("QUERY('Volunteer Survey'!J311)"),"Variant Pathogenicity")</f>
        <v>Variant Pathogenicity</v>
      </c>
      <c r="R302" s="55" t="str">
        <f>IFERROR(__xludf.DUMMYFUNCTION("QUERY('Volunteer Survey'!K311)"),"Somatic Cancer")</f>
        <v>Somatic Cancer</v>
      </c>
      <c r="S302" s="55" t="str">
        <f>IFERROR(__xludf.DUMMYFUNCTION("QUERY('Volunteer Survey'!L311)"),"Dosage Sensitivity")</f>
        <v>Dosage Sensitivity</v>
      </c>
      <c r="T302" s="55" t="str">
        <f>IFERROR(__xludf.DUMMYFUNCTION("QUERY('Volunteer Survey'!M311)"),"Clinical Actionability")</f>
        <v>Clinical Actionability</v>
      </c>
      <c r="U302" s="64" t="str">
        <f>IFERROR(__xludf.DUMMYFUNCTION("QUERY('Volunteer Survey'!N311)"),"")</f>
        <v/>
      </c>
      <c r="V302" s="55" t="str">
        <f>IFERROR(__xludf.DUMMYFUNCTION("QUERY('Volunteer Survey'!O311)"),"Yes")</f>
        <v>Yes</v>
      </c>
      <c r="W302" s="66" t="str">
        <f>IFERROR(__xludf.DUMMYFUNCTION("QUERY('Volunteer Survey'!P311)"),"")</f>
        <v/>
      </c>
      <c r="X302" s="64" t="str">
        <f>IFERROR(__xludf.DUMMYFUNCTION("QUERY('Volunteer Survey'!R311)"),"")</f>
        <v/>
      </c>
      <c r="Y302" s="53"/>
      <c r="Z302" s="182">
        <f>IFERROR(__xludf.DUMMYFUNCTION("QUERY('Volunteer Survey'!A301)"),43714.70152723379)</f>
        <v>43714.70153</v>
      </c>
      <c r="AA302" s="183" t="str">
        <f>IFERROR(__xludf.DUMMYFUNCTION("QUERY('Volunteer Survey'!B301)"),"Nathaniel Jue")</f>
        <v>Nathaniel Jue</v>
      </c>
      <c r="AB302" s="183" t="str">
        <f>IFERROR(__xludf.DUMMYFUNCTION("QUERY('Volunteer Survey'!C301)"),"California State University, Monterey Bay")</f>
        <v>California State University, Monterey Bay</v>
      </c>
      <c r="AC302" s="183" t="str">
        <f>IFERROR(__xludf.DUMMYFUNCTION("QUERY('Volunteer Survey'!D301)"),"100 Campus Ctr., Seaside, CA 93955")</f>
        <v>100 Campus Ctr., Seaside, CA 93955</v>
      </c>
      <c r="AD302" s="183" t="str">
        <f>IFERROR(__xludf.DUMMYFUNCTION("QUERY('Volunteer Survey'!E301)"),"njue@csumb.edu")</f>
        <v>njue@csumb.edu</v>
      </c>
      <c r="AE302" s="183" t="str">
        <f>IFERROR(__xludf.DUMMYFUNCTION("QUERY('Volunteer Survey'!F301)"),"Scientific Researcher")</f>
        <v>Scientific Researcher</v>
      </c>
      <c r="AF302" s="183" t="str">
        <f>IFERROR(__xludf.DUMMYFUNCTION("QUERY('Volunteer Survey'!G301)"),"Colleagues")</f>
        <v>Colleagues</v>
      </c>
      <c r="AG302" s="183" t="str">
        <f>IFERROR(__xludf.DUMMYFUNCTION("QUERY('Volunteer Survey'!H301)"),"Baseline")</f>
        <v>Baseline</v>
      </c>
      <c r="AH302" s="183" t="str">
        <f>IFERROR(__xludf.DUMMYFUNCTION("QUERY('Volunteer Survey'!I301)"),"")</f>
        <v/>
      </c>
      <c r="AI302" s="183" t="str">
        <f>IFERROR(__xludf.DUMMYFUNCTION("QUERY('Volunteer Survey'!J301)"),"")</f>
        <v/>
      </c>
      <c r="AJ302" s="183" t="str">
        <f>IFERROR(__xludf.DUMMYFUNCTION("QUERY('Volunteer Survey'!K301)"),"")</f>
        <v/>
      </c>
      <c r="AK302" s="183" t="str">
        <f>IFERROR(__xludf.DUMMYFUNCTION("QUERY('Volunteer Survey'!L301)"),"")</f>
        <v/>
      </c>
      <c r="AL302" s="183" t="str">
        <f>IFERROR(__xludf.DUMMYFUNCTION("QUERY('Volunteer Survey'!M301)"),"")</f>
        <v/>
      </c>
      <c r="AM302" s="183" t="str">
        <f>IFERROR(__xludf.DUMMYFUNCTION("QUERY('Volunteer Survey'!N301)"),"De novo genome annotation")</f>
        <v>De novo genome annotation</v>
      </c>
      <c r="AN302" s="183" t="str">
        <f>IFERROR(__xludf.DUMMYFUNCTION("QUERY('Volunteer Survey'!O301)"),"Possibly")</f>
        <v>Possibly</v>
      </c>
      <c r="AO302" s="183" t="str">
        <f>IFERROR(__xludf.DUMMYFUNCTION("QUERY('Volunteer Survey'!P301)"),"No")</f>
        <v>No</v>
      </c>
    </row>
    <row r="303">
      <c r="A303" s="50">
        <f>IFERROR(__xludf.DUMMYFUNCTION("QUERY('Volunteer Survey'!A312)"),43727.82528523148)</f>
        <v>43727.82529</v>
      </c>
      <c r="B303" s="48" t="s">
        <v>168</v>
      </c>
      <c r="C303" s="53"/>
      <c r="D303" s="55"/>
      <c r="E303" s="55"/>
      <c r="F303" s="48" t="s">
        <v>130</v>
      </c>
      <c r="G303" s="48" t="s">
        <v>19</v>
      </c>
      <c r="H303" s="53"/>
      <c r="I303" s="53"/>
      <c r="J303" s="55"/>
      <c r="K303" s="55"/>
      <c r="L303" s="55" t="str">
        <f>IFERROR(__xludf.DUMMYFUNCTION("QUERY('Volunteer Survey'!B312)"),"Sally Pea ")</f>
        <v>Sally Pea </v>
      </c>
      <c r="M303" s="55" t="str">
        <f>IFERROR(__xludf.DUMMYFUNCTION("QUERY('Volunteer Survey'!E312)"),"spea@live.com")</f>
        <v>spea@live.com</v>
      </c>
      <c r="N303" s="55" t="str">
        <f>IFERROR(__xludf.DUMMYFUNCTION("QUERY('Volunteer Survey'!F312)"),"Citizen Scientist/Patient Advocate")</f>
        <v>Citizen Scientist/Patient Advocate</v>
      </c>
      <c r="O303" s="48" t="str">
        <f>IFERROR(__xludf.DUMMYFUNCTION("QUERY('Volunteer Survey'!H312)"),"Comprehensive")</f>
        <v>Comprehensive</v>
      </c>
      <c r="P303" s="55" t="str">
        <f>IFERROR(__xludf.DUMMYFUNCTION("QUERY('Volunteer Survey'!I312)"),"Clinical Actionability")</f>
        <v>Clinical Actionability</v>
      </c>
      <c r="Q303" s="60" t="str">
        <f>IFERROR(__xludf.DUMMYFUNCTION("QUERY('Volunteer Survey'!J312)"),"Gene-Disease Validity")</f>
        <v>Gene-Disease Validity</v>
      </c>
      <c r="R303" s="55" t="str">
        <f>IFERROR(__xludf.DUMMYFUNCTION("QUERY('Volunteer Survey'!K312)"),"Variant Pathogenicity")</f>
        <v>Variant Pathogenicity</v>
      </c>
      <c r="S303" s="55" t="str">
        <f>IFERROR(__xludf.DUMMYFUNCTION("QUERY('Volunteer Survey'!L312)"),"Dosage Sensitivity")</f>
        <v>Dosage Sensitivity</v>
      </c>
      <c r="T303" s="55" t="str">
        <f>IFERROR(__xludf.DUMMYFUNCTION("QUERY('Volunteer Survey'!M312)"),"Somatic Cancer")</f>
        <v>Somatic Cancer</v>
      </c>
      <c r="U303" s="64" t="str">
        <f>IFERROR(__xludf.DUMMYFUNCTION("QUERY('Volunteer Survey'!N312)"),"No")</f>
        <v>No</v>
      </c>
      <c r="V303" s="55" t="str">
        <f>IFERROR(__xludf.DUMMYFUNCTION("QUERY('Volunteer Survey'!O312)"),"Yes")</f>
        <v>Yes</v>
      </c>
      <c r="W303" s="66" t="str">
        <f>IFERROR(__xludf.DUMMYFUNCTION("QUERY('Volunteer Survey'!P312)"),"Congenital Myopathies or Limb Girdle Dystrophies or anywhere needed")</f>
        <v>Congenital Myopathies or Limb Girdle Dystrophies or anywhere needed</v>
      </c>
      <c r="X303" s="64" t="str">
        <f>IFERROR(__xludf.DUMMYFUNCTION("QUERY('Volunteer Survey'!R312)"),"Yes- I am willing to volunteer with any available ClinGen group")</f>
        <v>Yes- I am willing to volunteer with any available ClinGen group</v>
      </c>
      <c r="Y303" s="53"/>
      <c r="Z303" s="182">
        <f>IFERROR(__xludf.DUMMYFUNCTION("QUERY('Volunteer Survey'!A302)"),43716.695717106486)</f>
        <v>43716.69572</v>
      </c>
      <c r="AA303" s="183" t="str">
        <f>IFERROR(__xludf.DUMMYFUNCTION("QUERY('Volunteer Survey'!B302)"),"Nihal Ahmed ")</f>
        <v>Nihal Ahmed </v>
      </c>
      <c r="AB303" s="183" t="str">
        <f>IFERROR(__xludf.DUMMYFUNCTION("QUERY('Volunteer Survey'!C302)"),"Stem gharbiya")</f>
        <v>Stem gharbiya</v>
      </c>
      <c r="AC303" s="183" t="str">
        <f>IFERROR(__xludf.DUMMYFUNCTION("QUERY('Volunteer Survey'!D302)"),"3 El-shafey Ahmed st. From El-madina El-monawara Ard El-lwa, Giza, Egypt.")</f>
        <v>3 El-shafey Ahmed st. From El-madina El-monawara Ard El-lwa, Giza, Egypt.</v>
      </c>
      <c r="AD303" s="183" t="str">
        <f>IFERROR(__xludf.DUMMYFUNCTION("QUERY('Volunteer Survey'!E302)"),"nihalahmed087@gmail.com")</f>
        <v>nihalahmed087@gmail.com</v>
      </c>
      <c r="AE303" s="183" t="str">
        <f>IFERROR(__xludf.DUMMYFUNCTION("QUERY('Volunteer Survey'!F302)"),"Undergraduate Student")</f>
        <v>Undergraduate Student</v>
      </c>
      <c r="AF303" s="183" t="str">
        <f>IFERROR(__xludf.DUMMYFUNCTION("QUERY('Volunteer Survey'!G302)"),"Facebook")</f>
        <v>Facebook</v>
      </c>
      <c r="AG303" s="183" t="str">
        <f>IFERROR(__xludf.DUMMYFUNCTION("QUERY('Volunteer Survey'!H302)"),"Comprehensive")</f>
        <v>Comprehensive</v>
      </c>
      <c r="AH303" s="183" t="str">
        <f>IFERROR(__xludf.DUMMYFUNCTION("QUERY('Volunteer Survey'!I302)"),"Somatic Cancer")</f>
        <v>Somatic Cancer</v>
      </c>
      <c r="AI303" s="183" t="str">
        <f>IFERROR(__xludf.DUMMYFUNCTION("QUERY('Volunteer Survey'!J302)"),"Gene-Disease Validity")</f>
        <v>Gene-Disease Validity</v>
      </c>
      <c r="AJ303" s="183" t="str">
        <f>IFERROR(__xludf.DUMMYFUNCTION("QUERY('Volunteer Survey'!K302)"),"Variant Pathogenicity")</f>
        <v>Variant Pathogenicity</v>
      </c>
      <c r="AK303" s="183" t="str">
        <f>IFERROR(__xludf.DUMMYFUNCTION("QUERY('Volunteer Survey'!L302)"),"Clinical Actionability")</f>
        <v>Clinical Actionability</v>
      </c>
      <c r="AL303" s="183" t="str">
        <f>IFERROR(__xludf.DUMMYFUNCTION("QUERY('Volunteer Survey'!M302)"),"Dosage Sensitivity")</f>
        <v>Dosage Sensitivity</v>
      </c>
      <c r="AM303" s="183" t="str">
        <f>IFERROR(__xludf.DUMMYFUNCTION("QUERY('Volunteer Survey'!N302)"),"No, this is the first time for me to join something like this")</f>
        <v>No, this is the first time for me to join something like this</v>
      </c>
      <c r="AN303" s="183" t="str">
        <f>IFERROR(__xludf.DUMMYFUNCTION("QUERY('Volunteer Survey'!O302)"),"Possibly")</f>
        <v>Possibly</v>
      </c>
      <c r="AO303" s="183" t="str">
        <f>IFERROR(__xludf.DUMMYFUNCTION("QUERY('Volunteer Survey'!P302)"),"Not so interested ")</f>
        <v>Not so interested </v>
      </c>
    </row>
    <row r="304">
      <c r="A304" s="50">
        <f>IFERROR(__xludf.DUMMYFUNCTION("QUERY('Volunteer Survey'!A313)"),43727.949473321765)</f>
        <v>43727.94947</v>
      </c>
      <c r="B304" s="48" t="s">
        <v>108</v>
      </c>
      <c r="C304" s="79">
        <v>43819.0</v>
      </c>
      <c r="D304" s="55"/>
      <c r="E304" s="55"/>
      <c r="F304" s="48" t="s">
        <v>130</v>
      </c>
      <c r="G304" s="48" t="s">
        <v>122</v>
      </c>
      <c r="H304" s="53"/>
      <c r="I304" s="53"/>
      <c r="J304" s="55"/>
      <c r="K304" s="55"/>
      <c r="L304" s="55" t="str">
        <f>IFERROR(__xludf.DUMMYFUNCTION("QUERY('Volunteer Survey'!B313)"),"Sali Farhan")</f>
        <v>Sali Farhan</v>
      </c>
      <c r="M304" s="55" t="str">
        <f>IFERROR(__xludf.DUMMYFUNCTION("QUERY('Volunteer Survey'!E313)"),"sfarhan@broadinstitute.org")</f>
        <v>sfarhan@broadinstitute.org</v>
      </c>
      <c r="N304" s="55" t="str">
        <f>IFERROR(__xludf.DUMMYFUNCTION("QUERY('Volunteer Survey'!F313)"),"Post Doc/Resident/Fellow (MD and/or PhD)")</f>
        <v>Post Doc/Resident/Fellow (MD and/or PhD)</v>
      </c>
      <c r="O304" s="48" t="str">
        <f>IFERROR(__xludf.DUMMYFUNCTION("QUERY('Volunteer Survey'!H313)"),"Comprehensive")</f>
        <v>Comprehensive</v>
      </c>
      <c r="P304" s="55" t="str">
        <f>IFERROR(__xludf.DUMMYFUNCTION("QUERY('Volunteer Survey'!I313)"),"Gene-Disease Validity")</f>
        <v>Gene-Disease Validity</v>
      </c>
      <c r="Q304" s="60" t="str">
        <f>IFERROR(__xludf.DUMMYFUNCTION("QUERY('Volunteer Survey'!J313)"),"Variant Pathogenicity")</f>
        <v>Variant Pathogenicity</v>
      </c>
      <c r="R304" s="55" t="str">
        <f>IFERROR(__xludf.DUMMYFUNCTION("QUERY('Volunteer Survey'!K313)"),"Clinical Actionability")</f>
        <v>Clinical Actionability</v>
      </c>
      <c r="S304" s="55" t="str">
        <f>IFERROR(__xludf.DUMMYFUNCTION("QUERY('Volunteer Survey'!L313)"),"Dosage Sensitivity")</f>
        <v>Dosage Sensitivity</v>
      </c>
      <c r="T304" s="55" t="str">
        <f>IFERROR(__xludf.DUMMYFUNCTION("QUERY('Volunteer Survey'!M313)"),"Somatic Cancer")</f>
        <v>Somatic Cancer</v>
      </c>
      <c r="U304" s="64" t="str">
        <f>IFERROR(__xludf.DUMMYFUNCTION("QUERY('Volunteer Survey'!N313)"),"")</f>
        <v/>
      </c>
      <c r="V304" s="55" t="str">
        <f>IFERROR(__xludf.DUMMYFUNCTION("QUERY('Volunteer Survey'!O313)"),"No")</f>
        <v>No</v>
      </c>
      <c r="W304" s="66" t="str">
        <f>IFERROR(__xludf.DUMMYFUNCTION("QUERY('Volunteer Survey'!P313)"),"")</f>
        <v/>
      </c>
      <c r="X304" s="64" t="str">
        <f>IFERROR(__xludf.DUMMYFUNCTION("QUERY('Volunteer Survey'!R313)"),"No - I am only interested in the group(s) I previously indicated")</f>
        <v>No - I am only interested in the group(s) I previously indicated</v>
      </c>
      <c r="Y304" s="53"/>
      <c r="Z304" s="182">
        <f>IFERROR(__xludf.DUMMYFUNCTION("QUERY('Volunteer Survey'!A303)"),43717.72172622685)</f>
        <v>43717.72173</v>
      </c>
      <c r="AA304" s="183" t="str">
        <f>IFERROR(__xludf.DUMMYFUNCTION("QUERY('Volunteer Survey'!B303)"),"Xiaoting Ma")</f>
        <v>Xiaoting Ma</v>
      </c>
      <c r="AB304" s="183" t="str">
        <f>IFERROR(__xludf.DUMMYFUNCTION("QUERY('Volunteer Survey'!C303)"),"Boston Children's Hospital_Genetics&amp;Genomics Department")</f>
        <v>Boston Children's Hospital_Genetics&amp;Genomics Department</v>
      </c>
      <c r="AC304" s="183" t="str">
        <f>IFERROR(__xludf.DUMMYFUNCTION("QUERY('Volunteer Survey'!D303)"),"Center for Life Science 15030.9, 3 Blackfan Circle, Boston, MA, 02115")</f>
        <v>Center for Life Science 15030.9, 3 Blackfan Circle, Boston, MA, 02115</v>
      </c>
      <c r="AD304" s="183" t="str">
        <f>IFERROR(__xludf.DUMMYFUNCTION("QUERY('Volunteer Survey'!E303)"),"Xiaoting.Ma@childrens.harvard.edu")</f>
        <v>Xiaoting.Ma@childrens.harvard.edu</v>
      </c>
      <c r="AE304" s="183" t="str">
        <f>IFERROR(__xludf.DUMMYFUNCTION("QUERY('Volunteer Survey'!F303)"),"Post Doc/Resident/Fellow (MD and/or PhD)")</f>
        <v>Post Doc/Resident/Fellow (MD and/or PhD)</v>
      </c>
      <c r="AF304" s="183" t="str">
        <f>IFERROR(__xludf.DUMMYFUNCTION("QUERY('Volunteer Survey'!G303)"),"Educational coursework")</f>
        <v>Educational coursework</v>
      </c>
      <c r="AG304" s="183" t="str">
        <f>IFERROR(__xludf.DUMMYFUNCTION("QUERY('Volunteer Survey'!H303)"),"Comprehensive")</f>
        <v>Comprehensive</v>
      </c>
      <c r="AH304" s="183" t="str">
        <f>IFERROR(__xludf.DUMMYFUNCTION("QUERY('Volunteer Survey'!I303)"),"Gene-Disease Validity")</f>
        <v>Gene-Disease Validity</v>
      </c>
      <c r="AI304" s="183" t="str">
        <f>IFERROR(__xludf.DUMMYFUNCTION("QUERY('Volunteer Survey'!J303)"),"Variant Pathogenicity")</f>
        <v>Variant Pathogenicity</v>
      </c>
      <c r="AJ304" s="183" t="str">
        <f>IFERROR(__xludf.DUMMYFUNCTION("QUERY('Volunteer Survey'!K303)"),"Somatic Cancer")</f>
        <v>Somatic Cancer</v>
      </c>
      <c r="AK304" s="183" t="str">
        <f>IFERROR(__xludf.DUMMYFUNCTION("QUERY('Volunteer Survey'!L303)"),"Dosage Sensitivity")</f>
        <v>Dosage Sensitivity</v>
      </c>
      <c r="AL304" s="183" t="str">
        <f>IFERROR(__xludf.DUMMYFUNCTION("QUERY('Volunteer Survey'!M303)"),"Clinical Actionability")</f>
        <v>Clinical Actionability</v>
      </c>
      <c r="AM304" s="183" t="str">
        <f>IFERROR(__xludf.DUMMYFUNCTION("QUERY('Volunteer Survey'!N303)"),"")</f>
        <v/>
      </c>
      <c r="AN304" s="183" t="str">
        <f>IFERROR(__xludf.DUMMYFUNCTION("QUERY('Volunteer Survey'!O303)"),"Yes")</f>
        <v>Yes</v>
      </c>
      <c r="AO304" s="183" t="str">
        <f>IFERROR(__xludf.DUMMYFUNCTION("QUERY('Volunteer Survey'!P303)"),"I am open to any opportunities")</f>
        <v>I am open to any opportunities</v>
      </c>
    </row>
    <row r="305">
      <c r="A305" s="50">
        <f>IFERROR(__xludf.DUMMYFUNCTION("QUERY('Volunteer Survey'!A314)"),43731.70247251157)</f>
        <v>43731.70247</v>
      </c>
      <c r="B305" s="48" t="s">
        <v>108</v>
      </c>
      <c r="C305" s="53"/>
      <c r="D305" s="73">
        <v>43846.0</v>
      </c>
      <c r="E305" s="48" t="s">
        <v>117</v>
      </c>
      <c r="F305" s="48" t="s">
        <v>117</v>
      </c>
      <c r="G305" s="48" t="s">
        <v>122</v>
      </c>
      <c r="H305" s="53"/>
      <c r="I305" s="53"/>
      <c r="J305" s="55"/>
      <c r="K305" s="55"/>
      <c r="L305" s="55" t="str">
        <f>IFERROR(__xludf.DUMMYFUNCTION("QUERY('Volunteer Survey'!B314)"),"Julie Kim ")</f>
        <v>Julie Kim </v>
      </c>
      <c r="M305" s="55" t="str">
        <f>IFERROR(__xludf.DUMMYFUNCTION("QUERY('Volunteer Survey'!E314)"),"serin.kim@nih.gov")</f>
        <v>serin.kim@nih.gov</v>
      </c>
      <c r="N305" s="55" t="str">
        <f>IFERROR(__xludf.DUMMYFUNCTION("QUERY('Volunteer Survey'!F314)"),"Scientific Program Analyst at NHGRI")</f>
        <v>Scientific Program Analyst at NHGRI</v>
      </c>
      <c r="O305" s="48" t="str">
        <f>IFERROR(__xludf.DUMMYFUNCTION("QUERY('Volunteer Survey'!H314)"),"Comprehensive")</f>
        <v>Comprehensive</v>
      </c>
      <c r="P305" s="55" t="str">
        <f>IFERROR(__xludf.DUMMYFUNCTION("QUERY('Volunteer Survey'!I314)"),"Gene-Disease Validity")</f>
        <v>Gene-Disease Validity</v>
      </c>
      <c r="Q305" s="60" t="str">
        <f>IFERROR(__xludf.DUMMYFUNCTION("QUERY('Volunteer Survey'!J314)"),"Clinical Actionability")</f>
        <v>Clinical Actionability</v>
      </c>
      <c r="R305" s="55" t="str">
        <f>IFERROR(__xludf.DUMMYFUNCTION("QUERY('Volunteer Survey'!K314)"),"")</f>
        <v/>
      </c>
      <c r="S305" s="55" t="str">
        <f>IFERROR(__xludf.DUMMYFUNCTION("QUERY('Volunteer Survey'!L314)"),"")</f>
        <v/>
      </c>
      <c r="T305" s="55" t="str">
        <f>IFERROR(__xludf.DUMMYFUNCTION("QUERY('Volunteer Survey'!M314)"),"")</f>
        <v/>
      </c>
      <c r="U305" s="64" t="str">
        <f>IFERROR(__xludf.DUMMYFUNCTION("QUERY('Volunteer Survey'!N314)"),"")</f>
        <v/>
      </c>
      <c r="V305" s="55" t="str">
        <f>IFERROR(__xludf.DUMMYFUNCTION("QUERY('Volunteer Survey'!O314)"),"No")</f>
        <v>No</v>
      </c>
      <c r="W305" s="66" t="str">
        <f>IFERROR(__xludf.DUMMYFUNCTION("QUERY('Volunteer Survey'!P314)"),"Cardiomyopathy, Brain Malformations, hearing loss")</f>
        <v>Cardiomyopathy, Brain Malformations, hearing loss</v>
      </c>
      <c r="X305" s="64" t="str">
        <f>IFERROR(__xludf.DUMMYFUNCTION("QUERY('Volunteer Survey'!R314)"),"Yes- I am willing to volunteer with any available ClinGen group")</f>
        <v>Yes- I am willing to volunteer with any available ClinGen group</v>
      </c>
      <c r="Y305" s="51" t="s">
        <v>1747</v>
      </c>
      <c r="Z305" s="182">
        <f>IFERROR(__xludf.DUMMYFUNCTION("QUERY('Volunteer Survey'!A304)"),43717.77896462963)</f>
        <v>43717.77896</v>
      </c>
      <c r="AA305" s="183" t="str">
        <f>IFERROR(__xludf.DUMMYFUNCTION("QUERY('Volunteer Survey'!B304)"),"Saja El Yaacoub")</f>
        <v>Saja El Yaacoub</v>
      </c>
      <c r="AB305" s="183" t="str">
        <f>IFERROR(__xludf.DUMMYFUNCTION("QUERY('Volunteer Survey'!C304)"),"Arizona State University")</f>
        <v>Arizona State University</v>
      </c>
      <c r="AC305" s="183" t="str">
        <f>IFERROR(__xludf.DUMMYFUNCTION("QUERY('Volunteer Survey'!D304)"),"")</f>
        <v/>
      </c>
      <c r="AD305" s="183" t="str">
        <f>IFERROR(__xludf.DUMMYFUNCTION("QUERY('Volunteer Survey'!E304)"),"saja.alyaacoub@live.com")</f>
        <v>saja.alyaacoub@live.com</v>
      </c>
      <c r="AE305" s="183" t="str">
        <f>IFERROR(__xludf.DUMMYFUNCTION("QUERY('Volunteer Survey'!F304)"),"Graduate Student")</f>
        <v>Graduate Student</v>
      </c>
      <c r="AF305" s="183" t="str">
        <f>IFERROR(__xludf.DUMMYFUNCTION("QUERY('Volunteer Survey'!G304)"),"Colleagues")</f>
        <v>Colleagues</v>
      </c>
      <c r="AG305" s="183" t="str">
        <f>IFERROR(__xludf.DUMMYFUNCTION("QUERY('Volunteer Survey'!H304)"),"Comprehensive")</f>
        <v>Comprehensive</v>
      </c>
      <c r="AH305" s="183" t="str">
        <f>IFERROR(__xludf.DUMMYFUNCTION("QUERY('Volunteer Survey'!I304)"),"Variant Pathogenicity")</f>
        <v>Variant Pathogenicity</v>
      </c>
      <c r="AI305" s="183" t="str">
        <f>IFERROR(__xludf.DUMMYFUNCTION("QUERY('Volunteer Survey'!J304)"),"Gene-Disease Validity")</f>
        <v>Gene-Disease Validity</v>
      </c>
      <c r="AJ305" s="183" t="str">
        <f>IFERROR(__xludf.DUMMYFUNCTION("QUERY('Volunteer Survey'!K304)"),"Somatic Cancer")</f>
        <v>Somatic Cancer</v>
      </c>
      <c r="AK305" s="183" t="str">
        <f>IFERROR(__xludf.DUMMYFUNCTION("QUERY('Volunteer Survey'!L304)"),"Dosage Sensitivity")</f>
        <v>Dosage Sensitivity</v>
      </c>
      <c r="AL305" s="183" t="str">
        <f>IFERROR(__xludf.DUMMYFUNCTION("QUERY('Volunteer Survey'!M304)"),"Clinical Actionability")</f>
        <v>Clinical Actionability</v>
      </c>
      <c r="AM305" s="183" t="str">
        <f>IFERROR(__xludf.DUMMYFUNCTION("QUERY('Volunteer Survey'!N304)"),"")</f>
        <v/>
      </c>
      <c r="AN305" s="183" t="str">
        <f>IFERROR(__xludf.DUMMYFUNCTION("QUERY('Volunteer Survey'!O304)"),"No")</f>
        <v>No</v>
      </c>
      <c r="AO305" s="183" t="str">
        <f>IFERROR(__xludf.DUMMYFUNCTION("QUERY('Volunteer Survey'!P304)"),"Mitochondrial Diseases")</f>
        <v>Mitochondrial Diseases</v>
      </c>
    </row>
    <row r="306">
      <c r="A306" s="50">
        <f>IFERROR(__xludf.DUMMYFUNCTION("QUERY('Volunteer Survey'!A315)"),43733.739980405095)</f>
        <v>43733.73998</v>
      </c>
      <c r="B306" s="48" t="s">
        <v>108</v>
      </c>
      <c r="C306" s="79">
        <v>43819.0</v>
      </c>
      <c r="D306" s="55"/>
      <c r="E306" s="55"/>
      <c r="F306" s="48" t="s">
        <v>130</v>
      </c>
      <c r="G306" s="48" t="s">
        <v>251</v>
      </c>
      <c r="H306" s="53"/>
      <c r="I306" s="53"/>
      <c r="J306" s="55"/>
      <c r="K306" s="55"/>
      <c r="L306" s="55" t="str">
        <f>IFERROR(__xludf.DUMMYFUNCTION("QUERY('Volunteer Survey'!B315)"),"Jamie Maciaszek")</f>
        <v>Jamie Maciaszek</v>
      </c>
      <c r="M306" s="55" t="str">
        <f>IFERROR(__xludf.DUMMYFUNCTION("QUERY('Volunteer Survey'!E315)"),"jamie.maciaszek@stjude.org")</f>
        <v>jamie.maciaszek@stjude.org</v>
      </c>
      <c r="N306" s="55" t="str">
        <f>IFERROR(__xludf.DUMMYFUNCTION("QUERY('Volunteer Survey'!F315)"),"Scientific Researcher")</f>
        <v>Scientific Researcher</v>
      </c>
      <c r="O306" s="48" t="str">
        <f>IFERROR(__xludf.DUMMYFUNCTION("QUERY('Volunteer Survey'!H315)"),"Comprehensive")</f>
        <v>Comprehensive</v>
      </c>
      <c r="P306" s="55" t="str">
        <f>IFERROR(__xludf.DUMMYFUNCTION("QUERY('Volunteer Survey'!I315)"),"Variant Pathogenicity")</f>
        <v>Variant Pathogenicity</v>
      </c>
      <c r="Q306" s="60" t="str">
        <f>IFERROR(__xludf.DUMMYFUNCTION("QUERY('Volunteer Survey'!J315)"),"Gene-Disease Validity")</f>
        <v>Gene-Disease Validity</v>
      </c>
      <c r="R306" s="55" t="str">
        <f>IFERROR(__xludf.DUMMYFUNCTION("QUERY('Volunteer Survey'!K315)"),"Somatic Cancer")</f>
        <v>Somatic Cancer</v>
      </c>
      <c r="S306" s="55" t="str">
        <f>IFERROR(__xludf.DUMMYFUNCTION("QUERY('Volunteer Survey'!L315)"),"Clinical Actionability")</f>
        <v>Clinical Actionability</v>
      </c>
      <c r="T306" s="55" t="str">
        <f>IFERROR(__xludf.DUMMYFUNCTION("QUERY('Volunteer Survey'!M315)"),"Dosage Sensitivity")</f>
        <v>Dosage Sensitivity</v>
      </c>
      <c r="U306" s="64" t="str">
        <f>IFERROR(__xludf.DUMMYFUNCTION("QUERY('Volunteer Survey'!N315)"),"working on SJFAMILY study to curate variants in suspected cases of hereditary cancer")</f>
        <v>working on SJFAMILY study to curate variants in suspected cases of hereditary cancer</v>
      </c>
      <c r="V306" s="55" t="str">
        <f>IFERROR(__xludf.DUMMYFUNCTION("QUERY('Volunteer Survey'!O315)"),"Possibly")</f>
        <v>Possibly</v>
      </c>
      <c r="W306" s="66" t="str">
        <f>IFERROR(__xludf.DUMMYFUNCTION("QUERY('Volunteer Survey'!P315)"),"Myeloid Malignancy, Hereditary Cancer")</f>
        <v>Myeloid Malignancy, Hereditary Cancer</v>
      </c>
      <c r="X306" s="64" t="str">
        <f>IFERROR(__xludf.DUMMYFUNCTION("QUERY('Volunteer Survey'!R315)"),"Yes- I am willing to volunteer with any available ClinGen group")</f>
        <v>Yes- I am willing to volunteer with any available ClinGen group</v>
      </c>
      <c r="Y306" s="53"/>
      <c r="Z306" s="182">
        <f>IFERROR(__xludf.DUMMYFUNCTION("QUERY('Volunteer Survey'!A305)"),43718.61678217593)</f>
        <v>43718.61678</v>
      </c>
      <c r="AA306" s="183" t="str">
        <f>IFERROR(__xludf.DUMMYFUNCTION("QUERY('Volunteer Survey'!B305)"),"Andrew Langlois")</f>
        <v>Andrew Langlois</v>
      </c>
      <c r="AB306" s="183" t="str">
        <f>IFERROR(__xludf.DUMMYFUNCTION("QUERY('Volunteer Survey'!C305)"),"Lenoir Rhyne University School of Public Health")</f>
        <v>Lenoir Rhyne University School of Public Health</v>
      </c>
      <c r="AC306" s="183" t="str">
        <f>IFERROR(__xludf.DUMMYFUNCTION("QUERY('Volunteer Survey'!D305)"),"447 Hidden Lake Parkway, Nebo, NC 28761")</f>
        <v>447 Hidden Lake Parkway, Nebo, NC 28761</v>
      </c>
      <c r="AD306" s="183" t="str">
        <f>IFERROR(__xludf.DUMMYFUNCTION("QUERY('Volunteer Survey'!E305)"),"andrewlanglois001@gmail.com")</f>
        <v>andrewlanglois001@gmail.com</v>
      </c>
      <c r="AE306" s="183" t="str">
        <f>IFERROR(__xludf.DUMMYFUNCTION("QUERY('Volunteer Survey'!F305)"),"Graduate Student")</f>
        <v>Graduate Student</v>
      </c>
      <c r="AF306" s="183" t="str">
        <f>IFERROR(__xludf.DUMMYFUNCTION("QUERY('Volunteer Survey'!G305)"),"Online search")</f>
        <v>Online search</v>
      </c>
      <c r="AG306" s="183" t="str">
        <f>IFERROR(__xludf.DUMMYFUNCTION("QUERY('Volunteer Survey'!H305)"),"Comprehensive")</f>
        <v>Comprehensive</v>
      </c>
      <c r="AH306" s="183" t="str">
        <f>IFERROR(__xludf.DUMMYFUNCTION("QUERY('Volunteer Survey'!I305)"),"Clinical Actionability")</f>
        <v>Clinical Actionability</v>
      </c>
      <c r="AI306" s="183" t="str">
        <f>IFERROR(__xludf.DUMMYFUNCTION("QUERY('Volunteer Survey'!J305)"),"Dosage Sensitivity")</f>
        <v>Dosage Sensitivity</v>
      </c>
      <c r="AJ306" s="183" t="str">
        <f>IFERROR(__xludf.DUMMYFUNCTION("QUERY('Volunteer Survey'!K305)"),"Somatic Cancer")</f>
        <v>Somatic Cancer</v>
      </c>
      <c r="AK306" s="183" t="str">
        <f>IFERROR(__xludf.DUMMYFUNCTION("QUERY('Volunteer Survey'!L305)"),"Variant Pathogenicity")</f>
        <v>Variant Pathogenicity</v>
      </c>
      <c r="AL306" s="183" t="str">
        <f>IFERROR(__xludf.DUMMYFUNCTION("QUERY('Volunteer Survey'!M305)"),"Gene-Disease Validity")</f>
        <v>Gene-Disease Validity</v>
      </c>
      <c r="AM306" s="183" t="str">
        <f>IFERROR(__xludf.DUMMYFUNCTION("QUERY('Volunteer Survey'!N305)"),"No")</f>
        <v>No</v>
      </c>
      <c r="AN306" s="183" t="str">
        <f>IFERROR(__xludf.DUMMYFUNCTION("QUERY('Volunteer Survey'!O305)"),"Yes")</f>
        <v>Yes</v>
      </c>
      <c r="AO306" s="183" t="str">
        <f>IFERROR(__xludf.DUMMYFUNCTION("QUERY('Volunteer Survey'!P305)"),"")</f>
        <v/>
      </c>
    </row>
    <row r="307">
      <c r="A307" s="50">
        <f>IFERROR(__xludf.DUMMYFUNCTION("QUERY('Volunteer Survey'!A316)"),43734.34401487269)</f>
        <v>43734.34401</v>
      </c>
      <c r="B307" s="48" t="s">
        <v>108</v>
      </c>
      <c r="C307" s="79">
        <v>43819.0</v>
      </c>
      <c r="D307" s="55"/>
      <c r="E307" s="55"/>
      <c r="F307" s="48" t="s">
        <v>130</v>
      </c>
      <c r="G307" s="48" t="s">
        <v>251</v>
      </c>
      <c r="H307" s="53"/>
      <c r="I307" s="53"/>
      <c r="J307" s="55"/>
      <c r="K307" s="55"/>
      <c r="L307" s="55" t="str">
        <f>IFERROR(__xludf.DUMMYFUNCTION("QUERY('Volunteer Survey'!B316)"),"Olivier Bluteau")</f>
        <v>Olivier Bluteau</v>
      </c>
      <c r="M307" s="55" t="str">
        <f>IFERROR(__xludf.DUMMYFUNCTION("QUERY('Volunteer Survey'!E316)"),"olivier.bluteau@aphp.fr")</f>
        <v>olivier.bluteau@aphp.fr</v>
      </c>
      <c r="N307" s="55" t="str">
        <f>IFERROR(__xludf.DUMMYFUNCTION("QUERY('Volunteer Survey'!F316)"),"Variant Analyst/Scientist - Academic")</f>
        <v>Variant Analyst/Scientist - Academic</v>
      </c>
      <c r="O307" s="48" t="str">
        <f>IFERROR(__xludf.DUMMYFUNCTION("QUERY('Volunteer Survey'!H316)"),"Comprehensive")</f>
        <v>Comprehensive</v>
      </c>
      <c r="P307" s="55" t="str">
        <f>IFERROR(__xludf.DUMMYFUNCTION("QUERY('Volunteer Survey'!I316)"),"Variant Pathogenicity")</f>
        <v>Variant Pathogenicity</v>
      </c>
      <c r="Q307" s="60" t="str">
        <f>IFERROR(__xludf.DUMMYFUNCTION("QUERY('Volunteer Survey'!J316)"),"Gene-Disease Validity")</f>
        <v>Gene-Disease Validity</v>
      </c>
      <c r="R307" s="55" t="str">
        <f>IFERROR(__xludf.DUMMYFUNCTION("QUERY('Volunteer Survey'!K316)"),"Clinical Actionability")</f>
        <v>Clinical Actionability</v>
      </c>
      <c r="S307" s="55" t="str">
        <f>IFERROR(__xludf.DUMMYFUNCTION("QUERY('Volunteer Survey'!L316)"),"Dosage Sensitivity")</f>
        <v>Dosage Sensitivity</v>
      </c>
      <c r="T307" s="55" t="str">
        <f>IFERROR(__xludf.DUMMYFUNCTION("QUERY('Volunteer Survey'!M316)"),"Somatic Cancer")</f>
        <v>Somatic Cancer</v>
      </c>
      <c r="U307" s="64" t="str">
        <f>IFERROR(__xludf.DUMMYFUNCTION("QUERY('Volunteer Survey'!N316)"),"")</f>
        <v/>
      </c>
      <c r="V307" s="55" t="str">
        <f>IFERROR(__xludf.DUMMYFUNCTION("QUERY('Volunteer Survey'!O316)"),"No")</f>
        <v>No</v>
      </c>
      <c r="W307" s="66" t="str">
        <f>IFERROR(__xludf.DUMMYFUNCTION("QUERY('Volunteer Survey'!P316)"),"Familial Hypercholesterolemia Variant Curation Expert Panel")</f>
        <v>Familial Hypercholesterolemia Variant Curation Expert Panel</v>
      </c>
      <c r="X307" s="64" t="str">
        <f>IFERROR(__xludf.DUMMYFUNCTION("QUERY('Volunteer Survey'!R316)"),"No - I am only interested in the group(s) I previously indicated")</f>
        <v>No - I am only interested in the group(s) I previously indicated</v>
      </c>
      <c r="Y307" s="53"/>
      <c r="Z307" s="182">
        <f>IFERROR(__xludf.DUMMYFUNCTION("QUERY('Volunteer Survey'!A306)"),43720.90226984954)</f>
        <v>43720.90227</v>
      </c>
      <c r="AA307" s="183" t="str">
        <f>IFERROR(__xludf.DUMMYFUNCTION("QUERY('Volunteer Survey'!B306)"),"Brandon Chalazan")</f>
        <v>Brandon Chalazan</v>
      </c>
      <c r="AB307" s="183" t="str">
        <f>IFERROR(__xludf.DUMMYFUNCTION("QUERY('Volunteer Survey'!C306)"),"University of British Columbia")</f>
        <v>University of British Columbia</v>
      </c>
      <c r="AC307" s="183" t="str">
        <f>IFERROR(__xludf.DUMMYFUNCTION("QUERY('Volunteer Survey'!D306)"),"Apartment 3009
939 Homer Street
Vancouver, BC, CAN
V6B2W6")</f>
        <v>Apartment 3009
939 Homer Street
Vancouver, BC, CAN
V6B2W6</v>
      </c>
      <c r="AD307" s="183" t="str">
        <f>IFERROR(__xludf.DUMMYFUNCTION("QUERY('Volunteer Survey'!E306)"),"brandon.chalazan@cw.bc.ca")</f>
        <v>brandon.chalazan@cw.bc.ca</v>
      </c>
      <c r="AE307" s="183" t="str">
        <f>IFERROR(__xludf.DUMMYFUNCTION("QUERY('Volunteer Survey'!F306)"),"Post Doc/Resident/Fellow (MD and/or PhD)")</f>
        <v>Post Doc/Resident/Fellow (MD and/or PhD)</v>
      </c>
      <c r="AF307" s="183" t="str">
        <f>IFERROR(__xludf.DUMMYFUNCTION("QUERY('Volunteer Survey'!G306)"),"Colleagues")</f>
        <v>Colleagues</v>
      </c>
      <c r="AG307" s="183" t="str">
        <f>IFERROR(__xludf.DUMMYFUNCTION("QUERY('Volunteer Survey'!H306)"),"Comprehensive")</f>
        <v>Comprehensive</v>
      </c>
      <c r="AH307" s="183" t="str">
        <f>IFERROR(__xludf.DUMMYFUNCTION("QUERY('Volunteer Survey'!I306)"),"Variant Pathogenicity")</f>
        <v>Variant Pathogenicity</v>
      </c>
      <c r="AI307" s="183" t="str">
        <f>IFERROR(__xludf.DUMMYFUNCTION("QUERY('Volunteer Survey'!J306)"),"Dosage Sensitivity")</f>
        <v>Dosage Sensitivity</v>
      </c>
      <c r="AJ307" s="183" t="str">
        <f>IFERROR(__xludf.DUMMYFUNCTION("QUERY('Volunteer Survey'!K306)"),"Gene-Disease Validity")</f>
        <v>Gene-Disease Validity</v>
      </c>
      <c r="AK307" s="183" t="str">
        <f>IFERROR(__xludf.DUMMYFUNCTION("QUERY('Volunteer Survey'!L306)"),"Clinical Actionability")</f>
        <v>Clinical Actionability</v>
      </c>
      <c r="AL307" s="183" t="str">
        <f>IFERROR(__xludf.DUMMYFUNCTION("QUERY('Volunteer Survey'!M306)"),"")</f>
        <v/>
      </c>
      <c r="AM307" s="183" t="str">
        <f>IFERROR(__xludf.DUMMYFUNCTION("QUERY('Volunteer Survey'!N306)"),"Yes - I have designed candidate SNP and gene panels, designed specific variant filtering criteria and commonly use ACMG / AMP / ACGS criteria.")</f>
        <v>Yes - I have designed candidate SNP and gene panels, designed specific variant filtering criteria and commonly use ACMG / AMP / ACGS criteria.</v>
      </c>
      <c r="AN307" s="183" t="str">
        <f>IFERROR(__xludf.DUMMYFUNCTION("QUERY('Volunteer Survey'!O306)"),"Possibly")</f>
        <v>Possibly</v>
      </c>
      <c r="AO307" s="183" t="str">
        <f>IFERROR(__xludf.DUMMYFUNCTION("QUERY('Volunteer Survey'!P306)"),"All inherited cardiovascular genetic conditions.  However, I want to form a Atrial Fibrillation working expert panel.")</f>
        <v>All inherited cardiovascular genetic conditions.  However, I want to form a Atrial Fibrillation working expert panel.</v>
      </c>
    </row>
    <row r="308">
      <c r="A308" s="50">
        <f>IFERROR(__xludf.DUMMYFUNCTION("QUERY('Volunteer Survey'!A317)"),43734.38644290509)</f>
        <v>43734.38644</v>
      </c>
      <c r="B308" s="48" t="s">
        <v>108</v>
      </c>
      <c r="C308" s="53"/>
      <c r="D308" s="55"/>
      <c r="E308" s="55"/>
      <c r="F308" s="48" t="s">
        <v>130</v>
      </c>
      <c r="G308" s="48" t="s">
        <v>202</v>
      </c>
      <c r="H308" s="53"/>
      <c r="I308" s="51" t="s">
        <v>139</v>
      </c>
      <c r="J308" s="55"/>
      <c r="K308" s="55"/>
      <c r="L308" s="55" t="str">
        <f>IFERROR(__xludf.DUMMYFUNCTION("QUERY('Volunteer Survey'!B317)"),"Alexandra Miller")</f>
        <v>Alexandra Miller</v>
      </c>
      <c r="M308" s="55" t="str">
        <f>IFERROR(__xludf.DUMMYFUNCTION("QUERY('Volunteer Survey'!E317)"),"miller.alexandra@mayo.edu")</f>
        <v>miller.alexandra@mayo.edu</v>
      </c>
      <c r="N308" s="55" t="str">
        <f>IFERROR(__xludf.DUMMYFUNCTION("QUERY('Volunteer Survey'!F317)"),"Scientific Researcher")</f>
        <v>Scientific Researcher</v>
      </c>
      <c r="O308" s="48" t="str">
        <f>IFERROR(__xludf.DUMMYFUNCTION("QUERY('Volunteer Survey'!H317)"),"Baseline")</f>
        <v>Baseline</v>
      </c>
      <c r="P308" s="55" t="str">
        <f>IFERROR(__xludf.DUMMYFUNCTION("QUERY('Volunteer Survey'!I317)"),"Variant Pathogenicity")</f>
        <v>Variant Pathogenicity</v>
      </c>
      <c r="Q308" s="60" t="str">
        <f>IFERROR(__xludf.DUMMYFUNCTION("QUERY('Volunteer Survey'!J317)"),"Clinical Actionability")</f>
        <v>Clinical Actionability</v>
      </c>
      <c r="R308" s="55" t="str">
        <f>IFERROR(__xludf.DUMMYFUNCTION("QUERY('Volunteer Survey'!K317)"),"Gene-Disease Validity")</f>
        <v>Gene-Disease Validity</v>
      </c>
      <c r="S308" s="55" t="str">
        <f>IFERROR(__xludf.DUMMYFUNCTION("QUERY('Volunteer Survey'!L317)"),"Dosage Sensitivity")</f>
        <v>Dosage Sensitivity</v>
      </c>
      <c r="T308" s="55" t="str">
        <f>IFERROR(__xludf.DUMMYFUNCTION("QUERY('Volunteer Survey'!M317)"),"Somatic Cancer")</f>
        <v>Somatic Cancer</v>
      </c>
      <c r="U308" s="64" t="str">
        <f>IFERROR(__xludf.DUMMYFUNCTION("QUERY('Volunteer Survey'!N317)"),"")</f>
        <v/>
      </c>
      <c r="V308" s="55" t="str">
        <f>IFERROR(__xludf.DUMMYFUNCTION("QUERY('Volunteer Survey'!O317)"),"No")</f>
        <v>No</v>
      </c>
      <c r="W308" s="66" t="str">
        <f>IFERROR(__xludf.DUMMYFUNCTION("QUERY('Volunteer Survey'!P317)"),"FH VCEP")</f>
        <v>FH VCEP</v>
      </c>
      <c r="X308" s="64" t="str">
        <f>IFERROR(__xludf.DUMMYFUNCTION("QUERY('Volunteer Survey'!R317)"),"No - I am only interested in the group(s) I previously indicated")</f>
        <v>No - I am only interested in the group(s) I previously indicated</v>
      </c>
      <c r="Y308" s="53"/>
      <c r="Z308" s="182">
        <f>IFERROR(__xludf.DUMMYFUNCTION("QUERY('Volunteer Survey'!A307)"),43721.408467650464)</f>
        <v>43721.40847</v>
      </c>
      <c r="AA308" s="183" t="str">
        <f>IFERROR(__xludf.DUMMYFUNCTION("QUERY('Volunteer Survey'!B307)"),"jean-leon chong")</f>
        <v>jean-leon chong</v>
      </c>
      <c r="AB308" s="183" t="str">
        <f>IFERROR(__xludf.DUMMYFUNCTION("QUERY('Volunteer Survey'!C307)"),"LabCorp")</f>
        <v>LabCorp</v>
      </c>
      <c r="AC308" s="183" t="str">
        <f>IFERROR(__xludf.DUMMYFUNCTION("QUERY('Volunteer Survey'!D307)"),"Apt 408, 108 Ephesus Church Rd. Chapel Hill, NC")</f>
        <v>Apt 408, 108 Ephesus Church Rd. Chapel Hill, NC</v>
      </c>
      <c r="AD308" s="183" t="str">
        <f>IFERROR(__xludf.DUMMYFUNCTION("QUERY('Volunteer Survey'!E307)"),"leon0044@gmail.com")</f>
        <v>leon0044@gmail.com</v>
      </c>
      <c r="AE308" s="183" t="str">
        <f>IFERROR(__xludf.DUMMYFUNCTION("QUERY('Volunteer Survey'!F307)"),"biochemical genetics lab director")</f>
        <v>biochemical genetics lab director</v>
      </c>
      <c r="AF308" s="183" t="str">
        <f>IFERROR(__xludf.DUMMYFUNCTION("QUERY('Volunteer Survey'!G307)"),"The clinicalgenome.org website")</f>
        <v>The clinicalgenome.org website</v>
      </c>
      <c r="AG308" s="183" t="str">
        <f>IFERROR(__xludf.DUMMYFUNCTION("QUERY('Volunteer Survey'!H307)"),"Comprehensive")</f>
        <v>Comprehensive</v>
      </c>
      <c r="AH308" s="183" t="str">
        <f>IFERROR(__xludf.DUMMYFUNCTION("QUERY('Volunteer Survey'!I307)"),"Variant Pathogenicity")</f>
        <v>Variant Pathogenicity</v>
      </c>
      <c r="AI308" s="183" t="str">
        <f>IFERROR(__xludf.DUMMYFUNCTION("QUERY('Volunteer Survey'!J307)"),"Gene-Disease Validity")</f>
        <v>Gene-Disease Validity</v>
      </c>
      <c r="AJ308" s="183" t="str">
        <f>IFERROR(__xludf.DUMMYFUNCTION("QUERY('Volunteer Survey'!K307)"),"")</f>
        <v/>
      </c>
      <c r="AK308" s="183" t="str">
        <f>IFERROR(__xludf.DUMMYFUNCTION("QUERY('Volunteer Survey'!L307)"),"")</f>
        <v/>
      </c>
      <c r="AL308" s="183" t="str">
        <f>IFERROR(__xludf.DUMMYFUNCTION("QUERY('Volunteer Survey'!M307)"),"")</f>
        <v/>
      </c>
      <c r="AM308" s="183" t="str">
        <f>IFERROR(__xludf.DUMMYFUNCTION("QUERY('Volunteer Survey'!N307)"),"some experience during fellowship training ")</f>
        <v>some experience during fellowship training </v>
      </c>
      <c r="AN308" s="183" t="str">
        <f>IFERROR(__xludf.DUMMYFUNCTION("QUERY('Volunteer Survey'!O307)"),"Possibly")</f>
        <v>Possibly</v>
      </c>
      <c r="AO308" s="183" t="str">
        <f>IFERROR(__xludf.DUMMYFUNCTION("QUERY('Volunteer Survey'!P307)"),"")</f>
        <v/>
      </c>
    </row>
    <row r="309">
      <c r="A309" s="50">
        <f>IFERROR(__xludf.DUMMYFUNCTION("QUERY('Volunteer Survey'!A318)"),43735.73697031249)</f>
        <v>43735.73697</v>
      </c>
      <c r="B309" s="48" t="s">
        <v>322</v>
      </c>
      <c r="C309" s="53"/>
      <c r="D309" s="55"/>
      <c r="E309" s="55"/>
      <c r="F309" s="48" t="s">
        <v>130</v>
      </c>
      <c r="G309" s="48" t="s">
        <v>136</v>
      </c>
      <c r="H309" s="53"/>
      <c r="I309" s="53"/>
      <c r="J309" s="55"/>
      <c r="K309" s="55"/>
      <c r="L309" s="55" t="str">
        <f>IFERROR(__xludf.DUMMYFUNCTION("QUERY('Volunteer Survey'!B318)"),"Zonggao Shi")</f>
        <v>Zonggao Shi</v>
      </c>
      <c r="M309" s="55" t="str">
        <f>IFERROR(__xludf.DUMMYFUNCTION("QUERY('Volunteer Survey'!E318)"),"zshi1@stjude.org")</f>
        <v>zshi1@stjude.org</v>
      </c>
      <c r="N309" s="55" t="str">
        <f>IFERROR(__xludf.DUMMYFUNCTION("QUERY('Volunteer Survey'!F318)"),"Variant Analyst/Scientist - Academic")</f>
        <v>Variant Analyst/Scientist - Academic</v>
      </c>
      <c r="O309" s="48" t="str">
        <f>IFERROR(__xludf.DUMMYFUNCTION("QUERY('Volunteer Survey'!H318)"),"Comprehensive")</f>
        <v>Comprehensive</v>
      </c>
      <c r="P309" s="55" t="str">
        <f>IFERROR(__xludf.DUMMYFUNCTION("QUERY('Volunteer Survey'!I318)"),"Somatic Cancer")</f>
        <v>Somatic Cancer</v>
      </c>
      <c r="Q309" s="60" t="str">
        <f>IFERROR(__xludf.DUMMYFUNCTION("QUERY('Volunteer Survey'!J318)"),"Variant Pathogenicity")</f>
        <v>Variant Pathogenicity</v>
      </c>
      <c r="R309" s="55" t="str">
        <f>IFERROR(__xludf.DUMMYFUNCTION("QUERY('Volunteer Survey'!K318)"),"Clinical Actionability")</f>
        <v>Clinical Actionability</v>
      </c>
      <c r="S309" s="55" t="str">
        <f>IFERROR(__xludf.DUMMYFUNCTION("QUERY('Volunteer Survey'!L318)"),"Gene-Disease Validity")</f>
        <v>Gene-Disease Validity</v>
      </c>
      <c r="T309" s="55" t="str">
        <f>IFERROR(__xludf.DUMMYFUNCTION("QUERY('Volunteer Survey'!M318)"),"Dosage Sensitivity")</f>
        <v>Dosage Sensitivity</v>
      </c>
      <c r="U309" s="64" t="str">
        <f>IFERROR(__xludf.DUMMYFUNCTION("QUERY('Volunteer Survey'!N318)"),"Yes, currently working as an analyst for the manual review of variants and a member of our somatic cancer variant pathogenicity committee in St Jude Children's Clinical Genomics Team. ")</f>
        <v>Yes, currently working as an analyst for the manual review of variants and a member of our somatic cancer variant pathogenicity committee in St Jude Children's Clinical Genomics Team. </v>
      </c>
      <c r="V309" s="55" t="str">
        <f>IFERROR(__xludf.DUMMYFUNCTION("QUERY('Volunteer Survey'!O318)"),"Possibly")</f>
        <v>Possibly</v>
      </c>
      <c r="W309" s="66" t="str">
        <f>IFERROR(__xludf.DUMMYFUNCTION("QUERY('Volunteer Survey'!P318)"),"Yes, Somatic Cancer Pediatric Taskforce would be a good match")</f>
        <v>Yes, Somatic Cancer Pediatric Taskforce would be a good match</v>
      </c>
      <c r="X309" s="64" t="str">
        <f>IFERROR(__xludf.DUMMYFUNCTION("QUERY('Volunteer Survey'!R318)"),"Yes- I am willing to volunteer with any available ClinGen group")</f>
        <v>Yes- I am willing to volunteer with any available ClinGen group</v>
      </c>
      <c r="Y309" s="53"/>
      <c r="Z309" s="182">
        <f>IFERROR(__xludf.DUMMYFUNCTION("QUERY('Volunteer Survey'!A308)"),43721.66220423611)</f>
        <v>43721.6622</v>
      </c>
      <c r="AA309" s="183" t="str">
        <f>IFERROR(__xludf.DUMMYFUNCTION("QUERY('Volunteer Survey'!B308)"),"Terra Brannan")</f>
        <v>Terra Brannan</v>
      </c>
      <c r="AB309" s="183" t="str">
        <f>IFERROR(__xludf.DUMMYFUNCTION("QUERY('Volunteer Survey'!C308)"),"Ambry Genetics")</f>
        <v>Ambry Genetics</v>
      </c>
      <c r="AC309" s="183" t="str">
        <f>IFERROR(__xludf.DUMMYFUNCTION("QUERY('Volunteer Survey'!D308)"),"15 Argonaut, Aliso Viejo, CA 92656")</f>
        <v>15 Argonaut, Aliso Viejo, CA 92656</v>
      </c>
      <c r="AD309" s="183" t="str">
        <f>IFERROR(__xludf.DUMMYFUNCTION("QUERY('Volunteer Survey'!E308)"),"tbrannan@ambrygen.com")</f>
        <v>tbrannan@ambrygen.com</v>
      </c>
      <c r="AE309" s="183" t="str">
        <f>IFERROR(__xludf.DUMMYFUNCTION("QUERY('Volunteer Survey'!F308)"),"Variant Analyst/Scientist - Industry")</f>
        <v>Variant Analyst/Scientist - Industry</v>
      </c>
      <c r="AF309" s="183" t="str">
        <f>IFERROR(__xludf.DUMMYFUNCTION("QUERY('Volunteer Survey'!G308)"),"Colleagues")</f>
        <v>Colleagues</v>
      </c>
      <c r="AG309" s="183" t="str">
        <f>IFERROR(__xludf.DUMMYFUNCTION("QUERY('Volunteer Survey'!H308)"),"Comprehensive")</f>
        <v>Comprehensive</v>
      </c>
      <c r="AH309" s="183" t="str">
        <f>IFERROR(__xludf.DUMMYFUNCTION("QUERY('Volunteer Survey'!I308)"),"Variant Pathogenicity")</f>
        <v>Variant Pathogenicity</v>
      </c>
      <c r="AI309" s="183" t="str">
        <f>IFERROR(__xludf.DUMMYFUNCTION("QUERY('Volunteer Survey'!J308)"),"")</f>
        <v/>
      </c>
      <c r="AJ309" s="183" t="str">
        <f>IFERROR(__xludf.DUMMYFUNCTION("QUERY('Volunteer Survey'!K308)"),"")</f>
        <v/>
      </c>
      <c r="AK309" s="183" t="str">
        <f>IFERROR(__xludf.DUMMYFUNCTION("QUERY('Volunteer Survey'!L308)"),"")</f>
        <v/>
      </c>
      <c r="AL309" s="183" t="str">
        <f>IFERROR(__xludf.DUMMYFUNCTION("QUERY('Volunteer Survey'!M308)"),"")</f>
        <v/>
      </c>
      <c r="AM309" s="183" t="str">
        <f>IFERROR(__xludf.DUMMYFUNCTION("QUERY('Volunteer Survey'!N308)"),"Yes, I have been performing variant assessment since December 2018")</f>
        <v>Yes, I have been performing variant assessment since December 2018</v>
      </c>
      <c r="AN309" s="183" t="str">
        <f>IFERROR(__xludf.DUMMYFUNCTION("QUERY('Volunteer Survey'!O308)"),"No")</f>
        <v>No</v>
      </c>
      <c r="AO309" s="183" t="str">
        <f>IFERROR(__xludf.DUMMYFUNCTION("QUERY('Volunteer Survey'!P308)"),"CDH1")</f>
        <v>CDH1</v>
      </c>
    </row>
    <row r="310">
      <c r="A310" s="50">
        <f>IFERROR(__xludf.DUMMYFUNCTION("QUERY('Volunteer Survey'!A319)"),43736.418810243056)</f>
        <v>43736.41881</v>
      </c>
      <c r="B310" s="48" t="s">
        <v>108</v>
      </c>
      <c r="C310" s="79">
        <v>43819.0</v>
      </c>
      <c r="D310" s="55"/>
      <c r="E310" s="55"/>
      <c r="F310" s="48" t="s">
        <v>130</v>
      </c>
      <c r="G310" s="48" t="s">
        <v>251</v>
      </c>
      <c r="H310" s="53"/>
      <c r="I310" s="53"/>
      <c r="J310" s="55"/>
      <c r="K310" s="55"/>
      <c r="L310" s="55" t="str">
        <f>IFERROR(__xludf.DUMMYFUNCTION("QUERY('Volunteer Survey'!B319)"),"Linlin Zhang")</f>
        <v>Linlin Zhang</v>
      </c>
      <c r="M310" s="55" t="str">
        <f>IFERROR(__xludf.DUMMYFUNCTION("QUERY('Volunteer Survey'!E319)"),"linlinzhang277@gmail.com")</f>
        <v>linlinzhang277@gmail.com</v>
      </c>
      <c r="N310" s="55" t="str">
        <f>IFERROR(__xludf.DUMMYFUNCTION("QUERY('Volunteer Survey'!F319)"),"Clinical laboratory geneticist")</f>
        <v>Clinical laboratory geneticist</v>
      </c>
      <c r="O310" s="48" t="str">
        <f>IFERROR(__xludf.DUMMYFUNCTION("QUERY('Volunteer Survey'!H319)"),"Comprehensive")</f>
        <v>Comprehensive</v>
      </c>
      <c r="P310" s="55" t="str">
        <f>IFERROR(__xludf.DUMMYFUNCTION("QUERY('Volunteer Survey'!I319)"),"Variant Pathogenicity")</f>
        <v>Variant Pathogenicity</v>
      </c>
      <c r="Q310" s="60" t="str">
        <f>IFERROR(__xludf.DUMMYFUNCTION("QUERY('Volunteer Survey'!J319)"),"Dosage Sensitivity")</f>
        <v>Dosage Sensitivity</v>
      </c>
      <c r="R310" s="55" t="str">
        <f>IFERROR(__xludf.DUMMYFUNCTION("QUERY('Volunteer Survey'!K319)"),"Gene-Disease Validity")</f>
        <v>Gene-Disease Validity</v>
      </c>
      <c r="S310" s="55" t="str">
        <f>IFERROR(__xludf.DUMMYFUNCTION("QUERY('Volunteer Survey'!L319)"),"Clinical Actionability")</f>
        <v>Clinical Actionability</v>
      </c>
      <c r="T310" s="55" t="str">
        <f>IFERROR(__xludf.DUMMYFUNCTION("QUERY('Volunteer Survey'!M319)"),"Somatic Cancer")</f>
        <v>Somatic Cancer</v>
      </c>
      <c r="U310" s="64" t="str">
        <f>IFERROR(__xludf.DUMMYFUNCTION("QUERY('Volunteer Survey'!N319)"),"I am a director of clinical molecular and genetic lab of the Third Affliated Hospital of Zhengzhou University which is the largest maternal and children's hospital of Henan Province serving over 100 million population. I finish more than 30 CMA reports an"&amp;"d  4 variant pathogenic curation everyweek. I have 7 years of work experience in molecular genetic diagnosis, especially in the field of prenatal diagnosis.  Our Lab will finish about 200 Phenylketonuria molecular tests. These patients are from the newbor"&amp;"n screening center of Henan Province.")</f>
        <v>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v>
      </c>
      <c r="V310" s="55" t="str">
        <f>IFERROR(__xludf.DUMMYFUNCTION("QUERY('Volunteer Survey'!O319)"),"Yes")</f>
        <v>Yes</v>
      </c>
      <c r="W310" s="66" t="str">
        <f>IFERROR(__xludf.DUMMYFUNCTION("QUERY('Volunteer Survey'!P319)"),"Dosage Sensitivity Working Group  or Variant Curation Expert Panels in Phenylketonuria")</f>
        <v>Dosage Sensitivity Working Group  or Variant Curation Expert Panels in Phenylketonuria</v>
      </c>
      <c r="X310" s="64" t="str">
        <f>IFERROR(__xludf.DUMMYFUNCTION("QUERY('Volunteer Survey'!R319)"),"Yes- I am willing to volunteer with any available ClinGen group")</f>
        <v>Yes- I am willing to volunteer with any available ClinGen group</v>
      </c>
      <c r="Y310" s="53"/>
      <c r="Z310" s="182">
        <f>IFERROR(__xludf.DUMMYFUNCTION("QUERY('Volunteer Survey'!A309)"),43724.55539652777)</f>
        <v>43724.5554</v>
      </c>
      <c r="AA310" s="183" t="str">
        <f>IFERROR(__xludf.DUMMYFUNCTION("QUERY('Volunteer Survey'!B309)"),"Ankita Patel")</f>
        <v>Ankita Patel</v>
      </c>
      <c r="AB310" s="183" t="str">
        <f>IFERROR(__xludf.DUMMYFUNCTION("QUERY('Volunteer Survey'!C309)"),"Independent")</f>
        <v>Independent</v>
      </c>
      <c r="AC310" s="183" t="str">
        <f>IFERROR(__xludf.DUMMYFUNCTION("QUERY('Volunteer Survey'!D309)"),"2222 Long Cove Ct")</f>
        <v>2222 Long Cove Ct</v>
      </c>
      <c r="AD310" s="183" t="str">
        <f>IFERROR(__xludf.DUMMYFUNCTION("QUERY('Volunteer Survey'!E309)"),"aspatel1@yahoo.com")</f>
        <v>aspatel1@yahoo.com</v>
      </c>
      <c r="AE310" s="183" t="str">
        <f>IFERROR(__xludf.DUMMYFUNCTION("QUERY('Volunteer Survey'!F309)"),"Independent cytogenetic consultant")</f>
        <v>Independent cytogenetic consultant</v>
      </c>
      <c r="AF310" s="183" t="str">
        <f>IFERROR(__xludf.DUMMYFUNCTION("QUERY('Volunteer Survey'!G309)"),"The clinicalgenome.org website")</f>
        <v>The clinicalgenome.org website</v>
      </c>
      <c r="AG310" s="183" t="str">
        <f>IFERROR(__xludf.DUMMYFUNCTION("QUERY('Volunteer Survey'!H309)"),"Comprehensive")</f>
        <v>Comprehensive</v>
      </c>
      <c r="AH310" s="183" t="str">
        <f>IFERROR(__xludf.DUMMYFUNCTION("QUERY('Volunteer Survey'!I309)"),"Dosage Sensitivity")</f>
        <v>Dosage Sensitivity</v>
      </c>
      <c r="AI310" s="183" t="str">
        <f>IFERROR(__xludf.DUMMYFUNCTION("QUERY('Volunteer Survey'!J309)"),"Variant Pathogenicity")</f>
        <v>Variant Pathogenicity</v>
      </c>
      <c r="AJ310" s="183" t="str">
        <f>IFERROR(__xludf.DUMMYFUNCTION("QUERY('Volunteer Survey'!K309)"),"Gene-Disease Validity")</f>
        <v>Gene-Disease Validity</v>
      </c>
      <c r="AK310" s="183" t="str">
        <f>IFERROR(__xludf.DUMMYFUNCTION("QUERY('Volunteer Survey'!L309)"),"Clinical Actionability")</f>
        <v>Clinical Actionability</v>
      </c>
      <c r="AL310" s="183" t="str">
        <f>IFERROR(__xludf.DUMMYFUNCTION("QUERY('Volunteer Survey'!M309)"),"Somatic Cancer")</f>
        <v>Somatic Cancer</v>
      </c>
      <c r="AM310" s="183" t="str">
        <f>IFERROR(__xludf.DUMMYFUNCTION("QUERY('Volunteer Survey'!N309)"),"Part of the CLinGen CNV ")</f>
        <v>Part of the CLinGen CNV </v>
      </c>
      <c r="AN310" s="183" t="str">
        <f>IFERROR(__xludf.DUMMYFUNCTION("QUERY('Volunteer Survey'!O309)"),"Yes")</f>
        <v>Yes</v>
      </c>
      <c r="AO310" s="183" t="str">
        <f>IFERROR(__xludf.DUMMYFUNCTION("QUERY('Volunteer Survey'!P309)"),"no- can owrk on where there is need")</f>
        <v>no- can owrk on where there is need</v>
      </c>
    </row>
    <row r="311">
      <c r="A311" s="50">
        <f>IFERROR(__xludf.DUMMYFUNCTION("QUERY('Volunteer Survey'!A320)"),43739.038227233796)</f>
        <v>43739.03823</v>
      </c>
      <c r="B311" s="48" t="s">
        <v>108</v>
      </c>
      <c r="C311" s="79">
        <v>43819.0</v>
      </c>
      <c r="D311" s="55"/>
      <c r="E311" s="55"/>
      <c r="F311" s="48" t="s">
        <v>130</v>
      </c>
      <c r="G311" s="48" t="s">
        <v>251</v>
      </c>
      <c r="H311" s="53"/>
      <c r="I311" s="53"/>
      <c r="J311" s="55"/>
      <c r="K311" s="55"/>
      <c r="L311" s="55" t="str">
        <f>IFERROR(__xludf.DUMMYFUNCTION("QUERY('Volunteer Survey'!B320)"),"Marco Montes de Oca")</f>
        <v>Marco Montes de Oca</v>
      </c>
      <c r="M311" s="55" t="str">
        <f>IFERROR(__xludf.DUMMYFUNCTION("QUERY('Volunteer Survey'!E320)"),"montesm@student.unimelb.edu.au")</f>
        <v>montesm@student.unimelb.edu.au</v>
      </c>
      <c r="N311" s="55" t="str">
        <f>IFERROR(__xludf.DUMMYFUNCTION("QUERY('Volunteer Survey'!F320)"),"Graduate Student")</f>
        <v>Graduate Student</v>
      </c>
      <c r="O311" s="48" t="str">
        <f>IFERROR(__xludf.DUMMYFUNCTION("QUERY('Volunteer Survey'!H320)"),"Comprehensive")</f>
        <v>Comprehensive</v>
      </c>
      <c r="P311" s="55" t="str">
        <f>IFERROR(__xludf.DUMMYFUNCTION("QUERY('Volunteer Survey'!I320)"),"Variant Pathogenicity")</f>
        <v>Variant Pathogenicity</v>
      </c>
      <c r="Q311" s="60" t="str">
        <f>IFERROR(__xludf.DUMMYFUNCTION("QUERY('Volunteer Survey'!J320)"),"Gene-Disease Validity")</f>
        <v>Gene-Disease Validity</v>
      </c>
      <c r="R311" s="55" t="str">
        <f>IFERROR(__xludf.DUMMYFUNCTION("QUERY('Volunteer Survey'!K320)"),"Dosage Sensitivity")</f>
        <v>Dosage Sensitivity</v>
      </c>
      <c r="S311" s="55" t="str">
        <f>IFERROR(__xludf.DUMMYFUNCTION("QUERY('Volunteer Survey'!L320)"),"")</f>
        <v/>
      </c>
      <c r="T311" s="55" t="str">
        <f>IFERROR(__xludf.DUMMYFUNCTION("QUERY('Volunteer Survey'!M320)"),"")</f>
        <v/>
      </c>
      <c r="U311" s="64" t="str">
        <f>IFERROR(__xludf.DUMMYFUNCTION("QUERY('Volunteer Survey'!N320)"),"")</f>
        <v/>
      </c>
      <c r="V311" s="55" t="str">
        <f>IFERROR(__xludf.DUMMYFUNCTION("QUERY('Volunteer Survey'!O320)"),"No")</f>
        <v>No</v>
      </c>
      <c r="W311" s="66" t="str">
        <f>IFERROR(__xludf.DUMMYFUNCTION("QUERY('Volunteer Survey'!P320)"),"I am interested in the following working groups:
- Brain Malformations Variant Curation Expert Panel
- Mitochondrial Diseases Gene Curation Expert Panel")</f>
        <v>I am interested in the following working groups:
- Brain Malformations Variant Curation Expert Panel
- Mitochondrial Diseases Gene Curation Expert Panel</v>
      </c>
      <c r="X311" s="64" t="str">
        <f>IFERROR(__xludf.DUMMYFUNCTION("QUERY('Volunteer Survey'!R320)"),"Yes- I am willing to volunteer with any available ClinGen group")</f>
        <v>Yes- I am willing to volunteer with any available ClinGen group</v>
      </c>
      <c r="Y311" s="51" t="s">
        <v>1910</v>
      </c>
      <c r="Z311" s="182">
        <f>IFERROR(__xludf.DUMMYFUNCTION("QUERY('Volunteer Survey'!A310)"),43724.684086863424)</f>
        <v>43724.68409</v>
      </c>
      <c r="AA311" s="183" t="str">
        <f>IFERROR(__xludf.DUMMYFUNCTION("QUERY('Volunteer Survey'!B310)"),"Jordan Stern")</f>
        <v>Jordan Stern</v>
      </c>
      <c r="AB311" s="183" t="str">
        <f>IFERROR(__xludf.DUMMYFUNCTION("QUERY('Volunteer Survey'!C310)"),"Michigan State University")</f>
        <v>Michigan State University</v>
      </c>
      <c r="AC311" s="183" t="str">
        <f>IFERROR(__xludf.DUMMYFUNCTION("QUERY('Volunteer Survey'!D310)"),"2838 Crestscene Trl")</f>
        <v>2838 Crestscene Trl</v>
      </c>
      <c r="AD311" s="183" t="str">
        <f>IFERROR(__xludf.DUMMYFUNCTION("QUERY('Volunteer Survey'!E310)"),"jordanjnstern@gmail.com")</f>
        <v>jordanjnstern@gmail.com</v>
      </c>
      <c r="AE311" s="183" t="str">
        <f>IFERROR(__xludf.DUMMYFUNCTION("QUERY('Volunteer Survey'!F310)"),"Undergraduate Student")</f>
        <v>Undergraduate Student</v>
      </c>
      <c r="AF311" s="183" t="str">
        <f>IFERROR(__xludf.DUMMYFUNCTION("QUERY('Volunteer Survey'!G310)"),"Colleagues, The clinicalgenome.org website")</f>
        <v>Colleagues, The clinicalgenome.org website</v>
      </c>
      <c r="AG311" s="183" t="str">
        <f>IFERROR(__xludf.DUMMYFUNCTION("QUERY('Volunteer Survey'!H310)"),"Comprehensive")</f>
        <v>Comprehensive</v>
      </c>
      <c r="AH311" s="183" t="str">
        <f>IFERROR(__xludf.DUMMYFUNCTION("QUERY('Volunteer Survey'!I310)"),"Variant Pathogenicity")</f>
        <v>Variant Pathogenicity</v>
      </c>
      <c r="AI311" s="183" t="str">
        <f>IFERROR(__xludf.DUMMYFUNCTION("QUERY('Volunteer Survey'!J310)"),"Dosage Sensitivity")</f>
        <v>Dosage Sensitivity</v>
      </c>
      <c r="AJ311" s="183" t="str">
        <f>IFERROR(__xludf.DUMMYFUNCTION("QUERY('Volunteer Survey'!K310)"),"Clinical Actionability")</f>
        <v>Clinical Actionability</v>
      </c>
      <c r="AK311" s="183" t="str">
        <f>IFERROR(__xludf.DUMMYFUNCTION("QUERY('Volunteer Survey'!L310)"),"Gene-Disease Validity")</f>
        <v>Gene-Disease Validity</v>
      </c>
      <c r="AL311" s="183" t="str">
        <f>IFERROR(__xludf.DUMMYFUNCTION("QUERY('Volunteer Survey'!M310)"),"Somatic Cancer")</f>
        <v>Somatic Cancer</v>
      </c>
      <c r="AM311" s="183" t="str">
        <f>IFERROR(__xludf.DUMMYFUNCTION("QUERY('Volunteer Survey'!N310)"),"")</f>
        <v/>
      </c>
      <c r="AN311" s="183" t="str">
        <f>IFERROR(__xludf.DUMMYFUNCTION("QUERY('Volunteer Survey'!O310)"),"Yes")</f>
        <v>Yes</v>
      </c>
      <c r="AO311" s="183" t="str">
        <f>IFERROR(__xludf.DUMMYFUNCTION("QUERY('Volunteer Survey'!P310)"),"yes")</f>
        <v>yes</v>
      </c>
    </row>
    <row r="312">
      <c r="A312" s="50">
        <f>IFERROR(__xludf.DUMMYFUNCTION("QUERY('Volunteer Survey'!A321)"),43739.38035712963)</f>
        <v>43739.38036</v>
      </c>
      <c r="B312" s="48" t="s">
        <v>108</v>
      </c>
      <c r="C312" s="53"/>
      <c r="D312" s="55"/>
      <c r="E312" s="55"/>
      <c r="F312" s="48" t="s">
        <v>130</v>
      </c>
      <c r="G312" s="48" t="s">
        <v>202</v>
      </c>
      <c r="H312" s="53"/>
      <c r="I312" s="53"/>
      <c r="J312" s="55"/>
      <c r="K312" s="55"/>
      <c r="L312" s="55" t="str">
        <f>IFERROR(__xludf.DUMMYFUNCTION("QUERY('Volunteer Survey'!B321)"),"Carolina Bustamante")</f>
        <v>Carolina Bustamante</v>
      </c>
      <c r="M312" s="55" t="str">
        <f>IFERROR(__xludf.DUMMYFUNCTION("QUERY('Volunteer Survey'!E321)"),"carolina.bustamante@gmail.com")</f>
        <v>carolina.bustamante@gmail.com</v>
      </c>
      <c r="N312" s="55" t="str">
        <f>IFERROR(__xludf.DUMMYFUNCTION("QUERY('Volunteer Survey'!F321)"),"Clinical laboratory geneticist")</f>
        <v>Clinical laboratory geneticist</v>
      </c>
      <c r="O312" s="48" t="str">
        <f>IFERROR(__xludf.DUMMYFUNCTION("QUERY('Volunteer Survey'!H321)"),"Baseline")</f>
        <v>Baseline</v>
      </c>
      <c r="P312" s="55" t="str">
        <f>IFERROR(__xludf.DUMMYFUNCTION("QUERY('Volunteer Survey'!I321)"),"Somatic Cancer")</f>
        <v>Somatic Cancer</v>
      </c>
      <c r="Q312" s="60" t="str">
        <f>IFERROR(__xludf.DUMMYFUNCTION("QUERY('Volunteer Survey'!J321)"),"Variant Pathogenicity")</f>
        <v>Variant Pathogenicity</v>
      </c>
      <c r="R312" s="55" t="str">
        <f>IFERROR(__xludf.DUMMYFUNCTION("QUERY('Volunteer Survey'!K321)"),"Clinical Actionability")</f>
        <v>Clinical Actionability</v>
      </c>
      <c r="S312" s="55" t="str">
        <f>IFERROR(__xludf.DUMMYFUNCTION("QUERY('Volunteer Survey'!L321)"),"Gene-Disease Validity")</f>
        <v>Gene-Disease Validity</v>
      </c>
      <c r="T312" s="55" t="str">
        <f>IFERROR(__xludf.DUMMYFUNCTION("QUERY('Volunteer Survey'!M321)"),"Dosage Sensitivity")</f>
        <v>Dosage Sensitivity</v>
      </c>
      <c r="U312" s="64" t="str">
        <f>IFERROR(__xludf.DUMMYFUNCTION("QUERY('Volunteer Survey'!N321)"),"Yes, I work in a clinical laboratory with NGS panels ")</f>
        <v>Yes, I work in a clinical laboratory with NGS panels </v>
      </c>
      <c r="V312" s="55" t="str">
        <f>IFERROR(__xludf.DUMMYFUNCTION("QUERY('Volunteer Survey'!O321)"),"Possibly")</f>
        <v>Possibly</v>
      </c>
      <c r="W312" s="66" t="str">
        <f>IFERROR(__xludf.DUMMYFUNCTION("QUERY('Volunteer Survey'!P321)"),"Cancer, lung cancer, Hereditary cancer, cardiomyopathy, TP53, colorectal cancer, genitourinary tract cancer")</f>
        <v>Cancer, lung cancer, Hereditary cancer, cardiomyopathy, TP53, colorectal cancer, genitourinary tract cancer</v>
      </c>
      <c r="X312" s="64" t="str">
        <f>IFERROR(__xludf.DUMMYFUNCTION("QUERY('Volunteer Survey'!R321)"),"Yes- I am willing to volunteer with any available ClinGen group")</f>
        <v>Yes- I am willing to volunteer with any available ClinGen group</v>
      </c>
      <c r="Y312" s="53"/>
      <c r="Z312" s="182">
        <f>IFERROR(__xludf.DUMMYFUNCTION("QUERY('Volunteer Survey'!A311)"),43725.59430077547)</f>
        <v>43725.5943</v>
      </c>
      <c r="AA312" s="183" t="str">
        <f>IFERROR(__xludf.DUMMYFUNCTION("QUERY('Volunteer Survey'!B311)"),"Chris Darnell")</f>
        <v>Chris Darnell</v>
      </c>
      <c r="AB312" s="183" t="str">
        <f>IFERROR(__xludf.DUMMYFUNCTION("QUERY('Volunteer Survey'!C311)"),"Bluewater Diagnostic Laboratory")</f>
        <v>Bluewater Diagnostic Laboratory</v>
      </c>
      <c r="AC312" s="183" t="str">
        <f>IFERROR(__xludf.DUMMYFUNCTION("QUERY('Volunteer Survey'!D311)"),"221 S. Bardstown Road, Mount Washington, KY 40047")</f>
        <v>221 S. Bardstown Road, Mount Washington, KY 40047</v>
      </c>
      <c r="AD312" s="183" t="str">
        <f>IFERROR(__xludf.DUMMYFUNCTION("QUERY('Volunteer Survey'!E311)"),"chris.darnell@bluewaterdxlab.com")</f>
        <v>chris.darnell@bluewaterdxlab.com</v>
      </c>
      <c r="AE312" s="183" t="str">
        <f>IFERROR(__xludf.DUMMYFUNCTION("QUERY('Volunteer Survey'!F311)"),"Laboratory Technical Supervisor")</f>
        <v>Laboratory Technical Supervisor</v>
      </c>
      <c r="AF312" s="183" t="str">
        <f>IFERROR(__xludf.DUMMYFUNCTION("QUERY('Volunteer Survey'!G311)"),"Colleagues, Suggestion from mentor")</f>
        <v>Colleagues, Suggestion from mentor</v>
      </c>
      <c r="AG312" s="183" t="str">
        <f>IFERROR(__xludf.DUMMYFUNCTION("QUERY('Volunteer Survey'!H311)"),"Baseline")</f>
        <v>Baseline</v>
      </c>
      <c r="AH312" s="183" t="str">
        <f>IFERROR(__xludf.DUMMYFUNCTION("QUERY('Volunteer Survey'!I311)"),"Gene-Disease Validity")</f>
        <v>Gene-Disease Validity</v>
      </c>
      <c r="AI312" s="183" t="str">
        <f>IFERROR(__xludf.DUMMYFUNCTION("QUERY('Volunteer Survey'!J311)"),"Variant Pathogenicity")</f>
        <v>Variant Pathogenicity</v>
      </c>
      <c r="AJ312" s="183" t="str">
        <f>IFERROR(__xludf.DUMMYFUNCTION("QUERY('Volunteer Survey'!K311)"),"Somatic Cancer")</f>
        <v>Somatic Cancer</v>
      </c>
      <c r="AK312" s="183" t="str">
        <f>IFERROR(__xludf.DUMMYFUNCTION("QUERY('Volunteer Survey'!L311)"),"Dosage Sensitivity")</f>
        <v>Dosage Sensitivity</v>
      </c>
      <c r="AL312" s="183" t="str">
        <f>IFERROR(__xludf.DUMMYFUNCTION("QUERY('Volunteer Survey'!M311)"),"Clinical Actionability")</f>
        <v>Clinical Actionability</v>
      </c>
      <c r="AM312" s="183" t="str">
        <f>IFERROR(__xludf.DUMMYFUNCTION("QUERY('Volunteer Survey'!N311)"),"")</f>
        <v/>
      </c>
      <c r="AN312" s="183" t="str">
        <f>IFERROR(__xludf.DUMMYFUNCTION("QUERY('Volunteer Survey'!O311)"),"Yes")</f>
        <v>Yes</v>
      </c>
      <c r="AO312" s="183" t="str">
        <f>IFERROR(__xludf.DUMMYFUNCTION("QUERY('Volunteer Survey'!P311)"),"")</f>
        <v/>
      </c>
    </row>
    <row r="313">
      <c r="A313" s="50">
        <f>IFERROR(__xludf.DUMMYFUNCTION("QUERY('Volunteer Survey'!A322)"),43739.46347385417)</f>
        <v>43739.46347</v>
      </c>
      <c r="B313" s="48" t="s">
        <v>108</v>
      </c>
      <c r="C313" s="53"/>
      <c r="D313" s="55"/>
      <c r="E313" s="55"/>
      <c r="F313" s="48" t="s">
        <v>130</v>
      </c>
      <c r="G313" s="48" t="s">
        <v>202</v>
      </c>
      <c r="H313" s="53"/>
      <c r="I313" s="53"/>
      <c r="J313" s="55"/>
      <c r="K313" s="55"/>
      <c r="L313" s="55" t="str">
        <f>IFERROR(__xludf.DUMMYFUNCTION("QUERY('Volunteer Survey'!B322)"),"Alex Gout")</f>
        <v>Alex Gout</v>
      </c>
      <c r="M313" s="55" t="str">
        <f>IFERROR(__xludf.DUMMYFUNCTION("QUERY('Volunteer Survey'!E322)"),"alex.gout@stjude.org")</f>
        <v>alex.gout@stjude.org</v>
      </c>
      <c r="N313" s="55" t="str">
        <f>IFERROR(__xludf.DUMMYFUNCTION("QUERY('Volunteer Survey'!F322)"),"Scientific Researcher")</f>
        <v>Scientific Researcher</v>
      </c>
      <c r="O313" s="48" t="str">
        <f>IFERROR(__xludf.DUMMYFUNCTION("QUERY('Volunteer Survey'!H322)"),"Baseline")</f>
        <v>Baseline</v>
      </c>
      <c r="P313" s="55" t="str">
        <f>IFERROR(__xludf.DUMMYFUNCTION("QUERY('Volunteer Survey'!I322)"),"")</f>
        <v/>
      </c>
      <c r="Q313" s="60" t="str">
        <f>IFERROR(__xludf.DUMMYFUNCTION("QUERY('Volunteer Survey'!J322)"),"")</f>
        <v/>
      </c>
      <c r="R313" s="55" t="str">
        <f>IFERROR(__xludf.DUMMYFUNCTION("QUERY('Volunteer Survey'!K322)"),"")</f>
        <v/>
      </c>
      <c r="S313" s="55" t="str">
        <f>IFERROR(__xludf.DUMMYFUNCTION("QUERY('Volunteer Survey'!L322)"),"")</f>
        <v/>
      </c>
      <c r="T313" s="55" t="str">
        <f>IFERROR(__xludf.DUMMYFUNCTION("QUERY('Volunteer Survey'!M322)"),"")</f>
        <v/>
      </c>
      <c r="U313" s="64" t="str">
        <f>IFERROR(__xludf.DUMMYFUNCTION("QUERY('Volunteer Survey'!N322)"),"")</f>
        <v/>
      </c>
      <c r="V313" s="55" t="str">
        <f>IFERROR(__xludf.DUMMYFUNCTION("QUERY('Volunteer Survey'!O322)"),"Possibly")</f>
        <v>Possibly</v>
      </c>
      <c r="W313" s="66" t="str">
        <f>IFERROR(__xludf.DUMMYFUNCTION("QUERY('Volunteer Survey'!P322)"),"somatic cancer working group - pediatric")</f>
        <v>somatic cancer working group - pediatric</v>
      </c>
      <c r="X313" s="64" t="str">
        <f>IFERROR(__xludf.DUMMYFUNCTION("QUERY('Volunteer Survey'!R322)"),"Maybe -- please contact me with other options, and I will decide based on what is available")</f>
        <v>Maybe -- please contact me with other options, and I will decide based on what is available</v>
      </c>
      <c r="Y313" s="53"/>
      <c r="Z313" s="182">
        <f>IFERROR(__xludf.DUMMYFUNCTION("QUERY('Volunteer Survey'!A312)"),43727.82528523148)</f>
        <v>43727.82529</v>
      </c>
      <c r="AA313" s="183" t="str">
        <f>IFERROR(__xludf.DUMMYFUNCTION("QUERY('Volunteer Survey'!B312)"),"Sally Pea ")</f>
        <v>Sally Pea </v>
      </c>
      <c r="AB313" s="183" t="str">
        <f>IFERROR(__xludf.DUMMYFUNCTION("QUERY('Volunteer Survey'!C312)"),"No affiliation ")</f>
        <v>No affiliation </v>
      </c>
      <c r="AC313" s="183" t="str">
        <f>IFERROR(__xludf.DUMMYFUNCTION("QUERY('Volunteer Survey'!D312)"),"8111 Knollview Court ")</f>
        <v>8111 Knollview Court </v>
      </c>
      <c r="AD313" s="183" t="str">
        <f>IFERROR(__xludf.DUMMYFUNCTION("QUERY('Volunteer Survey'!E312)"),"spea@live.com")</f>
        <v>spea@live.com</v>
      </c>
      <c r="AE313" s="183" t="str">
        <f>IFERROR(__xludf.DUMMYFUNCTION("QUERY('Volunteer Survey'!F312)"),"Citizen Scientist/Patient Advocate")</f>
        <v>Citizen Scientist/Patient Advocate</v>
      </c>
      <c r="AF313" s="183" t="str">
        <f>IFERROR(__xludf.DUMMYFUNCTION("QUERY('Volunteer Survey'!G312)"),"Received an email")</f>
        <v>Received an email</v>
      </c>
      <c r="AG313" s="183" t="str">
        <f>IFERROR(__xludf.DUMMYFUNCTION("QUERY('Volunteer Survey'!H312)"),"Comprehensive")</f>
        <v>Comprehensive</v>
      </c>
      <c r="AH313" s="183" t="str">
        <f>IFERROR(__xludf.DUMMYFUNCTION("QUERY('Volunteer Survey'!I312)"),"Clinical Actionability")</f>
        <v>Clinical Actionability</v>
      </c>
      <c r="AI313" s="183" t="str">
        <f>IFERROR(__xludf.DUMMYFUNCTION("QUERY('Volunteer Survey'!J312)"),"Gene-Disease Validity")</f>
        <v>Gene-Disease Validity</v>
      </c>
      <c r="AJ313" s="183" t="str">
        <f>IFERROR(__xludf.DUMMYFUNCTION("QUERY('Volunteer Survey'!K312)"),"Variant Pathogenicity")</f>
        <v>Variant Pathogenicity</v>
      </c>
      <c r="AK313" s="183" t="str">
        <f>IFERROR(__xludf.DUMMYFUNCTION("QUERY('Volunteer Survey'!L312)"),"Dosage Sensitivity")</f>
        <v>Dosage Sensitivity</v>
      </c>
      <c r="AL313" s="183" t="str">
        <f>IFERROR(__xludf.DUMMYFUNCTION("QUERY('Volunteer Survey'!M312)"),"Somatic Cancer")</f>
        <v>Somatic Cancer</v>
      </c>
      <c r="AM313" s="183" t="str">
        <f>IFERROR(__xludf.DUMMYFUNCTION("QUERY('Volunteer Survey'!N312)"),"No")</f>
        <v>No</v>
      </c>
      <c r="AN313" s="183" t="str">
        <f>IFERROR(__xludf.DUMMYFUNCTION("QUERY('Volunteer Survey'!O312)"),"Yes")</f>
        <v>Yes</v>
      </c>
      <c r="AO313" s="183" t="str">
        <f>IFERROR(__xludf.DUMMYFUNCTION("QUERY('Volunteer Survey'!P312)"),"Congenital Myopathies or Limb Girdle Dystrophies or anywhere needed")</f>
        <v>Congenital Myopathies or Limb Girdle Dystrophies or anywhere needed</v>
      </c>
    </row>
    <row r="314">
      <c r="A314" s="50">
        <f>IFERROR(__xludf.DUMMYFUNCTION("QUERY('Volunteer Survey'!A323)"),43742.05410947916)</f>
        <v>43742.05411</v>
      </c>
      <c r="B314" s="48" t="s">
        <v>108</v>
      </c>
      <c r="C314" s="53"/>
      <c r="D314" s="55"/>
      <c r="E314" s="55"/>
      <c r="F314" s="48" t="s">
        <v>130</v>
      </c>
      <c r="G314" s="48" t="s">
        <v>202</v>
      </c>
      <c r="H314" s="53"/>
      <c r="I314" s="53"/>
      <c r="J314" s="55"/>
      <c r="K314" s="55"/>
      <c r="L314" s="55" t="str">
        <f>IFERROR(__xludf.DUMMYFUNCTION("QUERY('Volunteer Survey'!B323)"),"Kim Phuong Tong")</f>
        <v>Kim Phuong Tong</v>
      </c>
      <c r="M314" s="55" t="str">
        <f>IFERROR(__xludf.DUMMYFUNCTION("QUERY('Volunteer Survey'!E323)"),"ktongpotter@yahoo.com")</f>
        <v>ktongpotter@yahoo.com</v>
      </c>
      <c r="N314" s="55" t="str">
        <f>IFERROR(__xludf.DUMMYFUNCTION("QUERY('Volunteer Survey'!F323)"),"Citizen Scientist/Patient Advocate")</f>
        <v>Citizen Scientist/Patient Advocate</v>
      </c>
      <c r="O314" s="48" t="str">
        <f>IFERROR(__xludf.DUMMYFUNCTION("QUERY('Volunteer Survey'!H323)"),"Baseline")</f>
        <v>Baseline</v>
      </c>
      <c r="P314" s="55" t="str">
        <f>IFERROR(__xludf.DUMMYFUNCTION("QUERY('Volunteer Survey'!I323)"),"Gene-Disease Validity")</f>
        <v>Gene-Disease Validity</v>
      </c>
      <c r="Q314" s="60" t="str">
        <f>IFERROR(__xludf.DUMMYFUNCTION("QUERY('Volunteer Survey'!J323)"),"Clinical Actionability")</f>
        <v>Clinical Actionability</v>
      </c>
      <c r="R314" s="55" t="str">
        <f>IFERROR(__xludf.DUMMYFUNCTION("QUERY('Volunteer Survey'!K323)"),"Variant Pathogenicity")</f>
        <v>Variant Pathogenicity</v>
      </c>
      <c r="S314" s="55" t="str">
        <f>IFERROR(__xludf.DUMMYFUNCTION("QUERY('Volunteer Survey'!L323)"),"")</f>
        <v/>
      </c>
      <c r="T314" s="55" t="str">
        <f>IFERROR(__xludf.DUMMYFUNCTION("QUERY('Volunteer Survey'!M323)"),"")</f>
        <v/>
      </c>
      <c r="U314" s="64" t="str">
        <f>IFERROR(__xludf.DUMMYFUNCTION("QUERY('Volunteer Survey'!N323)"),"")</f>
        <v/>
      </c>
      <c r="V314" s="55" t="str">
        <f>IFERROR(__xludf.DUMMYFUNCTION("QUERY('Volunteer Survey'!O323)"),"Possibly")</f>
        <v>Possibly</v>
      </c>
      <c r="W314" s="66" t="str">
        <f>IFERROR(__xludf.DUMMYFUNCTION("QUERY('Volunteer Survey'!P323)"),"")</f>
        <v/>
      </c>
      <c r="X314" s="64" t="str">
        <f>IFERROR(__xludf.DUMMYFUNCTION("QUERY('Volunteer Survey'!R323)"),"Maybe -- please contact me with other options, and I will decide based on what is available")</f>
        <v>Maybe -- please contact me with other options, and I will decide based on what is available</v>
      </c>
      <c r="Y314" s="53"/>
      <c r="Z314" s="182">
        <f>IFERROR(__xludf.DUMMYFUNCTION("QUERY('Volunteer Survey'!A313)"),43727.949473321765)</f>
        <v>43727.94947</v>
      </c>
      <c r="AA314" s="183" t="str">
        <f>IFERROR(__xludf.DUMMYFUNCTION("QUERY('Volunteer Survey'!B313)"),"Sali Farhan")</f>
        <v>Sali Farhan</v>
      </c>
      <c r="AB314" s="183" t="str">
        <f>IFERROR(__xludf.DUMMYFUNCTION("QUERY('Volunteer Survey'!C313)"),"Massachusetts General Hospital/Broad Institute")</f>
        <v>Massachusetts General Hospital/Broad Institute</v>
      </c>
      <c r="AC314" s="183" t="str">
        <f>IFERROR(__xludf.DUMMYFUNCTION("QUERY('Volunteer Survey'!D313)"),"")</f>
        <v/>
      </c>
      <c r="AD314" s="183" t="str">
        <f>IFERROR(__xludf.DUMMYFUNCTION("QUERY('Volunteer Survey'!E313)"),"sfarhan@broadinstitute.org")</f>
        <v>sfarhan@broadinstitute.org</v>
      </c>
      <c r="AE314" s="183" t="str">
        <f>IFERROR(__xludf.DUMMYFUNCTION("QUERY('Volunteer Survey'!F313)"),"Post Doc/Resident/Fellow (MD and/or PhD)")</f>
        <v>Post Doc/Resident/Fellow (MD and/or PhD)</v>
      </c>
      <c r="AF314" s="183" t="str">
        <f>IFERROR(__xludf.DUMMYFUNCTION("QUERY('Volunteer Survey'!G313)"),"Networking, Heidi Rehm")</f>
        <v>Networking, Heidi Rehm</v>
      </c>
      <c r="AG314" s="183" t="str">
        <f>IFERROR(__xludf.DUMMYFUNCTION("QUERY('Volunteer Survey'!H313)"),"Comprehensive")</f>
        <v>Comprehensive</v>
      </c>
      <c r="AH314" s="183" t="str">
        <f>IFERROR(__xludf.DUMMYFUNCTION("QUERY('Volunteer Survey'!I313)"),"Gene-Disease Validity")</f>
        <v>Gene-Disease Validity</v>
      </c>
      <c r="AI314" s="183" t="str">
        <f>IFERROR(__xludf.DUMMYFUNCTION("QUERY('Volunteer Survey'!J313)"),"Variant Pathogenicity")</f>
        <v>Variant Pathogenicity</v>
      </c>
      <c r="AJ314" s="183" t="str">
        <f>IFERROR(__xludf.DUMMYFUNCTION("QUERY('Volunteer Survey'!K313)"),"Clinical Actionability")</f>
        <v>Clinical Actionability</v>
      </c>
      <c r="AK314" s="183" t="str">
        <f>IFERROR(__xludf.DUMMYFUNCTION("QUERY('Volunteer Survey'!L313)"),"Dosage Sensitivity")</f>
        <v>Dosage Sensitivity</v>
      </c>
      <c r="AL314" s="183" t="str">
        <f>IFERROR(__xludf.DUMMYFUNCTION("QUERY('Volunteer Survey'!M313)"),"Somatic Cancer")</f>
        <v>Somatic Cancer</v>
      </c>
      <c r="AM314" s="183" t="str">
        <f>IFERROR(__xludf.DUMMYFUNCTION("QUERY('Volunteer Survey'!N313)"),"")</f>
        <v/>
      </c>
      <c r="AN314" s="183" t="str">
        <f>IFERROR(__xludf.DUMMYFUNCTION("QUERY('Volunteer Survey'!O313)"),"No")</f>
        <v>No</v>
      </c>
      <c r="AO314" s="183" t="str">
        <f>IFERROR(__xludf.DUMMYFUNCTION("QUERY('Volunteer Survey'!P313)"),"")</f>
        <v/>
      </c>
    </row>
    <row r="315">
      <c r="A315" s="50">
        <f>IFERROR(__xludf.DUMMYFUNCTION("QUERY('Volunteer Survey'!A324)"),43742.66885350695)</f>
        <v>43742.66885</v>
      </c>
      <c r="B315" s="48" t="s">
        <v>108</v>
      </c>
      <c r="C315" s="79">
        <v>43819.0</v>
      </c>
      <c r="D315" s="55"/>
      <c r="E315" s="55"/>
      <c r="F315" s="48" t="s">
        <v>130</v>
      </c>
      <c r="G315" s="48" t="s">
        <v>251</v>
      </c>
      <c r="H315" s="53"/>
      <c r="I315" s="53"/>
      <c r="J315" s="55"/>
      <c r="K315" s="55"/>
      <c r="L315" s="55" t="str">
        <f>IFERROR(__xludf.DUMMYFUNCTION("QUERY('Volunteer Survey'!B324)"),"Heather Harris")</f>
        <v>Heather Harris</v>
      </c>
      <c r="M315" s="55" t="str">
        <f>IFERROR(__xludf.DUMMYFUNCTION("QUERY('Volunteer Survey'!E324)"),"heatherkharris1@gmail.com")</f>
        <v>heatherkharris1@gmail.com</v>
      </c>
      <c r="N315" s="55" t="str">
        <f>IFERROR(__xludf.DUMMYFUNCTION("QUERY('Volunteer Survey'!F324)"),"Genetic counselor")</f>
        <v>Genetic counselor</v>
      </c>
      <c r="O315" s="48" t="str">
        <f>IFERROR(__xludf.DUMMYFUNCTION("QUERY('Volunteer Survey'!H324)"),"Comprehensive")</f>
        <v>Comprehensive</v>
      </c>
      <c r="P315" s="55" t="str">
        <f>IFERROR(__xludf.DUMMYFUNCTION("QUERY('Volunteer Survey'!I324)"),"Variant Pathogenicity")</f>
        <v>Variant Pathogenicity</v>
      </c>
      <c r="Q315" s="60" t="str">
        <f>IFERROR(__xludf.DUMMYFUNCTION("QUERY('Volunteer Survey'!J324)"),"Clinical Actionability")</f>
        <v>Clinical Actionability</v>
      </c>
      <c r="R315" s="55" t="str">
        <f>IFERROR(__xludf.DUMMYFUNCTION("QUERY('Volunteer Survey'!K324)"),"Gene-Disease Validity")</f>
        <v>Gene-Disease Validity</v>
      </c>
      <c r="S315" s="55" t="str">
        <f>IFERROR(__xludf.DUMMYFUNCTION("QUERY('Volunteer Survey'!L324)"),"Somatic Cancer")</f>
        <v>Somatic Cancer</v>
      </c>
      <c r="T315" s="55" t="str">
        <f>IFERROR(__xludf.DUMMYFUNCTION("QUERY('Volunteer Survey'!M324)"),"Dosage Sensitivity")</f>
        <v>Dosage Sensitivity</v>
      </c>
      <c r="U315" s="64" t="str">
        <f>IFERROR(__xludf.DUMMYFUNCTION("QUERY('Volunteer Survey'!N324)"),"Limited experience with creating variant descriptions for lab report writing. ")</f>
        <v>Limited experience with creating variant descriptions for lab report writing. </v>
      </c>
      <c r="V315" s="55" t="str">
        <f>IFERROR(__xludf.DUMMYFUNCTION("QUERY('Volunteer Survey'!O324)"),"No")</f>
        <v>No</v>
      </c>
      <c r="W315" s="66" t="str">
        <f>IFERROR(__xludf.DUMMYFUNCTION("QUERY('Volunteer Survey'!P324)"),"I am open to any opportunity.")</f>
        <v>I am open to any opportunity.</v>
      </c>
      <c r="X315" s="64" t="str">
        <f>IFERROR(__xludf.DUMMYFUNCTION("QUERY('Volunteer Survey'!R324)"),"")</f>
        <v/>
      </c>
      <c r="Y315" s="53"/>
      <c r="Z315" s="182">
        <f>IFERROR(__xludf.DUMMYFUNCTION("QUERY('Volunteer Survey'!A314)"),43731.70247251157)</f>
        <v>43731.70247</v>
      </c>
      <c r="AA315" s="183" t="str">
        <f>IFERROR(__xludf.DUMMYFUNCTION("QUERY('Volunteer Survey'!B314)"),"Julie Kim ")</f>
        <v>Julie Kim </v>
      </c>
      <c r="AB315" s="183" t="str">
        <f>IFERROR(__xludf.DUMMYFUNCTION("QUERY('Volunteer Survey'!C314)"),"NHGRI")</f>
        <v>NHGRI</v>
      </c>
      <c r="AC315" s="183" t="str">
        <f>IFERROR(__xludf.DUMMYFUNCTION("QUERY('Volunteer Survey'!D314)"),"6700B Rockledge Dr. Bethesda, MD 20817")</f>
        <v>6700B Rockledge Dr. Bethesda, MD 20817</v>
      </c>
      <c r="AD315" s="183" t="str">
        <f>IFERROR(__xludf.DUMMYFUNCTION("QUERY('Volunteer Survey'!E314)"),"serin.kim@nih.gov")</f>
        <v>serin.kim@nih.gov</v>
      </c>
      <c r="AE315" s="183" t="str">
        <f>IFERROR(__xludf.DUMMYFUNCTION("QUERY('Volunteer Survey'!F314)"),"Scientific Program Analyst at NHGRI")</f>
        <v>Scientific Program Analyst at NHGRI</v>
      </c>
      <c r="AF315" s="183" t="str">
        <f>IFERROR(__xludf.DUMMYFUNCTION("QUERY('Volunteer Survey'!G314)"),"working as a ClinGen program analyst")</f>
        <v>working as a ClinGen program analyst</v>
      </c>
      <c r="AG315" s="183" t="str">
        <f>IFERROR(__xludf.DUMMYFUNCTION("QUERY('Volunteer Survey'!H314)"),"Comprehensive")</f>
        <v>Comprehensive</v>
      </c>
      <c r="AH315" s="183" t="str">
        <f>IFERROR(__xludf.DUMMYFUNCTION("QUERY('Volunteer Survey'!I314)"),"Gene-Disease Validity")</f>
        <v>Gene-Disease Validity</v>
      </c>
      <c r="AI315" s="183" t="str">
        <f>IFERROR(__xludf.DUMMYFUNCTION("QUERY('Volunteer Survey'!J314)"),"Clinical Actionability")</f>
        <v>Clinical Actionability</v>
      </c>
      <c r="AJ315" s="183" t="str">
        <f>IFERROR(__xludf.DUMMYFUNCTION("QUERY('Volunteer Survey'!K314)"),"")</f>
        <v/>
      </c>
      <c r="AK315" s="183" t="str">
        <f>IFERROR(__xludf.DUMMYFUNCTION("QUERY('Volunteer Survey'!L314)"),"")</f>
        <v/>
      </c>
      <c r="AL315" s="183" t="str">
        <f>IFERROR(__xludf.DUMMYFUNCTION("QUERY('Volunteer Survey'!M314)"),"")</f>
        <v/>
      </c>
      <c r="AM315" s="183" t="str">
        <f>IFERROR(__xludf.DUMMYFUNCTION("QUERY('Volunteer Survey'!N314)"),"")</f>
        <v/>
      </c>
      <c r="AN315" s="183" t="str">
        <f>IFERROR(__xludf.DUMMYFUNCTION("QUERY('Volunteer Survey'!O314)"),"No")</f>
        <v>No</v>
      </c>
      <c r="AO315" s="183" t="str">
        <f>IFERROR(__xludf.DUMMYFUNCTION("QUERY('Volunteer Survey'!P314)"),"Cardiomyopathy, Brain Malformations, hearing loss")</f>
        <v>Cardiomyopathy, Brain Malformations, hearing loss</v>
      </c>
    </row>
    <row r="316">
      <c r="A316" s="50">
        <f>IFERROR(__xludf.DUMMYFUNCTION("QUERY('Volunteer Survey'!A325)"),43744.75477740741)</f>
        <v>43744.75478</v>
      </c>
      <c r="B316" s="48" t="s">
        <v>108</v>
      </c>
      <c r="C316" s="53"/>
      <c r="D316" s="55"/>
      <c r="E316" s="55"/>
      <c r="F316" s="48" t="s">
        <v>130</v>
      </c>
      <c r="G316" s="48" t="s">
        <v>202</v>
      </c>
      <c r="H316" s="53"/>
      <c r="I316" s="53"/>
      <c r="J316" s="55"/>
      <c r="K316" s="55"/>
      <c r="L316" s="55" t="str">
        <f>IFERROR(__xludf.DUMMYFUNCTION("QUERY('Volunteer Survey'!B325)"),"C. Anwar A. Chahal")</f>
        <v>C. Anwar A. Chahal</v>
      </c>
      <c r="M316" s="55" t="str">
        <f>IFERROR(__xludf.DUMMYFUNCTION("QUERY('Volunteer Survey'!E325)"),"anwar.chahal@uphs.upenn.edu")</f>
        <v>anwar.chahal@uphs.upenn.edu</v>
      </c>
      <c r="N316" s="55" t="str">
        <f>IFERROR(__xludf.DUMMYFUNCTION("QUERY('Volunteer Survey'!F325)"),"Clinician Scientist, EP and Inherited CV Diseases, in final year clinical EP Fellowship")</f>
        <v>Clinician Scientist, EP and Inherited CV Diseases, in final year clinical EP Fellowship</v>
      </c>
      <c r="O316" s="48" t="str">
        <f>IFERROR(__xludf.DUMMYFUNCTION("QUERY('Volunteer Survey'!H325)"),"Baseline")</f>
        <v>Baseline</v>
      </c>
      <c r="P316" s="55" t="str">
        <f>IFERROR(__xludf.DUMMYFUNCTION("QUERY('Volunteer Survey'!I325)"),"Variant Pathogenicity")</f>
        <v>Variant Pathogenicity</v>
      </c>
      <c r="Q316" s="60" t="str">
        <f>IFERROR(__xludf.DUMMYFUNCTION("QUERY('Volunteer Survey'!J325)"),"Gene-Disease Validity")</f>
        <v>Gene-Disease Validity</v>
      </c>
      <c r="R316" s="55" t="str">
        <f>IFERROR(__xludf.DUMMYFUNCTION("QUERY('Volunteer Survey'!K325)"),"Clinical Actionability")</f>
        <v>Clinical Actionability</v>
      </c>
      <c r="S316" s="55" t="str">
        <f>IFERROR(__xludf.DUMMYFUNCTION("QUERY('Volunteer Survey'!L325)"),"")</f>
        <v/>
      </c>
      <c r="T316" s="55" t="str">
        <f>IFERROR(__xludf.DUMMYFUNCTION("QUERY('Volunteer Survey'!M325)"),"")</f>
        <v/>
      </c>
      <c r="U316" s="64" t="str">
        <f>IFERROR(__xludf.DUMMYFUNCTION("QUERY('Volunteer Survey'!N325)"),"Not curation, experience in geneomics (PhD, American Heart Association)")</f>
        <v>Not curation, experience in geneomics (PhD, American Heart Association)</v>
      </c>
      <c r="V316" s="55" t="str">
        <f>IFERROR(__xludf.DUMMYFUNCTION("QUERY('Volunteer Survey'!O325)"),"Possibly")</f>
        <v>Possibly</v>
      </c>
      <c r="W316" s="66" t="str">
        <f>IFERROR(__xludf.DUMMYFUNCTION("QUERY('Volunteer Survey'!P325)"),"Congenital myopathies, Cardiomyopathy* (these are my areas of expertise/interest)")</f>
        <v>Congenital myopathies, Cardiomyopathy* (these are my areas of expertise/interest)</v>
      </c>
      <c r="X316" s="64" t="str">
        <f>IFERROR(__xludf.DUMMYFUNCTION("QUERY('Volunteer Survey'!R325)"),"No - I am only interested in the group(s) I previously indicated")</f>
        <v>No - I am only interested in the group(s) I previously indicated</v>
      </c>
      <c r="Y316" s="53"/>
      <c r="Z316" s="182">
        <f>IFERROR(__xludf.DUMMYFUNCTION("QUERY('Volunteer Survey'!A315)"),43733.739980405095)</f>
        <v>43733.73998</v>
      </c>
      <c r="AA316" s="183" t="str">
        <f>IFERROR(__xludf.DUMMYFUNCTION("QUERY('Volunteer Survey'!B315)"),"Jamie Maciaszek")</f>
        <v>Jamie Maciaszek</v>
      </c>
      <c r="AB316" s="183" t="str">
        <f>IFERROR(__xludf.DUMMYFUNCTION("QUERY('Volunteer Survey'!C315)"),"St. Jude Children's Research Hospital")</f>
        <v>St. Jude Children's Research Hospital</v>
      </c>
      <c r="AC316" s="183" t="str">
        <f>IFERROR(__xludf.DUMMYFUNCTION("QUERY('Volunteer Survey'!D315)"),"262 Danny Thomas Place, Mail Stop 1170, Memphis, TN 38105")</f>
        <v>262 Danny Thomas Place, Mail Stop 1170, Memphis, TN 38105</v>
      </c>
      <c r="AD316" s="183" t="str">
        <f>IFERROR(__xludf.DUMMYFUNCTION("QUERY('Volunteer Survey'!E315)"),"jamie.maciaszek@stjude.org")</f>
        <v>jamie.maciaszek@stjude.org</v>
      </c>
      <c r="AE316" s="183" t="str">
        <f>IFERROR(__xludf.DUMMYFUNCTION("QUERY('Volunteer Survey'!F315)"),"Scientific Researcher")</f>
        <v>Scientific Researcher</v>
      </c>
      <c r="AF316" s="183" t="str">
        <f>IFERROR(__xludf.DUMMYFUNCTION("QUERY('Volunteer Survey'!G315)"),"Suggestion from mentor, ClinGen affiliated emails and/or newsletters")</f>
        <v>Suggestion from mentor, ClinGen affiliated emails and/or newsletters</v>
      </c>
      <c r="AG316" s="183" t="str">
        <f>IFERROR(__xludf.DUMMYFUNCTION("QUERY('Volunteer Survey'!H315)"),"Comprehensive")</f>
        <v>Comprehensive</v>
      </c>
      <c r="AH316" s="183" t="str">
        <f>IFERROR(__xludf.DUMMYFUNCTION("QUERY('Volunteer Survey'!I315)"),"Variant Pathogenicity")</f>
        <v>Variant Pathogenicity</v>
      </c>
      <c r="AI316" s="183" t="str">
        <f>IFERROR(__xludf.DUMMYFUNCTION("QUERY('Volunteer Survey'!J315)"),"Gene-Disease Validity")</f>
        <v>Gene-Disease Validity</v>
      </c>
      <c r="AJ316" s="183" t="str">
        <f>IFERROR(__xludf.DUMMYFUNCTION("QUERY('Volunteer Survey'!K315)"),"Somatic Cancer")</f>
        <v>Somatic Cancer</v>
      </c>
      <c r="AK316" s="183" t="str">
        <f>IFERROR(__xludf.DUMMYFUNCTION("QUERY('Volunteer Survey'!L315)"),"Clinical Actionability")</f>
        <v>Clinical Actionability</v>
      </c>
      <c r="AL316" s="183" t="str">
        <f>IFERROR(__xludf.DUMMYFUNCTION("QUERY('Volunteer Survey'!M315)"),"Dosage Sensitivity")</f>
        <v>Dosage Sensitivity</v>
      </c>
      <c r="AM316" s="183" t="str">
        <f>IFERROR(__xludf.DUMMYFUNCTION("QUERY('Volunteer Survey'!N315)"),"working on SJFAMILY study to curate variants in suspected cases of hereditary cancer")</f>
        <v>working on SJFAMILY study to curate variants in suspected cases of hereditary cancer</v>
      </c>
      <c r="AN316" s="183" t="str">
        <f>IFERROR(__xludf.DUMMYFUNCTION("QUERY('Volunteer Survey'!O315)"),"Possibly")</f>
        <v>Possibly</v>
      </c>
      <c r="AO316" s="183" t="str">
        <f>IFERROR(__xludf.DUMMYFUNCTION("QUERY('Volunteer Survey'!P315)"),"Myeloid Malignancy, Hereditary Cancer")</f>
        <v>Myeloid Malignancy, Hereditary Cancer</v>
      </c>
    </row>
    <row r="317">
      <c r="A317" s="50">
        <f>IFERROR(__xludf.DUMMYFUNCTION("QUERY('Volunteer Survey'!A326)"),43745.65172986111)</f>
        <v>43745.65173</v>
      </c>
      <c r="B317" s="48" t="s">
        <v>108</v>
      </c>
      <c r="C317" s="79">
        <v>43819.0</v>
      </c>
      <c r="D317" s="55"/>
      <c r="E317" s="55"/>
      <c r="F317" s="48" t="s">
        <v>130</v>
      </c>
      <c r="G317" s="48" t="s">
        <v>251</v>
      </c>
      <c r="H317" s="53"/>
      <c r="I317" s="53"/>
      <c r="J317" s="55"/>
      <c r="K317" s="55"/>
      <c r="L317" s="55" t="str">
        <f>IFERROR(__xludf.DUMMYFUNCTION("QUERY('Volunteer Survey'!B326)"),"Kaitlin Lenhart")</f>
        <v>Kaitlin Lenhart</v>
      </c>
      <c r="M317" s="55" t="str">
        <f>IFERROR(__xludf.DUMMYFUNCTION("QUERY('Volunteer Survey'!E326)"),"kaitlin.lenhart@slh.wisc.edu")</f>
        <v>kaitlin.lenhart@slh.wisc.edu</v>
      </c>
      <c r="N317" s="55" t="str">
        <f>IFERROR(__xludf.DUMMYFUNCTION("QUERY('Volunteer Survey'!F326)"),"Clinical laboratory geneticist")</f>
        <v>Clinical laboratory geneticist</v>
      </c>
      <c r="O317" s="48" t="str">
        <f>IFERROR(__xludf.DUMMYFUNCTION("QUERY('Volunteer Survey'!H326)"),"Comprehensive")</f>
        <v>Comprehensive</v>
      </c>
      <c r="P317" s="55" t="str">
        <f>IFERROR(__xludf.DUMMYFUNCTION("QUERY('Volunteer Survey'!I326)"),"Variant Pathogenicity")</f>
        <v>Variant Pathogenicity</v>
      </c>
      <c r="Q317" s="60" t="str">
        <f>IFERROR(__xludf.DUMMYFUNCTION("QUERY('Volunteer Survey'!J326)"),"Gene-Disease Validity")</f>
        <v>Gene-Disease Validity</v>
      </c>
      <c r="R317" s="55" t="str">
        <f>IFERROR(__xludf.DUMMYFUNCTION("QUERY('Volunteer Survey'!K326)"),"Dosage Sensitivity")</f>
        <v>Dosage Sensitivity</v>
      </c>
      <c r="S317" s="55" t="str">
        <f>IFERROR(__xludf.DUMMYFUNCTION("QUERY('Volunteer Survey'!L326)"),"Clinical Actionability")</f>
        <v>Clinical Actionability</v>
      </c>
      <c r="T317" s="55" t="str">
        <f>IFERROR(__xludf.DUMMYFUNCTION("QUERY('Volunteer Survey'!M326)"),"")</f>
        <v/>
      </c>
      <c r="U317" s="64" t="str">
        <f>IFERROR(__xludf.DUMMYFUNCTION("QUERY('Volunteer Survey'!N326)"),"")</f>
        <v/>
      </c>
      <c r="V317" s="55" t="str">
        <f>IFERROR(__xludf.DUMMYFUNCTION("QUERY('Volunteer Survey'!O326)"),"Possibly")</f>
        <v>Possibly</v>
      </c>
      <c r="W317" s="66" t="str">
        <f>IFERROR(__xludf.DUMMYFUNCTION("QUERY('Volunteer Survey'!P326)"),"")</f>
        <v/>
      </c>
      <c r="X317" s="64" t="str">
        <f>IFERROR(__xludf.DUMMYFUNCTION("QUERY('Volunteer Survey'!R326)"),"Maybe -- please contact me with other options, and I will decide based on what is available")</f>
        <v>Maybe -- please contact me with other options, and I will decide based on what is available</v>
      </c>
      <c r="Y317" s="53"/>
      <c r="Z317" s="182">
        <f>IFERROR(__xludf.DUMMYFUNCTION("QUERY('Volunteer Survey'!A316)"),43734.34401487269)</f>
        <v>43734.34401</v>
      </c>
      <c r="AA317" s="183" t="str">
        <f>IFERROR(__xludf.DUMMYFUNCTION("QUERY('Volunteer Survey'!B316)"),"Olivier Bluteau")</f>
        <v>Olivier Bluteau</v>
      </c>
      <c r="AB317" s="183" t="str">
        <f>IFERROR(__xludf.DUMMYFUNCTION("QUERY('Volunteer Survey'!C316)"),"APHP")</f>
        <v>APHP</v>
      </c>
      <c r="AC317" s="183" t="str">
        <f>IFERROR(__xludf.DUMMYFUNCTION("QUERY('Volunteer Survey'!D316)"),"Hôpital Universitaire Pitié Salpêtrière - CGMC. 
Bâtiment de Pharmacie. 
47/83 Bd de L'Hôpital. 
75651 PARIS Cedex 13
FRANCE")</f>
        <v>Hôpital Universitaire Pitié Salpêtrière - CGMC. 
Bâtiment de Pharmacie. 
47/83 Bd de L'Hôpital. 
75651 PARIS Cedex 13
FRANCE</v>
      </c>
      <c r="AD317" s="183" t="str">
        <f>IFERROR(__xludf.DUMMYFUNCTION("QUERY('Volunteer Survey'!E316)"),"olivier.bluteau@aphp.fr")</f>
        <v>olivier.bluteau@aphp.fr</v>
      </c>
      <c r="AE317" s="183" t="str">
        <f>IFERROR(__xludf.DUMMYFUNCTION("QUERY('Volunteer Survey'!F316)"),"Variant Analyst/Scientist - Academic")</f>
        <v>Variant Analyst/Scientist - Academic</v>
      </c>
      <c r="AF317" s="183" t="str">
        <f>IFERROR(__xludf.DUMMYFUNCTION("QUERY('Volunteer Survey'!G316)"),"Colleagues, Suggestion from mentor")</f>
        <v>Colleagues, Suggestion from mentor</v>
      </c>
      <c r="AG317" s="183" t="str">
        <f>IFERROR(__xludf.DUMMYFUNCTION("QUERY('Volunteer Survey'!H316)"),"Comprehensive")</f>
        <v>Comprehensive</v>
      </c>
      <c r="AH317" s="183" t="str">
        <f>IFERROR(__xludf.DUMMYFUNCTION("QUERY('Volunteer Survey'!I316)"),"Variant Pathogenicity")</f>
        <v>Variant Pathogenicity</v>
      </c>
      <c r="AI317" s="183" t="str">
        <f>IFERROR(__xludf.DUMMYFUNCTION("QUERY('Volunteer Survey'!J316)"),"Gene-Disease Validity")</f>
        <v>Gene-Disease Validity</v>
      </c>
      <c r="AJ317" s="183" t="str">
        <f>IFERROR(__xludf.DUMMYFUNCTION("QUERY('Volunteer Survey'!K316)"),"Clinical Actionability")</f>
        <v>Clinical Actionability</v>
      </c>
      <c r="AK317" s="183" t="str">
        <f>IFERROR(__xludf.DUMMYFUNCTION("QUERY('Volunteer Survey'!L316)"),"Dosage Sensitivity")</f>
        <v>Dosage Sensitivity</v>
      </c>
      <c r="AL317" s="183" t="str">
        <f>IFERROR(__xludf.DUMMYFUNCTION("QUERY('Volunteer Survey'!M316)"),"Somatic Cancer")</f>
        <v>Somatic Cancer</v>
      </c>
      <c r="AM317" s="183" t="str">
        <f>IFERROR(__xludf.DUMMYFUNCTION("QUERY('Volunteer Survey'!N316)"),"")</f>
        <v/>
      </c>
      <c r="AN317" s="183" t="str">
        <f>IFERROR(__xludf.DUMMYFUNCTION("QUERY('Volunteer Survey'!O316)"),"No")</f>
        <v>No</v>
      </c>
      <c r="AO317" s="183" t="str">
        <f>IFERROR(__xludf.DUMMYFUNCTION("QUERY('Volunteer Survey'!P316)"),"Familial Hypercholesterolemia Variant Curation Expert Panel")</f>
        <v>Familial Hypercholesterolemia Variant Curation Expert Panel</v>
      </c>
    </row>
    <row r="318">
      <c r="A318" s="50">
        <f>IFERROR(__xludf.DUMMYFUNCTION("QUERY('Volunteer Survey'!A327)"),43746.86382482639)</f>
        <v>43746.86382</v>
      </c>
      <c r="B318" s="48" t="s">
        <v>108</v>
      </c>
      <c r="C318" s="79">
        <v>43819.0</v>
      </c>
      <c r="D318" s="55"/>
      <c r="E318" s="55"/>
      <c r="F318" s="48" t="s">
        <v>130</v>
      </c>
      <c r="G318" s="48" t="s">
        <v>251</v>
      </c>
      <c r="H318" s="53"/>
      <c r="I318" s="53"/>
      <c r="J318" s="55"/>
      <c r="K318" s="55"/>
      <c r="L318" s="55" t="str">
        <f>IFERROR(__xludf.DUMMYFUNCTION("QUERY('Volunteer Survey'!B327)"),"YANYI YAO")</f>
        <v>YANYI YAO</v>
      </c>
      <c r="M318" s="55" t="str">
        <f>IFERROR(__xludf.DUMMYFUNCTION("QUERY('Volunteer Survey'!E327)"),"yaoyanyi@hotmail.com")</f>
        <v>yaoyanyi@hotmail.com</v>
      </c>
      <c r="N318" s="55" t="str">
        <f>IFERROR(__xludf.DUMMYFUNCTION("QUERY('Volunteer Survey'!F327)"),"Post Doc/Resident/Fellow (MD and/or PhD)")</f>
        <v>Post Doc/Resident/Fellow (MD and/or PhD)</v>
      </c>
      <c r="O318" s="48" t="str">
        <f>IFERROR(__xludf.DUMMYFUNCTION("QUERY('Volunteer Survey'!H327)"),"Comprehensive")</f>
        <v>Comprehensive</v>
      </c>
      <c r="P318" s="55" t="str">
        <f>IFERROR(__xludf.DUMMYFUNCTION("QUERY('Volunteer Survey'!I327)"),"Variant Pathogenicity")</f>
        <v>Variant Pathogenicity</v>
      </c>
      <c r="Q318" s="60" t="str">
        <f>IFERROR(__xludf.DUMMYFUNCTION("QUERY('Volunteer Survey'!J327)"),"Gene-Disease Validity")</f>
        <v>Gene-Disease Validity</v>
      </c>
      <c r="R318" s="55" t="str">
        <f>IFERROR(__xludf.DUMMYFUNCTION("QUERY('Volunteer Survey'!K327)"),"Dosage Sensitivity")</f>
        <v>Dosage Sensitivity</v>
      </c>
      <c r="S318" s="55" t="str">
        <f>IFERROR(__xludf.DUMMYFUNCTION("QUERY('Volunteer Survey'!L327)"),"Clinical Actionability")</f>
        <v>Clinical Actionability</v>
      </c>
      <c r="T318" s="55" t="str">
        <f>IFERROR(__xludf.DUMMYFUNCTION("QUERY('Volunteer Survey'!M327)"),"")</f>
        <v/>
      </c>
      <c r="U318" s="64" t="str">
        <f>IFERROR(__xludf.DUMMYFUNCTION("QUERY('Volunteer Survey'!N327)"),"I attended Interpreting Genomes for Rare Disease 2019.")</f>
        <v>I attended Interpreting Genomes for Rare Disease 2019.</v>
      </c>
      <c r="V318" s="55" t="str">
        <f>IFERROR(__xludf.DUMMYFUNCTION("QUERY('Volunteer Survey'!O327)"),"Possibly")</f>
        <v>Possibly</v>
      </c>
      <c r="W318" s="66" t="str">
        <f>IFERROR(__xludf.DUMMYFUNCTION("QUERY('Volunteer Survey'!P327)"),"Limb Girdle Muscular Dystrophy ")</f>
        <v>Limb Girdle Muscular Dystrophy </v>
      </c>
      <c r="X318" s="64" t="str">
        <f>IFERROR(__xludf.DUMMYFUNCTION("QUERY('Volunteer Survey'!R327)"),"Yes- I am willing to volunteer with any available ClinGen group")</f>
        <v>Yes- I am willing to volunteer with any available ClinGen group</v>
      </c>
      <c r="Y318" s="53"/>
      <c r="Z318" s="182">
        <f>IFERROR(__xludf.DUMMYFUNCTION("QUERY('Volunteer Survey'!A317)"),43734.38644290509)</f>
        <v>43734.38644</v>
      </c>
      <c r="AA318" s="183" t="str">
        <f>IFERROR(__xludf.DUMMYFUNCTION("QUERY('Volunteer Survey'!B317)"),"Alexandra Miller")</f>
        <v>Alexandra Miller</v>
      </c>
      <c r="AB318" s="183" t="str">
        <f>IFERROR(__xludf.DUMMYFUNCTION("QUERY('Volunteer Survey'!C317)"),"Mayo Clinic")</f>
        <v>Mayo Clinic</v>
      </c>
      <c r="AC318" s="183" t="str">
        <f>IFERROR(__xludf.DUMMYFUNCTION("QUERY('Volunteer Survey'!D317)"),"")</f>
        <v/>
      </c>
      <c r="AD318" s="183" t="str">
        <f>IFERROR(__xludf.DUMMYFUNCTION("QUERY('Volunteer Survey'!E317)"),"miller.alexandra@mayo.edu")</f>
        <v>miller.alexandra@mayo.edu</v>
      </c>
      <c r="AE318" s="183" t="str">
        <f>IFERROR(__xludf.DUMMYFUNCTION("QUERY('Volunteer Survey'!F317)"),"Scientific Researcher")</f>
        <v>Scientific Researcher</v>
      </c>
      <c r="AF318" s="183" t="str">
        <f>IFERROR(__xludf.DUMMYFUNCTION("QUERY('Volunteer Survey'!G317)"),"Colleagues")</f>
        <v>Colleagues</v>
      </c>
      <c r="AG318" s="183" t="str">
        <f>IFERROR(__xludf.DUMMYFUNCTION("QUERY('Volunteer Survey'!H317)"),"Baseline")</f>
        <v>Baseline</v>
      </c>
      <c r="AH318" s="183" t="str">
        <f>IFERROR(__xludf.DUMMYFUNCTION("QUERY('Volunteer Survey'!I317)"),"Variant Pathogenicity")</f>
        <v>Variant Pathogenicity</v>
      </c>
      <c r="AI318" s="183" t="str">
        <f>IFERROR(__xludf.DUMMYFUNCTION("QUERY('Volunteer Survey'!J317)"),"Clinical Actionability")</f>
        <v>Clinical Actionability</v>
      </c>
      <c r="AJ318" s="183" t="str">
        <f>IFERROR(__xludf.DUMMYFUNCTION("QUERY('Volunteer Survey'!K317)"),"Gene-Disease Validity")</f>
        <v>Gene-Disease Validity</v>
      </c>
      <c r="AK318" s="183" t="str">
        <f>IFERROR(__xludf.DUMMYFUNCTION("QUERY('Volunteer Survey'!L317)"),"Dosage Sensitivity")</f>
        <v>Dosage Sensitivity</v>
      </c>
      <c r="AL318" s="183" t="str">
        <f>IFERROR(__xludf.DUMMYFUNCTION("QUERY('Volunteer Survey'!M317)"),"Somatic Cancer")</f>
        <v>Somatic Cancer</v>
      </c>
      <c r="AM318" s="183" t="str">
        <f>IFERROR(__xludf.DUMMYFUNCTION("QUERY('Volunteer Survey'!N317)"),"")</f>
        <v/>
      </c>
      <c r="AN318" s="183" t="str">
        <f>IFERROR(__xludf.DUMMYFUNCTION("QUERY('Volunteer Survey'!O317)"),"No")</f>
        <v>No</v>
      </c>
      <c r="AO318" s="183" t="str">
        <f>IFERROR(__xludf.DUMMYFUNCTION("QUERY('Volunteer Survey'!P317)"),"FH VCEP")</f>
        <v>FH VCEP</v>
      </c>
    </row>
    <row r="319">
      <c r="A319" s="50">
        <f>IFERROR(__xludf.DUMMYFUNCTION("QUERY('Volunteer Survey'!A328)"),43747.54224105324)</f>
        <v>43747.54224</v>
      </c>
      <c r="B319" s="48" t="s">
        <v>108</v>
      </c>
      <c r="C319" s="79">
        <v>43819.0</v>
      </c>
      <c r="D319" s="73">
        <v>43846.0</v>
      </c>
      <c r="E319" s="48" t="s">
        <v>117</v>
      </c>
      <c r="F319" s="48" t="s">
        <v>130</v>
      </c>
      <c r="G319" s="48" t="s">
        <v>122</v>
      </c>
      <c r="H319" s="53"/>
      <c r="I319" s="53"/>
      <c r="J319" s="55"/>
      <c r="K319" s="55"/>
      <c r="L319" s="55" t="str">
        <f>IFERROR(__xludf.DUMMYFUNCTION("QUERY('Volunteer Survey'!B328)"),"Ikeoluwa Osei-Owusu")</f>
        <v>Ikeoluwa Osei-Owusu</v>
      </c>
      <c r="M319" s="55" t="str">
        <f>IFERROR(__xludf.DUMMYFUNCTION("QUERY('Volunteer Survey'!E328)"),"ikeoluwa@jhmi.edu")</f>
        <v>ikeoluwa@jhmi.edu</v>
      </c>
      <c r="N319" s="55" t="str">
        <f>IFERROR(__xludf.DUMMYFUNCTION("QUERY('Volunteer Survey'!F328)"),"Graduate Student")</f>
        <v>Graduate Student</v>
      </c>
      <c r="O319" s="48" t="str">
        <f>IFERROR(__xludf.DUMMYFUNCTION("QUERY('Volunteer Survey'!H328)"),"Comprehensive")</f>
        <v>Comprehensive</v>
      </c>
      <c r="P319" s="55" t="str">
        <f>IFERROR(__xludf.DUMMYFUNCTION("QUERY('Volunteer Survey'!I328)"),"Gene-Disease Validity")</f>
        <v>Gene-Disease Validity</v>
      </c>
      <c r="Q319" s="60" t="str">
        <f>IFERROR(__xludf.DUMMYFUNCTION("QUERY('Volunteer Survey'!J328)"),"Variant Pathogenicity")</f>
        <v>Variant Pathogenicity</v>
      </c>
      <c r="R319" s="55" t="str">
        <f>IFERROR(__xludf.DUMMYFUNCTION("QUERY('Volunteer Survey'!K328)"),"Dosage Sensitivity")</f>
        <v>Dosage Sensitivity</v>
      </c>
      <c r="S319" s="55" t="str">
        <f>IFERROR(__xludf.DUMMYFUNCTION("QUERY('Volunteer Survey'!L328)"),"Clinical Actionability")</f>
        <v>Clinical Actionability</v>
      </c>
      <c r="T319" s="55" t="str">
        <f>IFERROR(__xludf.DUMMYFUNCTION("QUERY('Volunteer Survey'!M328)"),"Somatic Cancer")</f>
        <v>Somatic Cancer</v>
      </c>
      <c r="U319" s="64" t="str">
        <f>IFERROR(__xludf.DUMMYFUNCTION("QUERY('Volunteer Survey'!N328)"),"My PhD thesis has required the need to associate genes found to be deleterious in whole genome sequence analyses with known diseases. Thereby, I am familiar with databases such as ClinVar, Online Mendelian Inheritance in Man (OMIM), Development Disorder G"&amp;"enotype - Phenotype Database (DDG2P), and Simons Foundation Autism Research Initiative (SFARI). In addition, I have presented papers on the use of in silico algorithms as a ACMG variant interpretation criteria and its implications on ClinVar submissions. ")</f>
        <v>My PhD thesis has required the need to associate genes found to be deleterious in whole genome sequence analyses with known diseases. Thereby, I am familiar with databases such as ClinVar, Online Mendelian Inheritance in Man (OMIM), Development Disorder Genotype - Phenotype Database (DDG2P), and Simons Foundation Autism Research Initiative (SFARI). In addition, I have presented papers on the use of in silico algorithms as a ACMG variant interpretation criteria and its implications on ClinVar submissions. </v>
      </c>
      <c r="V319" s="55" t="str">
        <f>IFERROR(__xludf.DUMMYFUNCTION("QUERY('Volunteer Survey'!O328)"),"Possibly")</f>
        <v>Possibly</v>
      </c>
      <c r="W319" s="66" t="str">
        <f>IFERROR(__xludf.DUMMYFUNCTION("QUERY('Volunteer Survey'!P328)"),"Neurodevelopmental Dosage Sensitivity Working Group; Brain Malformations Gene Curation Expert Panel; Brain Malformations Variant Curation Expert Panel; Pediatric Actionability Working Group")</f>
        <v>Neurodevelopmental Dosage Sensitivity Working Group; Brain Malformations Gene Curation Expert Panel; Brain Malformations Variant Curation Expert Panel; Pediatric Actionability Working Group</v>
      </c>
      <c r="X319" s="64" t="str">
        <f>IFERROR(__xludf.DUMMYFUNCTION("QUERY('Volunteer Survey'!R328)"),"Maybe -- please contact me with other options, and I will decide based on what is available")</f>
        <v>Maybe -- please contact me with other options, and I will decide based on what is available</v>
      </c>
      <c r="Y319" s="53"/>
      <c r="Z319" s="182">
        <f>IFERROR(__xludf.DUMMYFUNCTION("QUERY('Volunteer Survey'!A318)"),43735.73697031249)</f>
        <v>43735.73697</v>
      </c>
      <c r="AA319" s="183" t="str">
        <f>IFERROR(__xludf.DUMMYFUNCTION("QUERY('Volunteer Survey'!B318)"),"Zonggao Shi")</f>
        <v>Zonggao Shi</v>
      </c>
      <c r="AB319" s="183" t="str">
        <f>IFERROR(__xludf.DUMMYFUNCTION("QUERY('Volunteer Survey'!C318)"),"St Jude Children's Research Hospital")</f>
        <v>St Jude Children's Research Hospital</v>
      </c>
      <c r="AC319" s="183" t="str">
        <f>IFERROR(__xludf.DUMMYFUNCTION("QUERY('Volunteer Survey'!D318)"),"262 Danny Thomas Place, Memphis, TN 38105")</f>
        <v>262 Danny Thomas Place, Memphis, TN 38105</v>
      </c>
      <c r="AD319" s="183" t="str">
        <f>IFERROR(__xludf.DUMMYFUNCTION("QUERY('Volunteer Survey'!E318)"),"zshi1@stjude.org")</f>
        <v>zshi1@stjude.org</v>
      </c>
      <c r="AE319" s="183" t="str">
        <f>IFERROR(__xludf.DUMMYFUNCTION("QUERY('Volunteer Survey'!F318)"),"Variant Analyst/Scientist - Academic")</f>
        <v>Variant Analyst/Scientist - Academic</v>
      </c>
      <c r="AF319" s="183" t="str">
        <f>IFERROR(__xludf.DUMMYFUNCTION("QUERY('Volunteer Survey'!G318)"),"Networking, Colleagues, The clinicalgenome.org website")</f>
        <v>Networking, Colleagues, The clinicalgenome.org website</v>
      </c>
      <c r="AG319" s="183" t="str">
        <f>IFERROR(__xludf.DUMMYFUNCTION("QUERY('Volunteer Survey'!H318)"),"Comprehensive")</f>
        <v>Comprehensive</v>
      </c>
      <c r="AH319" s="183" t="str">
        <f>IFERROR(__xludf.DUMMYFUNCTION("QUERY('Volunteer Survey'!I318)"),"Somatic Cancer")</f>
        <v>Somatic Cancer</v>
      </c>
      <c r="AI319" s="183" t="str">
        <f>IFERROR(__xludf.DUMMYFUNCTION("QUERY('Volunteer Survey'!J318)"),"Variant Pathogenicity")</f>
        <v>Variant Pathogenicity</v>
      </c>
      <c r="AJ319" s="183" t="str">
        <f>IFERROR(__xludf.DUMMYFUNCTION("QUERY('Volunteer Survey'!K318)"),"Clinical Actionability")</f>
        <v>Clinical Actionability</v>
      </c>
      <c r="AK319" s="183" t="str">
        <f>IFERROR(__xludf.DUMMYFUNCTION("QUERY('Volunteer Survey'!L318)"),"Gene-Disease Validity")</f>
        <v>Gene-Disease Validity</v>
      </c>
      <c r="AL319" s="183" t="str">
        <f>IFERROR(__xludf.DUMMYFUNCTION("QUERY('Volunteer Survey'!M318)"),"Dosage Sensitivity")</f>
        <v>Dosage Sensitivity</v>
      </c>
      <c r="AM319" s="183" t="str">
        <f>IFERROR(__xludf.DUMMYFUNCTION("QUERY('Volunteer Survey'!N318)"),"Yes, currently working as an analyst for the manual review of variants and a member of our somatic cancer variant pathogenicity committee in St Jude Children's Clinical Genomics Team. ")</f>
        <v>Yes, currently working as an analyst for the manual review of variants and a member of our somatic cancer variant pathogenicity committee in St Jude Children's Clinical Genomics Team. </v>
      </c>
      <c r="AN319" s="183" t="str">
        <f>IFERROR(__xludf.DUMMYFUNCTION("QUERY('Volunteer Survey'!O318)"),"Possibly")</f>
        <v>Possibly</v>
      </c>
      <c r="AO319" s="183" t="str">
        <f>IFERROR(__xludf.DUMMYFUNCTION("QUERY('Volunteer Survey'!P318)"),"Yes, Somatic Cancer Pediatric Taskforce would be a good match")</f>
        <v>Yes, Somatic Cancer Pediatric Taskforce would be a good match</v>
      </c>
    </row>
    <row r="320">
      <c r="A320" s="50">
        <f>IFERROR(__xludf.DUMMYFUNCTION("QUERY('Volunteer Survey'!A329)"),43749.681813414354)</f>
        <v>43749.68181</v>
      </c>
      <c r="B320" s="48" t="s">
        <v>108</v>
      </c>
      <c r="C320" s="79">
        <v>43819.0</v>
      </c>
      <c r="D320" s="55"/>
      <c r="E320" s="55"/>
      <c r="F320" s="48" t="s">
        <v>130</v>
      </c>
      <c r="G320" s="48" t="s">
        <v>251</v>
      </c>
      <c r="H320" s="53"/>
      <c r="I320" s="53"/>
      <c r="J320" s="55"/>
      <c r="K320" s="55"/>
      <c r="L320" s="55" t="str">
        <f>IFERROR(__xludf.DUMMYFUNCTION("QUERY('Volunteer Survey'!B329)"),"Daniela Martiniuc")</f>
        <v>Daniela Martiniuc</v>
      </c>
      <c r="M320" s="55" t="str">
        <f>IFERROR(__xludf.DUMMYFUNCTION("QUERY('Volunteer Survey'!E329)"),"dmartiniuc@ucdavis.edu")</f>
        <v>dmartiniuc@ucdavis.edu</v>
      </c>
      <c r="N320" s="55" t="str">
        <f>IFERROR(__xludf.DUMMYFUNCTION("QUERY('Volunteer Survey'!F329)"),"Genetic counselor")</f>
        <v>Genetic counselor</v>
      </c>
      <c r="O320" s="48" t="str">
        <f>IFERROR(__xludf.DUMMYFUNCTION("QUERY('Volunteer Survey'!H329)"),"Comprehensive")</f>
        <v>Comprehensive</v>
      </c>
      <c r="P320" s="55" t="str">
        <f>IFERROR(__xludf.DUMMYFUNCTION("QUERY('Volunteer Survey'!I329)"),"Variant Pathogenicity")</f>
        <v>Variant Pathogenicity</v>
      </c>
      <c r="Q320" s="60" t="str">
        <f>IFERROR(__xludf.DUMMYFUNCTION("QUERY('Volunteer Survey'!J329)"),"Clinical Actionability")</f>
        <v>Clinical Actionability</v>
      </c>
      <c r="R320" s="55" t="str">
        <f>IFERROR(__xludf.DUMMYFUNCTION("QUERY('Volunteer Survey'!K329)"),"Gene-Disease Validity")</f>
        <v>Gene-Disease Validity</v>
      </c>
      <c r="S320" s="55" t="str">
        <f>IFERROR(__xludf.DUMMYFUNCTION("QUERY('Volunteer Survey'!L329)"),"")</f>
        <v/>
      </c>
      <c r="T320" s="55" t="str">
        <f>IFERROR(__xludf.DUMMYFUNCTION("QUERY('Volunteer Survey'!M329)"),"")</f>
        <v/>
      </c>
      <c r="U320" s="64" t="str">
        <f>IFERROR(__xludf.DUMMYFUNCTION("QUERY('Volunteer Survey'!N329)"),"I have no experience with curation")</f>
        <v>I have no experience with curation</v>
      </c>
      <c r="V320" s="55" t="str">
        <f>IFERROR(__xludf.DUMMYFUNCTION("QUERY('Volunteer Survey'!O329)"),"No")</f>
        <v>No</v>
      </c>
      <c r="W320" s="66" t="str">
        <f>IFERROR(__xludf.DUMMYFUNCTION("QUERY('Volunteer Survey'!P329)"),"")</f>
        <v/>
      </c>
      <c r="X320" s="64" t="str">
        <f>IFERROR(__xludf.DUMMYFUNCTION("QUERY('Volunteer Survey'!R329)"),"Maybe -- please contact me with other options, and I will decide based on what is available")</f>
        <v>Maybe -- please contact me with other options, and I will decide based on what is available</v>
      </c>
      <c r="Y320" s="53"/>
      <c r="Z320" s="182">
        <f>IFERROR(__xludf.DUMMYFUNCTION("QUERY('Volunteer Survey'!A319)"),43736.418810243056)</f>
        <v>43736.41881</v>
      </c>
      <c r="AA320" s="183" t="str">
        <f>IFERROR(__xludf.DUMMYFUNCTION("QUERY('Volunteer Survey'!B319)"),"Linlin Zhang")</f>
        <v>Linlin Zhang</v>
      </c>
      <c r="AB320" s="183" t="str">
        <f>IFERROR(__xludf.DUMMYFUNCTION("QUERY('Volunteer Survey'!C319)"),"The Third Affiliated Hospital of Zhengzhou University")</f>
        <v>The Third Affiliated Hospital of Zhengzhou University</v>
      </c>
      <c r="AC320" s="183" t="str">
        <f>IFERROR(__xludf.DUMMYFUNCTION("QUERY('Volunteer Survey'!D319)"),"7 Kangfu Qian Street, Zhengzhou, Henan, China")</f>
        <v>7 Kangfu Qian Street, Zhengzhou, Henan, China</v>
      </c>
      <c r="AD320" s="183" t="str">
        <f>IFERROR(__xludf.DUMMYFUNCTION("QUERY('Volunteer Survey'!E319)"),"linlinzhang277@gmail.com")</f>
        <v>linlinzhang277@gmail.com</v>
      </c>
      <c r="AE320" s="183" t="str">
        <f>IFERROR(__xludf.DUMMYFUNCTION("QUERY('Volunteer Survey'!F319)"),"Clinical laboratory geneticist")</f>
        <v>Clinical laboratory geneticist</v>
      </c>
      <c r="AF320" s="183" t="str">
        <f>IFERROR(__xludf.DUMMYFUNCTION("QUERY('Volunteer Survey'!G319)"),"ClinGen conference advertisements (i.e. booth, workshop, presentation), Networking, Colleagues")</f>
        <v>ClinGen conference advertisements (i.e. booth, workshop, presentation), Networking, Colleagues</v>
      </c>
      <c r="AG320" s="183" t="str">
        <f>IFERROR(__xludf.DUMMYFUNCTION("QUERY('Volunteer Survey'!H319)"),"Comprehensive")</f>
        <v>Comprehensive</v>
      </c>
      <c r="AH320" s="183" t="str">
        <f>IFERROR(__xludf.DUMMYFUNCTION("QUERY('Volunteer Survey'!I319)"),"Variant Pathogenicity")</f>
        <v>Variant Pathogenicity</v>
      </c>
      <c r="AI320" s="183" t="str">
        <f>IFERROR(__xludf.DUMMYFUNCTION("QUERY('Volunteer Survey'!J319)"),"Dosage Sensitivity")</f>
        <v>Dosage Sensitivity</v>
      </c>
      <c r="AJ320" s="183" t="str">
        <f>IFERROR(__xludf.DUMMYFUNCTION("QUERY('Volunteer Survey'!K319)"),"Gene-Disease Validity")</f>
        <v>Gene-Disease Validity</v>
      </c>
      <c r="AK320" s="183" t="str">
        <f>IFERROR(__xludf.DUMMYFUNCTION("QUERY('Volunteer Survey'!L319)"),"Clinical Actionability")</f>
        <v>Clinical Actionability</v>
      </c>
      <c r="AL320" s="183" t="str">
        <f>IFERROR(__xludf.DUMMYFUNCTION("QUERY('Volunteer Survey'!M319)"),"Somatic Cancer")</f>
        <v>Somatic Cancer</v>
      </c>
      <c r="AM320" s="183" t="str">
        <f>IFERROR(__xludf.DUMMYFUNCTION("QUERY('Volunteer Survey'!N319)"),"I am a director of clinical molecular and genetic lab of the Third Affliated Hospital of Zhengzhou University which is the largest maternal and children's hospital of Henan Province serving over 100 million population. I finish more than 30 CMA reports an"&amp;"d  4 variant pathogenic curation everyweek. I have 7 years of work experience in molecular genetic diagnosis, especially in the field of prenatal diagnosis.  Our Lab will finish about 200 Phenylketonuria molecular tests. These patients are from the newbor"&amp;"n screening center of Henan Province.")</f>
        <v>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v>
      </c>
      <c r="AN320" s="183" t="str">
        <f>IFERROR(__xludf.DUMMYFUNCTION("QUERY('Volunteer Survey'!O319)"),"Yes")</f>
        <v>Yes</v>
      </c>
      <c r="AO320" s="183" t="str">
        <f>IFERROR(__xludf.DUMMYFUNCTION("QUERY('Volunteer Survey'!P319)"),"Dosage Sensitivity Working Group  or Variant Curation Expert Panels in Phenylketonuria")</f>
        <v>Dosage Sensitivity Working Group  or Variant Curation Expert Panels in Phenylketonuria</v>
      </c>
    </row>
    <row r="321">
      <c r="A321" s="50">
        <f>IFERROR(__xludf.DUMMYFUNCTION("QUERY('Volunteer Survey'!A330)"),43753.641005324076)</f>
        <v>43753.64101</v>
      </c>
      <c r="B321" s="48" t="s">
        <v>322</v>
      </c>
      <c r="C321" s="53"/>
      <c r="D321" s="55"/>
      <c r="E321" s="55"/>
      <c r="F321" s="48" t="s">
        <v>130</v>
      </c>
      <c r="G321" s="48" t="s">
        <v>136</v>
      </c>
      <c r="H321" s="53"/>
      <c r="I321" s="53"/>
      <c r="J321" s="55"/>
      <c r="K321" s="55"/>
      <c r="L321" s="55" t="str">
        <f>IFERROR(__xludf.DUMMYFUNCTION("QUERY('Volunteer Survey'!B330)"),"Emilie Lalonde")</f>
        <v>Emilie Lalonde</v>
      </c>
      <c r="M321" s="55" t="str">
        <f>IFERROR(__xludf.DUMMYFUNCTION("QUERY('Volunteer Survey'!E330)"),"lalondee@email.chop.edu")</f>
        <v>lalondee@email.chop.edu</v>
      </c>
      <c r="N321" s="55" t="str">
        <f>IFERROR(__xludf.DUMMYFUNCTION("QUERY('Volunteer Survey'!F330)"),"Clinical laboratory geneticist")</f>
        <v>Clinical laboratory geneticist</v>
      </c>
      <c r="O321" s="48" t="str">
        <f>IFERROR(__xludf.DUMMYFUNCTION("QUERY('Volunteer Survey'!H330)"),"Comprehensive")</f>
        <v>Comprehensive</v>
      </c>
      <c r="P321" s="55" t="str">
        <f>IFERROR(__xludf.DUMMYFUNCTION("QUERY('Volunteer Survey'!I330)"),"Somatic Cancer")</f>
        <v>Somatic Cancer</v>
      </c>
      <c r="Q321" s="60" t="str">
        <f>IFERROR(__xludf.DUMMYFUNCTION("QUERY('Volunteer Survey'!J330)"),"Clinical Actionability")</f>
        <v>Clinical Actionability</v>
      </c>
      <c r="R321" s="55" t="str">
        <f>IFERROR(__xludf.DUMMYFUNCTION("QUERY('Volunteer Survey'!K330)"),"Gene-Disease Validity")</f>
        <v>Gene-Disease Validity</v>
      </c>
      <c r="S321" s="55" t="str">
        <f>IFERROR(__xludf.DUMMYFUNCTION("QUERY('Volunteer Survey'!L330)"),"Dosage Sensitivity")</f>
        <v>Dosage Sensitivity</v>
      </c>
      <c r="T321" s="55" t="str">
        <f>IFERROR(__xludf.DUMMYFUNCTION("QUERY('Volunteer Survey'!M330)"),"Variant Pathogenicity")</f>
        <v>Variant Pathogenicity</v>
      </c>
      <c r="U321" s="64" t="str">
        <f>IFERROR(__xludf.DUMMYFUNCTION("QUERY('Volunteer Survey'!N330)"),"Yes within CHOP/Penn labs for new test design and/or standard variant interpretation")</f>
        <v>Yes within CHOP/Penn labs for new test design and/or standard variant interpretation</v>
      </c>
      <c r="V321" s="55" t="str">
        <f>IFERROR(__xludf.DUMMYFUNCTION("QUERY('Volunteer Survey'!O330)"),"Possibly")</f>
        <v>Possibly</v>
      </c>
      <c r="W321" s="66" t="str">
        <f>IFERROR(__xludf.DUMMYFUNCTION("QUERY('Volunteer Survey'!P330)"),"Somatic cancer WG, hereditary cancer EP, RASopathy EP, Myeloid Malignancy EP, dosage hereditary cancer WG, others as needed")</f>
        <v>Somatic cancer WG, hereditary cancer EP, RASopathy EP, Myeloid Malignancy EP, dosage hereditary cancer WG, others as needed</v>
      </c>
      <c r="X321" s="64" t="str">
        <f>IFERROR(__xludf.DUMMYFUNCTION("QUERY('Volunteer Survey'!R330)"),"Maybe -- please contact me with other options, and I will decide based on what is available")</f>
        <v>Maybe -- please contact me with other options, and I will decide based on what is available</v>
      </c>
      <c r="Y321" s="53"/>
      <c r="Z321" s="182">
        <f>IFERROR(__xludf.DUMMYFUNCTION("QUERY('Volunteer Survey'!A320)"),43739.038227233796)</f>
        <v>43739.03823</v>
      </c>
      <c r="AA321" s="183" t="str">
        <f>IFERROR(__xludf.DUMMYFUNCTION("QUERY('Volunteer Survey'!B320)"),"Marco Montes de Oca")</f>
        <v>Marco Montes de Oca</v>
      </c>
      <c r="AB321" s="183" t="str">
        <f>IFERROR(__xludf.DUMMYFUNCTION("QUERY('Volunteer Survey'!C320)"),"The University of Melbourne")</f>
        <v>The University of Melbourne</v>
      </c>
      <c r="AC321" s="183" t="str">
        <f>IFERROR(__xludf.DUMMYFUNCTION("QUERY('Volunteer Survey'!D320)"),"40 Koornang Rd, Carnegie, Melbourne, VIC, Australia")</f>
        <v>40 Koornang Rd, Carnegie, Melbourne, VIC, Australia</v>
      </c>
      <c r="AD321" s="183" t="str">
        <f>IFERROR(__xludf.DUMMYFUNCTION("QUERY('Volunteer Survey'!E320)"),"montesm@student.unimelb.edu.au")</f>
        <v>montesm@student.unimelb.edu.au</v>
      </c>
      <c r="AE321" s="183" t="str">
        <f>IFERROR(__xludf.DUMMYFUNCTION("QUERY('Volunteer Survey'!F320)"),"Graduate Student")</f>
        <v>Graduate Student</v>
      </c>
      <c r="AF321" s="183" t="str">
        <f>IFERROR(__xludf.DUMMYFUNCTION("QUERY('Volunteer Survey'!G320)"),"The clinicalgenome.org website")</f>
        <v>The clinicalgenome.org website</v>
      </c>
      <c r="AG321" s="183" t="str">
        <f>IFERROR(__xludf.DUMMYFUNCTION("QUERY('Volunteer Survey'!H320)"),"Comprehensive")</f>
        <v>Comprehensive</v>
      </c>
      <c r="AH321" s="183" t="str">
        <f>IFERROR(__xludf.DUMMYFUNCTION("QUERY('Volunteer Survey'!I320)"),"Variant Pathogenicity")</f>
        <v>Variant Pathogenicity</v>
      </c>
      <c r="AI321" s="183" t="str">
        <f>IFERROR(__xludf.DUMMYFUNCTION("QUERY('Volunteer Survey'!J320)"),"Gene-Disease Validity")</f>
        <v>Gene-Disease Validity</v>
      </c>
      <c r="AJ321" s="183" t="str">
        <f>IFERROR(__xludf.DUMMYFUNCTION("QUERY('Volunteer Survey'!K320)"),"Dosage Sensitivity")</f>
        <v>Dosage Sensitivity</v>
      </c>
      <c r="AK321" s="183" t="str">
        <f>IFERROR(__xludf.DUMMYFUNCTION("QUERY('Volunteer Survey'!L320)"),"")</f>
        <v/>
      </c>
      <c r="AL321" s="183" t="str">
        <f>IFERROR(__xludf.DUMMYFUNCTION("QUERY('Volunteer Survey'!M320)"),"")</f>
        <v/>
      </c>
      <c r="AM321" s="183" t="str">
        <f>IFERROR(__xludf.DUMMYFUNCTION("QUERY('Volunteer Survey'!N320)"),"")</f>
        <v/>
      </c>
      <c r="AN321" s="183" t="str">
        <f>IFERROR(__xludf.DUMMYFUNCTION("QUERY('Volunteer Survey'!O320)"),"No")</f>
        <v>No</v>
      </c>
      <c r="AO321" s="183" t="str">
        <f>IFERROR(__xludf.DUMMYFUNCTION("QUERY('Volunteer Survey'!P320)"),"I am interested in the following working groups:
- Brain Malformations Variant Curation Expert Panel
- Mitochondrial Diseases Gene Curation Expert Panel")</f>
        <v>I am interested in the following working groups:
- Brain Malformations Variant Curation Expert Panel
- Mitochondrial Diseases Gene Curation Expert Panel</v>
      </c>
    </row>
    <row r="322">
      <c r="A322" s="50">
        <f>IFERROR(__xludf.DUMMYFUNCTION("QUERY('Volunteer Survey'!A331)"),43755.537383634255)</f>
        <v>43755.53738</v>
      </c>
      <c r="B322" s="48" t="s">
        <v>108</v>
      </c>
      <c r="C322" s="79">
        <v>43819.0</v>
      </c>
      <c r="D322" s="55"/>
      <c r="E322" s="55"/>
      <c r="F322" s="48" t="s">
        <v>130</v>
      </c>
      <c r="G322" s="48" t="s">
        <v>251</v>
      </c>
      <c r="H322" s="53"/>
      <c r="I322" s="53"/>
      <c r="J322" s="55"/>
      <c r="K322" s="55"/>
      <c r="L322" s="55" t="str">
        <f>IFERROR(__xludf.DUMMYFUNCTION("QUERY('Volunteer Survey'!B331)"),"Elizabeth Ewen")</f>
        <v>Elizabeth Ewen</v>
      </c>
      <c r="M322" s="55" t="str">
        <f>IFERROR(__xludf.DUMMYFUNCTION("QUERY('Volunteer Survey'!E331)"),"elizabeth.ewen@agilent.com")</f>
        <v>elizabeth.ewen@agilent.com</v>
      </c>
      <c r="N322" s="55" t="str">
        <f>IFERROR(__xludf.DUMMYFUNCTION("QUERY('Volunteer Survey'!F331)"),"Variant Analyst/Scientist - Industry")</f>
        <v>Variant Analyst/Scientist - Industry</v>
      </c>
      <c r="O322" s="48" t="str">
        <f>IFERROR(__xludf.DUMMYFUNCTION("QUERY('Volunteer Survey'!H331)"),"Comprehensive")</f>
        <v>Comprehensive</v>
      </c>
      <c r="P322" s="55" t="str">
        <f>IFERROR(__xludf.DUMMYFUNCTION("QUERY('Volunteer Survey'!I331)"),"Variant Pathogenicity")</f>
        <v>Variant Pathogenicity</v>
      </c>
      <c r="Q322" s="60" t="str">
        <f>IFERROR(__xludf.DUMMYFUNCTION("QUERY('Volunteer Survey'!J331)"),"Gene-Disease Validity")</f>
        <v>Gene-Disease Validity</v>
      </c>
      <c r="R322" s="55" t="str">
        <f>IFERROR(__xludf.DUMMYFUNCTION("QUERY('Volunteer Survey'!K331)"),"Clinical Actionability")</f>
        <v>Clinical Actionability</v>
      </c>
      <c r="S322" s="55" t="str">
        <f>IFERROR(__xludf.DUMMYFUNCTION("QUERY('Volunteer Survey'!L331)"),"Somatic Cancer")</f>
        <v>Somatic Cancer</v>
      </c>
      <c r="T322" s="55" t="str">
        <f>IFERROR(__xludf.DUMMYFUNCTION("QUERY('Volunteer Survey'!M331)"),"Dosage Sensitivity")</f>
        <v>Dosage Sensitivity</v>
      </c>
      <c r="U322" s="64" t="str">
        <f>IFERROR(__xludf.DUMMYFUNCTION("QUERY('Volunteer Survey'!N331)"),"Helping customers find clinically relevant/pathogenic variants")</f>
        <v>Helping customers find clinically relevant/pathogenic variants</v>
      </c>
      <c r="V322" s="55" t="str">
        <f>IFERROR(__xludf.DUMMYFUNCTION("QUERY('Volunteer Survey'!O331)"),"Possibly")</f>
        <v>Possibly</v>
      </c>
      <c r="W322" s="66" t="str">
        <f>IFERROR(__xludf.DUMMYFUNCTION("QUERY('Volunteer Survey'!P331)"),"")</f>
        <v/>
      </c>
      <c r="X322" s="64" t="str">
        <f>IFERROR(__xludf.DUMMYFUNCTION("QUERY('Volunteer Survey'!R331)"),"Yes- I am willing to volunteer with any available ClinGen group")</f>
        <v>Yes- I am willing to volunteer with any available ClinGen group</v>
      </c>
      <c r="Y322" s="53"/>
      <c r="Z322" s="182">
        <f>IFERROR(__xludf.DUMMYFUNCTION("QUERY('Volunteer Survey'!A321)"),43739.38035712963)</f>
        <v>43739.38036</v>
      </c>
      <c r="AA322" s="183" t="str">
        <f>IFERROR(__xludf.DUMMYFUNCTION("QUERY('Volunteer Survey'!B321)"),"Carolina Bustamante")</f>
        <v>Carolina Bustamante</v>
      </c>
      <c r="AB322" s="183" t="str">
        <f>IFERROR(__xludf.DUMMYFUNCTION("QUERY('Volunteer Survey'!C321)"),"Indegene")</f>
        <v>Indegene</v>
      </c>
      <c r="AC322" s="183" t="str">
        <f>IFERROR(__xludf.DUMMYFUNCTION("QUERY('Volunteer Survey'!D321)"),"Av. Rio Branco, 148. ")</f>
        <v>Av. Rio Branco, 148. </v>
      </c>
      <c r="AD322" s="183" t="str">
        <f>IFERROR(__xludf.DUMMYFUNCTION("QUERY('Volunteer Survey'!E321)"),"carolina.bustamante@gmail.com")</f>
        <v>carolina.bustamante@gmail.com</v>
      </c>
      <c r="AE322" s="183" t="str">
        <f>IFERROR(__xludf.DUMMYFUNCTION("QUERY('Volunteer Survey'!F321)"),"Clinical laboratory geneticist")</f>
        <v>Clinical laboratory geneticist</v>
      </c>
      <c r="AF322" s="183" t="str">
        <f>IFERROR(__xludf.DUMMYFUNCTION("QUERY('Volunteer Survey'!G321)"),"The clinicalgenome.org website")</f>
        <v>The clinicalgenome.org website</v>
      </c>
      <c r="AG322" s="183" t="str">
        <f>IFERROR(__xludf.DUMMYFUNCTION("QUERY('Volunteer Survey'!H321)"),"Baseline")</f>
        <v>Baseline</v>
      </c>
      <c r="AH322" s="183" t="str">
        <f>IFERROR(__xludf.DUMMYFUNCTION("QUERY('Volunteer Survey'!I321)"),"Somatic Cancer")</f>
        <v>Somatic Cancer</v>
      </c>
      <c r="AI322" s="183" t="str">
        <f>IFERROR(__xludf.DUMMYFUNCTION("QUERY('Volunteer Survey'!J321)"),"Variant Pathogenicity")</f>
        <v>Variant Pathogenicity</v>
      </c>
      <c r="AJ322" s="183" t="str">
        <f>IFERROR(__xludf.DUMMYFUNCTION("QUERY('Volunteer Survey'!K321)"),"Clinical Actionability")</f>
        <v>Clinical Actionability</v>
      </c>
      <c r="AK322" s="183" t="str">
        <f>IFERROR(__xludf.DUMMYFUNCTION("QUERY('Volunteer Survey'!L321)"),"Gene-Disease Validity")</f>
        <v>Gene-Disease Validity</v>
      </c>
      <c r="AL322" s="183" t="str">
        <f>IFERROR(__xludf.DUMMYFUNCTION("QUERY('Volunteer Survey'!M321)"),"Dosage Sensitivity")</f>
        <v>Dosage Sensitivity</v>
      </c>
      <c r="AM322" s="183" t="str">
        <f>IFERROR(__xludf.DUMMYFUNCTION("QUERY('Volunteer Survey'!N321)"),"Yes, I work in a clinical laboratory with NGS panels ")</f>
        <v>Yes, I work in a clinical laboratory with NGS panels </v>
      </c>
      <c r="AN322" s="183" t="str">
        <f>IFERROR(__xludf.DUMMYFUNCTION("QUERY('Volunteer Survey'!O321)"),"Possibly")</f>
        <v>Possibly</v>
      </c>
      <c r="AO322" s="183" t="str">
        <f>IFERROR(__xludf.DUMMYFUNCTION("QUERY('Volunteer Survey'!P321)"),"Cancer, lung cancer, Hereditary cancer, cardiomyopathy, TP53, colorectal cancer, genitourinary tract cancer")</f>
        <v>Cancer, lung cancer, Hereditary cancer, cardiomyopathy, TP53, colorectal cancer, genitourinary tract cancer</v>
      </c>
    </row>
    <row r="323">
      <c r="A323" s="50">
        <f>IFERROR(__xludf.DUMMYFUNCTION("QUERY('Volunteer Survey'!A332)"),43755.58982958333)</f>
        <v>43755.58983</v>
      </c>
      <c r="B323" s="48" t="s">
        <v>322</v>
      </c>
      <c r="C323" s="53"/>
      <c r="D323" s="55"/>
      <c r="E323" s="55"/>
      <c r="F323" s="48" t="s">
        <v>130</v>
      </c>
      <c r="G323" s="48" t="s">
        <v>313</v>
      </c>
      <c r="H323" s="53"/>
      <c r="I323" s="53"/>
      <c r="J323" s="55"/>
      <c r="K323" s="55"/>
      <c r="L323" s="55" t="str">
        <f>IFERROR(__xludf.DUMMYFUNCTION("QUERY('Volunteer Survey'!B332)"),"Brigette Brown-Kipphut")</f>
        <v>Brigette Brown-Kipphut</v>
      </c>
      <c r="M323" s="55" t="str">
        <f>IFERROR(__xludf.DUMMYFUNCTION("QUERY('Volunteer Survey'!E332)"),"brigette.kipphut@agilent.com")</f>
        <v>brigette.kipphut@agilent.com</v>
      </c>
      <c r="N323" s="55" t="str">
        <f>IFERROR(__xludf.DUMMYFUNCTION("QUERY('Volunteer Survey'!F332)"),"Variant Analyst/Scientist - Industry")</f>
        <v>Variant Analyst/Scientist - Industry</v>
      </c>
      <c r="O323" s="48" t="str">
        <f>IFERROR(__xludf.DUMMYFUNCTION("QUERY('Volunteer Survey'!H332)"),"Baseline")</f>
        <v>Baseline</v>
      </c>
      <c r="P323" s="55" t="str">
        <f>IFERROR(__xludf.DUMMYFUNCTION("QUERY('Volunteer Survey'!I332)"),"Variant Pathogenicity")</f>
        <v>Variant Pathogenicity</v>
      </c>
      <c r="Q323" s="60" t="str">
        <f>IFERROR(__xludf.DUMMYFUNCTION("QUERY('Volunteer Survey'!J332)"),"Gene-Disease Validity")</f>
        <v>Gene-Disease Validity</v>
      </c>
      <c r="R323" s="55" t="str">
        <f>IFERROR(__xludf.DUMMYFUNCTION("QUERY('Volunteer Survey'!K332)"),"Clinical Actionability")</f>
        <v>Clinical Actionability</v>
      </c>
      <c r="S323" s="55" t="str">
        <f>IFERROR(__xludf.DUMMYFUNCTION("QUERY('Volunteer Survey'!L332)"),"Somatic Cancer")</f>
        <v>Somatic Cancer</v>
      </c>
      <c r="T323" s="55" t="str">
        <f>IFERROR(__xludf.DUMMYFUNCTION("QUERY('Volunteer Survey'!M332)"),"Dosage Sensitivity")</f>
        <v>Dosage Sensitivity</v>
      </c>
      <c r="U323" s="64" t="str">
        <f>IFERROR(__xludf.DUMMYFUNCTION("QUERY('Volunteer Survey'!N332)"),"Yes - performed variant analysis for NGS at CHOP and internally at Agilent")</f>
        <v>Yes - performed variant analysis for NGS at CHOP and internally at Agilent</v>
      </c>
      <c r="V323" s="55" t="str">
        <f>IFERROR(__xludf.DUMMYFUNCTION("QUERY('Volunteer Survey'!O332)"),"Yes")</f>
        <v>Yes</v>
      </c>
      <c r="W323" s="66" t="str">
        <f>IFERROR(__xludf.DUMMYFUNCTION("QUERY('Volunteer Survey'!P332)"),"")</f>
        <v/>
      </c>
      <c r="X323" s="64" t="str">
        <f>IFERROR(__xludf.DUMMYFUNCTION("QUERY('Volunteer Survey'!R332)"),"Maybe -- please contact me with other options, and I will decide based on what is available")</f>
        <v>Maybe -- please contact me with other options, and I will decide based on what is available</v>
      </c>
      <c r="Y323" s="53"/>
      <c r="Z323" s="182">
        <f>IFERROR(__xludf.DUMMYFUNCTION("QUERY('Volunteer Survey'!A322)"),43739.46347385417)</f>
        <v>43739.46347</v>
      </c>
      <c r="AA323" s="183" t="str">
        <f>IFERROR(__xludf.DUMMYFUNCTION("QUERY('Volunteer Survey'!B322)"),"Alex Gout")</f>
        <v>Alex Gout</v>
      </c>
      <c r="AB323" s="183" t="str">
        <f>IFERROR(__xludf.DUMMYFUNCTION("QUERY('Volunteer Survey'!C322)"),"St. Jude Children's Research Hospital")</f>
        <v>St. Jude Children's Research Hospital</v>
      </c>
      <c r="AC323" s="183" t="str">
        <f>IFERROR(__xludf.DUMMYFUNCTION("QUERY('Volunteer Survey'!D322)"),"")</f>
        <v/>
      </c>
      <c r="AD323" s="183" t="str">
        <f>IFERROR(__xludf.DUMMYFUNCTION("QUERY('Volunteer Survey'!E322)"),"alex.gout@stjude.org")</f>
        <v>alex.gout@stjude.org</v>
      </c>
      <c r="AE323" s="183" t="str">
        <f>IFERROR(__xludf.DUMMYFUNCTION("QUERY('Volunteer Survey'!F322)"),"Scientific Researcher")</f>
        <v>Scientific Researcher</v>
      </c>
      <c r="AF323" s="183" t="str">
        <f>IFERROR(__xludf.DUMMYFUNCTION("QUERY('Volunteer Survey'!G322)"),"Networking")</f>
        <v>Networking</v>
      </c>
      <c r="AG323" s="183" t="str">
        <f>IFERROR(__xludf.DUMMYFUNCTION("QUERY('Volunteer Survey'!H322)"),"Baseline")</f>
        <v>Baseline</v>
      </c>
      <c r="AH323" s="183" t="str">
        <f>IFERROR(__xludf.DUMMYFUNCTION("QUERY('Volunteer Survey'!I322)"),"")</f>
        <v/>
      </c>
      <c r="AI323" s="183" t="str">
        <f>IFERROR(__xludf.DUMMYFUNCTION("QUERY('Volunteer Survey'!J322)"),"")</f>
        <v/>
      </c>
      <c r="AJ323" s="183" t="str">
        <f>IFERROR(__xludf.DUMMYFUNCTION("QUERY('Volunteer Survey'!K322)"),"")</f>
        <v/>
      </c>
      <c r="AK323" s="183" t="str">
        <f>IFERROR(__xludf.DUMMYFUNCTION("QUERY('Volunteer Survey'!L322)"),"")</f>
        <v/>
      </c>
      <c r="AL323" s="183" t="str">
        <f>IFERROR(__xludf.DUMMYFUNCTION("QUERY('Volunteer Survey'!M322)"),"")</f>
        <v/>
      </c>
      <c r="AM323" s="183" t="str">
        <f>IFERROR(__xludf.DUMMYFUNCTION("QUERY('Volunteer Survey'!N322)"),"")</f>
        <v/>
      </c>
      <c r="AN323" s="183" t="str">
        <f>IFERROR(__xludf.DUMMYFUNCTION("QUERY('Volunteer Survey'!O322)"),"Possibly")</f>
        <v>Possibly</v>
      </c>
      <c r="AO323" s="183" t="str">
        <f>IFERROR(__xludf.DUMMYFUNCTION("QUERY('Volunteer Survey'!P322)"),"somatic cancer working group - pediatric")</f>
        <v>somatic cancer working group - pediatric</v>
      </c>
    </row>
    <row r="324">
      <c r="A324" s="50">
        <f>IFERROR(__xludf.DUMMYFUNCTION("QUERY('Volunteer Survey'!A333)"),43755.77478533565)</f>
        <v>43755.77479</v>
      </c>
      <c r="B324" s="48" t="s">
        <v>322</v>
      </c>
      <c r="C324" s="53"/>
      <c r="D324" s="55"/>
      <c r="E324" s="55"/>
      <c r="F324" s="48" t="s">
        <v>130</v>
      </c>
      <c r="G324" s="48" t="s">
        <v>136</v>
      </c>
      <c r="H324" s="53"/>
      <c r="I324" s="53"/>
      <c r="J324" s="55"/>
      <c r="K324" s="55"/>
      <c r="L324" s="55" t="str">
        <f>IFERROR(__xludf.DUMMYFUNCTION("QUERY('Volunteer Survey'!B333)"),"KC Vavra")</f>
        <v>KC Vavra</v>
      </c>
      <c r="M324" s="55" t="str">
        <f>IFERROR(__xludf.DUMMYFUNCTION("QUERY('Volunteer Survey'!E333)"),"kc.vavra@agilent.com")</f>
        <v>kc.vavra@agilent.com</v>
      </c>
      <c r="N324" s="55" t="str">
        <f>IFERROR(__xludf.DUMMYFUNCTION("QUERY('Volunteer Survey'!F333)"),"Citizen Scientist/Patient Advocate")</f>
        <v>Citizen Scientist/Patient Advocate</v>
      </c>
      <c r="O324" s="48" t="str">
        <f>IFERROR(__xludf.DUMMYFUNCTION("QUERY('Volunteer Survey'!H333)"),"Comprehensive")</f>
        <v>Comprehensive</v>
      </c>
      <c r="P324" s="55" t="str">
        <f>IFERROR(__xludf.DUMMYFUNCTION("QUERY('Volunteer Survey'!I333)"),"Somatic Cancer")</f>
        <v>Somatic Cancer</v>
      </c>
      <c r="Q324" s="60" t="str">
        <f>IFERROR(__xludf.DUMMYFUNCTION("QUERY('Volunteer Survey'!J333)"),"Gene-Disease Validity")</f>
        <v>Gene-Disease Validity</v>
      </c>
      <c r="R324" s="55" t="str">
        <f>IFERROR(__xludf.DUMMYFUNCTION("QUERY('Volunteer Survey'!K333)"),"Clinical Actionability")</f>
        <v>Clinical Actionability</v>
      </c>
      <c r="S324" s="55" t="str">
        <f>IFERROR(__xludf.DUMMYFUNCTION("QUERY('Volunteer Survey'!L333)"),"Dosage Sensitivity")</f>
        <v>Dosage Sensitivity</v>
      </c>
      <c r="T324" s="55" t="str">
        <f>IFERROR(__xludf.DUMMYFUNCTION("QUERY('Volunteer Survey'!M333)"),"Variant Pathogenicity")</f>
        <v>Variant Pathogenicity</v>
      </c>
      <c r="U324" s="64" t="str">
        <f>IFERROR(__xludf.DUMMYFUNCTION("QUERY('Volunteer Survey'!N333)"),"Variant curation in tumor/normal matched samples in ovarian cancer for a private database. Currently assisting customers or Agilent with various curation databases and understanding of curated variants.")</f>
        <v>Variant curation in tumor/normal matched samples in ovarian cancer for a private database. Currently assisting customers or Agilent with various curation databases and understanding of curated variants.</v>
      </c>
      <c r="V324" s="55" t="str">
        <f>IFERROR(__xludf.DUMMYFUNCTION("QUERY('Volunteer Survey'!O333)"),"Possibly")</f>
        <v>Possibly</v>
      </c>
      <c r="W324" s="66" t="str">
        <f>IFERROR(__xludf.DUMMYFUNCTION("QUERY('Volunteer Survey'!P333)"),"")</f>
        <v/>
      </c>
      <c r="X324" s="64" t="str">
        <f>IFERROR(__xludf.DUMMYFUNCTION("QUERY('Volunteer Survey'!R333)"),"Maybe -- please contact me with other options, and I will decide based on what is available")</f>
        <v>Maybe -- please contact me with other options, and I will decide based on what is available</v>
      </c>
      <c r="Y324" s="53"/>
      <c r="Z324" s="182">
        <f>IFERROR(__xludf.DUMMYFUNCTION("QUERY('Volunteer Survey'!A323)"),43742.05410947916)</f>
        <v>43742.05411</v>
      </c>
      <c r="AA324" s="183" t="str">
        <f>IFERROR(__xludf.DUMMYFUNCTION("QUERY('Volunteer Survey'!B323)"),"Kim Phuong Tong")</f>
        <v>Kim Phuong Tong</v>
      </c>
      <c r="AB324" s="183" t="str">
        <f>IFERROR(__xludf.DUMMYFUNCTION("QUERY('Volunteer Survey'!C323)"),"Former Research Supervisor, University of MD")</f>
        <v>Former Research Supervisor, University of MD</v>
      </c>
      <c r="AC324" s="183" t="str">
        <f>IFERROR(__xludf.DUMMYFUNCTION("QUERY('Volunteer Survey'!D323)"),"1930 Stomeleaf Dr Tyler, TX 75703")</f>
        <v>1930 Stomeleaf Dr Tyler, TX 75703</v>
      </c>
      <c r="AD324" s="183" t="str">
        <f>IFERROR(__xludf.DUMMYFUNCTION("QUERY('Volunteer Survey'!E323)"),"ktongpotter@yahoo.com")</f>
        <v>ktongpotter@yahoo.com</v>
      </c>
      <c r="AE324" s="183" t="str">
        <f>IFERROR(__xludf.DUMMYFUNCTION("QUERY('Volunteer Survey'!F323)"),"Citizen Scientist/Patient Advocate")</f>
        <v>Citizen Scientist/Patient Advocate</v>
      </c>
      <c r="AF324" s="183" t="str">
        <f>IFERROR(__xludf.DUMMYFUNCTION("QUERY('Volunteer Survey'!G323)"),"Toni Pollin, PhD")</f>
        <v>Toni Pollin, PhD</v>
      </c>
      <c r="AG324" s="183" t="str">
        <f>IFERROR(__xludf.DUMMYFUNCTION("QUERY('Volunteer Survey'!H323)"),"Baseline")</f>
        <v>Baseline</v>
      </c>
      <c r="AH324" s="183" t="str">
        <f>IFERROR(__xludf.DUMMYFUNCTION("QUERY('Volunteer Survey'!I323)"),"Gene-Disease Validity")</f>
        <v>Gene-Disease Validity</v>
      </c>
      <c r="AI324" s="183" t="str">
        <f>IFERROR(__xludf.DUMMYFUNCTION("QUERY('Volunteer Survey'!J323)"),"Clinical Actionability")</f>
        <v>Clinical Actionability</v>
      </c>
      <c r="AJ324" s="183" t="str">
        <f>IFERROR(__xludf.DUMMYFUNCTION("QUERY('Volunteer Survey'!K323)"),"Variant Pathogenicity")</f>
        <v>Variant Pathogenicity</v>
      </c>
      <c r="AK324" s="183" t="str">
        <f>IFERROR(__xludf.DUMMYFUNCTION("QUERY('Volunteer Survey'!L323)"),"")</f>
        <v/>
      </c>
      <c r="AL324" s="183" t="str">
        <f>IFERROR(__xludf.DUMMYFUNCTION("QUERY('Volunteer Survey'!M323)"),"")</f>
        <v/>
      </c>
      <c r="AM324" s="183" t="str">
        <f>IFERROR(__xludf.DUMMYFUNCTION("QUERY('Volunteer Survey'!N323)"),"")</f>
        <v/>
      </c>
      <c r="AN324" s="183" t="str">
        <f>IFERROR(__xludf.DUMMYFUNCTION("QUERY('Volunteer Survey'!O323)"),"Possibly")</f>
        <v>Possibly</v>
      </c>
      <c r="AO324" s="183" t="str">
        <f>IFERROR(__xludf.DUMMYFUNCTION("QUERY('Volunteer Survey'!P323)"),"")</f>
        <v/>
      </c>
    </row>
    <row r="325">
      <c r="A325" s="50">
        <f>IFERROR(__xludf.DUMMYFUNCTION("QUERY('Volunteer Survey'!A334)"),43756.68047160879)</f>
        <v>43756.68047</v>
      </c>
      <c r="B325" s="48" t="s">
        <v>322</v>
      </c>
      <c r="C325" s="53"/>
      <c r="D325" s="55"/>
      <c r="E325" s="55"/>
      <c r="F325" s="48" t="s">
        <v>130</v>
      </c>
      <c r="G325" s="48" t="s">
        <v>313</v>
      </c>
      <c r="H325" s="53"/>
      <c r="I325" s="53"/>
      <c r="J325" s="55"/>
      <c r="K325" s="55"/>
      <c r="L325" s="55" t="str">
        <f>IFERROR(__xludf.DUMMYFUNCTION("QUERY('Volunteer Survey'!B334)"),"Chisato Yamasaki")</f>
        <v>Chisato Yamasaki</v>
      </c>
      <c r="M325" s="55" t="str">
        <f>IFERROR(__xludf.DUMMYFUNCTION("QUERY('Volunteer Survey'!E334)"),"cyamasak@eth.med.osaka-u.ac.jp")</f>
        <v>cyamasak@eth.med.osaka-u.ac.jp</v>
      </c>
      <c r="N325" s="55" t="str">
        <f>IFERROR(__xludf.DUMMYFUNCTION("QUERY('Volunteer Survey'!F334)"),"Post Doc/Resident/Fellow (MD and/or PhD)")</f>
        <v>Post Doc/Resident/Fellow (MD and/or PhD)</v>
      </c>
      <c r="O325" s="48" t="str">
        <f>IFERROR(__xludf.DUMMYFUNCTION("QUERY('Volunteer Survey'!H334)"),"Baseline")</f>
        <v>Baseline</v>
      </c>
      <c r="P325" s="55" t="str">
        <f>IFERROR(__xludf.DUMMYFUNCTION("QUERY('Volunteer Survey'!I334)"),"Gene-Disease Validity")</f>
        <v>Gene-Disease Validity</v>
      </c>
      <c r="Q325" s="60" t="str">
        <f>IFERROR(__xludf.DUMMYFUNCTION("QUERY('Volunteer Survey'!J334)"),"Variant Pathogenicity")</f>
        <v>Variant Pathogenicity</v>
      </c>
      <c r="R325" s="55" t="str">
        <f>IFERROR(__xludf.DUMMYFUNCTION("QUERY('Volunteer Survey'!K334)"),"Clinical Actionability")</f>
        <v>Clinical Actionability</v>
      </c>
      <c r="S325" s="55" t="str">
        <f>IFERROR(__xludf.DUMMYFUNCTION("QUERY('Volunteer Survey'!L334)"),"")</f>
        <v/>
      </c>
      <c r="T325" s="55" t="str">
        <f>IFERROR(__xludf.DUMMYFUNCTION("QUERY('Volunteer Survey'!M334)"),"")</f>
        <v/>
      </c>
      <c r="U325" s="64" t="str">
        <f>IFERROR(__xludf.DUMMYFUNCTION("QUERY('Volunteer Survey'!N334)"),"H-inv")</f>
        <v>H-inv</v>
      </c>
      <c r="V325" s="55" t="str">
        <f>IFERROR(__xludf.DUMMYFUNCTION("QUERY('Volunteer Survey'!O334)"),"Yes")</f>
        <v>Yes</v>
      </c>
      <c r="W325" s="66" t="str">
        <f>IFERROR(__xludf.DUMMYFUNCTION("QUERY('Volunteer Survey'!P334)"),"")</f>
        <v/>
      </c>
      <c r="X325" s="64" t="str">
        <f>IFERROR(__xludf.DUMMYFUNCTION("QUERY('Volunteer Survey'!R334)"),"No - I am only interested in the group(s) I previously indicated")</f>
        <v>No - I am only interested in the group(s) I previously indicated</v>
      </c>
      <c r="Y325" s="53"/>
      <c r="Z325" s="182">
        <f>IFERROR(__xludf.DUMMYFUNCTION("QUERY('Volunteer Survey'!A324)"),43742.66885350695)</f>
        <v>43742.66885</v>
      </c>
      <c r="AA325" s="183" t="str">
        <f>IFERROR(__xludf.DUMMYFUNCTION("QUERY('Volunteer Survey'!B324)"),"Heather Harris")</f>
        <v>Heather Harris</v>
      </c>
      <c r="AB325" s="183" t="str">
        <f>IFERROR(__xludf.DUMMYFUNCTION("QUERY('Volunteer Survey'!C324)"),"Ancestry")</f>
        <v>Ancestry</v>
      </c>
      <c r="AC325" s="183" t="str">
        <f>IFERROR(__xludf.DUMMYFUNCTION("QUERY('Volunteer Survey'!D324)"),"3133 Texas St Oakland, CA, 94602")</f>
        <v>3133 Texas St Oakland, CA, 94602</v>
      </c>
      <c r="AD325" s="183" t="str">
        <f>IFERROR(__xludf.DUMMYFUNCTION("QUERY('Volunteer Survey'!E324)"),"heatherkharris1@gmail.com")</f>
        <v>heatherkharris1@gmail.com</v>
      </c>
      <c r="AE325" s="183" t="str">
        <f>IFERROR(__xludf.DUMMYFUNCTION("QUERY('Volunteer Survey'!F324)"),"Genetic counselor")</f>
        <v>Genetic counselor</v>
      </c>
      <c r="AF325" s="183" t="str">
        <f>IFERROR(__xludf.DUMMYFUNCTION("QUERY('Volunteer Survey'!G324)"),"Conference")</f>
        <v>Conference</v>
      </c>
      <c r="AG325" s="183" t="str">
        <f>IFERROR(__xludf.DUMMYFUNCTION("QUERY('Volunteer Survey'!H324)"),"Comprehensive")</f>
        <v>Comprehensive</v>
      </c>
      <c r="AH325" s="183" t="str">
        <f>IFERROR(__xludf.DUMMYFUNCTION("QUERY('Volunteer Survey'!I324)"),"Variant Pathogenicity")</f>
        <v>Variant Pathogenicity</v>
      </c>
      <c r="AI325" s="183" t="str">
        <f>IFERROR(__xludf.DUMMYFUNCTION("QUERY('Volunteer Survey'!J324)"),"Clinical Actionability")</f>
        <v>Clinical Actionability</v>
      </c>
      <c r="AJ325" s="183" t="str">
        <f>IFERROR(__xludf.DUMMYFUNCTION("QUERY('Volunteer Survey'!K324)"),"Gene-Disease Validity")</f>
        <v>Gene-Disease Validity</v>
      </c>
      <c r="AK325" s="183" t="str">
        <f>IFERROR(__xludf.DUMMYFUNCTION("QUERY('Volunteer Survey'!L324)"),"Somatic Cancer")</f>
        <v>Somatic Cancer</v>
      </c>
      <c r="AL325" s="183" t="str">
        <f>IFERROR(__xludf.DUMMYFUNCTION("QUERY('Volunteer Survey'!M324)"),"Dosage Sensitivity")</f>
        <v>Dosage Sensitivity</v>
      </c>
      <c r="AM325" s="183" t="str">
        <f>IFERROR(__xludf.DUMMYFUNCTION("QUERY('Volunteer Survey'!N324)"),"Limited experience with creating variant descriptions for lab report writing. ")</f>
        <v>Limited experience with creating variant descriptions for lab report writing. </v>
      </c>
      <c r="AN325" s="183" t="str">
        <f>IFERROR(__xludf.DUMMYFUNCTION("QUERY('Volunteer Survey'!O324)"),"No")</f>
        <v>No</v>
      </c>
      <c r="AO325" s="183" t="str">
        <f>IFERROR(__xludf.DUMMYFUNCTION("QUERY('Volunteer Survey'!P324)"),"I am open to any opportunity.")</f>
        <v>I am open to any opportunity.</v>
      </c>
    </row>
    <row r="326">
      <c r="A326" s="50">
        <f>IFERROR(__xludf.DUMMYFUNCTION("QUERY('Volunteer Survey'!A335)"),43758.702828981484)</f>
        <v>43758.70283</v>
      </c>
      <c r="B326" s="48" t="s">
        <v>108</v>
      </c>
      <c r="C326" s="79">
        <v>43819.0</v>
      </c>
      <c r="D326" s="73">
        <v>43846.0</v>
      </c>
      <c r="E326" s="48" t="s">
        <v>117</v>
      </c>
      <c r="F326" s="48" t="s">
        <v>130</v>
      </c>
      <c r="G326" s="48" t="s">
        <v>122</v>
      </c>
      <c r="H326" s="53"/>
      <c r="I326" s="53"/>
      <c r="J326" s="55"/>
      <c r="K326" s="55"/>
      <c r="L326" s="55" t="str">
        <f>IFERROR(__xludf.DUMMYFUNCTION("QUERY('Volunteer Survey'!B335)"),"Beth Stronach")</f>
        <v>Beth Stronach</v>
      </c>
      <c r="M326" s="55" t="str">
        <f>IFERROR(__xludf.DUMMYFUNCTION("QUERY('Volunteer Survey'!E335)"),"stronach@pitt.edu")</f>
        <v>stronach@pitt.edu</v>
      </c>
      <c r="N326" s="55" t="str">
        <f>IFERROR(__xludf.DUMMYFUNCTION("QUERY('Volunteer Survey'!F335)"),"Scientific Researcher")</f>
        <v>Scientific Researcher</v>
      </c>
      <c r="O326" s="48" t="str">
        <f>IFERROR(__xludf.DUMMYFUNCTION("QUERY('Volunteer Survey'!H335)"),"Comprehensive")</f>
        <v>Comprehensive</v>
      </c>
      <c r="P326" s="55" t="str">
        <f>IFERROR(__xludf.DUMMYFUNCTION("QUERY('Volunteer Survey'!I335)"),"Gene-Disease Validity")</f>
        <v>Gene-Disease Validity</v>
      </c>
      <c r="Q326" s="60" t="str">
        <f>IFERROR(__xludf.DUMMYFUNCTION("QUERY('Volunteer Survey'!J335)"),"Variant Pathogenicity")</f>
        <v>Variant Pathogenicity</v>
      </c>
      <c r="R326" s="55" t="str">
        <f>IFERROR(__xludf.DUMMYFUNCTION("QUERY('Volunteer Survey'!K335)"),"Clinical Actionability")</f>
        <v>Clinical Actionability</v>
      </c>
      <c r="S326" s="55" t="str">
        <f>IFERROR(__xludf.DUMMYFUNCTION("QUERY('Volunteer Survey'!L335)"),"Somatic Cancer")</f>
        <v>Somatic Cancer</v>
      </c>
      <c r="T326" s="55" t="str">
        <f>IFERROR(__xludf.DUMMYFUNCTION("QUERY('Volunteer Survey'!M335)"),"Dosage Sensitivity")</f>
        <v>Dosage Sensitivity</v>
      </c>
      <c r="U326" s="64" t="str">
        <f>IFERROR(__xludf.DUMMYFUNCTION("QUERY('Volunteer Survey'!N335)"),"Not formally, but as a practicing basic research scientist for over a decade, and a molecular biologist and developmental geneticist by training, I could be useful.")</f>
        <v>Not formally, but as a practicing basic research scientist for over a decade, and a molecular biologist and developmental geneticist by training, I could be useful.</v>
      </c>
      <c r="V326" s="55" t="str">
        <f>IFERROR(__xludf.DUMMYFUNCTION("QUERY('Volunteer Survey'!O335)"),"Possibly")</f>
        <v>Possibly</v>
      </c>
      <c r="W326" s="66" t="str">
        <f>IFERROR(__xludf.DUMMYFUNCTION("QUERY('Volunteer Survey'!P335)"),"RASopathy, neurodevelopmental, or myopathy groups")</f>
        <v>RASopathy, neurodevelopmental, or myopathy groups</v>
      </c>
      <c r="X326" s="64" t="str">
        <f>IFERROR(__xludf.DUMMYFUNCTION("QUERY('Volunteer Survey'!R335)"),"Yes- I am willing to volunteer with any available ClinGen group")</f>
        <v>Yes- I am willing to volunteer with any available ClinGen group</v>
      </c>
      <c r="Y326" s="53"/>
      <c r="Z326" s="182">
        <f>IFERROR(__xludf.DUMMYFUNCTION("QUERY('Volunteer Survey'!A325)"),43744.75477740741)</f>
        <v>43744.75478</v>
      </c>
      <c r="AA326" s="183" t="str">
        <f>IFERROR(__xludf.DUMMYFUNCTION("QUERY('Volunteer Survey'!B325)"),"C. Anwar A. Chahal")</f>
        <v>C. Anwar A. Chahal</v>
      </c>
      <c r="AB326" s="183" t="str">
        <f>IFERROR(__xludf.DUMMYFUNCTION("QUERY('Volunteer Survey'!C325)"),"University of Pennsylvania")</f>
        <v>University of Pennsylvania</v>
      </c>
      <c r="AC326" s="183" t="str">
        <f>IFERROR(__xludf.DUMMYFUNCTION("QUERY('Volunteer Survey'!D325)"),"3400 Spruce Street, Philadelphia, PA 19104")</f>
        <v>3400 Spruce Street, Philadelphia, PA 19104</v>
      </c>
      <c r="AD326" s="183" t="str">
        <f>IFERROR(__xludf.DUMMYFUNCTION("QUERY('Volunteer Survey'!E325)"),"anwar.chahal@uphs.upenn.edu")</f>
        <v>anwar.chahal@uphs.upenn.edu</v>
      </c>
      <c r="AE326" s="183" t="str">
        <f>IFERROR(__xludf.DUMMYFUNCTION("QUERY('Volunteer Survey'!F325)"),"Clinician Scientist, EP and Inherited CV Diseases, in final year clinical EP Fellowship")</f>
        <v>Clinician Scientist, EP and Inherited CV Diseases, in final year clinical EP Fellowship</v>
      </c>
      <c r="AF326" s="183" t="str">
        <f>IFERROR(__xludf.DUMMYFUNCTION("QUERY('Volunteer Survey'!G325)"),"ASHG 2019, Colleagues, Suggestion from mentor")</f>
        <v>ASHG 2019, Colleagues, Suggestion from mentor</v>
      </c>
      <c r="AG326" s="183" t="str">
        <f>IFERROR(__xludf.DUMMYFUNCTION("QUERY('Volunteer Survey'!H325)"),"Baseline")</f>
        <v>Baseline</v>
      </c>
      <c r="AH326" s="183" t="str">
        <f>IFERROR(__xludf.DUMMYFUNCTION("QUERY('Volunteer Survey'!I325)"),"Variant Pathogenicity")</f>
        <v>Variant Pathogenicity</v>
      </c>
      <c r="AI326" s="183" t="str">
        <f>IFERROR(__xludf.DUMMYFUNCTION("QUERY('Volunteer Survey'!J325)"),"Gene-Disease Validity")</f>
        <v>Gene-Disease Validity</v>
      </c>
      <c r="AJ326" s="183" t="str">
        <f>IFERROR(__xludf.DUMMYFUNCTION("QUERY('Volunteer Survey'!K325)"),"Clinical Actionability")</f>
        <v>Clinical Actionability</v>
      </c>
      <c r="AK326" s="183" t="str">
        <f>IFERROR(__xludf.DUMMYFUNCTION("QUERY('Volunteer Survey'!L325)"),"")</f>
        <v/>
      </c>
      <c r="AL326" s="183" t="str">
        <f>IFERROR(__xludf.DUMMYFUNCTION("QUERY('Volunteer Survey'!M325)"),"")</f>
        <v/>
      </c>
      <c r="AM326" s="183" t="str">
        <f>IFERROR(__xludf.DUMMYFUNCTION("QUERY('Volunteer Survey'!N325)"),"Not curation, experience in geneomics (PhD, American Heart Association)")</f>
        <v>Not curation, experience in geneomics (PhD, American Heart Association)</v>
      </c>
      <c r="AN326" s="183" t="str">
        <f>IFERROR(__xludf.DUMMYFUNCTION("QUERY('Volunteer Survey'!O325)"),"Possibly")</f>
        <v>Possibly</v>
      </c>
      <c r="AO326" s="183" t="str">
        <f>IFERROR(__xludf.DUMMYFUNCTION("QUERY('Volunteer Survey'!P325)"),"Congenital myopathies, Cardiomyopathy* (these are my areas of expertise/interest)")</f>
        <v>Congenital myopathies, Cardiomyopathy* (these are my areas of expertise/interest)</v>
      </c>
    </row>
    <row r="327">
      <c r="A327" s="50">
        <f>IFERROR(__xludf.DUMMYFUNCTION("QUERY('Volunteer Survey'!A336)"),43759.36184341435)</f>
        <v>43759.36184</v>
      </c>
      <c r="B327" s="48" t="s">
        <v>322</v>
      </c>
      <c r="C327" s="53"/>
      <c r="D327" s="55"/>
      <c r="E327" s="55"/>
      <c r="F327" s="48" t="s">
        <v>130</v>
      </c>
      <c r="G327" s="48" t="s">
        <v>136</v>
      </c>
      <c r="H327" s="53"/>
      <c r="I327" s="53"/>
      <c r="J327" s="55"/>
      <c r="K327" s="55"/>
      <c r="L327" s="55" t="str">
        <f>IFERROR(__xludf.DUMMYFUNCTION("QUERY('Volunteer Survey'!B336)"),"Eileen Chen")</f>
        <v>Eileen Chen</v>
      </c>
      <c r="M327" s="55" t="str">
        <f>IFERROR(__xludf.DUMMYFUNCTION("QUERY('Volunteer Survey'!E336)"),"eileen.chen.x.q@sgh.com.sg")</f>
        <v>eileen.chen.x.q@sgh.com.sg</v>
      </c>
      <c r="N327" s="55" t="str">
        <f>IFERROR(__xludf.DUMMYFUNCTION("QUERY('Volunteer Survey'!F336)"),"Variant Analyst/Scientist - Academic")</f>
        <v>Variant Analyst/Scientist - Academic</v>
      </c>
      <c r="O327" s="48" t="str">
        <f>IFERROR(__xludf.DUMMYFUNCTION("QUERY('Volunteer Survey'!H336)"),"Comprehensive")</f>
        <v>Comprehensive</v>
      </c>
      <c r="P327" s="55" t="str">
        <f>IFERROR(__xludf.DUMMYFUNCTION("QUERY('Volunteer Survey'!I336)"),"Somatic Cancer")</f>
        <v>Somatic Cancer</v>
      </c>
      <c r="Q327" s="60" t="str">
        <f>IFERROR(__xludf.DUMMYFUNCTION("QUERY('Volunteer Survey'!J336)"),"Clinical Actionability")</f>
        <v>Clinical Actionability</v>
      </c>
      <c r="R327" s="55" t="str">
        <f>IFERROR(__xludf.DUMMYFUNCTION("QUERY('Volunteer Survey'!K336)"),"Dosage Sensitivity")</f>
        <v>Dosage Sensitivity</v>
      </c>
      <c r="S327" s="55" t="str">
        <f>IFERROR(__xludf.DUMMYFUNCTION("QUERY('Volunteer Survey'!L336)"),"Variant Pathogenicity")</f>
        <v>Variant Pathogenicity</v>
      </c>
      <c r="T327" s="55" t="str">
        <f>IFERROR(__xludf.DUMMYFUNCTION("QUERY('Volunteer Survey'!M336)"),"Gene-Disease Validity")</f>
        <v>Gene-Disease Validity</v>
      </c>
      <c r="U327" s="64" t="str">
        <f>IFERROR(__xludf.DUMMYFUNCTION("QUERY('Volunteer Survey'!N336)"),"No, only minimal training. ")</f>
        <v>No, only minimal training. </v>
      </c>
      <c r="V327" s="55" t="str">
        <f>IFERROR(__xludf.DUMMYFUNCTION("QUERY('Volunteer Survey'!O336)"),"Yes")</f>
        <v>Yes</v>
      </c>
      <c r="W327" s="66" t="str">
        <f>IFERROR(__xludf.DUMMYFUNCTION("QUERY('Volunteer Survey'!P336)"),"Yes. Somatic Cancer Working Group as the first choice.")</f>
        <v>Yes. Somatic Cancer Working Group as the first choice.</v>
      </c>
      <c r="X327" s="64" t="str">
        <f>IFERROR(__xludf.DUMMYFUNCTION("QUERY('Volunteer Survey'!R336)"),"Yes- I am willing to volunteer with any available ClinGen group")</f>
        <v>Yes- I am willing to volunteer with any available ClinGen group</v>
      </c>
      <c r="Y327" s="53"/>
      <c r="Z327" s="182">
        <f>IFERROR(__xludf.DUMMYFUNCTION("QUERY('Volunteer Survey'!A326)"),43745.65172986111)</f>
        <v>43745.65173</v>
      </c>
      <c r="AA327" s="183" t="str">
        <f>IFERROR(__xludf.DUMMYFUNCTION("QUERY('Volunteer Survey'!B326)"),"Kaitlin Lenhart")</f>
        <v>Kaitlin Lenhart</v>
      </c>
      <c r="AB327" s="183" t="str">
        <f>IFERROR(__xludf.DUMMYFUNCTION("QUERY('Volunteer Survey'!C326)"),"University of Wisconsin - Madison")</f>
        <v>University of Wisconsin - Madison</v>
      </c>
      <c r="AC327" s="183" t="str">
        <f>IFERROR(__xludf.DUMMYFUNCTION("QUERY('Volunteer Survey'!D326)"),"465 Henry Mall, HMS-411, Madison WI, 53706")</f>
        <v>465 Henry Mall, HMS-411, Madison WI, 53706</v>
      </c>
      <c r="AD327" s="183" t="str">
        <f>IFERROR(__xludf.DUMMYFUNCTION("QUERY('Volunteer Survey'!E326)"),"kaitlin.lenhart@slh.wisc.edu")</f>
        <v>kaitlin.lenhart@slh.wisc.edu</v>
      </c>
      <c r="AE327" s="183" t="str">
        <f>IFERROR(__xludf.DUMMYFUNCTION("QUERY('Volunteer Survey'!F326)"),"Clinical laboratory geneticist")</f>
        <v>Clinical laboratory geneticist</v>
      </c>
      <c r="AF327" s="183" t="str">
        <f>IFERROR(__xludf.DUMMYFUNCTION("QUERY('Volunteer Survey'!G326)"),"ACMG Conference 2019")</f>
        <v>ACMG Conference 2019</v>
      </c>
      <c r="AG327" s="183" t="str">
        <f>IFERROR(__xludf.DUMMYFUNCTION("QUERY('Volunteer Survey'!H326)"),"Comprehensive")</f>
        <v>Comprehensive</v>
      </c>
      <c r="AH327" s="183" t="str">
        <f>IFERROR(__xludf.DUMMYFUNCTION("QUERY('Volunteer Survey'!I326)"),"Variant Pathogenicity")</f>
        <v>Variant Pathogenicity</v>
      </c>
      <c r="AI327" s="183" t="str">
        <f>IFERROR(__xludf.DUMMYFUNCTION("QUERY('Volunteer Survey'!J326)"),"Gene-Disease Validity")</f>
        <v>Gene-Disease Validity</v>
      </c>
      <c r="AJ327" s="183" t="str">
        <f>IFERROR(__xludf.DUMMYFUNCTION("QUERY('Volunteer Survey'!K326)"),"Dosage Sensitivity")</f>
        <v>Dosage Sensitivity</v>
      </c>
      <c r="AK327" s="183" t="str">
        <f>IFERROR(__xludf.DUMMYFUNCTION("QUERY('Volunteer Survey'!L326)"),"Clinical Actionability")</f>
        <v>Clinical Actionability</v>
      </c>
      <c r="AL327" s="183" t="str">
        <f>IFERROR(__xludf.DUMMYFUNCTION("QUERY('Volunteer Survey'!M326)"),"")</f>
        <v/>
      </c>
      <c r="AM327" s="183" t="str">
        <f>IFERROR(__xludf.DUMMYFUNCTION("QUERY('Volunteer Survey'!N326)"),"")</f>
        <v/>
      </c>
      <c r="AN327" s="183" t="str">
        <f>IFERROR(__xludf.DUMMYFUNCTION("QUERY('Volunteer Survey'!O326)"),"Possibly")</f>
        <v>Possibly</v>
      </c>
      <c r="AO327" s="183" t="str">
        <f>IFERROR(__xludf.DUMMYFUNCTION("QUERY('Volunteer Survey'!P326)"),"")</f>
        <v/>
      </c>
    </row>
    <row r="328">
      <c r="A328" s="50">
        <f>IFERROR(__xludf.DUMMYFUNCTION("QUERY('Volunteer Survey'!A337)"),43760.48148934028)</f>
        <v>43760.48149</v>
      </c>
      <c r="B328" s="48" t="s">
        <v>108</v>
      </c>
      <c r="C328" s="79">
        <v>43819.0</v>
      </c>
      <c r="D328" s="55"/>
      <c r="E328" s="55"/>
      <c r="F328" s="48" t="s">
        <v>130</v>
      </c>
      <c r="G328" s="48" t="s">
        <v>251</v>
      </c>
      <c r="H328" s="53"/>
      <c r="I328" s="53"/>
      <c r="J328" s="55"/>
      <c r="K328" s="55"/>
      <c r="L328" s="55" t="str">
        <f>IFERROR(__xludf.DUMMYFUNCTION("QUERY('Volunteer Survey'!B337)"),"Jennifer Sloan")</f>
        <v>Jennifer Sloan</v>
      </c>
      <c r="M328" s="55" t="str">
        <f>IFERROR(__xludf.DUMMYFUNCTION("QUERY('Volunteer Survey'!E337)"),"jsloan@mail.nih.gov")</f>
        <v>jsloan@mail.nih.gov</v>
      </c>
      <c r="N328" s="55" t="str">
        <f>IFERROR(__xludf.DUMMYFUNCTION("QUERY('Volunteer Survey'!F337)"),"Genetic counselor")</f>
        <v>Genetic counselor</v>
      </c>
      <c r="O328" s="48" t="str">
        <f>IFERROR(__xludf.DUMMYFUNCTION("QUERY('Volunteer Survey'!H337)"),"Comprehensive")</f>
        <v>Comprehensive</v>
      </c>
      <c r="P328" s="55" t="str">
        <f>IFERROR(__xludf.DUMMYFUNCTION("QUERY('Volunteer Survey'!I337)"),"Variant Pathogenicity")</f>
        <v>Variant Pathogenicity</v>
      </c>
      <c r="Q328" s="60" t="str">
        <f>IFERROR(__xludf.DUMMYFUNCTION("QUERY('Volunteer Survey'!J337)"),"Gene-Disease Validity")</f>
        <v>Gene-Disease Validity</v>
      </c>
      <c r="R328" s="55" t="str">
        <f>IFERROR(__xludf.DUMMYFUNCTION("QUERY('Volunteer Survey'!K337)"),"Clinical Actionability")</f>
        <v>Clinical Actionability</v>
      </c>
      <c r="S328" s="55" t="str">
        <f>IFERROR(__xludf.DUMMYFUNCTION("QUERY('Volunteer Survey'!L337)"),"Dosage Sensitivity")</f>
        <v>Dosage Sensitivity</v>
      </c>
      <c r="T328" s="55" t="str">
        <f>IFERROR(__xludf.DUMMYFUNCTION("QUERY('Volunteer Survey'!M337)"),"Somatic Cancer")</f>
        <v>Somatic Cancer</v>
      </c>
      <c r="U328" s="64" t="str">
        <f>IFERROR(__xludf.DUMMYFUNCTION("QUERY('Volunteer Survey'!N337)"),"I work on natural hx studies for MMA/cobalamin disorders and PA where we have evaluated &gt;200 affected individuals and am involved in reviewing and interpreting molecular genetic test results. Also recently completed fellowship in Clinical Molecular Geneti"&amp;"cs at NIH and took board exam in 8/2019.")</f>
        <v>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v>
      </c>
      <c r="V328" s="55" t="str">
        <f>IFERROR(__xludf.DUMMYFUNCTION("QUERY('Volunteer Survey'!O337)"),"Possibly")</f>
        <v>Possibly</v>
      </c>
      <c r="W328" s="66" t="str">
        <f>IFERROR(__xludf.DUMMYFUNCTION("QUERY('Volunteer Survey'!P337)"),"OTC")</f>
        <v>OTC</v>
      </c>
      <c r="X328" s="64" t="str">
        <f>IFERROR(__xludf.DUMMYFUNCTION("QUERY('Volunteer Survey'!R337)"),"Maybe -- please contact me with other options, and I will decide based on what is available")</f>
        <v>Maybe -- please contact me with other options, and I will decide based on what is available</v>
      </c>
      <c r="Y328" s="53"/>
      <c r="Z328" s="182">
        <f>IFERROR(__xludf.DUMMYFUNCTION("QUERY('Volunteer Survey'!A327)"),43746.86382482639)</f>
        <v>43746.86382</v>
      </c>
      <c r="AA328" s="183" t="str">
        <f>IFERROR(__xludf.DUMMYFUNCTION("QUERY('Volunteer Survey'!B327)"),"YANYI YAO")</f>
        <v>YANYI YAO</v>
      </c>
      <c r="AB328" s="183" t="str">
        <f>IFERROR(__xludf.DUMMYFUNCTION("QUERY('Volunteer Survey'!C327)"),"Brigham and Women's hospital")</f>
        <v>Brigham and Women's hospital</v>
      </c>
      <c r="AC328" s="183" t="str">
        <f>IFERROR(__xludf.DUMMYFUNCTION("QUERY('Volunteer Survey'!D327)"),"259 kent street")</f>
        <v>259 kent street</v>
      </c>
      <c r="AD328" s="183" t="str">
        <f>IFERROR(__xludf.DUMMYFUNCTION("QUERY('Volunteer Survey'!E327)"),"yaoyanyi@hotmail.com")</f>
        <v>yaoyanyi@hotmail.com</v>
      </c>
      <c r="AE328" s="183" t="str">
        <f>IFERROR(__xludf.DUMMYFUNCTION("QUERY('Volunteer Survey'!F327)"),"Post Doc/Resident/Fellow (MD and/or PhD)")</f>
        <v>Post Doc/Resident/Fellow (MD and/or PhD)</v>
      </c>
      <c r="AF328" s="183" t="str">
        <f>IFERROR(__xludf.DUMMYFUNCTION("QUERY('Volunteer Survey'!G327)"),"Educational coursework")</f>
        <v>Educational coursework</v>
      </c>
      <c r="AG328" s="183" t="str">
        <f>IFERROR(__xludf.DUMMYFUNCTION("QUERY('Volunteer Survey'!H327)"),"Comprehensive")</f>
        <v>Comprehensive</v>
      </c>
      <c r="AH328" s="183" t="str">
        <f>IFERROR(__xludf.DUMMYFUNCTION("QUERY('Volunteer Survey'!I327)"),"Variant Pathogenicity")</f>
        <v>Variant Pathogenicity</v>
      </c>
      <c r="AI328" s="183" t="str">
        <f>IFERROR(__xludf.DUMMYFUNCTION("QUERY('Volunteer Survey'!J327)"),"Gene-Disease Validity")</f>
        <v>Gene-Disease Validity</v>
      </c>
      <c r="AJ328" s="183" t="str">
        <f>IFERROR(__xludf.DUMMYFUNCTION("QUERY('Volunteer Survey'!K327)"),"Dosage Sensitivity")</f>
        <v>Dosage Sensitivity</v>
      </c>
      <c r="AK328" s="183" t="str">
        <f>IFERROR(__xludf.DUMMYFUNCTION("QUERY('Volunteer Survey'!L327)"),"Clinical Actionability")</f>
        <v>Clinical Actionability</v>
      </c>
      <c r="AL328" s="183" t="str">
        <f>IFERROR(__xludf.DUMMYFUNCTION("QUERY('Volunteer Survey'!M327)"),"")</f>
        <v/>
      </c>
      <c r="AM328" s="183" t="str">
        <f>IFERROR(__xludf.DUMMYFUNCTION("QUERY('Volunteer Survey'!N327)"),"I attended Interpreting Genomes for Rare Disease 2019.")</f>
        <v>I attended Interpreting Genomes for Rare Disease 2019.</v>
      </c>
      <c r="AN328" s="183" t="str">
        <f>IFERROR(__xludf.DUMMYFUNCTION("QUERY('Volunteer Survey'!O327)"),"Possibly")</f>
        <v>Possibly</v>
      </c>
      <c r="AO328" s="183" t="str">
        <f>IFERROR(__xludf.DUMMYFUNCTION("QUERY('Volunteer Survey'!P327)"),"Limb Girdle Muscular Dystrophy ")</f>
        <v>Limb Girdle Muscular Dystrophy </v>
      </c>
    </row>
    <row r="329">
      <c r="A329" s="50">
        <f>IFERROR(__xludf.DUMMYFUNCTION("QUERY('Volunteer Survey'!A338)"),43761.40069155092)</f>
        <v>43761.40069</v>
      </c>
      <c r="B329" s="48" t="s">
        <v>108</v>
      </c>
      <c r="C329" s="79">
        <v>43819.0</v>
      </c>
      <c r="D329" s="55"/>
      <c r="E329" s="55"/>
      <c r="F329" s="48" t="s">
        <v>130</v>
      </c>
      <c r="G329" s="48" t="s">
        <v>122</v>
      </c>
      <c r="H329" s="53"/>
      <c r="I329" s="53"/>
      <c r="J329" s="55"/>
      <c r="K329" s="55"/>
      <c r="L329" s="55" t="str">
        <f>IFERROR(__xludf.DUMMYFUNCTION("QUERY('Volunteer Survey'!B338)"),"Vasiliki Rahimzadeh")</f>
        <v>Vasiliki Rahimzadeh</v>
      </c>
      <c r="M329" s="55" t="str">
        <f>IFERROR(__xludf.DUMMYFUNCTION("QUERY('Volunteer Survey'!E338)"),"vrahim@stanford.edu")</f>
        <v>vrahim@stanford.edu</v>
      </c>
      <c r="N329" s="55" t="str">
        <f>IFERROR(__xludf.DUMMYFUNCTION("QUERY('Volunteer Survey'!F338)"),"Postdoctoral fellow ")</f>
        <v>Postdoctoral fellow </v>
      </c>
      <c r="O329" s="48" t="str">
        <f>IFERROR(__xludf.DUMMYFUNCTION("QUERY('Volunteer Survey'!H338)"),"Comprehensive")</f>
        <v>Comprehensive</v>
      </c>
      <c r="P329" s="55" t="str">
        <f>IFERROR(__xludf.DUMMYFUNCTION("QUERY('Volunteer Survey'!I338)"),"Gene-Disease Validity")</f>
        <v>Gene-Disease Validity</v>
      </c>
      <c r="Q329" s="60" t="str">
        <f>IFERROR(__xludf.DUMMYFUNCTION("QUERY('Volunteer Survey'!J338)"),"Variant Pathogenicity")</f>
        <v>Variant Pathogenicity</v>
      </c>
      <c r="R329" s="55" t="str">
        <f>IFERROR(__xludf.DUMMYFUNCTION("QUERY('Volunteer Survey'!K338)"),"Somatic Cancer")</f>
        <v>Somatic Cancer</v>
      </c>
      <c r="S329" s="55" t="str">
        <f>IFERROR(__xludf.DUMMYFUNCTION("QUERY('Volunteer Survey'!L338)"),"")</f>
        <v/>
      </c>
      <c r="T329" s="55" t="str">
        <f>IFERROR(__xludf.DUMMYFUNCTION("QUERY('Volunteer Survey'!M338)"),"")</f>
        <v/>
      </c>
      <c r="U329" s="64" t="str">
        <f>IFERROR(__xludf.DUMMYFUNCTION("QUERY('Volunteer Survey'!N338)"),"No, but have a basic theoretical background of genomic/genetic science ")</f>
        <v>No, but have a basic theoretical background of genomic/genetic science </v>
      </c>
      <c r="V329" s="55" t="str">
        <f>IFERROR(__xludf.DUMMYFUNCTION("QUERY('Volunteer Survey'!O338)"),"Possibly")</f>
        <v>Possibly</v>
      </c>
      <c r="W329" s="66" t="str">
        <f>IFERROR(__xludf.DUMMYFUNCTION("QUERY('Volunteer Survey'!P338)"),"Yes, pediatric cancer or rare genetic disease ")</f>
        <v>Yes, pediatric cancer or rare genetic disease </v>
      </c>
      <c r="X329" s="64" t="str">
        <f>IFERROR(__xludf.DUMMYFUNCTION("QUERY('Volunteer Survey'!R338)"),"Yes- I am willing to volunteer with any available ClinGen group")</f>
        <v>Yes- I am willing to volunteer with any available ClinGen group</v>
      </c>
      <c r="Y329" s="53"/>
      <c r="Z329" s="182">
        <f>IFERROR(__xludf.DUMMYFUNCTION("QUERY('Volunteer Survey'!A328)"),43747.54224105324)</f>
        <v>43747.54224</v>
      </c>
      <c r="AA329" s="183" t="str">
        <f>IFERROR(__xludf.DUMMYFUNCTION("QUERY('Volunteer Survey'!B328)"),"Ikeoluwa Osei-Owusu")</f>
        <v>Ikeoluwa Osei-Owusu</v>
      </c>
      <c r="AB329" s="183" t="str">
        <f>IFERROR(__xludf.DUMMYFUNCTION("QUERY('Volunteer Survey'!C328)"),"Johns Hopkins University School of Medicine")</f>
        <v>Johns Hopkins University School of Medicine</v>
      </c>
      <c r="AC329" s="183" t="str">
        <f>IFERROR(__xludf.DUMMYFUNCTION("QUERY('Volunteer Survey'!D328)"),"733 N Broadway, MRB 515, Baltimore MD 21205")</f>
        <v>733 N Broadway, MRB 515, Baltimore MD 21205</v>
      </c>
      <c r="AD329" s="183" t="str">
        <f>IFERROR(__xludf.DUMMYFUNCTION("QUERY('Volunteer Survey'!E328)"),"ikeoluwa@jhmi.edu")</f>
        <v>ikeoluwa@jhmi.edu</v>
      </c>
      <c r="AE329" s="183" t="str">
        <f>IFERROR(__xludf.DUMMYFUNCTION("QUERY('Volunteer Survey'!F328)"),"Graduate Student")</f>
        <v>Graduate Student</v>
      </c>
      <c r="AF329" s="183" t="str">
        <f>IFERROR(__xludf.DUMMYFUNCTION("QUERY('Volunteer Survey'!G328)"),"ASHG 2018")</f>
        <v>ASHG 2018</v>
      </c>
      <c r="AG329" s="183" t="str">
        <f>IFERROR(__xludf.DUMMYFUNCTION("QUERY('Volunteer Survey'!H328)"),"Comprehensive")</f>
        <v>Comprehensive</v>
      </c>
      <c r="AH329" s="183" t="str">
        <f>IFERROR(__xludf.DUMMYFUNCTION("QUERY('Volunteer Survey'!I328)"),"Gene-Disease Validity")</f>
        <v>Gene-Disease Validity</v>
      </c>
      <c r="AI329" s="183" t="str">
        <f>IFERROR(__xludf.DUMMYFUNCTION("QUERY('Volunteer Survey'!J328)"),"Variant Pathogenicity")</f>
        <v>Variant Pathogenicity</v>
      </c>
      <c r="AJ329" s="183" t="str">
        <f>IFERROR(__xludf.DUMMYFUNCTION("QUERY('Volunteer Survey'!K328)"),"Dosage Sensitivity")</f>
        <v>Dosage Sensitivity</v>
      </c>
      <c r="AK329" s="183" t="str">
        <f>IFERROR(__xludf.DUMMYFUNCTION("QUERY('Volunteer Survey'!L328)"),"Clinical Actionability")</f>
        <v>Clinical Actionability</v>
      </c>
      <c r="AL329" s="183" t="str">
        <f>IFERROR(__xludf.DUMMYFUNCTION("QUERY('Volunteer Survey'!M328)"),"Somatic Cancer")</f>
        <v>Somatic Cancer</v>
      </c>
      <c r="AM329" s="183" t="str">
        <f>IFERROR(__xludf.DUMMYFUNCTION("QUERY('Volunteer Survey'!N328)"),"My PhD thesis has required the need to associate genes found to be deleterious in whole genome sequence analyses with known diseases. Thereby, I am familiar with databases such as ClinVar, Online Mendelian Inheritance in Man (OMIM), Development Disorder G"&amp;"enotype - Phenotype Database (DDG2P), and Simons Foundation Autism Research Initiative (SFARI). In addition, I have presented papers on the use of in silico algorithms as a ACMG variant interpretation criteria and its implications on ClinVar submissions. ")</f>
        <v>My PhD thesis has required the need to associate genes found to be deleterious in whole genome sequence analyses with known diseases. Thereby, I am familiar with databases such as ClinVar, Online Mendelian Inheritance in Man (OMIM), Development Disorder Genotype - Phenotype Database (DDG2P), and Simons Foundation Autism Research Initiative (SFARI). In addition, I have presented papers on the use of in silico algorithms as a ACMG variant interpretation criteria and its implications on ClinVar submissions. </v>
      </c>
      <c r="AN329" s="183" t="str">
        <f>IFERROR(__xludf.DUMMYFUNCTION("QUERY('Volunteer Survey'!O328)"),"Possibly")</f>
        <v>Possibly</v>
      </c>
      <c r="AO329" s="183" t="str">
        <f>IFERROR(__xludf.DUMMYFUNCTION("QUERY('Volunteer Survey'!P328)"),"Neurodevelopmental Dosage Sensitivity Working Group; Brain Malformations Gene Curation Expert Panel; Brain Malformations Variant Curation Expert Panel; Pediatric Actionability Working Group")</f>
        <v>Neurodevelopmental Dosage Sensitivity Working Group; Brain Malformations Gene Curation Expert Panel; Brain Malformations Variant Curation Expert Panel; Pediatric Actionability Working Group</v>
      </c>
    </row>
    <row r="330">
      <c r="A330" s="50">
        <f>IFERROR(__xludf.DUMMYFUNCTION("QUERY('Volunteer Survey'!A339)"),43761.512264895835)</f>
        <v>43761.51226</v>
      </c>
      <c r="B330" s="48" t="s">
        <v>108</v>
      </c>
      <c r="C330" s="79">
        <v>43819.0</v>
      </c>
      <c r="D330" s="55"/>
      <c r="E330" s="55"/>
      <c r="F330" s="48" t="s">
        <v>130</v>
      </c>
      <c r="G330" s="48" t="s">
        <v>251</v>
      </c>
      <c r="H330" s="53"/>
      <c r="I330" s="53"/>
      <c r="J330" s="55"/>
      <c r="K330" s="55"/>
      <c r="L330" s="55" t="str">
        <f>IFERROR(__xludf.DUMMYFUNCTION("QUERY('Volunteer Survey'!B339)"),"Guadalupe Carvajal")</f>
        <v>Guadalupe Carvajal</v>
      </c>
      <c r="M330" s="55" t="str">
        <f>IFERROR(__xludf.DUMMYFUNCTION("QUERY('Volunteer Survey'!E339)"),"gcarvajal18@students.kgi.edu")</f>
        <v>gcarvajal18@students.kgi.edu</v>
      </c>
      <c r="N330" s="55" t="str">
        <f>IFERROR(__xludf.DUMMYFUNCTION("QUERY('Volunteer Survey'!F339)"),"Genetic counselor")</f>
        <v>Genetic counselor</v>
      </c>
      <c r="O330" s="48" t="str">
        <f>IFERROR(__xludf.DUMMYFUNCTION("QUERY('Volunteer Survey'!H339)"),"Comprehensive")</f>
        <v>Comprehensive</v>
      </c>
      <c r="P330" s="55" t="str">
        <f>IFERROR(__xludf.DUMMYFUNCTION("QUERY('Volunteer Survey'!I339)"),"Variant Pathogenicity")</f>
        <v>Variant Pathogenicity</v>
      </c>
      <c r="Q330" s="60" t="str">
        <f>IFERROR(__xludf.DUMMYFUNCTION("QUERY('Volunteer Survey'!J339)"),"Clinical Actionability")</f>
        <v>Clinical Actionability</v>
      </c>
      <c r="R330" s="55" t="str">
        <f>IFERROR(__xludf.DUMMYFUNCTION("QUERY('Volunteer Survey'!K339)"),"Somatic Cancer")</f>
        <v>Somatic Cancer</v>
      </c>
      <c r="S330" s="55" t="str">
        <f>IFERROR(__xludf.DUMMYFUNCTION("QUERY('Volunteer Survey'!L339)"),"Dosage Sensitivity")</f>
        <v>Dosage Sensitivity</v>
      </c>
      <c r="T330" s="55" t="str">
        <f>IFERROR(__xludf.DUMMYFUNCTION("QUERY('Volunteer Survey'!M339)"),"Gene-Disease Validity")</f>
        <v>Gene-Disease Validity</v>
      </c>
      <c r="U330" s="64" t="str">
        <f>IFERROR(__xludf.DUMMYFUNCTION("QUERY('Volunteer Survey'!N339)"),"Very basic work done in class")</f>
        <v>Very basic work done in class</v>
      </c>
      <c r="V330" s="55" t="str">
        <f>IFERROR(__xludf.DUMMYFUNCTION("QUERY('Volunteer Survey'!O339)"),"Yes")</f>
        <v>Yes</v>
      </c>
      <c r="W330" s="66" t="str">
        <f>IFERROR(__xludf.DUMMYFUNCTION("QUERY('Volunteer Survey'!P339)"),"")</f>
        <v/>
      </c>
      <c r="X330" s="64" t="str">
        <f>IFERROR(__xludf.DUMMYFUNCTION("QUERY('Volunteer Survey'!R339)"),"")</f>
        <v/>
      </c>
      <c r="Y330" s="53"/>
      <c r="Z330" s="182">
        <f>IFERROR(__xludf.DUMMYFUNCTION("QUERY('Volunteer Survey'!A329)"),43749.681813414354)</f>
        <v>43749.68181</v>
      </c>
      <c r="AA330" s="183" t="str">
        <f>IFERROR(__xludf.DUMMYFUNCTION("QUERY('Volunteer Survey'!B329)"),"Daniela Martiniuc")</f>
        <v>Daniela Martiniuc</v>
      </c>
      <c r="AB330" s="183" t="str">
        <f>IFERROR(__xludf.DUMMYFUNCTION("QUERY('Volunteer Survey'!C329)"),"UC Davis Comprehensive Cancer Center")</f>
        <v>UC Davis Comprehensive Cancer Center</v>
      </c>
      <c r="AC330" s="183" t="str">
        <f>IFERROR(__xludf.DUMMYFUNCTION("QUERY('Volunteer Survey'!D329)"),"2501 X street, building 30, Sacramento, CA 95817")</f>
        <v>2501 X street, building 30, Sacramento, CA 95817</v>
      </c>
      <c r="AD330" s="183" t="str">
        <f>IFERROR(__xludf.DUMMYFUNCTION("QUERY('Volunteer Survey'!E329)"),"dmartiniuc@ucdavis.edu")</f>
        <v>dmartiniuc@ucdavis.edu</v>
      </c>
      <c r="AE330" s="183" t="str">
        <f>IFERROR(__xludf.DUMMYFUNCTION("QUERY('Volunteer Survey'!F329)"),"Genetic counselor")</f>
        <v>Genetic counselor</v>
      </c>
      <c r="AF330" s="183" t="str">
        <f>IFERROR(__xludf.DUMMYFUNCTION("QUERY('Volunteer Survey'!G329)"),"presented at NorCal GC conference ")</f>
        <v>presented at NorCal GC conference </v>
      </c>
      <c r="AG330" s="183" t="str">
        <f>IFERROR(__xludf.DUMMYFUNCTION("QUERY('Volunteer Survey'!H329)"),"Comprehensive")</f>
        <v>Comprehensive</v>
      </c>
      <c r="AH330" s="183" t="str">
        <f>IFERROR(__xludf.DUMMYFUNCTION("QUERY('Volunteer Survey'!I329)"),"Variant Pathogenicity")</f>
        <v>Variant Pathogenicity</v>
      </c>
      <c r="AI330" s="183" t="str">
        <f>IFERROR(__xludf.DUMMYFUNCTION("QUERY('Volunteer Survey'!J329)"),"Clinical Actionability")</f>
        <v>Clinical Actionability</v>
      </c>
      <c r="AJ330" s="183" t="str">
        <f>IFERROR(__xludf.DUMMYFUNCTION("QUERY('Volunteer Survey'!K329)"),"Gene-Disease Validity")</f>
        <v>Gene-Disease Validity</v>
      </c>
      <c r="AK330" s="183" t="str">
        <f>IFERROR(__xludf.DUMMYFUNCTION("QUERY('Volunteer Survey'!L329)"),"")</f>
        <v/>
      </c>
      <c r="AL330" s="183" t="str">
        <f>IFERROR(__xludf.DUMMYFUNCTION("QUERY('Volunteer Survey'!M329)"),"")</f>
        <v/>
      </c>
      <c r="AM330" s="183" t="str">
        <f>IFERROR(__xludf.DUMMYFUNCTION("QUERY('Volunteer Survey'!N329)"),"I have no experience with curation")</f>
        <v>I have no experience with curation</v>
      </c>
      <c r="AN330" s="183" t="str">
        <f>IFERROR(__xludf.DUMMYFUNCTION("QUERY('Volunteer Survey'!O329)"),"No")</f>
        <v>No</v>
      </c>
      <c r="AO330" s="183" t="str">
        <f>IFERROR(__xludf.DUMMYFUNCTION("QUERY('Volunteer Survey'!P329)"),"")</f>
        <v/>
      </c>
    </row>
    <row r="331">
      <c r="A331" s="50">
        <f>IFERROR(__xludf.DUMMYFUNCTION("QUERY('Volunteer Survey'!A340)"),43762.71625583333)</f>
        <v>43762.71626</v>
      </c>
      <c r="B331" s="48" t="s">
        <v>108</v>
      </c>
      <c r="C331" s="79">
        <v>43819.0</v>
      </c>
      <c r="D331" s="55"/>
      <c r="E331" s="55"/>
      <c r="F331" s="48" t="s">
        <v>130</v>
      </c>
      <c r="G331" s="48" t="s">
        <v>251</v>
      </c>
      <c r="H331" s="53"/>
      <c r="I331" s="53"/>
      <c r="J331" s="55"/>
      <c r="K331" s="55"/>
      <c r="L331" s="55" t="str">
        <f>IFERROR(__xludf.DUMMYFUNCTION("QUERY('Volunteer Survey'!B340)"),"Liang Guo")</f>
        <v>Liang Guo</v>
      </c>
      <c r="M331" s="55" t="str">
        <f>IFERROR(__xludf.DUMMYFUNCTION("QUERY('Volunteer Survey'!E340)"),"lguo@cvpath.org")</f>
        <v>lguo@cvpath.org</v>
      </c>
      <c r="N331" s="55" t="str">
        <f>IFERROR(__xludf.DUMMYFUNCTION("QUERY('Volunteer Survey'!F340)"),"Scientific Researcher")</f>
        <v>Scientific Researcher</v>
      </c>
      <c r="O331" s="48" t="str">
        <f>IFERROR(__xludf.DUMMYFUNCTION("QUERY('Volunteer Survey'!H340)"),"Comprehensive")</f>
        <v>Comprehensive</v>
      </c>
      <c r="P331" s="55" t="str">
        <f>IFERROR(__xludf.DUMMYFUNCTION("QUERY('Volunteer Survey'!I340)"),"Variant Pathogenicity")</f>
        <v>Variant Pathogenicity</v>
      </c>
      <c r="Q331" s="60" t="str">
        <f>IFERROR(__xludf.DUMMYFUNCTION("QUERY('Volunteer Survey'!J340)"),"Gene-Disease Validity")</f>
        <v>Gene-Disease Validity</v>
      </c>
      <c r="R331" s="55" t="str">
        <f>IFERROR(__xludf.DUMMYFUNCTION("QUERY('Volunteer Survey'!K340)"),"Clinical Actionability")</f>
        <v>Clinical Actionability</v>
      </c>
      <c r="S331" s="55" t="str">
        <f>IFERROR(__xludf.DUMMYFUNCTION("QUERY('Volunteer Survey'!L340)"),"Dosage Sensitivity")</f>
        <v>Dosage Sensitivity</v>
      </c>
      <c r="T331" s="55" t="str">
        <f>IFERROR(__xludf.DUMMYFUNCTION("QUERY('Volunteer Survey'!M340)"),"Somatic Cancer")</f>
        <v>Somatic Cancer</v>
      </c>
      <c r="U331" s="64" t="str">
        <f>IFERROR(__xludf.DUMMYFUNCTION("QUERY('Volunteer Survey'!N340)"),"Yes, curation of hypertrophic cardiomyopathy")</f>
        <v>Yes, curation of hypertrophic cardiomyopathy</v>
      </c>
      <c r="V331" s="55" t="str">
        <f>IFERROR(__xludf.DUMMYFUNCTION("QUERY('Volunteer Survey'!O340)"),"Yes")</f>
        <v>Yes</v>
      </c>
      <c r="W331" s="66" t="str">
        <f>IFERROR(__xludf.DUMMYFUNCTION("QUERY('Volunteer Survey'!P340)"),"Cardiovascular working group")</f>
        <v>Cardiovascular working group</v>
      </c>
      <c r="X331" s="64" t="str">
        <f>IFERROR(__xludf.DUMMYFUNCTION("QUERY('Volunteer Survey'!R340)"),"No - I am only interested in the group(s) I previously indicated")</f>
        <v>No - I am only interested in the group(s) I previously indicated</v>
      </c>
      <c r="Y331" s="53"/>
      <c r="Z331" s="182">
        <f>IFERROR(__xludf.DUMMYFUNCTION("QUERY('Volunteer Survey'!A330)"),43753.641005324076)</f>
        <v>43753.64101</v>
      </c>
      <c r="AA331" s="183" t="str">
        <f>IFERROR(__xludf.DUMMYFUNCTION("QUERY('Volunteer Survey'!B330)"),"Emilie Lalonde")</f>
        <v>Emilie Lalonde</v>
      </c>
      <c r="AB331" s="183" t="str">
        <f>IFERROR(__xludf.DUMMYFUNCTION("QUERY('Volunteer Survey'!C330)"),"Children's Hospital of Philadelphia")</f>
        <v>Children's Hospital of Philadelphia</v>
      </c>
      <c r="AC331" s="183" t="str">
        <f>IFERROR(__xludf.DUMMYFUNCTION("QUERY('Volunteer Survey'!D330)"),"3500 Civic Center Blvd")</f>
        <v>3500 Civic Center Blvd</v>
      </c>
      <c r="AD331" s="183" t="str">
        <f>IFERROR(__xludf.DUMMYFUNCTION("QUERY('Volunteer Survey'!E330)"),"lalondee@email.chop.edu")</f>
        <v>lalondee@email.chop.edu</v>
      </c>
      <c r="AE331" s="183" t="str">
        <f>IFERROR(__xludf.DUMMYFUNCTION("QUERY('Volunteer Survey'!F330)"),"Clinical laboratory geneticist")</f>
        <v>Clinical laboratory geneticist</v>
      </c>
      <c r="AF331" s="183" t="str">
        <f>IFERROR(__xludf.DUMMYFUNCTION("QUERY('Volunteer Survey'!G330)"),"ClinGen affiliated emails and/or newsletters")</f>
        <v>ClinGen affiliated emails and/or newsletters</v>
      </c>
      <c r="AG331" s="183" t="str">
        <f>IFERROR(__xludf.DUMMYFUNCTION("QUERY('Volunteer Survey'!H330)"),"Comprehensive")</f>
        <v>Comprehensive</v>
      </c>
      <c r="AH331" s="183" t="str">
        <f>IFERROR(__xludf.DUMMYFUNCTION("QUERY('Volunteer Survey'!I330)"),"Somatic Cancer")</f>
        <v>Somatic Cancer</v>
      </c>
      <c r="AI331" s="183" t="str">
        <f>IFERROR(__xludf.DUMMYFUNCTION("QUERY('Volunteer Survey'!J330)"),"Clinical Actionability")</f>
        <v>Clinical Actionability</v>
      </c>
      <c r="AJ331" s="183" t="str">
        <f>IFERROR(__xludf.DUMMYFUNCTION("QUERY('Volunteer Survey'!K330)"),"Gene-Disease Validity")</f>
        <v>Gene-Disease Validity</v>
      </c>
      <c r="AK331" s="183" t="str">
        <f>IFERROR(__xludf.DUMMYFUNCTION("QUERY('Volunteer Survey'!L330)"),"Dosage Sensitivity")</f>
        <v>Dosage Sensitivity</v>
      </c>
      <c r="AL331" s="183" t="str">
        <f>IFERROR(__xludf.DUMMYFUNCTION("QUERY('Volunteer Survey'!M330)"),"Variant Pathogenicity")</f>
        <v>Variant Pathogenicity</v>
      </c>
      <c r="AM331" s="183" t="str">
        <f>IFERROR(__xludf.DUMMYFUNCTION("QUERY('Volunteer Survey'!N330)"),"Yes within CHOP/Penn labs for new test design and/or standard variant interpretation")</f>
        <v>Yes within CHOP/Penn labs for new test design and/or standard variant interpretation</v>
      </c>
      <c r="AN331" s="183" t="str">
        <f>IFERROR(__xludf.DUMMYFUNCTION("QUERY('Volunteer Survey'!O330)"),"Possibly")</f>
        <v>Possibly</v>
      </c>
      <c r="AO331" s="183" t="str">
        <f>IFERROR(__xludf.DUMMYFUNCTION("QUERY('Volunteer Survey'!P330)"),"Somatic cancer WG, hereditary cancer EP, RASopathy EP, Myeloid Malignancy EP, dosage hereditary cancer WG, others as needed")</f>
        <v>Somatic cancer WG, hereditary cancer EP, RASopathy EP, Myeloid Malignancy EP, dosage hereditary cancer WG, others as needed</v>
      </c>
    </row>
    <row r="332">
      <c r="A332" s="50">
        <f>IFERROR(__xludf.DUMMYFUNCTION("QUERY('Volunteer Survey'!A341)"),43765.72616362268)</f>
        <v>43765.72616</v>
      </c>
      <c r="B332" s="48" t="s">
        <v>108</v>
      </c>
      <c r="C332" s="79">
        <v>43819.0</v>
      </c>
      <c r="D332" s="55"/>
      <c r="E332" s="55"/>
      <c r="F332" s="48" t="s">
        <v>130</v>
      </c>
      <c r="G332" s="48" t="s">
        <v>122</v>
      </c>
      <c r="H332" s="53"/>
      <c r="I332" s="53"/>
      <c r="J332" s="55"/>
      <c r="K332" s="55"/>
      <c r="L332" s="55" t="str">
        <f>IFERROR(__xludf.DUMMYFUNCTION("QUERY('Volunteer Survey'!B341)"),"Sha Tang")</f>
        <v>Sha Tang</v>
      </c>
      <c r="M332" s="55" t="str">
        <f>IFERROR(__xludf.DUMMYFUNCTION("QUERY('Volunteer Survey'!E341)"),"stang@wuxinextcode.cm")</f>
        <v>stang@wuxinextcode.cm</v>
      </c>
      <c r="N332" s="55" t="str">
        <f>IFERROR(__xludf.DUMMYFUNCTION("QUERY('Volunteer Survey'!F341)"),"Clinical laboratory geneticist")</f>
        <v>Clinical laboratory geneticist</v>
      </c>
      <c r="O332" s="48" t="str">
        <f>IFERROR(__xludf.DUMMYFUNCTION("QUERY('Volunteer Survey'!H341)"),"Comprehensive")</f>
        <v>Comprehensive</v>
      </c>
      <c r="P332" s="55" t="str">
        <f>IFERROR(__xludf.DUMMYFUNCTION("QUERY('Volunteer Survey'!I341)"),"Gene-Disease Validity")</f>
        <v>Gene-Disease Validity</v>
      </c>
      <c r="Q332" s="60" t="str">
        <f>IFERROR(__xludf.DUMMYFUNCTION("QUERY('Volunteer Survey'!J341)"),"Variant Pathogenicity")</f>
        <v>Variant Pathogenicity</v>
      </c>
      <c r="R332" s="55" t="str">
        <f>IFERROR(__xludf.DUMMYFUNCTION("QUERY('Volunteer Survey'!K341)"),"Dosage Sensitivity")</f>
        <v>Dosage Sensitivity</v>
      </c>
      <c r="S332" s="55" t="str">
        <f>IFERROR(__xludf.DUMMYFUNCTION("QUERY('Volunteer Survey'!L341)"),"Clinical Actionability")</f>
        <v>Clinical Actionability</v>
      </c>
      <c r="T332" s="55" t="str">
        <f>IFERROR(__xludf.DUMMYFUNCTION("QUERY('Volunteer Survey'!M341)"),"Somatic Cancer")</f>
        <v>Somatic Cancer</v>
      </c>
      <c r="U332" s="64" t="str">
        <f>IFERROR(__xludf.DUMMYFUNCTION("QUERY('Volunteer Survey'!N341)"),"Yes, my previous work at Ambry Genetics involved development clinical validity scheme and I am experienced in variant classifications.")</f>
        <v>Yes, my previous work at Ambry Genetics involved development clinical validity scheme and I am experienced in variant classifications.</v>
      </c>
      <c r="V332" s="55" t="str">
        <f>IFERROR(__xludf.DUMMYFUNCTION("QUERY('Volunteer Survey'!O341)"),"Yes")</f>
        <v>Yes</v>
      </c>
      <c r="W332" s="66" t="str">
        <f>IFERROR(__xludf.DUMMYFUNCTION("QUERY('Volunteer Survey'!P341)"),"Intellectual Disability and Autism, Mitochondrial Diseases")</f>
        <v>Intellectual Disability and Autism, Mitochondrial Diseases</v>
      </c>
      <c r="X332" s="64" t="str">
        <f>IFERROR(__xludf.DUMMYFUNCTION("QUERY('Volunteer Survey'!R341)"),"Maybe -- please contact me with other options, and I will decide based on what is available")</f>
        <v>Maybe -- please contact me with other options, and I will decide based on what is available</v>
      </c>
      <c r="Y332" s="53"/>
      <c r="Z332" s="182">
        <f>IFERROR(__xludf.DUMMYFUNCTION("QUERY('Volunteer Survey'!A331)"),43755.537383634255)</f>
        <v>43755.53738</v>
      </c>
      <c r="AA332" s="183" t="str">
        <f>IFERROR(__xludf.DUMMYFUNCTION("QUERY('Volunteer Survey'!B331)"),"Elizabeth Ewen")</f>
        <v>Elizabeth Ewen</v>
      </c>
      <c r="AB332" s="183" t="str">
        <f>IFERROR(__xludf.DUMMYFUNCTION("QUERY('Volunteer Survey'!C331)"),"Agilent")</f>
        <v>Agilent</v>
      </c>
      <c r="AC332" s="183" t="str">
        <f>IFERROR(__xludf.DUMMYFUNCTION("QUERY('Volunteer Survey'!D331)"),"403 Prudden Lane Orange, CT 06477")</f>
        <v>403 Prudden Lane Orange, CT 06477</v>
      </c>
      <c r="AD332" s="183" t="str">
        <f>IFERROR(__xludf.DUMMYFUNCTION("QUERY('Volunteer Survey'!E331)"),"elizabeth.ewen@agilent.com")</f>
        <v>elizabeth.ewen@agilent.com</v>
      </c>
      <c r="AE332" s="183" t="str">
        <f>IFERROR(__xludf.DUMMYFUNCTION("QUERY('Volunteer Survey'!F331)"),"Variant Analyst/Scientist - Industry")</f>
        <v>Variant Analyst/Scientist - Industry</v>
      </c>
      <c r="AF332" s="183" t="str">
        <f>IFERROR(__xludf.DUMMYFUNCTION("QUERY('Volunteer Survey'!G331)"),"ASHG 2019, Networking, Colleagues")</f>
        <v>ASHG 2019, Networking, Colleagues</v>
      </c>
      <c r="AG332" s="183" t="str">
        <f>IFERROR(__xludf.DUMMYFUNCTION("QUERY('Volunteer Survey'!H331)"),"Comprehensive")</f>
        <v>Comprehensive</v>
      </c>
      <c r="AH332" s="183" t="str">
        <f>IFERROR(__xludf.DUMMYFUNCTION("QUERY('Volunteer Survey'!I331)"),"Variant Pathogenicity")</f>
        <v>Variant Pathogenicity</v>
      </c>
      <c r="AI332" s="183" t="str">
        <f>IFERROR(__xludf.DUMMYFUNCTION("QUERY('Volunteer Survey'!J331)"),"Gene-Disease Validity")</f>
        <v>Gene-Disease Validity</v>
      </c>
      <c r="AJ332" s="183" t="str">
        <f>IFERROR(__xludf.DUMMYFUNCTION("QUERY('Volunteer Survey'!K331)"),"Clinical Actionability")</f>
        <v>Clinical Actionability</v>
      </c>
      <c r="AK332" s="183" t="str">
        <f>IFERROR(__xludf.DUMMYFUNCTION("QUERY('Volunteer Survey'!L331)"),"Somatic Cancer")</f>
        <v>Somatic Cancer</v>
      </c>
      <c r="AL332" s="183" t="str">
        <f>IFERROR(__xludf.DUMMYFUNCTION("QUERY('Volunteer Survey'!M331)"),"Dosage Sensitivity")</f>
        <v>Dosage Sensitivity</v>
      </c>
      <c r="AM332" s="183" t="str">
        <f>IFERROR(__xludf.DUMMYFUNCTION("QUERY('Volunteer Survey'!N331)"),"Helping customers find clinically relevant/pathogenic variants")</f>
        <v>Helping customers find clinically relevant/pathogenic variants</v>
      </c>
      <c r="AN332" s="183" t="str">
        <f>IFERROR(__xludf.DUMMYFUNCTION("QUERY('Volunteer Survey'!O331)"),"Possibly")</f>
        <v>Possibly</v>
      </c>
      <c r="AO332" s="183" t="str">
        <f>IFERROR(__xludf.DUMMYFUNCTION("QUERY('Volunteer Survey'!P331)"),"")</f>
        <v/>
      </c>
    </row>
    <row r="333">
      <c r="A333" s="50">
        <f>IFERROR(__xludf.DUMMYFUNCTION("QUERY('Volunteer Survey'!A342)"),43766.53192383102)</f>
        <v>43766.53192</v>
      </c>
      <c r="B333" s="48" t="s">
        <v>322</v>
      </c>
      <c r="C333" s="53"/>
      <c r="D333" s="55"/>
      <c r="E333" s="55"/>
      <c r="F333" s="48" t="s">
        <v>130</v>
      </c>
      <c r="G333" s="48" t="s">
        <v>313</v>
      </c>
      <c r="H333" s="53"/>
      <c r="I333" s="53"/>
      <c r="J333" s="55"/>
      <c r="K333" s="55"/>
      <c r="L333" s="55" t="str">
        <f>IFERROR(__xludf.DUMMYFUNCTION("QUERY('Volunteer Survey'!B342)"),"Patrick Forny")</f>
        <v>Patrick Forny</v>
      </c>
      <c r="M333" s="55" t="str">
        <f>IFERROR(__xludf.DUMMYFUNCTION("QUERY('Volunteer Survey'!E342)"),"patrick.forny@kispi.uzh.ch")</f>
        <v>patrick.forny@kispi.uzh.ch</v>
      </c>
      <c r="N333" s="55" t="str">
        <f>IFERROR(__xludf.DUMMYFUNCTION("QUERY('Volunteer Survey'!F342)"),"Post Doc/Resident/Fellow (MD and/or PhD)")</f>
        <v>Post Doc/Resident/Fellow (MD and/or PhD)</v>
      </c>
      <c r="O333" s="48" t="str">
        <f>IFERROR(__xludf.DUMMYFUNCTION("QUERY('Volunteer Survey'!H342)"),"Baseline")</f>
        <v>Baseline</v>
      </c>
      <c r="P333" s="55" t="str">
        <f>IFERROR(__xludf.DUMMYFUNCTION("QUERY('Volunteer Survey'!I342)"),"Gene-Disease Validity, Variant Pathogenicity")</f>
        <v>Gene-Disease Validity, Variant Pathogenicity</v>
      </c>
      <c r="Q333" s="60" t="str">
        <f>IFERROR(__xludf.DUMMYFUNCTION("QUERY('Volunteer Survey'!J342)"),"Clinical Actionability")</f>
        <v>Clinical Actionability</v>
      </c>
      <c r="R333" s="55" t="str">
        <f>IFERROR(__xludf.DUMMYFUNCTION("QUERY('Volunteer Survey'!K342)"),"Dosage Sensitivity")</f>
        <v>Dosage Sensitivity</v>
      </c>
      <c r="S333" s="55" t="str">
        <f>IFERROR(__xludf.DUMMYFUNCTION("QUERY('Volunteer Survey'!L342)"),"Somatic Cancer")</f>
        <v>Somatic Cancer</v>
      </c>
      <c r="T333" s="55" t="str">
        <f>IFERROR(__xludf.DUMMYFUNCTION("QUERY('Volunteer Survey'!M342)"),"")</f>
        <v/>
      </c>
      <c r="U333" s="64" t="str">
        <f>IFERROR(__xludf.DUMMYFUNCTION("QUERY('Volunteer Survey'!N342)"),"")</f>
        <v/>
      </c>
      <c r="V333" s="55" t="str">
        <f>IFERROR(__xludf.DUMMYFUNCTION("QUERY('Volunteer Survey'!O342)"),"No")</f>
        <v>No</v>
      </c>
      <c r="W333" s="66" t="str">
        <f>IFERROR(__xludf.DUMMYFUNCTION("QUERY('Volunteer Survey'!P342)"),"")</f>
        <v/>
      </c>
      <c r="X333" s="64" t="str">
        <f>IFERROR(__xludf.DUMMYFUNCTION("QUERY('Volunteer Survey'!R342)"),"No - I am only interested in the group(s) I previously indicated")</f>
        <v>No - I am only interested in the group(s) I previously indicated</v>
      </c>
      <c r="Y333" s="53"/>
      <c r="Z333" s="182">
        <f>IFERROR(__xludf.DUMMYFUNCTION("QUERY('Volunteer Survey'!A332)"),43755.58982958333)</f>
        <v>43755.58983</v>
      </c>
      <c r="AA333" s="183" t="str">
        <f>IFERROR(__xludf.DUMMYFUNCTION("QUERY('Volunteer Survey'!B332)"),"Brigette Brown-Kipphut")</f>
        <v>Brigette Brown-Kipphut</v>
      </c>
      <c r="AB333" s="183" t="str">
        <f>IFERROR(__xludf.DUMMYFUNCTION("QUERY('Volunteer Survey'!C332)"),"Agilent - previously CHOP")</f>
        <v>Agilent - previously CHOP</v>
      </c>
      <c r="AC333" s="183" t="str">
        <f>IFERROR(__xludf.DUMMYFUNCTION("QUERY('Volunteer Survey'!D332)"),"")</f>
        <v/>
      </c>
      <c r="AD333" s="183" t="str">
        <f>IFERROR(__xludf.DUMMYFUNCTION("QUERY('Volunteer Survey'!E332)"),"brigette.kipphut@agilent.com")</f>
        <v>brigette.kipphut@agilent.com</v>
      </c>
      <c r="AE333" s="183" t="str">
        <f>IFERROR(__xludf.DUMMYFUNCTION("QUERY('Volunteer Survey'!F332)"),"Variant Analyst/Scientist - Industry")</f>
        <v>Variant Analyst/Scientist - Industry</v>
      </c>
      <c r="AF333" s="183" t="str">
        <f>IFERROR(__xludf.DUMMYFUNCTION("QUERY('Volunteer Survey'!G332)"),"ASHG 2019, Colleagues")</f>
        <v>ASHG 2019, Colleagues</v>
      </c>
      <c r="AG333" s="183" t="str">
        <f>IFERROR(__xludf.DUMMYFUNCTION("QUERY('Volunteer Survey'!H332)"),"Baseline")</f>
        <v>Baseline</v>
      </c>
      <c r="AH333" s="183" t="str">
        <f>IFERROR(__xludf.DUMMYFUNCTION("QUERY('Volunteer Survey'!I332)"),"Variant Pathogenicity")</f>
        <v>Variant Pathogenicity</v>
      </c>
      <c r="AI333" s="183" t="str">
        <f>IFERROR(__xludf.DUMMYFUNCTION("QUERY('Volunteer Survey'!J332)"),"Gene-Disease Validity")</f>
        <v>Gene-Disease Validity</v>
      </c>
      <c r="AJ333" s="183" t="str">
        <f>IFERROR(__xludf.DUMMYFUNCTION("QUERY('Volunteer Survey'!K332)"),"Clinical Actionability")</f>
        <v>Clinical Actionability</v>
      </c>
      <c r="AK333" s="183" t="str">
        <f>IFERROR(__xludf.DUMMYFUNCTION("QUERY('Volunteer Survey'!L332)"),"Somatic Cancer")</f>
        <v>Somatic Cancer</v>
      </c>
      <c r="AL333" s="183" t="str">
        <f>IFERROR(__xludf.DUMMYFUNCTION("QUERY('Volunteer Survey'!M332)"),"Dosage Sensitivity")</f>
        <v>Dosage Sensitivity</v>
      </c>
      <c r="AM333" s="183" t="str">
        <f>IFERROR(__xludf.DUMMYFUNCTION("QUERY('Volunteer Survey'!N332)"),"Yes - performed variant analysis for NGS at CHOP and internally at Agilent")</f>
        <v>Yes - performed variant analysis for NGS at CHOP and internally at Agilent</v>
      </c>
      <c r="AN333" s="183" t="str">
        <f>IFERROR(__xludf.DUMMYFUNCTION("QUERY('Volunteer Survey'!O332)"),"Yes")</f>
        <v>Yes</v>
      </c>
      <c r="AO333" s="183" t="str">
        <f>IFERROR(__xludf.DUMMYFUNCTION("QUERY('Volunteer Survey'!P332)"),"")</f>
        <v/>
      </c>
    </row>
    <row r="334">
      <c r="A334" s="50">
        <f>IFERROR(__xludf.DUMMYFUNCTION("QUERY('Volunteer Survey'!A343)"),43767.202232766205)</f>
        <v>43767.20223</v>
      </c>
      <c r="B334" s="48" t="s">
        <v>322</v>
      </c>
      <c r="C334" s="53"/>
      <c r="D334" s="55"/>
      <c r="E334" s="55"/>
      <c r="F334" s="48" t="s">
        <v>130</v>
      </c>
      <c r="G334" s="48" t="s">
        <v>313</v>
      </c>
      <c r="H334" s="53"/>
      <c r="I334" s="53"/>
      <c r="J334" s="55"/>
      <c r="K334" s="55"/>
      <c r="L334" s="55" t="str">
        <f>IFERROR(__xludf.DUMMYFUNCTION("QUERY('Volunteer Survey'!B343)"),"Ximena Bonilla")</f>
        <v>Ximena Bonilla</v>
      </c>
      <c r="M334" s="55" t="str">
        <f>IFERROR(__xludf.DUMMYFUNCTION("QUERY('Volunteer Survey'!E343)"),"ximena.bonilla@inf.ethz.ch")</f>
        <v>ximena.bonilla@inf.ethz.ch</v>
      </c>
      <c r="N334" s="55" t="str">
        <f>IFERROR(__xludf.DUMMYFUNCTION("QUERY('Volunteer Survey'!F343)"),"Post Doc/Resident/Fellow (MD and/or PhD)")</f>
        <v>Post Doc/Resident/Fellow (MD and/or PhD)</v>
      </c>
      <c r="O334" s="48" t="str">
        <f>IFERROR(__xludf.DUMMYFUNCTION("QUERY('Volunteer Survey'!H343)"),"Baseline")</f>
        <v>Baseline</v>
      </c>
      <c r="P334" s="55" t="str">
        <f>IFERROR(__xludf.DUMMYFUNCTION("QUERY('Volunteer Survey'!I343)"),"Variant Pathogenicity")</f>
        <v>Variant Pathogenicity</v>
      </c>
      <c r="Q334" s="60" t="str">
        <f>IFERROR(__xludf.DUMMYFUNCTION("QUERY('Volunteer Survey'!J343)"),"Dosage Sensitivity")</f>
        <v>Dosage Sensitivity</v>
      </c>
      <c r="R334" s="55" t="str">
        <f>IFERROR(__xludf.DUMMYFUNCTION("QUERY('Volunteer Survey'!K343)"),"Gene-Disease Validity")</f>
        <v>Gene-Disease Validity</v>
      </c>
      <c r="S334" s="55" t="str">
        <f>IFERROR(__xludf.DUMMYFUNCTION("QUERY('Volunteer Survey'!L343)"),"")</f>
        <v/>
      </c>
      <c r="T334" s="55" t="str">
        <f>IFERROR(__xludf.DUMMYFUNCTION("QUERY('Volunteer Survey'!M343)"),"")</f>
        <v/>
      </c>
      <c r="U334" s="64" t="str">
        <f>IFERROR(__xludf.DUMMYFUNCTION("QUERY('Volunteer Survey'!N343)"),"Regarding ""Variant pathogenicity"", I carried out variant pathogenicity assessments for Mendelian disease routinely during my PhD, and have worked as a variant interpretation specialist at a medical genetics department (Universidad Autónoma de Nuevo León"&amp;", Mexico). Regarding ""dosage sensitivity"", I am currently working on the effect of mitochondria mutation burden in metabolic disorders (non-mitochondrial disorders). Regarding ""gene-disease validity"", I have medical training and although I am not a cl"&amp;"inical geneticist I have ample experience in genotype/phenotype associations and dissection of complex phenotypes and their link to genetics.")</f>
        <v>Regarding "Variant pathogenicity", I carried out variant pathogenicity assessments for Mendelian disease routinely during my PhD, and have worked as a variant interpretation specialist at a medical genetics department (Universidad Autónoma de Nuevo León, Mexico). Regarding "dosage sensitivity", I am currently working on the effect of mitochondria mutation burden in metabolic disorders (non-mitochondrial disorders). Regarding "gene-disease validity", I have medical training and although I am not a clinical geneticist I have ample experience in genotype/phenotype associations and dissection of complex phenotypes and their link to genetics.</v>
      </c>
      <c r="V334" s="55" t="str">
        <f>IFERROR(__xludf.DUMMYFUNCTION("QUERY('Volunteer Survey'!O343)"),"Possibly")</f>
        <v>Possibly</v>
      </c>
      <c r="W334" s="66" t="str">
        <f>IFERROR(__xludf.DUMMYFUNCTION("QUERY('Volunteer Survey'!P343)"),"")</f>
        <v/>
      </c>
      <c r="X334" s="64" t="str">
        <f>IFERROR(__xludf.DUMMYFUNCTION("QUERY('Volunteer Survey'!R343)"),"Yes- I am willing to volunteer with any available ClinGen group")</f>
        <v>Yes- I am willing to volunteer with any available ClinGen group</v>
      </c>
      <c r="Y334" s="53"/>
      <c r="Z334" s="182">
        <f>IFERROR(__xludf.DUMMYFUNCTION("QUERY('Volunteer Survey'!A333)"),43755.77478533565)</f>
        <v>43755.77479</v>
      </c>
      <c r="AA334" s="183" t="str">
        <f>IFERROR(__xludf.DUMMYFUNCTION("QUERY('Volunteer Survey'!B333)"),"KC Vavra")</f>
        <v>KC Vavra</v>
      </c>
      <c r="AB334" s="183" t="str">
        <f>IFERROR(__xludf.DUMMYFUNCTION("QUERY('Volunteer Survey'!C333)"),"Agilent Technologies")</f>
        <v>Agilent Technologies</v>
      </c>
      <c r="AC334" s="183" t="str">
        <f>IFERROR(__xludf.DUMMYFUNCTION("QUERY('Volunteer Survey'!D333)"),"")</f>
        <v/>
      </c>
      <c r="AD334" s="183" t="str">
        <f>IFERROR(__xludf.DUMMYFUNCTION("QUERY('Volunteer Survey'!E333)"),"kc.vavra@agilent.com")</f>
        <v>kc.vavra@agilent.com</v>
      </c>
      <c r="AE334" s="183" t="str">
        <f>IFERROR(__xludf.DUMMYFUNCTION("QUERY('Volunteer Survey'!F333)"),"Citizen Scientist/Patient Advocate")</f>
        <v>Citizen Scientist/Patient Advocate</v>
      </c>
      <c r="AF334" s="183" t="str">
        <f>IFERROR(__xludf.DUMMYFUNCTION("QUERY('Volunteer Survey'!G333)"),"ASHG 2019, Colleagues")</f>
        <v>ASHG 2019, Colleagues</v>
      </c>
      <c r="AG334" s="183" t="str">
        <f>IFERROR(__xludf.DUMMYFUNCTION("QUERY('Volunteer Survey'!H333)"),"Comprehensive")</f>
        <v>Comprehensive</v>
      </c>
      <c r="AH334" s="183" t="str">
        <f>IFERROR(__xludf.DUMMYFUNCTION("QUERY('Volunteer Survey'!I333)"),"Somatic Cancer")</f>
        <v>Somatic Cancer</v>
      </c>
      <c r="AI334" s="183" t="str">
        <f>IFERROR(__xludf.DUMMYFUNCTION("QUERY('Volunteer Survey'!J333)"),"Gene-Disease Validity")</f>
        <v>Gene-Disease Validity</v>
      </c>
      <c r="AJ334" s="183" t="str">
        <f>IFERROR(__xludf.DUMMYFUNCTION("QUERY('Volunteer Survey'!K333)"),"Clinical Actionability")</f>
        <v>Clinical Actionability</v>
      </c>
      <c r="AK334" s="183" t="str">
        <f>IFERROR(__xludf.DUMMYFUNCTION("QUERY('Volunteer Survey'!L333)"),"Dosage Sensitivity")</f>
        <v>Dosage Sensitivity</v>
      </c>
      <c r="AL334" s="183" t="str">
        <f>IFERROR(__xludf.DUMMYFUNCTION("QUERY('Volunteer Survey'!M333)"),"Variant Pathogenicity")</f>
        <v>Variant Pathogenicity</v>
      </c>
      <c r="AM334" s="183" t="str">
        <f>IFERROR(__xludf.DUMMYFUNCTION("QUERY('Volunteer Survey'!N333)"),"Variant curation in tumor/normal matched samples in ovarian cancer for a private database. Currently assisting customers or Agilent with various curation databases and understanding of curated variants.")</f>
        <v>Variant curation in tumor/normal matched samples in ovarian cancer for a private database. Currently assisting customers or Agilent with various curation databases and understanding of curated variants.</v>
      </c>
      <c r="AN334" s="183" t="str">
        <f>IFERROR(__xludf.DUMMYFUNCTION("QUERY('Volunteer Survey'!O333)"),"Possibly")</f>
        <v>Possibly</v>
      </c>
      <c r="AO334" s="183" t="str">
        <f>IFERROR(__xludf.DUMMYFUNCTION("QUERY('Volunteer Survey'!P333)"),"")</f>
        <v/>
      </c>
    </row>
    <row r="335">
      <c r="A335" s="50">
        <f>IFERROR(__xludf.DUMMYFUNCTION("QUERY('Volunteer Survey'!A344)"),43767.624537407406)</f>
        <v>43767.62454</v>
      </c>
      <c r="B335" s="48" t="s">
        <v>108</v>
      </c>
      <c r="C335" s="79">
        <v>43819.0</v>
      </c>
      <c r="D335" s="55"/>
      <c r="E335" s="55"/>
      <c r="F335" s="48" t="s">
        <v>130</v>
      </c>
      <c r="G335" s="48" t="s">
        <v>122</v>
      </c>
      <c r="H335" s="53"/>
      <c r="I335" s="53"/>
      <c r="J335" s="55"/>
      <c r="K335" s="55"/>
      <c r="L335" s="55" t="str">
        <f>IFERROR(__xludf.DUMMYFUNCTION("QUERY('Volunteer Survey'!B344)"),"Steve Waring")</f>
        <v>Steve Waring</v>
      </c>
      <c r="M335" s="55" t="str">
        <f>IFERROR(__xludf.DUMMYFUNCTION("QUERY('Volunteer Survey'!E344)"),"stephen.waring@essentiahealth.org")</f>
        <v>stephen.waring@essentiahealth.org</v>
      </c>
      <c r="N335" s="55" t="str">
        <f>IFERROR(__xludf.DUMMYFUNCTION("QUERY('Volunteer Survey'!F344)"),"Scientific Researcher")</f>
        <v>Scientific Researcher</v>
      </c>
      <c r="O335" s="48" t="str">
        <f>IFERROR(__xludf.DUMMYFUNCTION("QUERY('Volunteer Survey'!H344)"),"Comprehensive")</f>
        <v>Comprehensive</v>
      </c>
      <c r="P335" s="55" t="str">
        <f>IFERROR(__xludf.DUMMYFUNCTION("QUERY('Volunteer Survey'!I344)"),"Gene-Disease Validity")</f>
        <v>Gene-Disease Validity</v>
      </c>
      <c r="Q335" s="60" t="str">
        <f>IFERROR(__xludf.DUMMYFUNCTION("QUERY('Volunteer Survey'!J344)"),"Clinical Actionability")</f>
        <v>Clinical Actionability</v>
      </c>
      <c r="R335" s="55" t="str">
        <f>IFERROR(__xludf.DUMMYFUNCTION("QUERY('Volunteer Survey'!K344)"),"")</f>
        <v/>
      </c>
      <c r="S335" s="55" t="str">
        <f>IFERROR(__xludf.DUMMYFUNCTION("QUERY('Volunteer Survey'!L344)"),"")</f>
        <v/>
      </c>
      <c r="T335" s="55" t="str">
        <f>IFERROR(__xludf.DUMMYFUNCTION("QUERY('Volunteer Survey'!M344)"),"")</f>
        <v/>
      </c>
      <c r="U335" s="64" t="str">
        <f>IFERROR(__xludf.DUMMYFUNCTION("QUERY('Volunteer Survey'!N344)"),"Genetic epidemiology research involving gene-gene and gene-env interactions; PGx")</f>
        <v>Genetic epidemiology research involving gene-gene and gene-env interactions; PGx</v>
      </c>
      <c r="V335" s="55" t="str">
        <f>IFERROR(__xludf.DUMMYFUNCTION("QUERY('Volunteer Survey'!O344)"),"No")</f>
        <v>No</v>
      </c>
      <c r="W335" s="66" t="str">
        <f>IFERROR(__xludf.DUMMYFUNCTION("QUERY('Volunteer Survey'!P344)"),"Open to assignment based on greatest need")</f>
        <v>Open to assignment based on greatest need</v>
      </c>
      <c r="X335" s="64" t="str">
        <f>IFERROR(__xludf.DUMMYFUNCTION("QUERY('Volunteer Survey'!R344)"),"Yes- I am willing to volunteer with any available ClinGen group")</f>
        <v>Yes- I am willing to volunteer with any available ClinGen group</v>
      </c>
      <c r="Y335" s="53"/>
      <c r="Z335" s="182">
        <f>IFERROR(__xludf.DUMMYFUNCTION("QUERY('Volunteer Survey'!A334)"),43756.68047160879)</f>
        <v>43756.68047</v>
      </c>
      <c r="AA335" s="183" t="str">
        <f>IFERROR(__xludf.DUMMYFUNCTION("QUERY('Volunteer Survey'!B334)"),"Chisato Yamasaki")</f>
        <v>Chisato Yamasaki</v>
      </c>
      <c r="AB335" s="183" t="str">
        <f>IFERROR(__xludf.DUMMYFUNCTION("QUERY('Volunteer Survey'!C334)"),"Osaka Univ., Japan")</f>
        <v>Osaka Univ., Japan</v>
      </c>
      <c r="AC335" s="183" t="str">
        <f>IFERROR(__xludf.DUMMYFUNCTION("QUERY('Volunteer Survey'!D334)"),"")</f>
        <v/>
      </c>
      <c r="AD335" s="183" t="str">
        <f>IFERROR(__xludf.DUMMYFUNCTION("QUERY('Volunteer Survey'!E334)"),"cyamasak@eth.med.osaka-u.ac.jp")</f>
        <v>cyamasak@eth.med.osaka-u.ac.jp</v>
      </c>
      <c r="AE335" s="183" t="str">
        <f>IFERROR(__xludf.DUMMYFUNCTION("QUERY('Volunteer Survey'!F334)"),"Post Doc/Resident/Fellow (MD and/or PhD)")</f>
        <v>Post Doc/Resident/Fellow (MD and/or PhD)</v>
      </c>
      <c r="AF335" s="183" t="str">
        <f>IFERROR(__xludf.DUMMYFUNCTION("QUERY('Volunteer Survey'!G334)"),"ASHG 2019")</f>
        <v>ASHG 2019</v>
      </c>
      <c r="AG335" s="183" t="str">
        <f>IFERROR(__xludf.DUMMYFUNCTION("QUERY('Volunteer Survey'!H334)"),"Baseline")</f>
        <v>Baseline</v>
      </c>
      <c r="AH335" s="183" t="str">
        <f>IFERROR(__xludf.DUMMYFUNCTION("QUERY('Volunteer Survey'!I334)"),"Gene-Disease Validity")</f>
        <v>Gene-Disease Validity</v>
      </c>
      <c r="AI335" s="183" t="str">
        <f>IFERROR(__xludf.DUMMYFUNCTION("QUERY('Volunteer Survey'!J334)"),"Variant Pathogenicity")</f>
        <v>Variant Pathogenicity</v>
      </c>
      <c r="AJ335" s="183" t="str">
        <f>IFERROR(__xludf.DUMMYFUNCTION("QUERY('Volunteer Survey'!K334)"),"Clinical Actionability")</f>
        <v>Clinical Actionability</v>
      </c>
      <c r="AK335" s="183" t="str">
        <f>IFERROR(__xludf.DUMMYFUNCTION("QUERY('Volunteer Survey'!L334)"),"")</f>
        <v/>
      </c>
      <c r="AL335" s="183" t="str">
        <f>IFERROR(__xludf.DUMMYFUNCTION("QUERY('Volunteer Survey'!M334)"),"")</f>
        <v/>
      </c>
      <c r="AM335" s="183" t="str">
        <f>IFERROR(__xludf.DUMMYFUNCTION("QUERY('Volunteer Survey'!N334)"),"H-inv")</f>
        <v>H-inv</v>
      </c>
      <c r="AN335" s="183" t="str">
        <f>IFERROR(__xludf.DUMMYFUNCTION("QUERY('Volunteer Survey'!O334)"),"Yes")</f>
        <v>Yes</v>
      </c>
      <c r="AO335" s="183" t="str">
        <f>IFERROR(__xludf.DUMMYFUNCTION("QUERY('Volunteer Survey'!P334)"),"")</f>
        <v/>
      </c>
    </row>
    <row r="336">
      <c r="A336" s="50">
        <f>IFERROR(__xludf.DUMMYFUNCTION("QUERY('Volunteer Survey'!A345)"),43769.53906245371)</f>
        <v>43769.53906</v>
      </c>
      <c r="B336" s="48" t="s">
        <v>108</v>
      </c>
      <c r="C336" s="79">
        <v>43819.0</v>
      </c>
      <c r="D336" s="55"/>
      <c r="E336" s="55"/>
      <c r="F336" s="48" t="s">
        <v>130</v>
      </c>
      <c r="G336" s="48" t="s">
        <v>251</v>
      </c>
      <c r="H336" s="53"/>
      <c r="I336" s="51" t="s">
        <v>356</v>
      </c>
      <c r="J336" s="55"/>
      <c r="K336" s="55"/>
      <c r="L336" s="55" t="str">
        <f>IFERROR(__xludf.DUMMYFUNCTION("QUERY('Volunteer Survey'!B345)"),"Abul Kalam Azad")</f>
        <v>Abul Kalam Azad</v>
      </c>
      <c r="M336" s="55" t="str">
        <f>IFERROR(__xludf.DUMMYFUNCTION("QUERY('Volunteer Survey'!E345)"),"azadak@gmail.com")</f>
        <v>azadak@gmail.com</v>
      </c>
      <c r="N336" s="55" t="str">
        <f>IFERROR(__xludf.DUMMYFUNCTION("QUERY('Volunteer Survey'!F345)"),"Post Doc/Resident/Fellow (MD and/or PhD)")</f>
        <v>Post Doc/Resident/Fellow (MD and/or PhD)</v>
      </c>
      <c r="O336" s="48" t="str">
        <f>IFERROR(__xludf.DUMMYFUNCTION("QUERY('Volunteer Survey'!H345)"),"Comprehensive")</f>
        <v>Comprehensive</v>
      </c>
      <c r="P336" s="55" t="str">
        <f>IFERROR(__xludf.DUMMYFUNCTION("QUERY('Volunteer Survey'!I345)"),"Variant Pathogenicity")</f>
        <v>Variant Pathogenicity</v>
      </c>
      <c r="Q336" s="60" t="str">
        <f>IFERROR(__xludf.DUMMYFUNCTION("QUERY('Volunteer Survey'!J345)"),"")</f>
        <v/>
      </c>
      <c r="R336" s="55" t="str">
        <f>IFERROR(__xludf.DUMMYFUNCTION("QUERY('Volunteer Survey'!K345)"),"")</f>
        <v/>
      </c>
      <c r="S336" s="55" t="str">
        <f>IFERROR(__xludf.DUMMYFUNCTION("QUERY('Volunteer Survey'!L345)"),"")</f>
        <v/>
      </c>
      <c r="T336" s="55" t="str">
        <f>IFERROR(__xludf.DUMMYFUNCTION("QUERY('Volunteer Survey'!M345)"),"")</f>
        <v/>
      </c>
      <c r="U336" s="64" t="str">
        <f>IFERROR(__xludf.DUMMYFUNCTION("QUERY('Volunteer Survey'!N345)"),"")</f>
        <v/>
      </c>
      <c r="V336" s="55" t="str">
        <f>IFERROR(__xludf.DUMMYFUNCTION("QUERY('Volunteer Survey'!O345)"),"Yes")</f>
        <v>Yes</v>
      </c>
      <c r="W336" s="66" t="str">
        <f>IFERROR(__xludf.DUMMYFUNCTION("QUERY('Volunteer Survey'!P345)"),"")</f>
        <v/>
      </c>
      <c r="X336" s="64" t="str">
        <f>IFERROR(__xludf.DUMMYFUNCTION("QUERY('Volunteer Survey'!R345)"),"Yes- I am willing to volunteer with any available ClinGen group")</f>
        <v>Yes- I am willing to volunteer with any available ClinGen group</v>
      </c>
      <c r="Y336" s="53"/>
      <c r="Z336" s="182">
        <f>IFERROR(__xludf.DUMMYFUNCTION("QUERY('Volunteer Survey'!A335)"),43758.702828981484)</f>
        <v>43758.70283</v>
      </c>
      <c r="AA336" s="183" t="str">
        <f>IFERROR(__xludf.DUMMYFUNCTION("QUERY('Volunteer Survey'!B335)"),"Beth Stronach")</f>
        <v>Beth Stronach</v>
      </c>
      <c r="AB336" s="183" t="str">
        <f>IFERROR(__xludf.DUMMYFUNCTION("QUERY('Volunteer Survey'!C335)"),"University of Pittsburgh")</f>
        <v>University of Pittsburgh</v>
      </c>
      <c r="AC336" s="183" t="str">
        <f>IFERROR(__xludf.DUMMYFUNCTION("QUERY('Volunteer Survey'!D335)"),"6016 Bryant St")</f>
        <v>6016 Bryant St</v>
      </c>
      <c r="AD336" s="183" t="str">
        <f>IFERROR(__xludf.DUMMYFUNCTION("QUERY('Volunteer Survey'!E335)"),"stronach@pitt.edu")</f>
        <v>stronach@pitt.edu</v>
      </c>
      <c r="AE336" s="183" t="str">
        <f>IFERROR(__xludf.DUMMYFUNCTION("QUERY('Volunteer Survey'!F335)"),"Scientific Researcher")</f>
        <v>Scientific Researcher</v>
      </c>
      <c r="AF336" s="183" t="str">
        <f>IFERROR(__xludf.DUMMYFUNCTION("QUERY('Volunteer Survey'!G335)"),"The clinicalgenome.org website")</f>
        <v>The clinicalgenome.org website</v>
      </c>
      <c r="AG336" s="183" t="str">
        <f>IFERROR(__xludf.DUMMYFUNCTION("QUERY('Volunteer Survey'!H335)"),"Comprehensive")</f>
        <v>Comprehensive</v>
      </c>
      <c r="AH336" s="183" t="str">
        <f>IFERROR(__xludf.DUMMYFUNCTION("QUERY('Volunteer Survey'!I335)"),"Gene-Disease Validity")</f>
        <v>Gene-Disease Validity</v>
      </c>
      <c r="AI336" s="183" t="str">
        <f>IFERROR(__xludf.DUMMYFUNCTION("QUERY('Volunteer Survey'!J335)"),"Variant Pathogenicity")</f>
        <v>Variant Pathogenicity</v>
      </c>
      <c r="AJ336" s="183" t="str">
        <f>IFERROR(__xludf.DUMMYFUNCTION("QUERY('Volunteer Survey'!K335)"),"Clinical Actionability")</f>
        <v>Clinical Actionability</v>
      </c>
      <c r="AK336" s="183" t="str">
        <f>IFERROR(__xludf.DUMMYFUNCTION("QUERY('Volunteer Survey'!L335)"),"Somatic Cancer")</f>
        <v>Somatic Cancer</v>
      </c>
      <c r="AL336" s="183" t="str">
        <f>IFERROR(__xludf.DUMMYFUNCTION("QUERY('Volunteer Survey'!M335)"),"Dosage Sensitivity")</f>
        <v>Dosage Sensitivity</v>
      </c>
      <c r="AM336" s="183" t="str">
        <f>IFERROR(__xludf.DUMMYFUNCTION("QUERY('Volunteer Survey'!N335)"),"Not formally, but as a practicing basic research scientist for over a decade, and a molecular biologist and developmental geneticist by training, I could be useful.")</f>
        <v>Not formally, but as a practicing basic research scientist for over a decade, and a molecular biologist and developmental geneticist by training, I could be useful.</v>
      </c>
      <c r="AN336" s="183" t="str">
        <f>IFERROR(__xludf.DUMMYFUNCTION("QUERY('Volunteer Survey'!O335)"),"Possibly")</f>
        <v>Possibly</v>
      </c>
      <c r="AO336" s="183" t="str">
        <f>IFERROR(__xludf.DUMMYFUNCTION("QUERY('Volunteer Survey'!P335)"),"RASopathy, neurodevelopmental, or myopathy groups")</f>
        <v>RASopathy, neurodevelopmental, or myopathy groups</v>
      </c>
    </row>
    <row r="337">
      <c r="A337" s="50">
        <f>IFERROR(__xludf.DUMMYFUNCTION("QUERY('Volunteer Survey'!A346)"),43769.889063877315)</f>
        <v>43769.88906</v>
      </c>
      <c r="B337" s="48" t="s">
        <v>322</v>
      </c>
      <c r="C337" s="53"/>
      <c r="D337" s="55"/>
      <c r="E337" s="55"/>
      <c r="F337" s="48" t="s">
        <v>130</v>
      </c>
      <c r="G337" s="48" t="s">
        <v>313</v>
      </c>
      <c r="H337" s="53"/>
      <c r="I337" s="53"/>
      <c r="J337" s="55"/>
      <c r="K337" s="55"/>
      <c r="L337" s="55" t="str">
        <f>IFERROR(__xludf.DUMMYFUNCTION("QUERY('Volunteer Survey'!B346)"),"Lise Graversen")</f>
        <v>Lise Graversen</v>
      </c>
      <c r="M337" s="55" t="str">
        <f>IFERROR(__xludf.DUMMYFUNCTION("QUERY('Volunteer Survey'!E346)"),"lisega@rm.dk")</f>
        <v>lisega@rm.dk</v>
      </c>
      <c r="N337" s="55" t="str">
        <f>IFERROR(__xludf.DUMMYFUNCTION("QUERY('Volunteer Survey'!F346)"),"Clinical Medical Geneticist")</f>
        <v>Clinical Medical Geneticist</v>
      </c>
      <c r="O337" s="48" t="str">
        <f>IFERROR(__xludf.DUMMYFUNCTION("QUERY('Volunteer Survey'!H346)"),"Baseline")</f>
        <v>Baseline</v>
      </c>
      <c r="P337" s="55" t="str">
        <f>IFERROR(__xludf.DUMMYFUNCTION("QUERY('Volunteer Survey'!I346)"),"")</f>
        <v/>
      </c>
      <c r="Q337" s="60" t="str">
        <f>IFERROR(__xludf.DUMMYFUNCTION("QUERY('Volunteer Survey'!J346)"),"")</f>
        <v/>
      </c>
      <c r="R337" s="55" t="str">
        <f>IFERROR(__xludf.DUMMYFUNCTION("QUERY('Volunteer Survey'!K346)"),"")</f>
        <v/>
      </c>
      <c r="S337" s="55" t="str">
        <f>IFERROR(__xludf.DUMMYFUNCTION("QUERY('Volunteer Survey'!L346)"),"")</f>
        <v/>
      </c>
      <c r="T337" s="55" t="str">
        <f>IFERROR(__xludf.DUMMYFUNCTION("QUERY('Volunteer Survey'!M346)"),"")</f>
        <v/>
      </c>
      <c r="U337" s="64" t="str">
        <f>IFERROR(__xludf.DUMMYFUNCTION("QUERY('Volunteer Survey'!N346)"),"")</f>
        <v/>
      </c>
      <c r="V337" s="55" t="str">
        <f>IFERROR(__xludf.DUMMYFUNCTION("QUERY('Volunteer Survey'!O346)"),"No")</f>
        <v>No</v>
      </c>
      <c r="W337" s="66" t="str">
        <f>IFERROR(__xludf.DUMMYFUNCTION("QUERY('Volunteer Survey'!P346)"),"Insight mismatch repair")</f>
        <v>Insight mismatch repair</v>
      </c>
      <c r="X337" s="64" t="str">
        <f>IFERROR(__xludf.DUMMYFUNCTION("QUERY('Volunteer Survey'!R346)"),"No - I am only interested in the group(s) I previously indicated")</f>
        <v>No - I am only interested in the group(s) I previously indicated</v>
      </c>
      <c r="Y337" s="53"/>
      <c r="Z337" s="182">
        <f>IFERROR(__xludf.DUMMYFUNCTION("QUERY('Volunteer Survey'!A336)"),43759.36184341435)</f>
        <v>43759.36184</v>
      </c>
      <c r="AA337" s="183" t="str">
        <f>IFERROR(__xludf.DUMMYFUNCTION("QUERY('Volunteer Survey'!B336)"),"Eileen Chen")</f>
        <v>Eileen Chen</v>
      </c>
      <c r="AB337" s="183" t="str">
        <f>IFERROR(__xludf.DUMMYFUNCTION("QUERY('Volunteer Survey'!C336)"),"Singapore General Hospital")</f>
        <v>Singapore General Hospital</v>
      </c>
      <c r="AC337" s="183" t="str">
        <f>IFERROR(__xludf.DUMMYFUNCTION("QUERY('Volunteer Survey'!D336)"),"Academia, 20 College Road, Singapore 169856")</f>
        <v>Academia, 20 College Road, Singapore 169856</v>
      </c>
      <c r="AD337" s="183" t="str">
        <f>IFERROR(__xludf.DUMMYFUNCTION("QUERY('Volunteer Survey'!E336)"),"eileen.chen.x.q@sgh.com.sg")</f>
        <v>eileen.chen.x.q@sgh.com.sg</v>
      </c>
      <c r="AE337" s="183" t="str">
        <f>IFERROR(__xludf.DUMMYFUNCTION("QUERY('Volunteer Survey'!F336)"),"Variant Analyst/Scientist - Academic")</f>
        <v>Variant Analyst/Scientist - Academic</v>
      </c>
      <c r="AF337" s="183" t="str">
        <f>IFERROR(__xludf.DUMMYFUNCTION("QUERY('Volunteer Survey'!G336)"),"The clinicalgenome.org website")</f>
        <v>The clinicalgenome.org website</v>
      </c>
      <c r="AG337" s="183" t="str">
        <f>IFERROR(__xludf.DUMMYFUNCTION("QUERY('Volunteer Survey'!H336)"),"Comprehensive")</f>
        <v>Comprehensive</v>
      </c>
      <c r="AH337" s="183" t="str">
        <f>IFERROR(__xludf.DUMMYFUNCTION("QUERY('Volunteer Survey'!I336)"),"Somatic Cancer")</f>
        <v>Somatic Cancer</v>
      </c>
      <c r="AI337" s="183" t="str">
        <f>IFERROR(__xludf.DUMMYFUNCTION("QUERY('Volunteer Survey'!J336)"),"Clinical Actionability")</f>
        <v>Clinical Actionability</v>
      </c>
      <c r="AJ337" s="183" t="str">
        <f>IFERROR(__xludf.DUMMYFUNCTION("QUERY('Volunteer Survey'!K336)"),"Dosage Sensitivity")</f>
        <v>Dosage Sensitivity</v>
      </c>
      <c r="AK337" s="183" t="str">
        <f>IFERROR(__xludf.DUMMYFUNCTION("QUERY('Volunteer Survey'!L336)"),"Variant Pathogenicity")</f>
        <v>Variant Pathogenicity</v>
      </c>
      <c r="AL337" s="183" t="str">
        <f>IFERROR(__xludf.DUMMYFUNCTION("QUERY('Volunteer Survey'!M336)"),"Gene-Disease Validity")</f>
        <v>Gene-Disease Validity</v>
      </c>
      <c r="AM337" s="183" t="str">
        <f>IFERROR(__xludf.DUMMYFUNCTION("QUERY('Volunteer Survey'!N336)"),"No, only minimal training. ")</f>
        <v>No, only minimal training. </v>
      </c>
      <c r="AN337" s="183" t="str">
        <f>IFERROR(__xludf.DUMMYFUNCTION("QUERY('Volunteer Survey'!O336)"),"Yes")</f>
        <v>Yes</v>
      </c>
      <c r="AO337" s="183" t="str">
        <f>IFERROR(__xludf.DUMMYFUNCTION("QUERY('Volunteer Survey'!P336)"),"Yes. Somatic Cancer Working Group as the first choice.")</f>
        <v>Yes. Somatic Cancer Working Group as the first choice.</v>
      </c>
    </row>
    <row r="338">
      <c r="A338" s="50">
        <f>IFERROR(__xludf.DUMMYFUNCTION("QUERY('Volunteer Survey'!A347)"),43772.945721909724)</f>
        <v>43772.94572</v>
      </c>
      <c r="B338" s="48" t="s">
        <v>322</v>
      </c>
      <c r="C338" s="53"/>
      <c r="D338" s="55"/>
      <c r="E338" s="55"/>
      <c r="F338" s="48" t="s">
        <v>130</v>
      </c>
      <c r="G338" s="48" t="s">
        <v>313</v>
      </c>
      <c r="H338" s="53"/>
      <c r="I338" s="53"/>
      <c r="J338" s="55"/>
      <c r="K338" s="55"/>
      <c r="L338" s="55" t="str">
        <f>IFERROR(__xludf.DUMMYFUNCTION("QUERY('Volunteer Survey'!B347)"),"Ke Yu")</f>
        <v>Ke Yu</v>
      </c>
      <c r="M338" s="55" t="str">
        <f>IFERROR(__xludf.DUMMYFUNCTION("QUERY('Volunteer Survey'!E347)"),"yukefg@163.com")</f>
        <v>yukefg@163.com</v>
      </c>
      <c r="N338" s="55" t="str">
        <f>IFERROR(__xludf.DUMMYFUNCTION("QUERY('Volunteer Survey'!F347)"),"Clinical laboratory geneticist")</f>
        <v>Clinical laboratory geneticist</v>
      </c>
      <c r="O338" s="48" t="str">
        <f>IFERROR(__xludf.DUMMYFUNCTION("QUERY('Volunteer Survey'!H347)"),"Baseline")</f>
        <v>Baseline</v>
      </c>
      <c r="P338" s="55" t="str">
        <f>IFERROR(__xludf.DUMMYFUNCTION("QUERY('Volunteer Survey'!I347)"),"Variant Pathogenicity")</f>
        <v>Variant Pathogenicity</v>
      </c>
      <c r="Q338" s="60" t="str">
        <f>IFERROR(__xludf.DUMMYFUNCTION("QUERY('Volunteer Survey'!J347)"),"Gene-Disease Validity")</f>
        <v>Gene-Disease Validity</v>
      </c>
      <c r="R338" s="55" t="str">
        <f>IFERROR(__xludf.DUMMYFUNCTION("QUERY('Volunteer Survey'!K347)"),"Somatic Cancer")</f>
        <v>Somatic Cancer</v>
      </c>
      <c r="S338" s="55" t="str">
        <f>IFERROR(__xludf.DUMMYFUNCTION("QUERY('Volunteer Survey'!L347)"),"Dosage Sensitivity")</f>
        <v>Dosage Sensitivity</v>
      </c>
      <c r="T338" s="55" t="str">
        <f>IFERROR(__xludf.DUMMYFUNCTION("QUERY('Volunteer Survey'!M347)"),"Clinical Actionability")</f>
        <v>Clinical Actionability</v>
      </c>
      <c r="U338" s="64" t="str">
        <f>IFERROR(__xludf.DUMMYFUNCTION("QUERY('Volunteer Survey'!N347)"),"")</f>
        <v/>
      </c>
      <c r="V338" s="55" t="str">
        <f>IFERROR(__xludf.DUMMYFUNCTION("QUERY('Volunteer Survey'!O347)"),"Yes")</f>
        <v>Yes</v>
      </c>
      <c r="W338" s="66" t="str">
        <f>IFERROR(__xludf.DUMMYFUNCTION("QUERY('Volunteer Survey'!P347)"),"")</f>
        <v/>
      </c>
      <c r="X338" s="64" t="str">
        <f>IFERROR(__xludf.DUMMYFUNCTION("QUERY('Volunteer Survey'!R347)"),"Yes- I am willing to volunteer with any available ClinGen group")</f>
        <v>Yes- I am willing to volunteer with any available ClinGen group</v>
      </c>
      <c r="Y338" s="53"/>
      <c r="Z338" s="182">
        <f>IFERROR(__xludf.DUMMYFUNCTION("QUERY('Volunteer Survey'!A337)"),43760.48148934028)</f>
        <v>43760.48149</v>
      </c>
      <c r="AA338" s="183" t="str">
        <f>IFERROR(__xludf.DUMMYFUNCTION("QUERY('Volunteer Survey'!B337)"),"Jennifer Sloan")</f>
        <v>Jennifer Sloan</v>
      </c>
      <c r="AB338" s="183" t="str">
        <f>IFERROR(__xludf.DUMMYFUNCTION("QUERY('Volunteer Survey'!C337)"),"NHGRI")</f>
        <v>NHGRI</v>
      </c>
      <c r="AC338" s="183" t="str">
        <f>IFERROR(__xludf.DUMMYFUNCTION("QUERY('Volunteer Survey'!D337)"),"10 Center Dr. Bldg 10 Room 7N248B")</f>
        <v>10 Center Dr. Bldg 10 Room 7N248B</v>
      </c>
      <c r="AD338" s="183" t="str">
        <f>IFERROR(__xludf.DUMMYFUNCTION("QUERY('Volunteer Survey'!E337)"),"jsloan@mail.nih.gov")</f>
        <v>jsloan@mail.nih.gov</v>
      </c>
      <c r="AE338" s="183" t="str">
        <f>IFERROR(__xludf.DUMMYFUNCTION("QUERY('Volunteer Survey'!F337)"),"Genetic counselor")</f>
        <v>Genetic counselor</v>
      </c>
      <c r="AF338" s="183" t="str">
        <f>IFERROR(__xludf.DUMMYFUNCTION("QUERY('Volunteer Survey'!G337)"),"Networking")</f>
        <v>Networking</v>
      </c>
      <c r="AG338" s="183" t="str">
        <f>IFERROR(__xludf.DUMMYFUNCTION("QUERY('Volunteer Survey'!H337)"),"Comprehensive")</f>
        <v>Comprehensive</v>
      </c>
      <c r="AH338" s="183" t="str">
        <f>IFERROR(__xludf.DUMMYFUNCTION("QUERY('Volunteer Survey'!I337)"),"Variant Pathogenicity")</f>
        <v>Variant Pathogenicity</v>
      </c>
      <c r="AI338" s="183" t="str">
        <f>IFERROR(__xludf.DUMMYFUNCTION("QUERY('Volunteer Survey'!J337)"),"Gene-Disease Validity")</f>
        <v>Gene-Disease Validity</v>
      </c>
      <c r="AJ338" s="183" t="str">
        <f>IFERROR(__xludf.DUMMYFUNCTION("QUERY('Volunteer Survey'!K337)"),"Clinical Actionability")</f>
        <v>Clinical Actionability</v>
      </c>
      <c r="AK338" s="183" t="str">
        <f>IFERROR(__xludf.DUMMYFUNCTION("QUERY('Volunteer Survey'!L337)"),"Dosage Sensitivity")</f>
        <v>Dosage Sensitivity</v>
      </c>
      <c r="AL338" s="183" t="str">
        <f>IFERROR(__xludf.DUMMYFUNCTION("QUERY('Volunteer Survey'!M337)"),"Somatic Cancer")</f>
        <v>Somatic Cancer</v>
      </c>
      <c r="AM338" s="183" t="str">
        <f>IFERROR(__xludf.DUMMYFUNCTION("QUERY('Volunteer Survey'!N337)"),"I work on natural hx studies for MMA/cobalamin disorders and PA where we have evaluated &gt;200 affected individuals and am involved in reviewing and interpreting molecular genetic test results. Also recently completed fellowship in Clinical Molecular Geneti"&amp;"cs at NIH and took board exam in 8/2019.")</f>
        <v>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v>
      </c>
      <c r="AN338" s="183" t="str">
        <f>IFERROR(__xludf.DUMMYFUNCTION("QUERY('Volunteer Survey'!O337)"),"Possibly")</f>
        <v>Possibly</v>
      </c>
      <c r="AO338" s="183" t="str">
        <f>IFERROR(__xludf.DUMMYFUNCTION("QUERY('Volunteer Survey'!P337)"),"OTC")</f>
        <v>OTC</v>
      </c>
    </row>
    <row r="339">
      <c r="A339" s="50">
        <f>IFERROR(__xludf.DUMMYFUNCTION("QUERY('Volunteer Survey'!A348)"),43773.58556355324)</f>
        <v>43773.58556</v>
      </c>
      <c r="B339" s="48" t="s">
        <v>322</v>
      </c>
      <c r="C339" s="53"/>
      <c r="D339" s="55"/>
      <c r="E339" s="55"/>
      <c r="F339" s="48" t="s">
        <v>130</v>
      </c>
      <c r="G339" s="48" t="s">
        <v>313</v>
      </c>
      <c r="H339" s="53"/>
      <c r="I339" s="53"/>
      <c r="J339" s="55"/>
      <c r="K339" s="55"/>
      <c r="L339" s="55" t="str">
        <f>IFERROR(__xludf.DUMMYFUNCTION("QUERY('Volunteer Survey'!B348)"),"JELENA BREZO")</f>
        <v>JELENA BREZO</v>
      </c>
      <c r="M339" s="55" t="str">
        <f>IFERROR(__xludf.DUMMYFUNCTION("QUERY('Volunteer Survey'!E348)"),"dnalphabet@gmail.com")</f>
        <v>dnalphabet@gmail.com</v>
      </c>
      <c r="N339" s="55" t="str">
        <f>IFERROR(__xludf.DUMMYFUNCTION("QUERY('Volunteer Survey'!F348)"),"Clinical laboratory geneticist")</f>
        <v>Clinical laboratory geneticist</v>
      </c>
      <c r="O339" s="48" t="str">
        <f>IFERROR(__xludf.DUMMYFUNCTION("QUERY('Volunteer Survey'!H348)"),"Baseline")</f>
        <v>Baseline</v>
      </c>
      <c r="P339" s="55" t="str">
        <f>IFERROR(__xludf.DUMMYFUNCTION("QUERY('Volunteer Survey'!I348)"),"Clinical Actionability")</f>
        <v>Clinical Actionability</v>
      </c>
      <c r="Q339" s="60" t="str">
        <f>IFERROR(__xludf.DUMMYFUNCTION("QUERY('Volunteer Survey'!J348)"),"Gene-Disease Validity")</f>
        <v>Gene-Disease Validity</v>
      </c>
      <c r="R339" s="55" t="str">
        <f>IFERROR(__xludf.DUMMYFUNCTION("QUERY('Volunteer Survey'!K348)"),"Variant Pathogenicity")</f>
        <v>Variant Pathogenicity</v>
      </c>
      <c r="S339" s="55" t="str">
        <f>IFERROR(__xludf.DUMMYFUNCTION("QUERY('Volunteer Survey'!L348)"),"Somatic Cancer")</f>
        <v>Somatic Cancer</v>
      </c>
      <c r="T339" s="55" t="str">
        <f>IFERROR(__xludf.DUMMYFUNCTION("QUERY('Volunteer Survey'!M348)"),"Dosage Sensitivity")</f>
        <v>Dosage Sensitivity</v>
      </c>
      <c r="U339" s="64" t="str">
        <f>IFERROR(__xludf.DUMMYFUNCTION("QUERY('Volunteer Survey'!N348)"),"As a lab director, I reviewed interpretations for  a number of phenotypes")</f>
        <v>As a lab director, I reviewed interpretations for  a number of phenotypes</v>
      </c>
      <c r="V339" s="55" t="str">
        <f>IFERROR(__xludf.DUMMYFUNCTION("QUERY('Volunteer Survey'!O348)"),"Possibly")</f>
        <v>Possibly</v>
      </c>
      <c r="W339" s="66" t="str">
        <f>IFERROR(__xludf.DUMMYFUNCTION("QUERY('Volunteer Survey'!P348)"),"No specific interest")</f>
        <v>No specific interest</v>
      </c>
      <c r="X339" s="64" t="str">
        <f>IFERROR(__xludf.DUMMYFUNCTION("QUERY('Volunteer Survey'!R348)"),"Maybe -- please contact me with other options, and I will decide based on what is available")</f>
        <v>Maybe -- please contact me with other options, and I will decide based on what is available</v>
      </c>
      <c r="Y339" s="53"/>
      <c r="Z339" s="182">
        <f>IFERROR(__xludf.DUMMYFUNCTION("QUERY('Volunteer Survey'!A338)"),43761.40069155092)</f>
        <v>43761.40069</v>
      </c>
      <c r="AA339" s="183" t="str">
        <f>IFERROR(__xludf.DUMMYFUNCTION("QUERY('Volunteer Survey'!B338)"),"Vasiliki Rahimzadeh")</f>
        <v>Vasiliki Rahimzadeh</v>
      </c>
      <c r="AB339" s="183" t="str">
        <f>IFERROR(__xludf.DUMMYFUNCTION("QUERY('Volunteer Survey'!C338)"),"Stanford University ")</f>
        <v>Stanford University </v>
      </c>
      <c r="AC339" s="183" t="str">
        <f>IFERROR(__xludf.DUMMYFUNCTION("QUERY('Volunteer Survey'!D338)"),"1215 Welch rd modular A, Stanford CA 95305")</f>
        <v>1215 Welch rd modular A, Stanford CA 95305</v>
      </c>
      <c r="AD339" s="183" t="str">
        <f>IFERROR(__xludf.DUMMYFUNCTION("QUERY('Volunteer Survey'!E338)"),"vrahim@stanford.edu")</f>
        <v>vrahim@stanford.edu</v>
      </c>
      <c r="AE339" s="183" t="str">
        <f>IFERROR(__xludf.DUMMYFUNCTION("QUERY('Volunteer Survey'!F338)"),"Postdoctoral fellow ")</f>
        <v>Postdoctoral fellow </v>
      </c>
      <c r="AF339" s="183" t="str">
        <f>IFERROR(__xludf.DUMMYFUNCTION("QUERY('Volunteer Survey'!G338)"),"ClinGen conference advertisements (i.e. booth, workshop, presentation)")</f>
        <v>ClinGen conference advertisements (i.e. booth, workshop, presentation)</v>
      </c>
      <c r="AG339" s="183" t="str">
        <f>IFERROR(__xludf.DUMMYFUNCTION("QUERY('Volunteer Survey'!H338)"),"Comprehensive")</f>
        <v>Comprehensive</v>
      </c>
      <c r="AH339" s="183" t="str">
        <f>IFERROR(__xludf.DUMMYFUNCTION("QUERY('Volunteer Survey'!I338)"),"Gene-Disease Validity")</f>
        <v>Gene-Disease Validity</v>
      </c>
      <c r="AI339" s="183" t="str">
        <f>IFERROR(__xludf.DUMMYFUNCTION("QUERY('Volunteer Survey'!J338)"),"Variant Pathogenicity")</f>
        <v>Variant Pathogenicity</v>
      </c>
      <c r="AJ339" s="183" t="str">
        <f>IFERROR(__xludf.DUMMYFUNCTION("QUERY('Volunteer Survey'!K338)"),"Somatic Cancer")</f>
        <v>Somatic Cancer</v>
      </c>
      <c r="AK339" s="183" t="str">
        <f>IFERROR(__xludf.DUMMYFUNCTION("QUERY('Volunteer Survey'!L338)"),"")</f>
        <v/>
      </c>
      <c r="AL339" s="183" t="str">
        <f>IFERROR(__xludf.DUMMYFUNCTION("QUERY('Volunteer Survey'!M338)"),"")</f>
        <v/>
      </c>
      <c r="AM339" s="183" t="str">
        <f>IFERROR(__xludf.DUMMYFUNCTION("QUERY('Volunteer Survey'!N338)"),"No, but have a basic theoretical background of genomic/genetic science ")</f>
        <v>No, but have a basic theoretical background of genomic/genetic science </v>
      </c>
      <c r="AN339" s="183" t="str">
        <f>IFERROR(__xludf.DUMMYFUNCTION("QUERY('Volunteer Survey'!O338)"),"Possibly")</f>
        <v>Possibly</v>
      </c>
      <c r="AO339" s="183" t="str">
        <f>IFERROR(__xludf.DUMMYFUNCTION("QUERY('Volunteer Survey'!P338)"),"Yes, pediatric cancer or rare genetic disease ")</f>
        <v>Yes, pediatric cancer or rare genetic disease </v>
      </c>
    </row>
    <row r="340">
      <c r="A340" s="50">
        <f>IFERROR(__xludf.DUMMYFUNCTION("QUERY('Volunteer Survey'!A349)"),43773.596221053245)</f>
        <v>43773.59622</v>
      </c>
      <c r="B340" s="48" t="s">
        <v>322</v>
      </c>
      <c r="C340" s="53"/>
      <c r="D340" s="55"/>
      <c r="E340" s="55"/>
      <c r="F340" s="48" t="s">
        <v>130</v>
      </c>
      <c r="G340" s="48" t="s">
        <v>136</v>
      </c>
      <c r="H340" s="53"/>
      <c r="I340" s="53"/>
      <c r="J340" s="55"/>
      <c r="K340" s="55"/>
      <c r="L340" s="55" t="str">
        <f>IFERROR(__xludf.DUMMYFUNCTION("QUERY('Volunteer Survey'!B349)"),"Qing Zhang")</f>
        <v>Qing Zhang</v>
      </c>
      <c r="M340" s="55" t="str">
        <f>IFERROR(__xludf.DUMMYFUNCTION("QUERY('Volunteer Survey'!E349)"),"qz1seattle@yahoo.com")</f>
        <v>qz1seattle@yahoo.com</v>
      </c>
      <c r="N340" s="55" t="str">
        <f>IFERROR(__xludf.DUMMYFUNCTION("QUERY('Volunteer Survey'!F349)"),"Scientific Researcher")</f>
        <v>Scientific Researcher</v>
      </c>
      <c r="O340" s="48" t="str">
        <f>IFERROR(__xludf.DUMMYFUNCTION("QUERY('Volunteer Survey'!H349)"),"Comprehensive")</f>
        <v>Comprehensive</v>
      </c>
      <c r="P340" s="55" t="str">
        <f>IFERROR(__xludf.DUMMYFUNCTION("QUERY('Volunteer Survey'!I349)"),"Somatic Cancer")</f>
        <v>Somatic Cancer</v>
      </c>
      <c r="Q340" s="60" t="str">
        <f>IFERROR(__xludf.DUMMYFUNCTION("QUERY('Volunteer Survey'!J349)"),"Variant Pathogenicity")</f>
        <v>Variant Pathogenicity</v>
      </c>
      <c r="R340" s="55" t="str">
        <f>IFERROR(__xludf.DUMMYFUNCTION("QUERY('Volunteer Survey'!K349)"),"Clinical Actionability")</f>
        <v>Clinical Actionability</v>
      </c>
      <c r="S340" s="55" t="str">
        <f>IFERROR(__xludf.DUMMYFUNCTION("QUERY('Volunteer Survey'!L349)"),"")</f>
        <v/>
      </c>
      <c r="T340" s="55" t="str">
        <f>IFERROR(__xludf.DUMMYFUNCTION("QUERY('Volunteer Survey'!M349)"),"")</f>
        <v/>
      </c>
      <c r="U340" s="64" t="str">
        <f>IFERROR(__xludf.DUMMYFUNCTION("QUERY('Volunteer Survey'!N349)"),"")</f>
        <v/>
      </c>
      <c r="V340" s="55" t="str">
        <f>IFERROR(__xludf.DUMMYFUNCTION("QUERY('Volunteer Survey'!O349)"),"Possibly")</f>
        <v>Possibly</v>
      </c>
      <c r="W340" s="66" t="str">
        <f>IFERROR(__xludf.DUMMYFUNCTION("QUERY('Volunteer Survey'!P349)"),"Somatic Cancer Working Group")</f>
        <v>Somatic Cancer Working Group</v>
      </c>
      <c r="X340" s="64" t="str">
        <f>IFERROR(__xludf.DUMMYFUNCTION("QUERY('Volunteer Survey'!R349)"),"Maybe -- please contact me with other options, and I will decide based on what is available")</f>
        <v>Maybe -- please contact me with other options, and I will decide based on what is available</v>
      </c>
      <c r="Y340" s="53"/>
      <c r="Z340" s="182">
        <f>IFERROR(__xludf.DUMMYFUNCTION("QUERY('Volunteer Survey'!A339)"),43761.512264895835)</f>
        <v>43761.51226</v>
      </c>
      <c r="AA340" s="183" t="str">
        <f>IFERROR(__xludf.DUMMYFUNCTION("QUERY('Volunteer Survey'!B339)"),"Guadalupe Carvajal")</f>
        <v>Guadalupe Carvajal</v>
      </c>
      <c r="AB340" s="183" t="str">
        <f>IFERROR(__xludf.DUMMYFUNCTION("QUERY('Volunteer Survey'!C339)"),"KGI")</f>
        <v>KGI</v>
      </c>
      <c r="AC340" s="183" t="str">
        <f>IFERROR(__xludf.DUMMYFUNCTION("QUERY('Volunteer Survey'!D339)"),"716 Valencia Avenue")</f>
        <v>716 Valencia Avenue</v>
      </c>
      <c r="AD340" s="183" t="str">
        <f>IFERROR(__xludf.DUMMYFUNCTION("QUERY('Volunteer Survey'!E339)"),"gcarvajal18@students.kgi.edu")</f>
        <v>gcarvajal18@students.kgi.edu</v>
      </c>
      <c r="AE340" s="183" t="str">
        <f>IFERROR(__xludf.DUMMYFUNCTION("QUERY('Volunteer Survey'!F339)"),"Genetic counselor")</f>
        <v>Genetic counselor</v>
      </c>
      <c r="AF340" s="183" t="str">
        <f>IFERROR(__xludf.DUMMYFUNCTION("QUERY('Volunteer Survey'!G339)"),"Educational coursework")</f>
        <v>Educational coursework</v>
      </c>
      <c r="AG340" s="183" t="str">
        <f>IFERROR(__xludf.DUMMYFUNCTION("QUERY('Volunteer Survey'!H339)"),"Comprehensive")</f>
        <v>Comprehensive</v>
      </c>
      <c r="AH340" s="183" t="str">
        <f>IFERROR(__xludf.DUMMYFUNCTION("QUERY('Volunteer Survey'!I339)"),"Variant Pathogenicity")</f>
        <v>Variant Pathogenicity</v>
      </c>
      <c r="AI340" s="183" t="str">
        <f>IFERROR(__xludf.DUMMYFUNCTION("QUERY('Volunteer Survey'!J339)"),"Clinical Actionability")</f>
        <v>Clinical Actionability</v>
      </c>
      <c r="AJ340" s="183" t="str">
        <f>IFERROR(__xludf.DUMMYFUNCTION("QUERY('Volunteer Survey'!K339)"),"Somatic Cancer")</f>
        <v>Somatic Cancer</v>
      </c>
      <c r="AK340" s="183" t="str">
        <f>IFERROR(__xludf.DUMMYFUNCTION("QUERY('Volunteer Survey'!L339)"),"Dosage Sensitivity")</f>
        <v>Dosage Sensitivity</v>
      </c>
      <c r="AL340" s="183" t="str">
        <f>IFERROR(__xludf.DUMMYFUNCTION("QUERY('Volunteer Survey'!M339)"),"Gene-Disease Validity")</f>
        <v>Gene-Disease Validity</v>
      </c>
      <c r="AM340" s="183" t="str">
        <f>IFERROR(__xludf.DUMMYFUNCTION("QUERY('Volunteer Survey'!N339)"),"Very basic work done in class")</f>
        <v>Very basic work done in class</v>
      </c>
      <c r="AN340" s="183" t="str">
        <f>IFERROR(__xludf.DUMMYFUNCTION("QUERY('Volunteer Survey'!O339)"),"Yes")</f>
        <v>Yes</v>
      </c>
      <c r="AO340" s="183" t="str">
        <f>IFERROR(__xludf.DUMMYFUNCTION("QUERY('Volunteer Survey'!P339)"),"")</f>
        <v/>
      </c>
    </row>
    <row r="341">
      <c r="A341" s="50">
        <f>IFERROR(__xludf.DUMMYFUNCTION("QUERY('Volunteer Survey'!A350)"),43775.928431423614)</f>
        <v>43775.92843</v>
      </c>
      <c r="B341" s="48" t="s">
        <v>322</v>
      </c>
      <c r="C341" s="53"/>
      <c r="D341" s="55"/>
      <c r="E341" s="55"/>
      <c r="F341" s="48" t="s">
        <v>130</v>
      </c>
      <c r="G341" s="48" t="s">
        <v>313</v>
      </c>
      <c r="H341" s="53"/>
      <c r="I341" s="53"/>
      <c r="J341" s="55"/>
      <c r="K341" s="55"/>
      <c r="L341" s="55" t="str">
        <f>IFERROR(__xludf.DUMMYFUNCTION("QUERY('Volunteer Survey'!B350)"),"Cassandra Barrett")</f>
        <v>Cassandra Barrett</v>
      </c>
      <c r="M341" s="55" t="str">
        <f>IFERROR(__xludf.DUMMYFUNCTION("QUERY('Volunteer Survey'!E350)"),"cas9bar@gmail.com")</f>
        <v>cas9bar@gmail.com</v>
      </c>
      <c r="N341" s="55" t="str">
        <f>IFERROR(__xludf.DUMMYFUNCTION("QUERY('Volunteer Survey'!F350)"),"PhD in genetic engineering; currently in a genetic counseling graduate program")</f>
        <v>PhD in genetic engineering; currently in a genetic counseling graduate program</v>
      </c>
      <c r="O341" s="48" t="str">
        <f>IFERROR(__xludf.DUMMYFUNCTION("QUERY('Volunteer Survey'!H350)"),"Comprehensive")</f>
        <v>Comprehensive</v>
      </c>
      <c r="P341" s="55" t="str">
        <f>IFERROR(__xludf.DUMMYFUNCTION("QUERY('Volunteer Survey'!I350)"),"Dosage Sensitivity")</f>
        <v>Dosage Sensitivity</v>
      </c>
      <c r="Q341" s="60" t="str">
        <f>IFERROR(__xludf.DUMMYFUNCTION("QUERY('Volunteer Survey'!J350)"),"Clinical Actionability")</f>
        <v>Clinical Actionability</v>
      </c>
      <c r="R341" s="55" t="str">
        <f>IFERROR(__xludf.DUMMYFUNCTION("QUERY('Volunteer Survey'!K350)"),"Gene-Disease Validity")</f>
        <v>Gene-Disease Validity</v>
      </c>
      <c r="S341" s="55" t="str">
        <f>IFERROR(__xludf.DUMMYFUNCTION("QUERY('Volunteer Survey'!L350)"),"Variant Pathogenicity")</f>
        <v>Variant Pathogenicity</v>
      </c>
      <c r="T341" s="55" t="str">
        <f>IFERROR(__xludf.DUMMYFUNCTION("QUERY('Volunteer Survey'!M350)"),"Somatic Cancer")</f>
        <v>Somatic Cancer</v>
      </c>
      <c r="U341" s="64" t="str">
        <f>IFERROR(__xludf.DUMMYFUNCTION("QUERY('Volunteer Survey'!N350)"),"I've done literature research before related to the effects of specific epigenetic modifiers on phenotype, but that's about it.")</f>
        <v>I've done literature research before related to the effects of specific epigenetic modifiers on phenotype, but that's about it.</v>
      </c>
      <c r="V341" s="55" t="str">
        <f>IFERROR(__xludf.DUMMYFUNCTION("QUERY('Volunteer Survey'!O350)"),"Possibly")</f>
        <v>Possibly</v>
      </c>
      <c r="W341" s="66" t="str">
        <f>IFERROR(__xludf.DUMMYFUNCTION("QUERY('Volunteer Survey'!P350)"),"")</f>
        <v/>
      </c>
      <c r="X341" s="64" t="str">
        <f>IFERROR(__xludf.DUMMYFUNCTION("QUERY('Volunteer Survey'!R350)"),"")</f>
        <v/>
      </c>
      <c r="Y341" s="53"/>
      <c r="Z341" s="182">
        <f>IFERROR(__xludf.DUMMYFUNCTION("QUERY('Volunteer Survey'!A340)"),43762.71625583333)</f>
        <v>43762.71626</v>
      </c>
      <c r="AA341" s="183" t="str">
        <f>IFERROR(__xludf.DUMMYFUNCTION("QUERY('Volunteer Survey'!B340)"),"Liang Guo")</f>
        <v>Liang Guo</v>
      </c>
      <c r="AB341" s="183" t="str">
        <f>IFERROR(__xludf.DUMMYFUNCTION("QUERY('Volunteer Survey'!C340)"),"CVPath Institute")</f>
        <v>CVPath Institute</v>
      </c>
      <c r="AC341" s="183" t="str">
        <f>IFERROR(__xludf.DUMMYFUNCTION("QUERY('Volunteer Survey'!D340)"),"19 Firstfield Road, Gaithersburg, MD 20878")</f>
        <v>19 Firstfield Road, Gaithersburg, MD 20878</v>
      </c>
      <c r="AD341" s="183" t="str">
        <f>IFERROR(__xludf.DUMMYFUNCTION("QUERY('Volunteer Survey'!E340)"),"lguo@cvpath.org")</f>
        <v>lguo@cvpath.org</v>
      </c>
      <c r="AE341" s="183" t="str">
        <f>IFERROR(__xludf.DUMMYFUNCTION("QUERY('Volunteer Survey'!F340)"),"Scientific Researcher")</f>
        <v>Scientific Researcher</v>
      </c>
      <c r="AF341" s="183" t="str">
        <f>IFERROR(__xludf.DUMMYFUNCTION("QUERY('Volunteer Survey'!G340)"),"Colleagues")</f>
        <v>Colleagues</v>
      </c>
      <c r="AG341" s="183" t="str">
        <f>IFERROR(__xludf.DUMMYFUNCTION("QUERY('Volunteer Survey'!H340)"),"Comprehensive")</f>
        <v>Comprehensive</v>
      </c>
      <c r="AH341" s="183" t="str">
        <f>IFERROR(__xludf.DUMMYFUNCTION("QUERY('Volunteer Survey'!I340)"),"Variant Pathogenicity")</f>
        <v>Variant Pathogenicity</v>
      </c>
      <c r="AI341" s="183" t="str">
        <f>IFERROR(__xludf.DUMMYFUNCTION("QUERY('Volunteer Survey'!J340)"),"Gene-Disease Validity")</f>
        <v>Gene-Disease Validity</v>
      </c>
      <c r="AJ341" s="183" t="str">
        <f>IFERROR(__xludf.DUMMYFUNCTION("QUERY('Volunteer Survey'!K340)"),"Clinical Actionability")</f>
        <v>Clinical Actionability</v>
      </c>
      <c r="AK341" s="183" t="str">
        <f>IFERROR(__xludf.DUMMYFUNCTION("QUERY('Volunteer Survey'!L340)"),"Dosage Sensitivity")</f>
        <v>Dosage Sensitivity</v>
      </c>
      <c r="AL341" s="183" t="str">
        <f>IFERROR(__xludf.DUMMYFUNCTION("QUERY('Volunteer Survey'!M340)"),"Somatic Cancer")</f>
        <v>Somatic Cancer</v>
      </c>
      <c r="AM341" s="183" t="str">
        <f>IFERROR(__xludf.DUMMYFUNCTION("QUERY('Volunteer Survey'!N340)"),"Yes, curation of hypertrophic cardiomyopathy")</f>
        <v>Yes, curation of hypertrophic cardiomyopathy</v>
      </c>
      <c r="AN341" s="183" t="str">
        <f>IFERROR(__xludf.DUMMYFUNCTION("QUERY('Volunteer Survey'!O340)"),"Yes")</f>
        <v>Yes</v>
      </c>
      <c r="AO341" s="183" t="str">
        <f>IFERROR(__xludf.DUMMYFUNCTION("QUERY('Volunteer Survey'!P340)"),"Cardiovascular working group")</f>
        <v>Cardiovascular working group</v>
      </c>
    </row>
    <row r="342">
      <c r="A342" s="50">
        <f>IFERROR(__xludf.DUMMYFUNCTION("QUERY('Volunteer Survey'!A351)"),43776.037574699076)</f>
        <v>43776.03757</v>
      </c>
      <c r="B342" s="48" t="s">
        <v>322</v>
      </c>
      <c r="C342" s="53"/>
      <c r="D342" s="55"/>
      <c r="E342" s="55"/>
      <c r="F342" s="48" t="s">
        <v>130</v>
      </c>
      <c r="G342" s="48" t="s">
        <v>313</v>
      </c>
      <c r="H342" s="53"/>
      <c r="I342" s="53"/>
      <c r="J342" s="55"/>
      <c r="K342" s="55"/>
      <c r="L342" s="55" t="str">
        <f>IFERROR(__xludf.DUMMYFUNCTION("QUERY('Volunteer Survey'!B351)"),"Punithavathi Sundaramurthy")</f>
        <v>Punithavathi Sundaramurthy</v>
      </c>
      <c r="M342" s="55" t="str">
        <f>IFERROR(__xludf.DUMMYFUNCTION("QUERY('Volunteer Survey'!E351)"),"PunitSundar95@gmail.com")</f>
        <v>PunitSundar95@gmail.com</v>
      </c>
      <c r="N342" s="55" t="str">
        <f>IFERROR(__xludf.DUMMYFUNCTION("QUERY('Volunteer Survey'!F351)"),"Graduate Student")</f>
        <v>Graduate Student</v>
      </c>
      <c r="O342" s="48" t="str">
        <f>IFERROR(__xludf.DUMMYFUNCTION("QUERY('Volunteer Survey'!H351)"),"Baseline")</f>
        <v>Baseline</v>
      </c>
      <c r="P342" s="55" t="str">
        <f>IFERROR(__xludf.DUMMYFUNCTION("QUERY('Volunteer Survey'!I351)"),"")</f>
        <v/>
      </c>
      <c r="Q342" s="60" t="str">
        <f>IFERROR(__xludf.DUMMYFUNCTION("QUERY('Volunteer Survey'!J351)"),"")</f>
        <v/>
      </c>
      <c r="R342" s="55" t="str">
        <f>IFERROR(__xludf.DUMMYFUNCTION("QUERY('Volunteer Survey'!K351)"),"")</f>
        <v/>
      </c>
      <c r="S342" s="55" t="str">
        <f>IFERROR(__xludf.DUMMYFUNCTION("QUERY('Volunteer Survey'!L351)"),"")</f>
        <v/>
      </c>
      <c r="T342" s="55" t="str">
        <f>IFERROR(__xludf.DUMMYFUNCTION("QUERY('Volunteer Survey'!M351)"),"")</f>
        <v/>
      </c>
      <c r="U342" s="64" t="str">
        <f>IFERROR(__xludf.DUMMYFUNCTION("QUERY('Volunteer Survey'!N351)"),"")</f>
        <v/>
      </c>
      <c r="V342" s="55" t="str">
        <f>IFERROR(__xludf.DUMMYFUNCTION("QUERY('Volunteer Survey'!O351)"),"Yes")</f>
        <v>Yes</v>
      </c>
      <c r="W342" s="66" t="str">
        <f>IFERROR(__xludf.DUMMYFUNCTION("QUERY('Volunteer Survey'!P351)"),"")</f>
        <v/>
      </c>
      <c r="X342" s="64" t="str">
        <f>IFERROR(__xludf.DUMMYFUNCTION("QUERY('Volunteer Survey'!R351)"),"Yes- I am willing to volunteer with any available ClinGen group")</f>
        <v>Yes- I am willing to volunteer with any available ClinGen group</v>
      </c>
      <c r="Y342" s="53"/>
      <c r="Z342" s="182">
        <f>IFERROR(__xludf.DUMMYFUNCTION("QUERY('Volunteer Survey'!A341)"),43765.72616362268)</f>
        <v>43765.72616</v>
      </c>
      <c r="AA342" s="183" t="str">
        <f>IFERROR(__xludf.DUMMYFUNCTION("QUERY('Volunteer Survey'!B341)"),"Sha Tang")</f>
        <v>Sha Tang</v>
      </c>
      <c r="AB342" s="183" t="str">
        <f>IFERROR(__xludf.DUMMYFUNCTION("QUERY('Volunteer Survey'!C341)"),"Wuxi NextCode")</f>
        <v>Wuxi NextCode</v>
      </c>
      <c r="AC342" s="183" t="str">
        <f>IFERROR(__xludf.DUMMYFUNCTION("QUERY('Volunteer Survey'!D341)"),"")</f>
        <v/>
      </c>
      <c r="AD342" s="183" t="str">
        <f>IFERROR(__xludf.DUMMYFUNCTION("QUERY('Volunteer Survey'!E341)"),"stang@wuxinextcode.cm")</f>
        <v>stang@wuxinextcode.cm</v>
      </c>
      <c r="AE342" s="183" t="str">
        <f>IFERROR(__xludf.DUMMYFUNCTION("QUERY('Volunteer Survey'!F341)"),"Clinical laboratory geneticist")</f>
        <v>Clinical laboratory geneticist</v>
      </c>
      <c r="AF342" s="183" t="str">
        <f>IFERROR(__xludf.DUMMYFUNCTION("QUERY('Volunteer Survey'!G341)"),"Networking, Colleagues")</f>
        <v>Networking, Colleagues</v>
      </c>
      <c r="AG342" s="183" t="str">
        <f>IFERROR(__xludf.DUMMYFUNCTION("QUERY('Volunteer Survey'!H341)"),"Comprehensive")</f>
        <v>Comprehensive</v>
      </c>
      <c r="AH342" s="183" t="str">
        <f>IFERROR(__xludf.DUMMYFUNCTION("QUERY('Volunteer Survey'!I341)"),"Gene-Disease Validity")</f>
        <v>Gene-Disease Validity</v>
      </c>
      <c r="AI342" s="183" t="str">
        <f>IFERROR(__xludf.DUMMYFUNCTION("QUERY('Volunteer Survey'!J341)"),"Variant Pathogenicity")</f>
        <v>Variant Pathogenicity</v>
      </c>
      <c r="AJ342" s="183" t="str">
        <f>IFERROR(__xludf.DUMMYFUNCTION("QUERY('Volunteer Survey'!K341)"),"Dosage Sensitivity")</f>
        <v>Dosage Sensitivity</v>
      </c>
      <c r="AK342" s="183" t="str">
        <f>IFERROR(__xludf.DUMMYFUNCTION("QUERY('Volunteer Survey'!L341)"),"Clinical Actionability")</f>
        <v>Clinical Actionability</v>
      </c>
      <c r="AL342" s="183" t="str">
        <f>IFERROR(__xludf.DUMMYFUNCTION("QUERY('Volunteer Survey'!M341)"),"Somatic Cancer")</f>
        <v>Somatic Cancer</v>
      </c>
      <c r="AM342" s="183" t="str">
        <f>IFERROR(__xludf.DUMMYFUNCTION("QUERY('Volunteer Survey'!N341)"),"Yes, my previous work at Ambry Genetics involved development clinical validity scheme and I am experienced in variant classifications.")</f>
        <v>Yes, my previous work at Ambry Genetics involved development clinical validity scheme and I am experienced in variant classifications.</v>
      </c>
      <c r="AN342" s="183" t="str">
        <f>IFERROR(__xludf.DUMMYFUNCTION("QUERY('Volunteer Survey'!O341)"),"Yes")</f>
        <v>Yes</v>
      </c>
      <c r="AO342" s="183" t="str">
        <f>IFERROR(__xludf.DUMMYFUNCTION("QUERY('Volunteer Survey'!P341)"),"Intellectual Disability and Autism, Mitochondrial Diseases")</f>
        <v>Intellectual Disability and Autism, Mitochondrial Diseases</v>
      </c>
    </row>
    <row r="343">
      <c r="A343" s="50">
        <f>IFERROR(__xludf.DUMMYFUNCTION("QUERY('Volunteer Survey'!A352)"),43776.555087673616)</f>
        <v>43776.55509</v>
      </c>
      <c r="B343" s="48" t="s">
        <v>322</v>
      </c>
      <c r="C343" s="53"/>
      <c r="D343" s="55"/>
      <c r="E343" s="55"/>
      <c r="F343" s="48" t="s">
        <v>130</v>
      </c>
      <c r="G343" s="48" t="s">
        <v>313</v>
      </c>
      <c r="H343" s="53"/>
      <c r="I343" s="53"/>
      <c r="J343" s="55"/>
      <c r="K343" s="55"/>
      <c r="L343" s="55" t="str">
        <f>IFERROR(__xludf.DUMMYFUNCTION("QUERY('Volunteer Survey'!B352)"),"Madhulatha Pantrangi")</f>
        <v>Madhulatha Pantrangi</v>
      </c>
      <c r="M343" s="55" t="str">
        <f>IFERROR(__xludf.DUMMYFUNCTION("QUERY('Volunteer Survey'!E352)"),"madhu.pantrangi@preventiongenetics.com")</f>
        <v>madhu.pantrangi@preventiongenetics.com</v>
      </c>
      <c r="N343" s="55" t="str">
        <f>IFERROR(__xludf.DUMMYFUNCTION("QUERY('Volunteer Survey'!F352)"),"Clinical laboratory geneticist")</f>
        <v>Clinical laboratory geneticist</v>
      </c>
      <c r="O343" s="48" t="str">
        <f>IFERROR(__xludf.DUMMYFUNCTION("QUERY('Volunteer Survey'!H352)"),"Baseline")</f>
        <v>Baseline</v>
      </c>
      <c r="P343" s="55" t="str">
        <f>IFERROR(__xludf.DUMMYFUNCTION("QUERY('Volunteer Survey'!I352)"),"")</f>
        <v/>
      </c>
      <c r="Q343" s="60" t="str">
        <f>IFERROR(__xludf.DUMMYFUNCTION("QUERY('Volunteer Survey'!J352)"),"")</f>
        <v/>
      </c>
      <c r="R343" s="55" t="str">
        <f>IFERROR(__xludf.DUMMYFUNCTION("QUERY('Volunteer Survey'!K352)"),"")</f>
        <v/>
      </c>
      <c r="S343" s="55" t="str">
        <f>IFERROR(__xludf.DUMMYFUNCTION("QUERY('Volunteer Survey'!L352)"),"")</f>
        <v/>
      </c>
      <c r="T343" s="55" t="str">
        <f>IFERROR(__xludf.DUMMYFUNCTION("QUERY('Volunteer Survey'!M352)"),"")</f>
        <v/>
      </c>
      <c r="U343" s="64" t="str">
        <f>IFERROR(__xludf.DUMMYFUNCTION("QUERY('Volunteer Survey'!N352)"),"")</f>
        <v/>
      </c>
      <c r="V343" s="55" t="str">
        <f>IFERROR(__xludf.DUMMYFUNCTION("QUERY('Volunteer Survey'!O352)"),"Possibly")</f>
        <v>Possibly</v>
      </c>
      <c r="W343" s="66" t="str">
        <f>IFERROR(__xludf.DUMMYFUNCTION("QUERY('Volunteer Survey'!P352)"),"Peroxisomal Disorders ")</f>
        <v>Peroxisomal Disorders </v>
      </c>
      <c r="X343" s="64" t="str">
        <f>IFERROR(__xludf.DUMMYFUNCTION("QUERY('Volunteer Survey'!R352)"),"Maybe -- please contact me with other options, and I will decide based on what is available")</f>
        <v>Maybe -- please contact me with other options, and I will decide based on what is available</v>
      </c>
      <c r="Y343" s="53"/>
      <c r="Z343" s="182">
        <f>IFERROR(__xludf.DUMMYFUNCTION("QUERY('Volunteer Survey'!A342)"),43766.53192383102)</f>
        <v>43766.53192</v>
      </c>
      <c r="AA343" s="183" t="str">
        <f>IFERROR(__xludf.DUMMYFUNCTION("QUERY('Volunteer Survey'!B342)"),"Patrick Forny")</f>
        <v>Patrick Forny</v>
      </c>
      <c r="AB343" s="183" t="str">
        <f>IFERROR(__xludf.DUMMYFUNCTION("QUERY('Volunteer Survey'!C342)"),"University Children's Hospital Zurich")</f>
        <v>University Children's Hospital Zurich</v>
      </c>
      <c r="AC343" s="183" t="str">
        <f>IFERROR(__xludf.DUMMYFUNCTION("QUERY('Volunteer Survey'!D342)"),"")</f>
        <v/>
      </c>
      <c r="AD343" s="183" t="str">
        <f>IFERROR(__xludf.DUMMYFUNCTION("QUERY('Volunteer Survey'!E342)"),"patrick.forny@kispi.uzh.ch")</f>
        <v>patrick.forny@kispi.uzh.ch</v>
      </c>
      <c r="AE343" s="183" t="str">
        <f>IFERROR(__xludf.DUMMYFUNCTION("QUERY('Volunteer Survey'!F342)"),"Post Doc/Resident/Fellow (MD and/or PhD)")</f>
        <v>Post Doc/Resident/Fellow (MD and/or PhD)</v>
      </c>
      <c r="AF343" s="183" t="str">
        <f>IFERROR(__xludf.DUMMYFUNCTION("QUERY('Volunteer Survey'!G342)"),"Networking")</f>
        <v>Networking</v>
      </c>
      <c r="AG343" s="183" t="str">
        <f>IFERROR(__xludf.DUMMYFUNCTION("QUERY('Volunteer Survey'!H342)"),"Baseline")</f>
        <v>Baseline</v>
      </c>
      <c r="AH343" s="183" t="str">
        <f>IFERROR(__xludf.DUMMYFUNCTION("QUERY('Volunteer Survey'!I342)"),"Gene-Disease Validity, Variant Pathogenicity")</f>
        <v>Gene-Disease Validity, Variant Pathogenicity</v>
      </c>
      <c r="AI343" s="183" t="str">
        <f>IFERROR(__xludf.DUMMYFUNCTION("QUERY('Volunteer Survey'!J342)"),"Clinical Actionability")</f>
        <v>Clinical Actionability</v>
      </c>
      <c r="AJ343" s="183" t="str">
        <f>IFERROR(__xludf.DUMMYFUNCTION("QUERY('Volunteer Survey'!K342)"),"Dosage Sensitivity")</f>
        <v>Dosage Sensitivity</v>
      </c>
      <c r="AK343" s="183" t="str">
        <f>IFERROR(__xludf.DUMMYFUNCTION("QUERY('Volunteer Survey'!L342)"),"Somatic Cancer")</f>
        <v>Somatic Cancer</v>
      </c>
      <c r="AL343" s="183" t="str">
        <f>IFERROR(__xludf.DUMMYFUNCTION("QUERY('Volunteer Survey'!M342)"),"")</f>
        <v/>
      </c>
      <c r="AM343" s="183" t="str">
        <f>IFERROR(__xludf.DUMMYFUNCTION("QUERY('Volunteer Survey'!N342)"),"")</f>
        <v/>
      </c>
      <c r="AN343" s="183" t="str">
        <f>IFERROR(__xludf.DUMMYFUNCTION("QUERY('Volunteer Survey'!O342)"),"No")</f>
        <v>No</v>
      </c>
      <c r="AO343" s="183" t="str">
        <f>IFERROR(__xludf.DUMMYFUNCTION("QUERY('Volunteer Survey'!P342)"),"")</f>
        <v/>
      </c>
    </row>
    <row r="344">
      <c r="A344" s="50">
        <f>IFERROR(__xludf.DUMMYFUNCTION("QUERY('Volunteer Survey'!A353)"),43777.2171097801)</f>
        <v>43777.21711</v>
      </c>
      <c r="B344" s="48" t="s">
        <v>108</v>
      </c>
      <c r="C344" s="79">
        <v>43819.0</v>
      </c>
      <c r="D344" s="55"/>
      <c r="E344" s="55"/>
      <c r="F344" s="48" t="s">
        <v>130</v>
      </c>
      <c r="G344" s="48" t="s">
        <v>251</v>
      </c>
      <c r="H344" s="53"/>
      <c r="I344" s="53"/>
      <c r="J344" s="55"/>
      <c r="K344" s="55"/>
      <c r="L344" s="55" t="str">
        <f>IFERROR(__xludf.DUMMYFUNCTION("QUERY('Volunteer Survey'!B353)"),"Celeste Bento")</f>
        <v>Celeste Bento</v>
      </c>
      <c r="M344" s="55" t="str">
        <f>IFERROR(__xludf.DUMMYFUNCTION("QUERY('Volunteer Survey'!E353)"),"celeste.bento@chuc.min-saude.pt")</f>
        <v>celeste.bento@chuc.min-saude.pt</v>
      </c>
      <c r="N344" s="55" t="str">
        <f>IFERROR(__xludf.DUMMYFUNCTION("QUERY('Volunteer Survey'!F353)"),"Clinical laboratory geneticist")</f>
        <v>Clinical laboratory geneticist</v>
      </c>
      <c r="O344" s="48" t="str">
        <f>IFERROR(__xludf.DUMMYFUNCTION("QUERY('Volunteer Survey'!H353)"),"Comprehensive")</f>
        <v>Comprehensive</v>
      </c>
      <c r="P344" s="55" t="str">
        <f>IFERROR(__xludf.DUMMYFUNCTION("QUERY('Volunteer Survey'!I353)"),"Variant Pathogenicity")</f>
        <v>Variant Pathogenicity</v>
      </c>
      <c r="Q344" s="60" t="str">
        <f>IFERROR(__xludf.DUMMYFUNCTION("QUERY('Volunteer Survey'!J353)"),"Gene-Disease Validity")</f>
        <v>Gene-Disease Validity</v>
      </c>
      <c r="R344" s="55" t="str">
        <f>IFERROR(__xludf.DUMMYFUNCTION("QUERY('Volunteer Survey'!K353)"),"Clinical Actionability")</f>
        <v>Clinical Actionability</v>
      </c>
      <c r="S344" s="55" t="str">
        <f>IFERROR(__xludf.DUMMYFUNCTION("QUERY('Volunteer Survey'!L353)"),"Dosage Sensitivity")</f>
        <v>Dosage Sensitivity</v>
      </c>
      <c r="T344" s="55" t="str">
        <f>IFERROR(__xludf.DUMMYFUNCTION("QUERY('Volunteer Survey'!M353)"),"Somatic Cancer")</f>
        <v>Somatic Cancer</v>
      </c>
      <c r="U344" s="64" t="str">
        <f>IFERROR(__xludf.DUMMYFUNCTION("QUERY('Volunteer Survey'!N353)"),"I need to apply the ACMG rules in my everyday work ")</f>
        <v>I need to apply the ACMG rules in my everyday work </v>
      </c>
      <c r="V344" s="55" t="str">
        <f>IFERROR(__xludf.DUMMYFUNCTION("QUERY('Volunteer Survey'!O353)"),"Possibly")</f>
        <v>Possibly</v>
      </c>
      <c r="W344" s="66" t="str">
        <f>IFERROR(__xludf.DUMMYFUNCTION("QUERY('Volunteer Survey'!P353)"),"I'm in the Core Task Team of ClinGen Haemoglobinopathy EP")</f>
        <v>I'm in the Core Task Team of ClinGen Haemoglobinopathy EP</v>
      </c>
      <c r="X344" s="64" t="str">
        <f>IFERROR(__xludf.DUMMYFUNCTION("QUERY('Volunteer Survey'!R353)"),"No - I am only interested in the group(s) I previously indicated")</f>
        <v>No - I am only interested in the group(s) I previously indicated</v>
      </c>
      <c r="Y344" s="53"/>
      <c r="Z344" s="182">
        <f>IFERROR(__xludf.DUMMYFUNCTION("QUERY('Volunteer Survey'!A343)"),43767.202232766205)</f>
        <v>43767.20223</v>
      </c>
      <c r="AA344" s="183" t="str">
        <f>IFERROR(__xludf.DUMMYFUNCTION("QUERY('Volunteer Survey'!B343)"),"Ximena Bonilla")</f>
        <v>Ximena Bonilla</v>
      </c>
      <c r="AB344" s="183" t="str">
        <f>IFERROR(__xludf.DUMMYFUNCTION("QUERY('Volunteer Survey'!C343)"),"ETHZ")</f>
        <v>ETHZ</v>
      </c>
      <c r="AC344" s="183" t="str">
        <f>IFERROR(__xludf.DUMMYFUNCTION("QUERY('Volunteer Survey'!D343)"),"Biomedical informatics, department of computer sciences.CAB building F52.2
Universitätstrasse, 6
8006 Zurich, Switzerland")</f>
        <v>Biomedical informatics, department of computer sciences.CAB building F52.2
Universitätstrasse, 6
8006 Zurich, Switzerland</v>
      </c>
      <c r="AD344" s="183" t="str">
        <f>IFERROR(__xludf.DUMMYFUNCTION("QUERY('Volunteer Survey'!E343)"),"ximena.bonilla@inf.ethz.ch")</f>
        <v>ximena.bonilla@inf.ethz.ch</v>
      </c>
      <c r="AE344" s="183" t="str">
        <f>IFERROR(__xludf.DUMMYFUNCTION("QUERY('Volunteer Survey'!F343)"),"Post Doc/Resident/Fellow (MD and/or PhD)")</f>
        <v>Post Doc/Resident/Fellow (MD and/or PhD)</v>
      </c>
      <c r="AF344" s="183" t="str">
        <f>IFERROR(__xludf.DUMMYFUNCTION("QUERY('Volunteer Survey'!G343)"),"Suggestion from mentor")</f>
        <v>Suggestion from mentor</v>
      </c>
      <c r="AG344" s="183" t="str">
        <f>IFERROR(__xludf.DUMMYFUNCTION("QUERY('Volunteer Survey'!H343)"),"Baseline")</f>
        <v>Baseline</v>
      </c>
      <c r="AH344" s="183" t="str">
        <f>IFERROR(__xludf.DUMMYFUNCTION("QUERY('Volunteer Survey'!I343)"),"Variant Pathogenicity")</f>
        <v>Variant Pathogenicity</v>
      </c>
      <c r="AI344" s="183" t="str">
        <f>IFERROR(__xludf.DUMMYFUNCTION("QUERY('Volunteer Survey'!J343)"),"Dosage Sensitivity")</f>
        <v>Dosage Sensitivity</v>
      </c>
      <c r="AJ344" s="183" t="str">
        <f>IFERROR(__xludf.DUMMYFUNCTION("QUERY('Volunteer Survey'!K343)"),"Gene-Disease Validity")</f>
        <v>Gene-Disease Validity</v>
      </c>
      <c r="AK344" s="183" t="str">
        <f>IFERROR(__xludf.DUMMYFUNCTION("QUERY('Volunteer Survey'!L343)"),"")</f>
        <v/>
      </c>
      <c r="AL344" s="183" t="str">
        <f>IFERROR(__xludf.DUMMYFUNCTION("QUERY('Volunteer Survey'!M343)"),"")</f>
        <v/>
      </c>
      <c r="AM344" s="183" t="str">
        <f>IFERROR(__xludf.DUMMYFUNCTION("QUERY('Volunteer Survey'!N343)"),"Regarding ""Variant pathogenicity"", I carried out variant pathogenicity assessments for Mendelian disease routinely during my PhD, and have worked as a variant interpretation specialist at a medical genetics department (Universidad Autónoma de Nuevo León"&amp;", Mexico). Regarding ""dosage sensitivity"", I am currently working on the effect of mitochondria mutation burden in metabolic disorders (non-mitochondrial disorders). Regarding ""gene-disease validity"", I have medical training and although I am not a cl"&amp;"inical geneticist I have ample experience in genotype/phenotype associations and dissection of complex phenotypes and their link to genetics.")</f>
        <v>Regarding "Variant pathogenicity", I carried out variant pathogenicity assessments for Mendelian disease routinely during my PhD, and have worked as a variant interpretation specialist at a medical genetics department (Universidad Autónoma de Nuevo León, Mexico). Regarding "dosage sensitivity", I am currently working on the effect of mitochondria mutation burden in metabolic disorders (non-mitochondrial disorders). Regarding "gene-disease validity", I have medical training and although I am not a clinical geneticist I have ample experience in genotype/phenotype associations and dissection of complex phenotypes and their link to genetics.</v>
      </c>
      <c r="AN344" s="183" t="str">
        <f>IFERROR(__xludf.DUMMYFUNCTION("QUERY('Volunteer Survey'!O343)"),"Possibly")</f>
        <v>Possibly</v>
      </c>
      <c r="AO344" s="183" t="str">
        <f>IFERROR(__xludf.DUMMYFUNCTION("QUERY('Volunteer Survey'!P343)"),"")</f>
        <v/>
      </c>
    </row>
    <row r="345">
      <c r="A345" s="50">
        <f>IFERROR(__xludf.DUMMYFUNCTION("QUERY('Volunteer Survey'!A354)"),43777.537821550926)</f>
        <v>43777.53782</v>
      </c>
      <c r="B345" s="48" t="s">
        <v>322</v>
      </c>
      <c r="C345" s="53"/>
      <c r="D345" s="55"/>
      <c r="E345" s="55"/>
      <c r="F345" s="48" t="s">
        <v>130</v>
      </c>
      <c r="G345" s="48" t="s">
        <v>136</v>
      </c>
      <c r="H345" s="53"/>
      <c r="I345" s="53"/>
      <c r="J345" s="55"/>
      <c r="K345" s="55"/>
      <c r="L345" s="55" t="str">
        <f>IFERROR(__xludf.DUMMYFUNCTION("QUERY('Volunteer Survey'!B354)"),"Gokce Toruner")</f>
        <v>Gokce Toruner</v>
      </c>
      <c r="M345" s="55" t="str">
        <f>IFERROR(__xludf.DUMMYFUNCTION("QUERY('Volunteer Survey'!E354)"),"gatoruner@mdanderson.org")</f>
        <v>gatoruner@mdanderson.org</v>
      </c>
      <c r="N345" s="55" t="str">
        <f>IFERROR(__xludf.DUMMYFUNCTION("QUERY('Volunteer Survey'!F354)"),"Clinical laboratory geneticist")</f>
        <v>Clinical laboratory geneticist</v>
      </c>
      <c r="O345" s="48" t="str">
        <f>IFERROR(__xludf.DUMMYFUNCTION("QUERY('Volunteer Survey'!H354)"),"Comprehensive")</f>
        <v>Comprehensive</v>
      </c>
      <c r="P345" s="55" t="str">
        <f>IFERROR(__xludf.DUMMYFUNCTION("QUERY('Volunteer Survey'!I354)"),"Somatic Cancer")</f>
        <v>Somatic Cancer</v>
      </c>
      <c r="Q345" s="60" t="str">
        <f>IFERROR(__xludf.DUMMYFUNCTION("QUERY('Volunteer Survey'!J354)"),"")</f>
        <v/>
      </c>
      <c r="R345" s="55" t="str">
        <f>IFERROR(__xludf.DUMMYFUNCTION("QUERY('Volunteer Survey'!K354)"),"")</f>
        <v/>
      </c>
      <c r="S345" s="55" t="str">
        <f>IFERROR(__xludf.DUMMYFUNCTION("QUERY('Volunteer Survey'!L354)"),"")</f>
        <v/>
      </c>
      <c r="T345" s="55" t="str">
        <f>IFERROR(__xludf.DUMMYFUNCTION("QUERY('Volunteer Survey'!M354)"),"")</f>
        <v/>
      </c>
      <c r="U345" s="64" t="str">
        <f>IFERROR(__xludf.DUMMYFUNCTION("QUERY('Volunteer Survey'!N354)"),"")</f>
        <v/>
      </c>
      <c r="V345" s="55" t="str">
        <f>IFERROR(__xludf.DUMMYFUNCTION("QUERY('Volunteer Survey'!O354)"),"No")</f>
        <v>No</v>
      </c>
      <c r="W345" s="66" t="str">
        <f>IFERROR(__xludf.DUMMYFUNCTION("QUERY('Volunteer Survey'!P354)"),"Somatic Cancer")</f>
        <v>Somatic Cancer</v>
      </c>
      <c r="X345" s="64" t="str">
        <f>IFERROR(__xludf.DUMMYFUNCTION("QUERY('Volunteer Survey'!R354)"),"Maybe -- please contact me with other options, and I will decide based on what is available")</f>
        <v>Maybe -- please contact me with other options, and I will decide based on what is available</v>
      </c>
      <c r="Y345" s="53"/>
      <c r="Z345" s="182">
        <f>IFERROR(__xludf.DUMMYFUNCTION("QUERY('Volunteer Survey'!A344)"),43767.624537407406)</f>
        <v>43767.62454</v>
      </c>
      <c r="AA345" s="183" t="str">
        <f>IFERROR(__xludf.DUMMYFUNCTION("QUERY('Volunteer Survey'!B344)"),"Steve Waring")</f>
        <v>Steve Waring</v>
      </c>
      <c r="AB345" s="183" t="str">
        <f>IFERROR(__xludf.DUMMYFUNCTION("QUERY('Volunteer Survey'!C344)"),"Essentia Institute of Rural Health")</f>
        <v>Essentia Institute of Rural Health</v>
      </c>
      <c r="AC345" s="183" t="str">
        <f>IFERROR(__xludf.DUMMYFUNCTION("QUERY('Volunteer Survey'!D344)"),"502 E 2nd St, 6AV-2, Duluth MN 55805")</f>
        <v>502 E 2nd St, 6AV-2, Duluth MN 55805</v>
      </c>
      <c r="AD345" s="183" t="str">
        <f>IFERROR(__xludf.DUMMYFUNCTION("QUERY('Volunteer Survey'!E344)"),"stephen.waring@essentiahealth.org")</f>
        <v>stephen.waring@essentiahealth.org</v>
      </c>
      <c r="AE345" s="183" t="str">
        <f>IFERROR(__xludf.DUMMYFUNCTION("QUERY('Volunteer Survey'!F344)"),"Scientific Researcher")</f>
        <v>Scientific Researcher</v>
      </c>
      <c r="AF345" s="183" t="str">
        <f>IFERROR(__xludf.DUMMYFUNCTION("QUERY('Volunteer Survey'!G344)"),"Colleagues, ClinGen affiliated emails and/or newsletters, The clinicalgenome.org website")</f>
        <v>Colleagues, ClinGen affiliated emails and/or newsletters, The clinicalgenome.org website</v>
      </c>
      <c r="AG345" s="183" t="str">
        <f>IFERROR(__xludf.DUMMYFUNCTION("QUERY('Volunteer Survey'!H344)"),"Comprehensive")</f>
        <v>Comprehensive</v>
      </c>
      <c r="AH345" s="183" t="str">
        <f>IFERROR(__xludf.DUMMYFUNCTION("QUERY('Volunteer Survey'!I344)"),"Gene-Disease Validity")</f>
        <v>Gene-Disease Validity</v>
      </c>
      <c r="AI345" s="183" t="str">
        <f>IFERROR(__xludf.DUMMYFUNCTION("QUERY('Volunteer Survey'!J344)"),"Clinical Actionability")</f>
        <v>Clinical Actionability</v>
      </c>
      <c r="AJ345" s="183" t="str">
        <f>IFERROR(__xludf.DUMMYFUNCTION("QUERY('Volunteer Survey'!K344)"),"")</f>
        <v/>
      </c>
      <c r="AK345" s="183" t="str">
        <f>IFERROR(__xludf.DUMMYFUNCTION("QUERY('Volunteer Survey'!L344)"),"")</f>
        <v/>
      </c>
      <c r="AL345" s="183" t="str">
        <f>IFERROR(__xludf.DUMMYFUNCTION("QUERY('Volunteer Survey'!M344)"),"")</f>
        <v/>
      </c>
      <c r="AM345" s="183" t="str">
        <f>IFERROR(__xludf.DUMMYFUNCTION("QUERY('Volunteer Survey'!N344)"),"Genetic epidemiology research involving gene-gene and gene-env interactions; PGx")</f>
        <v>Genetic epidemiology research involving gene-gene and gene-env interactions; PGx</v>
      </c>
      <c r="AN345" s="183" t="str">
        <f>IFERROR(__xludf.DUMMYFUNCTION("QUERY('Volunteer Survey'!O344)"),"No")</f>
        <v>No</v>
      </c>
      <c r="AO345" s="183" t="str">
        <f>IFERROR(__xludf.DUMMYFUNCTION("QUERY('Volunteer Survey'!P344)"),"Open to assignment based on greatest need")</f>
        <v>Open to assignment based on greatest need</v>
      </c>
    </row>
    <row r="346">
      <c r="A346" s="50">
        <f>IFERROR(__xludf.DUMMYFUNCTION("QUERY('Volunteer Survey'!A355)"),43777.94741894676)</f>
        <v>43777.94742</v>
      </c>
      <c r="B346" s="48" t="s">
        <v>322</v>
      </c>
      <c r="C346" s="53"/>
      <c r="D346" s="55"/>
      <c r="E346" s="55"/>
      <c r="F346" s="48" t="s">
        <v>130</v>
      </c>
      <c r="G346" s="48" t="s">
        <v>313</v>
      </c>
      <c r="H346" s="53"/>
      <c r="I346" s="53"/>
      <c r="J346" s="55"/>
      <c r="K346" s="55"/>
      <c r="L346" s="55" t="str">
        <f>IFERROR(__xludf.DUMMYFUNCTION("QUERY('Volunteer Survey'!B355)"),"rekha aaron")</f>
        <v>rekha aaron</v>
      </c>
      <c r="M346" s="55" t="str">
        <f>IFERROR(__xludf.DUMMYFUNCTION("QUERY('Volunteer Survey'!E355)"),"rekha.a@cmcvellore.ac.in")</f>
        <v>rekha.a@cmcvellore.ac.in</v>
      </c>
      <c r="N346" s="55" t="str">
        <f>IFERROR(__xludf.DUMMYFUNCTION("QUERY('Volunteer Survey'!F355)"),"Clinical laboratory geneticist")</f>
        <v>Clinical laboratory geneticist</v>
      </c>
      <c r="O346" s="48" t="str">
        <f>IFERROR(__xludf.DUMMYFUNCTION("QUERY('Volunteer Survey'!H355)"),"Baseline")</f>
        <v>Baseline</v>
      </c>
      <c r="P346" s="55" t="str">
        <f>IFERROR(__xludf.DUMMYFUNCTION("QUERY('Volunteer Survey'!I355)"),"Variant Pathogenicity")</f>
        <v>Variant Pathogenicity</v>
      </c>
      <c r="Q346" s="60" t="str">
        <f>IFERROR(__xludf.DUMMYFUNCTION("QUERY('Volunteer Survey'!J355)"),"Gene-Disease Validity")</f>
        <v>Gene-Disease Validity</v>
      </c>
      <c r="R346" s="55" t="str">
        <f>IFERROR(__xludf.DUMMYFUNCTION("QUERY('Volunteer Survey'!K355)"),"Dosage Sensitivity")</f>
        <v>Dosage Sensitivity</v>
      </c>
      <c r="S346" s="55" t="str">
        <f>IFERROR(__xludf.DUMMYFUNCTION("QUERY('Volunteer Survey'!L355)"),"Clinical Actionability")</f>
        <v>Clinical Actionability</v>
      </c>
      <c r="T346" s="55" t="str">
        <f>IFERROR(__xludf.DUMMYFUNCTION("QUERY('Volunteer Survey'!M355)"),"Somatic Cancer")</f>
        <v>Somatic Cancer</v>
      </c>
      <c r="U346" s="64" t="str">
        <f>IFERROR(__xludf.DUMMYFUNCTION("QUERY('Volunteer Survey'!N355)"),"My work regularly involved in variant analysis, interpretation &amp; reporting ")</f>
        <v>My work regularly involved in variant analysis, interpretation &amp; reporting </v>
      </c>
      <c r="V346" s="55" t="str">
        <f>IFERROR(__xludf.DUMMYFUNCTION("QUERY('Volunteer Survey'!O355)"),"Possibly")</f>
        <v>Possibly</v>
      </c>
      <c r="W346" s="66" t="str">
        <f>IFERROR(__xludf.DUMMYFUNCTION("QUERY('Volunteer Survey'!P355)"),"mitochondrial ,neurodevelopmental disorders,myopathies")</f>
        <v>mitochondrial ,neurodevelopmental disorders,myopathies</v>
      </c>
      <c r="X346" s="64" t="str">
        <f>IFERROR(__xludf.DUMMYFUNCTION("QUERY('Volunteer Survey'!R355)"),"Maybe -- please contact me with other options, and I will decide based on what is available")</f>
        <v>Maybe -- please contact me with other options, and I will decide based on what is available</v>
      </c>
      <c r="Y346" s="53"/>
      <c r="Z346" s="182">
        <f>IFERROR(__xludf.DUMMYFUNCTION("QUERY('Volunteer Survey'!A345)"),43769.53906245371)</f>
        <v>43769.53906</v>
      </c>
      <c r="AA346" s="183" t="str">
        <f>IFERROR(__xludf.DUMMYFUNCTION("QUERY('Volunteer Survey'!B345)"),"Abul Kalam Azad")</f>
        <v>Abul Kalam Azad</v>
      </c>
      <c r="AB346" s="183" t="str">
        <f>IFERROR(__xludf.DUMMYFUNCTION("QUERY('Volunteer Survey'!C345)"),"Montefiore Medical Center")</f>
        <v>Montefiore Medical Center</v>
      </c>
      <c r="AC346" s="183" t="str">
        <f>IFERROR(__xludf.DUMMYFUNCTION("QUERY('Volunteer Survey'!D345)"),"1641 Metropolitan Ave Apt 3A")</f>
        <v>1641 Metropolitan Ave Apt 3A</v>
      </c>
      <c r="AD346" s="183" t="str">
        <f>IFERROR(__xludf.DUMMYFUNCTION("QUERY('Volunteer Survey'!E345)"),"azadak@gmail.com")</f>
        <v>azadak@gmail.com</v>
      </c>
      <c r="AE346" s="183" t="str">
        <f>IFERROR(__xludf.DUMMYFUNCTION("QUERY('Volunteer Survey'!F345)"),"Post Doc/Resident/Fellow (MD and/or PhD)")</f>
        <v>Post Doc/Resident/Fellow (MD and/or PhD)</v>
      </c>
      <c r="AF346" s="183" t="str">
        <f>IFERROR(__xludf.DUMMYFUNCTION("QUERY('Volunteer Survey'!G345)"),"ACMG Conference 2019")</f>
        <v>ACMG Conference 2019</v>
      </c>
      <c r="AG346" s="183" t="str">
        <f>IFERROR(__xludf.DUMMYFUNCTION("QUERY('Volunteer Survey'!H345)"),"Comprehensive")</f>
        <v>Comprehensive</v>
      </c>
      <c r="AH346" s="183" t="str">
        <f>IFERROR(__xludf.DUMMYFUNCTION("QUERY('Volunteer Survey'!I345)"),"Variant Pathogenicity")</f>
        <v>Variant Pathogenicity</v>
      </c>
      <c r="AI346" s="183" t="str">
        <f>IFERROR(__xludf.DUMMYFUNCTION("QUERY('Volunteer Survey'!J345)"),"")</f>
        <v/>
      </c>
      <c r="AJ346" s="183" t="str">
        <f>IFERROR(__xludf.DUMMYFUNCTION("QUERY('Volunteer Survey'!K345)"),"")</f>
        <v/>
      </c>
      <c r="AK346" s="183" t="str">
        <f>IFERROR(__xludf.DUMMYFUNCTION("QUERY('Volunteer Survey'!L345)"),"")</f>
        <v/>
      </c>
      <c r="AL346" s="183" t="str">
        <f>IFERROR(__xludf.DUMMYFUNCTION("QUERY('Volunteer Survey'!M345)"),"")</f>
        <v/>
      </c>
      <c r="AM346" s="183" t="str">
        <f>IFERROR(__xludf.DUMMYFUNCTION("QUERY('Volunteer Survey'!N345)"),"")</f>
        <v/>
      </c>
      <c r="AN346" s="183" t="str">
        <f>IFERROR(__xludf.DUMMYFUNCTION("QUERY('Volunteer Survey'!O345)"),"Yes")</f>
        <v>Yes</v>
      </c>
      <c r="AO346" s="183" t="str">
        <f>IFERROR(__xludf.DUMMYFUNCTION("QUERY('Volunteer Survey'!P345)"),"")</f>
        <v/>
      </c>
    </row>
    <row r="347">
      <c r="A347" s="50">
        <f>IFERROR(__xludf.DUMMYFUNCTION("QUERY('Volunteer Survey'!A356)"),43778.843209189814)</f>
        <v>43778.84321</v>
      </c>
      <c r="B347" s="48" t="s">
        <v>160</v>
      </c>
      <c r="C347" s="90">
        <v>44160.0</v>
      </c>
      <c r="D347" s="65">
        <v>43859.0</v>
      </c>
      <c r="E347" s="48" t="s">
        <v>117</v>
      </c>
      <c r="F347" s="48" t="s">
        <v>130</v>
      </c>
      <c r="G347" s="48" t="s">
        <v>19</v>
      </c>
      <c r="H347" s="53"/>
      <c r="I347" s="53"/>
      <c r="J347" s="55"/>
      <c r="K347" s="55"/>
      <c r="L347" s="55" t="str">
        <f>IFERROR(__xludf.DUMMYFUNCTION("QUERY('Volunteer Survey'!B356)"),"Larissa Waldman")</f>
        <v>Larissa Waldman</v>
      </c>
      <c r="M347" s="55" t="str">
        <f>IFERROR(__xludf.DUMMYFUNCTION("QUERY('Volunteer Survey'!E356)"),"larissa.waldman@gmail.com")</f>
        <v>larissa.waldman@gmail.com</v>
      </c>
      <c r="N347" s="55" t="str">
        <f>IFERROR(__xludf.DUMMYFUNCTION("QUERY('Volunteer Survey'!F356)"),"Genetic counselor")</f>
        <v>Genetic counselor</v>
      </c>
      <c r="O347" s="48" t="str">
        <f>IFERROR(__xludf.DUMMYFUNCTION("QUERY('Volunteer Survey'!H356)"),"Comprehensive")</f>
        <v>Comprehensive</v>
      </c>
      <c r="P347" s="55" t="str">
        <f>IFERROR(__xludf.DUMMYFUNCTION("QUERY('Volunteer Survey'!I356)"),"Clinical Actionability")</f>
        <v>Clinical Actionability</v>
      </c>
      <c r="Q347" s="60" t="str">
        <f>IFERROR(__xludf.DUMMYFUNCTION("QUERY('Volunteer Survey'!J356)"),"Gene-Disease Validity")</f>
        <v>Gene-Disease Validity</v>
      </c>
      <c r="R347" s="55" t="str">
        <f>IFERROR(__xludf.DUMMYFUNCTION("QUERY('Volunteer Survey'!K356)"),"Somatic Cancer")</f>
        <v>Somatic Cancer</v>
      </c>
      <c r="S347" s="55" t="str">
        <f>IFERROR(__xludf.DUMMYFUNCTION("QUERY('Volunteer Survey'!L356)"),"Variant Pathogenicity")</f>
        <v>Variant Pathogenicity</v>
      </c>
      <c r="T347" s="55" t="str">
        <f>IFERROR(__xludf.DUMMYFUNCTION("QUERY('Volunteer Survey'!M356)"),"Dosage Sensitivity")</f>
        <v>Dosage Sensitivity</v>
      </c>
      <c r="U347" s="64" t="str">
        <f>IFERROR(__xludf.DUMMYFUNCTION("QUERY('Volunteer Survey'!N356)"),"")</f>
        <v/>
      </c>
      <c r="V347" s="55" t="str">
        <f>IFERROR(__xludf.DUMMYFUNCTION("QUERY('Volunteer Survey'!O356)"),"No")</f>
        <v>No</v>
      </c>
      <c r="W347" s="66" t="str">
        <f>IFERROR(__xludf.DUMMYFUNCTION("QUERY('Volunteer Survey'!P356)"),"Hereditary cancer, myeloid malignancy, pediatric somatic")</f>
        <v>Hereditary cancer, myeloid malignancy, pediatric somatic</v>
      </c>
      <c r="X347" s="64" t="str">
        <f>IFERROR(__xludf.DUMMYFUNCTION("QUERY('Volunteer Survey'!R356)"),"Maybe -- please contact me with other options, and I will decide based on what is available")</f>
        <v>Maybe -- please contact me with other options, and I will decide based on what is available</v>
      </c>
      <c r="Y347" s="53"/>
      <c r="Z347" s="182">
        <f>IFERROR(__xludf.DUMMYFUNCTION("QUERY('Volunteer Survey'!A346)"),43769.889063877315)</f>
        <v>43769.88906</v>
      </c>
      <c r="AA347" s="183" t="str">
        <f>IFERROR(__xludf.DUMMYFUNCTION("QUERY('Volunteer Survey'!B346)"),"Lise Graversen")</f>
        <v>Lise Graversen</v>
      </c>
      <c r="AB347" s="183" t="str">
        <f>IFERROR(__xludf.DUMMYFUNCTION("QUERY('Volunteer Survey'!C346)"),"The Royal Melbourne Hospital ")</f>
        <v>The Royal Melbourne Hospital </v>
      </c>
      <c r="AC347" s="183" t="str">
        <f>IFERROR(__xludf.DUMMYFUNCTION("QUERY('Volunteer Survey'!D346)"),"")</f>
        <v/>
      </c>
      <c r="AD347" s="183" t="str">
        <f>IFERROR(__xludf.DUMMYFUNCTION("QUERY('Volunteer Survey'!E346)"),"lisega@rm.dk")</f>
        <v>lisega@rm.dk</v>
      </c>
      <c r="AE347" s="183" t="str">
        <f>IFERROR(__xludf.DUMMYFUNCTION("QUERY('Volunteer Survey'!F346)"),"Clinical Medical Geneticist")</f>
        <v>Clinical Medical Geneticist</v>
      </c>
      <c r="AF347" s="183" t="str">
        <f>IFERROR(__xludf.DUMMYFUNCTION("QUERY('Volunteer Survey'!G346)"),"Colleagues")</f>
        <v>Colleagues</v>
      </c>
      <c r="AG347" s="183" t="str">
        <f>IFERROR(__xludf.DUMMYFUNCTION("QUERY('Volunteer Survey'!H346)"),"Baseline")</f>
        <v>Baseline</v>
      </c>
      <c r="AH347" s="183" t="str">
        <f>IFERROR(__xludf.DUMMYFUNCTION("QUERY('Volunteer Survey'!I346)"),"")</f>
        <v/>
      </c>
      <c r="AI347" s="183" t="str">
        <f>IFERROR(__xludf.DUMMYFUNCTION("QUERY('Volunteer Survey'!J346)"),"")</f>
        <v/>
      </c>
      <c r="AJ347" s="183" t="str">
        <f>IFERROR(__xludf.DUMMYFUNCTION("QUERY('Volunteer Survey'!K346)"),"")</f>
        <v/>
      </c>
      <c r="AK347" s="183" t="str">
        <f>IFERROR(__xludf.DUMMYFUNCTION("QUERY('Volunteer Survey'!L346)"),"")</f>
        <v/>
      </c>
      <c r="AL347" s="183" t="str">
        <f>IFERROR(__xludf.DUMMYFUNCTION("QUERY('Volunteer Survey'!M346)"),"")</f>
        <v/>
      </c>
      <c r="AM347" s="183" t="str">
        <f>IFERROR(__xludf.DUMMYFUNCTION("QUERY('Volunteer Survey'!N346)"),"")</f>
        <v/>
      </c>
      <c r="AN347" s="183" t="str">
        <f>IFERROR(__xludf.DUMMYFUNCTION("QUERY('Volunteer Survey'!O346)"),"No")</f>
        <v>No</v>
      </c>
      <c r="AO347" s="183" t="str">
        <f>IFERROR(__xludf.DUMMYFUNCTION("QUERY('Volunteer Survey'!P346)"),"Insight mismatch repair")</f>
        <v>Insight mismatch repair</v>
      </c>
    </row>
    <row r="348">
      <c r="A348" s="50">
        <f>IFERROR(__xludf.DUMMYFUNCTION("QUERY('Volunteer Survey'!A357)"),43779.01428032407)</f>
        <v>43779.01428</v>
      </c>
      <c r="B348" s="48" t="s">
        <v>108</v>
      </c>
      <c r="C348" s="79">
        <v>43819.0</v>
      </c>
      <c r="D348" s="55"/>
      <c r="E348" s="55"/>
      <c r="F348" s="48" t="s">
        <v>130</v>
      </c>
      <c r="G348" s="48" t="s">
        <v>251</v>
      </c>
      <c r="H348" s="53"/>
      <c r="I348" s="53"/>
      <c r="J348" s="55"/>
      <c r="K348" s="55"/>
      <c r="L348" s="55" t="str">
        <f>IFERROR(__xludf.DUMMYFUNCTION("QUERY('Volunteer Survey'!B357)"),"Prasad Rao Kopparapu")</f>
        <v>Prasad Rao Kopparapu</v>
      </c>
      <c r="M348" s="55" t="str">
        <f>IFERROR(__xludf.DUMMYFUNCTION("QUERY('Volunteer Survey'!E357)"),"prasaad82@gmail.com")</f>
        <v>prasaad82@gmail.com</v>
      </c>
      <c r="N348" s="55" t="str">
        <f>IFERROR(__xludf.DUMMYFUNCTION("QUERY('Volunteer Survey'!F357)"),"Post Doc/Resident/Fellow (MD and/or PhD)")</f>
        <v>Post Doc/Resident/Fellow (MD and/or PhD)</v>
      </c>
      <c r="O348" s="48" t="str">
        <f>IFERROR(__xludf.DUMMYFUNCTION("QUERY('Volunteer Survey'!H357)"),"Comprehensive")</f>
        <v>Comprehensive</v>
      </c>
      <c r="P348" s="55" t="str">
        <f>IFERROR(__xludf.DUMMYFUNCTION("QUERY('Volunteer Survey'!I357)"),"Variant Pathogenicity")</f>
        <v>Variant Pathogenicity</v>
      </c>
      <c r="Q348" s="60" t="str">
        <f>IFERROR(__xludf.DUMMYFUNCTION("QUERY('Volunteer Survey'!J357)"),"Gene-Disease Validity")</f>
        <v>Gene-Disease Validity</v>
      </c>
      <c r="R348" s="55" t="str">
        <f>IFERROR(__xludf.DUMMYFUNCTION("QUERY('Volunteer Survey'!K357)"),"Somatic Cancer")</f>
        <v>Somatic Cancer</v>
      </c>
      <c r="S348" s="55" t="str">
        <f>IFERROR(__xludf.DUMMYFUNCTION("QUERY('Volunteer Survey'!L357)"),"Dosage Sensitivity")</f>
        <v>Dosage Sensitivity</v>
      </c>
      <c r="T348" s="55" t="str">
        <f>IFERROR(__xludf.DUMMYFUNCTION("QUERY('Volunteer Survey'!M357)"),"Clinical Actionability")</f>
        <v>Clinical Actionability</v>
      </c>
      <c r="U348" s="64" t="str">
        <f>IFERROR(__xludf.DUMMYFUNCTION("QUERY('Volunteer Survey'!N357)"),"")</f>
        <v/>
      </c>
      <c r="V348" s="55" t="str">
        <f>IFERROR(__xludf.DUMMYFUNCTION("QUERY('Volunteer Survey'!O357)"),"Possibly")</f>
        <v>Possibly</v>
      </c>
      <c r="W348" s="66" t="str">
        <f>IFERROR(__xludf.DUMMYFUNCTION("QUERY('Volunteer Survey'!P357)"),"Variant Curation Expert Panels-TP53*, Somatic Cancer Working Group-Pediatric,")</f>
        <v>Variant Curation Expert Panels-TP53*, Somatic Cancer Working Group-Pediatric,</v>
      </c>
      <c r="X348" s="64" t="str">
        <f>IFERROR(__xludf.DUMMYFUNCTION("QUERY('Volunteer Survey'!R357)"),"Yes- I am willing to volunteer with any available ClinGen group")</f>
        <v>Yes- I am willing to volunteer with any available ClinGen group</v>
      </c>
      <c r="Y348" s="53"/>
      <c r="Z348" s="182">
        <f>IFERROR(__xludf.DUMMYFUNCTION("QUERY('Volunteer Survey'!A347)"),43772.945721909724)</f>
        <v>43772.94572</v>
      </c>
      <c r="AA348" s="183" t="str">
        <f>IFERROR(__xludf.DUMMYFUNCTION("QUERY('Volunteer Survey'!B347)"),"Ke Yu")</f>
        <v>Ke Yu</v>
      </c>
      <c r="AB348" s="183" t="str">
        <f>IFERROR(__xludf.DUMMYFUNCTION("QUERY('Volunteer Survey'!C347)"),"zhejiang Biosan Biochemical Technologies Co.,Ltd")</f>
        <v>zhejiang Biosan Biochemical Technologies Co.,Ltd</v>
      </c>
      <c r="AC348" s="183" t="str">
        <f>IFERROR(__xludf.DUMMYFUNCTION("QUERY('Volunteer Survey'!D347)"),"")</f>
        <v/>
      </c>
      <c r="AD348" s="183" t="str">
        <f>IFERROR(__xludf.DUMMYFUNCTION("QUERY('Volunteer Survey'!E347)"),"yukefg@163.com")</f>
        <v>yukefg@163.com</v>
      </c>
      <c r="AE348" s="183" t="str">
        <f>IFERROR(__xludf.DUMMYFUNCTION("QUERY('Volunteer Survey'!F347)"),"Clinical laboratory geneticist")</f>
        <v>Clinical laboratory geneticist</v>
      </c>
      <c r="AF348" s="183" t="str">
        <f>IFERROR(__xludf.DUMMYFUNCTION("QUERY('Volunteer Survey'!G347)"),"Networking")</f>
        <v>Networking</v>
      </c>
      <c r="AG348" s="183" t="str">
        <f>IFERROR(__xludf.DUMMYFUNCTION("QUERY('Volunteer Survey'!H347)"),"Baseline")</f>
        <v>Baseline</v>
      </c>
      <c r="AH348" s="183" t="str">
        <f>IFERROR(__xludf.DUMMYFUNCTION("QUERY('Volunteer Survey'!I347)"),"Variant Pathogenicity")</f>
        <v>Variant Pathogenicity</v>
      </c>
      <c r="AI348" s="183" t="str">
        <f>IFERROR(__xludf.DUMMYFUNCTION("QUERY('Volunteer Survey'!J347)"),"Gene-Disease Validity")</f>
        <v>Gene-Disease Validity</v>
      </c>
      <c r="AJ348" s="183" t="str">
        <f>IFERROR(__xludf.DUMMYFUNCTION("QUERY('Volunteer Survey'!K347)"),"Somatic Cancer")</f>
        <v>Somatic Cancer</v>
      </c>
      <c r="AK348" s="183" t="str">
        <f>IFERROR(__xludf.DUMMYFUNCTION("QUERY('Volunteer Survey'!L347)"),"Dosage Sensitivity")</f>
        <v>Dosage Sensitivity</v>
      </c>
      <c r="AL348" s="183" t="str">
        <f>IFERROR(__xludf.DUMMYFUNCTION("QUERY('Volunteer Survey'!M347)"),"Clinical Actionability")</f>
        <v>Clinical Actionability</v>
      </c>
      <c r="AM348" s="183" t="str">
        <f>IFERROR(__xludf.DUMMYFUNCTION("QUERY('Volunteer Survey'!N347)"),"")</f>
        <v/>
      </c>
      <c r="AN348" s="183" t="str">
        <f>IFERROR(__xludf.DUMMYFUNCTION("QUERY('Volunteer Survey'!O347)"),"Yes")</f>
        <v>Yes</v>
      </c>
      <c r="AO348" s="183" t="str">
        <f>IFERROR(__xludf.DUMMYFUNCTION("QUERY('Volunteer Survey'!P347)"),"")</f>
        <v/>
      </c>
    </row>
    <row r="349">
      <c r="A349" s="50">
        <f>IFERROR(__xludf.DUMMYFUNCTION("QUERY('Volunteer Survey'!A358)"),43780.19700046296)</f>
        <v>43780.197</v>
      </c>
      <c r="B349" s="48" t="s">
        <v>108</v>
      </c>
      <c r="C349" s="79">
        <v>43819.0</v>
      </c>
      <c r="D349" s="55"/>
      <c r="E349" s="55"/>
      <c r="F349" s="48" t="s">
        <v>130</v>
      </c>
      <c r="G349" s="48" t="s">
        <v>122</v>
      </c>
      <c r="H349" s="53"/>
      <c r="I349" s="53"/>
      <c r="J349" s="55"/>
      <c r="K349" s="55"/>
      <c r="L349" s="55" t="str">
        <f>IFERROR(__xludf.DUMMYFUNCTION("QUERY('Volunteer Survey'!B358)"),"Mansour Zamanpoor")</f>
        <v>Mansour Zamanpoor</v>
      </c>
      <c r="M349" s="55" t="str">
        <f>IFERROR(__xludf.DUMMYFUNCTION("QUERY('Volunteer Survey'!E358)"),"mansour.zamanpoor@ccdhb.org.nz")</f>
        <v>mansour.zamanpoor@ccdhb.org.nz</v>
      </c>
      <c r="N349" s="55" t="str">
        <f>IFERROR(__xludf.DUMMYFUNCTION("QUERY('Volunteer Survey'!F358)"),"Clinical laboratory geneticist")</f>
        <v>Clinical laboratory geneticist</v>
      </c>
      <c r="O349" s="48" t="str">
        <f>IFERROR(__xludf.DUMMYFUNCTION("QUERY('Volunteer Survey'!H358)"),"Comprehensive")</f>
        <v>Comprehensive</v>
      </c>
      <c r="P349" s="55" t="str">
        <f>IFERROR(__xludf.DUMMYFUNCTION("QUERY('Volunteer Survey'!I358)"),"Gene-Disease Validity")</f>
        <v>Gene-Disease Validity</v>
      </c>
      <c r="Q349" s="60" t="str">
        <f>IFERROR(__xludf.DUMMYFUNCTION("QUERY('Volunteer Survey'!J358)"),"Variant Pathogenicity")</f>
        <v>Variant Pathogenicity</v>
      </c>
      <c r="R349" s="55" t="str">
        <f>IFERROR(__xludf.DUMMYFUNCTION("QUERY('Volunteer Survey'!K358)"),"Somatic Cancer")</f>
        <v>Somatic Cancer</v>
      </c>
      <c r="S349" s="55" t="str">
        <f>IFERROR(__xludf.DUMMYFUNCTION("QUERY('Volunteer Survey'!L358)"),"Clinical Actionability")</f>
        <v>Clinical Actionability</v>
      </c>
      <c r="T349" s="55" t="str">
        <f>IFERROR(__xludf.DUMMYFUNCTION("QUERY('Volunteer Survey'!M358)"),"Dosage Sensitivity")</f>
        <v>Dosage Sensitivity</v>
      </c>
      <c r="U349" s="64" t="str">
        <f>IFERROR(__xludf.DUMMYFUNCTION("QUERY('Volunteer Survey'!N358)"),"I am actively involved in variant curation in a diagnostic genomic laboratory ")</f>
        <v>I am actively involved in variant curation in a diagnostic genomic laboratory </v>
      </c>
      <c r="V349" s="55" t="str">
        <f>IFERROR(__xludf.DUMMYFUNCTION("QUERY('Volunteer Survey'!O358)"),"Yes")</f>
        <v>Yes</v>
      </c>
      <c r="W349" s="66" t="str">
        <f>IFERROR(__xludf.DUMMYFUNCTION("QUERY('Volunteer Survey'!P358)"),"")</f>
        <v/>
      </c>
      <c r="X349" s="64" t="str">
        <f>IFERROR(__xludf.DUMMYFUNCTION("QUERY('Volunteer Survey'!R358)"),"Maybe -- please contact me with other options, and I will decide based on what is available")</f>
        <v>Maybe -- please contact me with other options, and I will decide based on what is available</v>
      </c>
      <c r="Y349" s="53"/>
      <c r="Z349" s="182">
        <f>IFERROR(__xludf.DUMMYFUNCTION("QUERY('Volunteer Survey'!A348)"),43773.58556355324)</f>
        <v>43773.58556</v>
      </c>
      <c r="AA349" s="183" t="str">
        <f>IFERROR(__xludf.DUMMYFUNCTION("QUERY('Volunteer Survey'!B348)"),"JELENA BREZO")</f>
        <v>JELENA BREZO</v>
      </c>
      <c r="AB349" s="183" t="str">
        <f>IFERROR(__xludf.DUMMYFUNCTION("QUERY('Volunteer Survey'!C348)"),"N/A")</f>
        <v>N/A</v>
      </c>
      <c r="AC349" s="183" t="str">
        <f>IFERROR(__xludf.DUMMYFUNCTION("QUERY('Volunteer Survey'!D348)"),"1447 E KRISTIANNA CIR, SALT LAKE CITY, UT")</f>
        <v>1447 E KRISTIANNA CIR, SALT LAKE CITY, UT</v>
      </c>
      <c r="AD349" s="183" t="str">
        <f>IFERROR(__xludf.DUMMYFUNCTION("QUERY('Volunteer Survey'!E348)"),"dnalphabet@gmail.com")</f>
        <v>dnalphabet@gmail.com</v>
      </c>
      <c r="AE349" s="183" t="str">
        <f>IFERROR(__xludf.DUMMYFUNCTION("QUERY('Volunteer Survey'!F348)"),"Clinical laboratory geneticist")</f>
        <v>Clinical laboratory geneticist</v>
      </c>
      <c r="AF349" s="183" t="str">
        <f>IFERROR(__xludf.DUMMYFUNCTION("QUERY('Volunteer Survey'!G348)"),"Networking")</f>
        <v>Networking</v>
      </c>
      <c r="AG349" s="183" t="str">
        <f>IFERROR(__xludf.DUMMYFUNCTION("QUERY('Volunteer Survey'!H348)"),"Baseline")</f>
        <v>Baseline</v>
      </c>
      <c r="AH349" s="183" t="str">
        <f>IFERROR(__xludf.DUMMYFUNCTION("QUERY('Volunteer Survey'!I348)"),"Clinical Actionability")</f>
        <v>Clinical Actionability</v>
      </c>
      <c r="AI349" s="183" t="str">
        <f>IFERROR(__xludf.DUMMYFUNCTION("QUERY('Volunteer Survey'!J348)"),"Gene-Disease Validity")</f>
        <v>Gene-Disease Validity</v>
      </c>
      <c r="AJ349" s="183" t="str">
        <f>IFERROR(__xludf.DUMMYFUNCTION("QUERY('Volunteer Survey'!K348)"),"Variant Pathogenicity")</f>
        <v>Variant Pathogenicity</v>
      </c>
      <c r="AK349" s="183" t="str">
        <f>IFERROR(__xludf.DUMMYFUNCTION("QUERY('Volunteer Survey'!L348)"),"Somatic Cancer")</f>
        <v>Somatic Cancer</v>
      </c>
      <c r="AL349" s="183" t="str">
        <f>IFERROR(__xludf.DUMMYFUNCTION("QUERY('Volunteer Survey'!M348)"),"Dosage Sensitivity")</f>
        <v>Dosage Sensitivity</v>
      </c>
      <c r="AM349" s="183" t="str">
        <f>IFERROR(__xludf.DUMMYFUNCTION("QUERY('Volunteer Survey'!N348)"),"As a lab director, I reviewed interpretations for  a number of phenotypes")</f>
        <v>As a lab director, I reviewed interpretations for  a number of phenotypes</v>
      </c>
      <c r="AN349" s="183" t="str">
        <f>IFERROR(__xludf.DUMMYFUNCTION("QUERY('Volunteer Survey'!O348)"),"Possibly")</f>
        <v>Possibly</v>
      </c>
      <c r="AO349" s="183" t="str">
        <f>IFERROR(__xludf.DUMMYFUNCTION("QUERY('Volunteer Survey'!P348)"),"No specific interest")</f>
        <v>No specific interest</v>
      </c>
    </row>
    <row r="350">
      <c r="A350" s="50">
        <f>IFERROR(__xludf.DUMMYFUNCTION("QUERY('Volunteer Survey'!A359)"),43780.37467388889)</f>
        <v>43780.37467</v>
      </c>
      <c r="B350" s="48" t="s">
        <v>160</v>
      </c>
      <c r="C350" s="90">
        <v>43808.0</v>
      </c>
      <c r="D350" s="65">
        <v>43859.0</v>
      </c>
      <c r="E350" s="48" t="s">
        <v>117</v>
      </c>
      <c r="F350" s="48" t="s">
        <v>130</v>
      </c>
      <c r="G350" s="48" t="s">
        <v>19</v>
      </c>
      <c r="H350" s="53"/>
      <c r="I350" s="53"/>
      <c r="J350" s="55"/>
      <c r="K350" s="55"/>
      <c r="L350" s="55" t="str">
        <f>IFERROR(__xludf.DUMMYFUNCTION("QUERY('Volunteer Survey'!B359)"),"Mark Shlapobersky")</f>
        <v>Mark Shlapobersky</v>
      </c>
      <c r="M350" s="55" t="str">
        <f>IFERROR(__xludf.DUMMYFUNCTION("QUERY('Volunteer Survey'!E359)"),"marks@bmc.gov.il")</f>
        <v>marks@bmc.gov.il</v>
      </c>
      <c r="N350" s="55" t="str">
        <f>IFERROR(__xludf.DUMMYFUNCTION("QUERY('Volunteer Survey'!F359)"),"Director of Pathology lab")</f>
        <v>Director of Pathology lab</v>
      </c>
      <c r="O350" s="48" t="str">
        <f>IFERROR(__xludf.DUMMYFUNCTION("QUERY('Volunteer Survey'!H359)"),"Comprehensive")</f>
        <v>Comprehensive</v>
      </c>
      <c r="P350" s="55" t="str">
        <f>IFERROR(__xludf.DUMMYFUNCTION("QUERY('Volunteer Survey'!I359)"),"Clinical Actionability")</f>
        <v>Clinical Actionability</v>
      </c>
      <c r="Q350" s="60" t="str">
        <f>IFERROR(__xludf.DUMMYFUNCTION("QUERY('Volunteer Survey'!J359)"),"Variant Pathogenicity")</f>
        <v>Variant Pathogenicity</v>
      </c>
      <c r="R350" s="55" t="str">
        <f>IFERROR(__xludf.DUMMYFUNCTION("QUERY('Volunteer Survey'!K359)"),"Somatic Cancer")</f>
        <v>Somatic Cancer</v>
      </c>
      <c r="S350" s="55" t="str">
        <f>IFERROR(__xludf.DUMMYFUNCTION("QUERY('Volunteer Survey'!L359)"),"Gene-Disease Validity")</f>
        <v>Gene-Disease Validity</v>
      </c>
      <c r="T350" s="55" t="str">
        <f>IFERROR(__xludf.DUMMYFUNCTION("QUERY('Volunteer Survey'!M359)"),"Dosage Sensitivity")</f>
        <v>Dosage Sensitivity</v>
      </c>
      <c r="U350" s="64" t="str">
        <f>IFERROR(__xludf.DUMMYFUNCTION("QUERY('Volunteer Survey'!N359)"),"I was a curator for Pathway Genomics and Human Longevity")</f>
        <v>I was a curator for Pathway Genomics and Human Longevity</v>
      </c>
      <c r="V350" s="55" t="str">
        <f>IFERROR(__xludf.DUMMYFUNCTION("QUERY('Volunteer Survey'!O359)"),"Yes")</f>
        <v>Yes</v>
      </c>
      <c r="W350" s="66" t="str">
        <f>IFERROR(__xludf.DUMMYFUNCTION("QUERY('Volunteer Survey'!P359)"),"")</f>
        <v/>
      </c>
      <c r="X350" s="64" t="str">
        <f>IFERROR(__xludf.DUMMYFUNCTION("QUERY('Volunteer Survey'!R359)"),"Yes- I am willing to volunteer with any available ClinGen group")</f>
        <v>Yes- I am willing to volunteer with any available ClinGen group</v>
      </c>
      <c r="Y350" s="53"/>
      <c r="Z350" s="182">
        <f>IFERROR(__xludf.DUMMYFUNCTION("QUERY('Volunteer Survey'!A349)"),43773.596221053245)</f>
        <v>43773.59622</v>
      </c>
      <c r="AA350" s="183" t="str">
        <f>IFERROR(__xludf.DUMMYFUNCTION("QUERY('Volunteer Survey'!B349)"),"Qing Zhang")</f>
        <v>Qing Zhang</v>
      </c>
      <c r="AB350" s="183" t="str">
        <f>IFERROR(__xludf.DUMMYFUNCTION("QUERY('Volunteer Survey'!C349)"),"Fred Hutchinson Cancer Research Center")</f>
        <v>Fred Hutchinson Cancer Research Center</v>
      </c>
      <c r="AC350" s="183" t="str">
        <f>IFERROR(__xludf.DUMMYFUNCTION("QUERY('Volunteer Survey'!D349)"),"")</f>
        <v/>
      </c>
      <c r="AD350" s="183" t="str">
        <f>IFERROR(__xludf.DUMMYFUNCTION("QUERY('Volunteer Survey'!E349)"),"qz1seattle@yahoo.com")</f>
        <v>qz1seattle@yahoo.com</v>
      </c>
      <c r="AE350" s="183" t="str">
        <f>IFERROR(__xludf.DUMMYFUNCTION("QUERY('Volunteer Survey'!F349)"),"Scientific Researcher")</f>
        <v>Scientific Researcher</v>
      </c>
      <c r="AF350" s="183" t="str">
        <f>IFERROR(__xludf.DUMMYFUNCTION("QUERY('Volunteer Survey'!G349)"),"Networking")</f>
        <v>Networking</v>
      </c>
      <c r="AG350" s="183" t="str">
        <f>IFERROR(__xludf.DUMMYFUNCTION("QUERY('Volunteer Survey'!H349)"),"Comprehensive")</f>
        <v>Comprehensive</v>
      </c>
      <c r="AH350" s="183" t="str">
        <f>IFERROR(__xludf.DUMMYFUNCTION("QUERY('Volunteer Survey'!I349)"),"Somatic Cancer")</f>
        <v>Somatic Cancer</v>
      </c>
      <c r="AI350" s="183" t="str">
        <f>IFERROR(__xludf.DUMMYFUNCTION("QUERY('Volunteer Survey'!J349)"),"Variant Pathogenicity")</f>
        <v>Variant Pathogenicity</v>
      </c>
      <c r="AJ350" s="183" t="str">
        <f>IFERROR(__xludf.DUMMYFUNCTION("QUERY('Volunteer Survey'!K349)"),"Clinical Actionability")</f>
        <v>Clinical Actionability</v>
      </c>
      <c r="AK350" s="183" t="str">
        <f>IFERROR(__xludf.DUMMYFUNCTION("QUERY('Volunteer Survey'!L349)"),"")</f>
        <v/>
      </c>
      <c r="AL350" s="183" t="str">
        <f>IFERROR(__xludf.DUMMYFUNCTION("QUERY('Volunteer Survey'!M349)"),"")</f>
        <v/>
      </c>
      <c r="AM350" s="183" t="str">
        <f>IFERROR(__xludf.DUMMYFUNCTION("QUERY('Volunteer Survey'!N349)"),"")</f>
        <v/>
      </c>
      <c r="AN350" s="183" t="str">
        <f>IFERROR(__xludf.DUMMYFUNCTION("QUERY('Volunteer Survey'!O349)"),"Possibly")</f>
        <v>Possibly</v>
      </c>
      <c r="AO350" s="183" t="str">
        <f>IFERROR(__xludf.DUMMYFUNCTION("QUERY('Volunteer Survey'!P349)"),"Somatic Cancer Working Group")</f>
        <v>Somatic Cancer Working Group</v>
      </c>
    </row>
    <row r="351">
      <c r="A351" s="50">
        <f>IFERROR(__xludf.DUMMYFUNCTION("QUERY('Volunteer Survey'!A360)"),43782.569134212965)</f>
        <v>43782.56913</v>
      </c>
      <c r="B351" s="48" t="s">
        <v>108</v>
      </c>
      <c r="C351" s="79">
        <v>43819.0</v>
      </c>
      <c r="D351" s="73">
        <v>43846.0</v>
      </c>
      <c r="E351" s="48" t="s">
        <v>117</v>
      </c>
      <c r="F351" s="48" t="s">
        <v>117</v>
      </c>
      <c r="G351" s="48" t="s">
        <v>122</v>
      </c>
      <c r="H351" s="53"/>
      <c r="I351" s="53"/>
      <c r="J351" s="55"/>
      <c r="K351" s="55"/>
      <c r="L351" s="55" t="str">
        <f>IFERROR(__xludf.DUMMYFUNCTION("QUERY('Volunteer Survey'!B360)"),"Marie-Luise Brennan")</f>
        <v>Marie-Luise Brennan</v>
      </c>
      <c r="M351" s="55" t="str">
        <f>IFERROR(__xludf.DUMMYFUNCTION("QUERY('Volunteer Survey'!E360)"),"mbrennan@acmg.net")</f>
        <v>mbrennan@acmg.net</v>
      </c>
      <c r="N351" s="55" t="str">
        <f>IFERROR(__xludf.DUMMYFUNCTION("QUERY('Volunteer Survey'!F360)"),"Clinical Medical Geneticist")</f>
        <v>Clinical Medical Geneticist</v>
      </c>
      <c r="O351" s="48" t="str">
        <f>IFERROR(__xludf.DUMMYFUNCTION("QUERY('Volunteer Survey'!H360)"),"Comprehensive")</f>
        <v>Comprehensive</v>
      </c>
      <c r="P351" s="55" t="str">
        <f>IFERROR(__xludf.DUMMYFUNCTION("QUERY('Volunteer Survey'!I360)"),"Gene-Disease Validity")</f>
        <v>Gene-Disease Validity</v>
      </c>
      <c r="Q351" s="60" t="str">
        <f>IFERROR(__xludf.DUMMYFUNCTION("QUERY('Volunteer Survey'!J360)"),"Variant Pathogenicity")</f>
        <v>Variant Pathogenicity</v>
      </c>
      <c r="R351" s="55" t="str">
        <f>IFERROR(__xludf.DUMMYFUNCTION("QUERY('Volunteer Survey'!K360)"),"Dosage Sensitivity")</f>
        <v>Dosage Sensitivity</v>
      </c>
      <c r="S351" s="55" t="str">
        <f>IFERROR(__xludf.DUMMYFUNCTION("QUERY('Volunteer Survey'!L360)"),"Clinical Actionability")</f>
        <v>Clinical Actionability</v>
      </c>
      <c r="T351" s="55" t="str">
        <f>IFERROR(__xludf.DUMMYFUNCTION("QUERY('Volunteer Survey'!M360)"),"Somatic Cancer")</f>
        <v>Somatic Cancer</v>
      </c>
      <c r="U351" s="64" t="str">
        <f>IFERROR(__xludf.DUMMYFUNCTION("QUERY('Volunteer Survey'!N360)"),"No prior experience with curation. ")</f>
        <v>No prior experience with curation. </v>
      </c>
      <c r="V351" s="55" t="str">
        <f>IFERROR(__xludf.DUMMYFUNCTION("QUERY('Volunteer Survey'!O360)"),"Yes")</f>
        <v>Yes</v>
      </c>
      <c r="W351" s="66" t="str">
        <f>IFERROR(__xludf.DUMMYFUNCTION("QUERY('Volunteer Survey'!P360)"),"Low penetrance/risk alleles; gene curation (monogenic diabetes; any); dosage sens (neurodev or recurrent regions). Preferences listed, happy to join where needed.")</f>
        <v>Low penetrance/risk alleles; gene curation (monogenic diabetes; any); dosage sens (neurodev or recurrent regions). Preferences listed, happy to join where needed.</v>
      </c>
      <c r="X351" s="64" t="str">
        <f>IFERROR(__xludf.DUMMYFUNCTION("QUERY('Volunteer Survey'!R360)"),"Yes- I am willing to volunteer with any available ClinGen group")</f>
        <v>Yes- I am willing to volunteer with any available ClinGen group</v>
      </c>
      <c r="Y351" s="53"/>
      <c r="Z351" s="182">
        <f>IFERROR(__xludf.DUMMYFUNCTION("QUERY('Volunteer Survey'!A350)"),43775.928431423614)</f>
        <v>43775.92843</v>
      </c>
      <c r="AA351" s="183" t="str">
        <f>IFERROR(__xludf.DUMMYFUNCTION("QUERY('Volunteer Survey'!B350)"),"Cassandra Barrett")</f>
        <v>Cassandra Barrett</v>
      </c>
      <c r="AB351" s="183" t="str">
        <f>IFERROR(__xludf.DUMMYFUNCTION("QUERY('Volunteer Survey'!C350)"),"University of Utah")</f>
        <v>University of Utah</v>
      </c>
      <c r="AC351" s="183" t="str">
        <f>IFERROR(__xludf.DUMMYFUNCTION("QUERY('Volunteer Survey'!D350)"),"564 Hollywood Ave, Salt Lake City UT 84105")</f>
        <v>564 Hollywood Ave, Salt Lake City UT 84105</v>
      </c>
      <c r="AD351" s="183" t="str">
        <f>IFERROR(__xludf.DUMMYFUNCTION("QUERY('Volunteer Survey'!E350)"),"cas9bar@gmail.com")</f>
        <v>cas9bar@gmail.com</v>
      </c>
      <c r="AE351" s="183" t="str">
        <f>IFERROR(__xludf.DUMMYFUNCTION("QUERY('Volunteer Survey'!F350)"),"PhD in genetic engineering; currently in a genetic counseling graduate program")</f>
        <v>PhD in genetic engineering; currently in a genetic counseling graduate program</v>
      </c>
      <c r="AF351" s="183" t="str">
        <f>IFERROR(__xludf.DUMMYFUNCTION("QUERY('Volunteer Survey'!G350)"),"NSGC Conference 2019")</f>
        <v>NSGC Conference 2019</v>
      </c>
      <c r="AG351" s="183" t="str">
        <f>IFERROR(__xludf.DUMMYFUNCTION("QUERY('Volunteer Survey'!H350)"),"Comprehensive")</f>
        <v>Comprehensive</v>
      </c>
      <c r="AH351" s="183" t="str">
        <f>IFERROR(__xludf.DUMMYFUNCTION("QUERY('Volunteer Survey'!I350)"),"Dosage Sensitivity")</f>
        <v>Dosage Sensitivity</v>
      </c>
      <c r="AI351" s="183" t="str">
        <f>IFERROR(__xludf.DUMMYFUNCTION("QUERY('Volunteer Survey'!J350)"),"Clinical Actionability")</f>
        <v>Clinical Actionability</v>
      </c>
      <c r="AJ351" s="183" t="str">
        <f>IFERROR(__xludf.DUMMYFUNCTION("QUERY('Volunteer Survey'!K350)"),"Gene-Disease Validity")</f>
        <v>Gene-Disease Validity</v>
      </c>
      <c r="AK351" s="183" t="str">
        <f>IFERROR(__xludf.DUMMYFUNCTION("QUERY('Volunteer Survey'!L350)"),"Variant Pathogenicity")</f>
        <v>Variant Pathogenicity</v>
      </c>
      <c r="AL351" s="183" t="str">
        <f>IFERROR(__xludf.DUMMYFUNCTION("QUERY('Volunteer Survey'!M350)"),"Somatic Cancer")</f>
        <v>Somatic Cancer</v>
      </c>
      <c r="AM351" s="183" t="str">
        <f>IFERROR(__xludf.DUMMYFUNCTION("QUERY('Volunteer Survey'!N350)"),"I've done literature research before related to the effects of specific epigenetic modifiers on phenotype, but that's about it.")</f>
        <v>I've done literature research before related to the effects of specific epigenetic modifiers on phenotype, but that's about it.</v>
      </c>
      <c r="AN351" s="183" t="str">
        <f>IFERROR(__xludf.DUMMYFUNCTION("QUERY('Volunteer Survey'!O350)"),"Possibly")</f>
        <v>Possibly</v>
      </c>
      <c r="AO351" s="183" t="str">
        <f>IFERROR(__xludf.DUMMYFUNCTION("QUERY('Volunteer Survey'!P350)"),"")</f>
        <v/>
      </c>
    </row>
    <row r="352">
      <c r="A352" s="50">
        <f>IFERROR(__xludf.DUMMYFUNCTION("QUERY('Volunteer Survey'!A361)"),43789.37928430555)</f>
        <v>43789.37928</v>
      </c>
      <c r="B352" s="48" t="s">
        <v>108</v>
      </c>
      <c r="C352" s="79">
        <v>43819.0</v>
      </c>
      <c r="D352" s="55"/>
      <c r="E352" s="55"/>
      <c r="F352" s="48" t="s">
        <v>130</v>
      </c>
      <c r="G352" s="48" t="s">
        <v>251</v>
      </c>
      <c r="H352" s="53"/>
      <c r="I352" s="53"/>
      <c r="J352" s="55"/>
      <c r="K352" s="55"/>
      <c r="L352" s="55" t="str">
        <f>IFERROR(__xludf.DUMMYFUNCTION("QUERY('Volunteer Survey'!B361)"),"Shawn Gessay")</f>
        <v>Shawn Gessay</v>
      </c>
      <c r="M352" s="55" t="str">
        <f>IFERROR(__xludf.DUMMYFUNCTION("QUERY('Volunteer Survey'!E361)"),"gessays75@gmail.com")</f>
        <v>gessays75@gmail.com</v>
      </c>
      <c r="N352" s="55" t="str">
        <f>IFERROR(__xludf.DUMMYFUNCTION("QUERY('Volunteer Survey'!F361)"),"Genetic counselor")</f>
        <v>Genetic counselor</v>
      </c>
      <c r="O352" s="48" t="str">
        <f>IFERROR(__xludf.DUMMYFUNCTION("QUERY('Volunteer Survey'!H361)"),"Comprehensive")</f>
        <v>Comprehensive</v>
      </c>
      <c r="P352" s="55" t="str">
        <f>IFERROR(__xludf.DUMMYFUNCTION("QUERY('Volunteer Survey'!I361)"),"Variant Pathogenicity")</f>
        <v>Variant Pathogenicity</v>
      </c>
      <c r="Q352" s="60" t="str">
        <f>IFERROR(__xludf.DUMMYFUNCTION("QUERY('Volunteer Survey'!J361)"),"Clinical Actionability")</f>
        <v>Clinical Actionability</v>
      </c>
      <c r="R352" s="55" t="str">
        <f>IFERROR(__xludf.DUMMYFUNCTION("QUERY('Volunteer Survey'!K361)"),"Gene-Disease Validity")</f>
        <v>Gene-Disease Validity</v>
      </c>
      <c r="S352" s="55" t="str">
        <f>IFERROR(__xludf.DUMMYFUNCTION("QUERY('Volunteer Survey'!L361)"),"Dosage Sensitivity")</f>
        <v>Dosage Sensitivity</v>
      </c>
      <c r="T352" s="55" t="str">
        <f>IFERROR(__xludf.DUMMYFUNCTION("QUERY('Volunteer Survey'!M361)"),"Somatic Cancer")</f>
        <v>Somatic Cancer</v>
      </c>
      <c r="U352" s="64" t="str">
        <f>IFERROR(__xludf.DUMMYFUNCTION("QUERY('Volunteer Survey'!N361)"),"No ")</f>
        <v>No </v>
      </c>
      <c r="V352" s="55" t="str">
        <f>IFERROR(__xludf.DUMMYFUNCTION("QUERY('Volunteer Survey'!O361)"),"Yes")</f>
        <v>Yes</v>
      </c>
      <c r="W352" s="66" t="str">
        <f>IFERROR(__xludf.DUMMYFUNCTION("QUERY('Volunteer Survey'!P361)"),"RASopathy")</f>
        <v>RASopathy</v>
      </c>
      <c r="X352" s="64" t="str">
        <f>IFERROR(__xludf.DUMMYFUNCTION("QUERY('Volunteer Survey'!R361)"),"Yes- I am willing to volunteer with any available ClinGen group")</f>
        <v>Yes- I am willing to volunteer with any available ClinGen group</v>
      </c>
      <c r="Y352" s="53"/>
      <c r="Z352" s="182">
        <f>IFERROR(__xludf.DUMMYFUNCTION("QUERY('Volunteer Survey'!A351)"),43776.037574699076)</f>
        <v>43776.03757</v>
      </c>
      <c r="AA352" s="183" t="str">
        <f>IFERROR(__xludf.DUMMYFUNCTION("QUERY('Volunteer Survey'!B351)"),"Punithavathi Sundaramurthy")</f>
        <v>Punithavathi Sundaramurthy</v>
      </c>
      <c r="AB352" s="183" t="str">
        <f>IFERROR(__xludf.DUMMYFUNCTION("QUERY('Volunteer Survey'!C351)"),"San Jose State University")</f>
        <v>San Jose State University</v>
      </c>
      <c r="AC352" s="183" t="str">
        <f>IFERROR(__xludf.DUMMYFUNCTION("QUERY('Volunteer Survey'!D351)"),"")</f>
        <v/>
      </c>
      <c r="AD352" s="183" t="str">
        <f>IFERROR(__xludf.DUMMYFUNCTION("QUERY('Volunteer Survey'!E351)"),"PunitSundar95@gmail.com")</f>
        <v>PunitSundar95@gmail.com</v>
      </c>
      <c r="AE352" s="183" t="str">
        <f>IFERROR(__xludf.DUMMYFUNCTION("QUERY('Volunteer Survey'!F351)"),"Graduate Student")</f>
        <v>Graduate Student</v>
      </c>
      <c r="AF352" s="183" t="str">
        <f>IFERROR(__xludf.DUMMYFUNCTION("QUERY('Volunteer Survey'!G351)"),"I read an article which mentioned ClinGen")</f>
        <v>I read an article which mentioned ClinGen</v>
      </c>
      <c r="AG352" s="183" t="str">
        <f>IFERROR(__xludf.DUMMYFUNCTION("QUERY('Volunteer Survey'!H351)"),"Baseline")</f>
        <v>Baseline</v>
      </c>
      <c r="AH352" s="183" t="str">
        <f>IFERROR(__xludf.DUMMYFUNCTION("QUERY('Volunteer Survey'!I351)"),"")</f>
        <v/>
      </c>
      <c r="AI352" s="183" t="str">
        <f>IFERROR(__xludf.DUMMYFUNCTION("QUERY('Volunteer Survey'!J351)"),"")</f>
        <v/>
      </c>
      <c r="AJ352" s="183" t="str">
        <f>IFERROR(__xludf.DUMMYFUNCTION("QUERY('Volunteer Survey'!K351)"),"")</f>
        <v/>
      </c>
      <c r="AK352" s="183" t="str">
        <f>IFERROR(__xludf.DUMMYFUNCTION("QUERY('Volunteer Survey'!L351)"),"")</f>
        <v/>
      </c>
      <c r="AL352" s="183" t="str">
        <f>IFERROR(__xludf.DUMMYFUNCTION("QUERY('Volunteer Survey'!M351)"),"")</f>
        <v/>
      </c>
      <c r="AM352" s="183" t="str">
        <f>IFERROR(__xludf.DUMMYFUNCTION("QUERY('Volunteer Survey'!N351)"),"")</f>
        <v/>
      </c>
      <c r="AN352" s="183" t="str">
        <f>IFERROR(__xludf.DUMMYFUNCTION("QUERY('Volunteer Survey'!O351)"),"Yes")</f>
        <v>Yes</v>
      </c>
      <c r="AO352" s="183" t="str">
        <f>IFERROR(__xludf.DUMMYFUNCTION("QUERY('Volunteer Survey'!P351)"),"")</f>
        <v/>
      </c>
    </row>
    <row r="353">
      <c r="A353" s="50">
        <f>IFERROR(__xludf.DUMMYFUNCTION("QUERY('Volunteer Survey'!A362)"),43789.561137233795)</f>
        <v>43789.56114</v>
      </c>
      <c r="B353" s="48" t="s">
        <v>108</v>
      </c>
      <c r="C353" s="79">
        <v>43819.0</v>
      </c>
      <c r="D353" s="55"/>
      <c r="E353" s="55"/>
      <c r="F353" s="48" t="s">
        <v>130</v>
      </c>
      <c r="G353" s="48" t="s">
        <v>251</v>
      </c>
      <c r="H353" s="53"/>
      <c r="I353" s="53"/>
      <c r="J353" s="55"/>
      <c r="K353" s="55"/>
      <c r="L353" s="55" t="str">
        <f>IFERROR(__xludf.DUMMYFUNCTION("QUERY('Volunteer Survey'!B362)"),"Angela Hoang")</f>
        <v>Angela Hoang</v>
      </c>
      <c r="M353" s="55" t="str">
        <f>IFERROR(__xludf.DUMMYFUNCTION("QUERY('Volunteer Survey'!E362)"),"ahoang18@students.kgi.edu")</f>
        <v>ahoang18@students.kgi.edu</v>
      </c>
      <c r="N353" s="55" t="str">
        <f>IFERROR(__xludf.DUMMYFUNCTION("QUERY('Volunteer Survey'!F362)"),"Graduate Student")</f>
        <v>Graduate Student</v>
      </c>
      <c r="O353" s="48" t="str">
        <f>IFERROR(__xludf.DUMMYFUNCTION("QUERY('Volunteer Survey'!H362)"),"Comprehensive")</f>
        <v>Comprehensive</v>
      </c>
      <c r="P353" s="55" t="str">
        <f>IFERROR(__xludf.DUMMYFUNCTION("QUERY('Volunteer Survey'!I362)"),"Variant Pathogenicity")</f>
        <v>Variant Pathogenicity</v>
      </c>
      <c r="Q353" s="60" t="str">
        <f>IFERROR(__xludf.DUMMYFUNCTION("QUERY('Volunteer Survey'!J362)"),"Gene-Disease Validity")</f>
        <v>Gene-Disease Validity</v>
      </c>
      <c r="R353" s="55" t="str">
        <f>IFERROR(__xludf.DUMMYFUNCTION("QUERY('Volunteer Survey'!K362)"),"Clinical Actionability")</f>
        <v>Clinical Actionability</v>
      </c>
      <c r="S353" s="55" t="str">
        <f>IFERROR(__xludf.DUMMYFUNCTION("QUERY('Volunteer Survey'!L362)"),"")</f>
        <v/>
      </c>
      <c r="T353" s="55" t="str">
        <f>IFERROR(__xludf.DUMMYFUNCTION("QUERY('Volunteer Survey'!M362)"),"")</f>
        <v/>
      </c>
      <c r="U353" s="64" t="str">
        <f>IFERROR(__xludf.DUMMYFUNCTION("QUERY('Volunteer Survey'!N362)"),"Yes, I have educational experience with variant classification and gene-disease association. ")</f>
        <v>Yes, I have educational experience with variant classification and gene-disease association. </v>
      </c>
      <c r="V353" s="55" t="str">
        <f>IFERROR(__xludf.DUMMYFUNCTION("QUERY('Volunteer Survey'!O362)"),"Possibly")</f>
        <v>Possibly</v>
      </c>
      <c r="W353" s="66" t="str">
        <f>IFERROR(__xludf.DUMMYFUNCTION("QUERY('Volunteer Survey'!P362)"),"N/A")</f>
        <v>N/A</v>
      </c>
      <c r="X353" s="64" t="str">
        <f>IFERROR(__xludf.DUMMYFUNCTION("QUERY('Volunteer Survey'!R362)"),"Yes- I am willing to volunteer with any available ClinGen group")</f>
        <v>Yes- I am willing to volunteer with any available ClinGen group</v>
      </c>
      <c r="Y353" s="53"/>
      <c r="Z353" s="182">
        <f>IFERROR(__xludf.DUMMYFUNCTION("QUERY('Volunteer Survey'!A352)"),43776.555087673616)</f>
        <v>43776.55509</v>
      </c>
      <c r="AA353" s="183" t="str">
        <f>IFERROR(__xludf.DUMMYFUNCTION("QUERY('Volunteer Survey'!B352)"),"Madhulatha Pantrangi")</f>
        <v>Madhulatha Pantrangi</v>
      </c>
      <c r="AB353" s="183" t="str">
        <f>IFERROR(__xludf.DUMMYFUNCTION("QUERY('Volunteer Survey'!C352)"),"PrevntionGenetics")</f>
        <v>PrevntionGenetics</v>
      </c>
      <c r="AC353" s="183" t="str">
        <f>IFERROR(__xludf.DUMMYFUNCTION("QUERY('Volunteer Survey'!D352)"),"3800 S. Business Park Avenue")</f>
        <v>3800 S. Business Park Avenue</v>
      </c>
      <c r="AD353" s="183" t="str">
        <f>IFERROR(__xludf.DUMMYFUNCTION("QUERY('Volunteer Survey'!E352)"),"madhu.pantrangi@preventiongenetics.com")</f>
        <v>madhu.pantrangi@preventiongenetics.com</v>
      </c>
      <c r="AE353" s="183" t="str">
        <f>IFERROR(__xludf.DUMMYFUNCTION("QUERY('Volunteer Survey'!F352)"),"Clinical laboratory geneticist")</f>
        <v>Clinical laboratory geneticist</v>
      </c>
      <c r="AF353" s="183" t="str">
        <f>IFERROR(__xludf.DUMMYFUNCTION("QUERY('Volunteer Survey'!G352)"),"ASHG Conference 2019, ACMG Conference 2019, ClinGen conference advertisements (i.e. booth, workshop, presentation), Networking, Colleagues, The clinicalgenome.org website")</f>
        <v>ASHG Conference 2019, ACMG Conference 2019, ClinGen conference advertisements (i.e. booth, workshop, presentation), Networking, Colleagues, The clinicalgenome.org website</v>
      </c>
      <c r="AG353" s="183" t="str">
        <f>IFERROR(__xludf.DUMMYFUNCTION("QUERY('Volunteer Survey'!H352)"),"Baseline")</f>
        <v>Baseline</v>
      </c>
      <c r="AH353" s="183" t="str">
        <f>IFERROR(__xludf.DUMMYFUNCTION("QUERY('Volunteer Survey'!I352)"),"")</f>
        <v/>
      </c>
      <c r="AI353" s="183" t="str">
        <f>IFERROR(__xludf.DUMMYFUNCTION("QUERY('Volunteer Survey'!J352)"),"")</f>
        <v/>
      </c>
      <c r="AJ353" s="183" t="str">
        <f>IFERROR(__xludf.DUMMYFUNCTION("QUERY('Volunteer Survey'!K352)"),"")</f>
        <v/>
      </c>
      <c r="AK353" s="183" t="str">
        <f>IFERROR(__xludf.DUMMYFUNCTION("QUERY('Volunteer Survey'!L352)"),"")</f>
        <v/>
      </c>
      <c r="AL353" s="183" t="str">
        <f>IFERROR(__xludf.DUMMYFUNCTION("QUERY('Volunteer Survey'!M352)"),"")</f>
        <v/>
      </c>
      <c r="AM353" s="183" t="str">
        <f>IFERROR(__xludf.DUMMYFUNCTION("QUERY('Volunteer Survey'!N352)"),"")</f>
        <v/>
      </c>
      <c r="AN353" s="183" t="str">
        <f>IFERROR(__xludf.DUMMYFUNCTION("QUERY('Volunteer Survey'!O352)"),"Possibly")</f>
        <v>Possibly</v>
      </c>
      <c r="AO353" s="183" t="str">
        <f>IFERROR(__xludf.DUMMYFUNCTION("QUERY('Volunteer Survey'!P352)"),"Peroxisomal Disorders ")</f>
        <v>Peroxisomal Disorders </v>
      </c>
    </row>
    <row r="354">
      <c r="A354" s="50">
        <f>IFERROR(__xludf.DUMMYFUNCTION("QUERY('Volunteer Survey'!A363)"),43790.71008880787)</f>
        <v>43790.71009</v>
      </c>
      <c r="B354" s="48" t="s">
        <v>108</v>
      </c>
      <c r="C354" s="79">
        <v>43819.0</v>
      </c>
      <c r="D354" s="55"/>
      <c r="E354" s="55"/>
      <c r="F354" s="48" t="s">
        <v>130</v>
      </c>
      <c r="G354" s="48" t="s">
        <v>251</v>
      </c>
      <c r="H354" s="53"/>
      <c r="I354" s="53"/>
      <c r="J354" s="55"/>
      <c r="K354" s="55"/>
      <c r="L354" s="55" t="str">
        <f>IFERROR(__xludf.DUMMYFUNCTION("QUERY('Volunteer Survey'!B363)"),"Poornima Vijayan")</f>
        <v>Poornima Vijayan</v>
      </c>
      <c r="M354" s="55" t="str">
        <f>IFERROR(__xludf.DUMMYFUNCTION("QUERY('Volunteer Survey'!E363)"),"poornima2785@gmail.com")</f>
        <v>poornima2785@gmail.com</v>
      </c>
      <c r="N354" s="55" t="str">
        <f>IFERROR(__xludf.DUMMYFUNCTION("QUERY('Volunteer Survey'!F363)"),"Graduate Student")</f>
        <v>Graduate Student</v>
      </c>
      <c r="O354" s="48" t="str">
        <f>IFERROR(__xludf.DUMMYFUNCTION("QUERY('Volunteer Survey'!H363)"),"Comprehensive")</f>
        <v>Comprehensive</v>
      </c>
      <c r="P354" s="55" t="str">
        <f>IFERROR(__xludf.DUMMYFUNCTION("QUERY('Volunteer Survey'!I363)"),"Variant Pathogenicity")</f>
        <v>Variant Pathogenicity</v>
      </c>
      <c r="Q354" s="60" t="str">
        <f>IFERROR(__xludf.DUMMYFUNCTION("QUERY('Volunteer Survey'!J363)"),"Clinical Actionability")</f>
        <v>Clinical Actionability</v>
      </c>
      <c r="R354" s="55" t="str">
        <f>IFERROR(__xludf.DUMMYFUNCTION("QUERY('Volunteer Survey'!K363)"),"Gene-Disease Validity")</f>
        <v>Gene-Disease Validity</v>
      </c>
      <c r="S354" s="55" t="str">
        <f>IFERROR(__xludf.DUMMYFUNCTION("QUERY('Volunteer Survey'!L363)"),"Somatic Cancer")</f>
        <v>Somatic Cancer</v>
      </c>
      <c r="T354" s="55" t="str">
        <f>IFERROR(__xludf.DUMMYFUNCTION("QUERY('Volunteer Survey'!M363)"),"Dosage Sensitivity")</f>
        <v>Dosage Sensitivity</v>
      </c>
      <c r="U354" s="64" t="str">
        <f>IFERROR(__xludf.DUMMYFUNCTION("QUERY('Volunteer Survey'!N363)"),"I am a student of medical genomics")</f>
        <v>I am a student of medical genomics</v>
      </c>
      <c r="V354" s="55" t="str">
        <f>IFERROR(__xludf.DUMMYFUNCTION("QUERY('Volunteer Survey'!O363)"),"Yes")</f>
        <v>Yes</v>
      </c>
      <c r="W354" s="66" t="str">
        <f>IFERROR(__xludf.DUMMYFUNCTION("QUERY('Volunteer Survey'!P363)"),"")</f>
        <v/>
      </c>
      <c r="X354" s="64" t="str">
        <f>IFERROR(__xludf.DUMMYFUNCTION("QUERY('Volunteer Survey'!R363)"),"Yes- I am willing to volunteer with any available ClinGen group")</f>
        <v>Yes- I am willing to volunteer with any available ClinGen group</v>
      </c>
      <c r="Y354" s="53"/>
      <c r="Z354" s="182">
        <f>IFERROR(__xludf.DUMMYFUNCTION("QUERY('Volunteer Survey'!A353)"),43777.2171097801)</f>
        <v>43777.21711</v>
      </c>
      <c r="AA354" s="183" t="str">
        <f>IFERROR(__xludf.DUMMYFUNCTION("QUERY('Volunteer Survey'!B353)"),"Celeste Bento")</f>
        <v>Celeste Bento</v>
      </c>
      <c r="AB354" s="183" t="str">
        <f>IFERROR(__xludf.DUMMYFUNCTION("QUERY('Volunteer Survey'!C353)"),"Centro Hospitalar e Universitário de Coimbra, Portugal")</f>
        <v>Centro Hospitalar e Universitário de Coimbra, Portugal</v>
      </c>
      <c r="AC354" s="183" t="str">
        <f>IFERROR(__xludf.DUMMYFUNCTION("QUERY('Volunteer Survey'!D353)"),"Hospital Pediátrico")</f>
        <v>Hospital Pediátrico</v>
      </c>
      <c r="AD354" s="183" t="str">
        <f>IFERROR(__xludf.DUMMYFUNCTION("QUERY('Volunteer Survey'!E353)"),"celeste.bento@chuc.min-saude.pt")</f>
        <v>celeste.bento@chuc.min-saude.pt</v>
      </c>
      <c r="AE354" s="183" t="str">
        <f>IFERROR(__xludf.DUMMYFUNCTION("QUERY('Volunteer Survey'!F353)"),"Clinical laboratory geneticist")</f>
        <v>Clinical laboratory geneticist</v>
      </c>
      <c r="AF354" s="183" t="str">
        <f>IFERROR(__xludf.DUMMYFUNCTION("QUERY('Volunteer Survey'!G353)"),"Networking")</f>
        <v>Networking</v>
      </c>
      <c r="AG354" s="183" t="str">
        <f>IFERROR(__xludf.DUMMYFUNCTION("QUERY('Volunteer Survey'!H353)"),"Comprehensive")</f>
        <v>Comprehensive</v>
      </c>
      <c r="AH354" s="183" t="str">
        <f>IFERROR(__xludf.DUMMYFUNCTION("QUERY('Volunteer Survey'!I353)"),"Variant Pathogenicity")</f>
        <v>Variant Pathogenicity</v>
      </c>
      <c r="AI354" s="183" t="str">
        <f>IFERROR(__xludf.DUMMYFUNCTION("QUERY('Volunteer Survey'!J353)"),"Gene-Disease Validity")</f>
        <v>Gene-Disease Validity</v>
      </c>
      <c r="AJ354" s="183" t="str">
        <f>IFERROR(__xludf.DUMMYFUNCTION("QUERY('Volunteer Survey'!K353)"),"Clinical Actionability")</f>
        <v>Clinical Actionability</v>
      </c>
      <c r="AK354" s="183" t="str">
        <f>IFERROR(__xludf.DUMMYFUNCTION("QUERY('Volunteer Survey'!L353)"),"Dosage Sensitivity")</f>
        <v>Dosage Sensitivity</v>
      </c>
      <c r="AL354" s="183" t="str">
        <f>IFERROR(__xludf.DUMMYFUNCTION("QUERY('Volunteer Survey'!M353)"),"Somatic Cancer")</f>
        <v>Somatic Cancer</v>
      </c>
      <c r="AM354" s="183" t="str">
        <f>IFERROR(__xludf.DUMMYFUNCTION("QUERY('Volunteer Survey'!N353)"),"I need to apply the ACMG rules in my everyday work ")</f>
        <v>I need to apply the ACMG rules in my everyday work </v>
      </c>
      <c r="AN354" s="183" t="str">
        <f>IFERROR(__xludf.DUMMYFUNCTION("QUERY('Volunteer Survey'!O353)"),"Possibly")</f>
        <v>Possibly</v>
      </c>
      <c r="AO354" s="183" t="str">
        <f>IFERROR(__xludf.DUMMYFUNCTION("QUERY('Volunteer Survey'!P353)"),"I'm in the Core Task Team of ClinGen Haemoglobinopathy EP")</f>
        <v>I'm in the Core Task Team of ClinGen Haemoglobinopathy EP</v>
      </c>
    </row>
    <row r="355">
      <c r="A355" s="50">
        <f>IFERROR(__xludf.DUMMYFUNCTION("QUERY('Volunteer Survey'!A364)"),43794.31350851851)</f>
        <v>43794.31351</v>
      </c>
      <c r="B355" s="48" t="s">
        <v>108</v>
      </c>
      <c r="C355" s="79">
        <v>43819.0</v>
      </c>
      <c r="D355" s="73">
        <v>43846.0</v>
      </c>
      <c r="E355" s="48" t="s">
        <v>117</v>
      </c>
      <c r="F355" s="48" t="s">
        <v>130</v>
      </c>
      <c r="G355" s="48" t="s">
        <v>122</v>
      </c>
      <c r="H355" s="53"/>
      <c r="I355" s="51" t="s">
        <v>299</v>
      </c>
      <c r="J355" s="55"/>
      <c r="K355" s="55"/>
      <c r="L355" s="55" t="str">
        <f>IFERROR(__xludf.DUMMYFUNCTION("QUERY('Volunteer Survey'!B364)"),"Adriana Bastos Carvalho")</f>
        <v>Adriana Bastos Carvalho</v>
      </c>
      <c r="M355" s="55" t="str">
        <f>IFERROR(__xludf.DUMMYFUNCTION("QUERY('Volunteer Survey'!E364)"),"carvalhoab@biof.ufrj.br")</f>
        <v>carvalhoab@biof.ufrj.br</v>
      </c>
      <c r="N355" s="55" t="str">
        <f>IFERROR(__xludf.DUMMYFUNCTION("QUERY('Volunteer Survey'!F364)"),"Scientific Researcher")</f>
        <v>Scientific Researcher</v>
      </c>
      <c r="O355" s="48" t="str">
        <f>IFERROR(__xludf.DUMMYFUNCTION("QUERY('Volunteer Survey'!H364)"),"Comprehensive")</f>
        <v>Comprehensive</v>
      </c>
      <c r="P355" s="55" t="str">
        <f>IFERROR(__xludf.DUMMYFUNCTION("QUERY('Volunteer Survey'!I364)"),"Gene-Disease Validity")</f>
        <v>Gene-Disease Validity</v>
      </c>
      <c r="Q355" s="60" t="str">
        <f>IFERROR(__xludf.DUMMYFUNCTION("QUERY('Volunteer Survey'!J364)"),"Variant Pathogenicity")</f>
        <v>Variant Pathogenicity</v>
      </c>
      <c r="R355" s="55" t="str">
        <f>IFERROR(__xludf.DUMMYFUNCTION("QUERY('Volunteer Survey'!K364)"),"Clinical Actionability")</f>
        <v>Clinical Actionability</v>
      </c>
      <c r="S355" s="55" t="str">
        <f>IFERROR(__xludf.DUMMYFUNCTION("QUERY('Volunteer Survey'!L364)"),"Dosage Sensitivity")</f>
        <v>Dosage Sensitivity</v>
      </c>
      <c r="T355" s="55" t="str">
        <f>IFERROR(__xludf.DUMMYFUNCTION("QUERY('Volunteer Survey'!M364)"),"Somatic Cancer")</f>
        <v>Somatic Cancer</v>
      </c>
      <c r="U355" s="64" t="str">
        <f>IFERROR(__xludf.DUMMYFUNCTION("QUERY('Volunteer Survey'!N364)"),"No. Although I have never worked in curation activities, I work with in vitro models to investigate variant pathogenicity.")</f>
        <v>No. Although I have never worked in curation activities, I work with in vitro models to investigate variant pathogenicity.</v>
      </c>
      <c r="V355" s="55" t="str">
        <f>IFERROR(__xludf.DUMMYFUNCTION("QUERY('Volunteer Survey'!O364)"),"Yes")</f>
        <v>Yes</v>
      </c>
      <c r="W355" s="66" t="str">
        <f>IFERROR(__xludf.DUMMYFUNCTION("QUERY('Volunteer Survey'!P364)"),"Cardiomyopathy Variant Curation Expert Panel")</f>
        <v>Cardiomyopathy Variant Curation Expert Panel</v>
      </c>
      <c r="X355" s="64" t="str">
        <f>IFERROR(__xludf.DUMMYFUNCTION("QUERY('Volunteer Survey'!R364)"),"Yes- I am willing to volunteer with any available ClinGen group")</f>
        <v>Yes- I am willing to volunteer with any available ClinGen group</v>
      </c>
      <c r="Y355" s="53"/>
      <c r="Z355" s="182">
        <f>IFERROR(__xludf.DUMMYFUNCTION("QUERY('Volunteer Survey'!A354)"),43777.537821550926)</f>
        <v>43777.53782</v>
      </c>
      <c r="AA355" s="183" t="str">
        <f>IFERROR(__xludf.DUMMYFUNCTION("QUERY('Volunteer Survey'!B354)"),"Gokce Toruner")</f>
        <v>Gokce Toruner</v>
      </c>
      <c r="AB355" s="183" t="str">
        <f>IFERROR(__xludf.DUMMYFUNCTION("QUERY('Volunteer Survey'!C354)"),"UT MD Anderson Cancer Center")</f>
        <v>UT MD Anderson Cancer Center</v>
      </c>
      <c r="AC355" s="183" t="str">
        <f>IFERROR(__xludf.DUMMYFUNCTION("QUERY('Volunteer Survey'!D354)"),"1515 Holcombe Avenue
Unit 350")</f>
        <v>1515 Holcombe Avenue
Unit 350</v>
      </c>
      <c r="AD355" s="183" t="str">
        <f>IFERROR(__xludf.DUMMYFUNCTION("QUERY('Volunteer Survey'!E354)"),"gatoruner@mdanderson.org")</f>
        <v>gatoruner@mdanderson.org</v>
      </c>
      <c r="AE355" s="183" t="str">
        <f>IFERROR(__xludf.DUMMYFUNCTION("QUERY('Volunteer Survey'!F354)"),"Clinical laboratory geneticist")</f>
        <v>Clinical laboratory geneticist</v>
      </c>
      <c r="AF355" s="183" t="str">
        <f>IFERROR(__xludf.DUMMYFUNCTION("QUERY('Volunteer Survey'!G354)"),"ASHG Conference 2019")</f>
        <v>ASHG Conference 2019</v>
      </c>
      <c r="AG355" s="183" t="str">
        <f>IFERROR(__xludf.DUMMYFUNCTION("QUERY('Volunteer Survey'!H354)"),"Comprehensive")</f>
        <v>Comprehensive</v>
      </c>
      <c r="AH355" s="183" t="str">
        <f>IFERROR(__xludf.DUMMYFUNCTION("QUERY('Volunteer Survey'!I354)"),"Somatic Cancer")</f>
        <v>Somatic Cancer</v>
      </c>
      <c r="AI355" s="183" t="str">
        <f>IFERROR(__xludf.DUMMYFUNCTION("QUERY('Volunteer Survey'!J354)"),"")</f>
        <v/>
      </c>
      <c r="AJ355" s="183" t="str">
        <f>IFERROR(__xludf.DUMMYFUNCTION("QUERY('Volunteer Survey'!K354)"),"")</f>
        <v/>
      </c>
      <c r="AK355" s="183" t="str">
        <f>IFERROR(__xludf.DUMMYFUNCTION("QUERY('Volunteer Survey'!L354)"),"")</f>
        <v/>
      </c>
      <c r="AL355" s="183" t="str">
        <f>IFERROR(__xludf.DUMMYFUNCTION("QUERY('Volunteer Survey'!M354)"),"")</f>
        <v/>
      </c>
      <c r="AM355" s="183" t="str">
        <f>IFERROR(__xludf.DUMMYFUNCTION("QUERY('Volunteer Survey'!N354)"),"")</f>
        <v/>
      </c>
      <c r="AN355" s="183" t="str">
        <f>IFERROR(__xludf.DUMMYFUNCTION("QUERY('Volunteer Survey'!O354)"),"No")</f>
        <v>No</v>
      </c>
      <c r="AO355" s="183" t="str">
        <f>IFERROR(__xludf.DUMMYFUNCTION("QUERY('Volunteer Survey'!P354)"),"Somatic Cancer")</f>
        <v>Somatic Cancer</v>
      </c>
    </row>
    <row r="356">
      <c r="A356" s="50">
        <f>IFERROR(__xludf.DUMMYFUNCTION("QUERY('Volunteer Survey'!A365)"),43795.466076805555)</f>
        <v>43795.46608</v>
      </c>
      <c r="B356" s="48" t="s">
        <v>108</v>
      </c>
      <c r="C356" s="79">
        <v>43819.0</v>
      </c>
      <c r="D356" s="55"/>
      <c r="E356" s="55"/>
      <c r="F356" s="48" t="s">
        <v>130</v>
      </c>
      <c r="G356" s="48" t="s">
        <v>122</v>
      </c>
      <c r="H356" s="53"/>
      <c r="I356" s="53"/>
      <c r="J356" s="55"/>
      <c r="K356" s="55"/>
      <c r="L356" s="55" t="str">
        <f>IFERROR(__xludf.DUMMYFUNCTION("QUERY('Volunteer Survey'!B365)"),"Megan Puckelwartz")</f>
        <v>Megan Puckelwartz</v>
      </c>
      <c r="M356" s="55" t="str">
        <f>IFERROR(__xludf.DUMMYFUNCTION("QUERY('Volunteer Survey'!E365)"),"m.puckelwartz@northwestern.edu")</f>
        <v>m.puckelwartz@northwestern.edu</v>
      </c>
      <c r="N356" s="55" t="str">
        <f>IFERROR(__xludf.DUMMYFUNCTION("QUERY('Volunteer Survey'!F365)"),"Scientific Researcher")</f>
        <v>Scientific Researcher</v>
      </c>
      <c r="O356" s="48" t="str">
        <f>IFERROR(__xludf.DUMMYFUNCTION("QUERY('Volunteer Survey'!H365)"),"Comprehensive")</f>
        <v>Comprehensive</v>
      </c>
      <c r="P356" s="55" t="str">
        <f>IFERROR(__xludf.DUMMYFUNCTION("QUERY('Volunteer Survey'!I365)"),"Gene-Disease Validity")</f>
        <v>Gene-Disease Validity</v>
      </c>
      <c r="Q356" s="60" t="str">
        <f>IFERROR(__xludf.DUMMYFUNCTION("QUERY('Volunteer Survey'!J365)"),"Variant Pathogenicity")</f>
        <v>Variant Pathogenicity</v>
      </c>
      <c r="R356" s="55" t="str">
        <f>IFERROR(__xludf.DUMMYFUNCTION("QUERY('Volunteer Survey'!K365)"),"Clinical Actionability")</f>
        <v>Clinical Actionability</v>
      </c>
      <c r="S356" s="55" t="str">
        <f>IFERROR(__xludf.DUMMYFUNCTION("QUERY('Volunteer Survey'!L365)"),"Dosage Sensitivity")</f>
        <v>Dosage Sensitivity</v>
      </c>
      <c r="T356" s="55" t="str">
        <f>IFERROR(__xludf.DUMMYFUNCTION("QUERY('Volunteer Survey'!M365)"),"")</f>
        <v/>
      </c>
      <c r="U356" s="64" t="str">
        <f>IFERROR(__xludf.DUMMYFUNCTION("QUERY('Volunteer Survey'!N365)"),"I perform molecular autopsy using whole genome sequencing on sudden death subjects.  I also curate variants for cardiomyopathy subjects for research purposes.")</f>
        <v>I perform molecular autopsy using whole genome sequencing on sudden death subjects.  I also curate variants for cardiomyopathy subjects for research purposes.</v>
      </c>
      <c r="V356" s="55" t="str">
        <f>IFERROR(__xludf.DUMMYFUNCTION("QUERY('Volunteer Survey'!O365)"),"Yes")</f>
        <v>Yes</v>
      </c>
      <c r="W356" s="66" t="str">
        <f>IFERROR(__xludf.DUMMYFUNCTION("QUERY('Volunteer Survey'!P365)"),"cardiomyopathy")</f>
        <v>cardiomyopathy</v>
      </c>
      <c r="X356" s="64" t="str">
        <f>IFERROR(__xludf.DUMMYFUNCTION("QUERY('Volunteer Survey'!R365)"),"Maybe -- please contact me with other options, and I will decide based on what is available")</f>
        <v>Maybe -- please contact me with other options, and I will decide based on what is available</v>
      </c>
      <c r="Y356" s="53"/>
      <c r="Z356" s="182">
        <f>IFERROR(__xludf.DUMMYFUNCTION("QUERY('Volunteer Survey'!A355)"),43777.94741894676)</f>
        <v>43777.94742</v>
      </c>
      <c r="AA356" s="183" t="str">
        <f>IFERROR(__xludf.DUMMYFUNCTION("QUERY('Volunteer Survey'!B355)"),"rekha aaron")</f>
        <v>rekha aaron</v>
      </c>
      <c r="AB356" s="183" t="str">
        <f>IFERROR(__xludf.DUMMYFUNCTION("QUERY('Volunteer Survey'!C355)"),"christian medical college")</f>
        <v>christian medical college</v>
      </c>
      <c r="AC356" s="183" t="str">
        <f>IFERROR(__xludf.DUMMYFUNCTION("QUERY('Volunteer Survey'!D355)"),"ot block, 5 th floor,cmc velllore")</f>
        <v>ot block, 5 th floor,cmc velllore</v>
      </c>
      <c r="AD356" s="183" t="str">
        <f>IFERROR(__xludf.DUMMYFUNCTION("QUERY('Volunteer Survey'!E355)"),"rekha.a@cmcvellore.ac.in")</f>
        <v>rekha.a@cmcvellore.ac.in</v>
      </c>
      <c r="AE356" s="183" t="str">
        <f>IFERROR(__xludf.DUMMYFUNCTION("QUERY('Volunteer Survey'!F355)"),"Clinical laboratory geneticist")</f>
        <v>Clinical laboratory geneticist</v>
      </c>
      <c r="AF356" s="183" t="str">
        <f>IFERROR(__xludf.DUMMYFUNCTION("QUERY('Volunteer Survey'!G355)"),"Youtube")</f>
        <v>Youtube</v>
      </c>
      <c r="AG356" s="183" t="str">
        <f>IFERROR(__xludf.DUMMYFUNCTION("QUERY('Volunteer Survey'!H355)"),"Baseline")</f>
        <v>Baseline</v>
      </c>
      <c r="AH356" s="183" t="str">
        <f>IFERROR(__xludf.DUMMYFUNCTION("QUERY('Volunteer Survey'!I355)"),"Variant Pathogenicity")</f>
        <v>Variant Pathogenicity</v>
      </c>
      <c r="AI356" s="183" t="str">
        <f>IFERROR(__xludf.DUMMYFUNCTION("QUERY('Volunteer Survey'!J355)"),"Gene-Disease Validity")</f>
        <v>Gene-Disease Validity</v>
      </c>
      <c r="AJ356" s="183" t="str">
        <f>IFERROR(__xludf.DUMMYFUNCTION("QUERY('Volunteer Survey'!K355)"),"Dosage Sensitivity")</f>
        <v>Dosage Sensitivity</v>
      </c>
      <c r="AK356" s="183" t="str">
        <f>IFERROR(__xludf.DUMMYFUNCTION("QUERY('Volunteer Survey'!L355)"),"Clinical Actionability")</f>
        <v>Clinical Actionability</v>
      </c>
      <c r="AL356" s="183" t="str">
        <f>IFERROR(__xludf.DUMMYFUNCTION("QUERY('Volunteer Survey'!M355)"),"Somatic Cancer")</f>
        <v>Somatic Cancer</v>
      </c>
      <c r="AM356" s="183" t="str">
        <f>IFERROR(__xludf.DUMMYFUNCTION("QUERY('Volunteer Survey'!N355)"),"My work regularly involved in variant analysis, interpretation &amp; reporting ")</f>
        <v>My work regularly involved in variant analysis, interpretation &amp; reporting </v>
      </c>
      <c r="AN356" s="183" t="str">
        <f>IFERROR(__xludf.DUMMYFUNCTION("QUERY('Volunteer Survey'!O355)"),"Possibly")</f>
        <v>Possibly</v>
      </c>
      <c r="AO356" s="183" t="str">
        <f>IFERROR(__xludf.DUMMYFUNCTION("QUERY('Volunteer Survey'!P355)"),"mitochondrial ,neurodevelopmental disorders,myopathies")</f>
        <v>mitochondrial ,neurodevelopmental disorders,myopathies</v>
      </c>
    </row>
    <row r="357">
      <c r="A357" s="50">
        <f>IFERROR(__xludf.DUMMYFUNCTION("QUERY('Volunteer Survey'!A366)"),43796.31597033565)</f>
        <v>43796.31597</v>
      </c>
      <c r="B357" s="48" t="s">
        <v>322</v>
      </c>
      <c r="C357" s="53"/>
      <c r="D357" s="55"/>
      <c r="E357" s="55"/>
      <c r="F357" s="48" t="s">
        <v>130</v>
      </c>
      <c r="G357" s="48" t="s">
        <v>136</v>
      </c>
      <c r="H357" s="53"/>
      <c r="I357" s="53"/>
      <c r="J357" s="55"/>
      <c r="K357" s="55"/>
      <c r="L357" s="55" t="str">
        <f>IFERROR(__xludf.DUMMYFUNCTION("QUERY('Volunteer Survey'!B366)"),"Nicole Hinceman")</f>
        <v>Nicole Hinceman</v>
      </c>
      <c r="M357" s="55" t="str">
        <f>IFERROR(__xludf.DUMMYFUNCTION("QUERY('Volunteer Survey'!E366)"),"nhinceman@genedx.com")</f>
        <v>nhinceman@genedx.com</v>
      </c>
      <c r="N357" s="55" t="str">
        <f>IFERROR(__xludf.DUMMYFUNCTION("QUERY('Volunteer Survey'!F366)"),"Prospective Genetic Counseling Student &amp; Variant Analyst (currently a Genetic Counseling Assistant)")</f>
        <v>Prospective Genetic Counseling Student &amp; Variant Analyst (currently a Genetic Counseling Assistant)</v>
      </c>
      <c r="O357" s="48" t="str">
        <f>IFERROR(__xludf.DUMMYFUNCTION("QUERY('Volunteer Survey'!H366)"),"Comprehensive")</f>
        <v>Comprehensive</v>
      </c>
      <c r="P357" s="55" t="str">
        <f>IFERROR(__xludf.DUMMYFUNCTION("QUERY('Volunteer Survey'!I366)"),"Somatic Cancer")</f>
        <v>Somatic Cancer</v>
      </c>
      <c r="Q357" s="60" t="str">
        <f>IFERROR(__xludf.DUMMYFUNCTION("QUERY('Volunteer Survey'!J366)"),"Gene-Disease Validity")</f>
        <v>Gene-Disease Validity</v>
      </c>
      <c r="R357" s="55" t="str">
        <f>IFERROR(__xludf.DUMMYFUNCTION("QUERY('Volunteer Survey'!K366)"),"Clinical Actionability")</f>
        <v>Clinical Actionability</v>
      </c>
      <c r="S357" s="55" t="str">
        <f>IFERROR(__xludf.DUMMYFUNCTION("QUERY('Volunteer Survey'!L366)"),"Variant Pathogenicity")</f>
        <v>Variant Pathogenicity</v>
      </c>
      <c r="T357" s="55" t="str">
        <f>IFERROR(__xludf.DUMMYFUNCTION("QUERY('Volunteer Survey'!M366)"),"Dosage Sensitivity")</f>
        <v>Dosage Sensitivity</v>
      </c>
      <c r="U357" s="64" t="str">
        <f>IFERROR(__xludf.DUMMYFUNCTION("QUERY('Volunteer Survey'!N366)"),"PhD in Molecular Biology, specifically developing mouse models of cancer, working in cancer clinical trials at the Institute of Cancer Research in London, UK")</f>
        <v>PhD in Molecular Biology, specifically developing mouse models of cancer, working in cancer clinical trials at the Institute of Cancer Research in London, UK</v>
      </c>
      <c r="V357" s="55" t="str">
        <f>IFERROR(__xludf.DUMMYFUNCTION("QUERY('Volunteer Survey'!O366)"),"Possibly")</f>
        <v>Possibly</v>
      </c>
      <c r="W357" s="66" t="str">
        <f>IFERROR(__xludf.DUMMYFUNCTION("QUERY('Volunteer Survey'!P366)"),"Pediatric Somatic Cancer Working Group")</f>
        <v>Pediatric Somatic Cancer Working Group</v>
      </c>
      <c r="X357" s="64" t="str">
        <f>IFERROR(__xludf.DUMMYFUNCTION("QUERY('Volunteer Survey'!R366)"),"Yes- I am willing to volunteer with any available ClinGen group")</f>
        <v>Yes- I am willing to volunteer with any available ClinGen group</v>
      </c>
      <c r="Y357" s="53"/>
      <c r="Z357" s="182">
        <f>IFERROR(__xludf.DUMMYFUNCTION("QUERY('Volunteer Survey'!A356)"),43778.843209189814)</f>
        <v>43778.84321</v>
      </c>
      <c r="AA357" s="183" t="str">
        <f>IFERROR(__xludf.DUMMYFUNCTION("QUERY('Volunteer Survey'!B356)"),"Larissa Waldman")</f>
        <v>Larissa Waldman</v>
      </c>
      <c r="AB357" s="183" t="str">
        <f>IFERROR(__xludf.DUMMYFUNCTION("QUERY('Volunteer Survey'!C356)"),"The Hospital for Sick Children")</f>
        <v>The Hospital for Sick Children</v>
      </c>
      <c r="AC357" s="183" t="str">
        <f>IFERROR(__xludf.DUMMYFUNCTION("QUERY('Volunteer Survey'!D356)"),"1504-386 Yonge St. ")</f>
        <v>1504-386 Yonge St. </v>
      </c>
      <c r="AD357" s="183" t="str">
        <f>IFERROR(__xludf.DUMMYFUNCTION("QUERY('Volunteer Survey'!E356)"),"larissa.waldman@gmail.com")</f>
        <v>larissa.waldman@gmail.com</v>
      </c>
      <c r="AE357" s="183" t="str">
        <f>IFERROR(__xludf.DUMMYFUNCTION("QUERY('Volunteer Survey'!F356)"),"Genetic counselor")</f>
        <v>Genetic counselor</v>
      </c>
      <c r="AF357" s="183" t="str">
        <f>IFERROR(__xludf.DUMMYFUNCTION("QUERY('Volunteer Survey'!G356)"),"NSGC Conference 2019")</f>
        <v>NSGC Conference 2019</v>
      </c>
      <c r="AG357" s="183" t="str">
        <f>IFERROR(__xludf.DUMMYFUNCTION("QUERY('Volunteer Survey'!H356)"),"Comprehensive")</f>
        <v>Comprehensive</v>
      </c>
      <c r="AH357" s="183" t="str">
        <f>IFERROR(__xludf.DUMMYFUNCTION("QUERY('Volunteer Survey'!I356)"),"Clinical Actionability")</f>
        <v>Clinical Actionability</v>
      </c>
      <c r="AI357" s="183" t="str">
        <f>IFERROR(__xludf.DUMMYFUNCTION("QUERY('Volunteer Survey'!J356)"),"Gene-Disease Validity")</f>
        <v>Gene-Disease Validity</v>
      </c>
      <c r="AJ357" s="183" t="str">
        <f>IFERROR(__xludf.DUMMYFUNCTION("QUERY('Volunteer Survey'!K356)"),"Somatic Cancer")</f>
        <v>Somatic Cancer</v>
      </c>
      <c r="AK357" s="183" t="str">
        <f>IFERROR(__xludf.DUMMYFUNCTION("QUERY('Volunteer Survey'!L356)"),"Variant Pathogenicity")</f>
        <v>Variant Pathogenicity</v>
      </c>
      <c r="AL357" s="183" t="str">
        <f>IFERROR(__xludf.DUMMYFUNCTION("QUERY('Volunteer Survey'!M356)"),"Dosage Sensitivity")</f>
        <v>Dosage Sensitivity</v>
      </c>
      <c r="AM357" s="183" t="str">
        <f>IFERROR(__xludf.DUMMYFUNCTION("QUERY('Volunteer Survey'!N356)"),"")</f>
        <v/>
      </c>
      <c r="AN357" s="183" t="str">
        <f>IFERROR(__xludf.DUMMYFUNCTION("QUERY('Volunteer Survey'!O356)"),"No")</f>
        <v>No</v>
      </c>
      <c r="AO357" s="183" t="str">
        <f>IFERROR(__xludf.DUMMYFUNCTION("QUERY('Volunteer Survey'!P356)"),"Hereditary cancer, myeloid malignancy, pediatric somatic")</f>
        <v>Hereditary cancer, myeloid malignancy, pediatric somatic</v>
      </c>
    </row>
    <row r="358">
      <c r="A358" s="50">
        <f>IFERROR(__xludf.DUMMYFUNCTION("QUERY('Volunteer Survey'!A367)"),43796.448630798615)</f>
        <v>43796.44863</v>
      </c>
      <c r="B358" s="48" t="s">
        <v>322</v>
      </c>
      <c r="C358" s="53"/>
      <c r="D358" s="55"/>
      <c r="E358" s="55"/>
      <c r="F358" s="48" t="s">
        <v>130</v>
      </c>
      <c r="G358" s="48" t="s">
        <v>313</v>
      </c>
      <c r="H358" s="53"/>
      <c r="I358" s="53"/>
      <c r="J358" s="55"/>
      <c r="K358" s="55"/>
      <c r="L358" s="55" t="str">
        <f>IFERROR(__xludf.DUMMYFUNCTION("QUERY('Volunteer Survey'!B367)"),"Ekaterini Iordanou")</f>
        <v>Ekaterini Iordanou</v>
      </c>
      <c r="M358" s="55" t="str">
        <f>IFERROR(__xludf.DUMMYFUNCTION("QUERY('Volunteer Survey'!E367)"),"iordanoue@childrensdayton.org")</f>
        <v>iordanoue@childrensdayton.org</v>
      </c>
      <c r="N358" s="55" t="str">
        <f>IFERROR(__xludf.DUMMYFUNCTION("QUERY('Volunteer Survey'!F367)"),"Clinical laboratory geneticist")</f>
        <v>Clinical laboratory geneticist</v>
      </c>
      <c r="O358" s="48" t="str">
        <f>IFERROR(__xludf.DUMMYFUNCTION("QUERY('Volunteer Survey'!H367)"),"Comprehensive")</f>
        <v>Comprehensive</v>
      </c>
      <c r="P358" s="55" t="str">
        <f>IFERROR(__xludf.DUMMYFUNCTION("QUERY('Volunteer Survey'!I367)"),"Dosage Sensitivity")</f>
        <v>Dosage Sensitivity</v>
      </c>
      <c r="Q358" s="60" t="str">
        <f>IFERROR(__xludf.DUMMYFUNCTION("QUERY('Volunteer Survey'!J367)"),"Variant Pathogenicity")</f>
        <v>Variant Pathogenicity</v>
      </c>
      <c r="R358" s="55" t="str">
        <f>IFERROR(__xludf.DUMMYFUNCTION("QUERY('Volunteer Survey'!K367)"),"")</f>
        <v/>
      </c>
      <c r="S358" s="55" t="str">
        <f>IFERROR(__xludf.DUMMYFUNCTION("QUERY('Volunteer Survey'!L367)"),"")</f>
        <v/>
      </c>
      <c r="T358" s="55" t="str">
        <f>IFERROR(__xludf.DUMMYFUNCTION("QUERY('Volunteer Survey'!M367)"),"")</f>
        <v/>
      </c>
      <c r="U358" s="64" t="str">
        <f>IFERROR(__xludf.DUMMYFUNCTION("QUERY('Volunteer Survey'!N367)"),"")</f>
        <v/>
      </c>
      <c r="V358" s="55" t="str">
        <f>IFERROR(__xludf.DUMMYFUNCTION("QUERY('Volunteer Survey'!O367)"),"Possibly")</f>
        <v>Possibly</v>
      </c>
      <c r="W358" s="66" t="str">
        <f>IFERROR(__xludf.DUMMYFUNCTION("QUERY('Volunteer Survey'!P367)"),"")</f>
        <v/>
      </c>
      <c r="X358" s="64" t="str">
        <f>IFERROR(__xludf.DUMMYFUNCTION("QUERY('Volunteer Survey'!R367)"),"Maybe -- please contact me with other options, and I will decide based on what is available")</f>
        <v>Maybe -- please contact me with other options, and I will decide based on what is available</v>
      </c>
      <c r="Y358" s="53"/>
      <c r="Z358" s="182">
        <f>IFERROR(__xludf.DUMMYFUNCTION("QUERY('Volunteer Survey'!A357)"),43779.01428032407)</f>
        <v>43779.01428</v>
      </c>
      <c r="AA358" s="183" t="str">
        <f>IFERROR(__xludf.DUMMYFUNCTION("QUERY('Volunteer Survey'!B357)"),"Prasad Rao Kopparapu")</f>
        <v>Prasad Rao Kopparapu</v>
      </c>
      <c r="AB358" s="183" t="str">
        <f>IFERROR(__xludf.DUMMYFUNCTION("QUERY('Volunteer Survey'!C357)"),"Vanderbilt University Medical Center")</f>
        <v>Vanderbilt University Medical Center</v>
      </c>
      <c r="AC358" s="183" t="str">
        <f>IFERROR(__xludf.DUMMYFUNCTION("QUERY('Volunteer Survey'!D357)"),"2140 Acklen Ave Apt 16")</f>
        <v>2140 Acklen Ave Apt 16</v>
      </c>
      <c r="AD358" s="183" t="str">
        <f>IFERROR(__xludf.DUMMYFUNCTION("QUERY('Volunteer Survey'!E357)"),"prasaad82@gmail.com")</f>
        <v>prasaad82@gmail.com</v>
      </c>
      <c r="AE358" s="183" t="str">
        <f>IFERROR(__xludf.DUMMYFUNCTION("QUERY('Volunteer Survey'!F357)"),"Post Doc/Resident/Fellow (MD and/or PhD)")</f>
        <v>Post Doc/Resident/Fellow (MD and/or PhD)</v>
      </c>
      <c r="AF358" s="183" t="str">
        <f>IFERROR(__xludf.DUMMYFUNCTION("QUERY('Volunteer Survey'!G357)"),"Networking, Colleagues")</f>
        <v>Networking, Colleagues</v>
      </c>
      <c r="AG358" s="183" t="str">
        <f>IFERROR(__xludf.DUMMYFUNCTION("QUERY('Volunteer Survey'!H357)"),"Comprehensive")</f>
        <v>Comprehensive</v>
      </c>
      <c r="AH358" s="183" t="str">
        <f>IFERROR(__xludf.DUMMYFUNCTION("QUERY('Volunteer Survey'!I357)"),"Variant Pathogenicity")</f>
        <v>Variant Pathogenicity</v>
      </c>
      <c r="AI358" s="183" t="str">
        <f>IFERROR(__xludf.DUMMYFUNCTION("QUERY('Volunteer Survey'!J357)"),"Gene-Disease Validity")</f>
        <v>Gene-Disease Validity</v>
      </c>
      <c r="AJ358" s="183" t="str">
        <f>IFERROR(__xludf.DUMMYFUNCTION("QUERY('Volunteer Survey'!K357)"),"Somatic Cancer")</f>
        <v>Somatic Cancer</v>
      </c>
      <c r="AK358" s="183" t="str">
        <f>IFERROR(__xludf.DUMMYFUNCTION("QUERY('Volunteer Survey'!L357)"),"Dosage Sensitivity")</f>
        <v>Dosage Sensitivity</v>
      </c>
      <c r="AL358" s="183" t="str">
        <f>IFERROR(__xludf.DUMMYFUNCTION("QUERY('Volunteer Survey'!M357)"),"Clinical Actionability")</f>
        <v>Clinical Actionability</v>
      </c>
      <c r="AM358" s="183" t="str">
        <f>IFERROR(__xludf.DUMMYFUNCTION("QUERY('Volunteer Survey'!N357)"),"")</f>
        <v/>
      </c>
      <c r="AN358" s="183" t="str">
        <f>IFERROR(__xludf.DUMMYFUNCTION("QUERY('Volunteer Survey'!O357)"),"Possibly")</f>
        <v>Possibly</v>
      </c>
      <c r="AO358" s="183" t="str">
        <f>IFERROR(__xludf.DUMMYFUNCTION("QUERY('Volunteer Survey'!P357)"),"Variant Curation Expert Panels-TP53*, Somatic Cancer Working Group-Pediatric,")</f>
        <v>Variant Curation Expert Panels-TP53*, Somatic Cancer Working Group-Pediatric,</v>
      </c>
    </row>
    <row r="359">
      <c r="A359" s="50">
        <f>IFERROR(__xludf.DUMMYFUNCTION("QUERY('Volunteer Survey'!A368)"),43803.37856755788)</f>
        <v>43803.37857</v>
      </c>
      <c r="B359" s="48" t="s">
        <v>108</v>
      </c>
      <c r="C359" s="53"/>
      <c r="D359" s="55"/>
      <c r="E359" s="55"/>
      <c r="F359" s="48" t="s">
        <v>130</v>
      </c>
      <c r="G359" s="48" t="s">
        <v>19</v>
      </c>
      <c r="H359" s="53"/>
      <c r="I359" s="53"/>
      <c r="J359" s="55"/>
      <c r="K359" s="55"/>
      <c r="L359" s="55" t="str">
        <f>IFERROR(__xludf.DUMMYFUNCTION("QUERY('Volunteer Survey'!B368)"),"Laurie Connors")</f>
        <v>Laurie Connors</v>
      </c>
      <c r="M359" s="55" t="str">
        <f>IFERROR(__xludf.DUMMYFUNCTION("QUERY('Volunteer Survey'!E368)"),"laurie.m.connors@vanderbilt.edu")</f>
        <v>laurie.m.connors@vanderbilt.edu</v>
      </c>
      <c r="N359" s="55" t="str">
        <f>IFERROR(__xludf.DUMMYFUNCTION("QUERY('Volunteer Survey'!F368)"),"Clinical geneticist, Genetic Nurse Practitioner")</f>
        <v>Clinical geneticist, Genetic Nurse Practitioner</v>
      </c>
      <c r="O359" s="48" t="str">
        <f>IFERROR(__xludf.DUMMYFUNCTION("QUERY('Volunteer Survey'!H368)"),"Comprehensive")</f>
        <v>Comprehensive</v>
      </c>
      <c r="P359" s="55" t="str">
        <f>IFERROR(__xludf.DUMMYFUNCTION("QUERY('Volunteer Survey'!I368)"),"Clinical Actionability")</f>
        <v>Clinical Actionability</v>
      </c>
      <c r="Q359" s="60" t="str">
        <f>IFERROR(__xludf.DUMMYFUNCTION("QUERY('Volunteer Survey'!J368)"),"Variant Pathogenicity")</f>
        <v>Variant Pathogenicity</v>
      </c>
      <c r="R359" s="55" t="str">
        <f>IFERROR(__xludf.DUMMYFUNCTION("QUERY('Volunteer Survey'!K368)"),"Gene-Disease Validity")</f>
        <v>Gene-Disease Validity</v>
      </c>
      <c r="S359" s="55" t="str">
        <f>IFERROR(__xludf.DUMMYFUNCTION("QUERY('Volunteer Survey'!L368)"),"Somatic Cancer")</f>
        <v>Somatic Cancer</v>
      </c>
      <c r="T359" s="55" t="str">
        <f>IFERROR(__xludf.DUMMYFUNCTION("QUERY('Volunteer Survey'!M368)"),"Dosage Sensitivity")</f>
        <v>Dosage Sensitivity</v>
      </c>
      <c r="U359" s="64" t="str">
        <f>IFERROR(__xludf.DUMMYFUNCTION("QUERY('Volunteer Survey'!N368)"),"No")</f>
        <v>No</v>
      </c>
      <c r="V359" s="55" t="str">
        <f>IFERROR(__xludf.DUMMYFUNCTION("QUERY('Volunteer Survey'!O368)"),"Yes")</f>
        <v>Yes</v>
      </c>
      <c r="W359" s="66" t="str">
        <f>IFERROR(__xludf.DUMMYFUNCTION("QUERY('Volunteer Survey'!P368)"),"Hereditary Cancer, PTEN, VHL")</f>
        <v>Hereditary Cancer, PTEN, VHL</v>
      </c>
      <c r="X359" s="64" t="str">
        <f>IFERROR(__xludf.DUMMYFUNCTION("QUERY('Volunteer Survey'!R368)"),"Maybe -- please contact me with other options, and I will decide based on what is available")</f>
        <v>Maybe -- please contact me with other options, and I will decide based on what is available</v>
      </c>
      <c r="Y359" s="53"/>
      <c r="Z359" s="182">
        <f>IFERROR(__xludf.DUMMYFUNCTION("QUERY('Volunteer Survey'!A358)"),43780.19700046296)</f>
        <v>43780.197</v>
      </c>
      <c r="AA359" s="183" t="str">
        <f>IFERROR(__xludf.DUMMYFUNCTION("QUERY('Volunteer Survey'!B358)"),"Mansour Zamanpoor")</f>
        <v>Mansour Zamanpoor</v>
      </c>
      <c r="AB359" s="183" t="str">
        <f>IFERROR(__xludf.DUMMYFUNCTION("QUERY('Volunteer Survey'!C358)"),"Wellington Regional Genetics Laboratory")</f>
        <v>Wellington Regional Genetics Laboratory</v>
      </c>
      <c r="AC359" s="183" t="str">
        <f>IFERROR(__xludf.DUMMYFUNCTION("QUERY('Volunteer Survey'!D358)"),"Wellington Hospital")</f>
        <v>Wellington Hospital</v>
      </c>
      <c r="AD359" s="183" t="str">
        <f>IFERROR(__xludf.DUMMYFUNCTION("QUERY('Volunteer Survey'!E358)"),"mansour.zamanpoor@ccdhb.org.nz")</f>
        <v>mansour.zamanpoor@ccdhb.org.nz</v>
      </c>
      <c r="AE359" s="183" t="str">
        <f>IFERROR(__xludf.DUMMYFUNCTION("QUERY('Volunteer Survey'!F358)"),"Clinical laboratory geneticist")</f>
        <v>Clinical laboratory geneticist</v>
      </c>
      <c r="AF359" s="183" t="str">
        <f>IFERROR(__xludf.DUMMYFUNCTION("QUERY('Volunteer Survey'!G358)"),"ClinGen affiliated emails and/or newsletters, The clinicalgenome.org website")</f>
        <v>ClinGen affiliated emails and/or newsletters, The clinicalgenome.org website</v>
      </c>
      <c r="AG359" s="183" t="str">
        <f>IFERROR(__xludf.DUMMYFUNCTION("QUERY('Volunteer Survey'!H358)"),"Comprehensive")</f>
        <v>Comprehensive</v>
      </c>
      <c r="AH359" s="183" t="str">
        <f>IFERROR(__xludf.DUMMYFUNCTION("QUERY('Volunteer Survey'!I358)"),"Gene-Disease Validity")</f>
        <v>Gene-Disease Validity</v>
      </c>
      <c r="AI359" s="183" t="str">
        <f>IFERROR(__xludf.DUMMYFUNCTION("QUERY('Volunteer Survey'!J358)"),"Variant Pathogenicity")</f>
        <v>Variant Pathogenicity</v>
      </c>
      <c r="AJ359" s="183" t="str">
        <f>IFERROR(__xludf.DUMMYFUNCTION("QUERY('Volunteer Survey'!K358)"),"Somatic Cancer")</f>
        <v>Somatic Cancer</v>
      </c>
      <c r="AK359" s="183" t="str">
        <f>IFERROR(__xludf.DUMMYFUNCTION("QUERY('Volunteer Survey'!L358)"),"Clinical Actionability")</f>
        <v>Clinical Actionability</v>
      </c>
      <c r="AL359" s="183" t="str">
        <f>IFERROR(__xludf.DUMMYFUNCTION("QUERY('Volunteer Survey'!M358)"),"Dosage Sensitivity")</f>
        <v>Dosage Sensitivity</v>
      </c>
      <c r="AM359" s="183" t="str">
        <f>IFERROR(__xludf.DUMMYFUNCTION("QUERY('Volunteer Survey'!N358)"),"I am actively involved in variant curation in a diagnostic genomic laboratory ")</f>
        <v>I am actively involved in variant curation in a diagnostic genomic laboratory </v>
      </c>
      <c r="AN359" s="183" t="str">
        <f>IFERROR(__xludf.DUMMYFUNCTION("QUERY('Volunteer Survey'!O358)"),"Yes")</f>
        <v>Yes</v>
      </c>
      <c r="AO359" s="183" t="str">
        <f>IFERROR(__xludf.DUMMYFUNCTION("QUERY('Volunteer Survey'!P358)"),"")</f>
        <v/>
      </c>
    </row>
    <row r="360">
      <c r="A360" s="50">
        <f>IFERROR(__xludf.DUMMYFUNCTION("QUERY('Volunteer Survey'!A369)"),43809.806702071764)</f>
        <v>43809.8067</v>
      </c>
      <c r="B360" s="48" t="s">
        <v>322</v>
      </c>
      <c r="C360" s="53"/>
      <c r="D360" s="55"/>
      <c r="E360" s="55"/>
      <c r="F360" s="48" t="s">
        <v>130</v>
      </c>
      <c r="G360" s="48" t="s">
        <v>313</v>
      </c>
      <c r="H360" s="53"/>
      <c r="I360" s="53"/>
      <c r="J360" s="55"/>
      <c r="K360" s="55"/>
      <c r="L360" s="55" t="str">
        <f>IFERROR(__xludf.DUMMYFUNCTION("QUERY('Volunteer Survey'!B369)"),"Jian Zhao")</f>
        <v>Jian Zhao</v>
      </c>
      <c r="M360" s="55" t="str">
        <f>IFERROR(__xludf.DUMMYFUNCTION("QUERY('Volunteer Survey'!E369)"),"jian.zhao@aruplab.com")</f>
        <v>jian.zhao@aruplab.com</v>
      </c>
      <c r="N360" s="55" t="str">
        <f>IFERROR(__xludf.DUMMYFUNCTION("QUERY('Volunteer Survey'!F369)"),"Post Doc/Resident/Fellow (MD and/or PhD)")</f>
        <v>Post Doc/Resident/Fellow (MD and/or PhD)</v>
      </c>
      <c r="O360" s="48" t="str">
        <f>IFERROR(__xludf.DUMMYFUNCTION("QUERY('Volunteer Survey'!H369)"),"Baseline")</f>
        <v>Baseline</v>
      </c>
      <c r="P360" s="55" t="str">
        <f>IFERROR(__xludf.DUMMYFUNCTION("QUERY('Volunteer Survey'!I369)"),"Dosage Sensitivity")</f>
        <v>Dosage Sensitivity</v>
      </c>
      <c r="Q360" s="60" t="str">
        <f>IFERROR(__xludf.DUMMYFUNCTION("QUERY('Volunteer Survey'!J369)"),"")</f>
        <v/>
      </c>
      <c r="R360" s="55" t="str">
        <f>IFERROR(__xludf.DUMMYFUNCTION("QUERY('Volunteer Survey'!K369)"),"")</f>
        <v/>
      </c>
      <c r="S360" s="55" t="str">
        <f>IFERROR(__xludf.DUMMYFUNCTION("QUERY('Volunteer Survey'!L369)"),"")</f>
        <v/>
      </c>
      <c r="T360" s="55" t="str">
        <f>IFERROR(__xludf.DUMMYFUNCTION("QUERY('Volunteer Survey'!M369)"),"")</f>
        <v/>
      </c>
      <c r="U360" s="64" t="str">
        <f>IFERROR(__xludf.DUMMYFUNCTION("QUERY('Volunteer Survey'!N369)"),"I was a variant analyst at EGL Genetics before joining ARUP for LGG fellowship")</f>
        <v>I was a variant analyst at EGL Genetics before joining ARUP for LGG fellowship</v>
      </c>
      <c r="V360" s="55" t="str">
        <f>IFERROR(__xludf.DUMMYFUNCTION("QUERY('Volunteer Survey'!O369)"),"Possibly")</f>
        <v>Possibly</v>
      </c>
      <c r="W360" s="66" t="str">
        <f>IFERROR(__xludf.DUMMYFUNCTION("QUERY('Volunteer Survey'!P369)"),"")</f>
        <v/>
      </c>
      <c r="X360" s="64" t="str">
        <f>IFERROR(__xludf.DUMMYFUNCTION("QUERY('Volunteer Survey'!R369)"),"Maybe -- please contact me with other options, and I will decide based on what is available")</f>
        <v>Maybe -- please contact me with other options, and I will decide based on what is available</v>
      </c>
      <c r="Y360" s="53"/>
      <c r="Z360" s="182">
        <f>IFERROR(__xludf.DUMMYFUNCTION("QUERY('Volunteer Survey'!A359)"),43780.37467388889)</f>
        <v>43780.37467</v>
      </c>
      <c r="AA360" s="183" t="str">
        <f>IFERROR(__xludf.DUMMYFUNCTION("QUERY('Volunteer Survey'!B359)"),"Mark Shlapobersky")</f>
        <v>Mark Shlapobersky</v>
      </c>
      <c r="AB360" s="183" t="str">
        <f>IFERROR(__xludf.DUMMYFUNCTION("QUERY('Volunteer Survey'!C359)"),"Barzilai Medical Center")</f>
        <v>Barzilai Medical Center</v>
      </c>
      <c r="AC360" s="183" t="str">
        <f>IFERROR(__xludf.DUMMYFUNCTION("QUERY('Volunteer Survey'!D359)"),"")</f>
        <v/>
      </c>
      <c r="AD360" s="183" t="str">
        <f>IFERROR(__xludf.DUMMYFUNCTION("QUERY('Volunteer Survey'!E359)"),"marks@bmc.gov.il")</f>
        <v>marks@bmc.gov.il</v>
      </c>
      <c r="AE360" s="183" t="str">
        <f>IFERROR(__xludf.DUMMYFUNCTION("QUERY('Volunteer Survey'!F359)"),"Director of Pathology lab")</f>
        <v>Director of Pathology lab</v>
      </c>
      <c r="AF360" s="183" t="str">
        <f>IFERROR(__xludf.DUMMYFUNCTION("QUERY('Volunteer Survey'!G359)"),"AMP Conference 2019")</f>
        <v>AMP Conference 2019</v>
      </c>
      <c r="AG360" s="183" t="str">
        <f>IFERROR(__xludf.DUMMYFUNCTION("QUERY('Volunteer Survey'!H359)"),"Comprehensive")</f>
        <v>Comprehensive</v>
      </c>
      <c r="AH360" s="183" t="str">
        <f>IFERROR(__xludf.DUMMYFUNCTION("QUERY('Volunteer Survey'!I359)"),"Clinical Actionability")</f>
        <v>Clinical Actionability</v>
      </c>
      <c r="AI360" s="183" t="str">
        <f>IFERROR(__xludf.DUMMYFUNCTION("QUERY('Volunteer Survey'!J359)"),"Variant Pathogenicity")</f>
        <v>Variant Pathogenicity</v>
      </c>
      <c r="AJ360" s="183" t="str">
        <f>IFERROR(__xludf.DUMMYFUNCTION("QUERY('Volunteer Survey'!K359)"),"Somatic Cancer")</f>
        <v>Somatic Cancer</v>
      </c>
      <c r="AK360" s="183" t="str">
        <f>IFERROR(__xludf.DUMMYFUNCTION("QUERY('Volunteer Survey'!L359)"),"Gene-Disease Validity")</f>
        <v>Gene-Disease Validity</v>
      </c>
      <c r="AL360" s="183" t="str">
        <f>IFERROR(__xludf.DUMMYFUNCTION("QUERY('Volunteer Survey'!M359)"),"Dosage Sensitivity")</f>
        <v>Dosage Sensitivity</v>
      </c>
      <c r="AM360" s="183" t="str">
        <f>IFERROR(__xludf.DUMMYFUNCTION("QUERY('Volunteer Survey'!N359)"),"I was a curator for Pathway Genomics and Human Longevity")</f>
        <v>I was a curator for Pathway Genomics and Human Longevity</v>
      </c>
      <c r="AN360" s="183" t="str">
        <f>IFERROR(__xludf.DUMMYFUNCTION("QUERY('Volunteer Survey'!O359)"),"Yes")</f>
        <v>Yes</v>
      </c>
      <c r="AO360" s="183" t="str">
        <f>IFERROR(__xludf.DUMMYFUNCTION("QUERY('Volunteer Survey'!P359)"),"")</f>
        <v/>
      </c>
    </row>
    <row r="361">
      <c r="A361" s="50">
        <f>IFERROR(__xludf.DUMMYFUNCTION("QUERY('Volunteer Survey'!A370)"),43810.62789938657)</f>
        <v>43810.6279</v>
      </c>
      <c r="B361" s="48" t="s">
        <v>108</v>
      </c>
      <c r="C361" s="79">
        <v>43819.0</v>
      </c>
      <c r="D361" s="73">
        <v>43846.0</v>
      </c>
      <c r="E361" s="48" t="s">
        <v>117</v>
      </c>
      <c r="F361" s="48" t="s">
        <v>130</v>
      </c>
      <c r="G361" s="48" t="s">
        <v>122</v>
      </c>
      <c r="H361" s="53"/>
      <c r="I361" s="53"/>
      <c r="J361" s="55"/>
      <c r="K361" s="55"/>
      <c r="L361" s="55" t="str">
        <f>IFERROR(__xludf.DUMMYFUNCTION("QUERY('Volunteer Survey'!B370)"),"Tess Levy")</f>
        <v>Tess Levy</v>
      </c>
      <c r="M361" s="55" t="str">
        <f>IFERROR(__xludf.DUMMYFUNCTION("QUERY('Volunteer Survey'!E370)"),"tess.levy@mssm.edu")</f>
        <v>tess.levy@mssm.edu</v>
      </c>
      <c r="N361" s="55" t="str">
        <f>IFERROR(__xludf.DUMMYFUNCTION("QUERY('Volunteer Survey'!F370)"),"Genetic counselor")</f>
        <v>Genetic counselor</v>
      </c>
      <c r="O361" s="48" t="str">
        <f>IFERROR(__xludf.DUMMYFUNCTION("QUERY('Volunteer Survey'!H370)"),"Comprehensive")</f>
        <v>Comprehensive</v>
      </c>
      <c r="P361" s="55" t="str">
        <f>IFERROR(__xludf.DUMMYFUNCTION("QUERY('Volunteer Survey'!I370)"),"Gene-Disease Validity")</f>
        <v>Gene-Disease Validity</v>
      </c>
      <c r="Q361" s="60" t="str">
        <f>IFERROR(__xludf.DUMMYFUNCTION("QUERY('Volunteer Survey'!J370)"),"")</f>
        <v/>
      </c>
      <c r="R361" s="55" t="str">
        <f>IFERROR(__xludf.DUMMYFUNCTION("QUERY('Volunteer Survey'!K370)"),"")</f>
        <v/>
      </c>
      <c r="S361" s="55" t="str">
        <f>IFERROR(__xludf.DUMMYFUNCTION("QUERY('Volunteer Survey'!L370)"),"")</f>
        <v/>
      </c>
      <c r="T361" s="55" t="str">
        <f>IFERROR(__xludf.DUMMYFUNCTION("QUERY('Volunteer Survey'!M370)"),"")</f>
        <v/>
      </c>
      <c r="U361" s="64" t="str">
        <f>IFERROR(__xludf.DUMMYFUNCTION("QUERY('Volunteer Survey'!N370)"),"Interpretation of whole genome sequences for individuals with undiagnosed neurodevelopment disorders ")</f>
        <v>Interpretation of whole genome sequences for individuals with undiagnosed neurodevelopment disorders </v>
      </c>
      <c r="V361" s="55" t="str">
        <f>IFERROR(__xludf.DUMMYFUNCTION("QUERY('Volunteer Survey'!O370)"),"Possibly")</f>
        <v>Possibly</v>
      </c>
      <c r="W361" s="66" t="str">
        <f>IFERROR(__xludf.DUMMYFUNCTION("QUERY('Volunteer Survey'!P370)"),"ASD/ID")</f>
        <v>ASD/ID</v>
      </c>
      <c r="X361" s="64" t="str">
        <f>IFERROR(__xludf.DUMMYFUNCTION("QUERY('Volunteer Survey'!R370)"),"Maybe -- please contact me with other options, and I will decide based on what is available")</f>
        <v>Maybe -- please contact me with other options, and I will decide based on what is available</v>
      </c>
      <c r="Y361" s="53"/>
      <c r="Z361" s="182">
        <f>IFERROR(__xludf.DUMMYFUNCTION("QUERY('Volunteer Survey'!A360)"),43782.569134212965)</f>
        <v>43782.56913</v>
      </c>
      <c r="AA361" s="183" t="str">
        <f>IFERROR(__xludf.DUMMYFUNCTION("QUERY('Volunteer Survey'!B360)"),"Marie-Luise Brennan")</f>
        <v>Marie-Luise Brennan</v>
      </c>
      <c r="AB361" s="183" t="str">
        <f>IFERROR(__xludf.DUMMYFUNCTION("QUERY('Volunteer Survey'!C360)"),"ACMG / NHGRI")</f>
        <v>ACMG / NHGRI</v>
      </c>
      <c r="AC361" s="183" t="str">
        <f>IFERROR(__xludf.DUMMYFUNCTION("QUERY('Volunteer Survey'!D360)"),"7101 Wisconsin Ave, #1101, Bethesda, MD 20814")</f>
        <v>7101 Wisconsin Ave, #1101, Bethesda, MD 20814</v>
      </c>
      <c r="AD361" s="183" t="str">
        <f>IFERROR(__xludf.DUMMYFUNCTION("QUERY('Volunteer Survey'!E360)"),"mbrennan@acmg.net")</f>
        <v>mbrennan@acmg.net</v>
      </c>
      <c r="AE361" s="183" t="str">
        <f>IFERROR(__xludf.DUMMYFUNCTION("QUERY('Volunteer Survey'!F360)"),"Clinical Medical Geneticist")</f>
        <v>Clinical Medical Geneticist</v>
      </c>
      <c r="AF361" s="183" t="str">
        <f>IFERROR(__xludf.DUMMYFUNCTION("QUERY('Volunteer Survey'!G360)"),"Colleagues, Educational coursework")</f>
        <v>Colleagues, Educational coursework</v>
      </c>
      <c r="AG361" s="183" t="str">
        <f>IFERROR(__xludf.DUMMYFUNCTION("QUERY('Volunteer Survey'!H360)"),"Comprehensive")</f>
        <v>Comprehensive</v>
      </c>
      <c r="AH361" s="183" t="str">
        <f>IFERROR(__xludf.DUMMYFUNCTION("QUERY('Volunteer Survey'!I360)"),"Gene-Disease Validity")</f>
        <v>Gene-Disease Validity</v>
      </c>
      <c r="AI361" s="183" t="str">
        <f>IFERROR(__xludf.DUMMYFUNCTION("QUERY('Volunteer Survey'!J360)"),"Variant Pathogenicity")</f>
        <v>Variant Pathogenicity</v>
      </c>
      <c r="AJ361" s="183" t="str">
        <f>IFERROR(__xludf.DUMMYFUNCTION("QUERY('Volunteer Survey'!K360)"),"Dosage Sensitivity")</f>
        <v>Dosage Sensitivity</v>
      </c>
      <c r="AK361" s="183" t="str">
        <f>IFERROR(__xludf.DUMMYFUNCTION("QUERY('Volunteer Survey'!L360)"),"Clinical Actionability")</f>
        <v>Clinical Actionability</v>
      </c>
      <c r="AL361" s="183" t="str">
        <f>IFERROR(__xludf.DUMMYFUNCTION("QUERY('Volunteer Survey'!M360)"),"Somatic Cancer")</f>
        <v>Somatic Cancer</v>
      </c>
      <c r="AM361" s="183" t="str">
        <f>IFERROR(__xludf.DUMMYFUNCTION("QUERY('Volunteer Survey'!N360)"),"No prior experience with curation. ")</f>
        <v>No prior experience with curation. </v>
      </c>
      <c r="AN361" s="183" t="str">
        <f>IFERROR(__xludf.DUMMYFUNCTION("QUERY('Volunteer Survey'!O360)"),"Yes")</f>
        <v>Yes</v>
      </c>
      <c r="AO361" s="183" t="str">
        <f>IFERROR(__xludf.DUMMYFUNCTION("QUERY('Volunteer Survey'!P360)"),"Low penetrance/risk alleles; gene curation (monogenic diabetes; any); dosage sens (neurodev or recurrent regions). Preferences listed, happy to join where needed.")</f>
        <v>Low penetrance/risk alleles; gene curation (monogenic diabetes; any); dosage sens (neurodev or recurrent regions). Preferences listed, happy to join where needed.</v>
      </c>
    </row>
    <row r="362">
      <c r="A362" s="50">
        <f>IFERROR(__xludf.DUMMYFUNCTION("QUERY('Volunteer Survey'!A371)"),43811.14995009259)</f>
        <v>43811.14995</v>
      </c>
      <c r="B362" s="48" t="s">
        <v>108</v>
      </c>
      <c r="C362" s="79">
        <v>43819.0</v>
      </c>
      <c r="D362" s="73">
        <v>43846.0</v>
      </c>
      <c r="E362" s="48" t="s">
        <v>117</v>
      </c>
      <c r="F362" s="48" t="s">
        <v>117</v>
      </c>
      <c r="G362" s="48" t="s">
        <v>122</v>
      </c>
      <c r="H362" s="53"/>
      <c r="I362" s="53"/>
      <c r="J362" s="55"/>
      <c r="K362" s="55"/>
      <c r="L362" s="55" t="str">
        <f>IFERROR(__xludf.DUMMYFUNCTION("QUERY('Volunteer Survey'!B371)"),"Xiaoyan Guo ")</f>
        <v>Xiaoyan Guo </v>
      </c>
      <c r="M362" s="55" t="str">
        <f>IFERROR(__xludf.DUMMYFUNCTION("QUERY('Volunteer Survey'!E371)"),"540842557@qq.com")</f>
        <v>540842557@qq.com</v>
      </c>
      <c r="N362" s="55" t="str">
        <f>IFERROR(__xludf.DUMMYFUNCTION("QUERY('Volunteer Survey'!F371)"),"Post Doc/Resident/Fellow (MD and/or PhD)")</f>
        <v>Post Doc/Resident/Fellow (MD and/or PhD)</v>
      </c>
      <c r="O362" s="48" t="str">
        <f>IFERROR(__xludf.DUMMYFUNCTION("QUERY('Volunteer Survey'!H371)"),"Comprehensive")</f>
        <v>Comprehensive</v>
      </c>
      <c r="P362" s="55" t="str">
        <f>IFERROR(__xludf.DUMMYFUNCTION("QUERY('Volunteer Survey'!I371)"),"Gene-Disease Validity")</f>
        <v>Gene-Disease Validity</v>
      </c>
      <c r="Q362" s="60" t="str">
        <f>IFERROR(__xludf.DUMMYFUNCTION("QUERY('Volunteer Survey'!J371)"),"Variant Pathogenicity")</f>
        <v>Variant Pathogenicity</v>
      </c>
      <c r="R362" s="55" t="str">
        <f>IFERROR(__xludf.DUMMYFUNCTION("QUERY('Volunteer Survey'!K371)"),"Dosage Sensitivity")</f>
        <v>Dosage Sensitivity</v>
      </c>
      <c r="S362" s="55" t="str">
        <f>IFERROR(__xludf.DUMMYFUNCTION("QUERY('Volunteer Survey'!L371)"),"Somatic Cancer")</f>
        <v>Somatic Cancer</v>
      </c>
      <c r="T362" s="55" t="str">
        <f>IFERROR(__xludf.DUMMYFUNCTION("QUERY('Volunteer Survey'!M371)"),"Clinical Actionability")</f>
        <v>Clinical Actionability</v>
      </c>
      <c r="U362" s="64" t="str">
        <f>IFERROR(__xludf.DUMMYFUNCTION("QUERY('Volunteer Survey'!N371)"),"")</f>
        <v/>
      </c>
      <c r="V362" s="55" t="str">
        <f>IFERROR(__xludf.DUMMYFUNCTION("QUERY('Volunteer Survey'!O371)"),"Possibly")</f>
        <v>Possibly</v>
      </c>
      <c r="W362" s="66" t="str">
        <f>IFERROR(__xludf.DUMMYFUNCTION("QUERY('Volunteer Survey'!P371)"),"")</f>
        <v/>
      </c>
      <c r="X362" s="64" t="str">
        <f>IFERROR(__xludf.DUMMYFUNCTION("QUERY('Volunteer Survey'!R371)"),"Yes- I am willing to volunteer with any available ClinGen group")</f>
        <v>Yes- I am willing to volunteer with any available ClinGen group</v>
      </c>
      <c r="Y362" s="53"/>
      <c r="Z362" s="182">
        <f>IFERROR(__xludf.DUMMYFUNCTION("QUERY('Volunteer Survey'!A361)"),43789.37928430555)</f>
        <v>43789.37928</v>
      </c>
      <c r="AA362" s="183" t="str">
        <f>IFERROR(__xludf.DUMMYFUNCTION("QUERY('Volunteer Survey'!B361)"),"Shawn Gessay")</f>
        <v>Shawn Gessay</v>
      </c>
      <c r="AB362" s="183" t="str">
        <f>IFERROR(__xludf.DUMMYFUNCTION("QUERY('Volunteer Survey'!C361)"),"UT Health San Antonio ")</f>
        <v>UT Health San Antonio </v>
      </c>
      <c r="AC362" s="183" t="str">
        <f>IFERROR(__xludf.DUMMYFUNCTION("QUERY('Volunteer Survey'!D361)"),"326 Madison St Apt 8 San Antonio TX 78204")</f>
        <v>326 Madison St Apt 8 San Antonio TX 78204</v>
      </c>
      <c r="AD362" s="183" t="str">
        <f>IFERROR(__xludf.DUMMYFUNCTION("QUERY('Volunteer Survey'!E361)"),"gessays75@gmail.com")</f>
        <v>gessays75@gmail.com</v>
      </c>
      <c r="AE362" s="183" t="str">
        <f>IFERROR(__xludf.DUMMYFUNCTION("QUERY('Volunteer Survey'!F361)"),"Genetic counselor")</f>
        <v>Genetic counselor</v>
      </c>
      <c r="AF362" s="183" t="str">
        <f>IFERROR(__xludf.DUMMYFUNCTION("QUERY('Volunteer Survey'!G361)"),"NSGC Conference 2019")</f>
        <v>NSGC Conference 2019</v>
      </c>
      <c r="AG362" s="183" t="str">
        <f>IFERROR(__xludf.DUMMYFUNCTION("QUERY('Volunteer Survey'!H361)"),"Comprehensive")</f>
        <v>Comprehensive</v>
      </c>
      <c r="AH362" s="183" t="str">
        <f>IFERROR(__xludf.DUMMYFUNCTION("QUERY('Volunteer Survey'!I361)"),"Variant Pathogenicity")</f>
        <v>Variant Pathogenicity</v>
      </c>
      <c r="AI362" s="183" t="str">
        <f>IFERROR(__xludf.DUMMYFUNCTION("QUERY('Volunteer Survey'!J361)"),"Clinical Actionability")</f>
        <v>Clinical Actionability</v>
      </c>
      <c r="AJ362" s="183" t="str">
        <f>IFERROR(__xludf.DUMMYFUNCTION("QUERY('Volunteer Survey'!K361)"),"Gene-Disease Validity")</f>
        <v>Gene-Disease Validity</v>
      </c>
      <c r="AK362" s="183" t="str">
        <f>IFERROR(__xludf.DUMMYFUNCTION("QUERY('Volunteer Survey'!L361)"),"Dosage Sensitivity")</f>
        <v>Dosage Sensitivity</v>
      </c>
      <c r="AL362" s="183" t="str">
        <f>IFERROR(__xludf.DUMMYFUNCTION("QUERY('Volunteer Survey'!M361)"),"Somatic Cancer")</f>
        <v>Somatic Cancer</v>
      </c>
      <c r="AM362" s="183" t="str">
        <f>IFERROR(__xludf.DUMMYFUNCTION("QUERY('Volunteer Survey'!N361)"),"No ")</f>
        <v>No </v>
      </c>
      <c r="AN362" s="183" t="str">
        <f>IFERROR(__xludf.DUMMYFUNCTION("QUERY('Volunteer Survey'!O361)"),"Yes")</f>
        <v>Yes</v>
      </c>
      <c r="AO362" s="183" t="str">
        <f>IFERROR(__xludf.DUMMYFUNCTION("QUERY('Volunteer Survey'!P361)"),"RASopathy")</f>
        <v>RASopathy</v>
      </c>
    </row>
    <row r="363">
      <c r="A363" s="50">
        <f>IFERROR(__xludf.DUMMYFUNCTION("QUERY('Volunteer Survey'!A372)"),43811.796518055555)</f>
        <v>43811.79652</v>
      </c>
      <c r="B363" s="48" t="s">
        <v>322</v>
      </c>
      <c r="C363" s="53"/>
      <c r="D363" s="55"/>
      <c r="E363" s="55"/>
      <c r="F363" s="48" t="s">
        <v>130</v>
      </c>
      <c r="G363" s="48" t="s">
        <v>313</v>
      </c>
      <c r="H363" s="53"/>
      <c r="I363" s="53"/>
      <c r="J363" s="55"/>
      <c r="K363" s="55"/>
      <c r="L363" s="55" t="str">
        <f>IFERROR(__xludf.DUMMYFUNCTION("QUERY('Volunteer Survey'!B372)"),"Benjamin Clyde")</f>
        <v>Benjamin Clyde</v>
      </c>
      <c r="M363" s="55" t="str">
        <f>IFERROR(__xludf.DUMMYFUNCTION("QUERY('Volunteer Survey'!E372)"),"benjamin.clyde@aruplab.com")</f>
        <v>benjamin.clyde@aruplab.com</v>
      </c>
      <c r="N363" s="55" t="str">
        <f>IFERROR(__xludf.DUMMYFUNCTION("QUERY('Volunteer Survey'!F372)"),"Variant Analyst/Scientist - Industry")</f>
        <v>Variant Analyst/Scientist - Industry</v>
      </c>
      <c r="O363" s="48" t="str">
        <f>IFERROR(__xludf.DUMMYFUNCTION("QUERY('Volunteer Survey'!H372)"),"Comprehensive")</f>
        <v>Comprehensive</v>
      </c>
      <c r="P363" s="55" t="str">
        <f>IFERROR(__xludf.DUMMYFUNCTION("QUERY('Volunteer Survey'!I372)"),"Dosage Sensitivity")</f>
        <v>Dosage Sensitivity</v>
      </c>
      <c r="Q363" s="60" t="str">
        <f>IFERROR(__xludf.DUMMYFUNCTION("QUERY('Volunteer Survey'!J372)"),"Somatic Cancer")</f>
        <v>Somatic Cancer</v>
      </c>
      <c r="R363" s="55" t="str">
        <f>IFERROR(__xludf.DUMMYFUNCTION("QUERY('Volunteer Survey'!K372)"),"")</f>
        <v/>
      </c>
      <c r="S363" s="55" t="str">
        <f>IFERROR(__xludf.DUMMYFUNCTION("QUERY('Volunteer Survey'!L372)"),"")</f>
        <v/>
      </c>
      <c r="T363" s="55" t="str">
        <f>IFERROR(__xludf.DUMMYFUNCTION("QUERY('Volunteer Survey'!M372)"),"")</f>
        <v/>
      </c>
      <c r="U363" s="64" t="str">
        <f>IFERROR(__xludf.DUMMYFUNCTION("QUERY('Volunteer Survey'!N372)"),"")</f>
        <v/>
      </c>
      <c r="V363" s="55" t="str">
        <f>IFERROR(__xludf.DUMMYFUNCTION("QUERY('Volunteer Survey'!O372)"),"")</f>
        <v/>
      </c>
      <c r="W363" s="66" t="str">
        <f>IFERROR(__xludf.DUMMYFUNCTION("QUERY('Volunteer Survey'!P372)"),"Hereditary Cancer Dosage Sensitivity Subgroup")</f>
        <v>Hereditary Cancer Dosage Sensitivity Subgroup</v>
      </c>
      <c r="X363" s="64" t="str">
        <f>IFERROR(__xludf.DUMMYFUNCTION("QUERY('Volunteer Survey'!R372)"),"Maybe -- please contact me with other options, and I will decide based on what is available")</f>
        <v>Maybe -- please contact me with other options, and I will decide based on what is available</v>
      </c>
      <c r="Y363" s="53"/>
      <c r="Z363" s="182">
        <f>IFERROR(__xludf.DUMMYFUNCTION("QUERY('Volunteer Survey'!A362)"),43789.561137233795)</f>
        <v>43789.56114</v>
      </c>
      <c r="AA363" s="183" t="str">
        <f>IFERROR(__xludf.DUMMYFUNCTION("QUERY('Volunteer Survey'!B362)"),"Angela Hoang")</f>
        <v>Angela Hoang</v>
      </c>
      <c r="AB363" s="183" t="str">
        <f>IFERROR(__xludf.DUMMYFUNCTION("QUERY('Volunteer Survey'!C362)"),"Keck Graduate Institute")</f>
        <v>Keck Graduate Institute</v>
      </c>
      <c r="AC363" s="183" t="str">
        <f>IFERROR(__xludf.DUMMYFUNCTION("QUERY('Volunteer Survey'!D362)"),"")</f>
        <v/>
      </c>
      <c r="AD363" s="183" t="str">
        <f>IFERROR(__xludf.DUMMYFUNCTION("QUERY('Volunteer Survey'!E362)"),"ahoang18@students.kgi.edu")</f>
        <v>ahoang18@students.kgi.edu</v>
      </c>
      <c r="AE363" s="183" t="str">
        <f>IFERROR(__xludf.DUMMYFUNCTION("QUERY('Volunteer Survey'!F362)"),"Graduate Student")</f>
        <v>Graduate Student</v>
      </c>
      <c r="AF363" s="183" t="str">
        <f>IFERROR(__xludf.DUMMYFUNCTION("QUERY('Volunteer Survey'!G362)"),"Networking, Suggestion from mentor, Educational coursework")</f>
        <v>Networking, Suggestion from mentor, Educational coursework</v>
      </c>
      <c r="AG363" s="183" t="str">
        <f>IFERROR(__xludf.DUMMYFUNCTION("QUERY('Volunteer Survey'!H362)"),"Comprehensive")</f>
        <v>Comprehensive</v>
      </c>
      <c r="AH363" s="183" t="str">
        <f>IFERROR(__xludf.DUMMYFUNCTION("QUERY('Volunteer Survey'!I362)"),"Variant Pathogenicity")</f>
        <v>Variant Pathogenicity</v>
      </c>
      <c r="AI363" s="183" t="str">
        <f>IFERROR(__xludf.DUMMYFUNCTION("QUERY('Volunteer Survey'!J362)"),"Gene-Disease Validity")</f>
        <v>Gene-Disease Validity</v>
      </c>
      <c r="AJ363" s="183" t="str">
        <f>IFERROR(__xludf.DUMMYFUNCTION("QUERY('Volunteer Survey'!K362)"),"Clinical Actionability")</f>
        <v>Clinical Actionability</v>
      </c>
      <c r="AK363" s="183" t="str">
        <f>IFERROR(__xludf.DUMMYFUNCTION("QUERY('Volunteer Survey'!L362)"),"")</f>
        <v/>
      </c>
      <c r="AL363" s="183" t="str">
        <f>IFERROR(__xludf.DUMMYFUNCTION("QUERY('Volunteer Survey'!M362)"),"")</f>
        <v/>
      </c>
      <c r="AM363" s="183" t="str">
        <f>IFERROR(__xludf.DUMMYFUNCTION("QUERY('Volunteer Survey'!N362)"),"Yes, I have educational experience with variant classification and gene-disease association. ")</f>
        <v>Yes, I have educational experience with variant classification and gene-disease association. </v>
      </c>
      <c r="AN363" s="183" t="str">
        <f>IFERROR(__xludf.DUMMYFUNCTION("QUERY('Volunteer Survey'!O362)"),"Possibly")</f>
        <v>Possibly</v>
      </c>
      <c r="AO363" s="183" t="str">
        <f>IFERROR(__xludf.DUMMYFUNCTION("QUERY('Volunteer Survey'!P362)"),"N/A")</f>
        <v>N/A</v>
      </c>
    </row>
    <row r="364">
      <c r="A364" s="50">
        <f>IFERROR(__xludf.DUMMYFUNCTION("QUERY('Volunteer Survey'!A373)"),43815.79704074074)</f>
        <v>43815.79704</v>
      </c>
      <c r="B364" s="48" t="s">
        <v>322</v>
      </c>
      <c r="C364" s="53"/>
      <c r="D364" s="55"/>
      <c r="E364" s="55"/>
      <c r="F364" s="48" t="s">
        <v>130</v>
      </c>
      <c r="G364" s="48" t="s">
        <v>136</v>
      </c>
      <c r="H364" s="53"/>
      <c r="I364" s="53"/>
      <c r="J364" s="55"/>
      <c r="K364" s="55"/>
      <c r="L364" s="55" t="str">
        <f>IFERROR(__xludf.DUMMYFUNCTION("QUERY('Volunteer Survey'!B373)"),"cynthia chow")</f>
        <v>cynthia chow</v>
      </c>
      <c r="M364" s="55" t="str">
        <f>IFERROR(__xludf.DUMMYFUNCTION("QUERY('Volunteer Survey'!E373)"),"cchow3@bccancer.bc.ca")</f>
        <v>cchow3@bccancer.bc.ca</v>
      </c>
      <c r="N364" s="55" t="str">
        <f>IFERROR(__xludf.DUMMYFUNCTION("QUERY('Volunteer Survey'!F373)"),"Variant Analyst for an In-house Oncopanel and Myeloid Panels")</f>
        <v>Variant Analyst for an In-house Oncopanel and Myeloid Panels</v>
      </c>
      <c r="O364" s="48" t="str">
        <f>IFERROR(__xludf.DUMMYFUNCTION("QUERY('Volunteer Survey'!H373)"),"Comprehensive")</f>
        <v>Comprehensive</v>
      </c>
      <c r="P364" s="55" t="str">
        <f>IFERROR(__xludf.DUMMYFUNCTION("QUERY('Volunteer Survey'!I373)"),"Somatic Cancer")</f>
        <v>Somatic Cancer</v>
      </c>
      <c r="Q364" s="60" t="str">
        <f>IFERROR(__xludf.DUMMYFUNCTION("QUERY('Volunteer Survey'!J373)"),"Clinical Actionability")</f>
        <v>Clinical Actionability</v>
      </c>
      <c r="R364" s="55" t="str">
        <f>IFERROR(__xludf.DUMMYFUNCTION("QUERY('Volunteer Survey'!K373)"),"Variant Pathogenicity")</f>
        <v>Variant Pathogenicity</v>
      </c>
      <c r="S364" s="55" t="str">
        <f>IFERROR(__xludf.DUMMYFUNCTION("QUERY('Volunteer Survey'!L373)"),"Gene-Disease Validity")</f>
        <v>Gene-Disease Validity</v>
      </c>
      <c r="T364" s="55" t="str">
        <f>IFERROR(__xludf.DUMMYFUNCTION("QUERY('Volunteer Survey'!M373)"),"Dosage Sensitivity")</f>
        <v>Dosage Sensitivity</v>
      </c>
      <c r="U364" s="64" t="str">
        <f>IFERROR(__xludf.DUMMYFUNCTION("QUERY('Volunteer Survey'!N373)"),"I have 3 years experience in variant assesment/interpretation for myeloid and oncopanels.  I currently prepare and interpret for the medical staff to use to correlate with other clinical findings.")</f>
        <v>I have 3 years experience in variant assesment/interpretation for myeloid and oncopanels.  I currently prepare and interpret for the medical staff to use to correlate with other clinical findings.</v>
      </c>
      <c r="V364" s="55" t="str">
        <f>IFERROR(__xludf.DUMMYFUNCTION("QUERY('Volunteer Survey'!O373)"),"Yes")</f>
        <v>Yes</v>
      </c>
      <c r="W364" s="66" t="str">
        <f>IFERROR(__xludf.DUMMYFUNCTION("QUERY('Volunteer Survey'!P373)"),"")</f>
        <v/>
      </c>
      <c r="X364" s="64" t="str">
        <f>IFERROR(__xludf.DUMMYFUNCTION("QUERY('Volunteer Survey'!R373)"),"Maybe -- please contact me with other options, and I will decide based on what is available")</f>
        <v>Maybe -- please contact me with other options, and I will decide based on what is available</v>
      </c>
      <c r="Y364" s="53"/>
      <c r="Z364" s="182">
        <f>IFERROR(__xludf.DUMMYFUNCTION("QUERY('Volunteer Survey'!A363)"),43790.71008880787)</f>
        <v>43790.71009</v>
      </c>
      <c r="AA364" s="183" t="str">
        <f>IFERROR(__xludf.DUMMYFUNCTION("QUERY('Volunteer Survey'!B363)"),"Poornima Vijayan")</f>
        <v>Poornima Vijayan</v>
      </c>
      <c r="AB364" s="183" t="str">
        <f>IFERROR(__xludf.DUMMYFUNCTION("QUERY('Volunteer Survey'!C363)"),"University of Toronto ")</f>
        <v>University of Toronto </v>
      </c>
      <c r="AC364" s="183" t="str">
        <f>IFERROR(__xludf.DUMMYFUNCTION("QUERY('Volunteer Survey'!D363)"),"38 Grenville Street,  Toronto , Ontario ")</f>
        <v>38 Grenville Street,  Toronto , Ontario </v>
      </c>
      <c r="AD364" s="183" t="str">
        <f>IFERROR(__xludf.DUMMYFUNCTION("QUERY('Volunteer Survey'!E363)"),"poornima2785@gmail.com")</f>
        <v>poornima2785@gmail.com</v>
      </c>
      <c r="AE364" s="183" t="str">
        <f>IFERROR(__xludf.DUMMYFUNCTION("QUERY('Volunteer Survey'!F363)"),"Graduate Student")</f>
        <v>Graduate Student</v>
      </c>
      <c r="AF364" s="183" t="str">
        <f>IFERROR(__xludf.DUMMYFUNCTION("QUERY('Volunteer Survey'!G363)"),"The clinicalgenome.org website")</f>
        <v>The clinicalgenome.org website</v>
      </c>
      <c r="AG364" s="183" t="str">
        <f>IFERROR(__xludf.DUMMYFUNCTION("QUERY('Volunteer Survey'!H363)"),"Comprehensive")</f>
        <v>Comprehensive</v>
      </c>
      <c r="AH364" s="183" t="str">
        <f>IFERROR(__xludf.DUMMYFUNCTION("QUERY('Volunteer Survey'!I363)"),"Variant Pathogenicity")</f>
        <v>Variant Pathogenicity</v>
      </c>
      <c r="AI364" s="183" t="str">
        <f>IFERROR(__xludf.DUMMYFUNCTION("QUERY('Volunteer Survey'!J363)"),"Clinical Actionability")</f>
        <v>Clinical Actionability</v>
      </c>
      <c r="AJ364" s="183" t="str">
        <f>IFERROR(__xludf.DUMMYFUNCTION("QUERY('Volunteer Survey'!K363)"),"Gene-Disease Validity")</f>
        <v>Gene-Disease Validity</v>
      </c>
      <c r="AK364" s="183" t="str">
        <f>IFERROR(__xludf.DUMMYFUNCTION("QUERY('Volunteer Survey'!L363)"),"Somatic Cancer")</f>
        <v>Somatic Cancer</v>
      </c>
      <c r="AL364" s="183" t="str">
        <f>IFERROR(__xludf.DUMMYFUNCTION("QUERY('Volunteer Survey'!M363)"),"Dosage Sensitivity")</f>
        <v>Dosage Sensitivity</v>
      </c>
      <c r="AM364" s="183" t="str">
        <f>IFERROR(__xludf.DUMMYFUNCTION("QUERY('Volunteer Survey'!N363)"),"I am a student of medical genomics")</f>
        <v>I am a student of medical genomics</v>
      </c>
      <c r="AN364" s="183" t="str">
        <f>IFERROR(__xludf.DUMMYFUNCTION("QUERY('Volunteer Survey'!O363)"),"Yes")</f>
        <v>Yes</v>
      </c>
      <c r="AO364" s="183" t="str">
        <f>IFERROR(__xludf.DUMMYFUNCTION("QUERY('Volunteer Survey'!P363)"),"")</f>
        <v/>
      </c>
    </row>
    <row r="365">
      <c r="A365" s="50">
        <f>IFERROR(__xludf.DUMMYFUNCTION("QUERY('Volunteer Survey'!A374)"),43817.62045903935)</f>
        <v>43817.62046</v>
      </c>
      <c r="B365" s="48" t="s">
        <v>108</v>
      </c>
      <c r="C365" s="79">
        <v>43819.0</v>
      </c>
      <c r="D365" s="55"/>
      <c r="E365" s="55"/>
      <c r="F365" s="48" t="s">
        <v>130</v>
      </c>
      <c r="G365" s="48" t="s">
        <v>122</v>
      </c>
      <c r="H365" s="53"/>
      <c r="I365" s="53"/>
      <c r="J365" s="55"/>
      <c r="K365" s="55"/>
      <c r="L365" s="55" t="str">
        <f>IFERROR(__xludf.DUMMYFUNCTION("QUERY('Volunteer Survey'!B374)"),"Marco Leung")</f>
        <v>Marco Leung</v>
      </c>
      <c r="M365" s="55" t="str">
        <f>IFERROR(__xludf.DUMMYFUNCTION("QUERY('Volunteer Survey'!E374)"),"marcoleung@me.com")</f>
        <v>marcoleung@me.com</v>
      </c>
      <c r="N365" s="55" t="str">
        <f>IFERROR(__xludf.DUMMYFUNCTION("QUERY('Volunteer Survey'!F374)"),"Clinical laboratory geneticist")</f>
        <v>Clinical laboratory geneticist</v>
      </c>
      <c r="O365" s="48" t="str">
        <f>IFERROR(__xludf.DUMMYFUNCTION("QUERY('Volunteer Survey'!H374)"),"Comprehensive")</f>
        <v>Comprehensive</v>
      </c>
      <c r="P365" s="55" t="str">
        <f>IFERROR(__xludf.DUMMYFUNCTION("QUERY('Volunteer Survey'!I374)"),"Gene-Disease Validity")</f>
        <v>Gene-Disease Validity</v>
      </c>
      <c r="Q365" s="60" t="str">
        <f>IFERROR(__xludf.DUMMYFUNCTION("QUERY('Volunteer Survey'!J374)"),"Variant Pathogenicity")</f>
        <v>Variant Pathogenicity</v>
      </c>
      <c r="R365" s="55" t="str">
        <f>IFERROR(__xludf.DUMMYFUNCTION("QUERY('Volunteer Survey'!K374)"),"Clinical Actionability")</f>
        <v>Clinical Actionability</v>
      </c>
      <c r="S365" s="55" t="str">
        <f>IFERROR(__xludf.DUMMYFUNCTION("QUERY('Volunteer Survey'!L374)"),"Dosage Sensitivity")</f>
        <v>Dosage Sensitivity</v>
      </c>
      <c r="T365" s="55" t="str">
        <f>IFERROR(__xludf.DUMMYFUNCTION("QUERY('Volunteer Survey'!M374)"),"Somatic Cancer")</f>
        <v>Somatic Cancer</v>
      </c>
      <c r="U365" s="64" t="str">
        <f>IFERROR(__xludf.DUMMYFUNCTION("QUERY('Volunteer Survey'!N374)"),"Determining gene-disease validity and variant pathogenicity is my everyday job")</f>
        <v>Determining gene-disease validity and variant pathogenicity is my everyday job</v>
      </c>
      <c r="V365" s="55" t="str">
        <f>IFERROR(__xludf.DUMMYFUNCTION("QUERY('Volunteer Survey'!O374)"),"Yes")</f>
        <v>Yes</v>
      </c>
      <c r="W365" s="66" t="str">
        <f>IFERROR(__xludf.DUMMYFUNCTION("QUERY('Volunteer Survey'!P374)"),"")</f>
        <v/>
      </c>
      <c r="X365" s="64" t="str">
        <f>IFERROR(__xludf.DUMMYFUNCTION("QUERY('Volunteer Survey'!R374)"),"Yes- I am willing to volunteer with any available ClinGen group")</f>
        <v>Yes- I am willing to volunteer with any available ClinGen group</v>
      </c>
      <c r="Y365" s="53"/>
      <c r="Z365" s="182">
        <f>IFERROR(__xludf.DUMMYFUNCTION("QUERY('Volunteer Survey'!A364)"),43794.31350851851)</f>
        <v>43794.31351</v>
      </c>
      <c r="AA365" s="183" t="str">
        <f>IFERROR(__xludf.DUMMYFUNCTION("QUERY('Volunteer Survey'!B364)"),"Adriana Bastos Carvalho")</f>
        <v>Adriana Bastos Carvalho</v>
      </c>
      <c r="AB365" s="183" t="str">
        <f>IFERROR(__xludf.DUMMYFUNCTION("QUERY('Volunteer Survey'!C364)"),"Federal University of Rio de Janeiro")</f>
        <v>Federal University of Rio de Janeiro</v>
      </c>
      <c r="AC365" s="183" t="str">
        <f>IFERROR(__xludf.DUMMYFUNCTION("QUERY('Volunteer Survey'!D364)"),"Av Carlos Chagas Filho 373
Bloco G, Sala G2-053, Rio de Janeiro, RJ, Brazil, 21941-902")</f>
        <v>Av Carlos Chagas Filho 373
Bloco G, Sala G2-053, Rio de Janeiro, RJ, Brazil, 21941-902</v>
      </c>
      <c r="AD365" s="183" t="str">
        <f>IFERROR(__xludf.DUMMYFUNCTION("QUERY('Volunteer Survey'!E364)"),"carvalhoab@biof.ufrj.br")</f>
        <v>carvalhoab@biof.ufrj.br</v>
      </c>
      <c r="AE365" s="183" t="str">
        <f>IFERROR(__xludf.DUMMYFUNCTION("QUERY('Volunteer Survey'!F364)"),"Scientific Researcher")</f>
        <v>Scientific Researcher</v>
      </c>
      <c r="AF365" s="183" t="str">
        <f>IFERROR(__xludf.DUMMYFUNCTION("QUERY('Volunteer Survey'!G364)"),"The clinicalgenome.org website")</f>
        <v>The clinicalgenome.org website</v>
      </c>
      <c r="AG365" s="183" t="str">
        <f>IFERROR(__xludf.DUMMYFUNCTION("QUERY('Volunteer Survey'!H364)"),"Comprehensive")</f>
        <v>Comprehensive</v>
      </c>
      <c r="AH365" s="183" t="str">
        <f>IFERROR(__xludf.DUMMYFUNCTION("QUERY('Volunteer Survey'!I364)"),"Gene-Disease Validity")</f>
        <v>Gene-Disease Validity</v>
      </c>
      <c r="AI365" s="183" t="str">
        <f>IFERROR(__xludf.DUMMYFUNCTION("QUERY('Volunteer Survey'!J364)"),"Variant Pathogenicity")</f>
        <v>Variant Pathogenicity</v>
      </c>
      <c r="AJ365" s="183" t="str">
        <f>IFERROR(__xludf.DUMMYFUNCTION("QUERY('Volunteer Survey'!K364)"),"Clinical Actionability")</f>
        <v>Clinical Actionability</v>
      </c>
      <c r="AK365" s="183" t="str">
        <f>IFERROR(__xludf.DUMMYFUNCTION("QUERY('Volunteer Survey'!L364)"),"Dosage Sensitivity")</f>
        <v>Dosage Sensitivity</v>
      </c>
      <c r="AL365" s="183" t="str">
        <f>IFERROR(__xludf.DUMMYFUNCTION("QUERY('Volunteer Survey'!M364)"),"Somatic Cancer")</f>
        <v>Somatic Cancer</v>
      </c>
      <c r="AM365" s="183" t="str">
        <f>IFERROR(__xludf.DUMMYFUNCTION("QUERY('Volunteer Survey'!N364)"),"No. Although I have never worked in curation activities, I work with in vitro models to investigate variant pathogenicity.")</f>
        <v>No. Although I have never worked in curation activities, I work with in vitro models to investigate variant pathogenicity.</v>
      </c>
      <c r="AN365" s="183" t="str">
        <f>IFERROR(__xludf.DUMMYFUNCTION("QUERY('Volunteer Survey'!O364)"),"Yes")</f>
        <v>Yes</v>
      </c>
      <c r="AO365" s="183" t="str">
        <f>IFERROR(__xludf.DUMMYFUNCTION("QUERY('Volunteer Survey'!P364)"),"Cardiomyopathy Variant Curation Expert Panel")</f>
        <v>Cardiomyopathy Variant Curation Expert Panel</v>
      </c>
    </row>
    <row r="366">
      <c r="A366" s="50">
        <f>IFERROR(__xludf.DUMMYFUNCTION("QUERY('Volunteer Survey'!A375)"),43817.633831550935)</f>
        <v>43817.63383</v>
      </c>
      <c r="B366" s="48" t="s">
        <v>322</v>
      </c>
      <c r="C366" s="53"/>
      <c r="D366" s="55"/>
      <c r="E366" s="55"/>
      <c r="F366" s="48" t="s">
        <v>130</v>
      </c>
      <c r="G366" s="48" t="s">
        <v>313</v>
      </c>
      <c r="H366" s="53"/>
      <c r="I366" s="53"/>
      <c r="J366" s="55"/>
      <c r="K366" s="55"/>
      <c r="L366" s="55" t="str">
        <f>IFERROR(__xludf.DUMMYFUNCTION("QUERY('Volunteer Survey'!B375)"),"Alaa Koleilat")</f>
        <v>Alaa Koleilat</v>
      </c>
      <c r="M366" s="55" t="str">
        <f>IFERROR(__xludf.DUMMYFUNCTION("QUERY('Volunteer Survey'!E375)"),"koleilat.alaa@mayo.edu")</f>
        <v>koleilat.alaa@mayo.edu</v>
      </c>
      <c r="N366" s="55" t="str">
        <f>IFERROR(__xludf.DUMMYFUNCTION("QUERY('Volunteer Survey'!F375)"),"Graduate Student")</f>
        <v>Graduate Student</v>
      </c>
      <c r="O366" s="48" t="str">
        <f>IFERROR(__xludf.DUMMYFUNCTION("QUERY('Volunteer Survey'!H375)"),"Baseline")</f>
        <v>Baseline</v>
      </c>
      <c r="P366" s="55" t="str">
        <f>IFERROR(__xludf.DUMMYFUNCTION("QUERY('Volunteer Survey'!I375)"),"Variant Pathogenicity")</f>
        <v>Variant Pathogenicity</v>
      </c>
      <c r="Q366" s="60" t="str">
        <f>IFERROR(__xludf.DUMMYFUNCTION("QUERY('Volunteer Survey'!J375)"),"Gene-Disease Validity")</f>
        <v>Gene-Disease Validity</v>
      </c>
      <c r="R366" s="55" t="str">
        <f>IFERROR(__xludf.DUMMYFUNCTION("QUERY('Volunteer Survey'!K375)"),"Somatic Cancer")</f>
        <v>Somatic Cancer</v>
      </c>
      <c r="S366" s="55" t="str">
        <f>IFERROR(__xludf.DUMMYFUNCTION("QUERY('Volunteer Survey'!L375)"),"Clinical Actionability")</f>
        <v>Clinical Actionability</v>
      </c>
      <c r="T366" s="55" t="str">
        <f>IFERROR(__xludf.DUMMYFUNCTION("QUERY('Volunteer Survey'!M375)"),"Dosage Sensitivity")</f>
        <v>Dosage Sensitivity</v>
      </c>
      <c r="U366" s="64" t="str">
        <f>IFERROR(__xludf.DUMMYFUNCTION("QUERY('Volunteer Survey'!N375)"),"")</f>
        <v/>
      </c>
      <c r="V366" s="55" t="str">
        <f>IFERROR(__xludf.DUMMYFUNCTION("QUERY('Volunteer Survey'!O375)"),"Yes")</f>
        <v>Yes</v>
      </c>
      <c r="W366" s="66" t="str">
        <f>IFERROR(__xludf.DUMMYFUNCTION("QUERY('Volunteer Survey'!P375)"),"mitochondrial disease, pediatric somatic cancer")</f>
        <v>mitochondrial disease, pediatric somatic cancer</v>
      </c>
      <c r="X366" s="64" t="str">
        <f>IFERROR(__xludf.DUMMYFUNCTION("QUERY('Volunteer Survey'!R375)"),"Yes- I am willing to volunteer with any available ClinGen group")</f>
        <v>Yes- I am willing to volunteer with any available ClinGen group</v>
      </c>
      <c r="Y366" s="53"/>
      <c r="Z366" s="182">
        <f>IFERROR(__xludf.DUMMYFUNCTION("QUERY('Volunteer Survey'!A365)"),43795.466076805555)</f>
        <v>43795.46608</v>
      </c>
      <c r="AA366" s="183" t="str">
        <f>IFERROR(__xludf.DUMMYFUNCTION("QUERY('Volunteer Survey'!B365)"),"Megan Puckelwartz")</f>
        <v>Megan Puckelwartz</v>
      </c>
      <c r="AB366" s="183" t="str">
        <f>IFERROR(__xludf.DUMMYFUNCTION("QUERY('Volunteer Survey'!C365)"),"Northwestern University")</f>
        <v>Northwestern University</v>
      </c>
      <c r="AC366" s="183" t="str">
        <f>IFERROR(__xludf.DUMMYFUNCTION("QUERY('Volunteer Survey'!D365)"),"303 E. Superior SQ 5-511 Chicago, Il 60611")</f>
        <v>303 E. Superior SQ 5-511 Chicago, Il 60611</v>
      </c>
      <c r="AD366" s="183" t="str">
        <f>IFERROR(__xludf.DUMMYFUNCTION("QUERY('Volunteer Survey'!E365)"),"m.puckelwartz@northwestern.edu")</f>
        <v>m.puckelwartz@northwestern.edu</v>
      </c>
      <c r="AE366" s="183" t="str">
        <f>IFERROR(__xludf.DUMMYFUNCTION("QUERY('Volunteer Survey'!F365)"),"Scientific Researcher")</f>
        <v>Scientific Researcher</v>
      </c>
      <c r="AF366" s="183" t="str">
        <f>IFERROR(__xludf.DUMMYFUNCTION("QUERY('Volunteer Survey'!G365)"),"Colleagues")</f>
        <v>Colleagues</v>
      </c>
      <c r="AG366" s="183" t="str">
        <f>IFERROR(__xludf.DUMMYFUNCTION("QUERY('Volunteer Survey'!H365)"),"Comprehensive")</f>
        <v>Comprehensive</v>
      </c>
      <c r="AH366" s="183" t="str">
        <f>IFERROR(__xludf.DUMMYFUNCTION("QUERY('Volunteer Survey'!I365)"),"Gene-Disease Validity")</f>
        <v>Gene-Disease Validity</v>
      </c>
      <c r="AI366" s="183" t="str">
        <f>IFERROR(__xludf.DUMMYFUNCTION("QUERY('Volunteer Survey'!J365)"),"Variant Pathogenicity")</f>
        <v>Variant Pathogenicity</v>
      </c>
      <c r="AJ366" s="183" t="str">
        <f>IFERROR(__xludf.DUMMYFUNCTION("QUERY('Volunteer Survey'!K365)"),"Clinical Actionability")</f>
        <v>Clinical Actionability</v>
      </c>
      <c r="AK366" s="183" t="str">
        <f>IFERROR(__xludf.DUMMYFUNCTION("QUERY('Volunteer Survey'!L365)"),"Dosage Sensitivity")</f>
        <v>Dosage Sensitivity</v>
      </c>
      <c r="AL366" s="183" t="str">
        <f>IFERROR(__xludf.DUMMYFUNCTION("QUERY('Volunteer Survey'!M365)"),"")</f>
        <v/>
      </c>
      <c r="AM366" s="183" t="str">
        <f>IFERROR(__xludf.DUMMYFUNCTION("QUERY('Volunteer Survey'!N365)"),"I perform molecular autopsy using whole genome sequencing on sudden death subjects.  I also curate variants for cardiomyopathy subjects for research purposes.")</f>
        <v>I perform molecular autopsy using whole genome sequencing on sudden death subjects.  I also curate variants for cardiomyopathy subjects for research purposes.</v>
      </c>
      <c r="AN366" s="183" t="str">
        <f>IFERROR(__xludf.DUMMYFUNCTION("QUERY('Volunteer Survey'!O365)"),"Yes")</f>
        <v>Yes</v>
      </c>
      <c r="AO366" s="183" t="str">
        <f>IFERROR(__xludf.DUMMYFUNCTION("QUERY('Volunteer Survey'!P365)"),"cardiomyopathy")</f>
        <v>cardiomyopathy</v>
      </c>
    </row>
    <row r="367">
      <c r="A367" s="50">
        <f>IFERROR(__xludf.DUMMYFUNCTION("QUERY('Volunteer Survey'!A376)"),43818.519401909725)</f>
        <v>43818.5194</v>
      </c>
      <c r="B367" s="48" t="s">
        <v>108</v>
      </c>
      <c r="C367" s="79">
        <v>43819.0</v>
      </c>
      <c r="D367" s="73">
        <v>43846.0</v>
      </c>
      <c r="E367" s="48" t="s">
        <v>117</v>
      </c>
      <c r="F367" s="48" t="s">
        <v>117</v>
      </c>
      <c r="G367" s="48" t="s">
        <v>122</v>
      </c>
      <c r="H367" s="53"/>
      <c r="I367" s="53"/>
      <c r="J367" s="55"/>
      <c r="K367" s="55"/>
      <c r="L367" s="55" t="str">
        <f>IFERROR(__xludf.DUMMYFUNCTION("QUERY('Volunteer Survey'!B376)"),"Thanuja Selvanayagam")</f>
        <v>Thanuja Selvanayagam</v>
      </c>
      <c r="M367" s="55" t="str">
        <f>IFERROR(__xludf.DUMMYFUNCTION("QUERY('Volunteer Survey'!E376)"),"tselvanayagam@cheo.on.ca")</f>
        <v>tselvanayagam@cheo.on.ca</v>
      </c>
      <c r="N367" s="55" t="str">
        <f>IFERROR(__xludf.DUMMYFUNCTION("QUERY('Volunteer Survey'!F376)"),"Genetic counselor")</f>
        <v>Genetic counselor</v>
      </c>
      <c r="O367" s="48" t="str">
        <f>IFERROR(__xludf.DUMMYFUNCTION("QUERY('Volunteer Survey'!H376)"),"Comprehensive")</f>
        <v>Comprehensive</v>
      </c>
      <c r="P367" s="55" t="str">
        <f>IFERROR(__xludf.DUMMYFUNCTION("QUERY('Volunteer Survey'!I376)"),"Gene-Disease Validity")</f>
        <v>Gene-Disease Validity</v>
      </c>
      <c r="Q367" s="60" t="str">
        <f>IFERROR(__xludf.DUMMYFUNCTION("QUERY('Volunteer Survey'!J376)"),"Variant Pathogenicity")</f>
        <v>Variant Pathogenicity</v>
      </c>
      <c r="R367" s="55" t="str">
        <f>IFERROR(__xludf.DUMMYFUNCTION("QUERY('Volunteer Survey'!K376)"),"Clinical Actionability")</f>
        <v>Clinical Actionability</v>
      </c>
      <c r="S367" s="55" t="str">
        <f>IFERROR(__xludf.DUMMYFUNCTION("QUERY('Volunteer Survey'!L376)"),"Dosage Sensitivity")</f>
        <v>Dosage Sensitivity</v>
      </c>
      <c r="T367" s="55" t="str">
        <f>IFERROR(__xludf.DUMMYFUNCTION("QUERY('Volunteer Survey'!M376)"),"Somatic Cancer")</f>
        <v>Somatic Cancer</v>
      </c>
      <c r="U367" s="64" t="str">
        <f>IFERROR(__xludf.DUMMYFUNCTION("QUERY('Volunteer Survey'!N376)"),"NO")</f>
        <v>NO</v>
      </c>
      <c r="V367" s="55" t="str">
        <f>IFERROR(__xludf.DUMMYFUNCTION("QUERY('Volunteer Survey'!O376)"),"Possibly")</f>
        <v>Possibly</v>
      </c>
      <c r="W367" s="66" t="str">
        <f>IFERROR(__xludf.DUMMYFUNCTION("QUERY('Volunteer Survey'!P376)"),"Cardiomyopathy ")</f>
        <v>Cardiomyopathy </v>
      </c>
      <c r="X367" s="64" t="str">
        <f>IFERROR(__xludf.DUMMYFUNCTION("QUERY('Volunteer Survey'!R376)"),"Maybe -- please contact me with other options, and I will decide based on what is available")</f>
        <v>Maybe -- please contact me with other options, and I will decide based on what is available</v>
      </c>
      <c r="Y367" s="53"/>
      <c r="Z367" s="182">
        <f>IFERROR(__xludf.DUMMYFUNCTION("QUERY('Volunteer Survey'!A366)"),43796.31597033565)</f>
        <v>43796.31597</v>
      </c>
      <c r="AA367" s="183" t="str">
        <f>IFERROR(__xludf.DUMMYFUNCTION("QUERY('Volunteer Survey'!B366)"),"Nicole Hinceman")</f>
        <v>Nicole Hinceman</v>
      </c>
      <c r="AB367" s="183" t="str">
        <f>IFERROR(__xludf.DUMMYFUNCTION("QUERY('Volunteer Survey'!C366)"),"GeneDx")</f>
        <v>GeneDx</v>
      </c>
      <c r="AC367" s="183" t="str">
        <f>IFERROR(__xludf.DUMMYFUNCTION("QUERY('Volunteer Survey'!D366)"),"207 Perry Parkway, Gaithersburg, MD 20877")</f>
        <v>207 Perry Parkway, Gaithersburg, MD 20877</v>
      </c>
      <c r="AD367" s="183" t="str">
        <f>IFERROR(__xludf.DUMMYFUNCTION("QUERY('Volunteer Survey'!E366)"),"nhinceman@genedx.com")</f>
        <v>nhinceman@genedx.com</v>
      </c>
      <c r="AE367" s="183" t="str">
        <f>IFERROR(__xludf.DUMMYFUNCTION("QUERY('Volunteer Survey'!F366)"),"Prospective Genetic Counseling Student &amp; Variant Analyst (currently a Genetic Counseling Assistant)")</f>
        <v>Prospective Genetic Counseling Student &amp; Variant Analyst (currently a Genetic Counseling Assistant)</v>
      </c>
      <c r="AF367" s="183" t="str">
        <f>IFERROR(__xludf.DUMMYFUNCTION("QUERY('Volunteer Survey'!G366)"),"CCG 2019")</f>
        <v>CCG 2019</v>
      </c>
      <c r="AG367" s="183" t="str">
        <f>IFERROR(__xludf.DUMMYFUNCTION("QUERY('Volunteer Survey'!H366)"),"Comprehensive")</f>
        <v>Comprehensive</v>
      </c>
      <c r="AH367" s="183" t="str">
        <f>IFERROR(__xludf.DUMMYFUNCTION("QUERY('Volunteer Survey'!I366)"),"Somatic Cancer")</f>
        <v>Somatic Cancer</v>
      </c>
      <c r="AI367" s="183" t="str">
        <f>IFERROR(__xludf.DUMMYFUNCTION("QUERY('Volunteer Survey'!J366)"),"Gene-Disease Validity")</f>
        <v>Gene-Disease Validity</v>
      </c>
      <c r="AJ367" s="183" t="str">
        <f>IFERROR(__xludf.DUMMYFUNCTION("QUERY('Volunteer Survey'!K366)"),"Clinical Actionability")</f>
        <v>Clinical Actionability</v>
      </c>
      <c r="AK367" s="183" t="str">
        <f>IFERROR(__xludf.DUMMYFUNCTION("QUERY('Volunteer Survey'!L366)"),"Variant Pathogenicity")</f>
        <v>Variant Pathogenicity</v>
      </c>
      <c r="AL367" s="183" t="str">
        <f>IFERROR(__xludf.DUMMYFUNCTION("QUERY('Volunteer Survey'!M366)"),"Dosage Sensitivity")</f>
        <v>Dosage Sensitivity</v>
      </c>
      <c r="AM367" s="183" t="str">
        <f>IFERROR(__xludf.DUMMYFUNCTION("QUERY('Volunteer Survey'!N366)"),"PhD in Molecular Biology, specifically developing mouse models of cancer, working in cancer clinical trials at the Institute of Cancer Research in London, UK")</f>
        <v>PhD in Molecular Biology, specifically developing mouse models of cancer, working in cancer clinical trials at the Institute of Cancer Research in London, UK</v>
      </c>
      <c r="AN367" s="183" t="str">
        <f>IFERROR(__xludf.DUMMYFUNCTION("QUERY('Volunteer Survey'!O366)"),"Possibly")</f>
        <v>Possibly</v>
      </c>
      <c r="AO367" s="183" t="str">
        <f>IFERROR(__xludf.DUMMYFUNCTION("QUERY('Volunteer Survey'!P366)"),"Pediatric Somatic Cancer Working Group")</f>
        <v>Pediatric Somatic Cancer Working Group</v>
      </c>
    </row>
    <row r="368">
      <c r="A368" s="50">
        <f>IFERROR(__xludf.DUMMYFUNCTION("QUERY('Volunteer Survey'!A377)"),43822.78095611111)</f>
        <v>43822.78096</v>
      </c>
      <c r="B368" s="48" t="s">
        <v>160</v>
      </c>
      <c r="C368" s="90">
        <v>43860.0</v>
      </c>
      <c r="D368" s="55"/>
      <c r="E368" s="55"/>
      <c r="F368" s="48" t="s">
        <v>130</v>
      </c>
      <c r="G368" s="48" t="s">
        <v>19</v>
      </c>
      <c r="H368" s="53"/>
      <c r="I368" s="53"/>
      <c r="J368" s="55"/>
      <c r="K368" s="55"/>
      <c r="L368" s="55" t="str">
        <f>IFERROR(__xludf.DUMMYFUNCTION("QUERY('Volunteer Survey'!B377)"),"Shrutika Jadhav")</f>
        <v>Shrutika Jadhav</v>
      </c>
      <c r="M368" s="55" t="str">
        <f>IFERROR(__xludf.DUMMYFUNCTION("QUERY('Volunteer Survey'!E377)"),"shrutikajadhav18@gmail.com")</f>
        <v>shrutikajadhav18@gmail.com</v>
      </c>
      <c r="N368" s="55" t="str">
        <f>IFERROR(__xludf.DUMMYFUNCTION("QUERY('Volunteer Survey'!F377)"),"Graduate Student")</f>
        <v>Graduate Student</v>
      </c>
      <c r="O368" s="48" t="str">
        <f>IFERROR(__xludf.DUMMYFUNCTION("QUERY('Volunteer Survey'!H377)"),"Comprehensive")</f>
        <v>Comprehensive</v>
      </c>
      <c r="P368" s="55" t="str">
        <f>IFERROR(__xludf.DUMMYFUNCTION("QUERY('Volunteer Survey'!I377)"),"Clinical Actionability")</f>
        <v>Clinical Actionability</v>
      </c>
      <c r="Q368" s="60" t="str">
        <f>IFERROR(__xludf.DUMMYFUNCTION("QUERY('Volunteer Survey'!J377)"),"Gene-Disease Validity")</f>
        <v>Gene-Disease Validity</v>
      </c>
      <c r="R368" s="55" t="str">
        <f>IFERROR(__xludf.DUMMYFUNCTION("QUERY('Volunteer Survey'!K377)"),"Variant Pathogenicity")</f>
        <v>Variant Pathogenicity</v>
      </c>
      <c r="S368" s="55" t="str">
        <f>IFERROR(__xludf.DUMMYFUNCTION("QUERY('Volunteer Survey'!L377)"),"Dosage Sensitivity")</f>
        <v>Dosage Sensitivity</v>
      </c>
      <c r="T368" s="55" t="str">
        <f>IFERROR(__xludf.DUMMYFUNCTION("QUERY('Volunteer Survey'!M377)"),"Somatic Cancer")</f>
        <v>Somatic Cancer</v>
      </c>
      <c r="U368" s="64" t="str">
        <f>IFERROR(__xludf.DUMMYFUNCTION("QUERY('Volunteer Survey'!N377)"),"No")</f>
        <v>No</v>
      </c>
      <c r="V368" s="55" t="str">
        <f>IFERROR(__xludf.DUMMYFUNCTION("QUERY('Volunteer Survey'!O377)"),"Yes")</f>
        <v>Yes</v>
      </c>
      <c r="W368" s="66" t="str">
        <f>IFERROR(__xludf.DUMMYFUNCTION("QUERY('Volunteer Survey'!P377)"),"Brain Malformations, Intellectual Disability and Autism, Pediatric ")</f>
        <v>Brain Malformations, Intellectual Disability and Autism, Pediatric </v>
      </c>
      <c r="X368" s="64" t="str">
        <f>IFERROR(__xludf.DUMMYFUNCTION("QUERY('Volunteer Survey'!R377)"),"Yes- I am willing to volunteer with any available ClinGen group")</f>
        <v>Yes- I am willing to volunteer with any available ClinGen group</v>
      </c>
      <c r="Y368" s="53"/>
      <c r="Z368" s="182">
        <f>IFERROR(__xludf.DUMMYFUNCTION("QUERY('Volunteer Survey'!A367)"),43796.448630798615)</f>
        <v>43796.44863</v>
      </c>
      <c r="AA368" s="183" t="str">
        <f>IFERROR(__xludf.DUMMYFUNCTION("QUERY('Volunteer Survey'!B367)"),"Ekaterini Iordanou")</f>
        <v>Ekaterini Iordanou</v>
      </c>
      <c r="AB368" s="183" t="str">
        <f>IFERROR(__xludf.DUMMYFUNCTION("QUERY('Volunteer Survey'!C367)"),"Dayton Children's Hospital")</f>
        <v>Dayton Children's Hospital</v>
      </c>
      <c r="AC368" s="183" t="str">
        <f>IFERROR(__xludf.DUMMYFUNCTION("QUERY('Volunteer Survey'!D367)"),"")</f>
        <v/>
      </c>
      <c r="AD368" s="183" t="str">
        <f>IFERROR(__xludf.DUMMYFUNCTION("QUERY('Volunteer Survey'!E367)"),"iordanoue@childrensdayton.org")</f>
        <v>iordanoue@childrensdayton.org</v>
      </c>
      <c r="AE368" s="183" t="str">
        <f>IFERROR(__xludf.DUMMYFUNCTION("QUERY('Volunteer Survey'!F367)"),"Clinical laboratory geneticist")</f>
        <v>Clinical laboratory geneticist</v>
      </c>
      <c r="AF368" s="183" t="str">
        <f>IFERROR(__xludf.DUMMYFUNCTION("QUERY('Volunteer Survey'!G367)"),"The clinicalgenome.org website")</f>
        <v>The clinicalgenome.org website</v>
      </c>
      <c r="AG368" s="183" t="str">
        <f>IFERROR(__xludf.DUMMYFUNCTION("QUERY('Volunteer Survey'!H367)"),"Comprehensive")</f>
        <v>Comprehensive</v>
      </c>
      <c r="AH368" s="183" t="str">
        <f>IFERROR(__xludf.DUMMYFUNCTION("QUERY('Volunteer Survey'!I367)"),"Dosage Sensitivity")</f>
        <v>Dosage Sensitivity</v>
      </c>
      <c r="AI368" s="183" t="str">
        <f>IFERROR(__xludf.DUMMYFUNCTION("QUERY('Volunteer Survey'!J367)"),"Variant Pathogenicity")</f>
        <v>Variant Pathogenicity</v>
      </c>
      <c r="AJ368" s="183" t="str">
        <f>IFERROR(__xludf.DUMMYFUNCTION("QUERY('Volunteer Survey'!K367)"),"")</f>
        <v/>
      </c>
      <c r="AK368" s="183" t="str">
        <f>IFERROR(__xludf.DUMMYFUNCTION("QUERY('Volunteer Survey'!L367)"),"")</f>
        <v/>
      </c>
      <c r="AL368" s="183" t="str">
        <f>IFERROR(__xludf.DUMMYFUNCTION("QUERY('Volunteer Survey'!M367)"),"")</f>
        <v/>
      </c>
      <c r="AM368" s="183" t="str">
        <f>IFERROR(__xludf.DUMMYFUNCTION("QUERY('Volunteer Survey'!N367)"),"")</f>
        <v/>
      </c>
      <c r="AN368" s="183" t="str">
        <f>IFERROR(__xludf.DUMMYFUNCTION("QUERY('Volunteer Survey'!O367)"),"Possibly")</f>
        <v>Possibly</v>
      </c>
      <c r="AO368" s="183" t="str">
        <f>IFERROR(__xludf.DUMMYFUNCTION("QUERY('Volunteer Survey'!P367)"),"")</f>
        <v/>
      </c>
    </row>
    <row r="369">
      <c r="A369" s="50">
        <f>IFERROR(__xludf.DUMMYFUNCTION("QUERY('Volunteer Survey'!A378)"),43833.441767766206)</f>
        <v>43833.44177</v>
      </c>
      <c r="B369" s="48" t="s">
        <v>108</v>
      </c>
      <c r="C369" s="79">
        <v>43838.0</v>
      </c>
      <c r="D369" s="55"/>
      <c r="E369" s="55"/>
      <c r="F369" s="48" t="s">
        <v>130</v>
      </c>
      <c r="G369" s="48" t="s">
        <v>122</v>
      </c>
      <c r="H369" s="53"/>
      <c r="I369" s="53"/>
      <c r="J369" s="55"/>
      <c r="K369" s="55"/>
      <c r="L369" s="55" t="str">
        <f>IFERROR(__xludf.DUMMYFUNCTION("QUERY('Volunteer Survey'!B378)"),"JACQUELINE BATANIAN")</f>
        <v>JACQUELINE BATANIAN</v>
      </c>
      <c r="M369" s="55" t="str">
        <f>IFERROR(__xludf.DUMMYFUNCTION("QUERY('Volunteer Survey'!E378)"),"JACQUELINE.BATANIAN@HEALTH.SLU.EDU")</f>
        <v>JACQUELINE.BATANIAN@HEALTH.SLU.EDU</v>
      </c>
      <c r="N369" s="55" t="str">
        <f>IFERROR(__xludf.DUMMYFUNCTION("QUERY('Volunteer Survey'!F378)"),"Clinical laboratory geneticist")</f>
        <v>Clinical laboratory geneticist</v>
      </c>
      <c r="O369" s="48" t="str">
        <f>IFERROR(__xludf.DUMMYFUNCTION("QUERY('Volunteer Survey'!H378)"),"Comprehensive")</f>
        <v>Comprehensive</v>
      </c>
      <c r="P369" s="55" t="str">
        <f>IFERROR(__xludf.DUMMYFUNCTION("QUERY('Volunteer Survey'!I378)"),"Gene-Disease Validity")</f>
        <v>Gene-Disease Validity</v>
      </c>
      <c r="Q369" s="60" t="str">
        <f>IFERROR(__xludf.DUMMYFUNCTION("QUERY('Volunteer Survey'!J378)"),"Somatic Cancer")</f>
        <v>Somatic Cancer</v>
      </c>
      <c r="R369" s="55" t="str">
        <f>IFERROR(__xludf.DUMMYFUNCTION("QUERY('Volunteer Survey'!K378)"),"Variant Pathogenicity")</f>
        <v>Variant Pathogenicity</v>
      </c>
      <c r="S369" s="55" t="str">
        <f>IFERROR(__xludf.DUMMYFUNCTION("QUERY('Volunteer Survey'!L378)"),"Dosage Sensitivity")</f>
        <v>Dosage Sensitivity</v>
      </c>
      <c r="T369" s="55" t="str">
        <f>IFERROR(__xludf.DUMMYFUNCTION("QUERY('Volunteer Survey'!M378)"),"Clinical Actionability")</f>
        <v>Clinical Actionability</v>
      </c>
      <c r="U369" s="64" t="str">
        <f>IFERROR(__xludf.DUMMYFUNCTION("QUERY('Volunteer Survey'!N378)"),"I used to navigate literature to determine the nature of copy number variants identified by Oligo/SNP Agilent microarray.")</f>
        <v>I used to navigate literature to determine the nature of copy number variants identified by Oligo/SNP Agilent microarray.</v>
      </c>
      <c r="V369" s="55" t="str">
        <f>IFERROR(__xludf.DUMMYFUNCTION("QUERY('Volunteer Survey'!O378)"),"Yes")</f>
        <v>Yes</v>
      </c>
      <c r="W369" s="66" t="str">
        <f>IFERROR(__xludf.DUMMYFUNCTION("QUERY('Volunteer Survey'!P378)"),"Cardiovascular diseases and Pediatric cancer")</f>
        <v>Cardiovascular diseases and Pediatric cancer</v>
      </c>
      <c r="X369" s="64" t="str">
        <f>IFERROR(__xludf.DUMMYFUNCTION("QUERY('Volunteer Survey'!R378)"),"Yes- I am willing to volunteer with any available ClinGen group")</f>
        <v>Yes- I am willing to volunteer with any available ClinGen group</v>
      </c>
      <c r="Y369" s="53"/>
      <c r="Z369" s="182">
        <f>IFERROR(__xludf.DUMMYFUNCTION("QUERY('Volunteer Survey'!A368)"),43803.37856755788)</f>
        <v>43803.37857</v>
      </c>
      <c r="AA369" s="183" t="str">
        <f>IFERROR(__xludf.DUMMYFUNCTION("QUERY('Volunteer Survey'!B368)"),"Laurie Connors")</f>
        <v>Laurie Connors</v>
      </c>
      <c r="AB369" s="183" t="str">
        <f>IFERROR(__xludf.DUMMYFUNCTION("QUERY('Volunteer Survey'!C368)"),"Vanderbilt University")</f>
        <v>Vanderbilt University</v>
      </c>
      <c r="AC369" s="183" t="str">
        <f>IFERROR(__xludf.DUMMYFUNCTION("QUERY('Volunteer Survey'!D368)"),"Nashville, TN")</f>
        <v>Nashville, TN</v>
      </c>
      <c r="AD369" s="183" t="str">
        <f>IFERROR(__xludf.DUMMYFUNCTION("QUERY('Volunteer Survey'!E368)"),"laurie.m.connors@vanderbilt.edu")</f>
        <v>laurie.m.connors@vanderbilt.edu</v>
      </c>
      <c r="AE369" s="183" t="str">
        <f>IFERROR(__xludf.DUMMYFUNCTION("QUERY('Volunteer Survey'!F368)"),"Clinical geneticist, Genetic Nurse Practitioner")</f>
        <v>Clinical geneticist, Genetic Nurse Practitioner</v>
      </c>
      <c r="AF369" s="183" t="str">
        <f>IFERROR(__xludf.DUMMYFUNCTION("QUERY('Volunteer Survey'!G368)"),"Networking, Colleagues")</f>
        <v>Networking, Colleagues</v>
      </c>
      <c r="AG369" s="183" t="str">
        <f>IFERROR(__xludf.DUMMYFUNCTION("QUERY('Volunteer Survey'!H368)"),"Comprehensive")</f>
        <v>Comprehensive</v>
      </c>
      <c r="AH369" s="183" t="str">
        <f>IFERROR(__xludf.DUMMYFUNCTION("QUERY('Volunteer Survey'!I368)"),"Clinical Actionability")</f>
        <v>Clinical Actionability</v>
      </c>
      <c r="AI369" s="183" t="str">
        <f>IFERROR(__xludf.DUMMYFUNCTION("QUERY('Volunteer Survey'!J368)"),"Variant Pathogenicity")</f>
        <v>Variant Pathogenicity</v>
      </c>
      <c r="AJ369" s="183" t="str">
        <f>IFERROR(__xludf.DUMMYFUNCTION("QUERY('Volunteer Survey'!K368)"),"Gene-Disease Validity")</f>
        <v>Gene-Disease Validity</v>
      </c>
      <c r="AK369" s="183" t="str">
        <f>IFERROR(__xludf.DUMMYFUNCTION("QUERY('Volunteer Survey'!L368)"),"Somatic Cancer")</f>
        <v>Somatic Cancer</v>
      </c>
      <c r="AL369" s="183" t="str">
        <f>IFERROR(__xludf.DUMMYFUNCTION("QUERY('Volunteer Survey'!M368)"),"Dosage Sensitivity")</f>
        <v>Dosage Sensitivity</v>
      </c>
      <c r="AM369" s="183" t="str">
        <f>IFERROR(__xludf.DUMMYFUNCTION("QUERY('Volunteer Survey'!N368)"),"No")</f>
        <v>No</v>
      </c>
      <c r="AN369" s="183" t="str">
        <f>IFERROR(__xludf.DUMMYFUNCTION("QUERY('Volunteer Survey'!O368)"),"Yes")</f>
        <v>Yes</v>
      </c>
      <c r="AO369" s="183" t="str">
        <f>IFERROR(__xludf.DUMMYFUNCTION("QUERY('Volunteer Survey'!P368)"),"Hereditary Cancer, PTEN, VHL")</f>
        <v>Hereditary Cancer, PTEN, VHL</v>
      </c>
    </row>
    <row r="370">
      <c r="A370" s="50">
        <f>IFERROR(__xludf.DUMMYFUNCTION("QUERY('Volunteer Survey'!A379)"),43833.71189856481)</f>
        <v>43833.7119</v>
      </c>
      <c r="B370" s="48" t="s">
        <v>322</v>
      </c>
      <c r="C370" s="53"/>
      <c r="D370" s="55"/>
      <c r="E370" s="55"/>
      <c r="F370" s="48" t="s">
        <v>130</v>
      </c>
      <c r="G370" s="48" t="s">
        <v>313</v>
      </c>
      <c r="H370" s="53"/>
      <c r="I370" s="53"/>
      <c r="J370" s="55"/>
      <c r="K370" s="55"/>
      <c r="L370" s="55" t="str">
        <f>IFERROR(__xludf.DUMMYFUNCTION("QUERY('Volunteer Survey'!B379)"),"Nan Jiang")</f>
        <v>Nan Jiang</v>
      </c>
      <c r="M370" s="55" t="str">
        <f>IFERROR(__xludf.DUMMYFUNCTION("QUERY('Volunteer Survey'!E379)"),"nj2421@cumc.columbia.edu")</f>
        <v>nj2421@cumc.columbia.edu</v>
      </c>
      <c r="N370" s="55" t="str">
        <f>IFERROR(__xludf.DUMMYFUNCTION("QUERY('Volunteer Survey'!F379)"),"Post Doc/Resident/Fellow (MD and/or PhD)")</f>
        <v>Post Doc/Resident/Fellow (MD and/or PhD)</v>
      </c>
      <c r="O370" s="48" t="str">
        <f>IFERROR(__xludf.DUMMYFUNCTION("QUERY('Volunteer Survey'!H379)"),"Comprehensive")</f>
        <v>Comprehensive</v>
      </c>
      <c r="P370" s="55" t="str">
        <f>IFERROR(__xludf.DUMMYFUNCTION("QUERY('Volunteer Survey'!I379)"),"Somatic Cancer")</f>
        <v>Somatic Cancer</v>
      </c>
      <c r="Q370" s="60" t="str">
        <f>IFERROR(__xludf.DUMMYFUNCTION("QUERY('Volunteer Survey'!J379)"),"Gene-Disease Validity")</f>
        <v>Gene-Disease Validity</v>
      </c>
      <c r="R370" s="55" t="str">
        <f>IFERROR(__xludf.DUMMYFUNCTION("QUERY('Volunteer Survey'!K379)"),"Clinical Actionability")</f>
        <v>Clinical Actionability</v>
      </c>
      <c r="S370" s="55" t="str">
        <f>IFERROR(__xludf.DUMMYFUNCTION("QUERY('Volunteer Survey'!L379)"),"Variant Pathogenicity")</f>
        <v>Variant Pathogenicity</v>
      </c>
      <c r="T370" s="55" t="str">
        <f>IFERROR(__xludf.DUMMYFUNCTION("QUERY('Volunteer Survey'!M379)"),"Dosage Sensitivity")</f>
        <v>Dosage Sensitivity</v>
      </c>
      <c r="U370" s="64" t="str">
        <f>IFERROR(__xludf.DUMMYFUNCTION("QUERY('Volunteer Survey'!N379)"),"Yes. I am currently a LGG fellow at Columbia. I do SOMA analysis, WES variant curation on daily bases. ")</f>
        <v>Yes. I am currently a LGG fellow at Columbia. I do SOMA analysis, WES variant curation on daily bases. </v>
      </c>
      <c r="V370" s="55" t="str">
        <f>IFERROR(__xludf.DUMMYFUNCTION("QUERY('Volunteer Survey'!O379)"),"Yes")</f>
        <v>Yes</v>
      </c>
      <c r="W370" s="66" t="str">
        <f>IFERROR(__xludf.DUMMYFUNCTION("QUERY('Volunteer Survey'!P379)"),"Hereditary Cancer, Brain Malformations , Somatic Cancer Pediatric")</f>
        <v>Hereditary Cancer, Brain Malformations , Somatic Cancer Pediatric</v>
      </c>
      <c r="X370" s="64" t="str">
        <f>IFERROR(__xludf.DUMMYFUNCTION("QUERY('Volunteer Survey'!R379)"),"Yes- I am willing to volunteer with any available ClinGen group")</f>
        <v>Yes- I am willing to volunteer with any available ClinGen group</v>
      </c>
      <c r="Y370" s="53"/>
      <c r="Z370" s="182">
        <f>IFERROR(__xludf.DUMMYFUNCTION("QUERY('Volunteer Survey'!A369)"),43809.806702071764)</f>
        <v>43809.8067</v>
      </c>
      <c r="AA370" s="183" t="str">
        <f>IFERROR(__xludf.DUMMYFUNCTION("QUERY('Volunteer Survey'!B369)"),"Jian Zhao")</f>
        <v>Jian Zhao</v>
      </c>
      <c r="AB370" s="183" t="str">
        <f>IFERROR(__xludf.DUMMYFUNCTION("QUERY('Volunteer Survey'!C369)"),"ARUP Laboratories")</f>
        <v>ARUP Laboratories</v>
      </c>
      <c r="AC370" s="183" t="str">
        <f>IFERROR(__xludf.DUMMYFUNCTION("QUERY('Volunteer Survey'!D369)"),"")</f>
        <v/>
      </c>
      <c r="AD370" s="183" t="str">
        <f>IFERROR(__xludf.DUMMYFUNCTION("QUERY('Volunteer Survey'!E369)"),"jian.zhao@aruplab.com")</f>
        <v>jian.zhao@aruplab.com</v>
      </c>
      <c r="AE370" s="183" t="str">
        <f>IFERROR(__xludf.DUMMYFUNCTION("QUERY('Volunteer Survey'!F369)"),"Post Doc/Resident/Fellow (MD and/or PhD)")</f>
        <v>Post Doc/Resident/Fellow (MD and/or PhD)</v>
      </c>
      <c r="AF370" s="183" t="str">
        <f>IFERROR(__xludf.DUMMYFUNCTION("QUERY('Volunteer Survey'!G369)"),"Suggestion from mentor")</f>
        <v>Suggestion from mentor</v>
      </c>
      <c r="AG370" s="183" t="str">
        <f>IFERROR(__xludf.DUMMYFUNCTION("QUERY('Volunteer Survey'!H369)"),"Baseline")</f>
        <v>Baseline</v>
      </c>
      <c r="AH370" s="183" t="str">
        <f>IFERROR(__xludf.DUMMYFUNCTION("QUERY('Volunteer Survey'!I369)"),"Dosage Sensitivity")</f>
        <v>Dosage Sensitivity</v>
      </c>
      <c r="AI370" s="183" t="str">
        <f>IFERROR(__xludf.DUMMYFUNCTION("QUERY('Volunteer Survey'!J369)"),"")</f>
        <v/>
      </c>
      <c r="AJ370" s="183" t="str">
        <f>IFERROR(__xludf.DUMMYFUNCTION("QUERY('Volunteer Survey'!K369)"),"")</f>
        <v/>
      </c>
      <c r="AK370" s="183" t="str">
        <f>IFERROR(__xludf.DUMMYFUNCTION("QUERY('Volunteer Survey'!L369)"),"")</f>
        <v/>
      </c>
      <c r="AL370" s="183" t="str">
        <f>IFERROR(__xludf.DUMMYFUNCTION("QUERY('Volunteer Survey'!M369)"),"")</f>
        <v/>
      </c>
      <c r="AM370" s="183" t="str">
        <f>IFERROR(__xludf.DUMMYFUNCTION("QUERY('Volunteer Survey'!N369)"),"I was a variant analyst at EGL Genetics before joining ARUP for LGG fellowship")</f>
        <v>I was a variant analyst at EGL Genetics before joining ARUP for LGG fellowship</v>
      </c>
      <c r="AN370" s="183" t="str">
        <f>IFERROR(__xludf.DUMMYFUNCTION("QUERY('Volunteer Survey'!O369)"),"Possibly")</f>
        <v>Possibly</v>
      </c>
      <c r="AO370" s="183" t="str">
        <f>IFERROR(__xludf.DUMMYFUNCTION("QUERY('Volunteer Survey'!P369)"),"")</f>
        <v/>
      </c>
    </row>
    <row r="371">
      <c r="A371" s="50">
        <f>IFERROR(__xludf.DUMMYFUNCTION("QUERY('Volunteer Survey'!A380)"),43836.64994055556)</f>
        <v>43836.64994</v>
      </c>
      <c r="B371" s="48" t="s">
        <v>322</v>
      </c>
      <c r="C371" s="53"/>
      <c r="D371" s="55"/>
      <c r="E371" s="55"/>
      <c r="F371" s="48" t="s">
        <v>130</v>
      </c>
      <c r="G371" s="48" t="s">
        <v>313</v>
      </c>
      <c r="H371" s="53"/>
      <c r="I371" s="53"/>
      <c r="J371" s="55"/>
      <c r="K371" s="55"/>
      <c r="L371" s="55" t="str">
        <f>IFERROR(__xludf.DUMMYFUNCTION("QUERY('Volunteer Survey'!B380)"),"Jaime Nagy")</f>
        <v>Jaime Nagy</v>
      </c>
      <c r="M371" s="55" t="str">
        <f>IFERROR(__xludf.DUMMYFUNCTION("QUERY('Volunteer Survey'!E380)"),"jaime-nagy@uiowa.edu")</f>
        <v>jaime-nagy@uiowa.edu</v>
      </c>
      <c r="N371" s="55" t="str">
        <f>IFERROR(__xludf.DUMMYFUNCTION("QUERY('Volunteer Survey'!F380)"),"Clinical laboratory geneticist")</f>
        <v>Clinical laboratory geneticist</v>
      </c>
      <c r="O371" s="48" t="str">
        <f>IFERROR(__xludf.DUMMYFUNCTION("QUERY('Volunteer Survey'!H380)"),"Comprehensive")</f>
        <v>Comprehensive</v>
      </c>
      <c r="P371" s="55" t="str">
        <f>IFERROR(__xludf.DUMMYFUNCTION("QUERY('Volunteer Survey'!I380)"),"Dosage Sensitivity")</f>
        <v>Dosage Sensitivity</v>
      </c>
      <c r="Q371" s="60" t="str">
        <f>IFERROR(__xludf.DUMMYFUNCTION("QUERY('Volunteer Survey'!J380)"),"")</f>
        <v/>
      </c>
      <c r="R371" s="55" t="str">
        <f>IFERROR(__xludf.DUMMYFUNCTION("QUERY('Volunteer Survey'!K380)"),"")</f>
        <v/>
      </c>
      <c r="S371" s="55" t="str">
        <f>IFERROR(__xludf.DUMMYFUNCTION("QUERY('Volunteer Survey'!L380)"),"")</f>
        <v/>
      </c>
      <c r="T371" s="55" t="str">
        <f>IFERROR(__xludf.DUMMYFUNCTION("QUERY('Volunteer Survey'!M380)"),"")</f>
        <v/>
      </c>
      <c r="U371" s="64" t="str">
        <f>IFERROR(__xludf.DUMMYFUNCTION("QUERY('Volunteer Survey'!N380)"),"Review and interpretation of clinical CMA cases")</f>
        <v>Review and interpretation of clinical CMA cases</v>
      </c>
      <c r="V371" s="55" t="str">
        <f>IFERROR(__xludf.DUMMYFUNCTION("QUERY('Volunteer Survey'!O380)"),"No")</f>
        <v>No</v>
      </c>
      <c r="W371" s="66" t="str">
        <f>IFERROR(__xludf.DUMMYFUNCTION("QUERY('Volunteer Survey'!P380)"),"Dosage Sensitivity working group")</f>
        <v>Dosage Sensitivity working group</v>
      </c>
      <c r="X371" s="64" t="str">
        <f>IFERROR(__xludf.DUMMYFUNCTION("QUERY('Volunteer Survey'!R380)"),"Maybe -- please contact me with other options, and I will decide based on what is available")</f>
        <v>Maybe -- please contact me with other options, and I will decide based on what is available</v>
      </c>
      <c r="Y371" s="53"/>
      <c r="Z371" s="182">
        <f>IFERROR(__xludf.DUMMYFUNCTION("QUERY('Volunteer Survey'!A370)"),43810.62789938657)</f>
        <v>43810.6279</v>
      </c>
      <c r="AA371" s="183" t="str">
        <f>IFERROR(__xludf.DUMMYFUNCTION("QUERY('Volunteer Survey'!B370)"),"Tess Levy")</f>
        <v>Tess Levy</v>
      </c>
      <c r="AB371" s="183" t="str">
        <f>IFERROR(__xludf.DUMMYFUNCTION("QUERY('Volunteer Survey'!C370)"),"Mount Sinai - Seaver Autism Center")</f>
        <v>Mount Sinai - Seaver Autism Center</v>
      </c>
      <c r="AC371" s="183" t="str">
        <f>IFERROR(__xludf.DUMMYFUNCTION("QUERY('Volunteer Survey'!D370)"),"1300 Hudson St. Hoboken NJ ")</f>
        <v>1300 Hudson St. Hoboken NJ </v>
      </c>
      <c r="AD371" s="183" t="str">
        <f>IFERROR(__xludf.DUMMYFUNCTION("QUERY('Volunteer Survey'!E370)"),"tess.levy@mssm.edu")</f>
        <v>tess.levy@mssm.edu</v>
      </c>
      <c r="AE371" s="183" t="str">
        <f>IFERROR(__xludf.DUMMYFUNCTION("QUERY('Volunteer Survey'!F370)"),"Genetic counselor")</f>
        <v>Genetic counselor</v>
      </c>
      <c r="AF371" s="183" t="str">
        <f>IFERROR(__xludf.DUMMYFUNCTION("QUERY('Volunteer Survey'!G370)"),"Networking")</f>
        <v>Networking</v>
      </c>
      <c r="AG371" s="183" t="str">
        <f>IFERROR(__xludf.DUMMYFUNCTION("QUERY('Volunteer Survey'!H370)"),"Comprehensive")</f>
        <v>Comprehensive</v>
      </c>
      <c r="AH371" s="183" t="str">
        <f>IFERROR(__xludf.DUMMYFUNCTION("QUERY('Volunteer Survey'!I370)"),"Gene-Disease Validity")</f>
        <v>Gene-Disease Validity</v>
      </c>
      <c r="AI371" s="183" t="str">
        <f>IFERROR(__xludf.DUMMYFUNCTION("QUERY('Volunteer Survey'!J370)"),"")</f>
        <v/>
      </c>
      <c r="AJ371" s="183" t="str">
        <f>IFERROR(__xludf.DUMMYFUNCTION("QUERY('Volunteer Survey'!K370)"),"")</f>
        <v/>
      </c>
      <c r="AK371" s="183" t="str">
        <f>IFERROR(__xludf.DUMMYFUNCTION("QUERY('Volunteer Survey'!L370)"),"")</f>
        <v/>
      </c>
      <c r="AL371" s="183" t="str">
        <f>IFERROR(__xludf.DUMMYFUNCTION("QUERY('Volunteer Survey'!M370)"),"")</f>
        <v/>
      </c>
      <c r="AM371" s="183" t="str">
        <f>IFERROR(__xludf.DUMMYFUNCTION("QUERY('Volunteer Survey'!N370)"),"Interpretation of whole genome sequences for individuals with undiagnosed neurodevelopment disorders ")</f>
        <v>Interpretation of whole genome sequences for individuals with undiagnosed neurodevelopment disorders </v>
      </c>
      <c r="AN371" s="183" t="str">
        <f>IFERROR(__xludf.DUMMYFUNCTION("QUERY('Volunteer Survey'!O370)"),"Possibly")</f>
        <v>Possibly</v>
      </c>
      <c r="AO371" s="183" t="str">
        <f>IFERROR(__xludf.DUMMYFUNCTION("QUERY('Volunteer Survey'!P370)"),"ASD/ID")</f>
        <v>ASD/ID</v>
      </c>
    </row>
    <row r="372">
      <c r="A372" s="50">
        <f>IFERROR(__xludf.DUMMYFUNCTION("QUERY('Volunteer Survey'!A381)"),43838.04942578704)</f>
        <v>43838.04943</v>
      </c>
      <c r="B372" s="48" t="s">
        <v>322</v>
      </c>
      <c r="C372" s="53"/>
      <c r="D372" s="55"/>
      <c r="E372" s="55"/>
      <c r="F372" s="48" t="s">
        <v>130</v>
      </c>
      <c r="G372" s="48" t="s">
        <v>313</v>
      </c>
      <c r="H372" s="53"/>
      <c r="I372" s="53"/>
      <c r="J372" s="55"/>
      <c r="K372" s="55"/>
      <c r="L372" s="55" t="str">
        <f>IFERROR(__xludf.DUMMYFUNCTION("QUERY('Volunteer Survey'!B381)"),"Indu Raja")</f>
        <v>Indu Raja</v>
      </c>
      <c r="M372" s="55" t="str">
        <f>IFERROR(__xludf.DUMMYFUNCTION("QUERY('Volunteer Survey'!E381)"),"indudraja@gmail.com")</f>
        <v>indudraja@gmail.com</v>
      </c>
      <c r="N372" s="55" t="str">
        <f>IFERROR(__xludf.DUMMYFUNCTION("QUERY('Volunteer Survey'!F381)"),"Laboratory Technologist")</f>
        <v>Laboratory Technologist</v>
      </c>
      <c r="O372" s="48" t="str">
        <f>IFERROR(__xludf.DUMMYFUNCTION("QUERY('Volunteer Survey'!H381)"),"Comprehensive")</f>
        <v>Comprehensive</v>
      </c>
      <c r="P372" s="55" t="str">
        <f>IFERROR(__xludf.DUMMYFUNCTION("QUERY('Volunteer Survey'!I381)"),"Gene-Disease Validity")</f>
        <v>Gene-Disease Validity</v>
      </c>
      <c r="Q372" s="60" t="str">
        <f>IFERROR(__xludf.DUMMYFUNCTION("QUERY('Volunteer Survey'!J381)"),"Clinical Actionability")</f>
        <v>Clinical Actionability</v>
      </c>
      <c r="R372" s="55" t="str">
        <f>IFERROR(__xludf.DUMMYFUNCTION("QUERY('Volunteer Survey'!K381)"),"Variant Pathogenicity")</f>
        <v>Variant Pathogenicity</v>
      </c>
      <c r="S372" s="55" t="str">
        <f>IFERROR(__xludf.DUMMYFUNCTION("QUERY('Volunteer Survey'!L381)"),"Dosage Sensitivity")</f>
        <v>Dosage Sensitivity</v>
      </c>
      <c r="T372" s="55" t="str">
        <f>IFERROR(__xludf.DUMMYFUNCTION("QUERY('Volunteer Survey'!M381)"),"")</f>
        <v/>
      </c>
      <c r="U372" s="64" t="str">
        <f>IFERROR(__xludf.DUMMYFUNCTION("QUERY('Volunteer Survey'!N381)"),"No")</f>
        <v>No</v>
      </c>
      <c r="V372" s="55" t="str">
        <f>IFERROR(__xludf.DUMMYFUNCTION("QUERY('Volunteer Survey'!O381)"),"Possibly")</f>
        <v>Possibly</v>
      </c>
      <c r="W372" s="66" t="str">
        <f>IFERROR(__xludf.DUMMYFUNCTION("QUERY('Volunteer Survey'!P381)"),"Gene curation (Intellectual disability &amp; Autism), Dosage Sensitivity &amp; Clinical Actionability")</f>
        <v>Gene curation (Intellectual disability &amp; Autism), Dosage Sensitivity &amp; Clinical Actionability</v>
      </c>
      <c r="X372" s="64" t="str">
        <f>IFERROR(__xludf.DUMMYFUNCTION("QUERY('Volunteer Survey'!R381)"),"Yes- I am willing to volunteer with any available ClinGen group")</f>
        <v>Yes- I am willing to volunteer with any available ClinGen group</v>
      </c>
      <c r="Y372" s="53"/>
      <c r="Z372" s="182">
        <f>IFERROR(__xludf.DUMMYFUNCTION("QUERY('Volunteer Survey'!A371)"),43811.14995009259)</f>
        <v>43811.14995</v>
      </c>
      <c r="AA372" s="183" t="str">
        <f>IFERROR(__xludf.DUMMYFUNCTION("QUERY('Volunteer Survey'!B371)"),"Xiaoyan Guo ")</f>
        <v>Xiaoyan Guo </v>
      </c>
      <c r="AB372" s="183" t="str">
        <f>IFERROR(__xludf.DUMMYFUNCTION("QUERY('Volunteer Survey'!C371)"),"Department of Reproductive Endocrinology, Zhejiang Provincial People’s Hospital, People’s Hospital of Hangzhou Medical College")</f>
        <v>Department of Reproductive Endocrinology, Zhejiang Provincial People’s Hospital, People’s Hospital of Hangzhou Medical College</v>
      </c>
      <c r="AC372" s="183" t="str">
        <f>IFERROR(__xludf.DUMMYFUNCTION("QUERY('Volunteer Survey'!D371)"),"")</f>
        <v/>
      </c>
      <c r="AD372" s="183" t="str">
        <f>IFERROR(__xludf.DUMMYFUNCTION("QUERY('Volunteer Survey'!E371)"),"540842557@qq.com")</f>
        <v>540842557@qq.com</v>
      </c>
      <c r="AE372" s="183" t="str">
        <f>IFERROR(__xludf.DUMMYFUNCTION("QUERY('Volunteer Survey'!F371)"),"Post Doc/Resident/Fellow (MD and/or PhD)")</f>
        <v>Post Doc/Resident/Fellow (MD and/or PhD)</v>
      </c>
      <c r="AF372" s="183" t="str">
        <f>IFERROR(__xludf.DUMMYFUNCTION("QUERY('Volunteer Survey'!G371)"),"The clinicalgenome.org website")</f>
        <v>The clinicalgenome.org website</v>
      </c>
      <c r="AG372" s="183" t="str">
        <f>IFERROR(__xludf.DUMMYFUNCTION("QUERY('Volunteer Survey'!H371)"),"Comprehensive")</f>
        <v>Comprehensive</v>
      </c>
      <c r="AH372" s="183" t="str">
        <f>IFERROR(__xludf.DUMMYFUNCTION("QUERY('Volunteer Survey'!I371)"),"Gene-Disease Validity")</f>
        <v>Gene-Disease Validity</v>
      </c>
      <c r="AI372" s="183" t="str">
        <f>IFERROR(__xludf.DUMMYFUNCTION("QUERY('Volunteer Survey'!J371)"),"Variant Pathogenicity")</f>
        <v>Variant Pathogenicity</v>
      </c>
      <c r="AJ372" s="183" t="str">
        <f>IFERROR(__xludf.DUMMYFUNCTION("QUERY('Volunteer Survey'!K371)"),"Dosage Sensitivity")</f>
        <v>Dosage Sensitivity</v>
      </c>
      <c r="AK372" s="183" t="str">
        <f>IFERROR(__xludf.DUMMYFUNCTION("QUERY('Volunteer Survey'!L371)"),"Somatic Cancer")</f>
        <v>Somatic Cancer</v>
      </c>
      <c r="AL372" s="183" t="str">
        <f>IFERROR(__xludf.DUMMYFUNCTION("QUERY('Volunteer Survey'!M371)"),"Clinical Actionability")</f>
        <v>Clinical Actionability</v>
      </c>
      <c r="AM372" s="183" t="str">
        <f>IFERROR(__xludf.DUMMYFUNCTION("QUERY('Volunteer Survey'!N371)"),"")</f>
        <v/>
      </c>
      <c r="AN372" s="183" t="str">
        <f>IFERROR(__xludf.DUMMYFUNCTION("QUERY('Volunteer Survey'!O371)"),"Possibly")</f>
        <v>Possibly</v>
      </c>
      <c r="AO372" s="183" t="str">
        <f>IFERROR(__xludf.DUMMYFUNCTION("QUERY('Volunteer Survey'!P371)"),"")</f>
        <v/>
      </c>
    </row>
    <row r="373">
      <c r="A373" s="50">
        <f>IFERROR(__xludf.DUMMYFUNCTION("QUERY('Volunteer Survey'!A382)"),43838.591925925924)</f>
        <v>43838.59193</v>
      </c>
      <c r="B373" s="48" t="s">
        <v>108</v>
      </c>
      <c r="C373" s="87">
        <v>43847.0</v>
      </c>
      <c r="D373" s="55"/>
      <c r="E373" s="55"/>
      <c r="F373" s="48" t="s">
        <v>130</v>
      </c>
      <c r="G373" s="48" t="s">
        <v>251</v>
      </c>
      <c r="H373" s="53"/>
      <c r="I373" s="53"/>
      <c r="J373" s="55"/>
      <c r="K373" s="55"/>
      <c r="L373" s="55" t="str">
        <f>IFERROR(__xludf.DUMMYFUNCTION("QUERY('Volunteer Survey'!B382)"),"Kendrah Kidd")</f>
        <v>Kendrah Kidd</v>
      </c>
      <c r="M373" s="55" t="str">
        <f>IFERROR(__xludf.DUMMYFUNCTION("QUERY('Volunteer Survey'!E382)"),"kkidd@wakehealth.edu")</f>
        <v>kkidd@wakehealth.edu</v>
      </c>
      <c r="N373" s="55" t="str">
        <f>IFERROR(__xludf.DUMMYFUNCTION("QUERY('Volunteer Survey'!F382)"),"Scientific Researcher")</f>
        <v>Scientific Researcher</v>
      </c>
      <c r="O373" s="48" t="str">
        <f>IFERROR(__xludf.DUMMYFUNCTION("QUERY('Volunteer Survey'!H382)"),"Comprehensive")</f>
        <v>Comprehensive</v>
      </c>
      <c r="P373" s="55" t="str">
        <f>IFERROR(__xludf.DUMMYFUNCTION("QUERY('Volunteer Survey'!I382)"),"Variant Pathogenicity")</f>
        <v>Variant Pathogenicity</v>
      </c>
      <c r="Q373" s="60" t="str">
        <f>IFERROR(__xludf.DUMMYFUNCTION("QUERY('Volunteer Survey'!J382)"),"Gene-Disease Validity")</f>
        <v>Gene-Disease Validity</v>
      </c>
      <c r="R373" s="55" t="str">
        <f>IFERROR(__xludf.DUMMYFUNCTION("QUERY('Volunteer Survey'!K382)"),"")</f>
        <v/>
      </c>
      <c r="S373" s="55" t="str">
        <f>IFERROR(__xludf.DUMMYFUNCTION("QUERY('Volunteer Survey'!L382)"),"")</f>
        <v/>
      </c>
      <c r="T373" s="55" t="str">
        <f>IFERROR(__xludf.DUMMYFUNCTION("QUERY('Volunteer Survey'!M382)"),"")</f>
        <v/>
      </c>
      <c r="U373" s="64" t="str">
        <f>IFERROR(__xludf.DUMMYFUNCTION("QUERY('Volunteer Survey'!N382)"),"Yes, I manage our Autosomal Dominant Tubulointerstitial Kidney Disease  pathogenic variant registry and have a database of variants found in families that have segregation and clinical data, as well as any literature associated with the variant.  ")</f>
        <v>Yes, I manage our Autosomal Dominant Tubulointerstitial Kidney Disease  pathogenic variant registry and have a database of variants found in families that have segregation and clinical data, as well as any literature associated with the variant.  </v>
      </c>
      <c r="V373" s="55" t="str">
        <f>IFERROR(__xludf.DUMMYFUNCTION("QUERY('Volunteer Survey'!O382)"),"Possibly")</f>
        <v>Possibly</v>
      </c>
      <c r="W373" s="66" t="str">
        <f>IFERROR(__xludf.DUMMYFUNCTION("QUERY('Volunteer Survey'!P382)"),"I would be interested in forming one for inherited kidney diseases ")</f>
        <v>I would be interested in forming one for inherited kidney diseases </v>
      </c>
      <c r="X373" s="64" t="str">
        <f>IFERROR(__xludf.DUMMYFUNCTION("QUERY('Volunteer Survey'!R382)"),"Maybe -- please contact me with other options, and I will decide based on what is available")</f>
        <v>Maybe -- please contact me with other options, and I will decide based on what is available</v>
      </c>
      <c r="Y373" s="53"/>
      <c r="Z373" s="182">
        <f>IFERROR(__xludf.DUMMYFUNCTION("QUERY('Volunteer Survey'!A372)"),43811.796518055555)</f>
        <v>43811.79652</v>
      </c>
      <c r="AA373" s="183" t="str">
        <f>IFERROR(__xludf.DUMMYFUNCTION("QUERY('Volunteer Survey'!B372)"),"Benjamin Clyde")</f>
        <v>Benjamin Clyde</v>
      </c>
      <c r="AB373" s="183" t="str">
        <f>IFERROR(__xludf.DUMMYFUNCTION("QUERY('Volunteer Survey'!C372)"),"ARUP Laboratories")</f>
        <v>ARUP Laboratories</v>
      </c>
      <c r="AC373" s="183" t="str">
        <f>IFERROR(__xludf.DUMMYFUNCTION("QUERY('Volunteer Survey'!D372)"),"500 Chipeta Way")</f>
        <v>500 Chipeta Way</v>
      </c>
      <c r="AD373" s="183" t="str">
        <f>IFERROR(__xludf.DUMMYFUNCTION("QUERY('Volunteer Survey'!E372)"),"benjamin.clyde@aruplab.com")</f>
        <v>benjamin.clyde@aruplab.com</v>
      </c>
      <c r="AE373" s="183" t="str">
        <f>IFERROR(__xludf.DUMMYFUNCTION("QUERY('Volunteer Survey'!F372)"),"Variant Analyst/Scientist - Industry")</f>
        <v>Variant Analyst/Scientist - Industry</v>
      </c>
      <c r="AF373" s="183" t="str">
        <f>IFERROR(__xludf.DUMMYFUNCTION("QUERY('Volunteer Survey'!G372)"),"Colleagues, Suggestion from mentor")</f>
        <v>Colleagues, Suggestion from mentor</v>
      </c>
      <c r="AG373" s="183" t="str">
        <f>IFERROR(__xludf.DUMMYFUNCTION("QUERY('Volunteer Survey'!H372)"),"Comprehensive")</f>
        <v>Comprehensive</v>
      </c>
      <c r="AH373" s="183" t="str">
        <f>IFERROR(__xludf.DUMMYFUNCTION("QUERY('Volunteer Survey'!I372)"),"Dosage Sensitivity")</f>
        <v>Dosage Sensitivity</v>
      </c>
      <c r="AI373" s="183" t="str">
        <f>IFERROR(__xludf.DUMMYFUNCTION("QUERY('Volunteer Survey'!J372)"),"Somatic Cancer")</f>
        <v>Somatic Cancer</v>
      </c>
      <c r="AJ373" s="183" t="str">
        <f>IFERROR(__xludf.DUMMYFUNCTION("QUERY('Volunteer Survey'!K372)"),"")</f>
        <v/>
      </c>
      <c r="AK373" s="183" t="str">
        <f>IFERROR(__xludf.DUMMYFUNCTION("QUERY('Volunteer Survey'!L372)"),"")</f>
        <v/>
      </c>
      <c r="AL373" s="183" t="str">
        <f>IFERROR(__xludf.DUMMYFUNCTION("QUERY('Volunteer Survey'!M372)"),"")</f>
        <v/>
      </c>
      <c r="AM373" s="183" t="str">
        <f>IFERROR(__xludf.DUMMYFUNCTION("QUERY('Volunteer Survey'!N372)"),"")</f>
        <v/>
      </c>
      <c r="AN373" s="183" t="str">
        <f>IFERROR(__xludf.DUMMYFUNCTION("QUERY('Volunteer Survey'!O372)"),"")</f>
        <v/>
      </c>
      <c r="AO373" s="183" t="str">
        <f>IFERROR(__xludf.DUMMYFUNCTION("QUERY('Volunteer Survey'!P372)"),"Hereditary Cancer Dosage Sensitivity Subgroup")</f>
        <v>Hereditary Cancer Dosage Sensitivity Subgroup</v>
      </c>
    </row>
    <row r="374">
      <c r="A374" s="50">
        <f>IFERROR(__xludf.DUMMYFUNCTION("QUERY('Volunteer Survey'!A383)"),43840.35674295139)</f>
        <v>43840.35674</v>
      </c>
      <c r="B374" s="48" t="s">
        <v>322</v>
      </c>
      <c r="C374" s="53"/>
      <c r="D374" s="55"/>
      <c r="E374" s="55"/>
      <c r="F374" s="48" t="s">
        <v>130</v>
      </c>
      <c r="G374" s="48" t="s">
        <v>313</v>
      </c>
      <c r="H374" s="53"/>
      <c r="I374" s="53"/>
      <c r="J374" s="55"/>
      <c r="K374" s="55"/>
      <c r="L374" s="55" t="str">
        <f>IFERROR(__xludf.DUMMYFUNCTION("QUERY('Volunteer Survey'!B383)"),"Joanne Adelberg")</f>
        <v>Joanne Adelberg</v>
      </c>
      <c r="M374" s="55" t="str">
        <f>IFERROR(__xludf.DUMMYFUNCTION("QUERY('Volunteer Survey'!E383)"),"joanneadelberg@gmail.com")</f>
        <v>joanneadelberg@gmail.com</v>
      </c>
      <c r="N374" s="55" t="str">
        <f>IFERROR(__xludf.DUMMYFUNCTION("QUERY('Volunteer Survey'!F383)"),"Scientific Researcher")</f>
        <v>Scientific Researcher</v>
      </c>
      <c r="O374" s="48" t="str">
        <f>IFERROR(__xludf.DUMMYFUNCTION("QUERY('Volunteer Survey'!H383)"),"Comprehensive")</f>
        <v>Comprehensive</v>
      </c>
      <c r="P374" s="55" t="str">
        <f>IFERROR(__xludf.DUMMYFUNCTION("QUERY('Volunteer Survey'!I383)"),"Gene-Disease Validity")</f>
        <v>Gene-Disease Validity</v>
      </c>
      <c r="Q374" s="60" t="str">
        <f>IFERROR(__xludf.DUMMYFUNCTION("QUERY('Volunteer Survey'!J383)"),"Clinical Actionability")</f>
        <v>Clinical Actionability</v>
      </c>
      <c r="R374" s="55" t="str">
        <f>IFERROR(__xludf.DUMMYFUNCTION("QUERY('Volunteer Survey'!K383)"),"Variant Pathogenicity")</f>
        <v>Variant Pathogenicity</v>
      </c>
      <c r="S374" s="55" t="str">
        <f>IFERROR(__xludf.DUMMYFUNCTION("QUERY('Volunteer Survey'!L383)"),"Dosage Sensitivity")</f>
        <v>Dosage Sensitivity</v>
      </c>
      <c r="T374" s="55" t="str">
        <f>IFERROR(__xludf.DUMMYFUNCTION("QUERY('Volunteer Survey'!M383)"),"Somatic Cancer")</f>
        <v>Somatic Cancer</v>
      </c>
      <c r="U374" s="64" t="str">
        <f>IFERROR(__xludf.DUMMYFUNCTION("QUERY('Volunteer Survey'!N383)"),"")</f>
        <v/>
      </c>
      <c r="V374" s="55" t="str">
        <f>IFERROR(__xludf.DUMMYFUNCTION("QUERY('Volunteer Survey'!O383)"),"Possibly")</f>
        <v>Possibly</v>
      </c>
      <c r="W374" s="66" t="str">
        <f>IFERROR(__xludf.DUMMYFUNCTION("QUERY('Volunteer Survey'!P383)"),"Will work on groups with the most need-excited for the learning opportunity")</f>
        <v>Will work on groups with the most need-excited for the learning opportunity</v>
      </c>
      <c r="X374" s="64" t="str">
        <f>IFERROR(__xludf.DUMMYFUNCTION("QUERY('Volunteer Survey'!R383)"),"Yes- I am willing to volunteer with any available ClinGen group")</f>
        <v>Yes- I am willing to volunteer with any available ClinGen group</v>
      </c>
      <c r="Y374" s="53"/>
      <c r="Z374" s="182">
        <f>IFERROR(__xludf.DUMMYFUNCTION("QUERY('Volunteer Survey'!A373)"),43815.79704074074)</f>
        <v>43815.79704</v>
      </c>
      <c r="AA374" s="183" t="str">
        <f>IFERROR(__xludf.DUMMYFUNCTION("QUERY('Volunteer Survey'!B373)"),"cynthia chow")</f>
        <v>cynthia chow</v>
      </c>
      <c r="AB374" s="183" t="str">
        <f>IFERROR(__xludf.DUMMYFUNCTION("QUERY('Volunteer Survey'!C373)"),"BC Cancer Agency")</f>
        <v>BC Cancer Agency</v>
      </c>
      <c r="AC374" s="183" t="str">
        <f>IFERROR(__xludf.DUMMYFUNCTION("QUERY('Volunteer Survey'!D373)"),"600 west 10th ave")</f>
        <v>600 west 10th ave</v>
      </c>
      <c r="AD374" s="183" t="str">
        <f>IFERROR(__xludf.DUMMYFUNCTION("QUERY('Volunteer Survey'!E373)"),"cchow3@bccancer.bc.ca")</f>
        <v>cchow3@bccancer.bc.ca</v>
      </c>
      <c r="AE374" s="183" t="str">
        <f>IFERROR(__xludf.DUMMYFUNCTION("QUERY('Volunteer Survey'!F373)"),"Variant Analyst for an In-house Oncopanel and Myeloid Panels")</f>
        <v>Variant Analyst for an In-house Oncopanel and Myeloid Panels</v>
      </c>
      <c r="AF374" s="183" t="str">
        <f>IFERROR(__xludf.DUMMYFUNCTION("QUERY('Volunteer Survey'!G373)"),"Networking")</f>
        <v>Networking</v>
      </c>
      <c r="AG374" s="183" t="str">
        <f>IFERROR(__xludf.DUMMYFUNCTION("QUERY('Volunteer Survey'!H373)"),"Comprehensive")</f>
        <v>Comprehensive</v>
      </c>
      <c r="AH374" s="183" t="str">
        <f>IFERROR(__xludf.DUMMYFUNCTION("QUERY('Volunteer Survey'!I373)"),"Somatic Cancer")</f>
        <v>Somatic Cancer</v>
      </c>
      <c r="AI374" s="183" t="str">
        <f>IFERROR(__xludf.DUMMYFUNCTION("QUERY('Volunteer Survey'!J373)"),"Clinical Actionability")</f>
        <v>Clinical Actionability</v>
      </c>
      <c r="AJ374" s="183" t="str">
        <f>IFERROR(__xludf.DUMMYFUNCTION("QUERY('Volunteer Survey'!K373)"),"Variant Pathogenicity")</f>
        <v>Variant Pathogenicity</v>
      </c>
      <c r="AK374" s="183" t="str">
        <f>IFERROR(__xludf.DUMMYFUNCTION("QUERY('Volunteer Survey'!L373)"),"Gene-Disease Validity")</f>
        <v>Gene-Disease Validity</v>
      </c>
      <c r="AL374" s="183" t="str">
        <f>IFERROR(__xludf.DUMMYFUNCTION("QUERY('Volunteer Survey'!M373)"),"Dosage Sensitivity")</f>
        <v>Dosage Sensitivity</v>
      </c>
      <c r="AM374" s="183" t="str">
        <f>IFERROR(__xludf.DUMMYFUNCTION("QUERY('Volunteer Survey'!N373)"),"I have 3 years experience in variant assesment/interpretation for myeloid and oncopanels.  I currently prepare and interpret for the medical staff to use to correlate with other clinical findings.")</f>
        <v>I have 3 years experience in variant assesment/interpretation for myeloid and oncopanels.  I currently prepare and interpret for the medical staff to use to correlate with other clinical findings.</v>
      </c>
      <c r="AN374" s="183" t="str">
        <f>IFERROR(__xludf.DUMMYFUNCTION("QUERY('Volunteer Survey'!O373)"),"Yes")</f>
        <v>Yes</v>
      </c>
      <c r="AO374" s="183" t="str">
        <f>IFERROR(__xludf.DUMMYFUNCTION("QUERY('Volunteer Survey'!P373)"),"")</f>
        <v/>
      </c>
    </row>
    <row r="375">
      <c r="A375" s="50">
        <f>IFERROR(__xludf.DUMMYFUNCTION("QUERY('Volunteer Survey'!A384)"),43842.70257400463)</f>
        <v>43842.70257</v>
      </c>
      <c r="B375" s="48" t="s">
        <v>322</v>
      </c>
      <c r="C375" s="53"/>
      <c r="D375" s="55"/>
      <c r="E375" s="55"/>
      <c r="F375" s="48" t="s">
        <v>130</v>
      </c>
      <c r="G375" s="48" t="s">
        <v>313</v>
      </c>
      <c r="H375" s="53"/>
      <c r="I375" s="53"/>
      <c r="J375" s="55"/>
      <c r="K375" s="55"/>
      <c r="L375" s="55" t="str">
        <f>IFERROR(__xludf.DUMMYFUNCTION("QUERY('Volunteer Survey'!B384)"),"Erika Meaddough")</f>
        <v>Erika Meaddough</v>
      </c>
      <c r="M375" s="55" t="str">
        <f>IFERROR(__xludf.DUMMYFUNCTION("QUERY('Volunteer Survey'!E384)"),"meaddough@yahoo.com")</f>
        <v>meaddough@yahoo.com</v>
      </c>
      <c r="N375" s="55" t="str">
        <f>IFERROR(__xludf.DUMMYFUNCTION("QUERY('Volunteer Survey'!F384)"),"Graduate Student")</f>
        <v>Graduate Student</v>
      </c>
      <c r="O375" s="48" t="str">
        <f>IFERROR(__xludf.DUMMYFUNCTION("QUERY('Volunteer Survey'!H384)"),"Baseline")</f>
        <v>Baseline</v>
      </c>
      <c r="P375" s="55" t="str">
        <f>IFERROR(__xludf.DUMMYFUNCTION("QUERY('Volunteer Survey'!I384)"),"")</f>
        <v/>
      </c>
      <c r="Q375" s="60" t="str">
        <f>IFERROR(__xludf.DUMMYFUNCTION("QUERY('Volunteer Survey'!J384)"),"")</f>
        <v/>
      </c>
      <c r="R375" s="55" t="str">
        <f>IFERROR(__xludf.DUMMYFUNCTION("QUERY('Volunteer Survey'!K384)"),"")</f>
        <v/>
      </c>
      <c r="S375" s="55" t="str">
        <f>IFERROR(__xludf.DUMMYFUNCTION("QUERY('Volunteer Survey'!L384)"),"")</f>
        <v/>
      </c>
      <c r="T375" s="55" t="str">
        <f>IFERROR(__xludf.DUMMYFUNCTION("QUERY('Volunteer Survey'!M384)"),"")</f>
        <v/>
      </c>
      <c r="U375" s="64" t="str">
        <f>IFERROR(__xludf.DUMMYFUNCTION("QUERY('Volunteer Survey'!N384)"),"")</f>
        <v/>
      </c>
      <c r="V375" s="55" t="str">
        <f>IFERROR(__xludf.DUMMYFUNCTION("QUERY('Volunteer Survey'!O384)"),"Possibly")</f>
        <v>Possibly</v>
      </c>
      <c r="W375" s="66" t="str">
        <f>IFERROR(__xludf.DUMMYFUNCTION("QUERY('Volunteer Survey'!P384)"),"Dosage Sensitivity Working Group")</f>
        <v>Dosage Sensitivity Working Group</v>
      </c>
      <c r="X375" s="64" t="str">
        <f>IFERROR(__xludf.DUMMYFUNCTION("QUERY('Volunteer Survey'!R384)"),"Yes- I am willing to volunteer with any available ClinGen group")</f>
        <v>Yes- I am willing to volunteer with any available ClinGen group</v>
      </c>
      <c r="Y375" s="53"/>
      <c r="Z375" s="182">
        <f>IFERROR(__xludf.DUMMYFUNCTION("QUERY('Volunteer Survey'!A374)"),43817.62045903935)</f>
        <v>43817.62046</v>
      </c>
      <c r="AA375" s="183" t="str">
        <f>IFERROR(__xludf.DUMMYFUNCTION("QUERY('Volunteer Survey'!B374)"),"Marco Leung")</f>
        <v>Marco Leung</v>
      </c>
      <c r="AB375" s="183" t="str">
        <f>IFERROR(__xludf.DUMMYFUNCTION("QUERY('Volunteer Survey'!C374)"),"Children's Hospital of Philadelphia")</f>
        <v>Children's Hospital of Philadelphia</v>
      </c>
      <c r="AC375" s="183" t="str">
        <f>IFERROR(__xludf.DUMMYFUNCTION("QUERY('Volunteer Survey'!D374)"),"2542 Webb St, Philadelphia, PA 19125")</f>
        <v>2542 Webb St, Philadelphia, PA 19125</v>
      </c>
      <c r="AD375" s="183" t="str">
        <f>IFERROR(__xludf.DUMMYFUNCTION("QUERY('Volunteer Survey'!E374)"),"marcoleung@me.com")</f>
        <v>marcoleung@me.com</v>
      </c>
      <c r="AE375" s="183" t="str">
        <f>IFERROR(__xludf.DUMMYFUNCTION("QUERY('Volunteer Survey'!F374)"),"Clinical laboratory geneticist")</f>
        <v>Clinical laboratory geneticist</v>
      </c>
      <c r="AF375" s="183" t="str">
        <f>IFERROR(__xludf.DUMMYFUNCTION("QUERY('Volunteer Survey'!G374)"),"ACMG Conference 2019")</f>
        <v>ACMG Conference 2019</v>
      </c>
      <c r="AG375" s="183" t="str">
        <f>IFERROR(__xludf.DUMMYFUNCTION("QUERY('Volunteer Survey'!H374)"),"Comprehensive")</f>
        <v>Comprehensive</v>
      </c>
      <c r="AH375" s="183" t="str">
        <f>IFERROR(__xludf.DUMMYFUNCTION("QUERY('Volunteer Survey'!I374)"),"Gene-Disease Validity")</f>
        <v>Gene-Disease Validity</v>
      </c>
      <c r="AI375" s="183" t="str">
        <f>IFERROR(__xludf.DUMMYFUNCTION("QUERY('Volunteer Survey'!J374)"),"Variant Pathogenicity")</f>
        <v>Variant Pathogenicity</v>
      </c>
      <c r="AJ375" s="183" t="str">
        <f>IFERROR(__xludf.DUMMYFUNCTION("QUERY('Volunteer Survey'!K374)"),"Clinical Actionability")</f>
        <v>Clinical Actionability</v>
      </c>
      <c r="AK375" s="183" t="str">
        <f>IFERROR(__xludf.DUMMYFUNCTION("QUERY('Volunteer Survey'!L374)"),"Dosage Sensitivity")</f>
        <v>Dosage Sensitivity</v>
      </c>
      <c r="AL375" s="183" t="str">
        <f>IFERROR(__xludf.DUMMYFUNCTION("QUERY('Volunteer Survey'!M374)"),"Somatic Cancer")</f>
        <v>Somatic Cancer</v>
      </c>
      <c r="AM375" s="183" t="str">
        <f>IFERROR(__xludf.DUMMYFUNCTION("QUERY('Volunteer Survey'!N374)"),"Determining gene-disease validity and variant pathogenicity is my everyday job")</f>
        <v>Determining gene-disease validity and variant pathogenicity is my everyday job</v>
      </c>
      <c r="AN375" s="183" t="str">
        <f>IFERROR(__xludf.DUMMYFUNCTION("QUERY('Volunteer Survey'!O374)"),"Yes")</f>
        <v>Yes</v>
      </c>
      <c r="AO375" s="183" t="str">
        <f>IFERROR(__xludf.DUMMYFUNCTION("QUERY('Volunteer Survey'!P374)"),"")</f>
        <v/>
      </c>
    </row>
    <row r="376">
      <c r="A376" s="50">
        <f>IFERROR(__xludf.DUMMYFUNCTION("QUERY('Volunteer Survey'!A385)"),43846.63864890046)</f>
        <v>43846.63865</v>
      </c>
      <c r="B376" s="48" t="s">
        <v>322</v>
      </c>
      <c r="C376" s="53"/>
      <c r="D376" s="55"/>
      <c r="E376" s="55"/>
      <c r="F376" s="48" t="s">
        <v>130</v>
      </c>
      <c r="G376" s="48" t="s">
        <v>313</v>
      </c>
      <c r="H376" s="53"/>
      <c r="I376" s="53"/>
      <c r="J376" s="55"/>
      <c r="K376" s="55"/>
      <c r="L376" s="55" t="str">
        <f>IFERROR(__xludf.DUMMYFUNCTION("QUERY('Volunteer Survey'!B385)"),"Vijay Ganesh")</f>
        <v>Vijay Ganesh</v>
      </c>
      <c r="M376" s="55" t="str">
        <f>IFERROR(__xludf.DUMMYFUNCTION("QUERY('Volunteer Survey'!E385)"),"vganesh@bwh.harvard.edu")</f>
        <v>vganesh@bwh.harvard.edu</v>
      </c>
      <c r="N376" s="55" t="str">
        <f>IFERROR(__xludf.DUMMYFUNCTION("QUERY('Volunteer Survey'!F385)"),"Post Doc/Resident/Fellow (MD and/or PhD)")</f>
        <v>Post Doc/Resident/Fellow (MD and/or PhD)</v>
      </c>
      <c r="O376" s="48" t="str">
        <f>IFERROR(__xludf.DUMMYFUNCTION("QUERY('Volunteer Survey'!H385)"),"Baseline")</f>
        <v>Baseline</v>
      </c>
      <c r="P376" s="55" t="str">
        <f>IFERROR(__xludf.DUMMYFUNCTION("QUERY('Volunteer Survey'!I385)"),"Gene-Disease Validity")</f>
        <v>Gene-Disease Validity</v>
      </c>
      <c r="Q376" s="60" t="str">
        <f>IFERROR(__xludf.DUMMYFUNCTION("QUERY('Volunteer Survey'!J385)"),"Variant Pathogenicity")</f>
        <v>Variant Pathogenicity</v>
      </c>
      <c r="R376" s="55" t="str">
        <f>IFERROR(__xludf.DUMMYFUNCTION("QUERY('Volunteer Survey'!K385)"),"Clinical Actionability")</f>
        <v>Clinical Actionability</v>
      </c>
      <c r="S376" s="55" t="str">
        <f>IFERROR(__xludf.DUMMYFUNCTION("QUERY('Volunteer Survey'!L385)"),"Dosage Sensitivity")</f>
        <v>Dosage Sensitivity</v>
      </c>
      <c r="T376" s="55" t="str">
        <f>IFERROR(__xludf.DUMMYFUNCTION("QUERY('Volunteer Survey'!M385)"),"Somatic Cancer")</f>
        <v>Somatic Cancer</v>
      </c>
      <c r="U376" s="64" t="str">
        <f>IFERROR(__xludf.DUMMYFUNCTION("QUERY('Volunteer Survey'!N385)"),"None")</f>
        <v>None</v>
      </c>
      <c r="V376" s="55" t="str">
        <f>IFERROR(__xludf.DUMMYFUNCTION("QUERY('Volunteer Survey'!O385)"),"Yes")</f>
        <v>Yes</v>
      </c>
      <c r="W376" s="66" t="str">
        <f>IFERROR(__xludf.DUMMYFUNCTION("QUERY('Volunteer Survey'!P385)"),"Limb Girdle Muscular Dystrophy; Congenital Myopathies; Charcot-Marie Tooth")</f>
        <v>Limb Girdle Muscular Dystrophy; Congenital Myopathies; Charcot-Marie Tooth</v>
      </c>
      <c r="X376" s="64" t="str">
        <f>IFERROR(__xludf.DUMMYFUNCTION("QUERY('Volunteer Survey'!R385)"),"No - I am only interested in the group(s) I previously indicated")</f>
        <v>No - I am only interested in the group(s) I previously indicated</v>
      </c>
      <c r="Y376" s="53"/>
      <c r="Z376" s="182">
        <f>IFERROR(__xludf.DUMMYFUNCTION("QUERY('Volunteer Survey'!A375)"),43817.633831550935)</f>
        <v>43817.63383</v>
      </c>
      <c r="AA376" s="183" t="str">
        <f>IFERROR(__xludf.DUMMYFUNCTION("QUERY('Volunteer Survey'!B375)"),"Alaa Koleilat")</f>
        <v>Alaa Koleilat</v>
      </c>
      <c r="AB376" s="183" t="str">
        <f>IFERROR(__xludf.DUMMYFUNCTION("QUERY('Volunteer Survey'!C375)"),"Mayo Clinic")</f>
        <v>Mayo Clinic</v>
      </c>
      <c r="AC376" s="183" t="str">
        <f>IFERROR(__xludf.DUMMYFUNCTION("QUERY('Volunteer Survey'!D375)"),"200 1st St. SW Rochester, MN 55905")</f>
        <v>200 1st St. SW Rochester, MN 55905</v>
      </c>
      <c r="AD376" s="183" t="str">
        <f>IFERROR(__xludf.DUMMYFUNCTION("QUERY('Volunteer Survey'!E375)"),"koleilat.alaa@mayo.edu")</f>
        <v>koleilat.alaa@mayo.edu</v>
      </c>
      <c r="AE376" s="183" t="str">
        <f>IFERROR(__xludf.DUMMYFUNCTION("QUERY('Volunteer Survey'!F375)"),"Graduate Student")</f>
        <v>Graduate Student</v>
      </c>
      <c r="AF376" s="183" t="str">
        <f>IFERROR(__xludf.DUMMYFUNCTION("QUERY('Volunteer Survey'!G375)"),"Suggestion from mentor, ClinGen affiliated emails and/or newsletters")</f>
        <v>Suggestion from mentor, ClinGen affiliated emails and/or newsletters</v>
      </c>
      <c r="AG376" s="183" t="str">
        <f>IFERROR(__xludf.DUMMYFUNCTION("QUERY('Volunteer Survey'!H375)"),"Baseline")</f>
        <v>Baseline</v>
      </c>
      <c r="AH376" s="183" t="str">
        <f>IFERROR(__xludf.DUMMYFUNCTION("QUERY('Volunteer Survey'!I375)"),"Variant Pathogenicity")</f>
        <v>Variant Pathogenicity</v>
      </c>
      <c r="AI376" s="183" t="str">
        <f>IFERROR(__xludf.DUMMYFUNCTION("QUERY('Volunteer Survey'!J375)"),"Gene-Disease Validity")</f>
        <v>Gene-Disease Validity</v>
      </c>
      <c r="AJ376" s="183" t="str">
        <f>IFERROR(__xludf.DUMMYFUNCTION("QUERY('Volunteer Survey'!K375)"),"Somatic Cancer")</f>
        <v>Somatic Cancer</v>
      </c>
      <c r="AK376" s="183" t="str">
        <f>IFERROR(__xludf.DUMMYFUNCTION("QUERY('Volunteer Survey'!L375)"),"Clinical Actionability")</f>
        <v>Clinical Actionability</v>
      </c>
      <c r="AL376" s="183" t="str">
        <f>IFERROR(__xludf.DUMMYFUNCTION("QUERY('Volunteer Survey'!M375)"),"Dosage Sensitivity")</f>
        <v>Dosage Sensitivity</v>
      </c>
      <c r="AM376" s="183" t="str">
        <f>IFERROR(__xludf.DUMMYFUNCTION("QUERY('Volunteer Survey'!N375)"),"")</f>
        <v/>
      </c>
      <c r="AN376" s="183" t="str">
        <f>IFERROR(__xludf.DUMMYFUNCTION("QUERY('Volunteer Survey'!O375)"),"Yes")</f>
        <v>Yes</v>
      </c>
      <c r="AO376" s="183" t="str">
        <f>IFERROR(__xludf.DUMMYFUNCTION("QUERY('Volunteer Survey'!P375)"),"mitochondrial disease, pediatric somatic cancer")</f>
        <v>mitochondrial disease, pediatric somatic cancer</v>
      </c>
    </row>
    <row r="377">
      <c r="A377" s="50">
        <f>IFERROR(__xludf.DUMMYFUNCTION("QUERY('Volunteer Survey'!A386)"),43846.63989085648)</f>
        <v>43846.63989</v>
      </c>
      <c r="B377" s="48" t="s">
        <v>108</v>
      </c>
      <c r="C377" s="53"/>
      <c r="D377" s="73">
        <v>43846.0</v>
      </c>
      <c r="E377" s="48" t="s">
        <v>117</v>
      </c>
      <c r="F377" s="48" t="s">
        <v>117</v>
      </c>
      <c r="G377" s="48" t="s">
        <v>122</v>
      </c>
      <c r="H377" s="53"/>
      <c r="I377" s="53"/>
      <c r="J377" s="55"/>
      <c r="K377" s="55"/>
      <c r="L377" s="55" t="str">
        <f>IFERROR(__xludf.DUMMYFUNCTION("QUERY('Volunteer Survey'!B386)"),"Julie Hathaway")</f>
        <v>Julie Hathaway</v>
      </c>
      <c r="M377" s="55" t="str">
        <f>IFERROR(__xludf.DUMMYFUNCTION("QUERY('Volunteer Survey'!E386)"),"julie.hathaway@blueprintgenetics.com")</f>
        <v>julie.hathaway@blueprintgenetics.com</v>
      </c>
      <c r="N377" s="55" t="str">
        <f>IFERROR(__xludf.DUMMYFUNCTION("QUERY('Volunteer Survey'!F386)"),"Genetic counselor")</f>
        <v>Genetic counselor</v>
      </c>
      <c r="O377" s="48" t="str">
        <f>IFERROR(__xludf.DUMMYFUNCTION("QUERY('Volunteer Survey'!H386)"),"Comprehensive")</f>
        <v>Comprehensive</v>
      </c>
      <c r="P377" s="55" t="str">
        <f>IFERROR(__xludf.DUMMYFUNCTION("QUERY('Volunteer Survey'!I386)"),"Gene-Disease Validity")</f>
        <v>Gene-Disease Validity</v>
      </c>
      <c r="Q377" s="60" t="str">
        <f>IFERROR(__xludf.DUMMYFUNCTION("QUERY('Volunteer Survey'!J386)"),"Variant Pathogenicity")</f>
        <v>Variant Pathogenicity</v>
      </c>
      <c r="R377" s="55" t="str">
        <f>IFERROR(__xludf.DUMMYFUNCTION("QUERY('Volunteer Survey'!K386)"),"Clinical Actionability")</f>
        <v>Clinical Actionability</v>
      </c>
      <c r="S377" s="55" t="str">
        <f>IFERROR(__xludf.DUMMYFUNCTION("QUERY('Volunteer Survey'!L386)"),"Dosage Sensitivity")</f>
        <v>Dosage Sensitivity</v>
      </c>
      <c r="T377" s="55" t="str">
        <f>IFERROR(__xludf.DUMMYFUNCTION("QUERY('Volunteer Survey'!M386)"),"Somatic Cancer")</f>
        <v>Somatic Cancer</v>
      </c>
      <c r="U377" s="64" t="str">
        <f>IFERROR(__xludf.DUMMYFUNCTION("QUERY('Volunteer Survey'!N386)"),"")</f>
        <v/>
      </c>
      <c r="V377" s="55" t="str">
        <f>IFERROR(__xludf.DUMMYFUNCTION("QUERY('Volunteer Survey'!O386)"),"No")</f>
        <v>No</v>
      </c>
      <c r="W377" s="66" t="str">
        <f>IFERROR(__xludf.DUMMYFUNCTION("QUERY('Volunteer Survey'!P386)"),"Cardiomyopathy")</f>
        <v>Cardiomyopathy</v>
      </c>
      <c r="X377" s="64" t="str">
        <f>IFERROR(__xludf.DUMMYFUNCTION("QUERY('Volunteer Survey'!R386)"),"Maybe -- please contact me with other options, and I will decide based on what is available")</f>
        <v>Maybe -- please contact me with other options, and I will decide based on what is available</v>
      </c>
      <c r="Y377" s="53"/>
      <c r="Z377" s="182">
        <f>IFERROR(__xludf.DUMMYFUNCTION("QUERY('Volunteer Survey'!A376)"),43818.519401909725)</f>
        <v>43818.5194</v>
      </c>
      <c r="AA377" s="183" t="str">
        <f>IFERROR(__xludf.DUMMYFUNCTION("QUERY('Volunteer Survey'!B376)"),"Thanuja Selvanayagam")</f>
        <v>Thanuja Selvanayagam</v>
      </c>
      <c r="AB377" s="183" t="str">
        <f>IFERROR(__xludf.DUMMYFUNCTION("QUERY('Volunteer Survey'!C376)"),"Children's Hospital of Eastern Ontario ")</f>
        <v>Children's Hospital of Eastern Ontario </v>
      </c>
      <c r="AC377" s="183" t="str">
        <f>IFERROR(__xludf.DUMMYFUNCTION("QUERY('Volunteer Survey'!D376)"),"401 Smyth Rd, Ottawa, ON K1H 8L1")</f>
        <v>401 Smyth Rd, Ottawa, ON K1H 8L1</v>
      </c>
      <c r="AD377" s="183" t="str">
        <f>IFERROR(__xludf.DUMMYFUNCTION("QUERY('Volunteer Survey'!E376)"),"tselvanayagam@cheo.on.ca")</f>
        <v>tselvanayagam@cheo.on.ca</v>
      </c>
      <c r="AE377" s="183" t="str">
        <f>IFERROR(__xludf.DUMMYFUNCTION("QUERY('Volunteer Survey'!F376)"),"Genetic counselor")</f>
        <v>Genetic counselor</v>
      </c>
      <c r="AF377" s="183" t="str">
        <f>IFERROR(__xludf.DUMMYFUNCTION("QUERY('Volunteer Survey'!G376)"),"Colleagues")</f>
        <v>Colleagues</v>
      </c>
      <c r="AG377" s="183" t="str">
        <f>IFERROR(__xludf.DUMMYFUNCTION("QUERY('Volunteer Survey'!H376)"),"Comprehensive")</f>
        <v>Comprehensive</v>
      </c>
      <c r="AH377" s="183" t="str">
        <f>IFERROR(__xludf.DUMMYFUNCTION("QUERY('Volunteer Survey'!I376)"),"Gene-Disease Validity")</f>
        <v>Gene-Disease Validity</v>
      </c>
      <c r="AI377" s="183" t="str">
        <f>IFERROR(__xludf.DUMMYFUNCTION("QUERY('Volunteer Survey'!J376)"),"Variant Pathogenicity")</f>
        <v>Variant Pathogenicity</v>
      </c>
      <c r="AJ377" s="183" t="str">
        <f>IFERROR(__xludf.DUMMYFUNCTION("QUERY('Volunteer Survey'!K376)"),"Clinical Actionability")</f>
        <v>Clinical Actionability</v>
      </c>
      <c r="AK377" s="183" t="str">
        <f>IFERROR(__xludf.DUMMYFUNCTION("QUERY('Volunteer Survey'!L376)"),"Dosage Sensitivity")</f>
        <v>Dosage Sensitivity</v>
      </c>
      <c r="AL377" s="183" t="str">
        <f>IFERROR(__xludf.DUMMYFUNCTION("QUERY('Volunteer Survey'!M376)"),"Somatic Cancer")</f>
        <v>Somatic Cancer</v>
      </c>
      <c r="AM377" s="183" t="str">
        <f>IFERROR(__xludf.DUMMYFUNCTION("QUERY('Volunteer Survey'!N376)"),"NO")</f>
        <v>NO</v>
      </c>
      <c r="AN377" s="183" t="str">
        <f>IFERROR(__xludf.DUMMYFUNCTION("QUERY('Volunteer Survey'!O376)"),"Possibly")</f>
        <v>Possibly</v>
      </c>
      <c r="AO377" s="183" t="str">
        <f>IFERROR(__xludf.DUMMYFUNCTION("QUERY('Volunteer Survey'!P376)"),"Cardiomyopathy ")</f>
        <v>Cardiomyopathy </v>
      </c>
    </row>
    <row r="378">
      <c r="A378" s="50">
        <f>IFERROR(__xludf.DUMMYFUNCTION("QUERY('Volunteer Survey'!A387)"),43846.65032980324)</f>
        <v>43846.65033</v>
      </c>
      <c r="B378" s="48" t="s">
        <v>108</v>
      </c>
      <c r="C378" s="53"/>
      <c r="D378" s="73">
        <v>43846.0</v>
      </c>
      <c r="E378" s="48" t="s">
        <v>117</v>
      </c>
      <c r="F378" s="48" t="s">
        <v>130</v>
      </c>
      <c r="G378" s="48" t="s">
        <v>122</v>
      </c>
      <c r="H378" s="53"/>
      <c r="I378" s="53"/>
      <c r="J378" s="55"/>
      <c r="K378" s="55"/>
      <c r="L378" s="55" t="str">
        <f>IFERROR(__xludf.DUMMYFUNCTION("QUERY('Volunteer Survey'!B387)"),"Devon Thrush")</f>
        <v>Devon Thrush</v>
      </c>
      <c r="M378" s="55" t="str">
        <f>IFERROR(__xludf.DUMMYFUNCTION("QUERY('Volunteer Survey'!E387)"),"dthrush@ambrygen.com")</f>
        <v>dthrush@ambrygen.com</v>
      </c>
      <c r="N378" s="55" t="str">
        <f>IFERROR(__xludf.DUMMYFUNCTION("QUERY('Volunteer Survey'!F387)"),"Genetic counselor")</f>
        <v>Genetic counselor</v>
      </c>
      <c r="O378" s="48" t="str">
        <f>IFERROR(__xludf.DUMMYFUNCTION("QUERY('Volunteer Survey'!H387)"),"Comprehensive")</f>
        <v>Comprehensive</v>
      </c>
      <c r="P378" s="55" t="str">
        <f>IFERROR(__xludf.DUMMYFUNCTION("QUERY('Volunteer Survey'!I387)"),"Gene-Disease Validity")</f>
        <v>Gene-Disease Validity</v>
      </c>
      <c r="Q378" s="60" t="str">
        <f>IFERROR(__xludf.DUMMYFUNCTION("QUERY('Volunteer Survey'!J387)"),"Variant Pathogenicity")</f>
        <v>Variant Pathogenicity</v>
      </c>
      <c r="R378" s="55" t="str">
        <f>IFERROR(__xludf.DUMMYFUNCTION("QUERY('Volunteer Survey'!K387)"),"Somatic Cancer")</f>
        <v>Somatic Cancer</v>
      </c>
      <c r="S378" s="55" t="str">
        <f>IFERROR(__xludf.DUMMYFUNCTION("QUERY('Volunteer Survey'!L387)"),"Clinical Actionability")</f>
        <v>Clinical Actionability</v>
      </c>
      <c r="T378" s="55" t="str">
        <f>IFERROR(__xludf.DUMMYFUNCTION("QUERY('Volunteer Survey'!M387)"),"Dosage Sensitivity")</f>
        <v>Dosage Sensitivity</v>
      </c>
      <c r="U378" s="64" t="str">
        <f>IFERROR(__xludf.DUMMYFUNCTION("QUERY('Volunteer Survey'!N387)"),"I currently perform this type of work in my job. ")</f>
        <v>I currently perform this type of work in my job. </v>
      </c>
      <c r="V378" s="55" t="str">
        <f>IFERROR(__xludf.DUMMYFUNCTION("QUERY('Volunteer Survey'!O387)"),"No")</f>
        <v>No</v>
      </c>
      <c r="W378" s="66" t="str">
        <f>IFERROR(__xludf.DUMMYFUNCTION("QUERY('Volunteer Survey'!P387)"),"")</f>
        <v/>
      </c>
      <c r="X378" s="64" t="str">
        <f>IFERROR(__xludf.DUMMYFUNCTION("QUERY('Volunteer Survey'!R387)"),"Yes- I am willing to volunteer with any available ClinGen group")</f>
        <v>Yes- I am willing to volunteer with any available ClinGen group</v>
      </c>
      <c r="Y378" s="53"/>
      <c r="Z378" s="182">
        <f>IFERROR(__xludf.DUMMYFUNCTION("QUERY('Volunteer Survey'!A377)"),43822.78095611111)</f>
        <v>43822.78096</v>
      </c>
      <c r="AA378" s="183" t="str">
        <f>IFERROR(__xludf.DUMMYFUNCTION("QUERY('Volunteer Survey'!B377)"),"Shrutika Jadhav")</f>
        <v>Shrutika Jadhav</v>
      </c>
      <c r="AB378" s="183" t="str">
        <f>IFERROR(__xludf.DUMMYFUNCTION("QUERY('Volunteer Survey'!C377)"),"University of Pittsburgh")</f>
        <v>University of Pittsburgh</v>
      </c>
      <c r="AC378" s="183" t="str">
        <f>IFERROR(__xludf.DUMMYFUNCTION("QUERY('Volunteer Survey'!D377)"),"525 Penn Avenue, Pittsburgh, Pennsylvania")</f>
        <v>525 Penn Avenue, Pittsburgh, Pennsylvania</v>
      </c>
      <c r="AD378" s="183" t="str">
        <f>IFERROR(__xludf.DUMMYFUNCTION("QUERY('Volunteer Survey'!E377)"),"shrutikajadhav18@gmail.com")</f>
        <v>shrutikajadhav18@gmail.com</v>
      </c>
      <c r="AE378" s="183" t="str">
        <f>IFERROR(__xludf.DUMMYFUNCTION("QUERY('Volunteer Survey'!F377)"),"Graduate Student")</f>
        <v>Graduate Student</v>
      </c>
      <c r="AF378" s="183" t="str">
        <f>IFERROR(__xludf.DUMMYFUNCTION("QUERY('Volunteer Survey'!G377)"),"Colleagues")</f>
        <v>Colleagues</v>
      </c>
      <c r="AG378" s="183" t="str">
        <f>IFERROR(__xludf.DUMMYFUNCTION("QUERY('Volunteer Survey'!H377)"),"Comprehensive")</f>
        <v>Comprehensive</v>
      </c>
      <c r="AH378" s="183" t="str">
        <f>IFERROR(__xludf.DUMMYFUNCTION("QUERY('Volunteer Survey'!I377)"),"Clinical Actionability")</f>
        <v>Clinical Actionability</v>
      </c>
      <c r="AI378" s="183" t="str">
        <f>IFERROR(__xludf.DUMMYFUNCTION("QUERY('Volunteer Survey'!J377)"),"Gene-Disease Validity")</f>
        <v>Gene-Disease Validity</v>
      </c>
      <c r="AJ378" s="183" t="str">
        <f>IFERROR(__xludf.DUMMYFUNCTION("QUERY('Volunteer Survey'!K377)"),"Variant Pathogenicity")</f>
        <v>Variant Pathogenicity</v>
      </c>
      <c r="AK378" s="183" t="str">
        <f>IFERROR(__xludf.DUMMYFUNCTION("QUERY('Volunteer Survey'!L377)"),"Dosage Sensitivity")</f>
        <v>Dosage Sensitivity</v>
      </c>
      <c r="AL378" s="183" t="str">
        <f>IFERROR(__xludf.DUMMYFUNCTION("QUERY('Volunteer Survey'!M377)"),"Somatic Cancer")</f>
        <v>Somatic Cancer</v>
      </c>
      <c r="AM378" s="183" t="str">
        <f>IFERROR(__xludf.DUMMYFUNCTION("QUERY('Volunteer Survey'!N377)"),"No")</f>
        <v>No</v>
      </c>
      <c r="AN378" s="183" t="str">
        <f>IFERROR(__xludf.DUMMYFUNCTION("QUERY('Volunteer Survey'!O377)"),"Yes")</f>
        <v>Yes</v>
      </c>
      <c r="AO378" s="183" t="str">
        <f>IFERROR(__xludf.DUMMYFUNCTION("QUERY('Volunteer Survey'!P377)"),"Brain Malformations, Intellectual Disability and Autism, Pediatric ")</f>
        <v>Brain Malformations, Intellectual Disability and Autism, Pediatric </v>
      </c>
    </row>
    <row r="379">
      <c r="A379" s="50">
        <f>IFERROR(__xludf.DUMMYFUNCTION("QUERY('Volunteer Survey'!A388)"),43847.4378778125)</f>
        <v>43847.43788</v>
      </c>
      <c r="B379" s="48" t="s">
        <v>108</v>
      </c>
      <c r="C379" s="87">
        <v>43482.0</v>
      </c>
      <c r="D379" s="73">
        <v>43846.0</v>
      </c>
      <c r="E379" s="48" t="s">
        <v>117</v>
      </c>
      <c r="F379" s="48" t="s">
        <v>117</v>
      </c>
      <c r="G379" s="48" t="s">
        <v>251</v>
      </c>
      <c r="H379" s="53"/>
      <c r="I379" s="51" t="s">
        <v>356</v>
      </c>
      <c r="J379" s="55"/>
      <c r="K379" s="55"/>
      <c r="L379" s="55" t="str">
        <f>IFERROR(__xludf.DUMMYFUNCTION("QUERY('Volunteer Survey'!B388)"),"Adriana Bastos Carvalho")</f>
        <v>Adriana Bastos Carvalho</v>
      </c>
      <c r="M379" s="55" t="str">
        <f>IFERROR(__xludf.DUMMYFUNCTION("QUERY('Volunteer Survey'!E388)"),"carvalhoab@biof.ufrj.br")</f>
        <v>carvalhoab@biof.ufrj.br</v>
      </c>
      <c r="N379" s="55" t="str">
        <f>IFERROR(__xludf.DUMMYFUNCTION("QUERY('Volunteer Survey'!F388)"),"Scientific Researcher")</f>
        <v>Scientific Researcher</v>
      </c>
      <c r="O379" s="48" t="str">
        <f>IFERROR(__xludf.DUMMYFUNCTION("QUERY('Volunteer Survey'!H388)"),"Comprehensive")</f>
        <v>Comprehensive</v>
      </c>
      <c r="P379" s="55" t="str">
        <f>IFERROR(__xludf.DUMMYFUNCTION("QUERY('Volunteer Survey'!I388)"),"Variant Pathogenicity")</f>
        <v>Variant Pathogenicity</v>
      </c>
      <c r="Q379" s="60" t="str">
        <f>IFERROR(__xludf.DUMMYFUNCTION("QUERY('Volunteer Survey'!J388)"),"")</f>
        <v/>
      </c>
      <c r="R379" s="55" t="str">
        <f>IFERROR(__xludf.DUMMYFUNCTION("QUERY('Volunteer Survey'!K388)"),"")</f>
        <v/>
      </c>
      <c r="S379" s="55" t="str">
        <f>IFERROR(__xludf.DUMMYFUNCTION("QUERY('Volunteer Survey'!L388)"),"")</f>
        <v/>
      </c>
      <c r="T379" s="55" t="str">
        <f>IFERROR(__xludf.DUMMYFUNCTION("QUERY('Volunteer Survey'!M388)"),"")</f>
        <v/>
      </c>
      <c r="U379" s="64" t="str">
        <f>IFERROR(__xludf.DUMMYFUNCTION("QUERY('Volunteer Survey'!N388)"),"No. Although I have never worked in curation activities, I work with in vitro models to investigate variant pathogenicity.")</f>
        <v>No. Although I have never worked in curation activities, I work with in vitro models to investigate variant pathogenicity.</v>
      </c>
      <c r="V379" s="55" t="str">
        <f>IFERROR(__xludf.DUMMYFUNCTION("QUERY('Volunteer Survey'!O388)"),"Yes")</f>
        <v>Yes</v>
      </c>
      <c r="W379" s="66" t="str">
        <f>IFERROR(__xludf.DUMMYFUNCTION("QUERY('Volunteer Survey'!P388)"),"Cardiomyopathy Variant Curation Expert Panel")</f>
        <v>Cardiomyopathy Variant Curation Expert Panel</v>
      </c>
      <c r="X379" s="64" t="str">
        <f>IFERROR(__xludf.DUMMYFUNCTION("QUERY('Volunteer Survey'!R388)"),"Yes- I am willing to volunteer with any available ClinGen group")</f>
        <v>Yes- I am willing to volunteer with any available ClinGen group</v>
      </c>
      <c r="Y379" s="53"/>
      <c r="Z379" s="182">
        <f>IFERROR(__xludf.DUMMYFUNCTION("QUERY('Volunteer Survey'!A378)"),43833.441767766206)</f>
        <v>43833.44177</v>
      </c>
      <c r="AA379" s="183" t="str">
        <f>IFERROR(__xludf.DUMMYFUNCTION("QUERY('Volunteer Survey'!B378)"),"JACQUELINE BATANIAN")</f>
        <v>JACQUELINE BATANIAN</v>
      </c>
      <c r="AB379" s="183" t="str">
        <f>IFERROR(__xludf.DUMMYFUNCTION("QUERY('Volunteer Survey'!C378)"),"SAINT LOUIS UNIVERSITY")</f>
        <v>SAINT LOUIS UNIVERSITY</v>
      </c>
      <c r="AC379" s="183" t="str">
        <f>IFERROR(__xludf.DUMMYFUNCTION("QUERY('Volunteer Survey'!D378)"),"1465 SOUTH GRAND BLVD")</f>
        <v>1465 SOUTH GRAND BLVD</v>
      </c>
      <c r="AD379" s="183" t="str">
        <f>IFERROR(__xludf.DUMMYFUNCTION("QUERY('Volunteer Survey'!E378)"),"JACQUELINE.BATANIAN@HEALTH.SLU.EDU")</f>
        <v>JACQUELINE.BATANIAN@HEALTH.SLU.EDU</v>
      </c>
      <c r="AE379" s="183" t="str">
        <f>IFERROR(__xludf.DUMMYFUNCTION("QUERY('Volunteer Survey'!F378)"),"Clinical laboratory geneticist")</f>
        <v>Clinical laboratory geneticist</v>
      </c>
      <c r="AF379" s="183" t="str">
        <f>IFERROR(__xludf.DUMMYFUNCTION("QUERY('Volunteer Survey'!G378)"),"ClinGen affiliated emails and/or newsletters, The clinicalgenome.org website")</f>
        <v>ClinGen affiliated emails and/or newsletters, The clinicalgenome.org website</v>
      </c>
      <c r="AG379" s="183" t="str">
        <f>IFERROR(__xludf.DUMMYFUNCTION("QUERY('Volunteer Survey'!H378)"),"Comprehensive")</f>
        <v>Comprehensive</v>
      </c>
      <c r="AH379" s="183" t="str">
        <f>IFERROR(__xludf.DUMMYFUNCTION("QUERY('Volunteer Survey'!I378)"),"Gene-Disease Validity")</f>
        <v>Gene-Disease Validity</v>
      </c>
      <c r="AI379" s="183" t="str">
        <f>IFERROR(__xludf.DUMMYFUNCTION("QUERY('Volunteer Survey'!J378)"),"Somatic Cancer")</f>
        <v>Somatic Cancer</v>
      </c>
      <c r="AJ379" s="183" t="str">
        <f>IFERROR(__xludf.DUMMYFUNCTION("QUERY('Volunteer Survey'!K378)"),"Variant Pathogenicity")</f>
        <v>Variant Pathogenicity</v>
      </c>
      <c r="AK379" s="183" t="str">
        <f>IFERROR(__xludf.DUMMYFUNCTION("QUERY('Volunteer Survey'!L378)"),"Dosage Sensitivity")</f>
        <v>Dosage Sensitivity</v>
      </c>
      <c r="AL379" s="183" t="str">
        <f>IFERROR(__xludf.DUMMYFUNCTION("QUERY('Volunteer Survey'!M378)"),"Clinical Actionability")</f>
        <v>Clinical Actionability</v>
      </c>
      <c r="AM379" s="183" t="str">
        <f>IFERROR(__xludf.DUMMYFUNCTION("QUERY('Volunteer Survey'!N378)"),"I used to navigate literature to determine the nature of copy number variants identified by Oligo/SNP Agilent microarray.")</f>
        <v>I used to navigate literature to determine the nature of copy number variants identified by Oligo/SNP Agilent microarray.</v>
      </c>
      <c r="AN379" s="183" t="str">
        <f>IFERROR(__xludf.DUMMYFUNCTION("QUERY('Volunteer Survey'!O378)"),"Yes")</f>
        <v>Yes</v>
      </c>
      <c r="AO379" s="183" t="str">
        <f>IFERROR(__xludf.DUMMYFUNCTION("QUERY('Volunteer Survey'!P378)"),"Cardiovascular diseases and Pediatric cancer")</f>
        <v>Cardiovascular diseases and Pediatric cancer</v>
      </c>
    </row>
    <row r="380">
      <c r="A380" s="50">
        <f>IFERROR(__xludf.DUMMYFUNCTION("QUERY('Volunteer Survey'!A389)"),43847.669551747684)</f>
        <v>43847.66955</v>
      </c>
      <c r="B380" s="48" t="s">
        <v>108</v>
      </c>
      <c r="C380" s="53"/>
      <c r="D380" s="73">
        <v>43846.0</v>
      </c>
      <c r="E380" s="48" t="s">
        <v>117</v>
      </c>
      <c r="F380" s="48" t="s">
        <v>117</v>
      </c>
      <c r="G380" s="48" t="s">
        <v>122</v>
      </c>
      <c r="H380" s="53"/>
      <c r="I380" s="53"/>
      <c r="J380" s="55"/>
      <c r="K380" s="55"/>
      <c r="L380" s="55" t="str">
        <f>IFERROR(__xludf.DUMMYFUNCTION("QUERY('Volunteer Survey'!B389)"),"Shiloh Martin")</f>
        <v>Shiloh Martin</v>
      </c>
      <c r="M380" s="55" t="str">
        <f>IFERROR(__xludf.DUMMYFUNCTION("QUERY('Volunteer Survey'!E389)"),"shiloh.martin@invitae.com")</f>
        <v>shiloh.martin@invitae.com</v>
      </c>
      <c r="N380" s="55" t="str">
        <f>IFERROR(__xludf.DUMMYFUNCTION("QUERY('Volunteer Survey'!F389)"),"Variant Analyst/Scientist - Industry")</f>
        <v>Variant Analyst/Scientist - Industry</v>
      </c>
      <c r="O380" s="48" t="str">
        <f>IFERROR(__xludf.DUMMYFUNCTION("QUERY('Volunteer Survey'!H389)"),"Comprehensive")</f>
        <v>Comprehensive</v>
      </c>
      <c r="P380" s="55" t="str">
        <f>IFERROR(__xludf.DUMMYFUNCTION("QUERY('Volunteer Survey'!I389)"),"Gene-Disease Validity")</f>
        <v>Gene-Disease Validity</v>
      </c>
      <c r="Q380" s="60" t="str">
        <f>IFERROR(__xludf.DUMMYFUNCTION("QUERY('Volunteer Survey'!J389)"),"Variant Pathogenicity")</f>
        <v>Variant Pathogenicity</v>
      </c>
      <c r="R380" s="55" t="str">
        <f>IFERROR(__xludf.DUMMYFUNCTION("QUERY('Volunteer Survey'!K389)"),"")</f>
        <v/>
      </c>
      <c r="S380" s="55" t="str">
        <f>IFERROR(__xludf.DUMMYFUNCTION("QUERY('Volunteer Survey'!L389)"),"")</f>
        <v/>
      </c>
      <c r="T380" s="55" t="str">
        <f>IFERROR(__xludf.DUMMYFUNCTION("QUERY('Volunteer Survey'!M389)"),"")</f>
        <v/>
      </c>
      <c r="U380" s="64" t="str">
        <f>IFERROR(__xludf.DUMMYFUNCTION("QUERY('Volunteer Survey'!N389)"),"I currently do gene-disease curations and variant interpretation at Invitae")</f>
        <v>I currently do gene-disease curations and variant interpretation at Invitae</v>
      </c>
      <c r="V380" s="55" t="str">
        <f>IFERROR(__xludf.DUMMYFUNCTION("QUERY('Volunteer Survey'!O389)"),"No")</f>
        <v>No</v>
      </c>
      <c r="W380" s="66" t="str">
        <f>IFERROR(__xludf.DUMMYFUNCTION("QUERY('Volunteer Survey'!P389)"),"I am interested in working with an Immunology GCEP.  I don't think such a GCEP exists at this time, but I have been told that one is possibly forming, so I would be interested in joining that group once formed.")</f>
        <v>I am interested in working with an Immunology GCEP.  I don't think such a GCEP exists at this time, but I have been told that one is possibly forming, so I would be interested in joining that group once formed.</v>
      </c>
      <c r="X380" s="64" t="str">
        <f>IFERROR(__xludf.DUMMYFUNCTION("QUERY('Volunteer Survey'!R389)"),"Maybe -- please contact me with other options, and I will decide based on what is available")</f>
        <v>Maybe -- please contact me with other options, and I will decide based on what is available</v>
      </c>
      <c r="Y380" s="53"/>
      <c r="Z380" s="182">
        <f>IFERROR(__xludf.DUMMYFUNCTION("QUERY('Volunteer Survey'!A379)"),43833.71189856481)</f>
        <v>43833.7119</v>
      </c>
      <c r="AA380" s="183" t="str">
        <f>IFERROR(__xludf.DUMMYFUNCTION("QUERY('Volunteer Survey'!B379)"),"Nan Jiang")</f>
        <v>Nan Jiang</v>
      </c>
      <c r="AB380" s="183" t="str">
        <f>IFERROR(__xludf.DUMMYFUNCTION("QUERY('Volunteer Survey'!C379)"),"Columbia University Medical Center")</f>
        <v>Columbia University Medical Center</v>
      </c>
      <c r="AC380" s="183" t="str">
        <f>IFERROR(__xludf.DUMMYFUNCTION("QUERY('Volunteer Survey'!D379)"),"Columbia University Medical Center")</f>
        <v>Columbia University Medical Center</v>
      </c>
      <c r="AD380" s="183" t="str">
        <f>IFERROR(__xludf.DUMMYFUNCTION("QUERY('Volunteer Survey'!E379)"),"nj2421@cumc.columbia.edu")</f>
        <v>nj2421@cumc.columbia.edu</v>
      </c>
      <c r="AE380" s="183" t="str">
        <f>IFERROR(__xludf.DUMMYFUNCTION("QUERY('Volunteer Survey'!F379)"),"Post Doc/Resident/Fellow (MD and/or PhD)")</f>
        <v>Post Doc/Resident/Fellow (MD and/or PhD)</v>
      </c>
      <c r="AF380" s="183" t="str">
        <f>IFERROR(__xludf.DUMMYFUNCTION("QUERY('Volunteer Survey'!G379)"),"Colleagues")</f>
        <v>Colleagues</v>
      </c>
      <c r="AG380" s="183" t="str">
        <f>IFERROR(__xludf.DUMMYFUNCTION("QUERY('Volunteer Survey'!H379)"),"Comprehensive")</f>
        <v>Comprehensive</v>
      </c>
      <c r="AH380" s="183" t="str">
        <f>IFERROR(__xludf.DUMMYFUNCTION("QUERY('Volunteer Survey'!I379)"),"Somatic Cancer")</f>
        <v>Somatic Cancer</v>
      </c>
      <c r="AI380" s="183" t="str">
        <f>IFERROR(__xludf.DUMMYFUNCTION("QUERY('Volunteer Survey'!J379)"),"Gene-Disease Validity")</f>
        <v>Gene-Disease Validity</v>
      </c>
      <c r="AJ380" s="183" t="str">
        <f>IFERROR(__xludf.DUMMYFUNCTION("QUERY('Volunteer Survey'!K379)"),"Clinical Actionability")</f>
        <v>Clinical Actionability</v>
      </c>
      <c r="AK380" s="183" t="str">
        <f>IFERROR(__xludf.DUMMYFUNCTION("QUERY('Volunteer Survey'!L379)"),"Variant Pathogenicity")</f>
        <v>Variant Pathogenicity</v>
      </c>
      <c r="AL380" s="183" t="str">
        <f>IFERROR(__xludf.DUMMYFUNCTION("QUERY('Volunteer Survey'!M379)"),"Dosage Sensitivity")</f>
        <v>Dosage Sensitivity</v>
      </c>
      <c r="AM380" s="183" t="str">
        <f>IFERROR(__xludf.DUMMYFUNCTION("QUERY('Volunteer Survey'!N379)"),"Yes. I am currently a LGG fellow at Columbia. I do SOMA analysis, WES variant curation on daily bases. ")</f>
        <v>Yes. I am currently a LGG fellow at Columbia. I do SOMA analysis, WES variant curation on daily bases. </v>
      </c>
      <c r="AN380" s="183" t="str">
        <f>IFERROR(__xludf.DUMMYFUNCTION("QUERY('Volunteer Survey'!O379)"),"Yes")</f>
        <v>Yes</v>
      </c>
      <c r="AO380" s="183" t="str">
        <f>IFERROR(__xludf.DUMMYFUNCTION("QUERY('Volunteer Survey'!P379)"),"Hereditary Cancer, Brain Malformations , Somatic Cancer Pediatric")</f>
        <v>Hereditary Cancer, Brain Malformations , Somatic Cancer Pediatric</v>
      </c>
    </row>
    <row r="381">
      <c r="A381" s="50">
        <f>IFERROR(__xludf.DUMMYFUNCTION("QUERY('Volunteer Survey'!A390)"),43847.82158326389)</f>
        <v>43847.82158</v>
      </c>
      <c r="B381" s="48" t="s">
        <v>322</v>
      </c>
      <c r="C381" s="53"/>
      <c r="D381" s="55"/>
      <c r="E381" s="55"/>
      <c r="F381" s="48" t="s">
        <v>130</v>
      </c>
      <c r="G381" s="48" t="s">
        <v>313</v>
      </c>
      <c r="H381" s="53"/>
      <c r="I381" s="53"/>
      <c r="J381" s="55"/>
      <c r="K381" s="55"/>
      <c r="L381" s="55" t="str">
        <f>IFERROR(__xludf.DUMMYFUNCTION("QUERY('Volunteer Survey'!B390)"),"Jennifer Holle")</f>
        <v>Jennifer Holle</v>
      </c>
      <c r="M381" s="55" t="str">
        <f>IFERROR(__xludf.DUMMYFUNCTION("QUERY('Volunteer Survey'!E390)"),"jennifer.holle@invitae.com")</f>
        <v>jennifer.holle@invitae.com</v>
      </c>
      <c r="N381" s="55" t="str">
        <f>IFERROR(__xludf.DUMMYFUNCTION("QUERY('Volunteer Survey'!F390)"),"Variant Analyst/Scientist - Industry")</f>
        <v>Variant Analyst/Scientist - Industry</v>
      </c>
      <c r="O381" s="48" t="str">
        <f>IFERROR(__xludf.DUMMYFUNCTION("QUERY('Volunteer Survey'!H390)"),"Comprehensive")</f>
        <v>Comprehensive</v>
      </c>
      <c r="P381" s="55" t="str">
        <f>IFERROR(__xludf.DUMMYFUNCTION("QUERY('Volunteer Survey'!I390)"),"Gene-Disease Validity")</f>
        <v>Gene-Disease Validity</v>
      </c>
      <c r="Q381" s="60" t="str">
        <f>IFERROR(__xludf.DUMMYFUNCTION("QUERY('Volunteer Survey'!J390)"),"Variant Pathogenicity")</f>
        <v>Variant Pathogenicity</v>
      </c>
      <c r="R381" s="55" t="str">
        <f>IFERROR(__xludf.DUMMYFUNCTION("QUERY('Volunteer Survey'!K390)"),"")</f>
        <v/>
      </c>
      <c r="S381" s="55" t="str">
        <f>IFERROR(__xludf.DUMMYFUNCTION("QUERY('Volunteer Survey'!L390)"),"")</f>
        <v/>
      </c>
      <c r="T381" s="55" t="str">
        <f>IFERROR(__xludf.DUMMYFUNCTION("QUERY('Volunteer Survey'!M390)"),"")</f>
        <v/>
      </c>
      <c r="U381" s="64" t="str">
        <f>IFERROR(__xludf.DUMMYFUNCTION("QUERY('Volunteer Survey'!N390)"),"Yes, I do variant pathogenicity curation in my job, as well as gene-disease validity curation (though I do less of this).")</f>
        <v>Yes, I do variant pathogenicity curation in my job, as well as gene-disease validity curation (though I do less of this).</v>
      </c>
      <c r="V381" s="55" t="str">
        <f>IFERROR(__xludf.DUMMYFUNCTION("QUERY('Volunteer Survey'!O390)"),"Possibly")</f>
        <v>Possibly</v>
      </c>
      <c r="W381" s="66" t="str">
        <f>IFERROR(__xludf.DUMMYFUNCTION("QUERY('Volunteer Survey'!P390)"),"The primary immunodeficiency group - didn't see it on the list, but I know it's upcoming")</f>
        <v>The primary immunodeficiency group - didn't see it on the list, but I know it's upcoming</v>
      </c>
      <c r="X381" s="64" t="str">
        <f>IFERROR(__xludf.DUMMYFUNCTION("QUERY('Volunteer Survey'!R390)"),"Maybe -- please contact me with other options, and I will decide based on what is available")</f>
        <v>Maybe -- please contact me with other options, and I will decide based on what is available</v>
      </c>
      <c r="Y381" s="53"/>
      <c r="Z381" s="182">
        <f>IFERROR(__xludf.DUMMYFUNCTION("QUERY('Volunteer Survey'!A380)"),43836.64994055556)</f>
        <v>43836.64994</v>
      </c>
      <c r="AA381" s="183" t="str">
        <f>IFERROR(__xludf.DUMMYFUNCTION("QUERY('Volunteer Survey'!B380)"),"Jaime Nagy")</f>
        <v>Jaime Nagy</v>
      </c>
      <c r="AB381" s="183" t="str">
        <f>IFERROR(__xludf.DUMMYFUNCTION("QUERY('Volunteer Survey'!C380)"),"University of Iowa")</f>
        <v>University of Iowa</v>
      </c>
      <c r="AC381" s="183" t="str">
        <f>IFERROR(__xludf.DUMMYFUNCTION("QUERY('Volunteer Survey'!D380)"),"200 Hawkins Dr, Iowa City, IA, 52242")</f>
        <v>200 Hawkins Dr, Iowa City, IA, 52242</v>
      </c>
      <c r="AD381" s="183" t="str">
        <f>IFERROR(__xludf.DUMMYFUNCTION("QUERY('Volunteer Survey'!E380)"),"jaime-nagy@uiowa.edu")</f>
        <v>jaime-nagy@uiowa.edu</v>
      </c>
      <c r="AE381" s="183" t="str">
        <f>IFERROR(__xludf.DUMMYFUNCTION("QUERY('Volunteer Survey'!F380)"),"Clinical laboratory geneticist")</f>
        <v>Clinical laboratory geneticist</v>
      </c>
      <c r="AF381" s="183" t="str">
        <f>IFERROR(__xludf.DUMMYFUNCTION("QUERY('Volunteer Survey'!G380)"),"The clinicalgenome.org website")</f>
        <v>The clinicalgenome.org website</v>
      </c>
      <c r="AG381" s="183" t="str">
        <f>IFERROR(__xludf.DUMMYFUNCTION("QUERY('Volunteer Survey'!H380)"),"Comprehensive")</f>
        <v>Comprehensive</v>
      </c>
      <c r="AH381" s="183" t="str">
        <f>IFERROR(__xludf.DUMMYFUNCTION("QUERY('Volunteer Survey'!I380)"),"Dosage Sensitivity")</f>
        <v>Dosage Sensitivity</v>
      </c>
      <c r="AI381" s="183" t="str">
        <f>IFERROR(__xludf.DUMMYFUNCTION("QUERY('Volunteer Survey'!J380)"),"")</f>
        <v/>
      </c>
      <c r="AJ381" s="183" t="str">
        <f>IFERROR(__xludf.DUMMYFUNCTION("QUERY('Volunteer Survey'!K380)"),"")</f>
        <v/>
      </c>
      <c r="AK381" s="183" t="str">
        <f>IFERROR(__xludf.DUMMYFUNCTION("QUERY('Volunteer Survey'!L380)"),"")</f>
        <v/>
      </c>
      <c r="AL381" s="183" t="str">
        <f>IFERROR(__xludf.DUMMYFUNCTION("QUERY('Volunteer Survey'!M380)"),"")</f>
        <v/>
      </c>
      <c r="AM381" s="183" t="str">
        <f>IFERROR(__xludf.DUMMYFUNCTION("QUERY('Volunteer Survey'!N380)"),"Review and interpretation of clinical CMA cases")</f>
        <v>Review and interpretation of clinical CMA cases</v>
      </c>
      <c r="AN381" s="183" t="str">
        <f>IFERROR(__xludf.DUMMYFUNCTION("QUERY('Volunteer Survey'!O380)"),"No")</f>
        <v>No</v>
      </c>
      <c r="AO381" s="183" t="str">
        <f>IFERROR(__xludf.DUMMYFUNCTION("QUERY('Volunteer Survey'!P380)"),"Dosage Sensitivity working group")</f>
        <v>Dosage Sensitivity working group</v>
      </c>
    </row>
    <row r="382">
      <c r="A382" s="50">
        <f>IFERROR(__xludf.DUMMYFUNCTION("QUERY('Volunteer Survey'!A391)"),43851.400375983794)</f>
        <v>43851.40038</v>
      </c>
      <c r="B382" s="48" t="s">
        <v>160</v>
      </c>
      <c r="C382" s="90">
        <v>43860.0</v>
      </c>
      <c r="D382" s="55"/>
      <c r="E382" s="55"/>
      <c r="F382" s="48" t="s">
        <v>130</v>
      </c>
      <c r="G382" s="48" t="s">
        <v>313</v>
      </c>
      <c r="H382" s="53"/>
      <c r="I382" s="53"/>
      <c r="J382" s="55"/>
      <c r="K382" s="55"/>
      <c r="L382" s="55" t="str">
        <f>IFERROR(__xludf.DUMMYFUNCTION("QUERY('Volunteer Survey'!B391)"),"George Jour")</f>
        <v>George Jour</v>
      </c>
      <c r="M382" s="55" t="str">
        <f>IFERROR(__xludf.DUMMYFUNCTION("QUERY('Volunteer Survey'!E391)"),"george.jour@nyulangone.org")</f>
        <v>george.jour@nyulangone.org</v>
      </c>
      <c r="N382" s="55" t="str">
        <f>IFERROR(__xludf.DUMMYFUNCTION("QUERY('Volunteer Survey'!F391)"),"Physician (Non-geneticist)")</f>
        <v>Physician (Non-geneticist)</v>
      </c>
      <c r="O382" s="48" t="str">
        <f>IFERROR(__xludf.DUMMYFUNCTION("QUERY('Volunteer Survey'!H391)"),"Baseline")</f>
        <v>Baseline</v>
      </c>
      <c r="P382" s="55" t="str">
        <f>IFERROR(__xludf.DUMMYFUNCTION("QUERY('Volunteer Survey'!I391)"),"Clinical Actionability")</f>
        <v>Clinical Actionability</v>
      </c>
      <c r="Q382" s="60" t="str">
        <f>IFERROR(__xludf.DUMMYFUNCTION("QUERY('Volunteer Survey'!J391)"),"Somatic Cancer")</f>
        <v>Somatic Cancer</v>
      </c>
      <c r="R382" s="55" t="str">
        <f>IFERROR(__xludf.DUMMYFUNCTION("QUERY('Volunteer Survey'!K391)"),"Gene-Disease Validity")</f>
        <v>Gene-Disease Validity</v>
      </c>
      <c r="S382" s="55" t="str">
        <f>IFERROR(__xludf.DUMMYFUNCTION("QUERY('Volunteer Survey'!L391)"),"Variant Pathogenicity")</f>
        <v>Variant Pathogenicity</v>
      </c>
      <c r="T382" s="55" t="str">
        <f>IFERROR(__xludf.DUMMYFUNCTION("QUERY('Volunteer Survey'!M391)"),"")</f>
        <v/>
      </c>
      <c r="U382" s="64" t="str">
        <f>IFERROR(__xludf.DUMMYFUNCTION("QUERY('Volunteer Survey'!N391)"),"I did help curate an internal database during my fellowship for an inherited cancer NGS panel")</f>
        <v>I did help curate an internal database during my fellowship for an inherited cancer NGS panel</v>
      </c>
      <c r="V382" s="55" t="str">
        <f>IFERROR(__xludf.DUMMYFUNCTION("QUERY('Volunteer Survey'!O391)"),"Yes")</f>
        <v>Yes</v>
      </c>
      <c r="W382" s="66" t="str">
        <f>IFERROR(__xludf.DUMMYFUNCTION("QUERY('Volunteer Survey'!P391)"),"Rasopathies; hearing Loss; inherited cancers")</f>
        <v>Rasopathies; hearing Loss; inherited cancers</v>
      </c>
      <c r="X382" s="64" t="str">
        <f>IFERROR(__xludf.DUMMYFUNCTION("QUERY('Volunteer Survey'!R391)"),"Maybe -- please contact me with other options, and I will decide based on what is available")</f>
        <v>Maybe -- please contact me with other options, and I will decide based on what is available</v>
      </c>
      <c r="Y382" s="53"/>
      <c r="Z382" s="182">
        <f>IFERROR(__xludf.DUMMYFUNCTION("QUERY('Volunteer Survey'!A381)"),43838.04942578704)</f>
        <v>43838.04943</v>
      </c>
      <c r="AA382" s="183" t="str">
        <f>IFERROR(__xludf.DUMMYFUNCTION("QUERY('Volunteer Survey'!B381)"),"Indu Raja")</f>
        <v>Indu Raja</v>
      </c>
      <c r="AB382" s="183" t="str">
        <f>IFERROR(__xludf.DUMMYFUNCTION("QUERY('Volunteer Survey'!C381)"),"Sidra Medicine")</f>
        <v>Sidra Medicine</v>
      </c>
      <c r="AC382" s="183" t="str">
        <f>IFERROR(__xludf.DUMMYFUNCTION("QUERY('Volunteer Survey'!D381)"),"")</f>
        <v/>
      </c>
      <c r="AD382" s="183" t="str">
        <f>IFERROR(__xludf.DUMMYFUNCTION("QUERY('Volunteer Survey'!E381)"),"indudraja@gmail.com")</f>
        <v>indudraja@gmail.com</v>
      </c>
      <c r="AE382" s="183" t="str">
        <f>IFERROR(__xludf.DUMMYFUNCTION("QUERY('Volunteer Survey'!F381)"),"Laboratory Technologist")</f>
        <v>Laboratory Technologist</v>
      </c>
      <c r="AF382" s="183" t="str">
        <f>IFERROR(__xludf.DUMMYFUNCTION("QUERY('Volunteer Survey'!G381)"),"The clinicalgenome.org website")</f>
        <v>The clinicalgenome.org website</v>
      </c>
      <c r="AG382" s="183" t="str">
        <f>IFERROR(__xludf.DUMMYFUNCTION("QUERY('Volunteer Survey'!H381)"),"Comprehensive")</f>
        <v>Comprehensive</v>
      </c>
      <c r="AH382" s="183" t="str">
        <f>IFERROR(__xludf.DUMMYFUNCTION("QUERY('Volunteer Survey'!I381)"),"Gene-Disease Validity")</f>
        <v>Gene-Disease Validity</v>
      </c>
      <c r="AI382" s="183" t="str">
        <f>IFERROR(__xludf.DUMMYFUNCTION("QUERY('Volunteer Survey'!J381)"),"Clinical Actionability")</f>
        <v>Clinical Actionability</v>
      </c>
      <c r="AJ382" s="183" t="str">
        <f>IFERROR(__xludf.DUMMYFUNCTION("QUERY('Volunteer Survey'!K381)"),"Variant Pathogenicity")</f>
        <v>Variant Pathogenicity</v>
      </c>
      <c r="AK382" s="183" t="str">
        <f>IFERROR(__xludf.DUMMYFUNCTION("QUERY('Volunteer Survey'!L381)"),"Dosage Sensitivity")</f>
        <v>Dosage Sensitivity</v>
      </c>
      <c r="AL382" s="183" t="str">
        <f>IFERROR(__xludf.DUMMYFUNCTION("QUERY('Volunteer Survey'!M381)"),"")</f>
        <v/>
      </c>
      <c r="AM382" s="183" t="str">
        <f>IFERROR(__xludf.DUMMYFUNCTION("QUERY('Volunteer Survey'!N381)"),"No")</f>
        <v>No</v>
      </c>
      <c r="AN382" s="183" t="str">
        <f>IFERROR(__xludf.DUMMYFUNCTION("QUERY('Volunteer Survey'!O381)"),"Possibly")</f>
        <v>Possibly</v>
      </c>
      <c r="AO382" s="183" t="str">
        <f>IFERROR(__xludf.DUMMYFUNCTION("QUERY('Volunteer Survey'!P381)"),"Gene curation (Intellectual disability &amp; Autism), Dosage Sensitivity &amp; Clinical Actionability")</f>
        <v>Gene curation (Intellectual disability &amp; Autism), Dosage Sensitivity &amp; Clinical Actionability</v>
      </c>
    </row>
    <row r="383">
      <c r="A383" s="50">
        <f>IFERROR(__xludf.DUMMYFUNCTION("QUERY('Volunteer Survey'!A392)"),43851.415571122685)</f>
        <v>43851.41557</v>
      </c>
      <c r="B383" s="48" t="s">
        <v>322</v>
      </c>
      <c r="C383" s="51" t="s">
        <v>3144</v>
      </c>
      <c r="D383" s="55"/>
      <c r="E383" s="55"/>
      <c r="F383" s="48" t="s">
        <v>130</v>
      </c>
      <c r="G383" s="48" t="s">
        <v>313</v>
      </c>
      <c r="H383" s="53"/>
      <c r="I383" s="53"/>
      <c r="J383" s="55"/>
      <c r="K383" s="55"/>
      <c r="L383" s="55" t="str">
        <f>IFERROR(__xludf.DUMMYFUNCTION("QUERY('Volunteer Survey'!B392)"),"George Jour")</f>
        <v>George Jour</v>
      </c>
      <c r="M383" s="55" t="str">
        <f>IFERROR(__xludf.DUMMYFUNCTION("QUERY('Volunteer Survey'!E392)"),"george.jour@nyulangone.org")</f>
        <v>george.jour@nyulangone.org</v>
      </c>
      <c r="N383" s="55" t="str">
        <f>IFERROR(__xludf.DUMMYFUNCTION("QUERY('Volunteer Survey'!F392)"),"Physician (Non-geneticist)")</f>
        <v>Physician (Non-geneticist)</v>
      </c>
      <c r="O383" s="48" t="str">
        <f>IFERROR(__xludf.DUMMYFUNCTION("QUERY('Volunteer Survey'!H392)"),"Baseline")</f>
        <v>Baseline</v>
      </c>
      <c r="P383" s="55" t="str">
        <f>IFERROR(__xludf.DUMMYFUNCTION("QUERY('Volunteer Survey'!I392)"),"Clinical Actionability")</f>
        <v>Clinical Actionability</v>
      </c>
      <c r="Q383" s="60" t="str">
        <f>IFERROR(__xludf.DUMMYFUNCTION("QUERY('Volunteer Survey'!J392)"),"Somatic Cancer")</f>
        <v>Somatic Cancer</v>
      </c>
      <c r="R383" s="55" t="str">
        <f>IFERROR(__xludf.DUMMYFUNCTION("QUERY('Volunteer Survey'!K392)"),"Gene-Disease Validity")</f>
        <v>Gene-Disease Validity</v>
      </c>
      <c r="S383" s="55" t="str">
        <f>IFERROR(__xludf.DUMMYFUNCTION("QUERY('Volunteer Survey'!L392)"),"Variant Pathogenicity")</f>
        <v>Variant Pathogenicity</v>
      </c>
      <c r="T383" s="55" t="str">
        <f>IFERROR(__xludf.DUMMYFUNCTION("QUERY('Volunteer Survey'!M392)"),"")</f>
        <v/>
      </c>
      <c r="U383" s="64" t="str">
        <f>IFERROR(__xludf.DUMMYFUNCTION("QUERY('Volunteer Survey'!N392)"),"I did help curate an internal database during my fellowship for an inherited cancer NGS panel")</f>
        <v>I did help curate an internal database during my fellowship for an inherited cancer NGS panel</v>
      </c>
      <c r="V383" s="55" t="str">
        <f>IFERROR(__xludf.DUMMYFUNCTION("QUERY('Volunteer Survey'!O392)"),"Yes")</f>
        <v>Yes</v>
      </c>
      <c r="W383" s="66" t="str">
        <f>IFERROR(__xludf.DUMMYFUNCTION("QUERY('Volunteer Survey'!P392)"),"Rasopathies; hearing Loss; inherited cancers")</f>
        <v>Rasopathies; hearing Loss; inherited cancers</v>
      </c>
      <c r="X383" s="64" t="str">
        <f>IFERROR(__xludf.DUMMYFUNCTION("QUERY('Volunteer Survey'!R392)"),"Maybe -- please contact me with other options, and I will decide based on what is available")</f>
        <v>Maybe -- please contact me with other options, and I will decide based on what is available</v>
      </c>
      <c r="Y383" s="53"/>
      <c r="Z383" s="182">
        <f>IFERROR(__xludf.DUMMYFUNCTION("QUERY('Volunteer Survey'!A382)"),43838.591925925924)</f>
        <v>43838.59193</v>
      </c>
      <c r="AA383" s="183" t="str">
        <f>IFERROR(__xludf.DUMMYFUNCTION("QUERY('Volunteer Survey'!B382)"),"Kendrah Kidd")</f>
        <v>Kendrah Kidd</v>
      </c>
      <c r="AB383" s="183" t="str">
        <f>IFERROR(__xludf.DUMMYFUNCTION("QUERY('Volunteer Survey'!C382)"),"Wake Forest School of Medicine")</f>
        <v>Wake Forest School of Medicine</v>
      </c>
      <c r="AC383" s="183" t="str">
        <f>IFERROR(__xludf.DUMMYFUNCTION("QUERY('Volunteer Survey'!D382)"),"Internal Medicine - Section on Nephrology
Gray G120 Nephrology Research
Medical Center Blvd
Winston-Salem, NC 27157")</f>
        <v>Internal Medicine - Section on Nephrology
Gray G120 Nephrology Research
Medical Center Blvd
Winston-Salem, NC 27157</v>
      </c>
      <c r="AD383" s="183" t="str">
        <f>IFERROR(__xludf.DUMMYFUNCTION("QUERY('Volunteer Survey'!E382)"),"kkidd@wakehealth.edu")</f>
        <v>kkidd@wakehealth.edu</v>
      </c>
      <c r="AE383" s="183" t="str">
        <f>IFERROR(__xludf.DUMMYFUNCTION("QUERY('Volunteer Survey'!F382)"),"Scientific Researcher")</f>
        <v>Scientific Researcher</v>
      </c>
      <c r="AF383" s="183" t="str">
        <f>IFERROR(__xludf.DUMMYFUNCTION("QUERY('Volunteer Survey'!G382)"),"McKusick Genetics Course, Jackson Laboratory 2019")</f>
        <v>McKusick Genetics Course, Jackson Laboratory 2019</v>
      </c>
      <c r="AG383" s="183" t="str">
        <f>IFERROR(__xludf.DUMMYFUNCTION("QUERY('Volunteer Survey'!H382)"),"Comprehensive")</f>
        <v>Comprehensive</v>
      </c>
      <c r="AH383" s="183" t="str">
        <f>IFERROR(__xludf.DUMMYFUNCTION("QUERY('Volunteer Survey'!I382)"),"Variant Pathogenicity")</f>
        <v>Variant Pathogenicity</v>
      </c>
      <c r="AI383" s="183" t="str">
        <f>IFERROR(__xludf.DUMMYFUNCTION("QUERY('Volunteer Survey'!J382)"),"Gene-Disease Validity")</f>
        <v>Gene-Disease Validity</v>
      </c>
      <c r="AJ383" s="183" t="str">
        <f>IFERROR(__xludf.DUMMYFUNCTION("QUERY('Volunteer Survey'!K382)"),"")</f>
        <v/>
      </c>
      <c r="AK383" s="183" t="str">
        <f>IFERROR(__xludf.DUMMYFUNCTION("QUERY('Volunteer Survey'!L382)"),"")</f>
        <v/>
      </c>
      <c r="AL383" s="183" t="str">
        <f>IFERROR(__xludf.DUMMYFUNCTION("QUERY('Volunteer Survey'!M382)"),"")</f>
        <v/>
      </c>
      <c r="AM383" s="183" t="str">
        <f>IFERROR(__xludf.DUMMYFUNCTION("QUERY('Volunteer Survey'!N382)"),"Yes, I manage our Autosomal Dominant Tubulointerstitial Kidney Disease  pathogenic variant registry and have a database of variants found in families that have segregation and clinical data, as well as any literature associated with the variant.  ")</f>
        <v>Yes, I manage our Autosomal Dominant Tubulointerstitial Kidney Disease  pathogenic variant registry and have a database of variants found in families that have segregation and clinical data, as well as any literature associated with the variant.  </v>
      </c>
      <c r="AN383" s="183" t="str">
        <f>IFERROR(__xludf.DUMMYFUNCTION("QUERY('Volunteer Survey'!O382)"),"Possibly")</f>
        <v>Possibly</v>
      </c>
      <c r="AO383" s="183" t="str">
        <f>IFERROR(__xludf.DUMMYFUNCTION("QUERY('Volunteer Survey'!P382)"),"I would be interested in forming one for inherited kidney diseases ")</f>
        <v>I would be interested in forming one for inherited kidney diseases </v>
      </c>
    </row>
    <row r="384">
      <c r="A384" s="50">
        <f>IFERROR(__xludf.DUMMYFUNCTION("QUERY('Volunteer Survey'!A393)"),43851.816404606485)</f>
        <v>43851.8164</v>
      </c>
      <c r="B384" s="48" t="s">
        <v>322</v>
      </c>
      <c r="C384" s="53"/>
      <c r="D384" s="55"/>
      <c r="E384" s="55"/>
      <c r="F384" s="48" t="s">
        <v>130</v>
      </c>
      <c r="G384" s="48" t="s">
        <v>313</v>
      </c>
      <c r="H384" s="53"/>
      <c r="I384" s="53"/>
      <c r="J384" s="55"/>
      <c r="K384" s="55"/>
      <c r="L384" s="55" t="str">
        <f>IFERROR(__xludf.DUMMYFUNCTION("QUERY('Volunteer Survey'!B393)"),"Emily Hansen-Kiss")</f>
        <v>Emily Hansen-Kiss</v>
      </c>
      <c r="M384" s="55" t="str">
        <f>IFERROR(__xludf.DUMMYFUNCTION("QUERY('Volunteer Survey'!E393)"),"Emily.HansenKiss@uth.tmc.edu")</f>
        <v>Emily.HansenKiss@uth.tmc.edu</v>
      </c>
      <c r="N384" s="55" t="str">
        <f>IFERROR(__xludf.DUMMYFUNCTION("QUERY('Volunteer Survey'!F393)"),"Genetic counselor")</f>
        <v>Genetic counselor</v>
      </c>
      <c r="O384" s="48" t="str">
        <f>IFERROR(__xludf.DUMMYFUNCTION("QUERY('Volunteer Survey'!H393)"),"Comprehensive")</f>
        <v>Comprehensive</v>
      </c>
      <c r="P384" s="55" t="str">
        <f>IFERROR(__xludf.DUMMYFUNCTION("QUERY('Volunteer Survey'!I393)"),"Variant Pathogenicity")</f>
        <v>Variant Pathogenicity</v>
      </c>
      <c r="Q384" s="60" t="str">
        <f>IFERROR(__xludf.DUMMYFUNCTION("QUERY('Volunteer Survey'!J393)"),"Clinical Actionability")</f>
        <v>Clinical Actionability</v>
      </c>
      <c r="R384" s="55" t="str">
        <f>IFERROR(__xludf.DUMMYFUNCTION("QUERY('Volunteer Survey'!K393)"),"Gene-Disease Validity")</f>
        <v>Gene-Disease Validity</v>
      </c>
      <c r="S384" s="55" t="str">
        <f>IFERROR(__xludf.DUMMYFUNCTION("QUERY('Volunteer Survey'!L393)"),"Dosage Sensitivity")</f>
        <v>Dosage Sensitivity</v>
      </c>
      <c r="T384" s="55" t="str">
        <f>IFERROR(__xludf.DUMMYFUNCTION("QUERY('Volunteer Survey'!M393)"),"")</f>
        <v/>
      </c>
      <c r="U384" s="64" t="str">
        <f>IFERROR(__xludf.DUMMYFUNCTION("QUERY('Volunteer Survey'!N393)"),"No official training or experience, but clinical experience working with patients with mutations within the PTEN gene and identifying when phenotype is a good match for genotype.")</f>
        <v>No official training or experience, but clinical experience working with patients with mutations within the PTEN gene and identifying when phenotype is a good match for genotype.</v>
      </c>
      <c r="V384" s="55" t="str">
        <f>IFERROR(__xludf.DUMMYFUNCTION("QUERY('Volunteer Survey'!O393)"),"Possibly")</f>
        <v>Possibly</v>
      </c>
      <c r="W384" s="66" t="str">
        <f>IFERROR(__xludf.DUMMYFUNCTION("QUERY('Volunteer Survey'!P393)"),"PTEN")</f>
        <v>PTEN</v>
      </c>
      <c r="X384" s="64" t="str">
        <f>IFERROR(__xludf.DUMMYFUNCTION("QUERY('Volunteer Survey'!R393)"),"No - I am only interested in the group(s) I previously indicated")</f>
        <v>No - I am only interested in the group(s) I previously indicated</v>
      </c>
      <c r="Y384" s="53"/>
      <c r="Z384" s="182">
        <f>IFERROR(__xludf.DUMMYFUNCTION("QUERY('Volunteer Survey'!A383)"),43840.35674295139)</f>
        <v>43840.35674</v>
      </c>
      <c r="AA384" s="183" t="str">
        <f>IFERROR(__xludf.DUMMYFUNCTION("QUERY('Volunteer Survey'!B383)"),"Joanne Adelberg")</f>
        <v>Joanne Adelberg</v>
      </c>
      <c r="AB384" s="183" t="str">
        <f>IFERROR(__xludf.DUMMYFUNCTION("QUERY('Volunteer Survey'!C383)"),"NIH/CC")</f>
        <v>NIH/CC</v>
      </c>
      <c r="AC384" s="183" t="str">
        <f>IFERROR(__xludf.DUMMYFUNCTION("QUERY('Volunteer Survey'!D383)"),"1805 Midlothian Court")</f>
        <v>1805 Midlothian Court</v>
      </c>
      <c r="AD384" s="183" t="str">
        <f>IFERROR(__xludf.DUMMYFUNCTION("QUERY('Volunteer Survey'!E383)"),"joanneadelberg@gmail.com")</f>
        <v>joanneadelberg@gmail.com</v>
      </c>
      <c r="AE384" s="183" t="str">
        <f>IFERROR(__xludf.DUMMYFUNCTION("QUERY('Volunteer Survey'!F383)"),"Scientific Researcher")</f>
        <v>Scientific Researcher</v>
      </c>
      <c r="AF384" s="183" t="str">
        <f>IFERROR(__xludf.DUMMYFUNCTION("QUERY('Volunteer Survey'!G383)"),"Colleagues")</f>
        <v>Colleagues</v>
      </c>
      <c r="AG384" s="183" t="str">
        <f>IFERROR(__xludf.DUMMYFUNCTION("QUERY('Volunteer Survey'!H383)"),"Comprehensive")</f>
        <v>Comprehensive</v>
      </c>
      <c r="AH384" s="183" t="str">
        <f>IFERROR(__xludf.DUMMYFUNCTION("QUERY('Volunteer Survey'!I383)"),"Gene-Disease Validity")</f>
        <v>Gene-Disease Validity</v>
      </c>
      <c r="AI384" s="183" t="str">
        <f>IFERROR(__xludf.DUMMYFUNCTION("QUERY('Volunteer Survey'!J383)"),"Clinical Actionability")</f>
        <v>Clinical Actionability</v>
      </c>
      <c r="AJ384" s="183" t="str">
        <f>IFERROR(__xludf.DUMMYFUNCTION("QUERY('Volunteer Survey'!K383)"),"Variant Pathogenicity")</f>
        <v>Variant Pathogenicity</v>
      </c>
      <c r="AK384" s="183" t="str">
        <f>IFERROR(__xludf.DUMMYFUNCTION("QUERY('Volunteer Survey'!L383)"),"Dosage Sensitivity")</f>
        <v>Dosage Sensitivity</v>
      </c>
      <c r="AL384" s="183" t="str">
        <f>IFERROR(__xludf.DUMMYFUNCTION("QUERY('Volunteer Survey'!M383)"),"Somatic Cancer")</f>
        <v>Somatic Cancer</v>
      </c>
      <c r="AM384" s="183" t="str">
        <f>IFERROR(__xludf.DUMMYFUNCTION("QUERY('Volunteer Survey'!N383)"),"")</f>
        <v/>
      </c>
      <c r="AN384" s="183" t="str">
        <f>IFERROR(__xludf.DUMMYFUNCTION("QUERY('Volunteer Survey'!O383)"),"Possibly")</f>
        <v>Possibly</v>
      </c>
      <c r="AO384" s="183" t="str">
        <f>IFERROR(__xludf.DUMMYFUNCTION("QUERY('Volunteer Survey'!P383)"),"Will work on groups with the most need-excited for the learning opportunity")</f>
        <v>Will work on groups with the most need-excited for the learning opportunity</v>
      </c>
    </row>
    <row r="385">
      <c r="A385" s="50">
        <f>IFERROR(__xludf.DUMMYFUNCTION("QUERY('Volunteer Survey'!A394)"),43852.431576759256)</f>
        <v>43852.43158</v>
      </c>
      <c r="B385" s="48" t="s">
        <v>322</v>
      </c>
      <c r="C385" s="53"/>
      <c r="D385" s="55"/>
      <c r="E385" s="55"/>
      <c r="F385" s="48" t="s">
        <v>130</v>
      </c>
      <c r="G385" s="48" t="s">
        <v>313</v>
      </c>
      <c r="H385" s="53"/>
      <c r="I385" s="53"/>
      <c r="J385" s="55"/>
      <c r="K385" s="55"/>
      <c r="L385" s="55" t="str">
        <f>IFERROR(__xludf.DUMMYFUNCTION("QUERY('Volunteer Survey'!B394)"),"Chitra Chandrasekaran")</f>
        <v>Chitra Chandrasekaran</v>
      </c>
      <c r="M385" s="55" t="str">
        <f>IFERROR(__xludf.DUMMYFUNCTION("QUERY('Volunteer Survey'!E394)"),"cchandrasekaran@txwes.edu")</f>
        <v>cchandrasekaran@txwes.edu</v>
      </c>
      <c r="N385" s="55" t="str">
        <f>IFERROR(__xludf.DUMMYFUNCTION("QUERY('Volunteer Survey'!F394)"),"Biology Professor")</f>
        <v>Biology Professor</v>
      </c>
      <c r="O385" s="48" t="str">
        <f>IFERROR(__xludf.DUMMYFUNCTION("QUERY('Volunteer Survey'!H394)"),"Comprehensive")</f>
        <v>Comprehensive</v>
      </c>
      <c r="P385" s="55" t="str">
        <f>IFERROR(__xludf.DUMMYFUNCTION("QUERY('Volunteer Survey'!I394)"),"Gene-Disease Validity")</f>
        <v>Gene-Disease Validity</v>
      </c>
      <c r="Q385" s="60" t="str">
        <f>IFERROR(__xludf.DUMMYFUNCTION("QUERY('Volunteer Survey'!J394)"),"Variant Pathogenicity")</f>
        <v>Variant Pathogenicity</v>
      </c>
      <c r="R385" s="55" t="str">
        <f>IFERROR(__xludf.DUMMYFUNCTION("QUERY('Volunteer Survey'!K394)"),"Somatic Cancer")</f>
        <v>Somatic Cancer</v>
      </c>
      <c r="S385" s="55" t="str">
        <f>IFERROR(__xludf.DUMMYFUNCTION("QUERY('Volunteer Survey'!L394)"),"Dosage Sensitivity")</f>
        <v>Dosage Sensitivity</v>
      </c>
      <c r="T385" s="55" t="str">
        <f>IFERROR(__xludf.DUMMYFUNCTION("QUERY('Volunteer Survey'!M394)"),"Clinical Actionability")</f>
        <v>Clinical Actionability</v>
      </c>
      <c r="U385" s="64" t="str">
        <f>IFERROR(__xludf.DUMMYFUNCTION("QUERY('Volunteer Survey'!N394)"),"I do not have any previous experience with the activities mentioned above.")</f>
        <v>I do not have any previous experience with the activities mentioned above.</v>
      </c>
      <c r="V385" s="55" t="str">
        <f>IFERROR(__xludf.DUMMYFUNCTION("QUERY('Volunteer Survey'!O394)"),"Possibly")</f>
        <v>Possibly</v>
      </c>
      <c r="W385" s="66" t="str">
        <f>IFERROR(__xludf.DUMMYFUNCTION("QUERY('Volunteer Survey'!P394)"),"")</f>
        <v/>
      </c>
      <c r="X385" s="64" t="str">
        <f>IFERROR(__xludf.DUMMYFUNCTION("QUERY('Volunteer Survey'!R394)"),"")</f>
        <v/>
      </c>
      <c r="Y385" s="53"/>
      <c r="Z385" s="182">
        <f>IFERROR(__xludf.DUMMYFUNCTION("QUERY('Volunteer Survey'!A384)"),43842.70257400463)</f>
        <v>43842.70257</v>
      </c>
      <c r="AA385" s="183" t="str">
        <f>IFERROR(__xludf.DUMMYFUNCTION("QUERY('Volunteer Survey'!B384)"),"Erika Meaddough")</f>
        <v>Erika Meaddough</v>
      </c>
      <c r="AB385" s="183" t="str">
        <f>IFERROR(__xludf.DUMMYFUNCTION("QUERY('Volunteer Survey'!C384)"),"Clemson University")</f>
        <v>Clemson University</v>
      </c>
      <c r="AC385" s="183" t="str">
        <f>IFERROR(__xludf.DUMMYFUNCTION("QUERY('Volunteer Survey'!D384)"),"")</f>
        <v/>
      </c>
      <c r="AD385" s="183" t="str">
        <f>IFERROR(__xludf.DUMMYFUNCTION("QUERY('Volunteer Survey'!E384)"),"meaddough@yahoo.com")</f>
        <v>meaddough@yahoo.com</v>
      </c>
      <c r="AE385" s="183" t="str">
        <f>IFERROR(__xludf.DUMMYFUNCTION("QUERY('Volunteer Survey'!F384)"),"Graduate Student")</f>
        <v>Graduate Student</v>
      </c>
      <c r="AF385" s="183" t="str">
        <f>IFERROR(__xludf.DUMMYFUNCTION("QUERY('Volunteer Survey'!G384)"),"Youtube")</f>
        <v>Youtube</v>
      </c>
      <c r="AG385" s="183" t="str">
        <f>IFERROR(__xludf.DUMMYFUNCTION("QUERY('Volunteer Survey'!H384)"),"Baseline")</f>
        <v>Baseline</v>
      </c>
      <c r="AH385" s="183" t="str">
        <f>IFERROR(__xludf.DUMMYFUNCTION("QUERY('Volunteer Survey'!I384)"),"")</f>
        <v/>
      </c>
      <c r="AI385" s="183" t="str">
        <f>IFERROR(__xludf.DUMMYFUNCTION("QUERY('Volunteer Survey'!J384)"),"")</f>
        <v/>
      </c>
      <c r="AJ385" s="183" t="str">
        <f>IFERROR(__xludf.DUMMYFUNCTION("QUERY('Volunteer Survey'!K384)"),"")</f>
        <v/>
      </c>
      <c r="AK385" s="183" t="str">
        <f>IFERROR(__xludf.DUMMYFUNCTION("QUERY('Volunteer Survey'!L384)"),"")</f>
        <v/>
      </c>
      <c r="AL385" s="183" t="str">
        <f>IFERROR(__xludf.DUMMYFUNCTION("QUERY('Volunteer Survey'!M384)"),"")</f>
        <v/>
      </c>
      <c r="AM385" s="183" t="str">
        <f>IFERROR(__xludf.DUMMYFUNCTION("QUERY('Volunteer Survey'!N384)"),"")</f>
        <v/>
      </c>
      <c r="AN385" s="183" t="str">
        <f>IFERROR(__xludf.DUMMYFUNCTION("QUERY('Volunteer Survey'!O384)"),"Possibly")</f>
        <v>Possibly</v>
      </c>
      <c r="AO385" s="183" t="str">
        <f>IFERROR(__xludf.DUMMYFUNCTION("QUERY('Volunteer Survey'!P384)"),"Dosage Sensitivity Working Group")</f>
        <v>Dosage Sensitivity Working Group</v>
      </c>
    </row>
    <row r="386">
      <c r="A386" s="50">
        <f>IFERROR(__xludf.DUMMYFUNCTION("QUERY('Volunteer Survey'!A395)"),43852.752405405095)</f>
        <v>43852.75241</v>
      </c>
      <c r="B386" s="48" t="s">
        <v>322</v>
      </c>
      <c r="C386" s="53"/>
      <c r="D386" s="55"/>
      <c r="E386" s="55"/>
      <c r="F386" s="48" t="s">
        <v>130</v>
      </c>
      <c r="G386" s="48" t="s">
        <v>313</v>
      </c>
      <c r="H386" s="53"/>
      <c r="I386" s="53"/>
      <c r="J386" s="55"/>
      <c r="K386" s="55"/>
      <c r="L386" s="55" t="str">
        <f>IFERROR(__xludf.DUMMYFUNCTION("QUERY('Volunteer Survey'!B395)"),"Silke Waap")</f>
        <v>Silke Waap</v>
      </c>
      <c r="M386" s="55" t="str">
        <f>IFERROR(__xludf.DUMMYFUNCTION("QUERY('Volunteer Survey'!E395)"),"silkewaap@gmail.com")</f>
        <v>silkewaap@gmail.com</v>
      </c>
      <c r="N386" s="55" t="str">
        <f>IFERROR(__xludf.DUMMYFUNCTION("QUERY('Volunteer Survey'!F395)"),"Scientific Researcher")</f>
        <v>Scientific Researcher</v>
      </c>
      <c r="O386" s="48" t="str">
        <f>IFERROR(__xludf.DUMMYFUNCTION("QUERY('Volunteer Survey'!H395)"),"Comprehensive")</f>
        <v>Comprehensive</v>
      </c>
      <c r="P386" s="55" t="str">
        <f>IFERROR(__xludf.DUMMYFUNCTION("QUERY('Volunteer Survey'!I395)"),"Gene-Disease Validity")</f>
        <v>Gene-Disease Validity</v>
      </c>
      <c r="Q386" s="60" t="str">
        <f>IFERROR(__xludf.DUMMYFUNCTION("QUERY('Volunteer Survey'!J395)"),"Variant Pathogenicity")</f>
        <v>Variant Pathogenicity</v>
      </c>
      <c r="R386" s="55" t="str">
        <f>IFERROR(__xludf.DUMMYFUNCTION("QUERY('Volunteer Survey'!K395)"),"")</f>
        <v/>
      </c>
      <c r="S386" s="55" t="str">
        <f>IFERROR(__xludf.DUMMYFUNCTION("QUERY('Volunteer Survey'!L395)"),"")</f>
        <v/>
      </c>
      <c r="T386" s="55" t="str">
        <f>IFERROR(__xludf.DUMMYFUNCTION("QUERY('Volunteer Survey'!M395)"),"")</f>
        <v/>
      </c>
      <c r="U386" s="64" t="str">
        <f>IFERROR(__xludf.DUMMYFUNCTION("QUERY('Volunteer Survey'!N395)"),"My scientific research expertise has been on evolutionary processes, involving gene variation (SNPs) and laboratory next generation sequencing techniques and bioinformatic analyses of genetic barcodes. ")</f>
        <v>My scientific research expertise has been on evolutionary processes, involving gene variation (SNPs) and laboratory next generation sequencing techniques and bioinformatic analyses of genetic barcodes. </v>
      </c>
      <c r="V386" s="55" t="str">
        <f>IFERROR(__xludf.DUMMYFUNCTION("QUERY('Volunteer Survey'!O395)"),"Yes")</f>
        <v>Yes</v>
      </c>
      <c r="W386" s="66" t="str">
        <f>IFERROR(__xludf.DUMMYFUNCTION("QUERY('Volunteer Survey'!P395)"),"")</f>
        <v/>
      </c>
      <c r="X386" s="64" t="str">
        <f>IFERROR(__xludf.DUMMYFUNCTION("QUERY('Volunteer Survey'!R395)"),"Yes- I am willing to volunteer with any available ClinGen group")</f>
        <v>Yes- I am willing to volunteer with any available ClinGen group</v>
      </c>
      <c r="Y386" s="53"/>
      <c r="Z386" s="182">
        <f>IFERROR(__xludf.DUMMYFUNCTION("QUERY('Volunteer Survey'!A385)"),43846.63864890046)</f>
        <v>43846.63865</v>
      </c>
      <c r="AA386" s="183" t="str">
        <f>IFERROR(__xludf.DUMMYFUNCTION("QUERY('Volunteer Survey'!B385)"),"Vijay Ganesh")</f>
        <v>Vijay Ganesh</v>
      </c>
      <c r="AB386" s="183" t="str">
        <f>IFERROR(__xludf.DUMMYFUNCTION("QUERY('Volunteer Survey'!C385)"),"Broad Institute; Brigham and Women's Hospital")</f>
        <v>Broad Institute; Brigham and Women's Hospital</v>
      </c>
      <c r="AC386" s="183" t="str">
        <f>IFERROR(__xludf.DUMMYFUNCTION("QUERY('Volunteer Survey'!D385)"),"60 Fenwood Road, Boston, MA 02115")</f>
        <v>60 Fenwood Road, Boston, MA 02115</v>
      </c>
      <c r="AD386" s="183" t="str">
        <f>IFERROR(__xludf.DUMMYFUNCTION("QUERY('Volunteer Survey'!E385)"),"vganesh@bwh.harvard.edu")</f>
        <v>vganesh@bwh.harvard.edu</v>
      </c>
      <c r="AE386" s="183" t="str">
        <f>IFERROR(__xludf.DUMMYFUNCTION("QUERY('Volunteer Survey'!F385)"),"Post Doc/Resident/Fellow (MD and/or PhD)")</f>
        <v>Post Doc/Resident/Fellow (MD and/or PhD)</v>
      </c>
      <c r="AF386" s="183" t="str">
        <f>IFERROR(__xludf.DUMMYFUNCTION("QUERY('Volunteer Survey'!G385)"),"Colleagues, Suggestion from mentor")</f>
        <v>Colleagues, Suggestion from mentor</v>
      </c>
      <c r="AG386" s="183" t="str">
        <f>IFERROR(__xludf.DUMMYFUNCTION("QUERY('Volunteer Survey'!H385)"),"Baseline")</f>
        <v>Baseline</v>
      </c>
      <c r="AH386" s="183" t="str">
        <f>IFERROR(__xludf.DUMMYFUNCTION("QUERY('Volunteer Survey'!I385)"),"Gene-Disease Validity")</f>
        <v>Gene-Disease Validity</v>
      </c>
      <c r="AI386" s="183" t="str">
        <f>IFERROR(__xludf.DUMMYFUNCTION("QUERY('Volunteer Survey'!J385)"),"Variant Pathogenicity")</f>
        <v>Variant Pathogenicity</v>
      </c>
      <c r="AJ386" s="183" t="str">
        <f>IFERROR(__xludf.DUMMYFUNCTION("QUERY('Volunteer Survey'!K385)"),"Clinical Actionability")</f>
        <v>Clinical Actionability</v>
      </c>
      <c r="AK386" s="183" t="str">
        <f>IFERROR(__xludf.DUMMYFUNCTION("QUERY('Volunteer Survey'!L385)"),"Dosage Sensitivity")</f>
        <v>Dosage Sensitivity</v>
      </c>
      <c r="AL386" s="183" t="str">
        <f>IFERROR(__xludf.DUMMYFUNCTION("QUERY('Volunteer Survey'!M385)"),"Somatic Cancer")</f>
        <v>Somatic Cancer</v>
      </c>
      <c r="AM386" s="183" t="str">
        <f>IFERROR(__xludf.DUMMYFUNCTION("QUERY('Volunteer Survey'!N385)"),"None")</f>
        <v>None</v>
      </c>
      <c r="AN386" s="183" t="str">
        <f>IFERROR(__xludf.DUMMYFUNCTION("QUERY('Volunteer Survey'!O385)"),"Yes")</f>
        <v>Yes</v>
      </c>
      <c r="AO386" s="183" t="str">
        <f>IFERROR(__xludf.DUMMYFUNCTION("QUERY('Volunteer Survey'!P385)"),"Limb Girdle Muscular Dystrophy; Congenital Myopathies; Charcot-Marie Tooth")</f>
        <v>Limb Girdle Muscular Dystrophy; Congenital Myopathies; Charcot-Marie Tooth</v>
      </c>
    </row>
    <row r="387">
      <c r="A387" s="55" t="str">
        <f>IFERROR(__xludf.DUMMYFUNCTION("QUERY('Volunteer Survey'!A405)"),"")</f>
        <v/>
      </c>
      <c r="B387" s="48" t="s">
        <v>322</v>
      </c>
      <c r="C387" s="53"/>
      <c r="D387" s="55"/>
      <c r="E387" s="55"/>
      <c r="F387" s="55" t="b">
        <v>0</v>
      </c>
      <c r="G387" s="48" t="s">
        <v>313</v>
      </c>
      <c r="H387" s="53"/>
      <c r="I387" s="53"/>
      <c r="J387" s="55"/>
      <c r="K387" s="55"/>
      <c r="L387" s="55" t="str">
        <f>IFERROR(__xludf.DUMMYFUNCTION("QUERY('Volunteer Survey'!B405)"),"")</f>
        <v/>
      </c>
      <c r="M387" s="55" t="str">
        <f>IFERROR(__xludf.DUMMYFUNCTION("QUERY('Volunteer Survey'!E405)"),"")</f>
        <v/>
      </c>
      <c r="N387" s="55" t="str">
        <f>IFERROR(__xludf.DUMMYFUNCTION("QUERY('Volunteer Survey'!F405)"),"")</f>
        <v/>
      </c>
      <c r="O387" s="48" t="str">
        <f>IFERROR(__xludf.DUMMYFUNCTION("QUERY('Volunteer Survey'!H405)"),"")</f>
        <v/>
      </c>
      <c r="P387" s="55" t="str">
        <f>IFERROR(__xludf.DUMMYFUNCTION("QUERY('Volunteer Survey'!I413)"),"")</f>
        <v/>
      </c>
      <c r="Q387" s="60" t="str">
        <f>IFERROR(__xludf.DUMMYFUNCTION("QUERY('Volunteer Survey'!J405)"),"")</f>
        <v/>
      </c>
      <c r="R387" s="55" t="str">
        <f>IFERROR(__xludf.DUMMYFUNCTION("QUERY('Volunteer Survey'!K405)"),"")</f>
        <v/>
      </c>
      <c r="S387" s="55" t="str">
        <f>IFERROR(__xludf.DUMMYFUNCTION("QUERY('Volunteer Survey'!L405)"),"")</f>
        <v/>
      </c>
      <c r="T387" s="55" t="str">
        <f>IFERROR(__xludf.DUMMYFUNCTION("QUERY('Volunteer Survey'!M405)"),"")</f>
        <v/>
      </c>
      <c r="U387" s="64" t="str">
        <f>IFERROR(__xludf.DUMMYFUNCTION("QUERY('Volunteer Survey'!N405)"),"")</f>
        <v/>
      </c>
      <c r="V387" s="55" t="str">
        <f>IFERROR(__xludf.DUMMYFUNCTION("QUERY('Volunteer Survey'!O405)"),"")</f>
        <v/>
      </c>
      <c r="W387" s="66" t="str">
        <f>IFERROR(__xludf.DUMMYFUNCTION("QUERY('Volunteer Survey'!P405)"),"")</f>
        <v/>
      </c>
      <c r="X387" s="64" t="str">
        <f>IFERROR(__xludf.DUMMYFUNCTION("QUERY('Volunteer Survey'!R405)"),"")</f>
        <v/>
      </c>
      <c r="Y387" s="53"/>
      <c r="Z387" s="182">
        <f>IFERROR(__xludf.DUMMYFUNCTION("QUERY('Volunteer Survey'!A386)"),43846.63989085648)</f>
        <v>43846.63989</v>
      </c>
      <c r="AA387" s="183" t="str">
        <f>IFERROR(__xludf.DUMMYFUNCTION("QUERY('Volunteer Survey'!B386)"),"Julie Hathaway")</f>
        <v>Julie Hathaway</v>
      </c>
      <c r="AB387" s="183" t="str">
        <f>IFERROR(__xludf.DUMMYFUNCTION("QUERY('Volunteer Survey'!C386)"),"Blueprint Genetics ")</f>
        <v>Blueprint Genetics </v>
      </c>
      <c r="AC387" s="183" t="str">
        <f>IFERROR(__xludf.DUMMYFUNCTION("QUERY('Volunteer Survey'!D386)"),"2505 3rd Ave, Suite 204
Seattle WA 98121
")</f>
        <v>2505 3rd Ave, Suite 204
Seattle WA 98121
</v>
      </c>
      <c r="AD387" s="183" t="str">
        <f>IFERROR(__xludf.DUMMYFUNCTION("QUERY('Volunteer Survey'!E386)"),"julie.hathaway@blueprintgenetics.com")</f>
        <v>julie.hathaway@blueprintgenetics.com</v>
      </c>
      <c r="AE387" s="183" t="str">
        <f>IFERROR(__xludf.DUMMYFUNCTION("QUERY('Volunteer Survey'!F386)"),"Genetic counselor")</f>
        <v>Genetic counselor</v>
      </c>
      <c r="AF387" s="183" t="str">
        <f>IFERROR(__xludf.DUMMYFUNCTION("QUERY('Volunteer Survey'!G386)"),"ACMG Conference 2019")</f>
        <v>ACMG Conference 2019</v>
      </c>
      <c r="AG387" s="183" t="str">
        <f>IFERROR(__xludf.DUMMYFUNCTION("QUERY('Volunteer Survey'!H386)"),"Comprehensive")</f>
        <v>Comprehensive</v>
      </c>
      <c r="AH387" s="183" t="str">
        <f>IFERROR(__xludf.DUMMYFUNCTION("QUERY('Volunteer Survey'!I386)"),"Gene-Disease Validity")</f>
        <v>Gene-Disease Validity</v>
      </c>
      <c r="AI387" s="183" t="str">
        <f>IFERROR(__xludf.DUMMYFUNCTION("QUERY('Volunteer Survey'!J386)"),"Variant Pathogenicity")</f>
        <v>Variant Pathogenicity</v>
      </c>
      <c r="AJ387" s="183" t="str">
        <f>IFERROR(__xludf.DUMMYFUNCTION("QUERY('Volunteer Survey'!K386)"),"Clinical Actionability")</f>
        <v>Clinical Actionability</v>
      </c>
      <c r="AK387" s="183" t="str">
        <f>IFERROR(__xludf.DUMMYFUNCTION("QUERY('Volunteer Survey'!L386)"),"Dosage Sensitivity")</f>
        <v>Dosage Sensitivity</v>
      </c>
      <c r="AL387" s="183" t="str">
        <f>IFERROR(__xludf.DUMMYFUNCTION("QUERY('Volunteer Survey'!M386)"),"Somatic Cancer")</f>
        <v>Somatic Cancer</v>
      </c>
      <c r="AM387" s="183" t="str">
        <f>IFERROR(__xludf.DUMMYFUNCTION("QUERY('Volunteer Survey'!N386)"),"")</f>
        <v/>
      </c>
      <c r="AN387" s="183" t="str">
        <f>IFERROR(__xludf.DUMMYFUNCTION("QUERY('Volunteer Survey'!O386)"),"No")</f>
        <v>No</v>
      </c>
      <c r="AO387" s="183" t="str">
        <f>IFERROR(__xludf.DUMMYFUNCTION("QUERY('Volunteer Survey'!P386)"),"Cardiomyopathy")</f>
        <v>Cardiomyopathy</v>
      </c>
    </row>
    <row r="388">
      <c r="A388" s="55" t="str">
        <f>IFERROR(__xludf.DUMMYFUNCTION("QUERY('Volunteer Survey'!A406)"),"")</f>
        <v/>
      </c>
      <c r="B388" s="48" t="s">
        <v>322</v>
      </c>
      <c r="C388" s="53"/>
      <c r="D388" s="55"/>
      <c r="E388" s="55"/>
      <c r="F388" s="55" t="b">
        <v>0</v>
      </c>
      <c r="G388" s="48" t="s">
        <v>313</v>
      </c>
      <c r="H388" s="53"/>
      <c r="I388" s="53"/>
      <c r="J388" s="55"/>
      <c r="K388" s="55"/>
      <c r="L388" s="55" t="str">
        <f>IFERROR(__xludf.DUMMYFUNCTION("QUERY('Volunteer Survey'!B414)"),"")</f>
        <v/>
      </c>
      <c r="M388" s="55" t="str">
        <f>IFERROR(__xludf.DUMMYFUNCTION("QUERY('Volunteer Survey'!E414)"),"")</f>
        <v/>
      </c>
      <c r="N388" s="55" t="str">
        <f>IFERROR(__xludf.DUMMYFUNCTION("QUERY('Volunteer Survey'!F406)"),"")</f>
        <v/>
      </c>
      <c r="O388" s="48" t="str">
        <f>IFERROR(__xludf.DUMMYFUNCTION("QUERY('Volunteer Survey'!H406)"),"")</f>
        <v/>
      </c>
      <c r="P388" s="55" t="str">
        <f>IFERROR(__xludf.DUMMYFUNCTION("QUERY('Volunteer Survey'!I414)"),"")</f>
        <v/>
      </c>
      <c r="Q388" s="60" t="str">
        <f>IFERROR(__xludf.DUMMYFUNCTION("QUERY('Volunteer Survey'!J414)"),"")</f>
        <v/>
      </c>
      <c r="R388" s="55" t="str">
        <f>IFERROR(__xludf.DUMMYFUNCTION("QUERY('Volunteer Survey'!K406)"),"")</f>
        <v/>
      </c>
      <c r="S388" s="55" t="str">
        <f>IFERROR(__xludf.DUMMYFUNCTION("QUERY('Volunteer Survey'!L406)"),"")</f>
        <v/>
      </c>
      <c r="T388" s="55" t="str">
        <f>IFERROR(__xludf.DUMMYFUNCTION("QUERY('Volunteer Survey'!M406)"),"")</f>
        <v/>
      </c>
      <c r="U388" s="64" t="str">
        <f>IFERROR(__xludf.DUMMYFUNCTION("QUERY('Volunteer Survey'!N406)"),"")</f>
        <v/>
      </c>
      <c r="V388" s="55" t="str">
        <f>IFERROR(__xludf.DUMMYFUNCTION("QUERY('Volunteer Survey'!O406)"),"")</f>
        <v/>
      </c>
      <c r="W388" s="66" t="str">
        <f>IFERROR(__xludf.DUMMYFUNCTION("QUERY('Volunteer Survey'!P406)"),"")</f>
        <v/>
      </c>
      <c r="X388" s="64" t="str">
        <f>IFERROR(__xludf.DUMMYFUNCTION("QUERY('Volunteer Survey'!R414)"),"")</f>
        <v/>
      </c>
      <c r="Y388" s="53"/>
      <c r="Z388" s="182">
        <f>IFERROR(__xludf.DUMMYFUNCTION("QUERY('Volunteer Survey'!A387)"),43846.65032980324)</f>
        <v>43846.65033</v>
      </c>
      <c r="AA388" s="183" t="str">
        <f>IFERROR(__xludf.DUMMYFUNCTION("QUERY('Volunteer Survey'!B387)"),"Devon Thrush")</f>
        <v>Devon Thrush</v>
      </c>
      <c r="AB388" s="183" t="str">
        <f>IFERROR(__xludf.DUMMYFUNCTION("QUERY('Volunteer Survey'!C387)"),"Ambry")</f>
        <v>Ambry</v>
      </c>
      <c r="AC388" s="183" t="str">
        <f>IFERROR(__xludf.DUMMYFUNCTION("QUERY('Volunteer Survey'!D387)"),"1416 Florence Ave")</f>
        <v>1416 Florence Ave</v>
      </c>
      <c r="AD388" s="183" t="str">
        <f>IFERROR(__xludf.DUMMYFUNCTION("QUERY('Volunteer Survey'!E387)"),"dthrush@ambrygen.com")</f>
        <v>dthrush@ambrygen.com</v>
      </c>
      <c r="AE388" s="183" t="str">
        <f>IFERROR(__xludf.DUMMYFUNCTION("QUERY('Volunteer Survey'!F387)"),"Genetic counselor")</f>
        <v>Genetic counselor</v>
      </c>
      <c r="AF388" s="183" t="str">
        <f>IFERROR(__xludf.DUMMYFUNCTION("QUERY('Volunteer Survey'!G387)"),"Colleagues, ClinGen affiliated emails and/or newsletters, The clinicalgenome.org website")</f>
        <v>Colleagues, ClinGen affiliated emails and/or newsletters, The clinicalgenome.org website</v>
      </c>
      <c r="AG388" s="183" t="str">
        <f>IFERROR(__xludf.DUMMYFUNCTION("QUERY('Volunteer Survey'!H387)"),"Comprehensive")</f>
        <v>Comprehensive</v>
      </c>
      <c r="AH388" s="183" t="str">
        <f>IFERROR(__xludf.DUMMYFUNCTION("QUERY('Volunteer Survey'!I387)"),"Gene-Disease Validity")</f>
        <v>Gene-Disease Validity</v>
      </c>
      <c r="AI388" s="183" t="str">
        <f>IFERROR(__xludf.DUMMYFUNCTION("QUERY('Volunteer Survey'!J387)"),"Variant Pathogenicity")</f>
        <v>Variant Pathogenicity</v>
      </c>
      <c r="AJ388" s="183" t="str">
        <f>IFERROR(__xludf.DUMMYFUNCTION("QUERY('Volunteer Survey'!K387)"),"Somatic Cancer")</f>
        <v>Somatic Cancer</v>
      </c>
      <c r="AK388" s="183" t="str">
        <f>IFERROR(__xludf.DUMMYFUNCTION("QUERY('Volunteer Survey'!L387)"),"Clinical Actionability")</f>
        <v>Clinical Actionability</v>
      </c>
      <c r="AL388" s="183" t="str">
        <f>IFERROR(__xludf.DUMMYFUNCTION("QUERY('Volunteer Survey'!M387)"),"Dosage Sensitivity")</f>
        <v>Dosage Sensitivity</v>
      </c>
      <c r="AM388" s="183" t="str">
        <f>IFERROR(__xludf.DUMMYFUNCTION("QUERY('Volunteer Survey'!N387)"),"I currently perform this type of work in my job. ")</f>
        <v>I currently perform this type of work in my job. </v>
      </c>
      <c r="AN388" s="183" t="str">
        <f>IFERROR(__xludf.DUMMYFUNCTION("QUERY('Volunteer Survey'!O387)"),"No")</f>
        <v>No</v>
      </c>
      <c r="AO388" s="183" t="str">
        <f>IFERROR(__xludf.DUMMYFUNCTION("QUERY('Volunteer Survey'!P387)"),"")</f>
        <v/>
      </c>
    </row>
    <row r="389">
      <c r="A389" s="55" t="str">
        <f>IFERROR(__xludf.DUMMYFUNCTION("QUERY('Volunteer Survey'!A407)"),"")</f>
        <v/>
      </c>
      <c r="B389" s="48" t="s">
        <v>322</v>
      </c>
      <c r="C389" s="53"/>
      <c r="D389" s="55"/>
      <c r="E389" s="55"/>
      <c r="F389" s="55" t="b">
        <v>0</v>
      </c>
      <c r="G389" s="48" t="s">
        <v>313</v>
      </c>
      <c r="H389" s="53"/>
      <c r="I389" s="53"/>
      <c r="J389" s="55"/>
      <c r="K389" s="55"/>
      <c r="L389" s="55" t="str">
        <f>IFERROR(__xludf.DUMMYFUNCTION("QUERY('Volunteer Survey'!B415)"),"")</f>
        <v/>
      </c>
      <c r="M389" s="55" t="str">
        <f>IFERROR(__xludf.DUMMYFUNCTION("QUERY('Volunteer Survey'!E415)"),"")</f>
        <v/>
      </c>
      <c r="N389" s="55" t="str">
        <f>IFERROR(__xludf.DUMMYFUNCTION("QUERY('Volunteer Survey'!F415)"),"")</f>
        <v/>
      </c>
      <c r="O389" s="48" t="str">
        <f>IFERROR(__xludf.DUMMYFUNCTION("QUERY('Volunteer Survey'!H407)"),"")</f>
        <v/>
      </c>
      <c r="P389" s="55" t="str">
        <f>IFERROR(__xludf.DUMMYFUNCTION("QUERY('Volunteer Survey'!I415)"),"")</f>
        <v/>
      </c>
      <c r="Q389" s="60" t="str">
        <f>IFERROR(__xludf.DUMMYFUNCTION("QUERY('Volunteer Survey'!J415)"),"")</f>
        <v/>
      </c>
      <c r="R389" s="55" t="str">
        <f>IFERROR(__xludf.DUMMYFUNCTION("QUERY('Volunteer Survey'!K415)"),"")</f>
        <v/>
      </c>
      <c r="S389" s="55" t="str">
        <f>IFERROR(__xludf.DUMMYFUNCTION("QUERY('Volunteer Survey'!L407)"),"")</f>
        <v/>
      </c>
      <c r="T389" s="55" t="str">
        <f>IFERROR(__xludf.DUMMYFUNCTION("QUERY('Volunteer Survey'!M407)"),"")</f>
        <v/>
      </c>
      <c r="U389" s="64" t="str">
        <f>IFERROR(__xludf.DUMMYFUNCTION("QUERY('Volunteer Survey'!N407)"),"")</f>
        <v/>
      </c>
      <c r="V389" s="55" t="str">
        <f>IFERROR(__xludf.DUMMYFUNCTION("QUERY('Volunteer Survey'!O415)"),"")</f>
        <v/>
      </c>
      <c r="W389" s="66" t="str">
        <f>IFERROR(__xludf.DUMMYFUNCTION("QUERY('Volunteer Survey'!P415)"),"")</f>
        <v/>
      </c>
      <c r="X389" s="64" t="str">
        <f>IFERROR(__xludf.DUMMYFUNCTION("QUERY('Volunteer Survey'!R415)"),"")</f>
        <v/>
      </c>
      <c r="Y389" s="53"/>
      <c r="Z389" s="182">
        <f>IFERROR(__xludf.DUMMYFUNCTION("QUERY('Volunteer Survey'!A388)"),43847.4378778125)</f>
        <v>43847.43788</v>
      </c>
      <c r="AA389" s="183" t="str">
        <f>IFERROR(__xludf.DUMMYFUNCTION("QUERY('Volunteer Survey'!B388)"),"Adriana Bastos Carvalho")</f>
        <v>Adriana Bastos Carvalho</v>
      </c>
      <c r="AB389" s="183" t="str">
        <f>IFERROR(__xludf.DUMMYFUNCTION("QUERY('Volunteer Survey'!C388)"),"Federal University of Rio de Janeiro")</f>
        <v>Federal University of Rio de Janeiro</v>
      </c>
      <c r="AC389" s="183" t="str">
        <f>IFERROR(__xludf.DUMMYFUNCTION("QUERY('Volunteer Survey'!D388)"),"Av Carlos Chagas Filho 373
Bloco G, Sala G2-053, Rio de Janeiro, RJ, Brazil, 21941-902")</f>
        <v>Av Carlos Chagas Filho 373
Bloco G, Sala G2-053, Rio de Janeiro, RJ, Brazil, 21941-902</v>
      </c>
      <c r="AD389" s="183" t="str">
        <f>IFERROR(__xludf.DUMMYFUNCTION("QUERY('Volunteer Survey'!E388)"),"carvalhoab@biof.ufrj.br")</f>
        <v>carvalhoab@biof.ufrj.br</v>
      </c>
      <c r="AE389" s="183" t="str">
        <f>IFERROR(__xludf.DUMMYFUNCTION("QUERY('Volunteer Survey'!F388)"),"Scientific Researcher")</f>
        <v>Scientific Researcher</v>
      </c>
      <c r="AF389" s="183" t="str">
        <f>IFERROR(__xludf.DUMMYFUNCTION("QUERY('Volunteer Survey'!G388)"),"The clinicalgenome.org website")</f>
        <v>The clinicalgenome.org website</v>
      </c>
      <c r="AG389" s="183" t="str">
        <f>IFERROR(__xludf.DUMMYFUNCTION("QUERY('Volunteer Survey'!H388)"),"Comprehensive")</f>
        <v>Comprehensive</v>
      </c>
      <c r="AH389" s="183" t="str">
        <f>IFERROR(__xludf.DUMMYFUNCTION("QUERY('Volunteer Survey'!I388)"),"Variant Pathogenicity")</f>
        <v>Variant Pathogenicity</v>
      </c>
      <c r="AI389" s="183" t="str">
        <f>IFERROR(__xludf.DUMMYFUNCTION("QUERY('Volunteer Survey'!J388)"),"")</f>
        <v/>
      </c>
      <c r="AJ389" s="183" t="str">
        <f>IFERROR(__xludf.DUMMYFUNCTION("QUERY('Volunteer Survey'!K388)"),"")</f>
        <v/>
      </c>
      <c r="AK389" s="183" t="str">
        <f>IFERROR(__xludf.DUMMYFUNCTION("QUERY('Volunteer Survey'!L388)"),"")</f>
        <v/>
      </c>
      <c r="AL389" s="183" t="str">
        <f>IFERROR(__xludf.DUMMYFUNCTION("QUERY('Volunteer Survey'!M388)"),"")</f>
        <v/>
      </c>
      <c r="AM389" s="183" t="str">
        <f>IFERROR(__xludf.DUMMYFUNCTION("QUERY('Volunteer Survey'!N388)"),"No. Although I have never worked in curation activities, I work with in vitro models to investigate variant pathogenicity.")</f>
        <v>No. Although I have never worked in curation activities, I work with in vitro models to investigate variant pathogenicity.</v>
      </c>
      <c r="AN389" s="183" t="str">
        <f>IFERROR(__xludf.DUMMYFUNCTION("QUERY('Volunteer Survey'!O388)"),"Yes")</f>
        <v>Yes</v>
      </c>
      <c r="AO389" s="183" t="str">
        <f>IFERROR(__xludf.DUMMYFUNCTION("QUERY('Volunteer Survey'!P388)"),"Cardiomyopathy Variant Curation Expert Panel")</f>
        <v>Cardiomyopathy Variant Curation Expert Panel</v>
      </c>
    </row>
    <row r="390">
      <c r="A390" s="55" t="str">
        <f>IFERROR(__xludf.DUMMYFUNCTION("QUERY('Volunteer Survey'!A408)"),"")</f>
        <v/>
      </c>
      <c r="B390" s="48" t="s">
        <v>322</v>
      </c>
      <c r="C390" s="53"/>
      <c r="D390" s="55"/>
      <c r="E390" s="55"/>
      <c r="F390" s="55" t="b">
        <v>0</v>
      </c>
      <c r="G390" s="48" t="s">
        <v>313</v>
      </c>
      <c r="H390" s="53"/>
      <c r="I390" s="53"/>
      <c r="J390" s="55"/>
      <c r="K390" s="55"/>
      <c r="L390" s="55" t="str">
        <f>IFERROR(__xludf.DUMMYFUNCTION("QUERY('Volunteer Survey'!B416)"),"")</f>
        <v/>
      </c>
      <c r="M390" s="55" t="str">
        <f>IFERROR(__xludf.DUMMYFUNCTION("QUERY('Volunteer Survey'!E416)"),"")</f>
        <v/>
      </c>
      <c r="N390" s="55" t="str">
        <f>IFERROR(__xludf.DUMMYFUNCTION("QUERY('Volunteer Survey'!F416)"),"")</f>
        <v/>
      </c>
      <c r="O390" s="48" t="str">
        <f>IFERROR(__xludf.DUMMYFUNCTION("QUERY('Volunteer Survey'!H416)"),"")</f>
        <v/>
      </c>
      <c r="P390" s="55" t="str">
        <f>IFERROR(__xludf.DUMMYFUNCTION("QUERY('Volunteer Survey'!I416)"),"")</f>
        <v/>
      </c>
      <c r="Q390" s="60" t="str">
        <f>IFERROR(__xludf.DUMMYFUNCTION("QUERY('Volunteer Survey'!J416)"),"")</f>
        <v/>
      </c>
      <c r="R390" s="55" t="str">
        <f>IFERROR(__xludf.DUMMYFUNCTION("QUERY('Volunteer Survey'!K416)"),"")</f>
        <v/>
      </c>
      <c r="S390" s="55" t="str">
        <f>IFERROR(__xludf.DUMMYFUNCTION("QUERY('Volunteer Survey'!L416)"),"")</f>
        <v/>
      </c>
      <c r="T390" s="55" t="str">
        <f>IFERROR(__xludf.DUMMYFUNCTION("QUERY('Volunteer Survey'!M416)"),"")</f>
        <v/>
      </c>
      <c r="U390" s="64" t="str">
        <f>IFERROR(__xludf.DUMMYFUNCTION("QUERY('Volunteer Survey'!N416)"),"")</f>
        <v/>
      </c>
      <c r="V390" s="55" t="str">
        <f>IFERROR(__xludf.DUMMYFUNCTION("QUERY('Volunteer Survey'!O416)"),"")</f>
        <v/>
      </c>
      <c r="W390" s="66" t="str">
        <f>IFERROR(__xludf.DUMMYFUNCTION("QUERY('Volunteer Survey'!P416)"),"")</f>
        <v/>
      </c>
      <c r="X390" s="64" t="str">
        <f>IFERROR(__xludf.DUMMYFUNCTION("QUERY('Volunteer Survey'!R416)"),"")</f>
        <v/>
      </c>
      <c r="Y390" s="53"/>
      <c r="Z390" s="182">
        <f>IFERROR(__xludf.DUMMYFUNCTION("QUERY('Volunteer Survey'!A389)"),43847.669551747684)</f>
        <v>43847.66955</v>
      </c>
      <c r="AA390" s="183" t="str">
        <f>IFERROR(__xludf.DUMMYFUNCTION("QUERY('Volunteer Survey'!B389)"),"Shiloh Martin")</f>
        <v>Shiloh Martin</v>
      </c>
      <c r="AB390" s="183" t="str">
        <f>IFERROR(__xludf.DUMMYFUNCTION("QUERY('Volunteer Survey'!C389)"),"Invitae")</f>
        <v>Invitae</v>
      </c>
      <c r="AC390" s="183" t="str">
        <f>IFERROR(__xludf.DUMMYFUNCTION("QUERY('Volunteer Survey'!D389)"),"1400 16th Street")</f>
        <v>1400 16th Street</v>
      </c>
      <c r="AD390" s="183" t="str">
        <f>IFERROR(__xludf.DUMMYFUNCTION("QUERY('Volunteer Survey'!E389)"),"shiloh.martin@invitae.com")</f>
        <v>shiloh.martin@invitae.com</v>
      </c>
      <c r="AE390" s="183" t="str">
        <f>IFERROR(__xludf.DUMMYFUNCTION("QUERY('Volunteer Survey'!F389)"),"Variant Analyst/Scientist - Industry")</f>
        <v>Variant Analyst/Scientist - Industry</v>
      </c>
      <c r="AF390" s="183" t="str">
        <f>IFERROR(__xludf.DUMMYFUNCTION("QUERY('Volunteer Survey'!G389)"),"Colleagues")</f>
        <v>Colleagues</v>
      </c>
      <c r="AG390" s="183" t="str">
        <f>IFERROR(__xludf.DUMMYFUNCTION("QUERY('Volunteer Survey'!H389)"),"Comprehensive")</f>
        <v>Comprehensive</v>
      </c>
      <c r="AH390" s="183" t="str">
        <f>IFERROR(__xludf.DUMMYFUNCTION("QUERY('Volunteer Survey'!I389)"),"Gene-Disease Validity")</f>
        <v>Gene-Disease Validity</v>
      </c>
      <c r="AI390" s="183" t="str">
        <f>IFERROR(__xludf.DUMMYFUNCTION("QUERY('Volunteer Survey'!J389)"),"Variant Pathogenicity")</f>
        <v>Variant Pathogenicity</v>
      </c>
      <c r="AJ390" s="183" t="str">
        <f>IFERROR(__xludf.DUMMYFUNCTION("QUERY('Volunteer Survey'!K389)"),"")</f>
        <v/>
      </c>
      <c r="AK390" s="183" t="str">
        <f>IFERROR(__xludf.DUMMYFUNCTION("QUERY('Volunteer Survey'!L389)"),"")</f>
        <v/>
      </c>
      <c r="AL390" s="183" t="str">
        <f>IFERROR(__xludf.DUMMYFUNCTION("QUERY('Volunteer Survey'!M389)"),"")</f>
        <v/>
      </c>
      <c r="AM390" s="183" t="str">
        <f>IFERROR(__xludf.DUMMYFUNCTION("QUERY('Volunteer Survey'!N389)"),"I currently do gene-disease curations and variant interpretation at Invitae")</f>
        <v>I currently do gene-disease curations and variant interpretation at Invitae</v>
      </c>
      <c r="AN390" s="183" t="str">
        <f>IFERROR(__xludf.DUMMYFUNCTION("QUERY('Volunteer Survey'!O389)"),"No")</f>
        <v>No</v>
      </c>
      <c r="AO390" s="183" t="str">
        <f>IFERROR(__xludf.DUMMYFUNCTION("QUERY('Volunteer Survey'!P389)"),"I am interested in working with an Immunology GCEP.  I don't think such a GCEP exists at this time, but I have been told that one is possibly forming, so I would be interested in joining that group once formed.")</f>
        <v>I am interested in working with an Immunology GCEP.  I don't think such a GCEP exists at this time, but I have been told that one is possibly forming, so I would be interested in joining that group once formed.</v>
      </c>
    </row>
    <row r="391">
      <c r="A391" s="55" t="str">
        <f>IFERROR(__xludf.DUMMYFUNCTION("QUERY('Volunteer Survey'!A409)"),"")</f>
        <v/>
      </c>
      <c r="B391" s="48" t="s">
        <v>322</v>
      </c>
      <c r="C391" s="53"/>
      <c r="D391" s="55"/>
      <c r="E391" s="55"/>
      <c r="F391" s="55" t="b">
        <v>0</v>
      </c>
      <c r="G391" s="48" t="s">
        <v>313</v>
      </c>
      <c r="H391" s="53"/>
      <c r="I391" s="53"/>
      <c r="J391" s="55"/>
      <c r="K391" s="55"/>
      <c r="L391" s="55" t="str">
        <f>IFERROR(__xludf.DUMMYFUNCTION("QUERY('Volunteer Survey'!B417)"),"")</f>
        <v/>
      </c>
      <c r="M391" s="55" t="str">
        <f>IFERROR(__xludf.DUMMYFUNCTION("QUERY('Volunteer Survey'!E417)"),"")</f>
        <v/>
      </c>
      <c r="N391" s="55" t="str">
        <f>IFERROR(__xludf.DUMMYFUNCTION("QUERY('Volunteer Survey'!F417)"),"")</f>
        <v/>
      </c>
      <c r="O391" s="48" t="str">
        <f>IFERROR(__xludf.DUMMYFUNCTION("QUERY('Volunteer Survey'!H417)"),"")</f>
        <v/>
      </c>
      <c r="P391" s="55" t="str">
        <f>IFERROR(__xludf.DUMMYFUNCTION("QUERY('Volunteer Survey'!I417)"),"")</f>
        <v/>
      </c>
      <c r="Q391" s="60" t="str">
        <f>IFERROR(__xludf.DUMMYFUNCTION("QUERY('Volunteer Survey'!J417)"),"")</f>
        <v/>
      </c>
      <c r="R391" s="55" t="str">
        <f>IFERROR(__xludf.DUMMYFUNCTION("QUERY('Volunteer Survey'!K417)"),"")</f>
        <v/>
      </c>
      <c r="S391" s="55" t="str">
        <f>IFERROR(__xludf.DUMMYFUNCTION("QUERY('Volunteer Survey'!L417)"),"")</f>
        <v/>
      </c>
      <c r="T391" s="55" t="str">
        <f>IFERROR(__xludf.DUMMYFUNCTION("QUERY('Volunteer Survey'!M417)"),"")</f>
        <v/>
      </c>
      <c r="U391" s="64" t="str">
        <f>IFERROR(__xludf.DUMMYFUNCTION("QUERY('Volunteer Survey'!N417)"),"")</f>
        <v/>
      </c>
      <c r="V391" s="55" t="str">
        <f>IFERROR(__xludf.DUMMYFUNCTION("QUERY('Volunteer Survey'!O417)"),"")</f>
        <v/>
      </c>
      <c r="W391" s="66" t="str">
        <f>IFERROR(__xludf.DUMMYFUNCTION("QUERY('Volunteer Survey'!P417)"),"")</f>
        <v/>
      </c>
      <c r="X391" s="64" t="str">
        <f>IFERROR(__xludf.DUMMYFUNCTION("QUERY('Volunteer Survey'!R417)"),"")</f>
        <v/>
      </c>
      <c r="Y391" s="53"/>
      <c r="Z391" s="182">
        <f>IFERROR(__xludf.DUMMYFUNCTION("QUERY('Volunteer Survey'!A390)"),43847.82158326389)</f>
        <v>43847.82158</v>
      </c>
      <c r="AA391" s="183" t="str">
        <f>IFERROR(__xludf.DUMMYFUNCTION("QUERY('Volunteer Survey'!B390)"),"Jennifer Holle")</f>
        <v>Jennifer Holle</v>
      </c>
      <c r="AB391" s="183" t="str">
        <f>IFERROR(__xludf.DUMMYFUNCTION("QUERY('Volunteer Survey'!C390)"),"Invitae")</f>
        <v>Invitae</v>
      </c>
      <c r="AC391" s="183" t="str">
        <f>IFERROR(__xludf.DUMMYFUNCTION("QUERY('Volunteer Survey'!D390)"),"")</f>
        <v/>
      </c>
      <c r="AD391" s="183" t="str">
        <f>IFERROR(__xludf.DUMMYFUNCTION("QUERY('Volunteer Survey'!E390)"),"jennifer.holle@invitae.com")</f>
        <v>jennifer.holle@invitae.com</v>
      </c>
      <c r="AE391" s="183" t="str">
        <f>IFERROR(__xludf.DUMMYFUNCTION("QUERY('Volunteer Survey'!F390)"),"Variant Analyst/Scientist - Industry")</f>
        <v>Variant Analyst/Scientist - Industry</v>
      </c>
      <c r="AF391" s="183" t="str">
        <f>IFERROR(__xludf.DUMMYFUNCTION("QUERY('Volunteer Survey'!G390)"),"Networking")</f>
        <v>Networking</v>
      </c>
      <c r="AG391" s="183" t="str">
        <f>IFERROR(__xludf.DUMMYFUNCTION("QUERY('Volunteer Survey'!H390)"),"Comprehensive")</f>
        <v>Comprehensive</v>
      </c>
      <c r="AH391" s="183" t="str">
        <f>IFERROR(__xludf.DUMMYFUNCTION("QUERY('Volunteer Survey'!I390)"),"Gene-Disease Validity")</f>
        <v>Gene-Disease Validity</v>
      </c>
      <c r="AI391" s="183" t="str">
        <f>IFERROR(__xludf.DUMMYFUNCTION("QUERY('Volunteer Survey'!J390)"),"Variant Pathogenicity")</f>
        <v>Variant Pathogenicity</v>
      </c>
      <c r="AJ391" s="183" t="str">
        <f>IFERROR(__xludf.DUMMYFUNCTION("QUERY('Volunteer Survey'!K390)"),"")</f>
        <v/>
      </c>
      <c r="AK391" s="183" t="str">
        <f>IFERROR(__xludf.DUMMYFUNCTION("QUERY('Volunteer Survey'!L390)"),"")</f>
        <v/>
      </c>
      <c r="AL391" s="183" t="str">
        <f>IFERROR(__xludf.DUMMYFUNCTION("QUERY('Volunteer Survey'!M390)"),"")</f>
        <v/>
      </c>
      <c r="AM391" s="183" t="str">
        <f>IFERROR(__xludf.DUMMYFUNCTION("QUERY('Volunteer Survey'!N390)"),"Yes, I do variant pathogenicity curation in my job, as well as gene-disease validity curation (though I do less of this).")</f>
        <v>Yes, I do variant pathogenicity curation in my job, as well as gene-disease validity curation (though I do less of this).</v>
      </c>
      <c r="AN391" s="183" t="str">
        <f>IFERROR(__xludf.DUMMYFUNCTION("QUERY('Volunteer Survey'!O390)"),"Possibly")</f>
        <v>Possibly</v>
      </c>
      <c r="AO391" s="183" t="str">
        <f>IFERROR(__xludf.DUMMYFUNCTION("QUERY('Volunteer Survey'!P390)"),"The primary immunodeficiency group - didn't see it on the list, but I know it's upcoming")</f>
        <v>The primary immunodeficiency group - didn't see it on the list, but I know it's upcoming</v>
      </c>
    </row>
    <row r="392">
      <c r="A392" s="55" t="str">
        <f>IFERROR(__xludf.DUMMYFUNCTION("QUERY('Volunteer Survey'!A786)"),"")</f>
        <v/>
      </c>
      <c r="B392" s="48" t="s">
        <v>322</v>
      </c>
      <c r="C392" s="53"/>
      <c r="D392" s="55"/>
      <c r="E392" s="55"/>
      <c r="F392" s="55" t="b">
        <v>0</v>
      </c>
      <c r="G392" s="48" t="s">
        <v>313</v>
      </c>
      <c r="H392" s="53"/>
      <c r="I392" s="53"/>
      <c r="J392" s="55"/>
      <c r="K392" s="55"/>
      <c r="L392" s="55" t="str">
        <f>IFERROR(__xludf.DUMMYFUNCTION("QUERY('Volunteer Survey'!B418)"),"")</f>
        <v/>
      </c>
      <c r="M392" s="55" t="str">
        <f>IFERROR(__xludf.DUMMYFUNCTION("QUERY('Volunteer Survey'!E418)"),"")</f>
        <v/>
      </c>
      <c r="N392" s="55" t="str">
        <f>IFERROR(__xludf.DUMMYFUNCTION("QUERY('Volunteer Survey'!F418)"),"")</f>
        <v/>
      </c>
      <c r="O392" s="48" t="str">
        <f>IFERROR(__xludf.DUMMYFUNCTION("QUERY('Volunteer Survey'!H418)"),"")</f>
        <v/>
      </c>
      <c r="P392" s="55" t="str">
        <f>IFERROR(__xludf.DUMMYFUNCTION("QUERY('Volunteer Survey'!I418)"),"")</f>
        <v/>
      </c>
      <c r="Q392" s="60" t="str">
        <f>IFERROR(__xludf.DUMMYFUNCTION("QUERY('Volunteer Survey'!J418)"),"")</f>
        <v/>
      </c>
      <c r="R392" s="55" t="str">
        <f>IFERROR(__xludf.DUMMYFUNCTION("QUERY('Volunteer Survey'!K418)"),"")</f>
        <v/>
      </c>
      <c r="S392" s="55" t="str">
        <f>IFERROR(__xludf.DUMMYFUNCTION("QUERY('Volunteer Survey'!L418)"),"")</f>
        <v/>
      </c>
      <c r="T392" s="55" t="str">
        <f>IFERROR(__xludf.DUMMYFUNCTION("QUERY('Volunteer Survey'!M418)"),"")</f>
        <v/>
      </c>
      <c r="U392" s="64" t="str">
        <f>IFERROR(__xludf.DUMMYFUNCTION("QUERY('Volunteer Survey'!N418)"),"")</f>
        <v/>
      </c>
      <c r="V392" s="55" t="str">
        <f>IFERROR(__xludf.DUMMYFUNCTION("QUERY('Volunteer Survey'!O418)"),"")</f>
        <v/>
      </c>
      <c r="W392" s="66" t="str">
        <f>IFERROR(__xludf.DUMMYFUNCTION("QUERY('Volunteer Survey'!P418)"),"")</f>
        <v/>
      </c>
      <c r="X392" s="64" t="str">
        <f>IFERROR(__xludf.DUMMYFUNCTION("QUERY('Volunteer Survey'!R418)"),"")</f>
        <v/>
      </c>
      <c r="Y392" s="53"/>
      <c r="Z392" s="182">
        <f>IFERROR(__xludf.DUMMYFUNCTION("QUERY('Volunteer Survey'!A391)"),43851.400375983794)</f>
        <v>43851.40038</v>
      </c>
      <c r="AA392" s="183" t="str">
        <f>IFERROR(__xludf.DUMMYFUNCTION("QUERY('Volunteer Survey'!B391)"),"George Jour")</f>
        <v>George Jour</v>
      </c>
      <c r="AB392" s="183" t="str">
        <f>IFERROR(__xludf.DUMMYFUNCTION("QUERY('Volunteer Survey'!C391)"),"NYU Langone Health")</f>
        <v>NYU Langone Health</v>
      </c>
      <c r="AC392" s="183" t="str">
        <f>IFERROR(__xludf.DUMMYFUNCTION("QUERY('Volunteer Survey'!D391)"),"240 east 38th street 22nd floor")</f>
        <v>240 east 38th street 22nd floor</v>
      </c>
      <c r="AD392" s="183" t="str">
        <f>IFERROR(__xludf.DUMMYFUNCTION("QUERY('Volunteer Survey'!E391)"),"george.jour@nyulangone.org")</f>
        <v>george.jour@nyulangone.org</v>
      </c>
      <c r="AE392" s="183" t="str">
        <f>IFERROR(__xludf.DUMMYFUNCTION("QUERY('Volunteer Survey'!F391)"),"Physician (Non-geneticist)")</f>
        <v>Physician (Non-geneticist)</v>
      </c>
      <c r="AF392" s="183" t="str">
        <f>IFERROR(__xludf.DUMMYFUNCTION("QUERY('Volunteer Survey'!G391)"),"Colleagues")</f>
        <v>Colleagues</v>
      </c>
      <c r="AG392" s="183" t="str">
        <f>IFERROR(__xludf.DUMMYFUNCTION("QUERY('Volunteer Survey'!H391)"),"Baseline")</f>
        <v>Baseline</v>
      </c>
      <c r="AH392" s="183" t="str">
        <f>IFERROR(__xludf.DUMMYFUNCTION("QUERY('Volunteer Survey'!I391)"),"Clinical Actionability")</f>
        <v>Clinical Actionability</v>
      </c>
      <c r="AI392" s="183" t="str">
        <f>IFERROR(__xludf.DUMMYFUNCTION("QUERY('Volunteer Survey'!J391)"),"Somatic Cancer")</f>
        <v>Somatic Cancer</v>
      </c>
      <c r="AJ392" s="183" t="str">
        <f>IFERROR(__xludf.DUMMYFUNCTION("QUERY('Volunteer Survey'!K391)"),"Gene-Disease Validity")</f>
        <v>Gene-Disease Validity</v>
      </c>
      <c r="AK392" s="183" t="str">
        <f>IFERROR(__xludf.DUMMYFUNCTION("QUERY('Volunteer Survey'!L391)"),"Variant Pathogenicity")</f>
        <v>Variant Pathogenicity</v>
      </c>
      <c r="AL392" s="183" t="str">
        <f>IFERROR(__xludf.DUMMYFUNCTION("QUERY('Volunteer Survey'!M391)"),"")</f>
        <v/>
      </c>
      <c r="AM392" s="183" t="str">
        <f>IFERROR(__xludf.DUMMYFUNCTION("QUERY('Volunteer Survey'!N391)"),"I did help curate an internal database during my fellowship for an inherited cancer NGS panel")</f>
        <v>I did help curate an internal database during my fellowship for an inherited cancer NGS panel</v>
      </c>
      <c r="AN392" s="183" t="str">
        <f>IFERROR(__xludf.DUMMYFUNCTION("QUERY('Volunteer Survey'!O391)"),"Yes")</f>
        <v>Yes</v>
      </c>
      <c r="AO392" s="183" t="str">
        <f>IFERROR(__xludf.DUMMYFUNCTION("QUERY('Volunteer Survey'!P391)"),"Rasopathies; hearing Loss; inherited cancers")</f>
        <v>Rasopathies; hearing Loss; inherited cancers</v>
      </c>
    </row>
    <row r="393">
      <c r="A393" s="55" t="str">
        <f>IFERROR(__xludf.DUMMYFUNCTION("QUERY('Volunteer Survey'!A787)"),"")</f>
        <v/>
      </c>
      <c r="B393" s="48" t="s">
        <v>322</v>
      </c>
      <c r="C393" s="53"/>
      <c r="D393" s="55"/>
      <c r="E393" s="55"/>
      <c r="F393" s="55" t="b">
        <v>0</v>
      </c>
      <c r="G393" s="48" t="s">
        <v>313</v>
      </c>
      <c r="H393" s="53"/>
      <c r="I393" s="53"/>
      <c r="J393" s="55"/>
      <c r="K393" s="55"/>
      <c r="L393" s="55" t="str">
        <f>IFERROR(__xludf.DUMMYFUNCTION("QUERY('Volunteer Survey'!B419)"),"")</f>
        <v/>
      </c>
      <c r="M393" s="55" t="str">
        <f>IFERROR(__xludf.DUMMYFUNCTION("QUERY('Volunteer Survey'!E419)"),"")</f>
        <v/>
      </c>
      <c r="N393" s="55" t="str">
        <f>IFERROR(__xludf.DUMMYFUNCTION("QUERY('Volunteer Survey'!F419)"),"")</f>
        <v/>
      </c>
      <c r="O393" s="48" t="str">
        <f>IFERROR(__xludf.DUMMYFUNCTION("QUERY('Volunteer Survey'!H419)"),"")</f>
        <v/>
      </c>
      <c r="P393" s="55" t="str">
        <f>IFERROR(__xludf.DUMMYFUNCTION("QUERY('Volunteer Survey'!I419)"),"")</f>
        <v/>
      </c>
      <c r="Q393" s="60" t="str">
        <f>IFERROR(__xludf.DUMMYFUNCTION("QUERY('Volunteer Survey'!J419)"),"")</f>
        <v/>
      </c>
      <c r="R393" s="55" t="str">
        <f>IFERROR(__xludf.DUMMYFUNCTION("QUERY('Volunteer Survey'!K419)"),"")</f>
        <v/>
      </c>
      <c r="S393" s="55" t="str">
        <f>IFERROR(__xludf.DUMMYFUNCTION("QUERY('Volunteer Survey'!L419)"),"")</f>
        <v/>
      </c>
      <c r="T393" s="55" t="str">
        <f>IFERROR(__xludf.DUMMYFUNCTION("QUERY('Volunteer Survey'!M419)"),"")</f>
        <v/>
      </c>
      <c r="U393" s="64" t="str">
        <f>IFERROR(__xludf.DUMMYFUNCTION("QUERY('Volunteer Survey'!N419)"),"")</f>
        <v/>
      </c>
      <c r="V393" s="55" t="str">
        <f>IFERROR(__xludf.DUMMYFUNCTION("QUERY('Volunteer Survey'!O419)"),"")</f>
        <v/>
      </c>
      <c r="W393" s="66" t="str">
        <f>IFERROR(__xludf.DUMMYFUNCTION("QUERY('Volunteer Survey'!P419)"),"")</f>
        <v/>
      </c>
      <c r="X393" s="64" t="str">
        <f>IFERROR(__xludf.DUMMYFUNCTION("QUERY('Volunteer Survey'!R419)"),"")</f>
        <v/>
      </c>
      <c r="Y393" s="53"/>
      <c r="Z393" s="182">
        <f>IFERROR(__xludf.DUMMYFUNCTION("QUERY('Volunteer Survey'!A392)"),43851.415571122685)</f>
        <v>43851.41557</v>
      </c>
      <c r="AA393" s="183" t="str">
        <f>IFERROR(__xludf.DUMMYFUNCTION("QUERY('Volunteer Survey'!B392)"),"George Jour")</f>
        <v>George Jour</v>
      </c>
      <c r="AB393" s="183" t="str">
        <f>IFERROR(__xludf.DUMMYFUNCTION("QUERY('Volunteer Survey'!C392)"),"NYU Langone Health")</f>
        <v>NYU Langone Health</v>
      </c>
      <c r="AC393" s="183" t="str">
        <f>IFERROR(__xludf.DUMMYFUNCTION("QUERY('Volunteer Survey'!D392)"),"240 east 38th street 22nd floor")</f>
        <v>240 east 38th street 22nd floor</v>
      </c>
      <c r="AD393" s="183" t="str">
        <f>IFERROR(__xludf.DUMMYFUNCTION("QUERY('Volunteer Survey'!E392)"),"george.jour@nyulangone.org")</f>
        <v>george.jour@nyulangone.org</v>
      </c>
      <c r="AE393" s="183" t="str">
        <f>IFERROR(__xludf.DUMMYFUNCTION("QUERY('Volunteer Survey'!F392)"),"Physician (Non-geneticist)")</f>
        <v>Physician (Non-geneticist)</v>
      </c>
      <c r="AF393" s="183" t="str">
        <f>IFERROR(__xludf.DUMMYFUNCTION("QUERY('Volunteer Survey'!G392)"),"Colleagues")</f>
        <v>Colleagues</v>
      </c>
      <c r="AG393" s="183" t="str">
        <f>IFERROR(__xludf.DUMMYFUNCTION("QUERY('Volunteer Survey'!H392)"),"Baseline")</f>
        <v>Baseline</v>
      </c>
      <c r="AH393" s="183" t="str">
        <f>IFERROR(__xludf.DUMMYFUNCTION("QUERY('Volunteer Survey'!I392)"),"Clinical Actionability")</f>
        <v>Clinical Actionability</v>
      </c>
      <c r="AI393" s="183" t="str">
        <f>IFERROR(__xludf.DUMMYFUNCTION("QUERY('Volunteer Survey'!J392)"),"Somatic Cancer")</f>
        <v>Somatic Cancer</v>
      </c>
      <c r="AJ393" s="183" t="str">
        <f>IFERROR(__xludf.DUMMYFUNCTION("QUERY('Volunteer Survey'!K392)"),"Gene-Disease Validity")</f>
        <v>Gene-Disease Validity</v>
      </c>
      <c r="AK393" s="183" t="str">
        <f>IFERROR(__xludf.DUMMYFUNCTION("QUERY('Volunteer Survey'!L392)"),"Variant Pathogenicity")</f>
        <v>Variant Pathogenicity</v>
      </c>
      <c r="AL393" s="183" t="str">
        <f>IFERROR(__xludf.DUMMYFUNCTION("QUERY('Volunteer Survey'!M392)"),"")</f>
        <v/>
      </c>
      <c r="AM393" s="183" t="str">
        <f>IFERROR(__xludf.DUMMYFUNCTION("QUERY('Volunteer Survey'!N392)"),"I did help curate an internal database during my fellowship for an inherited cancer NGS panel")</f>
        <v>I did help curate an internal database during my fellowship for an inherited cancer NGS panel</v>
      </c>
      <c r="AN393" s="183" t="str">
        <f>IFERROR(__xludf.DUMMYFUNCTION("QUERY('Volunteer Survey'!O392)"),"Yes")</f>
        <v>Yes</v>
      </c>
      <c r="AO393" s="183" t="str">
        <f>IFERROR(__xludf.DUMMYFUNCTION("QUERY('Volunteer Survey'!P392)"),"Rasopathies; hearing Loss; inherited cancers")</f>
        <v>Rasopathies; hearing Loss; inherited cancers</v>
      </c>
    </row>
    <row r="394">
      <c r="A394" s="55" t="str">
        <f>IFERROR(__xludf.DUMMYFUNCTION("QUERY('Volunteer Survey'!A788)"),"")</f>
        <v/>
      </c>
      <c r="B394" s="48" t="s">
        <v>322</v>
      </c>
      <c r="C394" s="53"/>
      <c r="D394" s="55"/>
      <c r="E394" s="55"/>
      <c r="F394" s="55" t="b">
        <v>0</v>
      </c>
      <c r="G394" s="48" t="s">
        <v>313</v>
      </c>
      <c r="H394" s="53"/>
      <c r="I394" s="53"/>
      <c r="J394" s="55"/>
      <c r="K394" s="55"/>
      <c r="L394" s="55" t="str">
        <f>IFERROR(__xludf.DUMMYFUNCTION("QUERY('Volunteer Survey'!B420)"),"")</f>
        <v/>
      </c>
      <c r="M394" s="55" t="str">
        <f>IFERROR(__xludf.DUMMYFUNCTION("QUERY('Volunteer Survey'!E420)"),"")</f>
        <v/>
      </c>
      <c r="N394" s="55" t="str">
        <f>IFERROR(__xludf.DUMMYFUNCTION("QUERY('Volunteer Survey'!F420)"),"")</f>
        <v/>
      </c>
      <c r="O394" s="48" t="str">
        <f>IFERROR(__xludf.DUMMYFUNCTION("QUERY('Volunteer Survey'!H420)"),"")</f>
        <v/>
      </c>
      <c r="P394" s="55" t="str">
        <f>IFERROR(__xludf.DUMMYFUNCTION("QUERY('Volunteer Survey'!I420)"),"")</f>
        <v/>
      </c>
      <c r="Q394" s="60" t="str">
        <f>IFERROR(__xludf.DUMMYFUNCTION("QUERY('Volunteer Survey'!J420)"),"")</f>
        <v/>
      </c>
      <c r="R394" s="55" t="str">
        <f>IFERROR(__xludf.DUMMYFUNCTION("QUERY('Volunteer Survey'!K420)"),"")</f>
        <v/>
      </c>
      <c r="S394" s="55" t="str">
        <f>IFERROR(__xludf.DUMMYFUNCTION("QUERY('Volunteer Survey'!L420)"),"")</f>
        <v/>
      </c>
      <c r="T394" s="55" t="str">
        <f>IFERROR(__xludf.DUMMYFUNCTION("QUERY('Volunteer Survey'!M420)"),"")</f>
        <v/>
      </c>
      <c r="U394" s="64" t="str">
        <f>IFERROR(__xludf.DUMMYFUNCTION("QUERY('Volunteer Survey'!N420)"),"")</f>
        <v/>
      </c>
      <c r="V394" s="55" t="str">
        <f>IFERROR(__xludf.DUMMYFUNCTION("QUERY('Volunteer Survey'!O420)"),"")</f>
        <v/>
      </c>
      <c r="W394" s="66" t="str">
        <f>IFERROR(__xludf.DUMMYFUNCTION("QUERY('Volunteer Survey'!P420)"),"")</f>
        <v/>
      </c>
      <c r="X394" s="64" t="str">
        <f>IFERROR(__xludf.DUMMYFUNCTION("QUERY('Volunteer Survey'!R420)"),"")</f>
        <v/>
      </c>
      <c r="Y394" s="53"/>
      <c r="Z394" s="182">
        <f>IFERROR(__xludf.DUMMYFUNCTION("QUERY('Volunteer Survey'!A393)"),43851.816404606485)</f>
        <v>43851.8164</v>
      </c>
      <c r="AA394" s="183" t="str">
        <f>IFERROR(__xludf.DUMMYFUNCTION("QUERY('Volunteer Survey'!B393)"),"Emily Hansen-Kiss")</f>
        <v>Emily Hansen-Kiss</v>
      </c>
      <c r="AB394" s="183" t="str">
        <f>IFERROR(__xludf.DUMMYFUNCTION("QUERY('Volunteer Survey'!C393)"),"University of Texas Health Science Center at Houston, School of Dentistry")</f>
        <v>University of Texas Health Science Center at Houston, School of Dentistry</v>
      </c>
      <c r="AC394" s="183" t="str">
        <f>IFERROR(__xludf.DUMMYFUNCTION("QUERY('Volunteer Survey'!D393)"),"7500 Cambridge St., Suite 4410, Houston, TX 77054")</f>
        <v>7500 Cambridge St., Suite 4410, Houston, TX 77054</v>
      </c>
      <c r="AD394" s="183" t="str">
        <f>IFERROR(__xludf.DUMMYFUNCTION("QUERY('Volunteer Survey'!E393)"),"Emily.HansenKiss@uth.tmc.edu")</f>
        <v>Emily.HansenKiss@uth.tmc.edu</v>
      </c>
      <c r="AE394" s="183" t="str">
        <f>IFERROR(__xludf.DUMMYFUNCTION("QUERY('Volunteer Survey'!F393)"),"Genetic counselor")</f>
        <v>Genetic counselor</v>
      </c>
      <c r="AF394" s="183" t="str">
        <f>IFERROR(__xludf.DUMMYFUNCTION("QUERY('Volunteer Survey'!G393)"),"Colleagues")</f>
        <v>Colleagues</v>
      </c>
      <c r="AG394" s="183" t="str">
        <f>IFERROR(__xludf.DUMMYFUNCTION("QUERY('Volunteer Survey'!H393)"),"Comprehensive")</f>
        <v>Comprehensive</v>
      </c>
      <c r="AH394" s="183" t="str">
        <f>IFERROR(__xludf.DUMMYFUNCTION("QUERY('Volunteer Survey'!I393)"),"Variant Pathogenicity")</f>
        <v>Variant Pathogenicity</v>
      </c>
      <c r="AI394" s="183" t="str">
        <f>IFERROR(__xludf.DUMMYFUNCTION("QUERY('Volunteer Survey'!J393)"),"Clinical Actionability")</f>
        <v>Clinical Actionability</v>
      </c>
      <c r="AJ394" s="183" t="str">
        <f>IFERROR(__xludf.DUMMYFUNCTION("QUERY('Volunteer Survey'!K393)"),"Gene-Disease Validity")</f>
        <v>Gene-Disease Validity</v>
      </c>
      <c r="AK394" s="183" t="str">
        <f>IFERROR(__xludf.DUMMYFUNCTION("QUERY('Volunteer Survey'!L393)"),"Dosage Sensitivity")</f>
        <v>Dosage Sensitivity</v>
      </c>
      <c r="AL394" s="183" t="str">
        <f>IFERROR(__xludf.DUMMYFUNCTION("QUERY('Volunteer Survey'!M393)"),"")</f>
        <v/>
      </c>
      <c r="AM394" s="183" t="str">
        <f>IFERROR(__xludf.DUMMYFUNCTION("QUERY('Volunteer Survey'!N393)"),"No official training or experience, but clinical experience working with patients with mutations within the PTEN gene and identifying when phenotype is a good match for genotype.")</f>
        <v>No official training or experience, but clinical experience working with patients with mutations within the PTEN gene and identifying when phenotype is a good match for genotype.</v>
      </c>
      <c r="AN394" s="183" t="str">
        <f>IFERROR(__xludf.DUMMYFUNCTION("QUERY('Volunteer Survey'!O393)"),"Possibly")</f>
        <v>Possibly</v>
      </c>
      <c r="AO394" s="183" t="str">
        <f>IFERROR(__xludf.DUMMYFUNCTION("QUERY('Volunteer Survey'!P393)"),"PTEN")</f>
        <v>PTEN</v>
      </c>
    </row>
    <row r="395">
      <c r="A395" s="55" t="str">
        <f>IFERROR(__xludf.DUMMYFUNCTION("QUERY('Volunteer Survey'!A789)"),"")</f>
        <v/>
      </c>
      <c r="B395" s="48" t="s">
        <v>322</v>
      </c>
      <c r="C395" s="53"/>
      <c r="D395" s="55"/>
      <c r="E395" s="55"/>
      <c r="F395" s="55" t="b">
        <v>0</v>
      </c>
      <c r="G395" s="48" t="s">
        <v>313</v>
      </c>
      <c r="H395" s="53"/>
      <c r="I395" s="53"/>
      <c r="J395" s="55"/>
      <c r="K395" s="55"/>
      <c r="L395" s="55" t="str">
        <f>IFERROR(__xludf.DUMMYFUNCTION("QUERY('Volunteer Survey'!B421)"),"")</f>
        <v/>
      </c>
      <c r="M395" s="55" t="str">
        <f>IFERROR(__xludf.DUMMYFUNCTION("QUERY('Volunteer Survey'!E421)"),"")</f>
        <v/>
      </c>
      <c r="N395" s="55" t="str">
        <f>IFERROR(__xludf.DUMMYFUNCTION("QUERY('Volunteer Survey'!F421)"),"")</f>
        <v/>
      </c>
      <c r="O395" s="48" t="str">
        <f>IFERROR(__xludf.DUMMYFUNCTION("QUERY('Volunteer Survey'!H421)"),"")</f>
        <v/>
      </c>
      <c r="P395" s="55" t="str">
        <f>IFERROR(__xludf.DUMMYFUNCTION("QUERY('Volunteer Survey'!I421)"),"")</f>
        <v/>
      </c>
      <c r="Q395" s="60" t="str">
        <f>IFERROR(__xludf.DUMMYFUNCTION("QUERY('Volunteer Survey'!J421)"),"")</f>
        <v/>
      </c>
      <c r="R395" s="55" t="str">
        <f>IFERROR(__xludf.DUMMYFUNCTION("QUERY('Volunteer Survey'!K421)"),"")</f>
        <v/>
      </c>
      <c r="S395" s="55" t="str">
        <f>IFERROR(__xludf.DUMMYFUNCTION("QUERY('Volunteer Survey'!L421)"),"")</f>
        <v/>
      </c>
      <c r="T395" s="55" t="str">
        <f>IFERROR(__xludf.DUMMYFUNCTION("QUERY('Volunteer Survey'!M421)"),"")</f>
        <v/>
      </c>
      <c r="U395" s="64" t="str">
        <f>IFERROR(__xludf.DUMMYFUNCTION("QUERY('Volunteer Survey'!N421)"),"")</f>
        <v/>
      </c>
      <c r="V395" s="55" t="str">
        <f>IFERROR(__xludf.DUMMYFUNCTION("QUERY('Volunteer Survey'!O421)"),"")</f>
        <v/>
      </c>
      <c r="W395" s="66" t="str">
        <f>IFERROR(__xludf.DUMMYFUNCTION("QUERY('Volunteer Survey'!P421)"),"")</f>
        <v/>
      </c>
      <c r="X395" s="64" t="str">
        <f>IFERROR(__xludf.DUMMYFUNCTION("QUERY('Volunteer Survey'!R421)"),"")</f>
        <v/>
      </c>
      <c r="Y395" s="53"/>
      <c r="Z395" s="182">
        <f>IFERROR(__xludf.DUMMYFUNCTION("QUERY('Volunteer Survey'!A394)"),43852.431576759256)</f>
        <v>43852.43158</v>
      </c>
      <c r="AA395" s="183" t="str">
        <f>IFERROR(__xludf.DUMMYFUNCTION("QUERY('Volunteer Survey'!B394)"),"Chitra Chandrasekaran")</f>
        <v>Chitra Chandrasekaran</v>
      </c>
      <c r="AB395" s="183" t="str">
        <f>IFERROR(__xludf.DUMMYFUNCTION("QUERY('Volunteer Survey'!C394)"),"Texas Wesleyan University")</f>
        <v>Texas Wesleyan University</v>
      </c>
      <c r="AC395" s="183" t="str">
        <f>IFERROR(__xludf.DUMMYFUNCTION("QUERY('Volunteer Survey'!D394)"),"1201 Wesleyan, Fort Worth Texas 76105")</f>
        <v>1201 Wesleyan, Fort Worth Texas 76105</v>
      </c>
      <c r="AD395" s="183" t="str">
        <f>IFERROR(__xludf.DUMMYFUNCTION("QUERY('Volunteer Survey'!E394)"),"cchandrasekaran@txwes.edu")</f>
        <v>cchandrasekaran@txwes.edu</v>
      </c>
      <c r="AE395" s="183" t="str">
        <f>IFERROR(__xludf.DUMMYFUNCTION("QUERY('Volunteer Survey'!F394)"),"Biology Professor")</f>
        <v>Biology Professor</v>
      </c>
      <c r="AF395" s="183" t="str">
        <f>IFERROR(__xludf.DUMMYFUNCTION("QUERY('Volunteer Survey'!G394)"),"Web search")</f>
        <v>Web search</v>
      </c>
      <c r="AG395" s="183" t="str">
        <f>IFERROR(__xludf.DUMMYFUNCTION("QUERY('Volunteer Survey'!H394)"),"Comprehensive")</f>
        <v>Comprehensive</v>
      </c>
      <c r="AH395" s="183" t="str">
        <f>IFERROR(__xludf.DUMMYFUNCTION("QUERY('Volunteer Survey'!I394)"),"Gene-Disease Validity")</f>
        <v>Gene-Disease Validity</v>
      </c>
      <c r="AI395" s="183" t="str">
        <f>IFERROR(__xludf.DUMMYFUNCTION("QUERY('Volunteer Survey'!J394)"),"Variant Pathogenicity")</f>
        <v>Variant Pathogenicity</v>
      </c>
      <c r="AJ395" s="183" t="str">
        <f>IFERROR(__xludf.DUMMYFUNCTION("QUERY('Volunteer Survey'!K394)"),"Somatic Cancer")</f>
        <v>Somatic Cancer</v>
      </c>
      <c r="AK395" s="183" t="str">
        <f>IFERROR(__xludf.DUMMYFUNCTION("QUERY('Volunteer Survey'!L394)"),"Dosage Sensitivity")</f>
        <v>Dosage Sensitivity</v>
      </c>
      <c r="AL395" s="183" t="str">
        <f>IFERROR(__xludf.DUMMYFUNCTION("QUERY('Volunteer Survey'!M394)"),"Clinical Actionability")</f>
        <v>Clinical Actionability</v>
      </c>
      <c r="AM395" s="183" t="str">
        <f>IFERROR(__xludf.DUMMYFUNCTION("QUERY('Volunteer Survey'!N394)"),"I do not have any previous experience with the activities mentioned above.")</f>
        <v>I do not have any previous experience with the activities mentioned above.</v>
      </c>
      <c r="AN395" s="183" t="str">
        <f>IFERROR(__xludf.DUMMYFUNCTION("QUERY('Volunteer Survey'!O394)"),"Possibly")</f>
        <v>Possibly</v>
      </c>
      <c r="AO395" s="183" t="str">
        <f>IFERROR(__xludf.DUMMYFUNCTION("QUERY('Volunteer Survey'!P394)"),"")</f>
        <v/>
      </c>
    </row>
    <row r="396">
      <c r="A396" s="55" t="str">
        <f>IFERROR(__xludf.DUMMYFUNCTION("QUERY('Volunteer Survey'!A790)"),"")</f>
        <v/>
      </c>
      <c r="B396" s="48" t="s">
        <v>322</v>
      </c>
      <c r="C396" s="53"/>
      <c r="D396" s="55"/>
      <c r="E396" s="55"/>
      <c r="F396" s="55" t="b">
        <v>0</v>
      </c>
      <c r="G396" s="48" t="s">
        <v>313</v>
      </c>
      <c r="H396" s="53"/>
      <c r="I396" s="53"/>
      <c r="J396" s="55"/>
      <c r="K396" s="55"/>
      <c r="L396" s="55" t="str">
        <f>IFERROR(__xludf.DUMMYFUNCTION("QUERY('Volunteer Survey'!B422)"),"")</f>
        <v/>
      </c>
      <c r="M396" s="55" t="str">
        <f>IFERROR(__xludf.DUMMYFUNCTION("QUERY('Volunteer Survey'!E422)"),"")</f>
        <v/>
      </c>
      <c r="N396" s="55" t="str">
        <f>IFERROR(__xludf.DUMMYFUNCTION("QUERY('Volunteer Survey'!F422)"),"")</f>
        <v/>
      </c>
      <c r="O396" s="48" t="str">
        <f>IFERROR(__xludf.DUMMYFUNCTION("QUERY('Volunteer Survey'!H422)"),"")</f>
        <v/>
      </c>
      <c r="P396" s="55" t="str">
        <f>IFERROR(__xludf.DUMMYFUNCTION("QUERY('Volunteer Survey'!I422)"),"")</f>
        <v/>
      </c>
      <c r="Q396" s="60" t="str">
        <f>IFERROR(__xludf.DUMMYFUNCTION("QUERY('Volunteer Survey'!J422)"),"")</f>
        <v/>
      </c>
      <c r="R396" s="55" t="str">
        <f>IFERROR(__xludf.DUMMYFUNCTION("QUERY('Volunteer Survey'!K422)"),"")</f>
        <v/>
      </c>
      <c r="S396" s="55" t="str">
        <f>IFERROR(__xludf.DUMMYFUNCTION("QUERY('Volunteer Survey'!L422)"),"")</f>
        <v/>
      </c>
      <c r="T396" s="55" t="str">
        <f>IFERROR(__xludf.DUMMYFUNCTION("QUERY('Volunteer Survey'!M422)"),"")</f>
        <v/>
      </c>
      <c r="U396" s="64" t="str">
        <f>IFERROR(__xludf.DUMMYFUNCTION("QUERY('Volunteer Survey'!N422)"),"")</f>
        <v/>
      </c>
      <c r="V396" s="55" t="str">
        <f>IFERROR(__xludf.DUMMYFUNCTION("QUERY('Volunteer Survey'!O422)"),"")</f>
        <v/>
      </c>
      <c r="W396" s="66" t="str">
        <f>IFERROR(__xludf.DUMMYFUNCTION("QUERY('Volunteer Survey'!P422)"),"")</f>
        <v/>
      </c>
      <c r="X396" s="64" t="str">
        <f>IFERROR(__xludf.DUMMYFUNCTION("QUERY('Volunteer Survey'!R422)"),"")</f>
        <v/>
      </c>
      <c r="Y396" s="53"/>
      <c r="Z396" s="182">
        <f>IFERROR(__xludf.DUMMYFUNCTION("QUERY('Volunteer Survey'!A395)"),43852.752405405095)</f>
        <v>43852.75241</v>
      </c>
      <c r="AA396" s="183" t="str">
        <f>IFERROR(__xludf.DUMMYFUNCTION("QUERY('Volunteer Survey'!B395)"),"Silke Waap")</f>
        <v>Silke Waap</v>
      </c>
      <c r="AB396" s="183" t="str">
        <f>IFERROR(__xludf.DUMMYFUNCTION("QUERY('Volunteer Survey'!C395)"),"Cardiff School of Biosciences, UK")</f>
        <v>Cardiff School of Biosciences, UK</v>
      </c>
      <c r="AC396" s="183" t="str">
        <f>IFERROR(__xludf.DUMMYFUNCTION("QUERY('Volunteer Survey'!D395)"),"")</f>
        <v/>
      </c>
      <c r="AD396" s="183" t="str">
        <f>IFERROR(__xludf.DUMMYFUNCTION("QUERY('Volunteer Survey'!E395)"),"silkewaap@gmail.com")</f>
        <v>silkewaap@gmail.com</v>
      </c>
      <c r="AE396" s="183" t="str">
        <f>IFERROR(__xludf.DUMMYFUNCTION("QUERY('Volunteer Survey'!F395)"),"Scientific Researcher")</f>
        <v>Scientific Researcher</v>
      </c>
      <c r="AF396" s="183" t="str">
        <f>IFERROR(__xludf.DUMMYFUNCTION("QUERY('Volunteer Survey'!G395)"),"The clinicalgenome.org website")</f>
        <v>The clinicalgenome.org website</v>
      </c>
      <c r="AG396" s="183" t="str">
        <f>IFERROR(__xludf.DUMMYFUNCTION("QUERY('Volunteer Survey'!H395)"),"Comprehensive")</f>
        <v>Comprehensive</v>
      </c>
      <c r="AH396" s="183" t="str">
        <f>IFERROR(__xludf.DUMMYFUNCTION("QUERY('Volunteer Survey'!I395)"),"Gene-Disease Validity")</f>
        <v>Gene-Disease Validity</v>
      </c>
      <c r="AI396" s="183" t="str">
        <f>IFERROR(__xludf.DUMMYFUNCTION("QUERY('Volunteer Survey'!J395)"),"Variant Pathogenicity")</f>
        <v>Variant Pathogenicity</v>
      </c>
      <c r="AJ396" s="183" t="str">
        <f>IFERROR(__xludf.DUMMYFUNCTION("QUERY('Volunteer Survey'!K395)"),"")</f>
        <v/>
      </c>
      <c r="AK396" s="183" t="str">
        <f>IFERROR(__xludf.DUMMYFUNCTION("QUERY('Volunteer Survey'!L395)"),"")</f>
        <v/>
      </c>
      <c r="AL396" s="183" t="str">
        <f>IFERROR(__xludf.DUMMYFUNCTION("QUERY('Volunteer Survey'!M395)"),"")</f>
        <v/>
      </c>
      <c r="AM396" s="183" t="str">
        <f>IFERROR(__xludf.DUMMYFUNCTION("QUERY('Volunteer Survey'!N395)"),"My scientific research expertise has been on evolutionary processes, involving gene variation (SNPs) and laboratory next generation sequencing techniques and bioinformatic analyses of genetic barcodes. ")</f>
        <v>My scientific research expertise has been on evolutionary processes, involving gene variation (SNPs) and laboratory next generation sequencing techniques and bioinformatic analyses of genetic barcodes. </v>
      </c>
      <c r="AN396" s="183" t="str">
        <f>IFERROR(__xludf.DUMMYFUNCTION("QUERY('Volunteer Survey'!O395)"),"Yes")</f>
        <v>Yes</v>
      </c>
      <c r="AO396" s="183" t="str">
        <f>IFERROR(__xludf.DUMMYFUNCTION("QUERY('Volunteer Survey'!P395)"),"")</f>
        <v/>
      </c>
    </row>
    <row r="397">
      <c r="A397" s="55" t="str">
        <f>IFERROR(__xludf.DUMMYFUNCTION("QUERY('Volunteer Survey'!A791)"),"")</f>
        <v/>
      </c>
      <c r="B397" s="48" t="s">
        <v>322</v>
      </c>
      <c r="C397" s="53"/>
      <c r="D397" s="55"/>
      <c r="E397" s="55"/>
      <c r="F397" s="55" t="b">
        <v>0</v>
      </c>
      <c r="G397" s="55"/>
      <c r="H397" s="53"/>
      <c r="I397" s="53"/>
      <c r="J397" s="55"/>
      <c r="K397" s="55"/>
      <c r="L397" s="55" t="str">
        <f>IFERROR(__xludf.DUMMYFUNCTION("QUERY('Volunteer Survey'!B791)"),"")</f>
        <v/>
      </c>
      <c r="M397" s="55" t="str">
        <f>IFERROR(__xludf.DUMMYFUNCTION("QUERY('Volunteer Survey'!E791)"),"")</f>
        <v/>
      </c>
      <c r="N397" s="55" t="str">
        <f>IFERROR(__xludf.DUMMYFUNCTION("QUERY('Volunteer Survey'!F791)"),"")</f>
        <v/>
      </c>
      <c r="O397" s="48" t="str">
        <f>IFERROR(__xludf.DUMMYFUNCTION("QUERY('Volunteer Survey'!H791)"),"")</f>
        <v/>
      </c>
      <c r="P397" s="55" t="str">
        <f>IFERROR(__xludf.DUMMYFUNCTION("QUERY('Volunteer Survey'!I791)"),"")</f>
        <v/>
      </c>
      <c r="Q397" s="60" t="str">
        <f>IFERROR(__xludf.DUMMYFUNCTION("QUERY('Volunteer Survey'!J791)"),"")</f>
        <v/>
      </c>
      <c r="R397" s="55" t="str">
        <f>IFERROR(__xludf.DUMMYFUNCTION("QUERY('Volunteer Survey'!K791)"),"")</f>
        <v/>
      </c>
      <c r="S397" s="55" t="str">
        <f>IFERROR(__xludf.DUMMYFUNCTION("QUERY('Volunteer Survey'!L791)"),"")</f>
        <v/>
      </c>
      <c r="T397" s="55" t="str">
        <f>IFERROR(__xludf.DUMMYFUNCTION("QUERY('Volunteer Survey'!M791)"),"")</f>
        <v/>
      </c>
      <c r="U397" s="64" t="str">
        <f>IFERROR(__xludf.DUMMYFUNCTION("QUERY('Volunteer Survey'!N791)"),"")</f>
        <v/>
      </c>
      <c r="V397" s="55" t="str">
        <f>IFERROR(__xludf.DUMMYFUNCTION("QUERY('Volunteer Survey'!O791)"),"")</f>
        <v/>
      </c>
      <c r="W397" s="66" t="str">
        <f>IFERROR(__xludf.DUMMYFUNCTION("QUERY('Volunteer Survey'!P791)"),"")</f>
        <v/>
      </c>
      <c r="X397" s="64" t="str">
        <f>IFERROR(__xludf.DUMMYFUNCTION("QUERY('Volunteer Survey'!R791)"),"")</f>
        <v/>
      </c>
      <c r="Y397" s="53"/>
      <c r="Z397" s="182">
        <f>IFERROR(__xludf.DUMMYFUNCTION("QUERY('Volunteer Survey'!A396)"),43853.67358460648)</f>
        <v>43853.67358</v>
      </c>
      <c r="AA397" s="183" t="str">
        <f>IFERROR(__xludf.DUMMYFUNCTION("QUERY('Volunteer Survey'!B396)"),"Emilie Hulse")</f>
        <v>Emilie Hulse</v>
      </c>
      <c r="AB397" s="183" t="str">
        <f>IFERROR(__xludf.DUMMYFUNCTION("QUERY('Volunteer Survey'!C396)"),"n/a")</f>
        <v>n/a</v>
      </c>
      <c r="AC397" s="183" t="str">
        <f>IFERROR(__xludf.DUMMYFUNCTION("QUERY('Volunteer Survey'!D396)"),"Germantown, MD")</f>
        <v>Germantown, MD</v>
      </c>
      <c r="AD397" s="183" t="str">
        <f>IFERROR(__xludf.DUMMYFUNCTION("QUERY('Volunteer Survey'!E396)"),"ehulse@genedx.com")</f>
        <v>ehulse@genedx.com</v>
      </c>
      <c r="AE397" s="183" t="str">
        <f>IFERROR(__xludf.DUMMYFUNCTION("QUERY('Volunteer Survey'!F396)"),"Genetic Counseling Assistant")</f>
        <v>Genetic Counseling Assistant</v>
      </c>
      <c r="AF397" s="183" t="str">
        <f>IFERROR(__xludf.DUMMYFUNCTION("QUERY('Volunteer Survey'!G396)"),"Colleagues")</f>
        <v>Colleagues</v>
      </c>
      <c r="AG397" s="183" t="str">
        <f>IFERROR(__xludf.DUMMYFUNCTION("QUERY('Volunteer Survey'!H396)"),"I am more interested in becoming an active member of a curation group. I am willing to attend conference calls, as well as spend time outside of calls performing curation and entering information into ClinGen interfaces (estimated 8-10 hours of participat"&amp;"ion per month)")</f>
        <v>I am more interested in becoming an active member of a curation group. I am willing to attend conference calls, as well as spend time outside of calls performing curation and entering information into ClinGen interfaces (estimated 8-10 hours of participation per month)</v>
      </c>
      <c r="AH397" s="183" t="str">
        <f>IFERROR(__xludf.DUMMYFUNCTION("QUERY('Volunteer Survey'!I396)"),"Gene-Disease Validity")</f>
        <v>Gene-Disease Validity</v>
      </c>
      <c r="AI397" s="183" t="str">
        <f>IFERROR(__xludf.DUMMYFUNCTION("QUERY('Volunteer Survey'!J396)"),"Clinical Actionability")</f>
        <v>Clinical Actionability</v>
      </c>
      <c r="AJ397" s="183" t="str">
        <f>IFERROR(__xludf.DUMMYFUNCTION("QUERY('Volunteer Survey'!K396)"),"Variant Pathogenicity")</f>
        <v>Variant Pathogenicity</v>
      </c>
      <c r="AK397" s="183" t="str">
        <f>IFERROR(__xludf.DUMMYFUNCTION("QUERY('Volunteer Survey'!L396)"),"Somatic Cancer")</f>
        <v>Somatic Cancer</v>
      </c>
      <c r="AL397" s="183" t="str">
        <f>IFERROR(__xludf.DUMMYFUNCTION("QUERY('Volunteer Survey'!M396)"),"Dosage Sensitivity")</f>
        <v>Dosage Sensitivity</v>
      </c>
      <c r="AM397" s="183" t="str">
        <f>IFERROR(__xludf.DUMMYFUNCTION("QUERY('Volunteer Survey'!N396)"),"No")</f>
        <v>No</v>
      </c>
      <c r="AN397" s="183" t="str">
        <f>IFERROR(__xludf.DUMMYFUNCTION("QUERY('Volunteer Survey'!O396)"),"Possibly")</f>
        <v>Possibly</v>
      </c>
      <c r="AO397" s="183" t="str">
        <f>IFERROR(__xludf.DUMMYFUNCTION("QUERY('Volunteer Survey'!P396)"),"no preference")</f>
        <v>no preference</v>
      </c>
    </row>
    <row r="398">
      <c r="A398" s="55" t="str">
        <f>IFERROR(__xludf.DUMMYFUNCTION("QUERY('Volunteer Survey'!A792)"),"")</f>
        <v/>
      </c>
      <c r="B398" s="48" t="s">
        <v>322</v>
      </c>
      <c r="C398" s="53"/>
      <c r="D398" s="55"/>
      <c r="E398" s="55"/>
      <c r="F398" s="55" t="b">
        <v>0</v>
      </c>
      <c r="G398" s="55"/>
      <c r="H398" s="53"/>
      <c r="I398" s="53"/>
      <c r="J398" s="55"/>
      <c r="K398" s="55"/>
      <c r="L398" s="55" t="str">
        <f>IFERROR(__xludf.DUMMYFUNCTION("QUERY('Volunteer Survey'!B792)"),"")</f>
        <v/>
      </c>
      <c r="M398" s="55" t="str">
        <f>IFERROR(__xludf.DUMMYFUNCTION("QUERY('Volunteer Survey'!E792)"),"")</f>
        <v/>
      </c>
      <c r="N398" s="55" t="str">
        <f>IFERROR(__xludf.DUMMYFUNCTION("QUERY('Volunteer Survey'!F792)"),"")</f>
        <v/>
      </c>
      <c r="O398" s="48" t="str">
        <f>IFERROR(__xludf.DUMMYFUNCTION("QUERY('Volunteer Survey'!H792)"),"")</f>
        <v/>
      </c>
      <c r="P398" s="55" t="str">
        <f>IFERROR(__xludf.DUMMYFUNCTION("QUERY('Volunteer Survey'!I792)"),"")</f>
        <v/>
      </c>
      <c r="Q398" s="60" t="str">
        <f>IFERROR(__xludf.DUMMYFUNCTION("QUERY('Volunteer Survey'!J792)"),"")</f>
        <v/>
      </c>
      <c r="R398" s="55" t="str">
        <f>IFERROR(__xludf.DUMMYFUNCTION("QUERY('Volunteer Survey'!K792)"),"")</f>
        <v/>
      </c>
      <c r="S398" s="55" t="str">
        <f>IFERROR(__xludf.DUMMYFUNCTION("QUERY('Volunteer Survey'!L792)"),"")</f>
        <v/>
      </c>
      <c r="T398" s="55" t="str">
        <f>IFERROR(__xludf.DUMMYFUNCTION("QUERY('Volunteer Survey'!M792)"),"")</f>
        <v/>
      </c>
      <c r="U398" s="64" t="str">
        <f>IFERROR(__xludf.DUMMYFUNCTION("QUERY('Volunteer Survey'!N792)"),"")</f>
        <v/>
      </c>
      <c r="V398" s="55" t="str">
        <f>IFERROR(__xludf.DUMMYFUNCTION("QUERY('Volunteer Survey'!O792)"),"")</f>
        <v/>
      </c>
      <c r="W398" s="66" t="str">
        <f>IFERROR(__xludf.DUMMYFUNCTION("QUERY('Volunteer Survey'!P792)"),"")</f>
        <v/>
      </c>
      <c r="X398" s="64" t="str">
        <f>IFERROR(__xludf.DUMMYFUNCTION("QUERY('Volunteer Survey'!R792)"),"")</f>
        <v/>
      </c>
      <c r="Y398" s="53"/>
      <c r="Z398" s="182">
        <f>IFERROR(__xludf.DUMMYFUNCTION("QUERY('Volunteer Survey'!A397)"),43855.67079949074)</f>
        <v>43855.6708</v>
      </c>
      <c r="AA398" s="183" t="str">
        <f>IFERROR(__xludf.DUMMYFUNCTION("QUERY('Volunteer Survey'!B397)"),"Stephen Wicks ")</f>
        <v>Stephen Wicks </v>
      </c>
      <c r="AB398" s="183" t="str">
        <f>IFERROR(__xludf.DUMMYFUNCTION("QUERY('Volunteer Survey'!C397)"),"University of Colorado")</f>
        <v>University of Colorado</v>
      </c>
      <c r="AC398" s="183" t="str">
        <f>IFERROR(__xludf.DUMMYFUNCTION("QUERY('Volunteer Survey'!D397)"),"13001 E. 17th Place, MS F563 Building 500, Aurora, CO. 80045")</f>
        <v>13001 E. 17th Place, MS F563 Building 500, Aurora, CO. 80045</v>
      </c>
      <c r="AD398" s="183" t="str">
        <f>IFERROR(__xludf.DUMMYFUNCTION("QUERY('Volunteer Survey'!E397)"),"stephenwicks1@gmail.com")</f>
        <v>stephenwicks1@gmail.com</v>
      </c>
      <c r="AE398" s="183" t="str">
        <f>IFERROR(__xludf.DUMMYFUNCTION("QUERY('Volunteer Survey'!F397)"),"Post Doc/Resident/Fellow (MD and/or PhD)")</f>
        <v>Post Doc/Resident/Fellow (MD and/or PhD)</v>
      </c>
      <c r="AF398" s="183" t="str">
        <f>IFERROR(__xludf.DUMMYFUNCTION("QUERY('Volunteer Survey'!G397)"),"Colleagues")</f>
        <v>Colleagues</v>
      </c>
      <c r="AG398" s="183" t="str">
        <f>IFERROR(__xludf.DUMMYFUNCTION("QUERY('Volunteer Survey'!H397)"),"I am more interested in becoming an active member of a curation group. I am willing to attend conference calls, as well as spend time outside of calls performing curation and entering information into ClinGen interfaces (estimated 8-10 hours of participat"&amp;"ion per month)")</f>
        <v>I am more interested in becoming an active member of a curation group. I am willing to attend conference calls, as well as spend time outside of calls performing curation and entering information into ClinGen interfaces (estimated 8-10 hours of participation per month)</v>
      </c>
      <c r="AH398" s="183" t="str">
        <f>IFERROR(__xludf.DUMMYFUNCTION("QUERY('Volunteer Survey'!I397)"),"Somatic Cancer")</f>
        <v>Somatic Cancer</v>
      </c>
      <c r="AI398" s="183" t="str">
        <f>IFERROR(__xludf.DUMMYFUNCTION("QUERY('Volunteer Survey'!J397)"),"Variant Pathogenicity")</f>
        <v>Variant Pathogenicity</v>
      </c>
      <c r="AJ398" s="183" t="str">
        <f>IFERROR(__xludf.DUMMYFUNCTION("QUERY('Volunteer Survey'!K397)"),"Dosage Sensitivity")</f>
        <v>Dosage Sensitivity</v>
      </c>
      <c r="AK398" s="183" t="str">
        <f>IFERROR(__xludf.DUMMYFUNCTION("QUERY('Volunteer Survey'!L397)"),"Clinical Actionability")</f>
        <v>Clinical Actionability</v>
      </c>
      <c r="AL398" s="183" t="str">
        <f>IFERROR(__xludf.DUMMYFUNCTION("QUERY('Volunteer Survey'!M397)"),"Gene-Disease Validity")</f>
        <v>Gene-Disease Validity</v>
      </c>
      <c r="AM398" s="183" t="str">
        <f>IFERROR(__xludf.DUMMYFUNCTION("QUERY('Volunteer Survey'!N397)"),"Have been signing out both hematological and solid tumor cancer clinical cases from adult and pediatric populations.")</f>
        <v>Have been signing out both hematological and solid tumor cancer clinical cases from adult and pediatric populations.</v>
      </c>
      <c r="AN398" s="183" t="str">
        <f>IFERROR(__xludf.DUMMYFUNCTION("QUERY('Volunteer Survey'!O397)"),"Yes")</f>
        <v>Yes</v>
      </c>
      <c r="AO398" s="183" t="str">
        <f>IFERROR(__xludf.DUMMYFUNCTION("QUERY('Volunteer Survey'!P397)"),"Somatic Cancer WG / Hereditary Cancer Panel")</f>
        <v>Somatic Cancer WG / Hereditary Cancer Panel</v>
      </c>
    </row>
    <row r="399">
      <c r="A399" s="55" t="str">
        <f>IFERROR(__xludf.DUMMYFUNCTION("QUERY('Volunteer Survey'!A793)"),"")</f>
        <v/>
      </c>
      <c r="B399" s="48" t="s">
        <v>322</v>
      </c>
      <c r="C399" s="53"/>
      <c r="D399" s="55"/>
      <c r="E399" s="55"/>
      <c r="F399" s="55" t="b">
        <v>0</v>
      </c>
      <c r="G399" s="55"/>
      <c r="H399" s="53"/>
      <c r="I399" s="53"/>
      <c r="J399" s="55"/>
      <c r="K399" s="55"/>
      <c r="L399" s="55" t="str">
        <f>IFERROR(__xludf.DUMMYFUNCTION("QUERY('Volunteer Survey'!B793)"),"")</f>
        <v/>
      </c>
      <c r="M399" s="55" t="str">
        <f>IFERROR(__xludf.DUMMYFUNCTION("QUERY('Volunteer Survey'!E793)"),"")</f>
        <v/>
      </c>
      <c r="N399" s="55" t="str">
        <f>IFERROR(__xludf.DUMMYFUNCTION("QUERY('Volunteer Survey'!F793)"),"")</f>
        <v/>
      </c>
      <c r="O399" s="48" t="str">
        <f>IFERROR(__xludf.DUMMYFUNCTION("QUERY('Volunteer Survey'!H793)"),"")</f>
        <v/>
      </c>
      <c r="P399" s="55" t="str">
        <f>IFERROR(__xludf.DUMMYFUNCTION("QUERY('Volunteer Survey'!I793)"),"")</f>
        <v/>
      </c>
      <c r="Q399" s="60" t="str">
        <f>IFERROR(__xludf.DUMMYFUNCTION("QUERY('Volunteer Survey'!J793)"),"")</f>
        <v/>
      </c>
      <c r="R399" s="55" t="str">
        <f>IFERROR(__xludf.DUMMYFUNCTION("QUERY('Volunteer Survey'!K793)"),"")</f>
        <v/>
      </c>
      <c r="S399" s="55" t="str">
        <f>IFERROR(__xludf.DUMMYFUNCTION("QUERY('Volunteer Survey'!L793)"),"")</f>
        <v/>
      </c>
      <c r="T399" s="55" t="str">
        <f>IFERROR(__xludf.DUMMYFUNCTION("QUERY('Volunteer Survey'!M793)"),"")</f>
        <v/>
      </c>
      <c r="U399" s="64" t="str">
        <f>IFERROR(__xludf.DUMMYFUNCTION("QUERY('Volunteer Survey'!N793)"),"")</f>
        <v/>
      </c>
      <c r="V399" s="55" t="str">
        <f>IFERROR(__xludf.DUMMYFUNCTION("QUERY('Volunteer Survey'!O793)"),"")</f>
        <v/>
      </c>
      <c r="W399" s="66" t="str">
        <f>IFERROR(__xludf.DUMMYFUNCTION("QUERY('Volunteer Survey'!P793)"),"")</f>
        <v/>
      </c>
      <c r="X399" s="64" t="str">
        <f>IFERROR(__xludf.DUMMYFUNCTION("QUERY('Volunteer Survey'!R793)"),"")</f>
        <v/>
      </c>
      <c r="Y399" s="53"/>
      <c r="Z399" s="182">
        <f>IFERROR(__xludf.DUMMYFUNCTION("QUERY('Volunteer Survey'!A398)"),43855.81422399305)</f>
        <v>43855.81422</v>
      </c>
      <c r="AA399" s="183" t="str">
        <f>IFERROR(__xludf.DUMMYFUNCTION("QUERY('Volunteer Survey'!B398)"),"Saurav Guha")</f>
        <v>Saurav Guha</v>
      </c>
      <c r="AB399" s="183" t="str">
        <f>IFERROR(__xludf.DUMMYFUNCTION("QUERY('Volunteer Survey'!C398)"),"New York Genome Center")</f>
        <v>New York Genome Center</v>
      </c>
      <c r="AC399" s="183" t="str">
        <f>IFERROR(__xludf.DUMMYFUNCTION("QUERY('Volunteer Survey'!D398)"),"101 6th Ave, New York, NY 10013")</f>
        <v>101 6th Ave, New York, NY 10013</v>
      </c>
      <c r="AD399" s="183" t="str">
        <f>IFERROR(__xludf.DUMMYFUNCTION("QUERY('Volunteer Survey'!E398)"),"sauravguha@gmail.com")</f>
        <v>sauravguha@gmail.com</v>
      </c>
      <c r="AE399" s="183" t="str">
        <f>IFERROR(__xludf.DUMMYFUNCTION("QUERY('Volunteer Survey'!F398)"),"Clinical laboratory geneticist")</f>
        <v>Clinical laboratory geneticist</v>
      </c>
      <c r="AF399" s="183" t="str">
        <f>IFERROR(__xludf.DUMMYFUNCTION("QUERY('Volunteer Survey'!G398)"),"ACMG Conference 2019, ClinGen conference advertisements (i.e. booth, workshop, presentation), Networking, Colleagues, ClinGen affiliated emails and/or newsletters, The clinicalgenome.org website, The Community Curation Committee webpage")</f>
        <v>ACMG Conference 2019, ClinGen conference advertisements (i.e. booth, workshop, presentation), Networking, Colleagues, ClinGen affiliated emails and/or newsletters, The clinicalgenome.org website, The Community Curation Committee webpage</v>
      </c>
      <c r="AG399" s="183" t="str">
        <f>IFERROR(__xludf.DUMMYFUNCTION("QUERY('Volunteer Survey'!H398)"),"I am more interested in participating as time allows. I am willing to read scientific articles and identify evidence that may be useful for ClinGen curation activities at my own pace")</f>
        <v>I am more interested in participating as time allows. I am willing to read scientific articles and identify evidence that may be useful for ClinGen curation activities at my own pace</v>
      </c>
      <c r="AH399" s="183" t="str">
        <f>IFERROR(__xludf.DUMMYFUNCTION("QUERY('Volunteer Survey'!I398)"),"Variant Pathogenicity")</f>
        <v>Variant Pathogenicity</v>
      </c>
      <c r="AI399" s="183" t="str">
        <f>IFERROR(__xludf.DUMMYFUNCTION("QUERY('Volunteer Survey'!J398)"),"Gene-Disease Validity")</f>
        <v>Gene-Disease Validity</v>
      </c>
      <c r="AJ399" s="183" t="str">
        <f>IFERROR(__xludf.DUMMYFUNCTION("QUERY('Volunteer Survey'!K398)"),"Clinical Actionability")</f>
        <v>Clinical Actionability</v>
      </c>
      <c r="AK399" s="183" t="str">
        <f>IFERROR(__xludf.DUMMYFUNCTION("QUERY('Volunteer Survey'!L398)"),"Dosage Sensitivity")</f>
        <v>Dosage Sensitivity</v>
      </c>
      <c r="AL399" s="183" t="str">
        <f>IFERROR(__xludf.DUMMYFUNCTION("QUERY('Volunteer Survey'!M398)"),"")</f>
        <v/>
      </c>
      <c r="AM399" s="183" t="str">
        <f>IFERROR(__xludf.DUMMYFUNCTION("QUERY('Volunteer Survey'!N398)"),"Yes, I do regularly classify and report genetic variants. ")</f>
        <v>Yes, I do regularly classify and report genetic variants. </v>
      </c>
      <c r="AN399" s="183" t="str">
        <f>IFERROR(__xludf.DUMMYFUNCTION("QUERY('Volunteer Survey'!O398)"),"Yes")</f>
        <v>Yes</v>
      </c>
      <c r="AO399" s="183" t="str">
        <f>IFERROR(__xludf.DUMMYFUNCTION("QUERY('Volunteer Survey'!P398)"),"Neurodevelopmental Disorders CDWG")</f>
        <v>Neurodevelopmental Disorders CDWG</v>
      </c>
    </row>
    <row r="400">
      <c r="A400" s="55" t="str">
        <f>IFERROR(__xludf.DUMMYFUNCTION("QUERY('Volunteer Survey'!A794)"),"")</f>
        <v/>
      </c>
      <c r="B400" s="48" t="s">
        <v>322</v>
      </c>
      <c r="C400" s="53"/>
      <c r="D400" s="55"/>
      <c r="E400" s="55"/>
      <c r="F400" s="55" t="b">
        <v>0</v>
      </c>
      <c r="G400" s="55"/>
      <c r="H400" s="53"/>
      <c r="I400" s="53"/>
      <c r="J400" s="55"/>
      <c r="K400" s="55"/>
      <c r="L400" s="55" t="str">
        <f>IFERROR(__xludf.DUMMYFUNCTION("QUERY('Volunteer Survey'!B794)"),"")</f>
        <v/>
      </c>
      <c r="M400" s="55" t="str">
        <f>IFERROR(__xludf.DUMMYFUNCTION("QUERY('Volunteer Survey'!E794)"),"")</f>
        <v/>
      </c>
      <c r="N400" s="55" t="str">
        <f>IFERROR(__xludf.DUMMYFUNCTION("QUERY('Volunteer Survey'!F794)"),"")</f>
        <v/>
      </c>
      <c r="O400" s="48" t="str">
        <f>IFERROR(__xludf.DUMMYFUNCTION("QUERY('Volunteer Survey'!H794)"),"")</f>
        <v/>
      </c>
      <c r="P400" s="55" t="str">
        <f>IFERROR(__xludf.DUMMYFUNCTION("QUERY('Volunteer Survey'!I794)"),"")</f>
        <v/>
      </c>
      <c r="Q400" s="60" t="str">
        <f>IFERROR(__xludf.DUMMYFUNCTION("QUERY('Volunteer Survey'!J794)"),"")</f>
        <v/>
      </c>
      <c r="R400" s="55" t="str">
        <f>IFERROR(__xludf.DUMMYFUNCTION("QUERY('Volunteer Survey'!K794)"),"")</f>
        <v/>
      </c>
      <c r="S400" s="55" t="str">
        <f>IFERROR(__xludf.DUMMYFUNCTION("QUERY('Volunteer Survey'!L794)"),"")</f>
        <v/>
      </c>
      <c r="T400" s="55" t="str">
        <f>IFERROR(__xludf.DUMMYFUNCTION("QUERY('Volunteer Survey'!M794)"),"")</f>
        <v/>
      </c>
      <c r="U400" s="64" t="str">
        <f>IFERROR(__xludf.DUMMYFUNCTION("QUERY('Volunteer Survey'!N794)"),"")</f>
        <v/>
      </c>
      <c r="V400" s="55" t="str">
        <f>IFERROR(__xludf.DUMMYFUNCTION("QUERY('Volunteer Survey'!O794)"),"")</f>
        <v/>
      </c>
      <c r="W400" s="66" t="str">
        <f>IFERROR(__xludf.DUMMYFUNCTION("QUERY('Volunteer Survey'!P794)"),"")</f>
        <v/>
      </c>
      <c r="X400" s="64" t="str">
        <f>IFERROR(__xludf.DUMMYFUNCTION("QUERY('Volunteer Survey'!R794)"),"")</f>
        <v/>
      </c>
      <c r="Y400" s="53"/>
      <c r="Z400" s="182">
        <f>IFERROR(__xludf.DUMMYFUNCTION("QUERY('Volunteer Survey'!A399)"),43856.76751327546)</f>
        <v>43856.76751</v>
      </c>
      <c r="AA400" s="183" t="str">
        <f>IFERROR(__xludf.DUMMYFUNCTION("QUERY('Volunteer Survey'!B399)"),"Hannah Lilligren")</f>
        <v>Hannah Lilligren</v>
      </c>
      <c r="AB400" s="183" t="str">
        <f>IFERROR(__xludf.DUMMYFUNCTION("QUERY('Volunteer Survey'!C399)"),"Keck Graduate Institute")</f>
        <v>Keck Graduate Institute</v>
      </c>
      <c r="AC400" s="183" t="str">
        <f>IFERROR(__xludf.DUMMYFUNCTION("QUERY('Volunteer Survey'!D399)"),"305 Pueblo Road, Corona, CA 92882")</f>
        <v>305 Pueblo Road, Corona, CA 92882</v>
      </c>
      <c r="AD400" s="183" t="str">
        <f>IFERROR(__xludf.DUMMYFUNCTION("QUERY('Volunteer Survey'!E399)"),"hannah.lilligren@gmail.com")</f>
        <v>hannah.lilligren@gmail.com</v>
      </c>
      <c r="AE400" s="183" t="str">
        <f>IFERROR(__xludf.DUMMYFUNCTION("QUERY('Volunteer Survey'!F399)"),"Graduate Student")</f>
        <v>Graduate Student</v>
      </c>
      <c r="AF400" s="183" t="str">
        <f>IFERROR(__xludf.DUMMYFUNCTION("QUERY('Volunteer Survey'!G399)"),"Suggestion from mentor")</f>
        <v>Suggestion from mentor</v>
      </c>
      <c r="AG400" s="183" t="str">
        <f>IFERROR(__xludf.DUMMYFUNCTION("QUERY('Volunteer Survey'!H399)"),"I am more interested in participating as time allows. I am willing to read scientific articles and identify evidence that may be useful for ClinGen curation activities at my own pace")</f>
        <v>I am more interested in participating as time allows. I am willing to read scientific articles and identify evidence that may be useful for ClinGen curation activities at my own pace</v>
      </c>
      <c r="AH400" s="183" t="str">
        <f>IFERROR(__xludf.DUMMYFUNCTION("QUERY('Volunteer Survey'!I399)"),"Variant Pathogenicity")</f>
        <v>Variant Pathogenicity</v>
      </c>
      <c r="AI400" s="183" t="str">
        <f>IFERROR(__xludf.DUMMYFUNCTION("QUERY('Volunteer Survey'!J399)"),"Clinical Actionability")</f>
        <v>Clinical Actionability</v>
      </c>
      <c r="AJ400" s="183" t="str">
        <f>IFERROR(__xludf.DUMMYFUNCTION("QUERY('Volunteer Survey'!K399)"),"Gene-Disease Validity")</f>
        <v>Gene-Disease Validity</v>
      </c>
      <c r="AK400" s="183" t="str">
        <f>IFERROR(__xludf.DUMMYFUNCTION("QUERY('Volunteer Survey'!L399)"),"Dosage Sensitivity")</f>
        <v>Dosage Sensitivity</v>
      </c>
      <c r="AL400" s="183" t="str">
        <f>IFERROR(__xludf.DUMMYFUNCTION("QUERY('Volunteer Survey'!M399)"),"Somatic Cancer")</f>
        <v>Somatic Cancer</v>
      </c>
      <c r="AM400" s="183" t="str">
        <f>IFERROR(__xludf.DUMMYFUNCTION("QUERY('Volunteer Survey'!N399)"),"")</f>
        <v/>
      </c>
      <c r="AN400" s="183" t="str">
        <f>IFERROR(__xludf.DUMMYFUNCTION("QUERY('Volunteer Survey'!O399)"),"Possibly")</f>
        <v>Possibly</v>
      </c>
      <c r="AO400" s="183" t="str">
        <f>IFERROR(__xludf.DUMMYFUNCTION("QUERY('Volunteer Survey'!P399)"),"")</f>
        <v/>
      </c>
    </row>
    <row r="401">
      <c r="A401" s="55" t="str">
        <f>IFERROR(__xludf.DUMMYFUNCTION("QUERY('Volunteer Survey'!A795)"),"")</f>
        <v/>
      </c>
      <c r="B401" s="48" t="s">
        <v>322</v>
      </c>
      <c r="C401" s="53"/>
      <c r="D401" s="55"/>
      <c r="E401" s="55"/>
      <c r="F401" s="55" t="b">
        <v>0</v>
      </c>
      <c r="G401" s="55"/>
      <c r="H401" s="53"/>
      <c r="I401" s="53"/>
      <c r="J401" s="55"/>
      <c r="K401" s="55"/>
      <c r="L401" s="55" t="str">
        <f>IFERROR(__xludf.DUMMYFUNCTION("QUERY('Volunteer Survey'!B795)"),"")</f>
        <v/>
      </c>
      <c r="M401" s="55" t="str">
        <f>IFERROR(__xludf.DUMMYFUNCTION("QUERY('Volunteer Survey'!E795)"),"")</f>
        <v/>
      </c>
      <c r="N401" s="55" t="str">
        <f>IFERROR(__xludf.DUMMYFUNCTION("QUERY('Volunteer Survey'!F795)"),"")</f>
        <v/>
      </c>
      <c r="O401" s="48" t="str">
        <f>IFERROR(__xludf.DUMMYFUNCTION("QUERY('Volunteer Survey'!H795)"),"")</f>
        <v/>
      </c>
      <c r="P401" s="55" t="str">
        <f>IFERROR(__xludf.DUMMYFUNCTION("QUERY('Volunteer Survey'!I795)"),"")</f>
        <v/>
      </c>
      <c r="Q401" s="60" t="str">
        <f>IFERROR(__xludf.DUMMYFUNCTION("QUERY('Volunteer Survey'!J795)"),"")</f>
        <v/>
      </c>
      <c r="R401" s="55" t="str">
        <f>IFERROR(__xludf.DUMMYFUNCTION("QUERY('Volunteer Survey'!K795)"),"")</f>
        <v/>
      </c>
      <c r="S401" s="55" t="str">
        <f>IFERROR(__xludf.DUMMYFUNCTION("QUERY('Volunteer Survey'!L795)"),"")</f>
        <v/>
      </c>
      <c r="T401" s="55" t="str">
        <f>IFERROR(__xludf.DUMMYFUNCTION("QUERY('Volunteer Survey'!M795)"),"")</f>
        <v/>
      </c>
      <c r="U401" s="64" t="str">
        <f>IFERROR(__xludf.DUMMYFUNCTION("QUERY('Volunteer Survey'!N795)"),"")</f>
        <v/>
      </c>
      <c r="V401" s="55" t="str">
        <f>IFERROR(__xludf.DUMMYFUNCTION("QUERY('Volunteer Survey'!O795)"),"")</f>
        <v/>
      </c>
      <c r="W401" s="66" t="str">
        <f>IFERROR(__xludf.DUMMYFUNCTION("QUERY('Volunteer Survey'!P795)"),"")</f>
        <v/>
      </c>
      <c r="X401" s="64" t="str">
        <f>IFERROR(__xludf.DUMMYFUNCTION("QUERY('Volunteer Survey'!R795)"),"")</f>
        <v/>
      </c>
      <c r="Y401" s="53"/>
      <c r="Z401" s="182">
        <f>IFERROR(__xludf.DUMMYFUNCTION("QUERY('Volunteer Survey'!A400)"),43859.26483828704)</f>
        <v>43859.26484</v>
      </c>
      <c r="AA401" s="183" t="str">
        <f>IFERROR(__xludf.DUMMYFUNCTION("QUERY('Volunteer Survey'!B400)"),"Saja El Yaacoub")</f>
        <v>Saja El Yaacoub</v>
      </c>
      <c r="AB401" s="183" t="str">
        <f>IFERROR(__xludf.DUMMYFUNCTION("QUERY('Volunteer Survey'!C400)"),"Arizona State University")</f>
        <v>Arizona State University</v>
      </c>
      <c r="AC401" s="183" t="str">
        <f>IFERROR(__xludf.DUMMYFUNCTION("QUERY('Volunteer Survey'!D400)"),"")</f>
        <v/>
      </c>
      <c r="AD401" s="183" t="str">
        <f>IFERROR(__xludf.DUMMYFUNCTION("QUERY('Volunteer Survey'!E400)"),"saja.alyaacoub@live.com")</f>
        <v>saja.alyaacoub@live.com</v>
      </c>
      <c r="AE401" s="183" t="str">
        <f>IFERROR(__xludf.DUMMYFUNCTION("QUERY('Volunteer Survey'!F400)"),"Graduate Student")</f>
        <v>Graduate Student</v>
      </c>
      <c r="AF401" s="183" t="str">
        <f>IFERROR(__xludf.DUMMYFUNCTION("QUERY('Volunteer Survey'!G400)"),"The clinicalgenome.org website")</f>
        <v>The clinicalgenome.org website</v>
      </c>
      <c r="AG401" s="183" t="str">
        <f>IFERROR(__xludf.DUMMYFUNCTION("QUERY('Volunteer Survey'!H400)"),"I am more interested in becoming an active member of a curation group. I am willing to attend conference calls, as well as spend time outside of calls performing curation and entering information into ClinGen interfaces (estimated 8-10 hours of participat"&amp;"ion per month)")</f>
        <v>I am more interested in becoming an active member of a curation group. I am willing to attend conference calls, as well as spend time outside of calls performing curation and entering information into ClinGen interfaces (estimated 8-10 hours of participation per month)</v>
      </c>
      <c r="AH401" s="183" t="str">
        <f>IFERROR(__xludf.DUMMYFUNCTION("QUERY('Volunteer Survey'!I400)"),"Gene-Disease Validity")</f>
        <v>Gene-Disease Validity</v>
      </c>
      <c r="AI401" s="183" t="str">
        <f>IFERROR(__xludf.DUMMYFUNCTION("QUERY('Volunteer Survey'!J400)"),"Variant Pathogenicity")</f>
        <v>Variant Pathogenicity</v>
      </c>
      <c r="AJ401" s="183" t="str">
        <f>IFERROR(__xludf.DUMMYFUNCTION("QUERY('Volunteer Survey'!K400)"),"Somatic Cancer")</f>
        <v>Somatic Cancer</v>
      </c>
      <c r="AK401" s="183" t="str">
        <f>IFERROR(__xludf.DUMMYFUNCTION("QUERY('Volunteer Survey'!L400)"),"Dosage Sensitivity")</f>
        <v>Dosage Sensitivity</v>
      </c>
      <c r="AL401" s="183" t="str">
        <f>IFERROR(__xludf.DUMMYFUNCTION("QUERY('Volunteer Survey'!M400)"),"Clinical Actionability")</f>
        <v>Clinical Actionability</v>
      </c>
      <c r="AM401" s="183" t="str">
        <f>IFERROR(__xludf.DUMMYFUNCTION("QUERY('Volunteer Survey'!N400)"),"")</f>
        <v/>
      </c>
      <c r="AN401" s="183" t="str">
        <f>IFERROR(__xludf.DUMMYFUNCTION("QUERY('Volunteer Survey'!O400)"),"Possibly")</f>
        <v>Possibly</v>
      </c>
      <c r="AO401" s="183" t="str">
        <f>IFERROR(__xludf.DUMMYFUNCTION("QUERY('Volunteer Survey'!P400)"),"DICER1, Colorectal Cancer, or inhereted retinal diseases")</f>
        <v>DICER1, Colorectal Cancer, or inhereted retinal diseases</v>
      </c>
    </row>
    <row r="402">
      <c r="A402" s="55" t="str">
        <f>IFERROR(__xludf.DUMMYFUNCTION("QUERY('Volunteer Survey'!A796)"),"")</f>
        <v/>
      </c>
      <c r="B402" s="48" t="s">
        <v>322</v>
      </c>
      <c r="C402" s="53"/>
      <c r="D402" s="55"/>
      <c r="E402" s="55"/>
      <c r="F402" s="55" t="b">
        <v>0</v>
      </c>
      <c r="G402" s="55"/>
      <c r="H402" s="53"/>
      <c r="I402" s="53"/>
      <c r="J402" s="55"/>
      <c r="K402" s="55"/>
      <c r="L402" s="55" t="str">
        <f>IFERROR(__xludf.DUMMYFUNCTION("QUERY('Volunteer Survey'!B796)"),"")</f>
        <v/>
      </c>
      <c r="M402" s="55" t="str">
        <f>IFERROR(__xludf.DUMMYFUNCTION("QUERY('Volunteer Survey'!E796)"),"")</f>
        <v/>
      </c>
      <c r="N402" s="55" t="str">
        <f>IFERROR(__xludf.DUMMYFUNCTION("QUERY('Volunteer Survey'!F796)"),"")</f>
        <v/>
      </c>
      <c r="O402" s="48" t="str">
        <f>IFERROR(__xludf.DUMMYFUNCTION("QUERY('Volunteer Survey'!H796)"),"")</f>
        <v/>
      </c>
      <c r="P402" s="55" t="str">
        <f>IFERROR(__xludf.DUMMYFUNCTION("QUERY('Volunteer Survey'!I796)"),"")</f>
        <v/>
      </c>
      <c r="Q402" s="60" t="str">
        <f>IFERROR(__xludf.DUMMYFUNCTION("QUERY('Volunteer Survey'!J796)"),"")</f>
        <v/>
      </c>
      <c r="R402" s="55" t="str">
        <f>IFERROR(__xludf.DUMMYFUNCTION("QUERY('Volunteer Survey'!K796)"),"")</f>
        <v/>
      </c>
      <c r="S402" s="55" t="str">
        <f>IFERROR(__xludf.DUMMYFUNCTION("QUERY('Volunteer Survey'!L796)"),"")</f>
        <v/>
      </c>
      <c r="T402" s="55" t="str">
        <f>IFERROR(__xludf.DUMMYFUNCTION("QUERY('Volunteer Survey'!M796)"),"")</f>
        <v/>
      </c>
      <c r="U402" s="64" t="str">
        <f>IFERROR(__xludf.DUMMYFUNCTION("QUERY('Volunteer Survey'!N796)"),"")</f>
        <v/>
      </c>
      <c r="V402" s="55" t="str">
        <f>IFERROR(__xludf.DUMMYFUNCTION("QUERY('Volunteer Survey'!O796)"),"")</f>
        <v/>
      </c>
      <c r="W402" s="66" t="str">
        <f>IFERROR(__xludf.DUMMYFUNCTION("QUERY('Volunteer Survey'!P796)"),"")</f>
        <v/>
      </c>
      <c r="X402" s="64" t="str">
        <f>IFERROR(__xludf.DUMMYFUNCTION("QUERY('Volunteer Survey'!R796)"),"")</f>
        <v/>
      </c>
      <c r="Y402" s="53"/>
      <c r="Z402" s="182">
        <f>IFERROR(__xludf.DUMMYFUNCTION("QUERY('Volunteer Survey'!A401)"),43860.45192450231)</f>
        <v>43860.45192</v>
      </c>
      <c r="AA402" s="183" t="str">
        <f>IFERROR(__xludf.DUMMYFUNCTION("QUERY('Volunteer Survey'!B401)"),"Raiana Barbosa")</f>
        <v>Raiana Barbosa</v>
      </c>
      <c r="AB402" s="183" t="str">
        <f>IFERROR(__xludf.DUMMYFUNCTION("QUERY('Volunteer Survey'!C401)"),"Federal University of Rio de Janeiro")</f>
        <v>Federal University of Rio de Janeiro</v>
      </c>
      <c r="AC402" s="183" t="str">
        <f>IFERROR(__xludf.DUMMYFUNCTION("QUERY('Volunteer Survey'!D401)"),"Av. Carlos Chagas Filho 373 Bloco G - Sala G2-053")</f>
        <v>Av. Carlos Chagas Filho 373 Bloco G - Sala G2-053</v>
      </c>
      <c r="AD402" s="183" t="str">
        <f>IFERROR(__xludf.DUMMYFUNCTION("QUERY('Volunteer Survey'!E401)"),"rapa_andrade@hotmail.com")</f>
        <v>rapa_andrade@hotmail.com</v>
      </c>
      <c r="AE402" s="183" t="str">
        <f>IFERROR(__xludf.DUMMYFUNCTION("QUERY('Volunteer Survey'!F401)"),"Post Doc/Resident/Fellow (MD and/or PhD)")</f>
        <v>Post Doc/Resident/Fellow (MD and/or PhD)</v>
      </c>
      <c r="AF402" s="183" t="str">
        <f>IFERROR(__xludf.DUMMYFUNCTION("QUERY('Volunteer Survey'!G401)"),"Colleagues")</f>
        <v>Colleagues</v>
      </c>
      <c r="AG402" s="183" t="str">
        <f>IFERROR(__xludf.DUMMYFUNCTION("QUERY('Volunteer Survey'!H401)"),"I am more interested in becoming an active member of a curation group. I am willing to attend conference calls, as well as spend time outside of calls performing curation and entering information into ClinGen interfaces (estimated 8-10 hours of participat"&amp;"ion per month)")</f>
        <v>I am more interested in becoming an active member of a curation group. I am willing to attend conference calls, as well as spend time outside of calls performing curation and entering information into ClinGen interfaces (estimated 8-10 hours of participation per month)</v>
      </c>
      <c r="AH402" s="183" t="str">
        <f>IFERROR(__xludf.DUMMYFUNCTION("QUERY('Volunteer Survey'!I401)"),"Variant Pathogenicity")</f>
        <v>Variant Pathogenicity</v>
      </c>
      <c r="AI402" s="183" t="str">
        <f>IFERROR(__xludf.DUMMYFUNCTION("QUERY('Volunteer Survey'!J401)"),"Gene-Disease Validity")</f>
        <v>Gene-Disease Validity</v>
      </c>
      <c r="AJ402" s="183" t="str">
        <f>IFERROR(__xludf.DUMMYFUNCTION("QUERY('Volunteer Survey'!K401)"),"Clinical Actionability")</f>
        <v>Clinical Actionability</v>
      </c>
      <c r="AK402" s="183" t="str">
        <f>IFERROR(__xludf.DUMMYFUNCTION("QUERY('Volunteer Survey'!L401)"),"")</f>
        <v/>
      </c>
      <c r="AL402" s="183" t="str">
        <f>IFERROR(__xludf.DUMMYFUNCTION("QUERY('Volunteer Survey'!M401)"),"")</f>
        <v/>
      </c>
      <c r="AM402" s="183" t="str">
        <f>IFERROR(__xludf.DUMMYFUNCTION("QUERY('Volunteer Survey'!N401)"),"No, I don't.")</f>
        <v>No, I don't.</v>
      </c>
      <c r="AN402" s="183" t="str">
        <f>IFERROR(__xludf.DUMMYFUNCTION("QUERY('Volunteer Survey'!O401)"),"Possibly")</f>
        <v>Possibly</v>
      </c>
      <c r="AO402" s="183" t="str">
        <f>IFERROR(__xludf.DUMMYFUNCTION("QUERY('Volunteer Survey'!P401)"),"Yes, I am interested in Familial Hypercholesterolemia and FBN1 panels.")</f>
        <v>Yes, I am interested in Familial Hypercholesterolemia and FBN1 panels.</v>
      </c>
    </row>
    <row r="403">
      <c r="A403" s="55" t="str">
        <f>IFERROR(__xludf.DUMMYFUNCTION("QUERY('Volunteer Survey'!A797)"),"")</f>
        <v/>
      </c>
      <c r="B403" s="48" t="s">
        <v>322</v>
      </c>
      <c r="C403" s="53"/>
      <c r="D403" s="55"/>
      <c r="E403" s="55"/>
      <c r="F403" s="55" t="b">
        <v>0</v>
      </c>
      <c r="G403" s="55"/>
      <c r="H403" s="53"/>
      <c r="I403" s="53"/>
      <c r="J403" s="55"/>
      <c r="K403" s="55"/>
      <c r="L403" s="55" t="str">
        <f>IFERROR(__xludf.DUMMYFUNCTION("QUERY('Volunteer Survey'!B797)"),"")</f>
        <v/>
      </c>
      <c r="M403" s="55" t="str">
        <f>IFERROR(__xludf.DUMMYFUNCTION("QUERY('Volunteer Survey'!E797)"),"")</f>
        <v/>
      </c>
      <c r="N403" s="55" t="str">
        <f>IFERROR(__xludf.DUMMYFUNCTION("QUERY('Volunteer Survey'!F797)"),"")</f>
        <v/>
      </c>
      <c r="O403" s="48" t="str">
        <f>IFERROR(__xludf.DUMMYFUNCTION("QUERY('Volunteer Survey'!H797)"),"")</f>
        <v/>
      </c>
      <c r="P403" s="55" t="str">
        <f>IFERROR(__xludf.DUMMYFUNCTION("QUERY('Volunteer Survey'!I797)"),"")</f>
        <v/>
      </c>
      <c r="Q403" s="60" t="str">
        <f>IFERROR(__xludf.DUMMYFUNCTION("QUERY('Volunteer Survey'!J797)"),"")</f>
        <v/>
      </c>
      <c r="R403" s="55" t="str">
        <f>IFERROR(__xludf.DUMMYFUNCTION("QUERY('Volunteer Survey'!K797)"),"")</f>
        <v/>
      </c>
      <c r="S403" s="55" t="str">
        <f>IFERROR(__xludf.DUMMYFUNCTION("QUERY('Volunteer Survey'!L797)"),"")</f>
        <v/>
      </c>
      <c r="T403" s="55" t="str">
        <f>IFERROR(__xludf.DUMMYFUNCTION("QUERY('Volunteer Survey'!M797)"),"")</f>
        <v/>
      </c>
      <c r="U403" s="64" t="str">
        <f>IFERROR(__xludf.DUMMYFUNCTION("QUERY('Volunteer Survey'!N797)"),"")</f>
        <v/>
      </c>
      <c r="V403" s="55" t="str">
        <f>IFERROR(__xludf.DUMMYFUNCTION("QUERY('Volunteer Survey'!O797)"),"")</f>
        <v/>
      </c>
      <c r="W403" s="66" t="str">
        <f>IFERROR(__xludf.DUMMYFUNCTION("QUERY('Volunteer Survey'!P797)"),"")</f>
        <v/>
      </c>
      <c r="X403" s="64" t="str">
        <f>IFERROR(__xludf.DUMMYFUNCTION("QUERY('Volunteer Survey'!R797)"),"")</f>
        <v/>
      </c>
      <c r="Y403" s="53"/>
      <c r="Z403" s="182">
        <f>IFERROR(__xludf.DUMMYFUNCTION("QUERY('Volunteer Survey'!A402)"),43861.46703011574)</f>
        <v>43861.46703</v>
      </c>
      <c r="AA403" s="183" t="str">
        <f>IFERROR(__xludf.DUMMYFUNCTION("QUERY('Volunteer Survey'!B402)"),"Sarada Gandhi Kolli")</f>
        <v>Sarada Gandhi Kolli</v>
      </c>
      <c r="AB403" s="183" t="str">
        <f>IFERROR(__xludf.DUMMYFUNCTION("QUERY('Volunteer Survey'!C402)"),"Mater Misericordiae University Hospital")</f>
        <v>Mater Misericordiae University Hospital</v>
      </c>
      <c r="AC403" s="183" t="str">
        <f>IFERROR(__xludf.DUMMYFUNCTION("QUERY('Volunteer Survey'!D402)"),"Next generation Sequencing Lab, Mater Misericordiae University Hospital, Mater Misericordiae Wing Level 0, Mortuary entrance, North Circular Road, Dublin 7, D07 R2WY")</f>
        <v>Next generation Sequencing Lab, Mater Misericordiae University Hospital, Mater Misericordiae Wing Level 0, Mortuary entrance, North Circular Road, Dublin 7, D07 R2WY</v>
      </c>
      <c r="AD403" s="183" t="str">
        <f>IFERROR(__xludf.DUMMYFUNCTION("QUERY('Volunteer Survey'!E402)"),"saradagandhikolli@mater.ie")</f>
        <v>saradagandhikolli@mater.ie</v>
      </c>
      <c r="AE403" s="183" t="str">
        <f>IFERROR(__xludf.DUMMYFUNCTION("QUERY('Volunteer Survey'!F402)"),"Variant Analyst/Scientist - Academic")</f>
        <v>Variant Analyst/Scientist - Academic</v>
      </c>
      <c r="AF403" s="183" t="str">
        <f>IFERROR(__xludf.DUMMYFUNCTION("QUERY('Volunteer Survey'!G402)"),"Suggestion from mentor")</f>
        <v>Suggestion from mentor</v>
      </c>
      <c r="AG403" s="183" t="str">
        <f>IFERROR(__xludf.DUMMYFUNCTION("QUERY('Volunteer Survey'!H402)"),"I am more interested in becoming an active member of a curation group. I am willing to attend conference calls, as well as spend time outside of calls performing curation and entering information into ClinGen interfaces (estimated 8-10 hours of participat"&amp;"ion per month)")</f>
        <v>I am more interested in becoming an active member of a curation group. I am willing to attend conference calls, as well as spend time outside of calls performing curation and entering information into ClinGen interfaces (estimated 8-10 hours of participation per month)</v>
      </c>
      <c r="AH403" s="183" t="str">
        <f>IFERROR(__xludf.DUMMYFUNCTION("QUERY('Volunteer Survey'!I402)"),"Variant Pathogenicity")</f>
        <v>Variant Pathogenicity</v>
      </c>
      <c r="AI403" s="183" t="str">
        <f>IFERROR(__xludf.DUMMYFUNCTION("QUERY('Volunteer Survey'!J402)"),"Gene-Disease Validity")</f>
        <v>Gene-Disease Validity</v>
      </c>
      <c r="AJ403" s="183" t="str">
        <f>IFERROR(__xludf.DUMMYFUNCTION("QUERY('Volunteer Survey'!K402)"),"")</f>
        <v/>
      </c>
      <c r="AK403" s="183" t="str">
        <f>IFERROR(__xludf.DUMMYFUNCTION("QUERY('Volunteer Survey'!L402)"),"")</f>
        <v/>
      </c>
      <c r="AL403" s="183" t="str">
        <f>IFERROR(__xludf.DUMMYFUNCTION("QUERY('Volunteer Survey'!M402)"),"")</f>
        <v/>
      </c>
      <c r="AM403" s="183" t="str">
        <f>IFERROR(__xludf.DUMMYFUNCTION("QUERY('Volunteer Survey'!N402)"),"Our lab is currently working on classification of pathogenic variants. We are focusing on cardiac variants for now but plan on expanding the departments in the future.")</f>
        <v>Our lab is currently working on classification of pathogenic variants. We are focusing on cardiac variants for now but plan on expanding the departments in the future.</v>
      </c>
      <c r="AN403" s="183" t="str">
        <f>IFERROR(__xludf.DUMMYFUNCTION("QUERY('Volunteer Survey'!O402)"),"No")</f>
        <v>No</v>
      </c>
      <c r="AO403" s="183" t="str">
        <f>IFERROR(__xludf.DUMMYFUNCTION("QUERY('Volunteer Survey'!P402)"),"")</f>
        <v/>
      </c>
    </row>
    <row r="404">
      <c r="A404" s="55" t="str">
        <f>IFERROR(__xludf.DUMMYFUNCTION("QUERY('Volunteer Survey'!A798)"),"")</f>
        <v/>
      </c>
      <c r="B404" s="48" t="s">
        <v>322</v>
      </c>
      <c r="C404" s="53"/>
      <c r="D404" s="55"/>
      <c r="E404" s="55"/>
      <c r="F404" s="55" t="b">
        <v>0</v>
      </c>
      <c r="G404" s="55"/>
      <c r="H404" s="53"/>
      <c r="I404" s="53"/>
      <c r="J404" s="55"/>
      <c r="K404" s="55"/>
      <c r="L404" s="55" t="str">
        <f>IFERROR(__xludf.DUMMYFUNCTION("QUERY('Volunteer Survey'!B798)"),"")</f>
        <v/>
      </c>
      <c r="M404" s="55" t="str">
        <f>IFERROR(__xludf.DUMMYFUNCTION("QUERY('Volunteer Survey'!E798)"),"")</f>
        <v/>
      </c>
      <c r="N404" s="55" t="str">
        <f>IFERROR(__xludf.DUMMYFUNCTION("QUERY('Volunteer Survey'!F798)"),"")</f>
        <v/>
      </c>
      <c r="O404" s="48" t="str">
        <f>IFERROR(__xludf.DUMMYFUNCTION("QUERY('Volunteer Survey'!H798)"),"")</f>
        <v/>
      </c>
      <c r="P404" s="55" t="str">
        <f>IFERROR(__xludf.DUMMYFUNCTION("QUERY('Volunteer Survey'!I798)"),"")</f>
        <v/>
      </c>
      <c r="Q404" s="60" t="str">
        <f>IFERROR(__xludf.DUMMYFUNCTION("QUERY('Volunteer Survey'!J798)"),"")</f>
        <v/>
      </c>
      <c r="R404" s="55" t="str">
        <f>IFERROR(__xludf.DUMMYFUNCTION("QUERY('Volunteer Survey'!K798)"),"")</f>
        <v/>
      </c>
      <c r="S404" s="55" t="str">
        <f>IFERROR(__xludf.DUMMYFUNCTION("QUERY('Volunteer Survey'!L798)"),"")</f>
        <v/>
      </c>
      <c r="T404" s="55" t="str">
        <f>IFERROR(__xludf.DUMMYFUNCTION("QUERY('Volunteer Survey'!M798)"),"")</f>
        <v/>
      </c>
      <c r="U404" s="64" t="str">
        <f>IFERROR(__xludf.DUMMYFUNCTION("QUERY('Volunteer Survey'!N798)"),"")</f>
        <v/>
      </c>
      <c r="V404" s="55" t="str">
        <f>IFERROR(__xludf.DUMMYFUNCTION("QUERY('Volunteer Survey'!O798)"),"")</f>
        <v/>
      </c>
      <c r="W404" s="66" t="str">
        <f>IFERROR(__xludf.DUMMYFUNCTION("QUERY('Volunteer Survey'!P798)"),"")</f>
        <v/>
      </c>
      <c r="X404" s="64" t="str">
        <f>IFERROR(__xludf.DUMMYFUNCTION("QUERY('Volunteer Survey'!R798)"),"")</f>
        <v/>
      </c>
      <c r="Y404" s="53"/>
      <c r="Z404" s="182">
        <f>IFERROR(__xludf.DUMMYFUNCTION("QUERY('Volunteer Survey'!A403)"),43861.726854016204)</f>
        <v>43861.72685</v>
      </c>
      <c r="AA404" s="183" t="str">
        <f>IFERROR(__xludf.DUMMYFUNCTION("QUERY('Volunteer Survey'!B403)"),"Eah Keomanee")</f>
        <v>Eah Keomanee</v>
      </c>
      <c r="AB404" s="183" t="str">
        <f>IFERROR(__xludf.DUMMYFUNCTION("QUERY('Volunteer Survey'!C403)"),"Keck Graduate Institute")</f>
        <v>Keck Graduate Institute</v>
      </c>
      <c r="AC404" s="183" t="str">
        <f>IFERROR(__xludf.DUMMYFUNCTION("QUERY('Volunteer Survey'!D403)"),"101 Bucknell Ave #228-1")</f>
        <v>101 Bucknell Ave #228-1</v>
      </c>
      <c r="AD404" s="183" t="str">
        <f>IFERROR(__xludf.DUMMYFUNCTION("QUERY('Volunteer Survey'!E403)"),"ekeomanee19@students.kgi.edu")</f>
        <v>ekeomanee19@students.kgi.edu</v>
      </c>
      <c r="AE404" s="183" t="str">
        <f>IFERROR(__xludf.DUMMYFUNCTION("QUERY('Volunteer Survey'!F403)"),"Graduate Student")</f>
        <v>Graduate Student</v>
      </c>
      <c r="AF404" s="183" t="str">
        <f>IFERROR(__xludf.DUMMYFUNCTION("QUERY('Volunteer Survey'!G403)"),"The clinicalgenome.org website")</f>
        <v>The clinicalgenome.org website</v>
      </c>
      <c r="AG404" s="183" t="str">
        <f>IFERROR(__xludf.DUMMYFUNCTION("QUERY('Volunteer Survey'!H403)"),"I am more interested in becoming an active member of a curation group. I am willing to attend conference calls, as well as spend time outside of calls performing curation and entering information into ClinGen interfaces (estimated 8-10 hours of participat"&amp;"ion per month)")</f>
        <v>I am more interested in becoming an active member of a curation group. I am willing to attend conference calls, as well as spend time outside of calls performing curation and entering information into ClinGen interfaces (estimated 8-10 hours of participation per month)</v>
      </c>
      <c r="AH404" s="183" t="str">
        <f>IFERROR(__xludf.DUMMYFUNCTION("QUERY('Volunteer Survey'!I403)"),"Gene-Disease Validity")</f>
        <v>Gene-Disease Validity</v>
      </c>
      <c r="AI404" s="183" t="str">
        <f>IFERROR(__xludf.DUMMYFUNCTION("QUERY('Volunteer Survey'!J403)"),"Variant Pathogenicity")</f>
        <v>Variant Pathogenicity</v>
      </c>
      <c r="AJ404" s="183" t="str">
        <f>IFERROR(__xludf.DUMMYFUNCTION("QUERY('Volunteer Survey'!K403)"),"Somatic Cancer")</f>
        <v>Somatic Cancer</v>
      </c>
      <c r="AK404" s="183" t="str">
        <f>IFERROR(__xludf.DUMMYFUNCTION("QUERY('Volunteer Survey'!L403)"),"Dosage Sensitivity")</f>
        <v>Dosage Sensitivity</v>
      </c>
      <c r="AL404" s="183" t="str">
        <f>IFERROR(__xludf.DUMMYFUNCTION("QUERY('Volunteer Survey'!M403)"),"Clinical Actionability")</f>
        <v>Clinical Actionability</v>
      </c>
      <c r="AM404" s="183" t="str">
        <f>IFERROR(__xludf.DUMMYFUNCTION("QUERY('Volunteer Survey'!N403)"),"")</f>
        <v/>
      </c>
      <c r="AN404" s="183" t="str">
        <f>IFERROR(__xludf.DUMMYFUNCTION("QUERY('Volunteer Survey'!O403)"),"Yes")</f>
        <v>Yes</v>
      </c>
      <c r="AO404" s="183" t="str">
        <f>IFERROR(__xludf.DUMMYFUNCTION("QUERY('Volunteer Survey'!P403)"),"")</f>
        <v/>
      </c>
    </row>
    <row r="405">
      <c r="A405" s="55" t="str">
        <f>IFERROR(__xludf.DUMMYFUNCTION("QUERY('Volunteer Survey'!A799)"),"")</f>
        <v/>
      </c>
      <c r="B405" s="48" t="s">
        <v>322</v>
      </c>
      <c r="C405" s="53"/>
      <c r="D405" s="55"/>
      <c r="E405" s="55"/>
      <c r="F405" s="55" t="b">
        <v>0</v>
      </c>
      <c r="G405" s="55"/>
      <c r="H405" s="53"/>
      <c r="I405" s="53"/>
      <c r="J405" s="55"/>
      <c r="K405" s="55"/>
      <c r="L405" s="55" t="str">
        <f>IFERROR(__xludf.DUMMYFUNCTION("QUERY('Volunteer Survey'!B799)"),"")</f>
        <v/>
      </c>
      <c r="M405" s="55" t="str">
        <f>IFERROR(__xludf.DUMMYFUNCTION("QUERY('Volunteer Survey'!E799)"),"")</f>
        <v/>
      </c>
      <c r="N405" s="55" t="str">
        <f>IFERROR(__xludf.DUMMYFUNCTION("QUERY('Volunteer Survey'!F799)"),"")</f>
        <v/>
      </c>
      <c r="O405" s="48" t="str">
        <f>IFERROR(__xludf.DUMMYFUNCTION("QUERY('Volunteer Survey'!H799)"),"")</f>
        <v/>
      </c>
      <c r="P405" s="55" t="str">
        <f>IFERROR(__xludf.DUMMYFUNCTION("QUERY('Volunteer Survey'!I799)"),"")</f>
        <v/>
      </c>
      <c r="Q405" s="60" t="str">
        <f>IFERROR(__xludf.DUMMYFUNCTION("QUERY('Volunteer Survey'!J799)"),"")</f>
        <v/>
      </c>
      <c r="R405" s="55" t="str">
        <f>IFERROR(__xludf.DUMMYFUNCTION("QUERY('Volunteer Survey'!K799)"),"")</f>
        <v/>
      </c>
      <c r="S405" s="55" t="str">
        <f>IFERROR(__xludf.DUMMYFUNCTION("QUERY('Volunteer Survey'!L799)"),"")</f>
        <v/>
      </c>
      <c r="T405" s="55" t="str">
        <f>IFERROR(__xludf.DUMMYFUNCTION("QUERY('Volunteer Survey'!M799)"),"")</f>
        <v/>
      </c>
      <c r="U405" s="64" t="str">
        <f>IFERROR(__xludf.DUMMYFUNCTION("QUERY('Volunteer Survey'!N799)"),"")</f>
        <v/>
      </c>
      <c r="V405" s="55" t="str">
        <f>IFERROR(__xludf.DUMMYFUNCTION("QUERY('Volunteer Survey'!O799)"),"")</f>
        <v/>
      </c>
      <c r="W405" s="66" t="str">
        <f>IFERROR(__xludf.DUMMYFUNCTION("QUERY('Volunteer Survey'!P799)"),"")</f>
        <v/>
      </c>
      <c r="X405" s="64" t="str">
        <f>IFERROR(__xludf.DUMMYFUNCTION("QUERY('Volunteer Survey'!R799)"),"")</f>
        <v/>
      </c>
      <c r="Y405" s="53"/>
      <c r="Z405" s="182">
        <f>IFERROR(__xludf.DUMMYFUNCTION("QUERY('Volunteer Survey'!A404)"),43864.262984016204)</f>
        <v>43864.26298</v>
      </c>
      <c r="AA405" s="183" t="str">
        <f>IFERROR(__xludf.DUMMYFUNCTION("QUERY('Volunteer Survey'!B404)"),"Tiago Fernando Chaves")</f>
        <v>Tiago Fernando Chaves</v>
      </c>
      <c r="AB405" s="183" t="str">
        <f>IFERROR(__xludf.DUMMYFUNCTION("QUERY('Volunteer Survey'!C404)"),"Universidade Federal de Santa Catarina")</f>
        <v>Universidade Federal de Santa Catarina</v>
      </c>
      <c r="AC405" s="183" t="str">
        <f>IFERROR(__xludf.DUMMYFUNCTION("QUERY('Volunteer Survey'!D404)"),"")</f>
        <v/>
      </c>
      <c r="AD405" s="183" t="str">
        <f>IFERROR(__xludf.DUMMYFUNCTION("QUERY('Volunteer Survey'!E404)"),"tiagochavo@msn.com")</f>
        <v>tiagochavo@msn.com</v>
      </c>
      <c r="AE405" s="183" t="str">
        <f>IFERROR(__xludf.DUMMYFUNCTION("QUERY('Volunteer Survey'!F404)"),"Scientific Researcher")</f>
        <v>Scientific Researcher</v>
      </c>
      <c r="AF405" s="183" t="str">
        <f>IFERROR(__xludf.DUMMYFUNCTION("QUERY('Volunteer Survey'!G404)"),"The clinicalgenome.org website")</f>
        <v>The clinicalgenome.org website</v>
      </c>
      <c r="AG405" s="183" t="str">
        <f>IFERROR(__xludf.DUMMYFUNCTION("QUERY('Volunteer Survey'!H404)"),"I am more interested in participating as time allows. I am willing to read scientific articles and identify evidence that may be useful for ClinGen curation activities at my own pace")</f>
        <v>I am more interested in participating as time allows. I am willing to read scientific articles and identify evidence that may be useful for ClinGen curation activities at my own pace</v>
      </c>
      <c r="AH405" s="183" t="str">
        <f>IFERROR(__xludf.DUMMYFUNCTION("QUERY('Volunteer Survey'!I404)"),"Variant Pathogenicity")</f>
        <v>Variant Pathogenicity</v>
      </c>
      <c r="AI405" s="183" t="str">
        <f>IFERROR(__xludf.DUMMYFUNCTION("QUERY('Volunteer Survey'!J404)"),"Dosage Sensitivity")</f>
        <v>Dosage Sensitivity</v>
      </c>
      <c r="AJ405" s="183" t="str">
        <f>IFERROR(__xludf.DUMMYFUNCTION("QUERY('Volunteer Survey'!K404)"),"Gene-Disease Validity")</f>
        <v>Gene-Disease Validity</v>
      </c>
      <c r="AK405" s="183" t="str">
        <f>IFERROR(__xludf.DUMMYFUNCTION("QUERY('Volunteer Survey'!L404)"),"")</f>
        <v/>
      </c>
      <c r="AL405" s="183" t="str">
        <f>IFERROR(__xludf.DUMMYFUNCTION("QUERY('Volunteer Survey'!M404)"),"")</f>
        <v/>
      </c>
      <c r="AM405" s="183" t="str">
        <f>IFERROR(__xludf.DUMMYFUNCTION("QUERY('Volunteer Survey'!N404)"),"No curatorial experience")</f>
        <v>No curatorial experience</v>
      </c>
      <c r="AN405" s="183" t="str">
        <f>IFERROR(__xludf.DUMMYFUNCTION("QUERY('Volunteer Survey'!O404)"),"Yes")</f>
        <v>Yes</v>
      </c>
      <c r="AO405" s="183" t="str">
        <f>IFERROR(__xludf.DUMMYFUNCTION("QUERY('Volunteer Survey'!P404)"),"Dosage-Recurrent Regions and Dosage- Neurodevelopmental")</f>
        <v>Dosage-Recurrent Regions and Dosage- Neurodevelopmental</v>
      </c>
    </row>
    <row r="406">
      <c r="A406" s="55" t="str">
        <f>IFERROR(__xludf.DUMMYFUNCTION("QUERY('Volunteer Survey'!A800)"),"")</f>
        <v/>
      </c>
      <c r="B406" s="48" t="s">
        <v>322</v>
      </c>
      <c r="C406" s="53"/>
      <c r="D406" s="55"/>
      <c r="E406" s="55"/>
      <c r="F406" s="55" t="b">
        <v>0</v>
      </c>
      <c r="G406" s="55"/>
      <c r="H406" s="53"/>
      <c r="I406" s="53"/>
      <c r="J406" s="55"/>
      <c r="K406" s="55"/>
      <c r="L406" s="55" t="str">
        <f>IFERROR(__xludf.DUMMYFUNCTION("QUERY('Volunteer Survey'!B800)"),"")</f>
        <v/>
      </c>
      <c r="M406" s="55" t="str">
        <f>IFERROR(__xludf.DUMMYFUNCTION("QUERY('Volunteer Survey'!E800)"),"")</f>
        <v/>
      </c>
      <c r="N406" s="55" t="str">
        <f>IFERROR(__xludf.DUMMYFUNCTION("QUERY('Volunteer Survey'!F800)"),"")</f>
        <v/>
      </c>
      <c r="O406" s="48" t="str">
        <f>IFERROR(__xludf.DUMMYFUNCTION("QUERY('Volunteer Survey'!H800)"),"")</f>
        <v/>
      </c>
      <c r="P406" s="55" t="str">
        <f>IFERROR(__xludf.DUMMYFUNCTION("QUERY('Volunteer Survey'!I800)"),"")</f>
        <v/>
      </c>
      <c r="Q406" s="60" t="str">
        <f>IFERROR(__xludf.DUMMYFUNCTION("QUERY('Volunteer Survey'!J800)"),"")</f>
        <v/>
      </c>
      <c r="R406" s="55" t="str">
        <f>IFERROR(__xludf.DUMMYFUNCTION("QUERY('Volunteer Survey'!K800)"),"")</f>
        <v/>
      </c>
      <c r="S406" s="55" t="str">
        <f>IFERROR(__xludf.DUMMYFUNCTION("QUERY('Volunteer Survey'!L800)"),"")</f>
        <v/>
      </c>
      <c r="T406" s="55" t="str">
        <f>IFERROR(__xludf.DUMMYFUNCTION("QUERY('Volunteer Survey'!M800)"),"")</f>
        <v/>
      </c>
      <c r="U406" s="64" t="str">
        <f>IFERROR(__xludf.DUMMYFUNCTION("QUERY('Volunteer Survey'!N800)"),"")</f>
        <v/>
      </c>
      <c r="V406" s="55" t="str">
        <f>IFERROR(__xludf.DUMMYFUNCTION("QUERY('Volunteer Survey'!O800)"),"")</f>
        <v/>
      </c>
      <c r="W406" s="66" t="str">
        <f>IFERROR(__xludf.DUMMYFUNCTION("QUERY('Volunteer Survey'!P800)"),"")</f>
        <v/>
      </c>
      <c r="X406" s="64" t="str">
        <f>IFERROR(__xludf.DUMMYFUNCTION("QUERY('Volunteer Survey'!R800)"),"")</f>
        <v/>
      </c>
      <c r="Y406" s="53"/>
      <c r="Z406" s="183" t="str">
        <f>IFERROR(__xludf.DUMMYFUNCTION("QUERY('Volunteer Survey'!A405)"),"")</f>
        <v/>
      </c>
      <c r="AA406" s="183" t="str">
        <f>IFERROR(__xludf.DUMMYFUNCTION("QUERY('Volunteer Survey'!B405)"),"")</f>
        <v/>
      </c>
      <c r="AB406" s="183" t="str">
        <f>IFERROR(__xludf.DUMMYFUNCTION("QUERY('Volunteer Survey'!C405)"),"")</f>
        <v/>
      </c>
      <c r="AC406" s="183" t="str">
        <f>IFERROR(__xludf.DUMMYFUNCTION("QUERY('Volunteer Survey'!D405)"),"")</f>
        <v/>
      </c>
      <c r="AD406" s="183" t="str">
        <f>IFERROR(__xludf.DUMMYFUNCTION("QUERY('Volunteer Survey'!E405)"),"")</f>
        <v/>
      </c>
      <c r="AE406" s="183" t="str">
        <f>IFERROR(__xludf.DUMMYFUNCTION("QUERY('Volunteer Survey'!F405)"),"")</f>
        <v/>
      </c>
      <c r="AF406" s="183" t="str">
        <f>IFERROR(__xludf.DUMMYFUNCTION("QUERY('Volunteer Survey'!G405)"),"")</f>
        <v/>
      </c>
      <c r="AG406" s="183" t="str">
        <f>IFERROR(__xludf.DUMMYFUNCTION("QUERY('Volunteer Survey'!H405)"),"")</f>
        <v/>
      </c>
      <c r="AH406" s="183" t="str">
        <f>IFERROR(__xludf.DUMMYFUNCTION("QUERY('Volunteer Survey'!I405)"),"")</f>
        <v/>
      </c>
      <c r="AI406" s="183" t="str">
        <f>IFERROR(__xludf.DUMMYFUNCTION("QUERY('Volunteer Survey'!J405)"),"")</f>
        <v/>
      </c>
      <c r="AJ406" s="183" t="str">
        <f>IFERROR(__xludf.DUMMYFUNCTION("QUERY('Volunteer Survey'!K405)"),"")</f>
        <v/>
      </c>
      <c r="AK406" s="183" t="str">
        <f>IFERROR(__xludf.DUMMYFUNCTION("QUERY('Volunteer Survey'!L405)"),"")</f>
        <v/>
      </c>
      <c r="AL406" s="183" t="str">
        <f>IFERROR(__xludf.DUMMYFUNCTION("QUERY('Volunteer Survey'!M405)"),"")</f>
        <v/>
      </c>
      <c r="AM406" s="183" t="str">
        <f>IFERROR(__xludf.DUMMYFUNCTION("QUERY('Volunteer Survey'!N405)"),"")</f>
        <v/>
      </c>
      <c r="AN406" s="183" t="str">
        <f>IFERROR(__xludf.DUMMYFUNCTION("QUERY('Volunteer Survey'!O405)"),"")</f>
        <v/>
      </c>
      <c r="AO406" s="183" t="str">
        <f>IFERROR(__xludf.DUMMYFUNCTION("QUERY('Volunteer Survey'!P405)"),"")</f>
        <v/>
      </c>
    </row>
    <row r="407">
      <c r="A407" s="55" t="str">
        <f>IFERROR(__xludf.DUMMYFUNCTION("QUERY('Volunteer Survey'!A801)"),"")</f>
        <v/>
      </c>
      <c r="B407" s="48" t="s">
        <v>322</v>
      </c>
      <c r="C407" s="53"/>
      <c r="D407" s="55"/>
      <c r="E407" s="55"/>
      <c r="F407" s="55" t="b">
        <v>0</v>
      </c>
      <c r="G407" s="55"/>
      <c r="H407" s="53"/>
      <c r="I407" s="53"/>
      <c r="J407" s="55"/>
      <c r="K407" s="55"/>
      <c r="L407" s="55" t="str">
        <f>IFERROR(__xludf.DUMMYFUNCTION("QUERY('Volunteer Survey'!B801)"),"")</f>
        <v/>
      </c>
      <c r="M407" s="55" t="str">
        <f>IFERROR(__xludf.DUMMYFUNCTION("QUERY('Volunteer Survey'!E801)"),"")</f>
        <v/>
      </c>
      <c r="N407" s="55" t="str">
        <f>IFERROR(__xludf.DUMMYFUNCTION("QUERY('Volunteer Survey'!F801)"),"")</f>
        <v/>
      </c>
      <c r="O407" s="48" t="str">
        <f>IFERROR(__xludf.DUMMYFUNCTION("QUERY('Volunteer Survey'!H801)"),"")</f>
        <v/>
      </c>
      <c r="P407" s="55" t="str">
        <f>IFERROR(__xludf.DUMMYFUNCTION("QUERY('Volunteer Survey'!I801)"),"")</f>
        <v/>
      </c>
      <c r="Q407" s="60" t="str">
        <f>IFERROR(__xludf.DUMMYFUNCTION("QUERY('Volunteer Survey'!J801)"),"")</f>
        <v/>
      </c>
      <c r="R407" s="55" t="str">
        <f>IFERROR(__xludf.DUMMYFUNCTION("QUERY('Volunteer Survey'!K801)"),"")</f>
        <v/>
      </c>
      <c r="S407" s="55" t="str">
        <f>IFERROR(__xludf.DUMMYFUNCTION("QUERY('Volunteer Survey'!L801)"),"")</f>
        <v/>
      </c>
      <c r="T407" s="55" t="str">
        <f>IFERROR(__xludf.DUMMYFUNCTION("QUERY('Volunteer Survey'!M801)"),"")</f>
        <v/>
      </c>
      <c r="U407" s="64" t="str">
        <f>IFERROR(__xludf.DUMMYFUNCTION("QUERY('Volunteer Survey'!N801)"),"")</f>
        <v/>
      </c>
      <c r="V407" s="55" t="str">
        <f>IFERROR(__xludf.DUMMYFUNCTION("QUERY('Volunteer Survey'!O801)"),"")</f>
        <v/>
      </c>
      <c r="W407" s="66" t="str">
        <f>IFERROR(__xludf.DUMMYFUNCTION("QUERY('Volunteer Survey'!P801)"),"")</f>
        <v/>
      </c>
      <c r="X407" s="64" t="str">
        <f>IFERROR(__xludf.DUMMYFUNCTION("QUERY('Volunteer Survey'!R801)"),"")</f>
        <v/>
      </c>
      <c r="Y407" s="53"/>
      <c r="Z407" s="183" t="str">
        <f>IFERROR(__xludf.DUMMYFUNCTION("QUERY('Volunteer Survey'!A406)"),"")</f>
        <v/>
      </c>
      <c r="AA407" s="183" t="str">
        <f>IFERROR(__xludf.DUMMYFUNCTION("QUERY('Volunteer Survey'!B406)"),"")</f>
        <v/>
      </c>
      <c r="AB407" s="183" t="str">
        <f>IFERROR(__xludf.DUMMYFUNCTION("QUERY('Volunteer Survey'!C406)"),"")</f>
        <v/>
      </c>
      <c r="AC407" s="183" t="str">
        <f>IFERROR(__xludf.DUMMYFUNCTION("QUERY('Volunteer Survey'!D406)"),"")</f>
        <v/>
      </c>
      <c r="AD407" s="183" t="str">
        <f>IFERROR(__xludf.DUMMYFUNCTION("QUERY('Volunteer Survey'!E406)"),"")</f>
        <v/>
      </c>
      <c r="AE407" s="183" t="str">
        <f>IFERROR(__xludf.DUMMYFUNCTION("QUERY('Volunteer Survey'!F406)"),"")</f>
        <v/>
      </c>
      <c r="AF407" s="183" t="str">
        <f>IFERROR(__xludf.DUMMYFUNCTION("QUERY('Volunteer Survey'!G406)"),"")</f>
        <v/>
      </c>
      <c r="AG407" s="183" t="str">
        <f>IFERROR(__xludf.DUMMYFUNCTION("QUERY('Volunteer Survey'!H406)"),"")</f>
        <v/>
      </c>
      <c r="AH407" s="183" t="str">
        <f>IFERROR(__xludf.DUMMYFUNCTION("QUERY('Volunteer Survey'!I406)"),"")</f>
        <v/>
      </c>
      <c r="AI407" s="183" t="str">
        <f>IFERROR(__xludf.DUMMYFUNCTION("QUERY('Volunteer Survey'!J406)"),"")</f>
        <v/>
      </c>
      <c r="AJ407" s="183" t="str">
        <f>IFERROR(__xludf.DUMMYFUNCTION("QUERY('Volunteer Survey'!K406)"),"")</f>
        <v/>
      </c>
      <c r="AK407" s="183" t="str">
        <f>IFERROR(__xludf.DUMMYFUNCTION("QUERY('Volunteer Survey'!L406)"),"")</f>
        <v/>
      </c>
      <c r="AL407" s="183" t="str">
        <f>IFERROR(__xludf.DUMMYFUNCTION("QUERY('Volunteer Survey'!M406)"),"")</f>
        <v/>
      </c>
      <c r="AM407" s="183" t="str">
        <f>IFERROR(__xludf.DUMMYFUNCTION("QUERY('Volunteer Survey'!N406)"),"")</f>
        <v/>
      </c>
      <c r="AN407" s="183" t="str">
        <f>IFERROR(__xludf.DUMMYFUNCTION("QUERY('Volunteer Survey'!O406)"),"")</f>
        <v/>
      </c>
      <c r="AO407" s="183" t="str">
        <f>IFERROR(__xludf.DUMMYFUNCTION("QUERY('Volunteer Survey'!P406)"),"")</f>
        <v/>
      </c>
    </row>
    <row r="408">
      <c r="A408" s="55" t="str">
        <f>IFERROR(__xludf.DUMMYFUNCTION("QUERY('Volunteer Survey'!A802)"),"")</f>
        <v/>
      </c>
      <c r="B408" s="48" t="s">
        <v>322</v>
      </c>
      <c r="C408" s="53"/>
      <c r="D408" s="55"/>
      <c r="E408" s="55"/>
      <c r="F408" s="55" t="b">
        <v>0</v>
      </c>
      <c r="G408" s="55"/>
      <c r="H408" s="53"/>
      <c r="I408" s="53"/>
      <c r="J408" s="55"/>
      <c r="K408" s="55"/>
      <c r="L408" s="55" t="str">
        <f>IFERROR(__xludf.DUMMYFUNCTION("QUERY('Volunteer Survey'!B802)"),"")</f>
        <v/>
      </c>
      <c r="M408" s="55" t="str">
        <f>IFERROR(__xludf.DUMMYFUNCTION("QUERY('Volunteer Survey'!E802)"),"")</f>
        <v/>
      </c>
      <c r="N408" s="55" t="str">
        <f>IFERROR(__xludf.DUMMYFUNCTION("QUERY('Volunteer Survey'!F802)"),"")</f>
        <v/>
      </c>
      <c r="O408" s="48" t="str">
        <f>IFERROR(__xludf.DUMMYFUNCTION("QUERY('Volunteer Survey'!H802)"),"")</f>
        <v/>
      </c>
      <c r="P408" s="55" t="str">
        <f>IFERROR(__xludf.DUMMYFUNCTION("QUERY('Volunteer Survey'!I802)"),"")</f>
        <v/>
      </c>
      <c r="Q408" s="60" t="str">
        <f>IFERROR(__xludf.DUMMYFUNCTION("QUERY('Volunteer Survey'!J802)"),"")</f>
        <v/>
      </c>
      <c r="R408" s="55" t="str">
        <f>IFERROR(__xludf.DUMMYFUNCTION("QUERY('Volunteer Survey'!K802)"),"")</f>
        <v/>
      </c>
      <c r="S408" s="55" t="str">
        <f>IFERROR(__xludf.DUMMYFUNCTION("QUERY('Volunteer Survey'!L802)"),"")</f>
        <v/>
      </c>
      <c r="T408" s="55" t="str">
        <f>IFERROR(__xludf.DUMMYFUNCTION("QUERY('Volunteer Survey'!M802)"),"")</f>
        <v/>
      </c>
      <c r="U408" s="64" t="str">
        <f>IFERROR(__xludf.DUMMYFUNCTION("QUERY('Volunteer Survey'!N802)"),"")</f>
        <v/>
      </c>
      <c r="V408" s="55" t="str">
        <f>IFERROR(__xludf.DUMMYFUNCTION("QUERY('Volunteer Survey'!O802)"),"")</f>
        <v/>
      </c>
      <c r="W408" s="66" t="str">
        <f>IFERROR(__xludf.DUMMYFUNCTION("QUERY('Volunteer Survey'!P802)"),"")</f>
        <v/>
      </c>
      <c r="X408" s="64" t="str">
        <f>IFERROR(__xludf.DUMMYFUNCTION("QUERY('Volunteer Survey'!R802)"),"")</f>
        <v/>
      </c>
      <c r="Y408" s="53"/>
      <c r="Z408" s="183" t="str">
        <f>IFERROR(__xludf.DUMMYFUNCTION("QUERY('Volunteer Survey'!A407)"),"")</f>
        <v/>
      </c>
      <c r="AA408" s="183" t="str">
        <f>IFERROR(__xludf.DUMMYFUNCTION("QUERY('Volunteer Survey'!B407)"),"")</f>
        <v/>
      </c>
      <c r="AB408" s="183" t="str">
        <f>IFERROR(__xludf.DUMMYFUNCTION("QUERY('Volunteer Survey'!C407)"),"")</f>
        <v/>
      </c>
      <c r="AC408" s="183" t="str">
        <f>IFERROR(__xludf.DUMMYFUNCTION("QUERY('Volunteer Survey'!D407)"),"")</f>
        <v/>
      </c>
      <c r="AD408" s="183" t="str">
        <f>IFERROR(__xludf.DUMMYFUNCTION("QUERY('Volunteer Survey'!E407)"),"")</f>
        <v/>
      </c>
      <c r="AE408" s="183" t="str">
        <f>IFERROR(__xludf.DUMMYFUNCTION("QUERY('Volunteer Survey'!F407)"),"")</f>
        <v/>
      </c>
      <c r="AF408" s="183" t="str">
        <f>IFERROR(__xludf.DUMMYFUNCTION("QUERY('Volunteer Survey'!G407)"),"")</f>
        <v/>
      </c>
      <c r="AG408" s="183" t="str">
        <f>IFERROR(__xludf.DUMMYFUNCTION("QUERY('Volunteer Survey'!H407)"),"")</f>
        <v/>
      </c>
      <c r="AH408" s="183" t="str">
        <f>IFERROR(__xludf.DUMMYFUNCTION("QUERY('Volunteer Survey'!I407)"),"")</f>
        <v/>
      </c>
      <c r="AI408" s="183" t="str">
        <f>IFERROR(__xludf.DUMMYFUNCTION("QUERY('Volunteer Survey'!J407)"),"")</f>
        <v/>
      </c>
      <c r="AJ408" s="183" t="str">
        <f>IFERROR(__xludf.DUMMYFUNCTION("QUERY('Volunteer Survey'!K407)"),"")</f>
        <v/>
      </c>
      <c r="AK408" s="183" t="str">
        <f>IFERROR(__xludf.DUMMYFUNCTION("QUERY('Volunteer Survey'!L407)"),"")</f>
        <v/>
      </c>
      <c r="AL408" s="183" t="str">
        <f>IFERROR(__xludf.DUMMYFUNCTION("QUERY('Volunteer Survey'!M407)"),"")</f>
        <v/>
      </c>
      <c r="AM408" s="183" t="str">
        <f>IFERROR(__xludf.DUMMYFUNCTION("QUERY('Volunteer Survey'!N407)"),"")</f>
        <v/>
      </c>
      <c r="AN408" s="183" t="str">
        <f>IFERROR(__xludf.DUMMYFUNCTION("QUERY('Volunteer Survey'!O407)"),"")</f>
        <v/>
      </c>
      <c r="AO408" s="183" t="str">
        <f>IFERROR(__xludf.DUMMYFUNCTION("QUERY('Volunteer Survey'!P407)"),"")</f>
        <v/>
      </c>
    </row>
    <row r="409">
      <c r="A409" s="55" t="str">
        <f>IFERROR(__xludf.DUMMYFUNCTION("QUERY('Volunteer Survey'!A803)"),"")</f>
        <v/>
      </c>
      <c r="B409" s="48" t="s">
        <v>322</v>
      </c>
      <c r="C409" s="53"/>
      <c r="D409" s="55"/>
      <c r="E409" s="55"/>
      <c r="F409" s="55" t="b">
        <v>0</v>
      </c>
      <c r="G409" s="55"/>
      <c r="H409" s="53"/>
      <c r="I409" s="53"/>
      <c r="J409" s="55"/>
      <c r="K409" s="55"/>
      <c r="L409" s="55" t="str">
        <f>IFERROR(__xludf.DUMMYFUNCTION("QUERY('Volunteer Survey'!B803)"),"")</f>
        <v/>
      </c>
      <c r="M409" s="55" t="str">
        <f>IFERROR(__xludf.DUMMYFUNCTION("QUERY('Volunteer Survey'!E803)"),"")</f>
        <v/>
      </c>
      <c r="N409" s="55" t="str">
        <f>IFERROR(__xludf.DUMMYFUNCTION("QUERY('Volunteer Survey'!F803)"),"")</f>
        <v/>
      </c>
      <c r="O409" s="48" t="str">
        <f>IFERROR(__xludf.DUMMYFUNCTION("QUERY('Volunteer Survey'!H803)"),"")</f>
        <v/>
      </c>
      <c r="P409" s="55" t="str">
        <f>IFERROR(__xludf.DUMMYFUNCTION("QUERY('Volunteer Survey'!I803)"),"")</f>
        <v/>
      </c>
      <c r="Q409" s="60" t="str">
        <f>IFERROR(__xludf.DUMMYFUNCTION("QUERY('Volunteer Survey'!J803)"),"")</f>
        <v/>
      </c>
      <c r="R409" s="55" t="str">
        <f>IFERROR(__xludf.DUMMYFUNCTION("QUERY('Volunteer Survey'!K803)"),"")</f>
        <v/>
      </c>
      <c r="S409" s="55" t="str">
        <f>IFERROR(__xludf.DUMMYFUNCTION("QUERY('Volunteer Survey'!L803)"),"")</f>
        <v/>
      </c>
      <c r="T409" s="55" t="str">
        <f>IFERROR(__xludf.DUMMYFUNCTION("QUERY('Volunteer Survey'!M803)"),"")</f>
        <v/>
      </c>
      <c r="U409" s="64" t="str">
        <f>IFERROR(__xludf.DUMMYFUNCTION("QUERY('Volunteer Survey'!N803)"),"")</f>
        <v/>
      </c>
      <c r="V409" s="55" t="str">
        <f>IFERROR(__xludf.DUMMYFUNCTION("QUERY('Volunteer Survey'!O803)"),"")</f>
        <v/>
      </c>
      <c r="W409" s="66" t="str">
        <f>IFERROR(__xludf.DUMMYFUNCTION("QUERY('Volunteer Survey'!P803)"),"")</f>
        <v/>
      </c>
      <c r="X409" s="64" t="str">
        <f>IFERROR(__xludf.DUMMYFUNCTION("QUERY('Volunteer Survey'!R803)"),"")</f>
        <v/>
      </c>
      <c r="Y409" s="53"/>
      <c r="Z409" s="183" t="str">
        <f>IFERROR(__xludf.DUMMYFUNCTION("QUERY('Volunteer Survey'!A408)"),"")</f>
        <v/>
      </c>
      <c r="AA409" s="183" t="str">
        <f>IFERROR(__xludf.DUMMYFUNCTION("QUERY('Volunteer Survey'!B408)"),"")</f>
        <v/>
      </c>
      <c r="AB409" s="183" t="str">
        <f>IFERROR(__xludf.DUMMYFUNCTION("QUERY('Volunteer Survey'!C408)"),"")</f>
        <v/>
      </c>
      <c r="AC409" s="183" t="str">
        <f>IFERROR(__xludf.DUMMYFUNCTION("QUERY('Volunteer Survey'!D408)"),"")</f>
        <v/>
      </c>
      <c r="AD409" s="183" t="str">
        <f>IFERROR(__xludf.DUMMYFUNCTION("QUERY('Volunteer Survey'!E408)"),"")</f>
        <v/>
      </c>
      <c r="AE409" s="183" t="str">
        <f>IFERROR(__xludf.DUMMYFUNCTION("QUERY('Volunteer Survey'!F408)"),"")</f>
        <v/>
      </c>
      <c r="AF409" s="183" t="str">
        <f>IFERROR(__xludf.DUMMYFUNCTION("QUERY('Volunteer Survey'!G408)"),"")</f>
        <v/>
      </c>
      <c r="AG409" s="183" t="str">
        <f>IFERROR(__xludf.DUMMYFUNCTION("QUERY('Volunteer Survey'!H408)"),"")</f>
        <v/>
      </c>
      <c r="AH409" s="183" t="str">
        <f>IFERROR(__xludf.DUMMYFUNCTION("QUERY('Volunteer Survey'!I408)"),"")</f>
        <v/>
      </c>
      <c r="AI409" s="183" t="str">
        <f>IFERROR(__xludf.DUMMYFUNCTION("QUERY('Volunteer Survey'!J408)"),"")</f>
        <v/>
      </c>
      <c r="AJ409" s="183" t="str">
        <f>IFERROR(__xludf.DUMMYFUNCTION("QUERY('Volunteer Survey'!K408)"),"")</f>
        <v/>
      </c>
      <c r="AK409" s="183" t="str">
        <f>IFERROR(__xludf.DUMMYFUNCTION("QUERY('Volunteer Survey'!L408)"),"")</f>
        <v/>
      </c>
      <c r="AL409" s="183" t="str">
        <f>IFERROR(__xludf.DUMMYFUNCTION("QUERY('Volunteer Survey'!M408)"),"")</f>
        <v/>
      </c>
      <c r="AM409" s="183" t="str">
        <f>IFERROR(__xludf.DUMMYFUNCTION("QUERY('Volunteer Survey'!N408)"),"")</f>
        <v/>
      </c>
      <c r="AN409" s="183" t="str">
        <f>IFERROR(__xludf.DUMMYFUNCTION("QUERY('Volunteer Survey'!O408)"),"")</f>
        <v/>
      </c>
      <c r="AO409" s="183" t="str">
        <f>IFERROR(__xludf.DUMMYFUNCTION("QUERY('Volunteer Survey'!P408)"),"")</f>
        <v/>
      </c>
    </row>
    <row r="410">
      <c r="A410" s="55" t="str">
        <f>IFERROR(__xludf.DUMMYFUNCTION("QUERY('Volunteer Survey'!A804)"),"")</f>
        <v/>
      </c>
      <c r="B410" s="48" t="s">
        <v>322</v>
      </c>
      <c r="C410" s="53"/>
      <c r="D410" s="55"/>
      <c r="E410" s="55"/>
      <c r="F410" s="55" t="b">
        <v>0</v>
      </c>
      <c r="G410" s="55"/>
      <c r="H410" s="53"/>
      <c r="I410" s="53"/>
      <c r="J410" s="55"/>
      <c r="K410" s="55"/>
      <c r="L410" s="55" t="str">
        <f>IFERROR(__xludf.DUMMYFUNCTION("QUERY('Volunteer Survey'!B804)"),"")</f>
        <v/>
      </c>
      <c r="M410" s="55" t="str">
        <f>IFERROR(__xludf.DUMMYFUNCTION("QUERY('Volunteer Survey'!E804)"),"")</f>
        <v/>
      </c>
      <c r="N410" s="55" t="str">
        <f>IFERROR(__xludf.DUMMYFUNCTION("QUERY('Volunteer Survey'!F804)"),"")</f>
        <v/>
      </c>
      <c r="O410" s="48" t="str">
        <f>IFERROR(__xludf.DUMMYFUNCTION("QUERY('Volunteer Survey'!H804)"),"")</f>
        <v/>
      </c>
      <c r="P410" s="55" t="str">
        <f>IFERROR(__xludf.DUMMYFUNCTION("QUERY('Volunteer Survey'!I804)"),"")</f>
        <v/>
      </c>
      <c r="Q410" s="60" t="str">
        <f>IFERROR(__xludf.DUMMYFUNCTION("QUERY('Volunteer Survey'!J804)"),"")</f>
        <v/>
      </c>
      <c r="R410" s="55" t="str">
        <f>IFERROR(__xludf.DUMMYFUNCTION("QUERY('Volunteer Survey'!K804)"),"")</f>
        <v/>
      </c>
      <c r="S410" s="55" t="str">
        <f>IFERROR(__xludf.DUMMYFUNCTION("QUERY('Volunteer Survey'!L804)"),"")</f>
        <v/>
      </c>
      <c r="T410" s="55" t="str">
        <f>IFERROR(__xludf.DUMMYFUNCTION("QUERY('Volunteer Survey'!M804)"),"")</f>
        <v/>
      </c>
      <c r="U410" s="64" t="str">
        <f>IFERROR(__xludf.DUMMYFUNCTION("QUERY('Volunteer Survey'!N804)"),"")</f>
        <v/>
      </c>
      <c r="V410" s="55" t="str">
        <f>IFERROR(__xludf.DUMMYFUNCTION("QUERY('Volunteer Survey'!O804)"),"")</f>
        <v/>
      </c>
      <c r="W410" s="66" t="str">
        <f>IFERROR(__xludf.DUMMYFUNCTION("QUERY('Volunteer Survey'!P804)"),"")</f>
        <v/>
      </c>
      <c r="X410" s="64" t="str">
        <f>IFERROR(__xludf.DUMMYFUNCTION("QUERY('Volunteer Survey'!R804)"),"")</f>
        <v/>
      </c>
      <c r="Y410" s="53"/>
      <c r="Z410" s="183" t="str">
        <f>IFERROR(__xludf.DUMMYFUNCTION("QUERY('Volunteer Survey'!A409)"),"")</f>
        <v/>
      </c>
      <c r="AA410" s="183" t="str">
        <f>IFERROR(__xludf.DUMMYFUNCTION("QUERY('Volunteer Survey'!B409)"),"")</f>
        <v/>
      </c>
      <c r="AB410" s="183" t="str">
        <f>IFERROR(__xludf.DUMMYFUNCTION("QUERY('Volunteer Survey'!C409)"),"")</f>
        <v/>
      </c>
      <c r="AC410" s="183" t="str">
        <f>IFERROR(__xludf.DUMMYFUNCTION("QUERY('Volunteer Survey'!D409)"),"")</f>
        <v/>
      </c>
      <c r="AD410" s="183" t="str">
        <f>IFERROR(__xludf.DUMMYFUNCTION("QUERY('Volunteer Survey'!E409)"),"")</f>
        <v/>
      </c>
      <c r="AE410" s="183" t="str">
        <f>IFERROR(__xludf.DUMMYFUNCTION("QUERY('Volunteer Survey'!F409)"),"")</f>
        <v/>
      </c>
      <c r="AF410" s="183" t="str">
        <f>IFERROR(__xludf.DUMMYFUNCTION("QUERY('Volunteer Survey'!G409)"),"")</f>
        <v/>
      </c>
      <c r="AG410" s="183" t="str">
        <f>IFERROR(__xludf.DUMMYFUNCTION("QUERY('Volunteer Survey'!H409)"),"")</f>
        <v/>
      </c>
      <c r="AH410" s="183" t="str">
        <f>IFERROR(__xludf.DUMMYFUNCTION("QUERY('Volunteer Survey'!I409)"),"")</f>
        <v/>
      </c>
      <c r="AI410" s="183" t="str">
        <f>IFERROR(__xludf.DUMMYFUNCTION("QUERY('Volunteer Survey'!J409)"),"")</f>
        <v/>
      </c>
      <c r="AJ410" s="183" t="str">
        <f>IFERROR(__xludf.DUMMYFUNCTION("QUERY('Volunteer Survey'!K409)"),"")</f>
        <v/>
      </c>
      <c r="AK410" s="183" t="str">
        <f>IFERROR(__xludf.DUMMYFUNCTION("QUERY('Volunteer Survey'!L409)"),"")</f>
        <v/>
      </c>
      <c r="AL410" s="183" t="str">
        <f>IFERROR(__xludf.DUMMYFUNCTION("QUERY('Volunteer Survey'!M409)"),"")</f>
        <v/>
      </c>
      <c r="AM410" s="183" t="str">
        <f>IFERROR(__xludf.DUMMYFUNCTION("QUERY('Volunteer Survey'!N409)"),"")</f>
        <v/>
      </c>
      <c r="AN410" s="183" t="str">
        <f>IFERROR(__xludf.DUMMYFUNCTION("QUERY('Volunteer Survey'!O409)"),"")</f>
        <v/>
      </c>
      <c r="AO410" s="183" t="str">
        <f>IFERROR(__xludf.DUMMYFUNCTION("QUERY('Volunteer Survey'!P409)"),"")</f>
        <v/>
      </c>
    </row>
    <row r="411">
      <c r="A411" s="55" t="str">
        <f>IFERROR(__xludf.DUMMYFUNCTION("QUERY('Volunteer Survey'!A805)"),"")</f>
        <v/>
      </c>
      <c r="B411" s="48" t="s">
        <v>322</v>
      </c>
      <c r="C411" s="53"/>
      <c r="D411" s="55"/>
      <c r="E411" s="55"/>
      <c r="F411" s="55" t="b">
        <v>0</v>
      </c>
      <c r="G411" s="55"/>
      <c r="H411" s="53"/>
      <c r="I411" s="53"/>
      <c r="J411" s="55"/>
      <c r="K411" s="55"/>
      <c r="L411" s="55" t="str">
        <f>IFERROR(__xludf.DUMMYFUNCTION("QUERY('Volunteer Survey'!B805)"),"")</f>
        <v/>
      </c>
      <c r="M411" s="55" t="str">
        <f>IFERROR(__xludf.DUMMYFUNCTION("QUERY('Volunteer Survey'!E805)"),"")</f>
        <v/>
      </c>
      <c r="N411" s="55" t="str">
        <f>IFERROR(__xludf.DUMMYFUNCTION("QUERY('Volunteer Survey'!F805)"),"")</f>
        <v/>
      </c>
      <c r="O411" s="48" t="str">
        <f>IFERROR(__xludf.DUMMYFUNCTION("QUERY('Volunteer Survey'!H805)"),"")</f>
        <v/>
      </c>
      <c r="P411" s="55" t="str">
        <f>IFERROR(__xludf.DUMMYFUNCTION("QUERY('Volunteer Survey'!I805)"),"")</f>
        <v/>
      </c>
      <c r="Q411" s="60" t="str">
        <f>IFERROR(__xludf.DUMMYFUNCTION("QUERY('Volunteer Survey'!J805)"),"")</f>
        <v/>
      </c>
      <c r="R411" s="55" t="str">
        <f>IFERROR(__xludf.DUMMYFUNCTION("QUERY('Volunteer Survey'!K805)"),"")</f>
        <v/>
      </c>
      <c r="S411" s="55" t="str">
        <f>IFERROR(__xludf.DUMMYFUNCTION("QUERY('Volunteer Survey'!L805)"),"")</f>
        <v/>
      </c>
      <c r="T411" s="55" t="str">
        <f>IFERROR(__xludf.DUMMYFUNCTION("QUERY('Volunteer Survey'!M805)"),"")</f>
        <v/>
      </c>
      <c r="U411" s="64" t="str">
        <f>IFERROR(__xludf.DUMMYFUNCTION("QUERY('Volunteer Survey'!N805)"),"")</f>
        <v/>
      </c>
      <c r="V411" s="55" t="str">
        <f>IFERROR(__xludf.DUMMYFUNCTION("QUERY('Volunteer Survey'!O805)"),"")</f>
        <v/>
      </c>
      <c r="W411" s="66" t="str">
        <f>IFERROR(__xludf.DUMMYFUNCTION("QUERY('Volunteer Survey'!P805)"),"")</f>
        <v/>
      </c>
      <c r="X411" s="64" t="str">
        <f>IFERROR(__xludf.DUMMYFUNCTION("QUERY('Volunteer Survey'!R805)"),"")</f>
        <v/>
      </c>
      <c r="Y411" s="53"/>
      <c r="Z411" s="183" t="str">
        <f>IFERROR(__xludf.DUMMYFUNCTION("QUERY('Volunteer Survey'!A410)"),"")</f>
        <v/>
      </c>
      <c r="AA411" s="183" t="str">
        <f>IFERROR(__xludf.DUMMYFUNCTION("QUERY('Volunteer Survey'!B410)"),"")</f>
        <v/>
      </c>
      <c r="AB411" s="183" t="str">
        <f>IFERROR(__xludf.DUMMYFUNCTION("QUERY('Volunteer Survey'!C410)"),"")</f>
        <v/>
      </c>
      <c r="AC411" s="183" t="str">
        <f>IFERROR(__xludf.DUMMYFUNCTION("QUERY('Volunteer Survey'!D410)"),"")</f>
        <v/>
      </c>
      <c r="AD411" s="183" t="str">
        <f>IFERROR(__xludf.DUMMYFUNCTION("QUERY('Volunteer Survey'!E410)"),"")</f>
        <v/>
      </c>
      <c r="AE411" s="183" t="str">
        <f>IFERROR(__xludf.DUMMYFUNCTION("QUERY('Volunteer Survey'!F410)"),"")</f>
        <v/>
      </c>
      <c r="AF411" s="183" t="str">
        <f>IFERROR(__xludf.DUMMYFUNCTION("QUERY('Volunteer Survey'!G410)"),"")</f>
        <v/>
      </c>
      <c r="AG411" s="183" t="str">
        <f>IFERROR(__xludf.DUMMYFUNCTION("QUERY('Volunteer Survey'!H410)"),"")</f>
        <v/>
      </c>
      <c r="AH411" s="183" t="str">
        <f>IFERROR(__xludf.DUMMYFUNCTION("QUERY('Volunteer Survey'!I410)"),"")</f>
        <v/>
      </c>
      <c r="AI411" s="183" t="str">
        <f>IFERROR(__xludf.DUMMYFUNCTION("QUERY('Volunteer Survey'!J410)"),"")</f>
        <v/>
      </c>
      <c r="AJ411" s="183" t="str">
        <f>IFERROR(__xludf.DUMMYFUNCTION("QUERY('Volunteer Survey'!K410)"),"")</f>
        <v/>
      </c>
      <c r="AK411" s="183" t="str">
        <f>IFERROR(__xludf.DUMMYFUNCTION("QUERY('Volunteer Survey'!L410)"),"")</f>
        <v/>
      </c>
      <c r="AL411" s="183" t="str">
        <f>IFERROR(__xludf.DUMMYFUNCTION("QUERY('Volunteer Survey'!M410)"),"")</f>
        <v/>
      </c>
      <c r="AM411" s="183" t="str">
        <f>IFERROR(__xludf.DUMMYFUNCTION("QUERY('Volunteer Survey'!N410)"),"")</f>
        <v/>
      </c>
      <c r="AN411" s="183" t="str">
        <f>IFERROR(__xludf.DUMMYFUNCTION("QUERY('Volunteer Survey'!O410)"),"")</f>
        <v/>
      </c>
      <c r="AO411" s="183" t="str">
        <f>IFERROR(__xludf.DUMMYFUNCTION("QUERY('Volunteer Survey'!P410)"),"")</f>
        <v/>
      </c>
    </row>
    <row r="412">
      <c r="A412" s="55" t="str">
        <f>IFERROR(__xludf.DUMMYFUNCTION("QUERY('Volunteer Survey'!A806)"),"")</f>
        <v/>
      </c>
      <c r="B412" s="48" t="s">
        <v>322</v>
      </c>
      <c r="C412" s="53"/>
      <c r="D412" s="55"/>
      <c r="E412" s="55"/>
      <c r="F412" s="55" t="b">
        <v>0</v>
      </c>
      <c r="G412" s="55"/>
      <c r="H412" s="53"/>
      <c r="I412" s="53"/>
      <c r="J412" s="55"/>
      <c r="K412" s="55"/>
      <c r="L412" s="55" t="str">
        <f>IFERROR(__xludf.DUMMYFUNCTION("QUERY('Volunteer Survey'!B806)"),"")</f>
        <v/>
      </c>
      <c r="M412" s="55" t="str">
        <f>IFERROR(__xludf.DUMMYFUNCTION("QUERY('Volunteer Survey'!E806)"),"")</f>
        <v/>
      </c>
      <c r="N412" s="55" t="str">
        <f>IFERROR(__xludf.DUMMYFUNCTION("QUERY('Volunteer Survey'!F806)"),"")</f>
        <v/>
      </c>
      <c r="O412" s="48" t="str">
        <f>IFERROR(__xludf.DUMMYFUNCTION("QUERY('Volunteer Survey'!H806)"),"")</f>
        <v/>
      </c>
      <c r="P412" s="55" t="str">
        <f>IFERROR(__xludf.DUMMYFUNCTION("QUERY('Volunteer Survey'!I806)"),"")</f>
        <v/>
      </c>
      <c r="Q412" s="60" t="str">
        <f>IFERROR(__xludf.DUMMYFUNCTION("QUERY('Volunteer Survey'!J806)"),"")</f>
        <v/>
      </c>
      <c r="R412" s="55" t="str">
        <f>IFERROR(__xludf.DUMMYFUNCTION("QUERY('Volunteer Survey'!K806)"),"")</f>
        <v/>
      </c>
      <c r="S412" s="55" t="str">
        <f>IFERROR(__xludf.DUMMYFUNCTION("QUERY('Volunteer Survey'!L806)"),"")</f>
        <v/>
      </c>
      <c r="T412" s="55" t="str">
        <f>IFERROR(__xludf.DUMMYFUNCTION("QUERY('Volunteer Survey'!M806)"),"")</f>
        <v/>
      </c>
      <c r="U412" s="64" t="str">
        <f>IFERROR(__xludf.DUMMYFUNCTION("QUERY('Volunteer Survey'!N806)"),"")</f>
        <v/>
      </c>
      <c r="V412" s="55" t="str">
        <f>IFERROR(__xludf.DUMMYFUNCTION("QUERY('Volunteer Survey'!O806)"),"")</f>
        <v/>
      </c>
      <c r="W412" s="66" t="str">
        <f>IFERROR(__xludf.DUMMYFUNCTION("QUERY('Volunteer Survey'!P806)"),"")</f>
        <v/>
      </c>
      <c r="X412" s="64" t="str">
        <f>IFERROR(__xludf.DUMMYFUNCTION("QUERY('Volunteer Survey'!R806)"),"")</f>
        <v/>
      </c>
      <c r="Y412" s="53"/>
      <c r="Z412" s="183" t="str">
        <f>IFERROR(__xludf.DUMMYFUNCTION("QUERY('Volunteer Survey'!A411)"),"")</f>
        <v/>
      </c>
      <c r="AA412" s="183" t="str">
        <f>IFERROR(__xludf.DUMMYFUNCTION("QUERY('Volunteer Survey'!B411)"),"")</f>
        <v/>
      </c>
      <c r="AB412" s="183" t="str">
        <f>IFERROR(__xludf.DUMMYFUNCTION("QUERY('Volunteer Survey'!C411)"),"")</f>
        <v/>
      </c>
      <c r="AC412" s="183" t="str">
        <f>IFERROR(__xludf.DUMMYFUNCTION("QUERY('Volunteer Survey'!D411)"),"")</f>
        <v/>
      </c>
      <c r="AD412" s="183" t="str">
        <f>IFERROR(__xludf.DUMMYFUNCTION("QUERY('Volunteer Survey'!E411)"),"")</f>
        <v/>
      </c>
      <c r="AE412" s="183" t="str">
        <f>IFERROR(__xludf.DUMMYFUNCTION("QUERY('Volunteer Survey'!F411)"),"")</f>
        <v/>
      </c>
      <c r="AF412" s="183" t="str">
        <f>IFERROR(__xludf.DUMMYFUNCTION("QUERY('Volunteer Survey'!G411)"),"")</f>
        <v/>
      </c>
      <c r="AG412" s="183" t="str">
        <f>IFERROR(__xludf.DUMMYFUNCTION("QUERY('Volunteer Survey'!H411)"),"")</f>
        <v/>
      </c>
      <c r="AH412" s="183" t="str">
        <f>IFERROR(__xludf.DUMMYFUNCTION("QUERY('Volunteer Survey'!I411)"),"")</f>
        <v/>
      </c>
      <c r="AI412" s="183" t="str">
        <f>IFERROR(__xludf.DUMMYFUNCTION("QUERY('Volunteer Survey'!J411)"),"")</f>
        <v/>
      </c>
      <c r="AJ412" s="183" t="str">
        <f>IFERROR(__xludf.DUMMYFUNCTION("QUERY('Volunteer Survey'!K411)"),"")</f>
        <v/>
      </c>
      <c r="AK412" s="183" t="str">
        <f>IFERROR(__xludf.DUMMYFUNCTION("QUERY('Volunteer Survey'!L411)"),"")</f>
        <v/>
      </c>
      <c r="AL412" s="183" t="str">
        <f>IFERROR(__xludf.DUMMYFUNCTION("QUERY('Volunteer Survey'!M411)"),"")</f>
        <v/>
      </c>
      <c r="AM412" s="183" t="str">
        <f>IFERROR(__xludf.DUMMYFUNCTION("QUERY('Volunteer Survey'!N411)"),"")</f>
        <v/>
      </c>
      <c r="AN412" s="183" t="str">
        <f>IFERROR(__xludf.DUMMYFUNCTION("QUERY('Volunteer Survey'!O411)"),"")</f>
        <v/>
      </c>
      <c r="AO412" s="183" t="str">
        <f>IFERROR(__xludf.DUMMYFUNCTION("QUERY('Volunteer Survey'!P411)"),"")</f>
        <v/>
      </c>
    </row>
    <row r="413">
      <c r="A413" s="55" t="str">
        <f>IFERROR(__xludf.DUMMYFUNCTION("QUERY('Volunteer Survey'!A807)"),"")</f>
        <v/>
      </c>
      <c r="B413" s="48" t="s">
        <v>322</v>
      </c>
      <c r="C413" s="53"/>
      <c r="D413" s="55"/>
      <c r="E413" s="55"/>
      <c r="F413" s="55" t="b">
        <v>0</v>
      </c>
      <c r="G413" s="55"/>
      <c r="H413" s="53"/>
      <c r="I413" s="53"/>
      <c r="J413" s="55"/>
      <c r="K413" s="55"/>
      <c r="L413" s="55" t="str">
        <f>IFERROR(__xludf.DUMMYFUNCTION("QUERY('Volunteer Survey'!B807)"),"")</f>
        <v/>
      </c>
      <c r="M413" s="55" t="str">
        <f>IFERROR(__xludf.DUMMYFUNCTION("QUERY('Volunteer Survey'!E807)"),"")</f>
        <v/>
      </c>
      <c r="N413" s="55" t="str">
        <f>IFERROR(__xludf.DUMMYFUNCTION("QUERY('Volunteer Survey'!F807)"),"")</f>
        <v/>
      </c>
      <c r="O413" s="48" t="str">
        <f>IFERROR(__xludf.DUMMYFUNCTION("QUERY('Volunteer Survey'!H807)"),"")</f>
        <v/>
      </c>
      <c r="P413" s="55" t="str">
        <f>IFERROR(__xludf.DUMMYFUNCTION("QUERY('Volunteer Survey'!I807)"),"")</f>
        <v/>
      </c>
      <c r="Q413" s="60" t="str">
        <f>IFERROR(__xludf.DUMMYFUNCTION("QUERY('Volunteer Survey'!J807)"),"")</f>
        <v/>
      </c>
      <c r="R413" s="55" t="str">
        <f>IFERROR(__xludf.DUMMYFUNCTION("QUERY('Volunteer Survey'!K807)"),"")</f>
        <v/>
      </c>
      <c r="S413" s="55" t="str">
        <f>IFERROR(__xludf.DUMMYFUNCTION("QUERY('Volunteer Survey'!L807)"),"")</f>
        <v/>
      </c>
      <c r="T413" s="55" t="str">
        <f>IFERROR(__xludf.DUMMYFUNCTION("QUERY('Volunteer Survey'!M807)"),"")</f>
        <v/>
      </c>
      <c r="U413" s="64" t="str">
        <f>IFERROR(__xludf.DUMMYFUNCTION("QUERY('Volunteer Survey'!N807)"),"")</f>
        <v/>
      </c>
      <c r="V413" s="55" t="str">
        <f>IFERROR(__xludf.DUMMYFUNCTION("QUERY('Volunteer Survey'!O807)"),"")</f>
        <v/>
      </c>
      <c r="W413" s="66" t="str">
        <f>IFERROR(__xludf.DUMMYFUNCTION("QUERY('Volunteer Survey'!P807)"),"")</f>
        <v/>
      </c>
      <c r="X413" s="64" t="str">
        <f>IFERROR(__xludf.DUMMYFUNCTION("QUERY('Volunteer Survey'!R807)"),"")</f>
        <v/>
      </c>
      <c r="Y413" s="53"/>
      <c r="Z413" s="183" t="str">
        <f>IFERROR(__xludf.DUMMYFUNCTION("QUERY('Volunteer Survey'!A412)"),"")</f>
        <v/>
      </c>
      <c r="AA413" s="183" t="str">
        <f>IFERROR(__xludf.DUMMYFUNCTION("QUERY('Volunteer Survey'!B412)"),"")</f>
        <v/>
      </c>
      <c r="AB413" s="183" t="str">
        <f>IFERROR(__xludf.DUMMYFUNCTION("QUERY('Volunteer Survey'!C412)"),"")</f>
        <v/>
      </c>
      <c r="AC413" s="183" t="str">
        <f>IFERROR(__xludf.DUMMYFUNCTION("QUERY('Volunteer Survey'!D412)"),"")</f>
        <v/>
      </c>
      <c r="AD413" s="183" t="str">
        <f>IFERROR(__xludf.DUMMYFUNCTION("QUERY('Volunteer Survey'!E412)"),"")</f>
        <v/>
      </c>
      <c r="AE413" s="183" t="str">
        <f>IFERROR(__xludf.DUMMYFUNCTION("QUERY('Volunteer Survey'!F412)"),"")</f>
        <v/>
      </c>
      <c r="AF413" s="183" t="str">
        <f>IFERROR(__xludf.DUMMYFUNCTION("QUERY('Volunteer Survey'!G412)"),"")</f>
        <v/>
      </c>
      <c r="AG413" s="183" t="str">
        <f>IFERROR(__xludf.DUMMYFUNCTION("QUERY('Volunteer Survey'!H412)"),"")</f>
        <v/>
      </c>
      <c r="AH413" s="183" t="str">
        <f>IFERROR(__xludf.DUMMYFUNCTION("QUERY('Volunteer Survey'!I412)"),"")</f>
        <v/>
      </c>
      <c r="AI413" s="183" t="str">
        <f>IFERROR(__xludf.DUMMYFUNCTION("QUERY('Volunteer Survey'!J412)"),"")</f>
        <v/>
      </c>
      <c r="AJ413" s="183" t="str">
        <f>IFERROR(__xludf.DUMMYFUNCTION("QUERY('Volunteer Survey'!K412)"),"")</f>
        <v/>
      </c>
      <c r="AK413" s="183" t="str">
        <f>IFERROR(__xludf.DUMMYFUNCTION("QUERY('Volunteer Survey'!L412)"),"")</f>
        <v/>
      </c>
      <c r="AL413" s="183" t="str">
        <f>IFERROR(__xludf.DUMMYFUNCTION("QUERY('Volunteer Survey'!M412)"),"")</f>
        <v/>
      </c>
      <c r="AM413" s="183" t="str">
        <f>IFERROR(__xludf.DUMMYFUNCTION("QUERY('Volunteer Survey'!N412)"),"")</f>
        <v/>
      </c>
      <c r="AN413" s="183" t="str">
        <f>IFERROR(__xludf.DUMMYFUNCTION("QUERY('Volunteer Survey'!O412)"),"")</f>
        <v/>
      </c>
      <c r="AO413" s="183" t="str">
        <f>IFERROR(__xludf.DUMMYFUNCTION("QUERY('Volunteer Survey'!P412)"),"")</f>
        <v/>
      </c>
    </row>
    <row r="414">
      <c r="A414" s="55" t="str">
        <f>IFERROR(__xludf.DUMMYFUNCTION("QUERY('Volunteer Survey'!A808)"),"")</f>
        <v/>
      </c>
      <c r="B414" s="48" t="s">
        <v>322</v>
      </c>
      <c r="C414" s="53"/>
      <c r="D414" s="55"/>
      <c r="E414" s="55"/>
      <c r="F414" s="55" t="b">
        <v>0</v>
      </c>
      <c r="G414" s="55"/>
      <c r="H414" s="53"/>
      <c r="I414" s="53"/>
      <c r="J414" s="55"/>
      <c r="K414" s="55"/>
      <c r="L414" s="55" t="str">
        <f>IFERROR(__xludf.DUMMYFUNCTION("QUERY('Volunteer Survey'!B808)"),"")</f>
        <v/>
      </c>
      <c r="M414" s="55" t="str">
        <f>IFERROR(__xludf.DUMMYFUNCTION("QUERY('Volunteer Survey'!E808)"),"")</f>
        <v/>
      </c>
      <c r="N414" s="55" t="str">
        <f>IFERROR(__xludf.DUMMYFUNCTION("QUERY('Volunteer Survey'!F808)"),"")</f>
        <v/>
      </c>
      <c r="O414" s="48" t="str">
        <f>IFERROR(__xludf.DUMMYFUNCTION("QUERY('Volunteer Survey'!H808)"),"")</f>
        <v/>
      </c>
      <c r="P414" s="55" t="str">
        <f>IFERROR(__xludf.DUMMYFUNCTION("QUERY('Volunteer Survey'!I808)"),"")</f>
        <v/>
      </c>
      <c r="Q414" s="60" t="str">
        <f>IFERROR(__xludf.DUMMYFUNCTION("QUERY('Volunteer Survey'!J808)"),"")</f>
        <v/>
      </c>
      <c r="R414" s="55" t="str">
        <f>IFERROR(__xludf.DUMMYFUNCTION("QUERY('Volunteer Survey'!K808)"),"")</f>
        <v/>
      </c>
      <c r="S414" s="55" t="str">
        <f>IFERROR(__xludf.DUMMYFUNCTION("QUERY('Volunteer Survey'!L808)"),"")</f>
        <v/>
      </c>
      <c r="T414" s="55" t="str">
        <f>IFERROR(__xludf.DUMMYFUNCTION("QUERY('Volunteer Survey'!M808)"),"")</f>
        <v/>
      </c>
      <c r="U414" s="64" t="str">
        <f>IFERROR(__xludf.DUMMYFUNCTION("QUERY('Volunteer Survey'!N808)"),"")</f>
        <v/>
      </c>
      <c r="V414" s="55" t="str">
        <f>IFERROR(__xludf.DUMMYFUNCTION("QUERY('Volunteer Survey'!O808)"),"")</f>
        <v/>
      </c>
      <c r="W414" s="66" t="str">
        <f>IFERROR(__xludf.DUMMYFUNCTION("QUERY('Volunteer Survey'!P808)"),"")</f>
        <v/>
      </c>
      <c r="X414" s="64" t="str">
        <f>IFERROR(__xludf.DUMMYFUNCTION("QUERY('Volunteer Survey'!R808)"),"")</f>
        <v/>
      </c>
      <c r="Y414" s="53"/>
      <c r="Z414" s="183" t="str">
        <f>IFERROR(__xludf.DUMMYFUNCTION("QUERY('Volunteer Survey'!A413)"),"")</f>
        <v/>
      </c>
      <c r="AA414" s="183" t="str">
        <f>IFERROR(__xludf.DUMMYFUNCTION("QUERY('Volunteer Survey'!B413)"),"")</f>
        <v/>
      </c>
      <c r="AB414" s="183" t="str">
        <f>IFERROR(__xludf.DUMMYFUNCTION("QUERY('Volunteer Survey'!C413)"),"")</f>
        <v/>
      </c>
      <c r="AC414" s="183" t="str">
        <f>IFERROR(__xludf.DUMMYFUNCTION("QUERY('Volunteer Survey'!D413)"),"")</f>
        <v/>
      </c>
      <c r="AD414" s="183" t="str">
        <f>IFERROR(__xludf.DUMMYFUNCTION("QUERY('Volunteer Survey'!E413)"),"")</f>
        <v/>
      </c>
      <c r="AE414" s="183" t="str">
        <f>IFERROR(__xludf.DUMMYFUNCTION("QUERY('Volunteer Survey'!F413)"),"")</f>
        <v/>
      </c>
      <c r="AF414" s="183" t="str">
        <f>IFERROR(__xludf.DUMMYFUNCTION("QUERY('Volunteer Survey'!G413)"),"")</f>
        <v/>
      </c>
      <c r="AG414" s="183" t="str">
        <f>IFERROR(__xludf.DUMMYFUNCTION("QUERY('Volunteer Survey'!H413)"),"")</f>
        <v/>
      </c>
      <c r="AH414" s="183" t="str">
        <f>IFERROR(__xludf.DUMMYFUNCTION("QUERY('Volunteer Survey'!I413)"),"")</f>
        <v/>
      </c>
      <c r="AI414" s="183" t="str">
        <f>IFERROR(__xludf.DUMMYFUNCTION("QUERY('Volunteer Survey'!J413)"),"")</f>
        <v/>
      </c>
      <c r="AJ414" s="183" t="str">
        <f>IFERROR(__xludf.DUMMYFUNCTION("QUERY('Volunteer Survey'!K413)"),"")</f>
        <v/>
      </c>
      <c r="AK414" s="183" t="str">
        <f>IFERROR(__xludf.DUMMYFUNCTION("QUERY('Volunteer Survey'!L413)"),"")</f>
        <v/>
      </c>
      <c r="AL414" s="183" t="str">
        <f>IFERROR(__xludf.DUMMYFUNCTION("QUERY('Volunteer Survey'!M413)"),"")</f>
        <v/>
      </c>
      <c r="AM414" s="183" t="str">
        <f>IFERROR(__xludf.DUMMYFUNCTION("QUERY('Volunteer Survey'!N413)"),"")</f>
        <v/>
      </c>
      <c r="AN414" s="183" t="str">
        <f>IFERROR(__xludf.DUMMYFUNCTION("QUERY('Volunteer Survey'!O413)"),"")</f>
        <v/>
      </c>
      <c r="AO414" s="183" t="str">
        <f>IFERROR(__xludf.DUMMYFUNCTION("QUERY('Volunteer Survey'!P413)"),"")</f>
        <v/>
      </c>
    </row>
    <row r="415">
      <c r="A415" s="55" t="str">
        <f>IFERROR(__xludf.DUMMYFUNCTION("QUERY('Volunteer Survey'!A809)"),"")</f>
        <v/>
      </c>
      <c r="B415" s="48" t="s">
        <v>322</v>
      </c>
      <c r="C415" s="53"/>
      <c r="D415" s="55"/>
      <c r="E415" s="55"/>
      <c r="F415" s="55" t="b">
        <v>0</v>
      </c>
      <c r="G415" s="55"/>
      <c r="H415" s="53"/>
      <c r="I415" s="53"/>
      <c r="J415" s="55"/>
      <c r="K415" s="55"/>
      <c r="L415" s="55" t="str">
        <f>IFERROR(__xludf.DUMMYFUNCTION("QUERY('Volunteer Survey'!B809)"),"")</f>
        <v/>
      </c>
      <c r="M415" s="55" t="str">
        <f>IFERROR(__xludf.DUMMYFUNCTION("QUERY('Volunteer Survey'!E809)"),"")</f>
        <v/>
      </c>
      <c r="N415" s="55" t="str">
        <f>IFERROR(__xludf.DUMMYFUNCTION("QUERY('Volunteer Survey'!F809)"),"")</f>
        <v/>
      </c>
      <c r="O415" s="48" t="str">
        <f>IFERROR(__xludf.DUMMYFUNCTION("QUERY('Volunteer Survey'!H809)"),"")</f>
        <v/>
      </c>
      <c r="P415" s="55" t="str">
        <f>IFERROR(__xludf.DUMMYFUNCTION("QUERY('Volunteer Survey'!I809)"),"")</f>
        <v/>
      </c>
      <c r="Q415" s="60" t="str">
        <f>IFERROR(__xludf.DUMMYFUNCTION("QUERY('Volunteer Survey'!J809)"),"")</f>
        <v/>
      </c>
      <c r="R415" s="55" t="str">
        <f>IFERROR(__xludf.DUMMYFUNCTION("QUERY('Volunteer Survey'!K809)"),"")</f>
        <v/>
      </c>
      <c r="S415" s="55" t="str">
        <f>IFERROR(__xludf.DUMMYFUNCTION("QUERY('Volunteer Survey'!L809)"),"")</f>
        <v/>
      </c>
      <c r="T415" s="55" t="str">
        <f>IFERROR(__xludf.DUMMYFUNCTION("QUERY('Volunteer Survey'!M809)"),"")</f>
        <v/>
      </c>
      <c r="U415" s="64" t="str">
        <f>IFERROR(__xludf.DUMMYFUNCTION("QUERY('Volunteer Survey'!N809)"),"")</f>
        <v/>
      </c>
      <c r="V415" s="55" t="str">
        <f>IFERROR(__xludf.DUMMYFUNCTION("QUERY('Volunteer Survey'!O809)"),"")</f>
        <v/>
      </c>
      <c r="W415" s="66" t="str">
        <f>IFERROR(__xludf.DUMMYFUNCTION("QUERY('Volunteer Survey'!P809)"),"")</f>
        <v/>
      </c>
      <c r="X415" s="64" t="str">
        <f>IFERROR(__xludf.DUMMYFUNCTION("QUERY('Volunteer Survey'!R809)"),"")</f>
        <v/>
      </c>
      <c r="Y415" s="53"/>
      <c r="Z415" s="183" t="str">
        <f>IFERROR(__xludf.DUMMYFUNCTION("QUERY('Volunteer Survey'!A414)"),"")</f>
        <v/>
      </c>
      <c r="AA415" s="183" t="str">
        <f>IFERROR(__xludf.DUMMYFUNCTION("QUERY('Volunteer Survey'!B414)"),"")</f>
        <v/>
      </c>
      <c r="AB415" s="183" t="str">
        <f>IFERROR(__xludf.DUMMYFUNCTION("QUERY('Volunteer Survey'!C414)"),"")</f>
        <v/>
      </c>
      <c r="AC415" s="183" t="str">
        <f>IFERROR(__xludf.DUMMYFUNCTION("QUERY('Volunteer Survey'!D414)"),"")</f>
        <v/>
      </c>
      <c r="AD415" s="183" t="str">
        <f>IFERROR(__xludf.DUMMYFUNCTION("QUERY('Volunteer Survey'!E414)"),"")</f>
        <v/>
      </c>
      <c r="AE415" s="183" t="str">
        <f>IFERROR(__xludf.DUMMYFUNCTION("QUERY('Volunteer Survey'!F414)"),"")</f>
        <v/>
      </c>
      <c r="AF415" s="183" t="str">
        <f>IFERROR(__xludf.DUMMYFUNCTION("QUERY('Volunteer Survey'!G414)"),"")</f>
        <v/>
      </c>
      <c r="AG415" s="183" t="str">
        <f>IFERROR(__xludf.DUMMYFUNCTION("QUERY('Volunteer Survey'!H414)"),"")</f>
        <v/>
      </c>
      <c r="AH415" s="183" t="str">
        <f>IFERROR(__xludf.DUMMYFUNCTION("QUERY('Volunteer Survey'!I414)"),"")</f>
        <v/>
      </c>
      <c r="AI415" s="183" t="str">
        <f>IFERROR(__xludf.DUMMYFUNCTION("QUERY('Volunteer Survey'!J414)"),"")</f>
        <v/>
      </c>
      <c r="AJ415" s="183" t="str">
        <f>IFERROR(__xludf.DUMMYFUNCTION("QUERY('Volunteer Survey'!K414)"),"")</f>
        <v/>
      </c>
      <c r="AK415" s="183" t="str">
        <f>IFERROR(__xludf.DUMMYFUNCTION("QUERY('Volunteer Survey'!L414)"),"")</f>
        <v/>
      </c>
      <c r="AL415" s="183" t="str">
        <f>IFERROR(__xludf.DUMMYFUNCTION("QUERY('Volunteer Survey'!M414)"),"")</f>
        <v/>
      </c>
      <c r="AM415" s="183" t="str">
        <f>IFERROR(__xludf.DUMMYFUNCTION("QUERY('Volunteer Survey'!N414)"),"")</f>
        <v/>
      </c>
      <c r="AN415" s="183" t="str">
        <f>IFERROR(__xludf.DUMMYFUNCTION("QUERY('Volunteer Survey'!O414)"),"")</f>
        <v/>
      </c>
      <c r="AO415" s="183" t="str">
        <f>IFERROR(__xludf.DUMMYFUNCTION("QUERY('Volunteer Survey'!P414)"),"")</f>
        <v/>
      </c>
    </row>
    <row r="416">
      <c r="A416" s="55" t="str">
        <f>IFERROR(__xludf.DUMMYFUNCTION("QUERY('Volunteer Survey'!A810)"),"")</f>
        <v/>
      </c>
      <c r="B416" s="48" t="s">
        <v>322</v>
      </c>
      <c r="C416" s="53"/>
      <c r="D416" s="55"/>
      <c r="E416" s="55"/>
      <c r="F416" s="55" t="b">
        <v>0</v>
      </c>
      <c r="G416" s="55"/>
      <c r="H416" s="53"/>
      <c r="I416" s="53"/>
      <c r="J416" s="55"/>
      <c r="K416" s="55"/>
      <c r="L416" s="55" t="str">
        <f>IFERROR(__xludf.DUMMYFUNCTION("QUERY('Volunteer Survey'!B810)"),"")</f>
        <v/>
      </c>
      <c r="M416" s="55" t="str">
        <f>IFERROR(__xludf.DUMMYFUNCTION("QUERY('Volunteer Survey'!E810)"),"")</f>
        <v/>
      </c>
      <c r="N416" s="55" t="str">
        <f>IFERROR(__xludf.DUMMYFUNCTION("QUERY('Volunteer Survey'!F810)"),"")</f>
        <v/>
      </c>
      <c r="O416" s="48" t="str">
        <f>IFERROR(__xludf.DUMMYFUNCTION("QUERY('Volunteer Survey'!H810)"),"")</f>
        <v/>
      </c>
      <c r="P416" s="55" t="str">
        <f>IFERROR(__xludf.DUMMYFUNCTION("QUERY('Volunteer Survey'!I810)"),"")</f>
        <v/>
      </c>
      <c r="Q416" s="60" t="str">
        <f>IFERROR(__xludf.DUMMYFUNCTION("QUERY('Volunteer Survey'!J810)"),"")</f>
        <v/>
      </c>
      <c r="R416" s="55" t="str">
        <f>IFERROR(__xludf.DUMMYFUNCTION("QUERY('Volunteer Survey'!K810)"),"")</f>
        <v/>
      </c>
      <c r="S416" s="55" t="str">
        <f>IFERROR(__xludf.DUMMYFUNCTION("QUERY('Volunteer Survey'!L810)"),"")</f>
        <v/>
      </c>
      <c r="T416" s="55" t="str">
        <f>IFERROR(__xludf.DUMMYFUNCTION("QUERY('Volunteer Survey'!M810)"),"")</f>
        <v/>
      </c>
      <c r="U416" s="64" t="str">
        <f>IFERROR(__xludf.DUMMYFUNCTION("QUERY('Volunteer Survey'!N810)"),"")</f>
        <v/>
      </c>
      <c r="V416" s="55" t="str">
        <f>IFERROR(__xludf.DUMMYFUNCTION("QUERY('Volunteer Survey'!O810)"),"")</f>
        <v/>
      </c>
      <c r="W416" s="66" t="str">
        <f>IFERROR(__xludf.DUMMYFUNCTION("QUERY('Volunteer Survey'!P810)"),"")</f>
        <v/>
      </c>
      <c r="X416" s="64" t="str">
        <f>IFERROR(__xludf.DUMMYFUNCTION("QUERY('Volunteer Survey'!R810)"),"")</f>
        <v/>
      </c>
      <c r="Y416" s="53"/>
      <c r="Z416" s="183" t="str">
        <f>IFERROR(__xludf.DUMMYFUNCTION("QUERY('Volunteer Survey'!A415)"),"")</f>
        <v/>
      </c>
      <c r="AA416" s="183" t="str">
        <f>IFERROR(__xludf.DUMMYFUNCTION("QUERY('Volunteer Survey'!B415)"),"")</f>
        <v/>
      </c>
      <c r="AB416" s="183" t="str">
        <f>IFERROR(__xludf.DUMMYFUNCTION("QUERY('Volunteer Survey'!C415)"),"")</f>
        <v/>
      </c>
      <c r="AC416" s="183" t="str">
        <f>IFERROR(__xludf.DUMMYFUNCTION("QUERY('Volunteer Survey'!D415)"),"")</f>
        <v/>
      </c>
      <c r="AD416" s="183" t="str">
        <f>IFERROR(__xludf.DUMMYFUNCTION("QUERY('Volunteer Survey'!E415)"),"")</f>
        <v/>
      </c>
      <c r="AE416" s="183" t="str">
        <f>IFERROR(__xludf.DUMMYFUNCTION("QUERY('Volunteer Survey'!F415)"),"")</f>
        <v/>
      </c>
      <c r="AF416" s="183" t="str">
        <f>IFERROR(__xludf.DUMMYFUNCTION("QUERY('Volunteer Survey'!G415)"),"")</f>
        <v/>
      </c>
      <c r="AG416" s="183" t="str">
        <f>IFERROR(__xludf.DUMMYFUNCTION("QUERY('Volunteer Survey'!H415)"),"")</f>
        <v/>
      </c>
      <c r="AH416" s="183" t="str">
        <f>IFERROR(__xludf.DUMMYFUNCTION("QUERY('Volunteer Survey'!I415)"),"")</f>
        <v/>
      </c>
      <c r="AI416" s="183" t="str">
        <f>IFERROR(__xludf.DUMMYFUNCTION("QUERY('Volunteer Survey'!J415)"),"")</f>
        <v/>
      </c>
      <c r="AJ416" s="183" t="str">
        <f>IFERROR(__xludf.DUMMYFUNCTION("QUERY('Volunteer Survey'!K415)"),"")</f>
        <v/>
      </c>
      <c r="AK416" s="183" t="str">
        <f>IFERROR(__xludf.DUMMYFUNCTION("QUERY('Volunteer Survey'!L415)"),"")</f>
        <v/>
      </c>
      <c r="AL416" s="183" t="str">
        <f>IFERROR(__xludf.DUMMYFUNCTION("QUERY('Volunteer Survey'!M415)"),"")</f>
        <v/>
      </c>
      <c r="AM416" s="183" t="str">
        <f>IFERROR(__xludf.DUMMYFUNCTION("QUERY('Volunteer Survey'!N415)"),"")</f>
        <v/>
      </c>
      <c r="AN416" s="183" t="str">
        <f>IFERROR(__xludf.DUMMYFUNCTION("QUERY('Volunteer Survey'!O415)"),"")</f>
        <v/>
      </c>
      <c r="AO416" s="183" t="str">
        <f>IFERROR(__xludf.DUMMYFUNCTION("QUERY('Volunteer Survey'!P415)"),"")</f>
        <v/>
      </c>
    </row>
    <row r="417">
      <c r="A417" s="55" t="str">
        <f>IFERROR(__xludf.DUMMYFUNCTION("QUERY('Volunteer Survey'!A811)"),"")</f>
        <v/>
      </c>
      <c r="B417" s="48" t="s">
        <v>322</v>
      </c>
      <c r="C417" s="53"/>
      <c r="D417" s="55"/>
      <c r="E417" s="55"/>
      <c r="F417" s="55" t="b">
        <v>0</v>
      </c>
      <c r="G417" s="55"/>
      <c r="H417" s="53"/>
      <c r="I417" s="53"/>
      <c r="J417" s="55"/>
      <c r="K417" s="55"/>
      <c r="L417" s="55" t="str">
        <f>IFERROR(__xludf.DUMMYFUNCTION("QUERY('Volunteer Survey'!B811)"),"")</f>
        <v/>
      </c>
      <c r="M417" s="55" t="str">
        <f>IFERROR(__xludf.DUMMYFUNCTION("QUERY('Volunteer Survey'!E811)"),"")</f>
        <v/>
      </c>
      <c r="N417" s="55" t="str">
        <f>IFERROR(__xludf.DUMMYFUNCTION("QUERY('Volunteer Survey'!F811)"),"")</f>
        <v/>
      </c>
      <c r="O417" s="48" t="str">
        <f>IFERROR(__xludf.DUMMYFUNCTION("QUERY('Volunteer Survey'!H811)"),"")</f>
        <v/>
      </c>
      <c r="P417" s="55" t="str">
        <f>IFERROR(__xludf.DUMMYFUNCTION("QUERY('Volunteer Survey'!I811)"),"")</f>
        <v/>
      </c>
      <c r="Q417" s="60" t="str">
        <f>IFERROR(__xludf.DUMMYFUNCTION("QUERY('Volunteer Survey'!J811)"),"")</f>
        <v/>
      </c>
      <c r="R417" s="55" t="str">
        <f>IFERROR(__xludf.DUMMYFUNCTION("QUERY('Volunteer Survey'!K811)"),"")</f>
        <v/>
      </c>
      <c r="S417" s="55" t="str">
        <f>IFERROR(__xludf.DUMMYFUNCTION("QUERY('Volunteer Survey'!L811)"),"")</f>
        <v/>
      </c>
      <c r="T417" s="55" t="str">
        <f>IFERROR(__xludf.DUMMYFUNCTION("QUERY('Volunteer Survey'!M811)"),"")</f>
        <v/>
      </c>
      <c r="U417" s="64" t="str">
        <f>IFERROR(__xludf.DUMMYFUNCTION("QUERY('Volunteer Survey'!N811)"),"")</f>
        <v/>
      </c>
      <c r="V417" s="55" t="str">
        <f>IFERROR(__xludf.DUMMYFUNCTION("QUERY('Volunteer Survey'!O811)"),"")</f>
        <v/>
      </c>
      <c r="W417" s="66" t="str">
        <f>IFERROR(__xludf.DUMMYFUNCTION("QUERY('Volunteer Survey'!P811)"),"")</f>
        <v/>
      </c>
      <c r="X417" s="64" t="str">
        <f>IFERROR(__xludf.DUMMYFUNCTION("QUERY('Volunteer Survey'!R811)"),"")</f>
        <v/>
      </c>
      <c r="Y417" s="53"/>
      <c r="Z417" s="183" t="str">
        <f>IFERROR(__xludf.DUMMYFUNCTION("QUERY('Volunteer Survey'!A416)"),"")</f>
        <v/>
      </c>
      <c r="AA417" s="183" t="str">
        <f>IFERROR(__xludf.DUMMYFUNCTION("QUERY('Volunteer Survey'!B416)"),"")</f>
        <v/>
      </c>
      <c r="AB417" s="183" t="str">
        <f>IFERROR(__xludf.DUMMYFUNCTION("QUERY('Volunteer Survey'!C416)"),"")</f>
        <v/>
      </c>
      <c r="AC417" s="183" t="str">
        <f>IFERROR(__xludf.DUMMYFUNCTION("QUERY('Volunteer Survey'!D416)"),"")</f>
        <v/>
      </c>
      <c r="AD417" s="183" t="str">
        <f>IFERROR(__xludf.DUMMYFUNCTION("QUERY('Volunteer Survey'!E416)"),"")</f>
        <v/>
      </c>
      <c r="AE417" s="183" t="str">
        <f>IFERROR(__xludf.DUMMYFUNCTION("QUERY('Volunteer Survey'!F416)"),"")</f>
        <v/>
      </c>
      <c r="AF417" s="183" t="str">
        <f>IFERROR(__xludf.DUMMYFUNCTION("QUERY('Volunteer Survey'!G416)"),"")</f>
        <v/>
      </c>
      <c r="AG417" s="183" t="str">
        <f>IFERROR(__xludf.DUMMYFUNCTION("QUERY('Volunteer Survey'!H416)"),"")</f>
        <v/>
      </c>
      <c r="AH417" s="183" t="str">
        <f>IFERROR(__xludf.DUMMYFUNCTION("QUERY('Volunteer Survey'!I416)"),"")</f>
        <v/>
      </c>
      <c r="AI417" s="183" t="str">
        <f>IFERROR(__xludf.DUMMYFUNCTION("QUERY('Volunteer Survey'!J416)"),"")</f>
        <v/>
      </c>
      <c r="AJ417" s="183" t="str">
        <f>IFERROR(__xludf.DUMMYFUNCTION("QUERY('Volunteer Survey'!K416)"),"")</f>
        <v/>
      </c>
      <c r="AK417" s="183" t="str">
        <f>IFERROR(__xludf.DUMMYFUNCTION("QUERY('Volunteer Survey'!L416)"),"")</f>
        <v/>
      </c>
      <c r="AL417" s="183" t="str">
        <f>IFERROR(__xludf.DUMMYFUNCTION("QUERY('Volunteer Survey'!M416)"),"")</f>
        <v/>
      </c>
      <c r="AM417" s="183" t="str">
        <f>IFERROR(__xludf.DUMMYFUNCTION("QUERY('Volunteer Survey'!N416)"),"")</f>
        <v/>
      </c>
      <c r="AN417" s="183" t="str">
        <f>IFERROR(__xludf.DUMMYFUNCTION("QUERY('Volunteer Survey'!O416)"),"")</f>
        <v/>
      </c>
      <c r="AO417" s="183" t="str">
        <f>IFERROR(__xludf.DUMMYFUNCTION("QUERY('Volunteer Survey'!P416)"),"")</f>
        <v/>
      </c>
    </row>
    <row r="418">
      <c r="A418" s="55" t="str">
        <f>IFERROR(__xludf.DUMMYFUNCTION("QUERY('Volunteer Survey'!A812)"),"")</f>
        <v/>
      </c>
      <c r="B418" s="48" t="s">
        <v>322</v>
      </c>
      <c r="C418" s="53"/>
      <c r="D418" s="55"/>
      <c r="E418" s="55"/>
      <c r="F418" s="55" t="b">
        <v>0</v>
      </c>
      <c r="G418" s="55"/>
      <c r="H418" s="53"/>
      <c r="I418" s="53"/>
      <c r="J418" s="55"/>
      <c r="K418" s="55"/>
      <c r="L418" s="55" t="str">
        <f>IFERROR(__xludf.DUMMYFUNCTION("QUERY('Volunteer Survey'!B812)"),"")</f>
        <v/>
      </c>
      <c r="M418" s="55" t="str">
        <f>IFERROR(__xludf.DUMMYFUNCTION("QUERY('Volunteer Survey'!E812)"),"")</f>
        <v/>
      </c>
      <c r="N418" s="55" t="str">
        <f>IFERROR(__xludf.DUMMYFUNCTION("QUERY('Volunteer Survey'!F812)"),"")</f>
        <v/>
      </c>
      <c r="O418" s="48" t="str">
        <f>IFERROR(__xludf.DUMMYFUNCTION("QUERY('Volunteer Survey'!H812)"),"")</f>
        <v/>
      </c>
      <c r="P418" s="55" t="str">
        <f>IFERROR(__xludf.DUMMYFUNCTION("QUERY('Volunteer Survey'!I812)"),"")</f>
        <v/>
      </c>
      <c r="Q418" s="60" t="str">
        <f>IFERROR(__xludf.DUMMYFUNCTION("QUERY('Volunteer Survey'!J812)"),"")</f>
        <v/>
      </c>
      <c r="R418" s="55" t="str">
        <f>IFERROR(__xludf.DUMMYFUNCTION("QUERY('Volunteer Survey'!K812)"),"")</f>
        <v/>
      </c>
      <c r="S418" s="55" t="str">
        <f>IFERROR(__xludf.DUMMYFUNCTION("QUERY('Volunteer Survey'!L812)"),"")</f>
        <v/>
      </c>
      <c r="T418" s="55" t="str">
        <f>IFERROR(__xludf.DUMMYFUNCTION("QUERY('Volunteer Survey'!M812)"),"")</f>
        <v/>
      </c>
      <c r="U418" s="64" t="str">
        <f>IFERROR(__xludf.DUMMYFUNCTION("QUERY('Volunteer Survey'!N812)"),"")</f>
        <v/>
      </c>
      <c r="V418" s="55" t="str">
        <f>IFERROR(__xludf.DUMMYFUNCTION("QUERY('Volunteer Survey'!O812)"),"")</f>
        <v/>
      </c>
      <c r="W418" s="66" t="str">
        <f>IFERROR(__xludf.DUMMYFUNCTION("QUERY('Volunteer Survey'!P812)"),"")</f>
        <v/>
      </c>
      <c r="X418" s="64" t="str">
        <f>IFERROR(__xludf.DUMMYFUNCTION("QUERY('Volunteer Survey'!R812)"),"")</f>
        <v/>
      </c>
      <c r="Y418" s="53"/>
      <c r="Z418" s="183" t="str">
        <f>IFERROR(__xludf.DUMMYFUNCTION("QUERY('Volunteer Survey'!A417)"),"")</f>
        <v/>
      </c>
      <c r="AA418" s="183" t="str">
        <f>IFERROR(__xludf.DUMMYFUNCTION("QUERY('Volunteer Survey'!B417)"),"")</f>
        <v/>
      </c>
      <c r="AB418" s="183" t="str">
        <f>IFERROR(__xludf.DUMMYFUNCTION("QUERY('Volunteer Survey'!C417)"),"")</f>
        <v/>
      </c>
      <c r="AC418" s="183" t="str">
        <f>IFERROR(__xludf.DUMMYFUNCTION("QUERY('Volunteer Survey'!D417)"),"")</f>
        <v/>
      </c>
      <c r="AD418" s="183" t="str">
        <f>IFERROR(__xludf.DUMMYFUNCTION("QUERY('Volunteer Survey'!E417)"),"")</f>
        <v/>
      </c>
      <c r="AE418" s="183" t="str">
        <f>IFERROR(__xludf.DUMMYFUNCTION("QUERY('Volunteer Survey'!F417)"),"")</f>
        <v/>
      </c>
      <c r="AF418" s="183" t="str">
        <f>IFERROR(__xludf.DUMMYFUNCTION("QUERY('Volunteer Survey'!G417)"),"")</f>
        <v/>
      </c>
      <c r="AG418" s="183" t="str">
        <f>IFERROR(__xludf.DUMMYFUNCTION("QUERY('Volunteer Survey'!H417)"),"")</f>
        <v/>
      </c>
      <c r="AH418" s="183" t="str">
        <f>IFERROR(__xludf.DUMMYFUNCTION("QUERY('Volunteer Survey'!I417)"),"")</f>
        <v/>
      </c>
      <c r="AI418" s="183" t="str">
        <f>IFERROR(__xludf.DUMMYFUNCTION("QUERY('Volunteer Survey'!J417)"),"")</f>
        <v/>
      </c>
      <c r="AJ418" s="183" t="str">
        <f>IFERROR(__xludf.DUMMYFUNCTION("QUERY('Volunteer Survey'!K417)"),"")</f>
        <v/>
      </c>
      <c r="AK418" s="183" t="str">
        <f>IFERROR(__xludf.DUMMYFUNCTION("QUERY('Volunteer Survey'!L417)"),"")</f>
        <v/>
      </c>
      <c r="AL418" s="183" t="str">
        <f>IFERROR(__xludf.DUMMYFUNCTION("QUERY('Volunteer Survey'!M417)"),"")</f>
        <v/>
      </c>
      <c r="AM418" s="183" t="str">
        <f>IFERROR(__xludf.DUMMYFUNCTION("QUERY('Volunteer Survey'!N417)"),"")</f>
        <v/>
      </c>
      <c r="AN418" s="183" t="str">
        <f>IFERROR(__xludf.DUMMYFUNCTION("QUERY('Volunteer Survey'!O417)"),"")</f>
        <v/>
      </c>
      <c r="AO418" s="183" t="str">
        <f>IFERROR(__xludf.DUMMYFUNCTION("QUERY('Volunteer Survey'!P417)"),"")</f>
        <v/>
      </c>
    </row>
    <row r="419">
      <c r="A419" s="55" t="str">
        <f>IFERROR(__xludf.DUMMYFUNCTION("QUERY('Volunteer Survey'!A813)"),"")</f>
        <v/>
      </c>
      <c r="B419" s="48" t="s">
        <v>322</v>
      </c>
      <c r="C419" s="53"/>
      <c r="D419" s="55"/>
      <c r="E419" s="55"/>
      <c r="F419" s="55" t="b">
        <v>0</v>
      </c>
      <c r="G419" s="55"/>
      <c r="H419" s="53"/>
      <c r="I419" s="53"/>
      <c r="J419" s="55"/>
      <c r="K419" s="55"/>
      <c r="L419" s="55" t="str">
        <f>IFERROR(__xludf.DUMMYFUNCTION("QUERY('Volunteer Survey'!B813)"),"")</f>
        <v/>
      </c>
      <c r="M419" s="55" t="str">
        <f>IFERROR(__xludf.DUMMYFUNCTION("QUERY('Volunteer Survey'!E813)"),"")</f>
        <v/>
      </c>
      <c r="N419" s="55" t="str">
        <f>IFERROR(__xludf.DUMMYFUNCTION("QUERY('Volunteer Survey'!F813)"),"")</f>
        <v/>
      </c>
      <c r="O419" s="48" t="str">
        <f>IFERROR(__xludf.DUMMYFUNCTION("QUERY('Volunteer Survey'!H813)"),"")</f>
        <v/>
      </c>
      <c r="P419" s="55" t="str">
        <f>IFERROR(__xludf.DUMMYFUNCTION("QUERY('Volunteer Survey'!I813)"),"")</f>
        <v/>
      </c>
      <c r="Q419" s="60" t="str">
        <f>IFERROR(__xludf.DUMMYFUNCTION("QUERY('Volunteer Survey'!J813)"),"")</f>
        <v/>
      </c>
      <c r="R419" s="55" t="str">
        <f>IFERROR(__xludf.DUMMYFUNCTION("QUERY('Volunteer Survey'!K813)"),"")</f>
        <v/>
      </c>
      <c r="S419" s="55" t="str">
        <f>IFERROR(__xludf.DUMMYFUNCTION("QUERY('Volunteer Survey'!L813)"),"")</f>
        <v/>
      </c>
      <c r="T419" s="55" t="str">
        <f>IFERROR(__xludf.DUMMYFUNCTION("QUERY('Volunteer Survey'!M813)"),"")</f>
        <v/>
      </c>
      <c r="U419" s="64" t="str">
        <f>IFERROR(__xludf.DUMMYFUNCTION("QUERY('Volunteer Survey'!N813)"),"")</f>
        <v/>
      </c>
      <c r="V419" s="55" t="str">
        <f>IFERROR(__xludf.DUMMYFUNCTION("QUERY('Volunteer Survey'!O813)"),"")</f>
        <v/>
      </c>
      <c r="W419" s="66" t="str">
        <f>IFERROR(__xludf.DUMMYFUNCTION("QUERY('Volunteer Survey'!P813)"),"")</f>
        <v/>
      </c>
      <c r="X419" s="64" t="str">
        <f>IFERROR(__xludf.DUMMYFUNCTION("QUERY('Volunteer Survey'!R813)"),"")</f>
        <v/>
      </c>
      <c r="Y419" s="53"/>
      <c r="Z419" s="183" t="str">
        <f>IFERROR(__xludf.DUMMYFUNCTION("QUERY('Volunteer Survey'!A418)"),"")</f>
        <v/>
      </c>
      <c r="AA419" s="183" t="str">
        <f>IFERROR(__xludf.DUMMYFUNCTION("QUERY('Volunteer Survey'!B418)"),"")</f>
        <v/>
      </c>
      <c r="AB419" s="183" t="str">
        <f>IFERROR(__xludf.DUMMYFUNCTION("QUERY('Volunteer Survey'!C418)"),"")</f>
        <v/>
      </c>
      <c r="AC419" s="183" t="str">
        <f>IFERROR(__xludf.DUMMYFUNCTION("QUERY('Volunteer Survey'!D418)"),"")</f>
        <v/>
      </c>
      <c r="AD419" s="183" t="str">
        <f>IFERROR(__xludf.DUMMYFUNCTION("QUERY('Volunteer Survey'!E418)"),"")</f>
        <v/>
      </c>
      <c r="AE419" s="183" t="str">
        <f>IFERROR(__xludf.DUMMYFUNCTION("QUERY('Volunteer Survey'!F418)"),"")</f>
        <v/>
      </c>
      <c r="AF419" s="183" t="str">
        <f>IFERROR(__xludf.DUMMYFUNCTION("QUERY('Volunteer Survey'!G418)"),"")</f>
        <v/>
      </c>
      <c r="AG419" s="183" t="str">
        <f>IFERROR(__xludf.DUMMYFUNCTION("QUERY('Volunteer Survey'!H418)"),"")</f>
        <v/>
      </c>
      <c r="AH419" s="183" t="str">
        <f>IFERROR(__xludf.DUMMYFUNCTION("QUERY('Volunteer Survey'!I418)"),"")</f>
        <v/>
      </c>
      <c r="AI419" s="183" t="str">
        <f>IFERROR(__xludf.DUMMYFUNCTION("QUERY('Volunteer Survey'!J418)"),"")</f>
        <v/>
      </c>
      <c r="AJ419" s="183" t="str">
        <f>IFERROR(__xludf.DUMMYFUNCTION("QUERY('Volunteer Survey'!K418)"),"")</f>
        <v/>
      </c>
      <c r="AK419" s="183" t="str">
        <f>IFERROR(__xludf.DUMMYFUNCTION("QUERY('Volunteer Survey'!L418)"),"")</f>
        <v/>
      </c>
      <c r="AL419" s="183" t="str">
        <f>IFERROR(__xludf.DUMMYFUNCTION("QUERY('Volunteer Survey'!M418)"),"")</f>
        <v/>
      </c>
      <c r="AM419" s="183" t="str">
        <f>IFERROR(__xludf.DUMMYFUNCTION("QUERY('Volunteer Survey'!N418)"),"")</f>
        <v/>
      </c>
      <c r="AN419" s="183" t="str">
        <f>IFERROR(__xludf.DUMMYFUNCTION("QUERY('Volunteer Survey'!O418)"),"")</f>
        <v/>
      </c>
      <c r="AO419" s="183" t="str">
        <f>IFERROR(__xludf.DUMMYFUNCTION("QUERY('Volunteer Survey'!P418)"),"")</f>
        <v/>
      </c>
    </row>
    <row r="420">
      <c r="A420" s="55" t="str">
        <f>IFERROR(__xludf.DUMMYFUNCTION("QUERY('Volunteer Survey'!A814)"),"")</f>
        <v/>
      </c>
      <c r="B420" s="48" t="s">
        <v>322</v>
      </c>
      <c r="C420" s="53"/>
      <c r="D420" s="55"/>
      <c r="E420" s="55"/>
      <c r="F420" s="55" t="b">
        <v>0</v>
      </c>
      <c r="G420" s="55"/>
      <c r="H420" s="53"/>
      <c r="I420" s="53"/>
      <c r="J420" s="55"/>
      <c r="K420" s="55"/>
      <c r="L420" s="55" t="str">
        <f>IFERROR(__xludf.DUMMYFUNCTION("QUERY('Volunteer Survey'!B814)"),"")</f>
        <v/>
      </c>
      <c r="M420" s="55" t="str">
        <f>IFERROR(__xludf.DUMMYFUNCTION("QUERY('Volunteer Survey'!E814)"),"")</f>
        <v/>
      </c>
      <c r="N420" s="55" t="str">
        <f>IFERROR(__xludf.DUMMYFUNCTION("QUERY('Volunteer Survey'!F814)"),"")</f>
        <v/>
      </c>
      <c r="O420" s="48" t="str">
        <f>IFERROR(__xludf.DUMMYFUNCTION("QUERY('Volunteer Survey'!H814)"),"")</f>
        <v/>
      </c>
      <c r="P420" s="55" t="str">
        <f>IFERROR(__xludf.DUMMYFUNCTION("QUERY('Volunteer Survey'!I814)"),"")</f>
        <v/>
      </c>
      <c r="Q420" s="60" t="str">
        <f>IFERROR(__xludf.DUMMYFUNCTION("QUERY('Volunteer Survey'!J814)"),"")</f>
        <v/>
      </c>
      <c r="R420" s="55" t="str">
        <f>IFERROR(__xludf.DUMMYFUNCTION("QUERY('Volunteer Survey'!K814)"),"")</f>
        <v/>
      </c>
      <c r="S420" s="55" t="str">
        <f>IFERROR(__xludf.DUMMYFUNCTION("QUERY('Volunteer Survey'!L814)"),"")</f>
        <v/>
      </c>
      <c r="T420" s="55" t="str">
        <f>IFERROR(__xludf.DUMMYFUNCTION("QUERY('Volunteer Survey'!M814)"),"")</f>
        <v/>
      </c>
      <c r="U420" s="64" t="str">
        <f>IFERROR(__xludf.DUMMYFUNCTION("QUERY('Volunteer Survey'!N814)"),"")</f>
        <v/>
      </c>
      <c r="V420" s="55" t="str">
        <f>IFERROR(__xludf.DUMMYFUNCTION("QUERY('Volunteer Survey'!O814)"),"")</f>
        <v/>
      </c>
      <c r="W420" s="66" t="str">
        <f>IFERROR(__xludf.DUMMYFUNCTION("QUERY('Volunteer Survey'!P814)"),"")</f>
        <v/>
      </c>
      <c r="X420" s="64" t="str">
        <f>IFERROR(__xludf.DUMMYFUNCTION("QUERY('Volunteer Survey'!R814)"),"")</f>
        <v/>
      </c>
      <c r="Y420" s="53"/>
      <c r="Z420" s="183" t="str">
        <f>IFERROR(__xludf.DUMMYFUNCTION("QUERY('Volunteer Survey'!A419)"),"")</f>
        <v/>
      </c>
      <c r="AA420" s="183" t="str">
        <f>IFERROR(__xludf.DUMMYFUNCTION("QUERY('Volunteer Survey'!B419)"),"")</f>
        <v/>
      </c>
      <c r="AB420" s="183" t="str">
        <f>IFERROR(__xludf.DUMMYFUNCTION("QUERY('Volunteer Survey'!C419)"),"")</f>
        <v/>
      </c>
      <c r="AC420" s="183" t="str">
        <f>IFERROR(__xludf.DUMMYFUNCTION("QUERY('Volunteer Survey'!D419)"),"")</f>
        <v/>
      </c>
      <c r="AD420" s="183" t="str">
        <f>IFERROR(__xludf.DUMMYFUNCTION("QUERY('Volunteer Survey'!E419)"),"")</f>
        <v/>
      </c>
      <c r="AE420" s="183" t="str">
        <f>IFERROR(__xludf.DUMMYFUNCTION("QUERY('Volunteer Survey'!F419)"),"")</f>
        <v/>
      </c>
      <c r="AF420" s="183" t="str">
        <f>IFERROR(__xludf.DUMMYFUNCTION("QUERY('Volunteer Survey'!G419)"),"")</f>
        <v/>
      </c>
      <c r="AG420" s="183" t="str">
        <f>IFERROR(__xludf.DUMMYFUNCTION("QUERY('Volunteer Survey'!H419)"),"")</f>
        <v/>
      </c>
      <c r="AH420" s="183" t="str">
        <f>IFERROR(__xludf.DUMMYFUNCTION("QUERY('Volunteer Survey'!I419)"),"")</f>
        <v/>
      </c>
      <c r="AI420" s="183" t="str">
        <f>IFERROR(__xludf.DUMMYFUNCTION("QUERY('Volunteer Survey'!J419)"),"")</f>
        <v/>
      </c>
      <c r="AJ420" s="183" t="str">
        <f>IFERROR(__xludf.DUMMYFUNCTION("QUERY('Volunteer Survey'!K419)"),"")</f>
        <v/>
      </c>
      <c r="AK420" s="183" t="str">
        <f>IFERROR(__xludf.DUMMYFUNCTION("QUERY('Volunteer Survey'!L419)"),"")</f>
        <v/>
      </c>
      <c r="AL420" s="183" t="str">
        <f>IFERROR(__xludf.DUMMYFUNCTION("QUERY('Volunteer Survey'!M419)"),"")</f>
        <v/>
      </c>
      <c r="AM420" s="183" t="str">
        <f>IFERROR(__xludf.DUMMYFUNCTION("QUERY('Volunteer Survey'!N419)"),"")</f>
        <v/>
      </c>
      <c r="AN420" s="183" t="str">
        <f>IFERROR(__xludf.DUMMYFUNCTION("QUERY('Volunteer Survey'!O419)"),"")</f>
        <v/>
      </c>
      <c r="AO420" s="183" t="str">
        <f>IFERROR(__xludf.DUMMYFUNCTION("QUERY('Volunteer Survey'!P419)"),"")</f>
        <v/>
      </c>
    </row>
    <row r="421">
      <c r="A421" s="55" t="str">
        <f>IFERROR(__xludf.DUMMYFUNCTION("QUERY('Volunteer Survey'!A815)"),"")</f>
        <v/>
      </c>
      <c r="B421" s="48" t="s">
        <v>322</v>
      </c>
      <c r="C421" s="53"/>
      <c r="D421" s="55"/>
      <c r="E421" s="55"/>
      <c r="F421" s="55" t="b">
        <v>0</v>
      </c>
      <c r="G421" s="55"/>
      <c r="H421" s="53"/>
      <c r="I421" s="53"/>
      <c r="J421" s="55"/>
      <c r="K421" s="55"/>
      <c r="L421" s="55" t="str">
        <f>IFERROR(__xludf.DUMMYFUNCTION("QUERY('Volunteer Survey'!B815)"),"")</f>
        <v/>
      </c>
      <c r="M421" s="55" t="str">
        <f>IFERROR(__xludf.DUMMYFUNCTION("QUERY('Volunteer Survey'!E815)"),"")</f>
        <v/>
      </c>
      <c r="N421" s="55" t="str">
        <f>IFERROR(__xludf.DUMMYFUNCTION("QUERY('Volunteer Survey'!F815)"),"")</f>
        <v/>
      </c>
      <c r="O421" s="48" t="str">
        <f>IFERROR(__xludf.DUMMYFUNCTION("QUERY('Volunteer Survey'!H815)"),"")</f>
        <v/>
      </c>
      <c r="P421" s="55" t="str">
        <f>IFERROR(__xludf.DUMMYFUNCTION("QUERY('Volunteer Survey'!I815)"),"")</f>
        <v/>
      </c>
      <c r="Q421" s="60" t="str">
        <f>IFERROR(__xludf.DUMMYFUNCTION("QUERY('Volunteer Survey'!J815)"),"")</f>
        <v/>
      </c>
      <c r="R421" s="55" t="str">
        <f>IFERROR(__xludf.DUMMYFUNCTION("QUERY('Volunteer Survey'!K815)"),"")</f>
        <v/>
      </c>
      <c r="S421" s="55" t="str">
        <f>IFERROR(__xludf.DUMMYFUNCTION("QUERY('Volunteer Survey'!L815)"),"")</f>
        <v/>
      </c>
      <c r="T421" s="55" t="str">
        <f>IFERROR(__xludf.DUMMYFUNCTION("QUERY('Volunteer Survey'!M815)"),"")</f>
        <v/>
      </c>
      <c r="U421" s="64" t="str">
        <f>IFERROR(__xludf.DUMMYFUNCTION("QUERY('Volunteer Survey'!N815)"),"")</f>
        <v/>
      </c>
      <c r="V421" s="55" t="str">
        <f>IFERROR(__xludf.DUMMYFUNCTION("QUERY('Volunteer Survey'!O815)"),"")</f>
        <v/>
      </c>
      <c r="W421" s="66" t="str">
        <f>IFERROR(__xludf.DUMMYFUNCTION("QUERY('Volunteer Survey'!P815)"),"")</f>
        <v/>
      </c>
      <c r="X421" s="64" t="str">
        <f>IFERROR(__xludf.DUMMYFUNCTION("QUERY('Volunteer Survey'!R815)"),"")</f>
        <v/>
      </c>
      <c r="Y421" s="53"/>
      <c r="Z421" s="183" t="str">
        <f>IFERROR(__xludf.DUMMYFUNCTION("QUERY('Volunteer Survey'!A420)"),"")</f>
        <v/>
      </c>
      <c r="AA421" s="183" t="str">
        <f>IFERROR(__xludf.DUMMYFUNCTION("QUERY('Volunteer Survey'!B420)"),"")</f>
        <v/>
      </c>
      <c r="AB421" s="183" t="str">
        <f>IFERROR(__xludf.DUMMYFUNCTION("QUERY('Volunteer Survey'!C420)"),"")</f>
        <v/>
      </c>
      <c r="AC421" s="183" t="str">
        <f>IFERROR(__xludf.DUMMYFUNCTION("QUERY('Volunteer Survey'!D420)"),"")</f>
        <v/>
      </c>
      <c r="AD421" s="183" t="str">
        <f>IFERROR(__xludf.DUMMYFUNCTION("QUERY('Volunteer Survey'!E420)"),"")</f>
        <v/>
      </c>
      <c r="AE421" s="183" t="str">
        <f>IFERROR(__xludf.DUMMYFUNCTION("QUERY('Volunteer Survey'!F420)"),"")</f>
        <v/>
      </c>
      <c r="AF421" s="183" t="str">
        <f>IFERROR(__xludf.DUMMYFUNCTION("QUERY('Volunteer Survey'!G420)"),"")</f>
        <v/>
      </c>
      <c r="AG421" s="183" t="str">
        <f>IFERROR(__xludf.DUMMYFUNCTION("QUERY('Volunteer Survey'!H420)"),"")</f>
        <v/>
      </c>
      <c r="AH421" s="183" t="str">
        <f>IFERROR(__xludf.DUMMYFUNCTION("QUERY('Volunteer Survey'!I420)"),"")</f>
        <v/>
      </c>
      <c r="AI421" s="183" t="str">
        <f>IFERROR(__xludf.DUMMYFUNCTION("QUERY('Volunteer Survey'!J420)"),"")</f>
        <v/>
      </c>
      <c r="AJ421" s="183" t="str">
        <f>IFERROR(__xludf.DUMMYFUNCTION("QUERY('Volunteer Survey'!K420)"),"")</f>
        <v/>
      </c>
      <c r="AK421" s="183" t="str">
        <f>IFERROR(__xludf.DUMMYFUNCTION("QUERY('Volunteer Survey'!L420)"),"")</f>
        <v/>
      </c>
      <c r="AL421" s="183" t="str">
        <f>IFERROR(__xludf.DUMMYFUNCTION("QUERY('Volunteer Survey'!M420)"),"")</f>
        <v/>
      </c>
      <c r="AM421" s="183" t="str">
        <f>IFERROR(__xludf.DUMMYFUNCTION("QUERY('Volunteer Survey'!N420)"),"")</f>
        <v/>
      </c>
      <c r="AN421" s="183" t="str">
        <f>IFERROR(__xludf.DUMMYFUNCTION("QUERY('Volunteer Survey'!O420)"),"")</f>
        <v/>
      </c>
      <c r="AO421" s="183" t="str">
        <f>IFERROR(__xludf.DUMMYFUNCTION("QUERY('Volunteer Survey'!P420)"),"")</f>
        <v/>
      </c>
    </row>
    <row r="422">
      <c r="A422" s="55" t="str">
        <f>IFERROR(__xludf.DUMMYFUNCTION("QUERY('Volunteer Survey'!A816)"),"")</f>
        <v/>
      </c>
      <c r="B422" s="48" t="s">
        <v>322</v>
      </c>
      <c r="C422" s="53"/>
      <c r="D422" s="55"/>
      <c r="E422" s="55"/>
      <c r="F422" s="55" t="b">
        <v>0</v>
      </c>
      <c r="G422" s="55"/>
      <c r="H422" s="53"/>
      <c r="I422" s="53"/>
      <c r="J422" s="55"/>
      <c r="K422" s="55"/>
      <c r="L422" s="55" t="str">
        <f>IFERROR(__xludf.DUMMYFUNCTION("QUERY('Volunteer Survey'!B816)"),"")</f>
        <v/>
      </c>
      <c r="M422" s="55" t="str">
        <f>IFERROR(__xludf.DUMMYFUNCTION("QUERY('Volunteer Survey'!E816)"),"")</f>
        <v/>
      </c>
      <c r="N422" s="55" t="str">
        <f>IFERROR(__xludf.DUMMYFUNCTION("QUERY('Volunteer Survey'!F816)"),"")</f>
        <v/>
      </c>
      <c r="O422" s="48" t="str">
        <f>IFERROR(__xludf.DUMMYFUNCTION("QUERY('Volunteer Survey'!H816)"),"")</f>
        <v/>
      </c>
      <c r="P422" s="55" t="str">
        <f>IFERROR(__xludf.DUMMYFUNCTION("QUERY('Volunteer Survey'!I816)"),"")</f>
        <v/>
      </c>
      <c r="Q422" s="60" t="str">
        <f>IFERROR(__xludf.DUMMYFUNCTION("QUERY('Volunteer Survey'!J816)"),"")</f>
        <v/>
      </c>
      <c r="R422" s="55" t="str">
        <f>IFERROR(__xludf.DUMMYFUNCTION("QUERY('Volunteer Survey'!K816)"),"")</f>
        <v/>
      </c>
      <c r="S422" s="55" t="str">
        <f>IFERROR(__xludf.DUMMYFUNCTION("QUERY('Volunteer Survey'!L816)"),"")</f>
        <v/>
      </c>
      <c r="T422" s="55" t="str">
        <f>IFERROR(__xludf.DUMMYFUNCTION("QUERY('Volunteer Survey'!M816)"),"")</f>
        <v/>
      </c>
      <c r="U422" s="64" t="str">
        <f>IFERROR(__xludf.DUMMYFUNCTION("QUERY('Volunteer Survey'!N816)"),"")</f>
        <v/>
      </c>
      <c r="V422" s="55" t="str">
        <f>IFERROR(__xludf.DUMMYFUNCTION("QUERY('Volunteer Survey'!O816)"),"")</f>
        <v/>
      </c>
      <c r="W422" s="66" t="str">
        <f>IFERROR(__xludf.DUMMYFUNCTION("QUERY('Volunteer Survey'!P816)"),"")</f>
        <v/>
      </c>
      <c r="X422" s="64" t="str">
        <f>IFERROR(__xludf.DUMMYFUNCTION("QUERY('Volunteer Survey'!R816)"),"")</f>
        <v/>
      </c>
      <c r="Y422" s="53"/>
      <c r="Z422" s="183" t="str">
        <f>IFERROR(__xludf.DUMMYFUNCTION("QUERY('Volunteer Survey'!A421)"),"")</f>
        <v/>
      </c>
      <c r="AA422" s="183" t="str">
        <f>IFERROR(__xludf.DUMMYFUNCTION("QUERY('Volunteer Survey'!B421)"),"")</f>
        <v/>
      </c>
      <c r="AB422" s="183" t="str">
        <f>IFERROR(__xludf.DUMMYFUNCTION("QUERY('Volunteer Survey'!C421)"),"")</f>
        <v/>
      </c>
      <c r="AC422" s="183" t="str">
        <f>IFERROR(__xludf.DUMMYFUNCTION("QUERY('Volunteer Survey'!D421)"),"")</f>
        <v/>
      </c>
      <c r="AD422" s="183" t="str">
        <f>IFERROR(__xludf.DUMMYFUNCTION("QUERY('Volunteer Survey'!E421)"),"")</f>
        <v/>
      </c>
      <c r="AE422" s="183" t="str">
        <f>IFERROR(__xludf.DUMMYFUNCTION("QUERY('Volunteer Survey'!F421)"),"")</f>
        <v/>
      </c>
      <c r="AF422" s="183" t="str">
        <f>IFERROR(__xludf.DUMMYFUNCTION("QUERY('Volunteer Survey'!G421)"),"")</f>
        <v/>
      </c>
      <c r="AG422" s="183" t="str">
        <f>IFERROR(__xludf.DUMMYFUNCTION("QUERY('Volunteer Survey'!H421)"),"")</f>
        <v/>
      </c>
      <c r="AH422" s="183" t="str">
        <f>IFERROR(__xludf.DUMMYFUNCTION("QUERY('Volunteer Survey'!I421)"),"")</f>
        <v/>
      </c>
      <c r="AI422" s="183" t="str">
        <f>IFERROR(__xludf.DUMMYFUNCTION("QUERY('Volunteer Survey'!J421)"),"")</f>
        <v/>
      </c>
      <c r="AJ422" s="183" t="str">
        <f>IFERROR(__xludf.DUMMYFUNCTION("QUERY('Volunteer Survey'!K421)"),"")</f>
        <v/>
      </c>
      <c r="AK422" s="183" t="str">
        <f>IFERROR(__xludf.DUMMYFUNCTION("QUERY('Volunteer Survey'!L421)"),"")</f>
        <v/>
      </c>
      <c r="AL422" s="183" t="str">
        <f>IFERROR(__xludf.DUMMYFUNCTION("QUERY('Volunteer Survey'!M421)"),"")</f>
        <v/>
      </c>
      <c r="AM422" s="183" t="str">
        <f>IFERROR(__xludf.DUMMYFUNCTION("QUERY('Volunteer Survey'!N421)"),"")</f>
        <v/>
      </c>
      <c r="AN422" s="183" t="str">
        <f>IFERROR(__xludf.DUMMYFUNCTION("QUERY('Volunteer Survey'!O421)"),"")</f>
        <v/>
      </c>
      <c r="AO422" s="183" t="str">
        <f>IFERROR(__xludf.DUMMYFUNCTION("QUERY('Volunteer Survey'!P421)"),"")</f>
        <v/>
      </c>
    </row>
    <row r="423">
      <c r="A423" s="55" t="str">
        <f>IFERROR(__xludf.DUMMYFUNCTION("QUERY('Volunteer Survey'!A817)"),"")</f>
        <v/>
      </c>
      <c r="B423" s="48" t="s">
        <v>322</v>
      </c>
      <c r="C423" s="53"/>
      <c r="D423" s="55"/>
      <c r="E423" s="55"/>
      <c r="F423" s="55" t="b">
        <v>0</v>
      </c>
      <c r="G423" s="55"/>
      <c r="H423" s="53"/>
      <c r="I423" s="53"/>
      <c r="J423" s="55"/>
      <c r="K423" s="55"/>
      <c r="L423" s="55" t="str">
        <f>IFERROR(__xludf.DUMMYFUNCTION("QUERY('Volunteer Survey'!B817)"),"")</f>
        <v/>
      </c>
      <c r="M423" s="55" t="str">
        <f>IFERROR(__xludf.DUMMYFUNCTION("QUERY('Volunteer Survey'!E817)"),"")</f>
        <v/>
      </c>
      <c r="N423" s="55" t="str">
        <f>IFERROR(__xludf.DUMMYFUNCTION("QUERY('Volunteer Survey'!F817)"),"")</f>
        <v/>
      </c>
      <c r="O423" s="48" t="str">
        <f>IFERROR(__xludf.DUMMYFUNCTION("QUERY('Volunteer Survey'!H817)"),"")</f>
        <v/>
      </c>
      <c r="P423" s="55" t="str">
        <f>IFERROR(__xludf.DUMMYFUNCTION("QUERY('Volunteer Survey'!I817)"),"")</f>
        <v/>
      </c>
      <c r="Q423" s="60" t="str">
        <f>IFERROR(__xludf.DUMMYFUNCTION("QUERY('Volunteer Survey'!J817)"),"")</f>
        <v/>
      </c>
      <c r="R423" s="55" t="str">
        <f>IFERROR(__xludf.DUMMYFUNCTION("QUERY('Volunteer Survey'!K817)"),"")</f>
        <v/>
      </c>
      <c r="S423" s="55" t="str">
        <f>IFERROR(__xludf.DUMMYFUNCTION("QUERY('Volunteer Survey'!L817)"),"")</f>
        <v/>
      </c>
      <c r="T423" s="55" t="str">
        <f>IFERROR(__xludf.DUMMYFUNCTION("QUERY('Volunteer Survey'!M817)"),"")</f>
        <v/>
      </c>
      <c r="U423" s="64" t="str">
        <f>IFERROR(__xludf.DUMMYFUNCTION("QUERY('Volunteer Survey'!N817)"),"")</f>
        <v/>
      </c>
      <c r="V423" s="55" t="str">
        <f>IFERROR(__xludf.DUMMYFUNCTION("QUERY('Volunteer Survey'!O817)"),"")</f>
        <v/>
      </c>
      <c r="W423" s="66" t="str">
        <f>IFERROR(__xludf.DUMMYFUNCTION("QUERY('Volunteer Survey'!P817)"),"")</f>
        <v/>
      </c>
      <c r="X423" s="64" t="str">
        <f>IFERROR(__xludf.DUMMYFUNCTION("QUERY('Volunteer Survey'!R817)"),"")</f>
        <v/>
      </c>
      <c r="Y423" s="53"/>
      <c r="Z423" s="183" t="str">
        <f>IFERROR(__xludf.DUMMYFUNCTION("QUERY('Volunteer Survey'!A422)"),"")</f>
        <v/>
      </c>
      <c r="AA423" s="183" t="str">
        <f>IFERROR(__xludf.DUMMYFUNCTION("QUERY('Volunteer Survey'!B422)"),"")</f>
        <v/>
      </c>
      <c r="AB423" s="183" t="str">
        <f>IFERROR(__xludf.DUMMYFUNCTION("QUERY('Volunteer Survey'!C422)"),"")</f>
        <v/>
      </c>
      <c r="AC423" s="183" t="str">
        <f>IFERROR(__xludf.DUMMYFUNCTION("QUERY('Volunteer Survey'!D422)"),"")</f>
        <v/>
      </c>
      <c r="AD423" s="183" t="str">
        <f>IFERROR(__xludf.DUMMYFUNCTION("QUERY('Volunteer Survey'!E422)"),"")</f>
        <v/>
      </c>
      <c r="AE423" s="183" t="str">
        <f>IFERROR(__xludf.DUMMYFUNCTION("QUERY('Volunteer Survey'!F422)"),"")</f>
        <v/>
      </c>
      <c r="AF423" s="183" t="str">
        <f>IFERROR(__xludf.DUMMYFUNCTION("QUERY('Volunteer Survey'!G422)"),"")</f>
        <v/>
      </c>
      <c r="AG423" s="183" t="str">
        <f>IFERROR(__xludf.DUMMYFUNCTION("QUERY('Volunteer Survey'!H422)"),"")</f>
        <v/>
      </c>
      <c r="AH423" s="183" t="str">
        <f>IFERROR(__xludf.DUMMYFUNCTION("QUERY('Volunteer Survey'!I422)"),"")</f>
        <v/>
      </c>
      <c r="AI423" s="183" t="str">
        <f>IFERROR(__xludf.DUMMYFUNCTION("QUERY('Volunteer Survey'!J422)"),"")</f>
        <v/>
      </c>
      <c r="AJ423" s="183" t="str">
        <f>IFERROR(__xludf.DUMMYFUNCTION("QUERY('Volunteer Survey'!K422)"),"")</f>
        <v/>
      </c>
      <c r="AK423" s="183" t="str">
        <f>IFERROR(__xludf.DUMMYFUNCTION("QUERY('Volunteer Survey'!L422)"),"")</f>
        <v/>
      </c>
      <c r="AL423" s="183" t="str">
        <f>IFERROR(__xludf.DUMMYFUNCTION("QUERY('Volunteer Survey'!M422)"),"")</f>
        <v/>
      </c>
      <c r="AM423" s="183" t="str">
        <f>IFERROR(__xludf.DUMMYFUNCTION("QUERY('Volunteer Survey'!N422)"),"")</f>
        <v/>
      </c>
      <c r="AN423" s="183" t="str">
        <f>IFERROR(__xludf.DUMMYFUNCTION("QUERY('Volunteer Survey'!O422)"),"")</f>
        <v/>
      </c>
      <c r="AO423" s="183" t="str">
        <f>IFERROR(__xludf.DUMMYFUNCTION("QUERY('Volunteer Survey'!P422)"),"")</f>
        <v/>
      </c>
    </row>
    <row r="424">
      <c r="A424" s="55" t="str">
        <f>IFERROR(__xludf.DUMMYFUNCTION("QUERY('Volunteer Survey'!A818)"),"")</f>
        <v/>
      </c>
      <c r="B424" s="48" t="s">
        <v>322</v>
      </c>
      <c r="C424" s="53"/>
      <c r="D424" s="55"/>
      <c r="E424" s="55"/>
      <c r="F424" s="55" t="b">
        <v>0</v>
      </c>
      <c r="G424" s="55"/>
      <c r="H424" s="53"/>
      <c r="I424" s="53"/>
      <c r="J424" s="55"/>
      <c r="K424" s="55"/>
      <c r="L424" s="55" t="str">
        <f>IFERROR(__xludf.DUMMYFUNCTION("QUERY('Volunteer Survey'!B818)"),"")</f>
        <v/>
      </c>
      <c r="M424" s="55" t="str">
        <f>IFERROR(__xludf.DUMMYFUNCTION("QUERY('Volunteer Survey'!E818)"),"")</f>
        <v/>
      </c>
      <c r="N424" s="55" t="str">
        <f>IFERROR(__xludf.DUMMYFUNCTION("QUERY('Volunteer Survey'!F818)"),"")</f>
        <v/>
      </c>
      <c r="O424" s="48" t="str">
        <f>IFERROR(__xludf.DUMMYFUNCTION("QUERY('Volunteer Survey'!H818)"),"")</f>
        <v/>
      </c>
      <c r="P424" s="55" t="str">
        <f>IFERROR(__xludf.DUMMYFUNCTION("QUERY('Volunteer Survey'!I818)"),"")</f>
        <v/>
      </c>
      <c r="Q424" s="60" t="str">
        <f>IFERROR(__xludf.DUMMYFUNCTION("QUERY('Volunteer Survey'!J818)"),"")</f>
        <v/>
      </c>
      <c r="R424" s="55" t="str">
        <f>IFERROR(__xludf.DUMMYFUNCTION("QUERY('Volunteer Survey'!K818)"),"")</f>
        <v/>
      </c>
      <c r="S424" s="55" t="str">
        <f>IFERROR(__xludf.DUMMYFUNCTION("QUERY('Volunteer Survey'!L818)"),"")</f>
        <v/>
      </c>
      <c r="T424" s="55" t="str">
        <f>IFERROR(__xludf.DUMMYFUNCTION("QUERY('Volunteer Survey'!M818)"),"")</f>
        <v/>
      </c>
      <c r="U424" s="64" t="str">
        <f>IFERROR(__xludf.DUMMYFUNCTION("QUERY('Volunteer Survey'!N818)"),"")</f>
        <v/>
      </c>
      <c r="V424" s="55" t="str">
        <f>IFERROR(__xludf.DUMMYFUNCTION("QUERY('Volunteer Survey'!O818)"),"")</f>
        <v/>
      </c>
      <c r="W424" s="66" t="str">
        <f>IFERROR(__xludf.DUMMYFUNCTION("QUERY('Volunteer Survey'!P818)"),"")</f>
        <v/>
      </c>
      <c r="X424" s="64" t="str">
        <f>IFERROR(__xludf.DUMMYFUNCTION("QUERY('Volunteer Survey'!R818)"),"")</f>
        <v/>
      </c>
      <c r="Y424" s="53"/>
      <c r="Z424" s="183" t="str">
        <f>IFERROR(__xludf.DUMMYFUNCTION("QUERY('Volunteer Survey'!A423)"),"")</f>
        <v/>
      </c>
      <c r="AA424" s="183" t="str">
        <f>IFERROR(__xludf.DUMMYFUNCTION("QUERY('Volunteer Survey'!B423)"),"")</f>
        <v/>
      </c>
      <c r="AB424" s="183" t="str">
        <f>IFERROR(__xludf.DUMMYFUNCTION("QUERY('Volunteer Survey'!C423)"),"")</f>
        <v/>
      </c>
      <c r="AC424" s="183" t="str">
        <f>IFERROR(__xludf.DUMMYFUNCTION("QUERY('Volunteer Survey'!D423)"),"")</f>
        <v/>
      </c>
      <c r="AD424" s="183" t="str">
        <f>IFERROR(__xludf.DUMMYFUNCTION("QUERY('Volunteer Survey'!E423)"),"")</f>
        <v/>
      </c>
      <c r="AE424" s="183" t="str">
        <f>IFERROR(__xludf.DUMMYFUNCTION("QUERY('Volunteer Survey'!F423)"),"")</f>
        <v/>
      </c>
      <c r="AF424" s="183" t="str">
        <f>IFERROR(__xludf.DUMMYFUNCTION("QUERY('Volunteer Survey'!G423)"),"")</f>
        <v/>
      </c>
      <c r="AG424" s="183" t="str">
        <f>IFERROR(__xludf.DUMMYFUNCTION("QUERY('Volunteer Survey'!H423)"),"")</f>
        <v/>
      </c>
      <c r="AH424" s="183" t="str">
        <f>IFERROR(__xludf.DUMMYFUNCTION("QUERY('Volunteer Survey'!I423)"),"")</f>
        <v/>
      </c>
      <c r="AI424" s="183" t="str">
        <f>IFERROR(__xludf.DUMMYFUNCTION("QUERY('Volunteer Survey'!J423)"),"")</f>
        <v/>
      </c>
      <c r="AJ424" s="183" t="str">
        <f>IFERROR(__xludf.DUMMYFUNCTION("QUERY('Volunteer Survey'!K423)"),"")</f>
        <v/>
      </c>
      <c r="AK424" s="183" t="str">
        <f>IFERROR(__xludf.DUMMYFUNCTION("QUERY('Volunteer Survey'!L423)"),"")</f>
        <v/>
      </c>
      <c r="AL424" s="183" t="str">
        <f>IFERROR(__xludf.DUMMYFUNCTION("QUERY('Volunteer Survey'!M423)"),"")</f>
        <v/>
      </c>
      <c r="AM424" s="183" t="str">
        <f>IFERROR(__xludf.DUMMYFUNCTION("QUERY('Volunteer Survey'!N423)"),"")</f>
        <v/>
      </c>
      <c r="AN424" s="183" t="str">
        <f>IFERROR(__xludf.DUMMYFUNCTION("QUERY('Volunteer Survey'!O423)"),"")</f>
        <v/>
      </c>
      <c r="AO424" s="183" t="str">
        <f>IFERROR(__xludf.DUMMYFUNCTION("QUERY('Volunteer Survey'!P423)"),"")</f>
        <v/>
      </c>
    </row>
    <row r="425">
      <c r="A425" s="55" t="str">
        <f>IFERROR(__xludf.DUMMYFUNCTION("QUERY('Volunteer Survey'!A819)"),"")</f>
        <v/>
      </c>
      <c r="B425" s="48" t="s">
        <v>322</v>
      </c>
      <c r="C425" s="53"/>
      <c r="D425" s="55"/>
      <c r="E425" s="55"/>
      <c r="F425" s="55" t="b">
        <v>0</v>
      </c>
      <c r="G425" s="55"/>
      <c r="H425" s="53"/>
      <c r="I425" s="53"/>
      <c r="J425" s="55"/>
      <c r="K425" s="55"/>
      <c r="L425" s="55" t="str">
        <f>IFERROR(__xludf.DUMMYFUNCTION("QUERY('Volunteer Survey'!B819)"),"")</f>
        <v/>
      </c>
      <c r="M425" s="55" t="str">
        <f>IFERROR(__xludf.DUMMYFUNCTION("QUERY('Volunteer Survey'!E819)"),"")</f>
        <v/>
      </c>
      <c r="N425" s="55" t="str">
        <f>IFERROR(__xludf.DUMMYFUNCTION("QUERY('Volunteer Survey'!F819)"),"")</f>
        <v/>
      </c>
      <c r="O425" s="48" t="str">
        <f>IFERROR(__xludf.DUMMYFUNCTION("QUERY('Volunteer Survey'!H819)"),"")</f>
        <v/>
      </c>
      <c r="P425" s="55" t="str">
        <f>IFERROR(__xludf.DUMMYFUNCTION("QUERY('Volunteer Survey'!I819)"),"")</f>
        <v/>
      </c>
      <c r="Q425" s="60" t="str">
        <f>IFERROR(__xludf.DUMMYFUNCTION("QUERY('Volunteer Survey'!J819)"),"")</f>
        <v/>
      </c>
      <c r="R425" s="55" t="str">
        <f>IFERROR(__xludf.DUMMYFUNCTION("QUERY('Volunteer Survey'!K819)"),"")</f>
        <v/>
      </c>
      <c r="S425" s="55" t="str">
        <f>IFERROR(__xludf.DUMMYFUNCTION("QUERY('Volunteer Survey'!L819)"),"")</f>
        <v/>
      </c>
      <c r="T425" s="55" t="str">
        <f>IFERROR(__xludf.DUMMYFUNCTION("QUERY('Volunteer Survey'!M819)"),"")</f>
        <v/>
      </c>
      <c r="U425" s="64" t="str">
        <f>IFERROR(__xludf.DUMMYFUNCTION("QUERY('Volunteer Survey'!N819)"),"")</f>
        <v/>
      </c>
      <c r="V425" s="55" t="str">
        <f>IFERROR(__xludf.DUMMYFUNCTION("QUERY('Volunteer Survey'!O819)"),"")</f>
        <v/>
      </c>
      <c r="W425" s="66" t="str">
        <f>IFERROR(__xludf.DUMMYFUNCTION("QUERY('Volunteer Survey'!P819)"),"")</f>
        <v/>
      </c>
      <c r="X425" s="64" t="str">
        <f>IFERROR(__xludf.DUMMYFUNCTION("QUERY('Volunteer Survey'!R819)"),"")</f>
        <v/>
      </c>
      <c r="Y425" s="53"/>
      <c r="Z425" s="183" t="str">
        <f>IFERROR(__xludf.DUMMYFUNCTION("QUERY('Volunteer Survey'!A424)"),"")</f>
        <v/>
      </c>
      <c r="AA425" s="183" t="str">
        <f>IFERROR(__xludf.DUMMYFUNCTION("QUERY('Volunteer Survey'!B424)"),"")</f>
        <v/>
      </c>
      <c r="AB425" s="183" t="str">
        <f>IFERROR(__xludf.DUMMYFUNCTION("QUERY('Volunteer Survey'!C424)"),"")</f>
        <v/>
      </c>
      <c r="AC425" s="183" t="str">
        <f>IFERROR(__xludf.DUMMYFUNCTION("QUERY('Volunteer Survey'!D424)"),"")</f>
        <v/>
      </c>
      <c r="AD425" s="183" t="str">
        <f>IFERROR(__xludf.DUMMYFUNCTION("QUERY('Volunteer Survey'!E424)"),"")</f>
        <v/>
      </c>
      <c r="AE425" s="183" t="str">
        <f>IFERROR(__xludf.DUMMYFUNCTION("QUERY('Volunteer Survey'!F424)"),"")</f>
        <v/>
      </c>
      <c r="AF425" s="183" t="str">
        <f>IFERROR(__xludf.DUMMYFUNCTION("QUERY('Volunteer Survey'!G424)"),"")</f>
        <v/>
      </c>
      <c r="AG425" s="183" t="str">
        <f>IFERROR(__xludf.DUMMYFUNCTION("QUERY('Volunteer Survey'!H424)"),"")</f>
        <v/>
      </c>
      <c r="AH425" s="183" t="str">
        <f>IFERROR(__xludf.DUMMYFUNCTION("QUERY('Volunteer Survey'!I424)"),"")</f>
        <v/>
      </c>
      <c r="AI425" s="183" t="str">
        <f>IFERROR(__xludf.DUMMYFUNCTION("QUERY('Volunteer Survey'!J424)"),"")</f>
        <v/>
      </c>
      <c r="AJ425" s="183" t="str">
        <f>IFERROR(__xludf.DUMMYFUNCTION("QUERY('Volunteer Survey'!K424)"),"")</f>
        <v/>
      </c>
      <c r="AK425" s="183" t="str">
        <f>IFERROR(__xludf.DUMMYFUNCTION("QUERY('Volunteer Survey'!L424)"),"")</f>
        <v/>
      </c>
      <c r="AL425" s="183" t="str">
        <f>IFERROR(__xludf.DUMMYFUNCTION("QUERY('Volunteer Survey'!M424)"),"")</f>
        <v/>
      </c>
      <c r="AM425" s="183" t="str">
        <f>IFERROR(__xludf.DUMMYFUNCTION("QUERY('Volunteer Survey'!N424)"),"")</f>
        <v/>
      </c>
      <c r="AN425" s="183" t="str">
        <f>IFERROR(__xludf.DUMMYFUNCTION("QUERY('Volunteer Survey'!O424)"),"")</f>
        <v/>
      </c>
      <c r="AO425" s="183" t="str">
        <f>IFERROR(__xludf.DUMMYFUNCTION("QUERY('Volunteer Survey'!P424)"),"")</f>
        <v/>
      </c>
    </row>
    <row r="426">
      <c r="A426" s="55" t="str">
        <f>IFERROR(__xludf.DUMMYFUNCTION("QUERY('Volunteer Survey'!A820)"),"")</f>
        <v/>
      </c>
      <c r="B426" s="48" t="s">
        <v>322</v>
      </c>
      <c r="C426" s="53"/>
      <c r="D426" s="55"/>
      <c r="E426" s="55"/>
      <c r="F426" s="55" t="b">
        <v>0</v>
      </c>
      <c r="G426" s="55"/>
      <c r="H426" s="53"/>
      <c r="I426" s="53"/>
      <c r="J426" s="55"/>
      <c r="K426" s="55"/>
      <c r="L426" s="55" t="str">
        <f>IFERROR(__xludf.DUMMYFUNCTION("QUERY('Volunteer Survey'!B820)"),"")</f>
        <v/>
      </c>
      <c r="M426" s="55" t="str">
        <f>IFERROR(__xludf.DUMMYFUNCTION("QUERY('Volunteer Survey'!E820)"),"")</f>
        <v/>
      </c>
      <c r="N426" s="55" t="str">
        <f>IFERROR(__xludf.DUMMYFUNCTION("QUERY('Volunteer Survey'!F820)"),"")</f>
        <v/>
      </c>
      <c r="O426" s="48" t="str">
        <f>IFERROR(__xludf.DUMMYFUNCTION("QUERY('Volunteer Survey'!H820)"),"")</f>
        <v/>
      </c>
      <c r="P426" s="55" t="str">
        <f>IFERROR(__xludf.DUMMYFUNCTION("QUERY('Volunteer Survey'!I820)"),"")</f>
        <v/>
      </c>
      <c r="Q426" s="60" t="str">
        <f>IFERROR(__xludf.DUMMYFUNCTION("QUERY('Volunteer Survey'!J820)"),"")</f>
        <v/>
      </c>
      <c r="R426" s="55" t="str">
        <f>IFERROR(__xludf.DUMMYFUNCTION("QUERY('Volunteer Survey'!K820)"),"")</f>
        <v/>
      </c>
      <c r="S426" s="55" t="str">
        <f>IFERROR(__xludf.DUMMYFUNCTION("QUERY('Volunteer Survey'!L820)"),"")</f>
        <v/>
      </c>
      <c r="T426" s="55" t="str">
        <f>IFERROR(__xludf.DUMMYFUNCTION("QUERY('Volunteer Survey'!M820)"),"")</f>
        <v/>
      </c>
      <c r="U426" s="64" t="str">
        <f>IFERROR(__xludf.DUMMYFUNCTION("QUERY('Volunteer Survey'!N820)"),"")</f>
        <v/>
      </c>
      <c r="V426" s="55" t="str">
        <f>IFERROR(__xludf.DUMMYFUNCTION("QUERY('Volunteer Survey'!O820)"),"")</f>
        <v/>
      </c>
      <c r="W426" s="66" t="str">
        <f>IFERROR(__xludf.DUMMYFUNCTION("QUERY('Volunteer Survey'!P820)"),"")</f>
        <v/>
      </c>
      <c r="X426" s="64" t="str">
        <f>IFERROR(__xludf.DUMMYFUNCTION("QUERY('Volunteer Survey'!R820)"),"")</f>
        <v/>
      </c>
      <c r="Y426" s="53"/>
      <c r="Z426" s="183" t="str">
        <f>IFERROR(__xludf.DUMMYFUNCTION("QUERY('Volunteer Survey'!A425)"),"")</f>
        <v/>
      </c>
      <c r="AA426" s="183" t="str">
        <f>IFERROR(__xludf.DUMMYFUNCTION("QUERY('Volunteer Survey'!B425)"),"")</f>
        <v/>
      </c>
      <c r="AB426" s="183" t="str">
        <f>IFERROR(__xludf.DUMMYFUNCTION("QUERY('Volunteer Survey'!C425)"),"")</f>
        <v/>
      </c>
      <c r="AC426" s="183" t="str">
        <f>IFERROR(__xludf.DUMMYFUNCTION("QUERY('Volunteer Survey'!D425)"),"")</f>
        <v/>
      </c>
      <c r="AD426" s="183" t="str">
        <f>IFERROR(__xludf.DUMMYFUNCTION("QUERY('Volunteer Survey'!E425)"),"")</f>
        <v/>
      </c>
      <c r="AE426" s="183" t="str">
        <f>IFERROR(__xludf.DUMMYFUNCTION("QUERY('Volunteer Survey'!F425)"),"")</f>
        <v/>
      </c>
      <c r="AF426" s="183" t="str">
        <f>IFERROR(__xludf.DUMMYFUNCTION("QUERY('Volunteer Survey'!G425)"),"")</f>
        <v/>
      </c>
      <c r="AG426" s="183" t="str">
        <f>IFERROR(__xludf.DUMMYFUNCTION("QUERY('Volunteer Survey'!H425)"),"")</f>
        <v/>
      </c>
      <c r="AH426" s="183" t="str">
        <f>IFERROR(__xludf.DUMMYFUNCTION("QUERY('Volunteer Survey'!I425)"),"")</f>
        <v/>
      </c>
      <c r="AI426" s="183" t="str">
        <f>IFERROR(__xludf.DUMMYFUNCTION("QUERY('Volunteer Survey'!J425)"),"")</f>
        <v/>
      </c>
      <c r="AJ426" s="183" t="str">
        <f>IFERROR(__xludf.DUMMYFUNCTION("QUERY('Volunteer Survey'!K425)"),"")</f>
        <v/>
      </c>
      <c r="AK426" s="183" t="str">
        <f>IFERROR(__xludf.DUMMYFUNCTION("QUERY('Volunteer Survey'!L425)"),"")</f>
        <v/>
      </c>
      <c r="AL426" s="183" t="str">
        <f>IFERROR(__xludf.DUMMYFUNCTION("QUERY('Volunteer Survey'!M425)"),"")</f>
        <v/>
      </c>
      <c r="AM426" s="183" t="str">
        <f>IFERROR(__xludf.DUMMYFUNCTION("QUERY('Volunteer Survey'!N425)"),"")</f>
        <v/>
      </c>
      <c r="AN426" s="183" t="str">
        <f>IFERROR(__xludf.DUMMYFUNCTION("QUERY('Volunteer Survey'!O425)"),"")</f>
        <v/>
      </c>
      <c r="AO426" s="183" t="str">
        <f>IFERROR(__xludf.DUMMYFUNCTION("QUERY('Volunteer Survey'!P425)"),"")</f>
        <v/>
      </c>
    </row>
    <row r="427">
      <c r="A427" s="55" t="str">
        <f>IFERROR(__xludf.DUMMYFUNCTION("QUERY('Volunteer Survey'!A821)"),"")</f>
        <v/>
      </c>
      <c r="B427" s="48" t="s">
        <v>322</v>
      </c>
      <c r="C427" s="53"/>
      <c r="D427" s="55"/>
      <c r="E427" s="55"/>
      <c r="F427" s="55" t="b">
        <v>0</v>
      </c>
      <c r="G427" s="55"/>
      <c r="H427" s="53"/>
      <c r="I427" s="53"/>
      <c r="J427" s="55"/>
      <c r="K427" s="55"/>
      <c r="L427" s="55" t="str">
        <f>IFERROR(__xludf.DUMMYFUNCTION("QUERY('Volunteer Survey'!B821)"),"")</f>
        <v/>
      </c>
      <c r="M427" s="55" t="str">
        <f>IFERROR(__xludf.DUMMYFUNCTION("QUERY('Volunteer Survey'!E821)"),"")</f>
        <v/>
      </c>
      <c r="N427" s="55" t="str">
        <f>IFERROR(__xludf.DUMMYFUNCTION("QUERY('Volunteer Survey'!F821)"),"")</f>
        <v/>
      </c>
      <c r="O427" s="48" t="str">
        <f>IFERROR(__xludf.DUMMYFUNCTION("QUERY('Volunteer Survey'!H821)"),"")</f>
        <v/>
      </c>
      <c r="P427" s="55" t="str">
        <f>IFERROR(__xludf.DUMMYFUNCTION("QUERY('Volunteer Survey'!I821)"),"")</f>
        <v/>
      </c>
      <c r="Q427" s="60" t="str">
        <f>IFERROR(__xludf.DUMMYFUNCTION("QUERY('Volunteer Survey'!J821)"),"")</f>
        <v/>
      </c>
      <c r="R427" s="55" t="str">
        <f>IFERROR(__xludf.DUMMYFUNCTION("QUERY('Volunteer Survey'!K821)"),"")</f>
        <v/>
      </c>
      <c r="S427" s="55" t="str">
        <f>IFERROR(__xludf.DUMMYFUNCTION("QUERY('Volunteer Survey'!L821)"),"")</f>
        <v/>
      </c>
      <c r="T427" s="55" t="str">
        <f>IFERROR(__xludf.DUMMYFUNCTION("QUERY('Volunteer Survey'!M821)"),"")</f>
        <v/>
      </c>
      <c r="U427" s="64" t="str">
        <f>IFERROR(__xludf.DUMMYFUNCTION("QUERY('Volunteer Survey'!N821)"),"")</f>
        <v/>
      </c>
      <c r="V427" s="55" t="str">
        <f>IFERROR(__xludf.DUMMYFUNCTION("QUERY('Volunteer Survey'!O821)"),"")</f>
        <v/>
      </c>
      <c r="W427" s="66" t="str">
        <f>IFERROR(__xludf.DUMMYFUNCTION("QUERY('Volunteer Survey'!P821)"),"")</f>
        <v/>
      </c>
      <c r="X427" s="64" t="str">
        <f>IFERROR(__xludf.DUMMYFUNCTION("QUERY('Volunteer Survey'!R821)"),"")</f>
        <v/>
      </c>
      <c r="Y427" s="53"/>
      <c r="Z427" s="183" t="str">
        <f>IFERROR(__xludf.DUMMYFUNCTION("QUERY('Volunteer Survey'!A426)"),"")</f>
        <v/>
      </c>
      <c r="AA427" s="183" t="str">
        <f>IFERROR(__xludf.DUMMYFUNCTION("QUERY('Volunteer Survey'!B426)"),"")</f>
        <v/>
      </c>
      <c r="AB427" s="183" t="str">
        <f>IFERROR(__xludf.DUMMYFUNCTION("QUERY('Volunteer Survey'!C426)"),"")</f>
        <v/>
      </c>
      <c r="AC427" s="183" t="str">
        <f>IFERROR(__xludf.DUMMYFUNCTION("QUERY('Volunteer Survey'!D426)"),"")</f>
        <v/>
      </c>
      <c r="AD427" s="183" t="str">
        <f>IFERROR(__xludf.DUMMYFUNCTION("QUERY('Volunteer Survey'!E426)"),"")</f>
        <v/>
      </c>
      <c r="AE427" s="183" t="str">
        <f>IFERROR(__xludf.DUMMYFUNCTION("QUERY('Volunteer Survey'!F426)"),"")</f>
        <v/>
      </c>
      <c r="AF427" s="183" t="str">
        <f>IFERROR(__xludf.DUMMYFUNCTION("QUERY('Volunteer Survey'!G426)"),"")</f>
        <v/>
      </c>
      <c r="AG427" s="183" t="str">
        <f>IFERROR(__xludf.DUMMYFUNCTION("QUERY('Volunteer Survey'!H426)"),"")</f>
        <v/>
      </c>
      <c r="AH427" s="183" t="str">
        <f>IFERROR(__xludf.DUMMYFUNCTION("QUERY('Volunteer Survey'!I426)"),"")</f>
        <v/>
      </c>
      <c r="AI427" s="183" t="str">
        <f>IFERROR(__xludf.DUMMYFUNCTION("QUERY('Volunteer Survey'!J426)"),"")</f>
        <v/>
      </c>
      <c r="AJ427" s="183" t="str">
        <f>IFERROR(__xludf.DUMMYFUNCTION("QUERY('Volunteer Survey'!K426)"),"")</f>
        <v/>
      </c>
      <c r="AK427" s="183" t="str">
        <f>IFERROR(__xludf.DUMMYFUNCTION("QUERY('Volunteer Survey'!L426)"),"")</f>
        <v/>
      </c>
      <c r="AL427" s="183" t="str">
        <f>IFERROR(__xludf.DUMMYFUNCTION("QUERY('Volunteer Survey'!M426)"),"")</f>
        <v/>
      </c>
      <c r="AM427" s="183" t="str">
        <f>IFERROR(__xludf.DUMMYFUNCTION("QUERY('Volunteer Survey'!N426)"),"")</f>
        <v/>
      </c>
      <c r="AN427" s="183" t="str">
        <f>IFERROR(__xludf.DUMMYFUNCTION("QUERY('Volunteer Survey'!O426)"),"")</f>
        <v/>
      </c>
      <c r="AO427" s="183" t="str">
        <f>IFERROR(__xludf.DUMMYFUNCTION("QUERY('Volunteer Survey'!P426)"),"")</f>
        <v/>
      </c>
    </row>
    <row r="428">
      <c r="A428" s="55" t="str">
        <f>IFERROR(__xludf.DUMMYFUNCTION("QUERY('Volunteer Survey'!A822)"),"")</f>
        <v/>
      </c>
      <c r="B428" s="48" t="s">
        <v>322</v>
      </c>
      <c r="C428" s="53"/>
      <c r="D428" s="55"/>
      <c r="E428" s="55"/>
      <c r="F428" s="55" t="b">
        <v>0</v>
      </c>
      <c r="G428" s="55"/>
      <c r="H428" s="53"/>
      <c r="I428" s="53"/>
      <c r="J428" s="55"/>
      <c r="K428" s="55"/>
      <c r="L428" s="55" t="str">
        <f>IFERROR(__xludf.DUMMYFUNCTION("QUERY('Volunteer Survey'!B822)"),"")</f>
        <v/>
      </c>
      <c r="M428" s="55" t="str">
        <f>IFERROR(__xludf.DUMMYFUNCTION("QUERY('Volunteer Survey'!E822)"),"")</f>
        <v/>
      </c>
      <c r="N428" s="55" t="str">
        <f>IFERROR(__xludf.DUMMYFUNCTION("QUERY('Volunteer Survey'!F822)"),"")</f>
        <v/>
      </c>
      <c r="O428" s="48" t="str">
        <f>IFERROR(__xludf.DUMMYFUNCTION("QUERY('Volunteer Survey'!H822)"),"")</f>
        <v/>
      </c>
      <c r="P428" s="55" t="str">
        <f>IFERROR(__xludf.DUMMYFUNCTION("QUERY('Volunteer Survey'!I822)"),"")</f>
        <v/>
      </c>
      <c r="Q428" s="60" t="str">
        <f>IFERROR(__xludf.DUMMYFUNCTION("QUERY('Volunteer Survey'!J822)"),"")</f>
        <v/>
      </c>
      <c r="R428" s="55" t="str">
        <f>IFERROR(__xludf.DUMMYFUNCTION("QUERY('Volunteer Survey'!K822)"),"")</f>
        <v/>
      </c>
      <c r="S428" s="55" t="str">
        <f>IFERROR(__xludf.DUMMYFUNCTION("QUERY('Volunteer Survey'!L822)"),"")</f>
        <v/>
      </c>
      <c r="T428" s="55" t="str">
        <f>IFERROR(__xludf.DUMMYFUNCTION("QUERY('Volunteer Survey'!M822)"),"")</f>
        <v/>
      </c>
      <c r="U428" s="64" t="str">
        <f>IFERROR(__xludf.DUMMYFUNCTION("QUERY('Volunteer Survey'!N822)"),"")</f>
        <v/>
      </c>
      <c r="V428" s="55" t="str">
        <f>IFERROR(__xludf.DUMMYFUNCTION("QUERY('Volunteer Survey'!O822)"),"")</f>
        <v/>
      </c>
      <c r="W428" s="66" t="str">
        <f>IFERROR(__xludf.DUMMYFUNCTION("QUERY('Volunteer Survey'!P822)"),"")</f>
        <v/>
      </c>
      <c r="X428" s="64" t="str">
        <f>IFERROR(__xludf.DUMMYFUNCTION("QUERY('Volunteer Survey'!R822)"),"")</f>
        <v/>
      </c>
      <c r="Y428" s="53"/>
      <c r="Z428" s="183" t="str">
        <f>IFERROR(__xludf.DUMMYFUNCTION("QUERY('Volunteer Survey'!A427)"),"")</f>
        <v/>
      </c>
      <c r="AA428" s="183" t="str">
        <f>IFERROR(__xludf.DUMMYFUNCTION("QUERY('Volunteer Survey'!B427)"),"")</f>
        <v/>
      </c>
      <c r="AB428" s="183" t="str">
        <f>IFERROR(__xludf.DUMMYFUNCTION("QUERY('Volunteer Survey'!C427)"),"")</f>
        <v/>
      </c>
      <c r="AC428" s="183" t="str">
        <f>IFERROR(__xludf.DUMMYFUNCTION("QUERY('Volunteer Survey'!D427)"),"")</f>
        <v/>
      </c>
      <c r="AD428" s="183" t="str">
        <f>IFERROR(__xludf.DUMMYFUNCTION("QUERY('Volunteer Survey'!E427)"),"")</f>
        <v/>
      </c>
      <c r="AE428" s="183" t="str">
        <f>IFERROR(__xludf.DUMMYFUNCTION("QUERY('Volunteer Survey'!F427)"),"")</f>
        <v/>
      </c>
      <c r="AF428" s="183" t="str">
        <f>IFERROR(__xludf.DUMMYFUNCTION("QUERY('Volunteer Survey'!G427)"),"")</f>
        <v/>
      </c>
      <c r="AG428" s="183" t="str">
        <f>IFERROR(__xludf.DUMMYFUNCTION("QUERY('Volunteer Survey'!H427)"),"")</f>
        <v/>
      </c>
      <c r="AH428" s="183" t="str">
        <f>IFERROR(__xludf.DUMMYFUNCTION("QUERY('Volunteer Survey'!I427)"),"")</f>
        <v/>
      </c>
      <c r="AI428" s="183" t="str">
        <f>IFERROR(__xludf.DUMMYFUNCTION("QUERY('Volunteer Survey'!J427)"),"")</f>
        <v/>
      </c>
      <c r="AJ428" s="183" t="str">
        <f>IFERROR(__xludf.DUMMYFUNCTION("QUERY('Volunteer Survey'!K427)"),"")</f>
        <v/>
      </c>
      <c r="AK428" s="183" t="str">
        <f>IFERROR(__xludf.DUMMYFUNCTION("QUERY('Volunteer Survey'!L427)"),"")</f>
        <v/>
      </c>
      <c r="AL428" s="183" t="str">
        <f>IFERROR(__xludf.DUMMYFUNCTION("QUERY('Volunteer Survey'!M427)"),"")</f>
        <v/>
      </c>
      <c r="AM428" s="183" t="str">
        <f>IFERROR(__xludf.DUMMYFUNCTION("QUERY('Volunteer Survey'!N427)"),"")</f>
        <v/>
      </c>
      <c r="AN428" s="183" t="str">
        <f>IFERROR(__xludf.DUMMYFUNCTION("QUERY('Volunteer Survey'!O427)"),"")</f>
        <v/>
      </c>
      <c r="AO428" s="183" t="str">
        <f>IFERROR(__xludf.DUMMYFUNCTION("QUERY('Volunteer Survey'!P427)"),"")</f>
        <v/>
      </c>
    </row>
    <row r="429">
      <c r="A429" s="55" t="str">
        <f>IFERROR(__xludf.DUMMYFUNCTION("QUERY('Volunteer Survey'!A823)"),"")</f>
        <v/>
      </c>
      <c r="B429" s="48" t="s">
        <v>322</v>
      </c>
      <c r="C429" s="53"/>
      <c r="D429" s="55"/>
      <c r="E429" s="55"/>
      <c r="F429" s="55" t="b">
        <v>0</v>
      </c>
      <c r="G429" s="55"/>
      <c r="H429" s="53"/>
      <c r="I429" s="53"/>
      <c r="J429" s="55"/>
      <c r="K429" s="55"/>
      <c r="L429" s="55" t="str">
        <f>IFERROR(__xludf.DUMMYFUNCTION("QUERY('Volunteer Survey'!B823)"),"")</f>
        <v/>
      </c>
      <c r="M429" s="55" t="str">
        <f>IFERROR(__xludf.DUMMYFUNCTION("QUERY('Volunteer Survey'!E823)"),"")</f>
        <v/>
      </c>
      <c r="N429" s="55" t="str">
        <f>IFERROR(__xludf.DUMMYFUNCTION("QUERY('Volunteer Survey'!F823)"),"")</f>
        <v/>
      </c>
      <c r="O429" s="48" t="str">
        <f>IFERROR(__xludf.DUMMYFUNCTION("QUERY('Volunteer Survey'!H823)"),"")</f>
        <v/>
      </c>
      <c r="P429" s="55" t="str">
        <f>IFERROR(__xludf.DUMMYFUNCTION("QUERY('Volunteer Survey'!I823)"),"")</f>
        <v/>
      </c>
      <c r="Q429" s="60" t="str">
        <f>IFERROR(__xludf.DUMMYFUNCTION("QUERY('Volunteer Survey'!J823)"),"")</f>
        <v/>
      </c>
      <c r="R429" s="55" t="str">
        <f>IFERROR(__xludf.DUMMYFUNCTION("QUERY('Volunteer Survey'!K823)"),"")</f>
        <v/>
      </c>
      <c r="S429" s="55" t="str">
        <f>IFERROR(__xludf.DUMMYFUNCTION("QUERY('Volunteer Survey'!L823)"),"")</f>
        <v/>
      </c>
      <c r="T429" s="55" t="str">
        <f>IFERROR(__xludf.DUMMYFUNCTION("QUERY('Volunteer Survey'!M823)"),"")</f>
        <v/>
      </c>
      <c r="U429" s="64" t="str">
        <f>IFERROR(__xludf.DUMMYFUNCTION("QUERY('Volunteer Survey'!N823)"),"")</f>
        <v/>
      </c>
      <c r="V429" s="55" t="str">
        <f>IFERROR(__xludf.DUMMYFUNCTION("QUERY('Volunteer Survey'!O823)"),"")</f>
        <v/>
      </c>
      <c r="W429" s="66" t="str">
        <f>IFERROR(__xludf.DUMMYFUNCTION("QUERY('Volunteer Survey'!P823)"),"")</f>
        <v/>
      </c>
      <c r="X429" s="64" t="str">
        <f>IFERROR(__xludf.DUMMYFUNCTION("QUERY('Volunteer Survey'!R823)"),"")</f>
        <v/>
      </c>
      <c r="Y429" s="53"/>
      <c r="Z429" s="183" t="str">
        <f>IFERROR(__xludf.DUMMYFUNCTION("QUERY('Volunteer Survey'!A428)"),"")</f>
        <v/>
      </c>
      <c r="AA429" s="183" t="str">
        <f>IFERROR(__xludf.DUMMYFUNCTION("QUERY('Volunteer Survey'!B428)"),"")</f>
        <v/>
      </c>
      <c r="AB429" s="183" t="str">
        <f>IFERROR(__xludf.DUMMYFUNCTION("QUERY('Volunteer Survey'!C428)"),"")</f>
        <v/>
      </c>
      <c r="AC429" s="183" t="str">
        <f>IFERROR(__xludf.DUMMYFUNCTION("QUERY('Volunteer Survey'!D428)"),"")</f>
        <v/>
      </c>
      <c r="AD429" s="183" t="str">
        <f>IFERROR(__xludf.DUMMYFUNCTION("QUERY('Volunteer Survey'!E428)"),"")</f>
        <v/>
      </c>
      <c r="AE429" s="183" t="str">
        <f>IFERROR(__xludf.DUMMYFUNCTION("QUERY('Volunteer Survey'!F428)"),"")</f>
        <v/>
      </c>
      <c r="AF429" s="183" t="str">
        <f>IFERROR(__xludf.DUMMYFUNCTION("QUERY('Volunteer Survey'!G428)"),"")</f>
        <v/>
      </c>
      <c r="AG429" s="183" t="str">
        <f>IFERROR(__xludf.DUMMYFUNCTION("QUERY('Volunteer Survey'!H428)"),"")</f>
        <v/>
      </c>
      <c r="AH429" s="183" t="str">
        <f>IFERROR(__xludf.DUMMYFUNCTION("QUERY('Volunteer Survey'!I428)"),"")</f>
        <v/>
      </c>
      <c r="AI429" s="183" t="str">
        <f>IFERROR(__xludf.DUMMYFUNCTION("QUERY('Volunteer Survey'!J428)"),"")</f>
        <v/>
      </c>
      <c r="AJ429" s="183" t="str">
        <f>IFERROR(__xludf.DUMMYFUNCTION("QUERY('Volunteer Survey'!K428)"),"")</f>
        <v/>
      </c>
      <c r="AK429" s="183" t="str">
        <f>IFERROR(__xludf.DUMMYFUNCTION("QUERY('Volunteer Survey'!L428)"),"")</f>
        <v/>
      </c>
      <c r="AL429" s="183" t="str">
        <f>IFERROR(__xludf.DUMMYFUNCTION("QUERY('Volunteer Survey'!M428)"),"")</f>
        <v/>
      </c>
      <c r="AM429" s="183" t="str">
        <f>IFERROR(__xludf.DUMMYFUNCTION("QUERY('Volunteer Survey'!N428)"),"")</f>
        <v/>
      </c>
      <c r="AN429" s="183" t="str">
        <f>IFERROR(__xludf.DUMMYFUNCTION("QUERY('Volunteer Survey'!O428)"),"")</f>
        <v/>
      </c>
      <c r="AO429" s="183" t="str">
        <f>IFERROR(__xludf.DUMMYFUNCTION("QUERY('Volunteer Survey'!P428)"),"")</f>
        <v/>
      </c>
    </row>
    <row r="430">
      <c r="A430" s="55" t="str">
        <f>IFERROR(__xludf.DUMMYFUNCTION("QUERY('Volunteer Survey'!A824)"),"")</f>
        <v/>
      </c>
      <c r="B430" s="48" t="s">
        <v>322</v>
      </c>
      <c r="C430" s="53"/>
      <c r="D430" s="55"/>
      <c r="E430" s="55"/>
      <c r="F430" s="55" t="b">
        <v>0</v>
      </c>
      <c r="G430" s="55"/>
      <c r="H430" s="53"/>
      <c r="I430" s="53"/>
      <c r="J430" s="55"/>
      <c r="K430" s="55"/>
      <c r="L430" s="55" t="str">
        <f>IFERROR(__xludf.DUMMYFUNCTION("QUERY('Volunteer Survey'!B824)"),"")</f>
        <v/>
      </c>
      <c r="M430" s="55" t="str">
        <f>IFERROR(__xludf.DUMMYFUNCTION("QUERY('Volunteer Survey'!E824)"),"")</f>
        <v/>
      </c>
      <c r="N430" s="55" t="str">
        <f>IFERROR(__xludf.DUMMYFUNCTION("QUERY('Volunteer Survey'!F824)"),"")</f>
        <v/>
      </c>
      <c r="O430" s="48" t="str">
        <f>IFERROR(__xludf.DUMMYFUNCTION("QUERY('Volunteer Survey'!H824)"),"")</f>
        <v/>
      </c>
      <c r="P430" s="55" t="str">
        <f>IFERROR(__xludf.DUMMYFUNCTION("QUERY('Volunteer Survey'!I824)"),"")</f>
        <v/>
      </c>
      <c r="Q430" s="60" t="str">
        <f>IFERROR(__xludf.DUMMYFUNCTION("QUERY('Volunteer Survey'!J824)"),"")</f>
        <v/>
      </c>
      <c r="R430" s="55" t="str">
        <f>IFERROR(__xludf.DUMMYFUNCTION("QUERY('Volunteer Survey'!K824)"),"")</f>
        <v/>
      </c>
      <c r="S430" s="55" t="str">
        <f>IFERROR(__xludf.DUMMYFUNCTION("QUERY('Volunteer Survey'!L824)"),"")</f>
        <v/>
      </c>
      <c r="T430" s="55" t="str">
        <f>IFERROR(__xludf.DUMMYFUNCTION("QUERY('Volunteer Survey'!M824)"),"")</f>
        <v/>
      </c>
      <c r="U430" s="64" t="str">
        <f>IFERROR(__xludf.DUMMYFUNCTION("QUERY('Volunteer Survey'!N824)"),"")</f>
        <v/>
      </c>
      <c r="V430" s="55" t="str">
        <f>IFERROR(__xludf.DUMMYFUNCTION("QUERY('Volunteer Survey'!O824)"),"")</f>
        <v/>
      </c>
      <c r="W430" s="66" t="str">
        <f>IFERROR(__xludf.DUMMYFUNCTION("QUERY('Volunteer Survey'!P824)"),"")</f>
        <v/>
      </c>
      <c r="X430" s="64" t="str">
        <f>IFERROR(__xludf.DUMMYFUNCTION("QUERY('Volunteer Survey'!R824)"),"")</f>
        <v/>
      </c>
      <c r="Y430" s="53"/>
      <c r="Z430" s="183" t="str">
        <f>IFERROR(__xludf.DUMMYFUNCTION("QUERY('Volunteer Survey'!A429)"),"")</f>
        <v/>
      </c>
      <c r="AA430" s="183" t="str">
        <f>IFERROR(__xludf.DUMMYFUNCTION("QUERY('Volunteer Survey'!B429)"),"")</f>
        <v/>
      </c>
      <c r="AB430" s="183" t="str">
        <f>IFERROR(__xludf.DUMMYFUNCTION("QUERY('Volunteer Survey'!C429)"),"")</f>
        <v/>
      </c>
      <c r="AC430" s="183" t="str">
        <f>IFERROR(__xludf.DUMMYFUNCTION("QUERY('Volunteer Survey'!D429)"),"")</f>
        <v/>
      </c>
      <c r="AD430" s="183" t="str">
        <f>IFERROR(__xludf.DUMMYFUNCTION("QUERY('Volunteer Survey'!E429)"),"")</f>
        <v/>
      </c>
      <c r="AE430" s="183" t="str">
        <f>IFERROR(__xludf.DUMMYFUNCTION("QUERY('Volunteer Survey'!F429)"),"")</f>
        <v/>
      </c>
      <c r="AF430" s="183" t="str">
        <f>IFERROR(__xludf.DUMMYFUNCTION("QUERY('Volunteer Survey'!G429)"),"")</f>
        <v/>
      </c>
      <c r="AG430" s="183" t="str">
        <f>IFERROR(__xludf.DUMMYFUNCTION("QUERY('Volunteer Survey'!H429)"),"")</f>
        <v/>
      </c>
      <c r="AH430" s="183" t="str">
        <f>IFERROR(__xludf.DUMMYFUNCTION("QUERY('Volunteer Survey'!I429)"),"")</f>
        <v/>
      </c>
      <c r="AI430" s="183" t="str">
        <f>IFERROR(__xludf.DUMMYFUNCTION("QUERY('Volunteer Survey'!J429)"),"")</f>
        <v/>
      </c>
      <c r="AJ430" s="183" t="str">
        <f>IFERROR(__xludf.DUMMYFUNCTION("QUERY('Volunteer Survey'!K429)"),"")</f>
        <v/>
      </c>
      <c r="AK430" s="183" t="str">
        <f>IFERROR(__xludf.DUMMYFUNCTION("QUERY('Volunteer Survey'!L429)"),"")</f>
        <v/>
      </c>
      <c r="AL430" s="183" t="str">
        <f>IFERROR(__xludf.DUMMYFUNCTION("QUERY('Volunteer Survey'!M429)"),"")</f>
        <v/>
      </c>
      <c r="AM430" s="183" t="str">
        <f>IFERROR(__xludf.DUMMYFUNCTION("QUERY('Volunteer Survey'!N429)"),"")</f>
        <v/>
      </c>
      <c r="AN430" s="183" t="str">
        <f>IFERROR(__xludf.DUMMYFUNCTION("QUERY('Volunteer Survey'!O429)"),"")</f>
        <v/>
      </c>
      <c r="AO430" s="183" t="str">
        <f>IFERROR(__xludf.DUMMYFUNCTION("QUERY('Volunteer Survey'!P429)"),"")</f>
        <v/>
      </c>
    </row>
    <row r="431">
      <c r="A431" s="55" t="str">
        <f>IFERROR(__xludf.DUMMYFUNCTION("QUERY('Volunteer Survey'!A825)"),"")</f>
        <v/>
      </c>
      <c r="B431" s="48" t="s">
        <v>322</v>
      </c>
      <c r="C431" s="53"/>
      <c r="D431" s="55"/>
      <c r="E431" s="55"/>
      <c r="F431" s="55" t="b">
        <v>0</v>
      </c>
      <c r="G431" s="55"/>
      <c r="H431" s="53"/>
      <c r="I431" s="53"/>
      <c r="J431" s="55"/>
      <c r="K431" s="55"/>
      <c r="L431" s="55" t="str">
        <f>IFERROR(__xludf.DUMMYFUNCTION("QUERY('Volunteer Survey'!B825)"),"")</f>
        <v/>
      </c>
      <c r="M431" s="55" t="str">
        <f>IFERROR(__xludf.DUMMYFUNCTION("QUERY('Volunteer Survey'!E825)"),"")</f>
        <v/>
      </c>
      <c r="N431" s="55" t="str">
        <f>IFERROR(__xludf.DUMMYFUNCTION("QUERY('Volunteer Survey'!F825)"),"")</f>
        <v/>
      </c>
      <c r="O431" s="48" t="str">
        <f>IFERROR(__xludf.DUMMYFUNCTION("QUERY('Volunteer Survey'!H825)"),"")</f>
        <v/>
      </c>
      <c r="P431" s="55" t="str">
        <f>IFERROR(__xludf.DUMMYFUNCTION("QUERY('Volunteer Survey'!I825)"),"")</f>
        <v/>
      </c>
      <c r="Q431" s="60" t="str">
        <f>IFERROR(__xludf.DUMMYFUNCTION("QUERY('Volunteer Survey'!J825)"),"")</f>
        <v/>
      </c>
      <c r="R431" s="55" t="str">
        <f>IFERROR(__xludf.DUMMYFUNCTION("QUERY('Volunteer Survey'!K825)"),"")</f>
        <v/>
      </c>
      <c r="S431" s="55" t="str">
        <f>IFERROR(__xludf.DUMMYFUNCTION("QUERY('Volunteer Survey'!L825)"),"")</f>
        <v/>
      </c>
      <c r="T431" s="55" t="str">
        <f>IFERROR(__xludf.DUMMYFUNCTION("QUERY('Volunteer Survey'!M825)"),"")</f>
        <v/>
      </c>
      <c r="U431" s="64" t="str">
        <f>IFERROR(__xludf.DUMMYFUNCTION("QUERY('Volunteer Survey'!N825)"),"")</f>
        <v/>
      </c>
      <c r="V431" s="55" t="str">
        <f>IFERROR(__xludf.DUMMYFUNCTION("QUERY('Volunteer Survey'!O825)"),"")</f>
        <v/>
      </c>
      <c r="W431" s="66" t="str">
        <f>IFERROR(__xludf.DUMMYFUNCTION("QUERY('Volunteer Survey'!P825)"),"")</f>
        <v/>
      </c>
      <c r="X431" s="64" t="str">
        <f>IFERROR(__xludf.DUMMYFUNCTION("QUERY('Volunteer Survey'!R825)"),"")</f>
        <v/>
      </c>
      <c r="Y431" s="53"/>
      <c r="Z431" s="183" t="str">
        <f>IFERROR(__xludf.DUMMYFUNCTION("QUERY('Volunteer Survey'!A430)"),"")</f>
        <v/>
      </c>
      <c r="AA431" s="183" t="str">
        <f>IFERROR(__xludf.DUMMYFUNCTION("QUERY('Volunteer Survey'!B430)"),"")</f>
        <v/>
      </c>
      <c r="AB431" s="183" t="str">
        <f>IFERROR(__xludf.DUMMYFUNCTION("QUERY('Volunteer Survey'!C430)"),"")</f>
        <v/>
      </c>
      <c r="AC431" s="183" t="str">
        <f>IFERROR(__xludf.DUMMYFUNCTION("QUERY('Volunteer Survey'!D430)"),"")</f>
        <v/>
      </c>
      <c r="AD431" s="183" t="str">
        <f>IFERROR(__xludf.DUMMYFUNCTION("QUERY('Volunteer Survey'!E430)"),"")</f>
        <v/>
      </c>
      <c r="AE431" s="183" t="str">
        <f>IFERROR(__xludf.DUMMYFUNCTION("QUERY('Volunteer Survey'!F430)"),"")</f>
        <v/>
      </c>
      <c r="AF431" s="183" t="str">
        <f>IFERROR(__xludf.DUMMYFUNCTION("QUERY('Volunteer Survey'!G430)"),"")</f>
        <v/>
      </c>
      <c r="AG431" s="183" t="str">
        <f>IFERROR(__xludf.DUMMYFUNCTION("QUERY('Volunteer Survey'!H430)"),"")</f>
        <v/>
      </c>
      <c r="AH431" s="183" t="str">
        <f>IFERROR(__xludf.DUMMYFUNCTION("QUERY('Volunteer Survey'!I430)"),"")</f>
        <v/>
      </c>
      <c r="AI431" s="183" t="str">
        <f>IFERROR(__xludf.DUMMYFUNCTION("QUERY('Volunteer Survey'!J430)"),"")</f>
        <v/>
      </c>
      <c r="AJ431" s="183" t="str">
        <f>IFERROR(__xludf.DUMMYFUNCTION("QUERY('Volunteer Survey'!K430)"),"")</f>
        <v/>
      </c>
      <c r="AK431" s="183" t="str">
        <f>IFERROR(__xludf.DUMMYFUNCTION("QUERY('Volunteer Survey'!L430)"),"")</f>
        <v/>
      </c>
      <c r="AL431" s="183" t="str">
        <f>IFERROR(__xludf.DUMMYFUNCTION("QUERY('Volunteer Survey'!M430)"),"")</f>
        <v/>
      </c>
      <c r="AM431" s="183" t="str">
        <f>IFERROR(__xludf.DUMMYFUNCTION("QUERY('Volunteer Survey'!N430)"),"")</f>
        <v/>
      </c>
      <c r="AN431" s="183" t="str">
        <f>IFERROR(__xludf.DUMMYFUNCTION("QUERY('Volunteer Survey'!O430)"),"")</f>
        <v/>
      </c>
      <c r="AO431" s="183" t="str">
        <f>IFERROR(__xludf.DUMMYFUNCTION("QUERY('Volunteer Survey'!P430)"),"")</f>
        <v/>
      </c>
    </row>
    <row r="432">
      <c r="A432" s="55" t="str">
        <f>IFERROR(__xludf.DUMMYFUNCTION("QUERY('Volunteer Survey'!A826)"),"")</f>
        <v/>
      </c>
      <c r="B432" s="48" t="s">
        <v>322</v>
      </c>
      <c r="C432" s="53"/>
      <c r="D432" s="55"/>
      <c r="E432" s="55"/>
      <c r="F432" s="55" t="b">
        <v>0</v>
      </c>
      <c r="G432" s="55"/>
      <c r="H432" s="53"/>
      <c r="I432" s="53"/>
      <c r="J432" s="55"/>
      <c r="K432" s="55"/>
      <c r="L432" s="55" t="str">
        <f>IFERROR(__xludf.DUMMYFUNCTION("QUERY('Volunteer Survey'!B826)"),"")</f>
        <v/>
      </c>
      <c r="M432" s="55" t="str">
        <f>IFERROR(__xludf.DUMMYFUNCTION("QUERY('Volunteer Survey'!E826)"),"")</f>
        <v/>
      </c>
      <c r="N432" s="55" t="str">
        <f>IFERROR(__xludf.DUMMYFUNCTION("QUERY('Volunteer Survey'!F826)"),"")</f>
        <v/>
      </c>
      <c r="O432" s="48" t="str">
        <f>IFERROR(__xludf.DUMMYFUNCTION("QUERY('Volunteer Survey'!H826)"),"")</f>
        <v/>
      </c>
      <c r="P432" s="55" t="str">
        <f>IFERROR(__xludf.DUMMYFUNCTION("QUERY('Volunteer Survey'!I826)"),"")</f>
        <v/>
      </c>
      <c r="Q432" s="60" t="str">
        <f>IFERROR(__xludf.DUMMYFUNCTION("QUERY('Volunteer Survey'!J826)"),"")</f>
        <v/>
      </c>
      <c r="R432" s="55" t="str">
        <f>IFERROR(__xludf.DUMMYFUNCTION("QUERY('Volunteer Survey'!K826)"),"")</f>
        <v/>
      </c>
      <c r="S432" s="55" t="str">
        <f>IFERROR(__xludf.DUMMYFUNCTION("QUERY('Volunteer Survey'!L826)"),"")</f>
        <v/>
      </c>
      <c r="T432" s="55" t="str">
        <f>IFERROR(__xludf.DUMMYFUNCTION("QUERY('Volunteer Survey'!M826)"),"")</f>
        <v/>
      </c>
      <c r="U432" s="64" t="str">
        <f>IFERROR(__xludf.DUMMYFUNCTION("QUERY('Volunteer Survey'!N826)"),"")</f>
        <v/>
      </c>
      <c r="V432" s="55" t="str">
        <f>IFERROR(__xludf.DUMMYFUNCTION("QUERY('Volunteer Survey'!O826)"),"")</f>
        <v/>
      </c>
      <c r="W432" s="66" t="str">
        <f>IFERROR(__xludf.DUMMYFUNCTION("QUERY('Volunteer Survey'!P826)"),"")</f>
        <v/>
      </c>
      <c r="X432" s="64" t="str">
        <f>IFERROR(__xludf.DUMMYFUNCTION("QUERY('Volunteer Survey'!R826)"),"")</f>
        <v/>
      </c>
      <c r="Y432" s="53"/>
      <c r="Z432" s="183" t="str">
        <f>IFERROR(__xludf.DUMMYFUNCTION("QUERY('Volunteer Survey'!A431)"),"")</f>
        <v/>
      </c>
      <c r="AA432" s="183" t="str">
        <f>IFERROR(__xludf.DUMMYFUNCTION("QUERY('Volunteer Survey'!B431)"),"")</f>
        <v/>
      </c>
      <c r="AB432" s="183" t="str">
        <f>IFERROR(__xludf.DUMMYFUNCTION("QUERY('Volunteer Survey'!C431)"),"")</f>
        <v/>
      </c>
      <c r="AC432" s="183" t="str">
        <f>IFERROR(__xludf.DUMMYFUNCTION("QUERY('Volunteer Survey'!D431)"),"")</f>
        <v/>
      </c>
      <c r="AD432" s="183" t="str">
        <f>IFERROR(__xludf.DUMMYFUNCTION("QUERY('Volunteer Survey'!E431)"),"")</f>
        <v/>
      </c>
      <c r="AE432" s="183" t="str">
        <f>IFERROR(__xludf.DUMMYFUNCTION("QUERY('Volunteer Survey'!F431)"),"")</f>
        <v/>
      </c>
      <c r="AF432" s="183" t="str">
        <f>IFERROR(__xludf.DUMMYFUNCTION("QUERY('Volunteer Survey'!G431)"),"")</f>
        <v/>
      </c>
      <c r="AG432" s="183" t="str">
        <f>IFERROR(__xludf.DUMMYFUNCTION("QUERY('Volunteer Survey'!H431)"),"")</f>
        <v/>
      </c>
      <c r="AH432" s="183" t="str">
        <f>IFERROR(__xludf.DUMMYFUNCTION("QUERY('Volunteer Survey'!I431)"),"")</f>
        <v/>
      </c>
      <c r="AI432" s="183" t="str">
        <f>IFERROR(__xludf.DUMMYFUNCTION("QUERY('Volunteer Survey'!J431)"),"")</f>
        <v/>
      </c>
      <c r="AJ432" s="183" t="str">
        <f>IFERROR(__xludf.DUMMYFUNCTION("QUERY('Volunteer Survey'!K431)"),"")</f>
        <v/>
      </c>
      <c r="AK432" s="183" t="str">
        <f>IFERROR(__xludf.DUMMYFUNCTION("QUERY('Volunteer Survey'!L431)"),"")</f>
        <v/>
      </c>
      <c r="AL432" s="183" t="str">
        <f>IFERROR(__xludf.DUMMYFUNCTION("QUERY('Volunteer Survey'!M431)"),"")</f>
        <v/>
      </c>
      <c r="AM432" s="183" t="str">
        <f>IFERROR(__xludf.DUMMYFUNCTION("QUERY('Volunteer Survey'!N431)"),"")</f>
        <v/>
      </c>
      <c r="AN432" s="183" t="str">
        <f>IFERROR(__xludf.DUMMYFUNCTION("QUERY('Volunteer Survey'!O431)"),"")</f>
        <v/>
      </c>
      <c r="AO432" s="183" t="str">
        <f>IFERROR(__xludf.DUMMYFUNCTION("QUERY('Volunteer Survey'!P431)"),"")</f>
        <v/>
      </c>
    </row>
    <row r="433">
      <c r="A433" s="55" t="str">
        <f>IFERROR(__xludf.DUMMYFUNCTION("QUERY('Volunteer Survey'!A827)"),"")</f>
        <v/>
      </c>
      <c r="B433" s="48" t="s">
        <v>322</v>
      </c>
      <c r="C433" s="53"/>
      <c r="D433" s="55"/>
      <c r="E433" s="55"/>
      <c r="F433" s="55" t="b">
        <v>0</v>
      </c>
      <c r="G433" s="55"/>
      <c r="H433" s="53"/>
      <c r="I433" s="53"/>
      <c r="J433" s="55"/>
      <c r="K433" s="55"/>
      <c r="L433" s="55" t="str">
        <f>IFERROR(__xludf.DUMMYFUNCTION("QUERY('Volunteer Survey'!B827)"),"")</f>
        <v/>
      </c>
      <c r="M433" s="55" t="str">
        <f>IFERROR(__xludf.DUMMYFUNCTION("QUERY('Volunteer Survey'!E827)"),"")</f>
        <v/>
      </c>
      <c r="N433" s="55" t="str">
        <f>IFERROR(__xludf.DUMMYFUNCTION("QUERY('Volunteer Survey'!F827)"),"")</f>
        <v/>
      </c>
      <c r="O433" s="48" t="str">
        <f>IFERROR(__xludf.DUMMYFUNCTION("QUERY('Volunteer Survey'!H827)"),"")</f>
        <v/>
      </c>
      <c r="P433" s="55" t="str">
        <f>IFERROR(__xludf.DUMMYFUNCTION("QUERY('Volunteer Survey'!I827)"),"")</f>
        <v/>
      </c>
      <c r="Q433" s="60" t="str">
        <f>IFERROR(__xludf.DUMMYFUNCTION("QUERY('Volunteer Survey'!J827)"),"")</f>
        <v/>
      </c>
      <c r="R433" s="55" t="str">
        <f>IFERROR(__xludf.DUMMYFUNCTION("QUERY('Volunteer Survey'!K827)"),"")</f>
        <v/>
      </c>
      <c r="S433" s="55" t="str">
        <f>IFERROR(__xludf.DUMMYFUNCTION("QUERY('Volunteer Survey'!L827)"),"")</f>
        <v/>
      </c>
      <c r="T433" s="55" t="str">
        <f>IFERROR(__xludf.DUMMYFUNCTION("QUERY('Volunteer Survey'!M827)"),"")</f>
        <v/>
      </c>
      <c r="U433" s="64" t="str">
        <f>IFERROR(__xludf.DUMMYFUNCTION("QUERY('Volunteer Survey'!N827)"),"")</f>
        <v/>
      </c>
      <c r="V433" s="55" t="str">
        <f>IFERROR(__xludf.DUMMYFUNCTION("QUERY('Volunteer Survey'!O827)"),"")</f>
        <v/>
      </c>
      <c r="W433" s="66" t="str">
        <f>IFERROR(__xludf.DUMMYFUNCTION("QUERY('Volunteer Survey'!P827)"),"")</f>
        <v/>
      </c>
      <c r="X433" s="64" t="str">
        <f>IFERROR(__xludf.DUMMYFUNCTION("QUERY('Volunteer Survey'!R827)"),"")</f>
        <v/>
      </c>
      <c r="Y433" s="53"/>
      <c r="Z433" s="183" t="str">
        <f>IFERROR(__xludf.DUMMYFUNCTION("QUERY('Volunteer Survey'!A432)"),"")</f>
        <v/>
      </c>
      <c r="AA433" s="183" t="str">
        <f>IFERROR(__xludf.DUMMYFUNCTION("QUERY('Volunteer Survey'!B432)"),"")</f>
        <v/>
      </c>
      <c r="AB433" s="183" t="str">
        <f>IFERROR(__xludf.DUMMYFUNCTION("QUERY('Volunteer Survey'!C432)"),"")</f>
        <v/>
      </c>
      <c r="AC433" s="183" t="str">
        <f>IFERROR(__xludf.DUMMYFUNCTION("QUERY('Volunteer Survey'!D432)"),"")</f>
        <v/>
      </c>
      <c r="AD433" s="183" t="str">
        <f>IFERROR(__xludf.DUMMYFUNCTION("QUERY('Volunteer Survey'!E432)"),"")</f>
        <v/>
      </c>
      <c r="AE433" s="183" t="str">
        <f>IFERROR(__xludf.DUMMYFUNCTION("QUERY('Volunteer Survey'!F432)"),"")</f>
        <v/>
      </c>
      <c r="AF433" s="183" t="str">
        <f>IFERROR(__xludf.DUMMYFUNCTION("QUERY('Volunteer Survey'!G432)"),"")</f>
        <v/>
      </c>
      <c r="AG433" s="183" t="str">
        <f>IFERROR(__xludf.DUMMYFUNCTION("QUERY('Volunteer Survey'!H432)"),"")</f>
        <v/>
      </c>
      <c r="AH433" s="183" t="str">
        <f>IFERROR(__xludf.DUMMYFUNCTION("QUERY('Volunteer Survey'!I432)"),"")</f>
        <v/>
      </c>
      <c r="AI433" s="183" t="str">
        <f>IFERROR(__xludf.DUMMYFUNCTION("QUERY('Volunteer Survey'!J432)"),"")</f>
        <v/>
      </c>
      <c r="AJ433" s="183" t="str">
        <f>IFERROR(__xludf.DUMMYFUNCTION("QUERY('Volunteer Survey'!K432)"),"")</f>
        <v/>
      </c>
      <c r="AK433" s="183" t="str">
        <f>IFERROR(__xludf.DUMMYFUNCTION("QUERY('Volunteer Survey'!L432)"),"")</f>
        <v/>
      </c>
      <c r="AL433" s="183" t="str">
        <f>IFERROR(__xludf.DUMMYFUNCTION("QUERY('Volunteer Survey'!M432)"),"")</f>
        <v/>
      </c>
      <c r="AM433" s="183" t="str">
        <f>IFERROR(__xludf.DUMMYFUNCTION("QUERY('Volunteer Survey'!N432)"),"")</f>
        <v/>
      </c>
      <c r="AN433" s="183" t="str">
        <f>IFERROR(__xludf.DUMMYFUNCTION("QUERY('Volunteer Survey'!O432)"),"")</f>
        <v/>
      </c>
      <c r="AO433" s="183" t="str">
        <f>IFERROR(__xludf.DUMMYFUNCTION("QUERY('Volunteer Survey'!P432)"),"")</f>
        <v/>
      </c>
    </row>
    <row r="434">
      <c r="A434" s="55" t="str">
        <f>IFERROR(__xludf.DUMMYFUNCTION("QUERY('Volunteer Survey'!A828)"),"")</f>
        <v/>
      </c>
      <c r="B434" s="48" t="s">
        <v>322</v>
      </c>
      <c r="C434" s="53"/>
      <c r="D434" s="55"/>
      <c r="E434" s="55"/>
      <c r="F434" s="55" t="b">
        <v>0</v>
      </c>
      <c r="G434" s="55"/>
      <c r="H434" s="53"/>
      <c r="I434" s="53"/>
      <c r="J434" s="55"/>
      <c r="K434" s="55"/>
      <c r="L434" s="55" t="str">
        <f>IFERROR(__xludf.DUMMYFUNCTION("QUERY('Volunteer Survey'!B828)"),"")</f>
        <v/>
      </c>
      <c r="M434" s="55" t="str">
        <f>IFERROR(__xludf.DUMMYFUNCTION("QUERY('Volunteer Survey'!E828)"),"")</f>
        <v/>
      </c>
      <c r="N434" s="55" t="str">
        <f>IFERROR(__xludf.DUMMYFUNCTION("QUERY('Volunteer Survey'!F828)"),"")</f>
        <v/>
      </c>
      <c r="O434" s="48" t="str">
        <f>IFERROR(__xludf.DUMMYFUNCTION("QUERY('Volunteer Survey'!H828)"),"")</f>
        <v/>
      </c>
      <c r="P434" s="55" t="str">
        <f>IFERROR(__xludf.DUMMYFUNCTION("QUERY('Volunteer Survey'!I828)"),"")</f>
        <v/>
      </c>
      <c r="Q434" s="60" t="str">
        <f>IFERROR(__xludf.DUMMYFUNCTION("QUERY('Volunteer Survey'!J828)"),"")</f>
        <v/>
      </c>
      <c r="R434" s="55" t="str">
        <f>IFERROR(__xludf.DUMMYFUNCTION("QUERY('Volunteer Survey'!K828)"),"")</f>
        <v/>
      </c>
      <c r="S434" s="55" t="str">
        <f>IFERROR(__xludf.DUMMYFUNCTION("QUERY('Volunteer Survey'!L828)"),"")</f>
        <v/>
      </c>
      <c r="T434" s="55" t="str">
        <f>IFERROR(__xludf.DUMMYFUNCTION("QUERY('Volunteer Survey'!M828)"),"")</f>
        <v/>
      </c>
      <c r="U434" s="64" t="str">
        <f>IFERROR(__xludf.DUMMYFUNCTION("QUERY('Volunteer Survey'!N828)"),"")</f>
        <v/>
      </c>
      <c r="V434" s="55" t="str">
        <f>IFERROR(__xludf.DUMMYFUNCTION("QUERY('Volunteer Survey'!O828)"),"")</f>
        <v/>
      </c>
      <c r="W434" s="66" t="str">
        <f>IFERROR(__xludf.DUMMYFUNCTION("QUERY('Volunteer Survey'!P828)"),"")</f>
        <v/>
      </c>
      <c r="X434" s="64" t="str">
        <f>IFERROR(__xludf.DUMMYFUNCTION("QUERY('Volunteer Survey'!R828)"),"")</f>
        <v/>
      </c>
      <c r="Y434" s="53"/>
      <c r="Z434" s="183" t="str">
        <f>IFERROR(__xludf.DUMMYFUNCTION("QUERY('Volunteer Survey'!A433)"),"")</f>
        <v/>
      </c>
      <c r="AA434" s="183" t="str">
        <f>IFERROR(__xludf.DUMMYFUNCTION("QUERY('Volunteer Survey'!B433)"),"")</f>
        <v/>
      </c>
      <c r="AB434" s="183" t="str">
        <f>IFERROR(__xludf.DUMMYFUNCTION("QUERY('Volunteer Survey'!C433)"),"")</f>
        <v/>
      </c>
      <c r="AC434" s="183" t="str">
        <f>IFERROR(__xludf.DUMMYFUNCTION("QUERY('Volunteer Survey'!D433)"),"")</f>
        <v/>
      </c>
      <c r="AD434" s="183" t="str">
        <f>IFERROR(__xludf.DUMMYFUNCTION("QUERY('Volunteer Survey'!E433)"),"")</f>
        <v/>
      </c>
      <c r="AE434" s="183" t="str">
        <f>IFERROR(__xludf.DUMMYFUNCTION("QUERY('Volunteer Survey'!F433)"),"")</f>
        <v/>
      </c>
      <c r="AF434" s="183" t="str">
        <f>IFERROR(__xludf.DUMMYFUNCTION("QUERY('Volunteer Survey'!G433)"),"")</f>
        <v/>
      </c>
      <c r="AG434" s="183" t="str">
        <f>IFERROR(__xludf.DUMMYFUNCTION("QUERY('Volunteer Survey'!H433)"),"")</f>
        <v/>
      </c>
      <c r="AH434" s="183" t="str">
        <f>IFERROR(__xludf.DUMMYFUNCTION("QUERY('Volunteer Survey'!I433)"),"")</f>
        <v/>
      </c>
      <c r="AI434" s="183" t="str">
        <f>IFERROR(__xludf.DUMMYFUNCTION("QUERY('Volunteer Survey'!J433)"),"")</f>
        <v/>
      </c>
      <c r="AJ434" s="183" t="str">
        <f>IFERROR(__xludf.DUMMYFUNCTION("QUERY('Volunteer Survey'!K433)"),"")</f>
        <v/>
      </c>
      <c r="AK434" s="183" t="str">
        <f>IFERROR(__xludf.DUMMYFUNCTION("QUERY('Volunteer Survey'!L433)"),"")</f>
        <v/>
      </c>
      <c r="AL434" s="183" t="str">
        <f>IFERROR(__xludf.DUMMYFUNCTION("QUERY('Volunteer Survey'!M433)"),"")</f>
        <v/>
      </c>
      <c r="AM434" s="183" t="str">
        <f>IFERROR(__xludf.DUMMYFUNCTION("QUERY('Volunteer Survey'!N433)"),"")</f>
        <v/>
      </c>
      <c r="AN434" s="183" t="str">
        <f>IFERROR(__xludf.DUMMYFUNCTION("QUERY('Volunteer Survey'!O433)"),"")</f>
        <v/>
      </c>
      <c r="AO434" s="183" t="str">
        <f>IFERROR(__xludf.DUMMYFUNCTION("QUERY('Volunteer Survey'!P433)"),"")</f>
        <v/>
      </c>
    </row>
    <row r="435">
      <c r="A435" s="55" t="str">
        <f>IFERROR(__xludf.DUMMYFUNCTION("QUERY('Volunteer Survey'!A829)"),"")</f>
        <v/>
      </c>
      <c r="B435" s="48" t="s">
        <v>322</v>
      </c>
      <c r="C435" s="53"/>
      <c r="D435" s="55"/>
      <c r="E435" s="55"/>
      <c r="F435" s="55" t="b">
        <v>0</v>
      </c>
      <c r="G435" s="55"/>
      <c r="H435" s="53"/>
      <c r="I435" s="53"/>
      <c r="J435" s="55"/>
      <c r="K435" s="55"/>
      <c r="L435" s="55" t="str">
        <f>IFERROR(__xludf.DUMMYFUNCTION("QUERY('Volunteer Survey'!B829)"),"")</f>
        <v/>
      </c>
      <c r="M435" s="55" t="str">
        <f>IFERROR(__xludf.DUMMYFUNCTION("QUERY('Volunteer Survey'!E829)"),"")</f>
        <v/>
      </c>
      <c r="N435" s="55" t="str">
        <f>IFERROR(__xludf.DUMMYFUNCTION("QUERY('Volunteer Survey'!F829)"),"")</f>
        <v/>
      </c>
      <c r="O435" s="48" t="str">
        <f>IFERROR(__xludf.DUMMYFUNCTION("QUERY('Volunteer Survey'!H829)"),"")</f>
        <v/>
      </c>
      <c r="P435" s="55" t="str">
        <f>IFERROR(__xludf.DUMMYFUNCTION("QUERY('Volunteer Survey'!I829)"),"")</f>
        <v/>
      </c>
      <c r="Q435" s="60" t="str">
        <f>IFERROR(__xludf.DUMMYFUNCTION("QUERY('Volunteer Survey'!J829)"),"")</f>
        <v/>
      </c>
      <c r="R435" s="55" t="str">
        <f>IFERROR(__xludf.DUMMYFUNCTION("QUERY('Volunteer Survey'!K829)"),"")</f>
        <v/>
      </c>
      <c r="S435" s="55" t="str">
        <f>IFERROR(__xludf.DUMMYFUNCTION("QUERY('Volunteer Survey'!L829)"),"")</f>
        <v/>
      </c>
      <c r="T435" s="55" t="str">
        <f>IFERROR(__xludf.DUMMYFUNCTION("QUERY('Volunteer Survey'!M829)"),"")</f>
        <v/>
      </c>
      <c r="U435" s="64" t="str">
        <f>IFERROR(__xludf.DUMMYFUNCTION("QUERY('Volunteer Survey'!N829)"),"")</f>
        <v/>
      </c>
      <c r="V435" s="55" t="str">
        <f>IFERROR(__xludf.DUMMYFUNCTION("QUERY('Volunteer Survey'!O829)"),"")</f>
        <v/>
      </c>
      <c r="W435" s="66" t="str">
        <f>IFERROR(__xludf.DUMMYFUNCTION("QUERY('Volunteer Survey'!P829)"),"")</f>
        <v/>
      </c>
      <c r="X435" s="64" t="str">
        <f>IFERROR(__xludf.DUMMYFUNCTION("QUERY('Volunteer Survey'!R829)"),"")</f>
        <v/>
      </c>
      <c r="Y435" s="53"/>
      <c r="Z435" s="183" t="str">
        <f>IFERROR(__xludf.DUMMYFUNCTION("QUERY('Volunteer Survey'!A434)"),"")</f>
        <v/>
      </c>
      <c r="AA435" s="183" t="str">
        <f>IFERROR(__xludf.DUMMYFUNCTION("QUERY('Volunteer Survey'!B434)"),"")</f>
        <v/>
      </c>
      <c r="AB435" s="183" t="str">
        <f>IFERROR(__xludf.DUMMYFUNCTION("QUERY('Volunteer Survey'!C434)"),"")</f>
        <v/>
      </c>
      <c r="AC435" s="183" t="str">
        <f>IFERROR(__xludf.DUMMYFUNCTION("QUERY('Volunteer Survey'!D434)"),"")</f>
        <v/>
      </c>
      <c r="AD435" s="183" t="str">
        <f>IFERROR(__xludf.DUMMYFUNCTION("QUERY('Volunteer Survey'!E434)"),"")</f>
        <v/>
      </c>
      <c r="AE435" s="183" t="str">
        <f>IFERROR(__xludf.DUMMYFUNCTION("QUERY('Volunteer Survey'!F434)"),"")</f>
        <v/>
      </c>
      <c r="AF435" s="183" t="str">
        <f>IFERROR(__xludf.DUMMYFUNCTION("QUERY('Volunteer Survey'!G434)"),"")</f>
        <v/>
      </c>
      <c r="AG435" s="183" t="str">
        <f>IFERROR(__xludf.DUMMYFUNCTION("QUERY('Volunteer Survey'!H434)"),"")</f>
        <v/>
      </c>
      <c r="AH435" s="183" t="str">
        <f>IFERROR(__xludf.DUMMYFUNCTION("QUERY('Volunteer Survey'!I434)"),"")</f>
        <v/>
      </c>
      <c r="AI435" s="183" t="str">
        <f>IFERROR(__xludf.DUMMYFUNCTION("QUERY('Volunteer Survey'!J434)"),"")</f>
        <v/>
      </c>
      <c r="AJ435" s="183" t="str">
        <f>IFERROR(__xludf.DUMMYFUNCTION("QUERY('Volunteer Survey'!K434)"),"")</f>
        <v/>
      </c>
      <c r="AK435" s="183" t="str">
        <f>IFERROR(__xludf.DUMMYFUNCTION("QUERY('Volunteer Survey'!L434)"),"")</f>
        <v/>
      </c>
      <c r="AL435" s="183" t="str">
        <f>IFERROR(__xludf.DUMMYFUNCTION("QUERY('Volunteer Survey'!M434)"),"")</f>
        <v/>
      </c>
      <c r="AM435" s="183" t="str">
        <f>IFERROR(__xludf.DUMMYFUNCTION("QUERY('Volunteer Survey'!N434)"),"")</f>
        <v/>
      </c>
      <c r="AN435" s="183" t="str">
        <f>IFERROR(__xludf.DUMMYFUNCTION("QUERY('Volunteer Survey'!O434)"),"")</f>
        <v/>
      </c>
      <c r="AO435" s="183" t="str">
        <f>IFERROR(__xludf.DUMMYFUNCTION("QUERY('Volunteer Survey'!P434)"),"")</f>
        <v/>
      </c>
    </row>
    <row r="436">
      <c r="A436" s="55" t="str">
        <f>IFERROR(__xludf.DUMMYFUNCTION("QUERY('Volunteer Survey'!A830)"),"")</f>
        <v/>
      </c>
      <c r="B436" s="48" t="s">
        <v>322</v>
      </c>
      <c r="C436" s="53"/>
      <c r="D436" s="55"/>
      <c r="E436" s="55"/>
      <c r="F436" s="55" t="b">
        <v>0</v>
      </c>
      <c r="G436" s="55"/>
      <c r="H436" s="53"/>
      <c r="I436" s="53"/>
      <c r="J436" s="55"/>
      <c r="K436" s="55"/>
      <c r="L436" s="55" t="str">
        <f>IFERROR(__xludf.DUMMYFUNCTION("QUERY('Volunteer Survey'!B830)"),"")</f>
        <v/>
      </c>
      <c r="M436" s="55" t="str">
        <f>IFERROR(__xludf.DUMMYFUNCTION("QUERY('Volunteer Survey'!E830)"),"")</f>
        <v/>
      </c>
      <c r="N436" s="55" t="str">
        <f>IFERROR(__xludf.DUMMYFUNCTION("QUERY('Volunteer Survey'!F830)"),"")</f>
        <v/>
      </c>
      <c r="O436" s="48" t="str">
        <f>IFERROR(__xludf.DUMMYFUNCTION("QUERY('Volunteer Survey'!H830)"),"")</f>
        <v/>
      </c>
      <c r="P436" s="55" t="str">
        <f>IFERROR(__xludf.DUMMYFUNCTION("QUERY('Volunteer Survey'!I830)"),"")</f>
        <v/>
      </c>
      <c r="Q436" s="60" t="str">
        <f>IFERROR(__xludf.DUMMYFUNCTION("QUERY('Volunteer Survey'!J830)"),"")</f>
        <v/>
      </c>
      <c r="R436" s="55" t="str">
        <f>IFERROR(__xludf.DUMMYFUNCTION("QUERY('Volunteer Survey'!K830)"),"")</f>
        <v/>
      </c>
      <c r="S436" s="55" t="str">
        <f>IFERROR(__xludf.DUMMYFUNCTION("QUERY('Volunteer Survey'!L830)"),"")</f>
        <v/>
      </c>
      <c r="T436" s="55" t="str">
        <f>IFERROR(__xludf.DUMMYFUNCTION("QUERY('Volunteer Survey'!M830)"),"")</f>
        <v/>
      </c>
      <c r="U436" s="64" t="str">
        <f>IFERROR(__xludf.DUMMYFUNCTION("QUERY('Volunteer Survey'!N830)"),"")</f>
        <v/>
      </c>
      <c r="V436" s="55" t="str">
        <f>IFERROR(__xludf.DUMMYFUNCTION("QUERY('Volunteer Survey'!O830)"),"")</f>
        <v/>
      </c>
      <c r="W436" s="66" t="str">
        <f>IFERROR(__xludf.DUMMYFUNCTION("QUERY('Volunteer Survey'!P830)"),"")</f>
        <v/>
      </c>
      <c r="X436" s="64" t="str">
        <f>IFERROR(__xludf.DUMMYFUNCTION("QUERY('Volunteer Survey'!R830)"),"")</f>
        <v/>
      </c>
      <c r="Y436" s="53"/>
      <c r="Z436" s="183" t="str">
        <f>IFERROR(__xludf.DUMMYFUNCTION("QUERY('Volunteer Survey'!A435)"),"")</f>
        <v/>
      </c>
      <c r="AA436" s="183" t="str">
        <f>IFERROR(__xludf.DUMMYFUNCTION("QUERY('Volunteer Survey'!B435)"),"")</f>
        <v/>
      </c>
      <c r="AB436" s="183" t="str">
        <f>IFERROR(__xludf.DUMMYFUNCTION("QUERY('Volunteer Survey'!C435)"),"")</f>
        <v/>
      </c>
      <c r="AC436" s="183" t="str">
        <f>IFERROR(__xludf.DUMMYFUNCTION("QUERY('Volunteer Survey'!D435)"),"")</f>
        <v/>
      </c>
      <c r="AD436" s="183" t="str">
        <f>IFERROR(__xludf.DUMMYFUNCTION("QUERY('Volunteer Survey'!E435)"),"")</f>
        <v/>
      </c>
      <c r="AE436" s="183" t="str">
        <f>IFERROR(__xludf.DUMMYFUNCTION("QUERY('Volunteer Survey'!F435)"),"")</f>
        <v/>
      </c>
      <c r="AF436" s="183" t="str">
        <f>IFERROR(__xludf.DUMMYFUNCTION("QUERY('Volunteer Survey'!G435)"),"")</f>
        <v/>
      </c>
      <c r="AG436" s="183" t="str">
        <f>IFERROR(__xludf.DUMMYFUNCTION("QUERY('Volunteer Survey'!H435)"),"")</f>
        <v/>
      </c>
      <c r="AH436" s="183" t="str">
        <f>IFERROR(__xludf.DUMMYFUNCTION("QUERY('Volunteer Survey'!I435)"),"")</f>
        <v/>
      </c>
      <c r="AI436" s="183" t="str">
        <f>IFERROR(__xludf.DUMMYFUNCTION("QUERY('Volunteer Survey'!J435)"),"")</f>
        <v/>
      </c>
      <c r="AJ436" s="183" t="str">
        <f>IFERROR(__xludf.DUMMYFUNCTION("QUERY('Volunteer Survey'!K435)"),"")</f>
        <v/>
      </c>
      <c r="AK436" s="183" t="str">
        <f>IFERROR(__xludf.DUMMYFUNCTION("QUERY('Volunteer Survey'!L435)"),"")</f>
        <v/>
      </c>
      <c r="AL436" s="183" t="str">
        <f>IFERROR(__xludf.DUMMYFUNCTION("QUERY('Volunteer Survey'!M435)"),"")</f>
        <v/>
      </c>
      <c r="AM436" s="183" t="str">
        <f>IFERROR(__xludf.DUMMYFUNCTION("QUERY('Volunteer Survey'!N435)"),"")</f>
        <v/>
      </c>
      <c r="AN436" s="183" t="str">
        <f>IFERROR(__xludf.DUMMYFUNCTION("QUERY('Volunteer Survey'!O435)"),"")</f>
        <v/>
      </c>
      <c r="AO436" s="183" t="str">
        <f>IFERROR(__xludf.DUMMYFUNCTION("QUERY('Volunteer Survey'!P435)"),"")</f>
        <v/>
      </c>
    </row>
    <row r="437">
      <c r="A437" s="55" t="str">
        <f>IFERROR(__xludf.DUMMYFUNCTION("QUERY('Volunteer Survey'!A831)"),"")</f>
        <v/>
      </c>
      <c r="B437" s="48" t="s">
        <v>322</v>
      </c>
      <c r="C437" s="53"/>
      <c r="D437" s="55"/>
      <c r="E437" s="55"/>
      <c r="F437" s="55" t="b">
        <v>0</v>
      </c>
      <c r="G437" s="55"/>
      <c r="H437" s="53"/>
      <c r="I437" s="53"/>
      <c r="J437" s="55"/>
      <c r="K437" s="55"/>
      <c r="L437" s="55" t="str">
        <f>IFERROR(__xludf.DUMMYFUNCTION("QUERY('Volunteer Survey'!B831)"),"")</f>
        <v/>
      </c>
      <c r="M437" s="55" t="str">
        <f>IFERROR(__xludf.DUMMYFUNCTION("QUERY('Volunteer Survey'!E831)"),"")</f>
        <v/>
      </c>
      <c r="N437" s="55" t="str">
        <f>IFERROR(__xludf.DUMMYFUNCTION("QUERY('Volunteer Survey'!F831)"),"")</f>
        <v/>
      </c>
      <c r="O437" s="48" t="str">
        <f>IFERROR(__xludf.DUMMYFUNCTION("QUERY('Volunteer Survey'!H831)"),"")</f>
        <v/>
      </c>
      <c r="P437" s="55" t="str">
        <f>IFERROR(__xludf.DUMMYFUNCTION("QUERY('Volunteer Survey'!I831)"),"")</f>
        <v/>
      </c>
      <c r="Q437" s="60" t="str">
        <f>IFERROR(__xludf.DUMMYFUNCTION("QUERY('Volunteer Survey'!J831)"),"")</f>
        <v/>
      </c>
      <c r="R437" s="55" t="str">
        <f>IFERROR(__xludf.DUMMYFUNCTION("QUERY('Volunteer Survey'!K831)"),"")</f>
        <v/>
      </c>
      <c r="S437" s="55" t="str">
        <f>IFERROR(__xludf.DUMMYFUNCTION("QUERY('Volunteer Survey'!L831)"),"")</f>
        <v/>
      </c>
      <c r="T437" s="55" t="str">
        <f>'Volunteer Survey'!M847</f>
        <v/>
      </c>
      <c r="U437" s="64" t="str">
        <f>IFERROR(__xludf.DUMMYFUNCTION("QUERY('Volunteer Survey'!N831)"),"")</f>
        <v/>
      </c>
      <c r="V437" s="55" t="str">
        <f>IFERROR(__xludf.DUMMYFUNCTION("QUERY('Volunteer Survey'!O831)"),"")</f>
        <v/>
      </c>
      <c r="W437" s="66" t="str">
        <f>IFERROR(__xludf.DUMMYFUNCTION("QUERY('Volunteer Survey'!P831)"),"")</f>
        <v/>
      </c>
      <c r="X437" s="64" t="str">
        <f>IFERROR(__xludf.DUMMYFUNCTION("QUERY('Volunteer Survey'!R831)"),"")</f>
        <v/>
      </c>
      <c r="Y437" s="53"/>
      <c r="Z437" s="183" t="str">
        <f>IFERROR(__xludf.DUMMYFUNCTION("QUERY('Volunteer Survey'!A436)"),"")</f>
        <v/>
      </c>
      <c r="AA437" s="183" t="str">
        <f>IFERROR(__xludf.DUMMYFUNCTION("QUERY('Volunteer Survey'!B436)"),"")</f>
        <v/>
      </c>
      <c r="AB437" s="183" t="str">
        <f>IFERROR(__xludf.DUMMYFUNCTION("QUERY('Volunteer Survey'!C436)"),"")</f>
        <v/>
      </c>
      <c r="AC437" s="183" t="str">
        <f>IFERROR(__xludf.DUMMYFUNCTION("QUERY('Volunteer Survey'!D436)"),"")</f>
        <v/>
      </c>
      <c r="AD437" s="183" t="str">
        <f>IFERROR(__xludf.DUMMYFUNCTION("QUERY('Volunteer Survey'!E436)"),"")</f>
        <v/>
      </c>
      <c r="AE437" s="183" t="str">
        <f>IFERROR(__xludf.DUMMYFUNCTION("QUERY('Volunteer Survey'!F436)"),"")</f>
        <v/>
      </c>
      <c r="AF437" s="183" t="str">
        <f>IFERROR(__xludf.DUMMYFUNCTION("QUERY('Volunteer Survey'!G436)"),"")</f>
        <v/>
      </c>
      <c r="AG437" s="183" t="str">
        <f>IFERROR(__xludf.DUMMYFUNCTION("QUERY('Volunteer Survey'!H436)"),"")</f>
        <v/>
      </c>
      <c r="AH437" s="183" t="str">
        <f>IFERROR(__xludf.DUMMYFUNCTION("QUERY('Volunteer Survey'!I436)"),"")</f>
        <v/>
      </c>
      <c r="AI437" s="183" t="str">
        <f>IFERROR(__xludf.DUMMYFUNCTION("QUERY('Volunteer Survey'!J436)"),"")</f>
        <v/>
      </c>
      <c r="AJ437" s="183" t="str">
        <f>IFERROR(__xludf.DUMMYFUNCTION("QUERY('Volunteer Survey'!K436)"),"")</f>
        <v/>
      </c>
      <c r="AK437" s="183" t="str">
        <f>IFERROR(__xludf.DUMMYFUNCTION("QUERY('Volunteer Survey'!L436)"),"")</f>
        <v/>
      </c>
      <c r="AL437" s="183" t="str">
        <f>IFERROR(__xludf.DUMMYFUNCTION("QUERY('Volunteer Survey'!M436)"),"")</f>
        <v/>
      </c>
      <c r="AM437" s="183" t="str">
        <f>IFERROR(__xludf.DUMMYFUNCTION("QUERY('Volunteer Survey'!N436)"),"")</f>
        <v/>
      </c>
      <c r="AN437" s="183" t="str">
        <f>IFERROR(__xludf.DUMMYFUNCTION("QUERY('Volunteer Survey'!O436)"),"")</f>
        <v/>
      </c>
      <c r="AO437" s="183" t="str">
        <f>IFERROR(__xludf.DUMMYFUNCTION("QUERY('Volunteer Survey'!P436)"),"")</f>
        <v/>
      </c>
    </row>
    <row r="438">
      <c r="A438" s="55" t="str">
        <f>IFERROR(__xludf.DUMMYFUNCTION("QUERY('Volunteer Survey'!A832)"),"")</f>
        <v/>
      </c>
      <c r="B438" s="48" t="s">
        <v>322</v>
      </c>
      <c r="C438" s="53"/>
      <c r="D438" s="55"/>
      <c r="E438" s="55"/>
      <c r="F438" s="55" t="b">
        <v>0</v>
      </c>
      <c r="G438" s="55"/>
      <c r="H438" s="53"/>
      <c r="I438" s="53"/>
      <c r="J438" s="55"/>
      <c r="K438" s="55"/>
      <c r="L438" s="55" t="str">
        <f>IFERROR(__xludf.DUMMYFUNCTION("QUERY('Volunteer Survey'!B832)"),"")</f>
        <v/>
      </c>
      <c r="M438" s="55" t="str">
        <f>IFERROR(__xludf.DUMMYFUNCTION("QUERY('Volunteer Survey'!E832)"),"")</f>
        <v/>
      </c>
      <c r="N438" s="55" t="str">
        <f>IFERROR(__xludf.DUMMYFUNCTION("QUERY('Volunteer Survey'!F832)"),"")</f>
        <v/>
      </c>
      <c r="O438" s="48" t="str">
        <f>'Volunteer Survey'!H849</f>
        <v/>
      </c>
      <c r="P438" s="55" t="str">
        <f>IFERROR(__xludf.DUMMYFUNCTION("QUERY('Volunteer Survey'!I832)"),"")</f>
        <v/>
      </c>
      <c r="Q438" s="60" t="str">
        <f>IFERROR(__xludf.DUMMYFUNCTION("QUERY('Volunteer Survey'!J832)"),"")</f>
        <v/>
      </c>
      <c r="R438" s="55" t="str">
        <f>IFERROR(__xludf.DUMMYFUNCTION("QUERY('Volunteer Survey'!K832)"),"")</f>
        <v/>
      </c>
      <c r="S438" s="55" t="str">
        <f>IFERROR(__xludf.DUMMYFUNCTION("QUERY('Volunteer Survey'!L832)"),"")</f>
        <v/>
      </c>
      <c r="T438" s="55" t="str">
        <f>'Volunteer Survey'!M848</f>
        <v/>
      </c>
      <c r="U438" s="64" t="str">
        <f>IFERROR(__xludf.DUMMYFUNCTION("QUERY('Volunteer Survey'!N832)"),"")</f>
        <v/>
      </c>
      <c r="V438" s="55" t="str">
        <f>'Volunteer Survey'!O848</f>
        <v/>
      </c>
      <c r="W438" s="66" t="str">
        <f>IFERROR(__xludf.DUMMYFUNCTION("QUERY('Volunteer Survey'!P832)"),"")</f>
        <v/>
      </c>
      <c r="X438" s="64" t="str">
        <f>IFERROR(__xludf.DUMMYFUNCTION("QUERY('Volunteer Survey'!R832)"),"")</f>
        <v/>
      </c>
      <c r="Y438" s="53"/>
      <c r="Z438" s="183" t="str">
        <f>IFERROR(__xludf.DUMMYFUNCTION("QUERY('Volunteer Survey'!A437)"),"")</f>
        <v/>
      </c>
      <c r="AA438" s="183" t="str">
        <f>IFERROR(__xludf.DUMMYFUNCTION("QUERY('Volunteer Survey'!B437)"),"")</f>
        <v/>
      </c>
      <c r="AB438" s="183" t="str">
        <f>IFERROR(__xludf.DUMMYFUNCTION("QUERY('Volunteer Survey'!C437)"),"")</f>
        <v/>
      </c>
      <c r="AC438" s="183" t="str">
        <f>IFERROR(__xludf.DUMMYFUNCTION("QUERY('Volunteer Survey'!D437)"),"")</f>
        <v/>
      </c>
      <c r="AD438" s="183" t="str">
        <f>IFERROR(__xludf.DUMMYFUNCTION("QUERY('Volunteer Survey'!E437)"),"")</f>
        <v/>
      </c>
      <c r="AE438" s="183" t="str">
        <f>IFERROR(__xludf.DUMMYFUNCTION("QUERY('Volunteer Survey'!F437)"),"")</f>
        <v/>
      </c>
      <c r="AF438" s="183" t="str">
        <f>IFERROR(__xludf.DUMMYFUNCTION("QUERY('Volunteer Survey'!G437)"),"")</f>
        <v/>
      </c>
      <c r="AG438" s="183" t="str">
        <f>IFERROR(__xludf.DUMMYFUNCTION("QUERY('Volunteer Survey'!H437)"),"")</f>
        <v/>
      </c>
      <c r="AH438" s="183" t="str">
        <f>IFERROR(__xludf.DUMMYFUNCTION("QUERY('Volunteer Survey'!I437)"),"")</f>
        <v/>
      </c>
      <c r="AI438" s="183" t="str">
        <f>IFERROR(__xludf.DUMMYFUNCTION("QUERY('Volunteer Survey'!J437)"),"")</f>
        <v/>
      </c>
      <c r="AJ438" s="183" t="str">
        <f>IFERROR(__xludf.DUMMYFUNCTION("QUERY('Volunteer Survey'!K437)"),"")</f>
        <v/>
      </c>
      <c r="AK438" s="183" t="str">
        <f>IFERROR(__xludf.DUMMYFUNCTION("QUERY('Volunteer Survey'!L437)"),"")</f>
        <v/>
      </c>
      <c r="AL438" s="183" t="str">
        <f>IFERROR(__xludf.DUMMYFUNCTION("QUERY('Volunteer Survey'!M437)"),"")</f>
        <v/>
      </c>
      <c r="AM438" s="183" t="str">
        <f>IFERROR(__xludf.DUMMYFUNCTION("QUERY('Volunteer Survey'!N437)"),"")</f>
        <v/>
      </c>
      <c r="AN438" s="183" t="str">
        <f>IFERROR(__xludf.DUMMYFUNCTION("QUERY('Volunteer Survey'!O437)"),"")</f>
        <v/>
      </c>
      <c r="AO438" s="183" t="str">
        <f>IFERROR(__xludf.DUMMYFUNCTION("QUERY('Volunteer Survey'!P437)"),"")</f>
        <v/>
      </c>
    </row>
    <row r="439">
      <c r="A439" s="55" t="str">
        <f>IFERROR(__xludf.DUMMYFUNCTION("QUERY('Volunteer Survey'!A833)"),"")</f>
        <v/>
      </c>
      <c r="B439" s="48" t="s">
        <v>322</v>
      </c>
      <c r="C439" s="53"/>
      <c r="D439" s="55"/>
      <c r="E439" s="55"/>
      <c r="F439" s="55" t="b">
        <v>0</v>
      </c>
      <c r="G439" s="55"/>
      <c r="H439" s="53"/>
      <c r="I439" s="53"/>
      <c r="J439" s="55"/>
      <c r="K439" s="55"/>
      <c r="L439" s="55" t="str">
        <f>IFERROR(__xludf.DUMMYFUNCTION("QUERY('Volunteer Survey'!B833)"),"")</f>
        <v/>
      </c>
      <c r="M439" s="55" t="str">
        <f>IFERROR(__xludf.DUMMYFUNCTION("QUERY('Volunteer Survey'!E833)"),"")</f>
        <v/>
      </c>
      <c r="N439" s="55" t="str">
        <f>IFERROR(__xludf.DUMMYFUNCTION("QUERY('Volunteer Survey'!F833)"),"")</f>
        <v/>
      </c>
      <c r="O439" s="48" t="str">
        <f>'Volunteer Survey'!H850</f>
        <v/>
      </c>
      <c r="P439" s="55" t="str">
        <f>IFERROR(__xludf.DUMMYFUNCTION("QUERY('Volunteer Survey'!I833)"),"")</f>
        <v/>
      </c>
      <c r="Q439" s="60" t="str">
        <f>IFERROR(__xludf.DUMMYFUNCTION("QUERY('Volunteer Survey'!J833)"),"")</f>
        <v/>
      </c>
      <c r="R439" s="55" t="str">
        <f>IFERROR(__xludf.DUMMYFUNCTION("QUERY('Volunteer Survey'!K833)"),"")</f>
        <v/>
      </c>
      <c r="S439" s="55" t="str">
        <f>IFERROR(__xludf.DUMMYFUNCTION("QUERY('Volunteer Survey'!L833)"),"")</f>
        <v/>
      </c>
      <c r="T439" s="55" t="str">
        <f>'Volunteer Survey'!M849</f>
        <v/>
      </c>
      <c r="U439" s="64" t="str">
        <f>IFERROR(__xludf.DUMMYFUNCTION("QUERY('Volunteer Survey'!N833)"),"")</f>
        <v/>
      </c>
      <c r="V439" s="55" t="str">
        <f>'Volunteer Survey'!O849</f>
        <v/>
      </c>
      <c r="W439" s="66" t="str">
        <f>IFERROR(__xludf.DUMMYFUNCTION("QUERY('Volunteer Survey'!P833)"),"")</f>
        <v/>
      </c>
      <c r="X439" s="64" t="str">
        <f>IFERROR(__xludf.DUMMYFUNCTION("QUERY('Volunteer Survey'!R833)"),"")</f>
        <v/>
      </c>
      <c r="Y439" s="53"/>
      <c r="Z439" s="183" t="str">
        <f>IFERROR(__xludf.DUMMYFUNCTION("QUERY('Volunteer Survey'!A438)"),"")</f>
        <v/>
      </c>
      <c r="AA439" s="183" t="str">
        <f>IFERROR(__xludf.DUMMYFUNCTION("QUERY('Volunteer Survey'!B438)"),"")</f>
        <v/>
      </c>
      <c r="AB439" s="183" t="str">
        <f>IFERROR(__xludf.DUMMYFUNCTION("QUERY('Volunteer Survey'!C438)"),"")</f>
        <v/>
      </c>
      <c r="AC439" s="183" t="str">
        <f>IFERROR(__xludf.DUMMYFUNCTION("QUERY('Volunteer Survey'!D438)"),"")</f>
        <v/>
      </c>
      <c r="AD439" s="183" t="str">
        <f>IFERROR(__xludf.DUMMYFUNCTION("QUERY('Volunteer Survey'!E438)"),"")</f>
        <v/>
      </c>
      <c r="AE439" s="183" t="str">
        <f>IFERROR(__xludf.DUMMYFUNCTION("QUERY('Volunteer Survey'!F438)"),"")</f>
        <v/>
      </c>
      <c r="AF439" s="183" t="str">
        <f>IFERROR(__xludf.DUMMYFUNCTION("QUERY('Volunteer Survey'!G438)"),"")</f>
        <v/>
      </c>
      <c r="AG439" s="183" t="str">
        <f>IFERROR(__xludf.DUMMYFUNCTION("QUERY('Volunteer Survey'!H438)"),"")</f>
        <v/>
      </c>
      <c r="AH439" s="183" t="str">
        <f>IFERROR(__xludf.DUMMYFUNCTION("QUERY('Volunteer Survey'!I438)"),"")</f>
        <v/>
      </c>
      <c r="AI439" s="183" t="str">
        <f>IFERROR(__xludf.DUMMYFUNCTION("QUERY('Volunteer Survey'!J438)"),"")</f>
        <v/>
      </c>
      <c r="AJ439" s="183" t="str">
        <f>IFERROR(__xludf.DUMMYFUNCTION("QUERY('Volunteer Survey'!K438)"),"")</f>
        <v/>
      </c>
      <c r="AK439" s="183" t="str">
        <f>IFERROR(__xludf.DUMMYFUNCTION("QUERY('Volunteer Survey'!L438)"),"")</f>
        <v/>
      </c>
      <c r="AL439" s="183" t="str">
        <f>IFERROR(__xludf.DUMMYFUNCTION("QUERY('Volunteer Survey'!M438)"),"")</f>
        <v/>
      </c>
      <c r="AM439" s="183" t="str">
        <f>IFERROR(__xludf.DUMMYFUNCTION("QUERY('Volunteer Survey'!N438)"),"")</f>
        <v/>
      </c>
      <c r="AN439" s="183" t="str">
        <f>IFERROR(__xludf.DUMMYFUNCTION("QUERY('Volunteer Survey'!O438)"),"")</f>
        <v/>
      </c>
      <c r="AO439" s="183" t="str">
        <f>IFERROR(__xludf.DUMMYFUNCTION("QUERY('Volunteer Survey'!P438)"),"")</f>
        <v/>
      </c>
    </row>
    <row r="440">
      <c r="A440" s="55" t="str">
        <f>IFERROR(__xludf.DUMMYFUNCTION("QUERY('Volunteer Survey'!A834)"),"")</f>
        <v/>
      </c>
      <c r="B440" s="48" t="s">
        <v>322</v>
      </c>
      <c r="C440" s="53"/>
      <c r="D440" s="55"/>
      <c r="E440" s="55"/>
      <c r="F440" s="55" t="b">
        <v>0</v>
      </c>
      <c r="G440" s="55"/>
      <c r="H440" s="53"/>
      <c r="I440" s="53"/>
      <c r="J440" s="55"/>
      <c r="K440" s="55"/>
      <c r="L440" s="55" t="str">
        <f>IFERROR(__xludf.DUMMYFUNCTION("QUERY('Volunteer Survey'!B834)"),"")</f>
        <v/>
      </c>
      <c r="M440" s="55" t="str">
        <f>IFERROR(__xludf.DUMMYFUNCTION("QUERY('Volunteer Survey'!E834)"),"")</f>
        <v/>
      </c>
      <c r="N440" s="55" t="str">
        <f>IFERROR(__xludf.DUMMYFUNCTION("QUERY('Volunteer Survey'!F834)"),"")</f>
        <v/>
      </c>
      <c r="O440" s="48" t="str">
        <f>'Volunteer Survey'!H851</f>
        <v/>
      </c>
      <c r="P440" s="55" t="str">
        <f>IFERROR(__xludf.DUMMYFUNCTION("QUERY('Volunteer Survey'!I834)"),"")</f>
        <v/>
      </c>
      <c r="Q440" s="60" t="str">
        <f>IFERROR(__xludf.DUMMYFUNCTION("QUERY('Volunteer Survey'!J834)"),"")</f>
        <v/>
      </c>
      <c r="R440" s="55" t="str">
        <f>IFERROR(__xludf.DUMMYFUNCTION("QUERY('Volunteer Survey'!K834)"),"")</f>
        <v/>
      </c>
      <c r="S440" s="55" t="str">
        <f>IFERROR(__xludf.DUMMYFUNCTION("QUERY('Volunteer Survey'!L834)"),"")</f>
        <v/>
      </c>
      <c r="T440" s="55" t="str">
        <f>'Volunteer Survey'!M850</f>
        <v/>
      </c>
      <c r="U440" s="64" t="str">
        <f>IFERROR(__xludf.DUMMYFUNCTION("QUERY('Volunteer Survey'!N834)"),"")</f>
        <v/>
      </c>
      <c r="V440" s="55" t="str">
        <f>'Volunteer Survey'!O850</f>
        <v/>
      </c>
      <c r="W440" s="66" t="str">
        <f>IFERROR(__xludf.DUMMYFUNCTION("QUERY('Volunteer Survey'!P834)"),"")</f>
        <v/>
      </c>
      <c r="X440" s="64" t="str">
        <f>IFERROR(__xludf.DUMMYFUNCTION("QUERY('Volunteer Survey'!R834)"),"")</f>
        <v/>
      </c>
      <c r="Y440" s="53"/>
      <c r="Z440" s="183" t="str">
        <f>IFERROR(__xludf.DUMMYFUNCTION("QUERY('Volunteer Survey'!A439)"),"")</f>
        <v/>
      </c>
      <c r="AA440" s="183" t="str">
        <f>IFERROR(__xludf.DUMMYFUNCTION("QUERY('Volunteer Survey'!B439)"),"")</f>
        <v/>
      </c>
      <c r="AB440" s="183" t="str">
        <f>IFERROR(__xludf.DUMMYFUNCTION("QUERY('Volunteer Survey'!C439)"),"")</f>
        <v/>
      </c>
      <c r="AC440" s="183" t="str">
        <f>IFERROR(__xludf.DUMMYFUNCTION("QUERY('Volunteer Survey'!D439)"),"")</f>
        <v/>
      </c>
      <c r="AD440" s="183" t="str">
        <f>IFERROR(__xludf.DUMMYFUNCTION("QUERY('Volunteer Survey'!E439)"),"")</f>
        <v/>
      </c>
      <c r="AE440" s="183" t="str">
        <f>IFERROR(__xludf.DUMMYFUNCTION("QUERY('Volunteer Survey'!F439)"),"")</f>
        <v/>
      </c>
      <c r="AF440" s="183" t="str">
        <f>IFERROR(__xludf.DUMMYFUNCTION("QUERY('Volunteer Survey'!G439)"),"")</f>
        <v/>
      </c>
      <c r="AG440" s="183" t="str">
        <f>IFERROR(__xludf.DUMMYFUNCTION("QUERY('Volunteer Survey'!H439)"),"")</f>
        <v/>
      </c>
      <c r="AH440" s="183" t="str">
        <f>IFERROR(__xludf.DUMMYFUNCTION("QUERY('Volunteer Survey'!I439)"),"")</f>
        <v/>
      </c>
      <c r="AI440" s="183" t="str">
        <f>IFERROR(__xludf.DUMMYFUNCTION("QUERY('Volunteer Survey'!J439)"),"")</f>
        <v/>
      </c>
      <c r="AJ440" s="183" t="str">
        <f>IFERROR(__xludf.DUMMYFUNCTION("QUERY('Volunteer Survey'!K439)"),"")</f>
        <v/>
      </c>
      <c r="AK440" s="183" t="str">
        <f>IFERROR(__xludf.DUMMYFUNCTION("QUERY('Volunteer Survey'!L439)"),"")</f>
        <v/>
      </c>
      <c r="AL440" s="183" t="str">
        <f>IFERROR(__xludf.DUMMYFUNCTION("QUERY('Volunteer Survey'!M439)"),"")</f>
        <v/>
      </c>
      <c r="AM440" s="183" t="str">
        <f>IFERROR(__xludf.DUMMYFUNCTION("QUERY('Volunteer Survey'!N439)"),"")</f>
        <v/>
      </c>
      <c r="AN440" s="183" t="str">
        <f>IFERROR(__xludf.DUMMYFUNCTION("QUERY('Volunteer Survey'!O439)"),"")</f>
        <v/>
      </c>
      <c r="AO440" s="183" t="str">
        <f>IFERROR(__xludf.DUMMYFUNCTION("QUERY('Volunteer Survey'!P439)"),"")</f>
        <v/>
      </c>
    </row>
    <row r="441">
      <c r="A441" s="55" t="str">
        <f>IFERROR(__xludf.DUMMYFUNCTION("QUERY('Volunteer Survey'!A835)"),"")</f>
        <v/>
      </c>
      <c r="B441" s="48" t="s">
        <v>322</v>
      </c>
      <c r="C441" s="53"/>
      <c r="D441" s="55"/>
      <c r="E441" s="55"/>
      <c r="F441" s="55" t="b">
        <v>0</v>
      </c>
      <c r="G441" s="55"/>
      <c r="H441" s="53"/>
      <c r="I441" s="53"/>
      <c r="J441" s="55"/>
      <c r="K441" s="55"/>
      <c r="L441" s="55" t="str">
        <f>IFERROR(__xludf.DUMMYFUNCTION("QUERY('Volunteer Survey'!B835)"),"")</f>
        <v/>
      </c>
      <c r="M441" s="55" t="str">
        <f>IFERROR(__xludf.DUMMYFUNCTION("QUERY('Volunteer Survey'!E835)"),"")</f>
        <v/>
      </c>
      <c r="N441" s="55" t="str">
        <f>IFERROR(__xludf.DUMMYFUNCTION("QUERY('Volunteer Survey'!F835)"),"")</f>
        <v/>
      </c>
      <c r="O441" s="48" t="str">
        <f>'Volunteer Survey'!H852</f>
        <v/>
      </c>
      <c r="P441" s="55" t="str">
        <f>IFERROR(__xludf.DUMMYFUNCTION("QUERY('Volunteer Survey'!I835)"),"")</f>
        <v/>
      </c>
      <c r="Q441" s="60" t="str">
        <f>IFERROR(__xludf.DUMMYFUNCTION("QUERY('Volunteer Survey'!J835)"),"")</f>
        <v/>
      </c>
      <c r="R441" s="55" t="str">
        <f>IFERROR(__xludf.DUMMYFUNCTION("QUERY('Volunteer Survey'!K835)"),"")</f>
        <v/>
      </c>
      <c r="S441" s="55" t="str">
        <f>IFERROR(__xludf.DUMMYFUNCTION("QUERY('Volunteer Survey'!L835)"),"")</f>
        <v/>
      </c>
      <c r="T441" s="55" t="str">
        <f>'Volunteer Survey'!M851</f>
        <v/>
      </c>
      <c r="U441" s="64" t="str">
        <f>IFERROR(__xludf.DUMMYFUNCTION("QUERY('Volunteer Survey'!N835)"),"")</f>
        <v/>
      </c>
      <c r="V441" s="55" t="str">
        <f>'Volunteer Survey'!O851</f>
        <v/>
      </c>
      <c r="W441" s="66" t="str">
        <f>IFERROR(__xludf.DUMMYFUNCTION("QUERY('Volunteer Survey'!P835)"),"")</f>
        <v/>
      </c>
      <c r="X441" s="64" t="str">
        <f>IFERROR(__xludf.DUMMYFUNCTION("QUERY('Volunteer Survey'!R835)"),"")</f>
        <v/>
      </c>
      <c r="Y441" s="53"/>
      <c r="Z441" s="183" t="str">
        <f>IFERROR(__xludf.DUMMYFUNCTION("QUERY('Volunteer Survey'!A440)"),"")</f>
        <v/>
      </c>
      <c r="AA441" s="183" t="str">
        <f>IFERROR(__xludf.DUMMYFUNCTION("QUERY('Volunteer Survey'!B440)"),"")</f>
        <v/>
      </c>
      <c r="AB441" s="183" t="str">
        <f>IFERROR(__xludf.DUMMYFUNCTION("QUERY('Volunteer Survey'!C440)"),"")</f>
        <v/>
      </c>
      <c r="AC441" s="183" t="str">
        <f>IFERROR(__xludf.DUMMYFUNCTION("QUERY('Volunteer Survey'!D440)"),"")</f>
        <v/>
      </c>
      <c r="AD441" s="183" t="str">
        <f>IFERROR(__xludf.DUMMYFUNCTION("QUERY('Volunteer Survey'!E440)"),"")</f>
        <v/>
      </c>
      <c r="AE441" s="183" t="str">
        <f>IFERROR(__xludf.DUMMYFUNCTION("QUERY('Volunteer Survey'!F440)"),"")</f>
        <v/>
      </c>
      <c r="AF441" s="183" t="str">
        <f>IFERROR(__xludf.DUMMYFUNCTION("QUERY('Volunteer Survey'!G440)"),"")</f>
        <v/>
      </c>
      <c r="AG441" s="183" t="str">
        <f>IFERROR(__xludf.DUMMYFUNCTION("QUERY('Volunteer Survey'!H440)"),"")</f>
        <v/>
      </c>
      <c r="AH441" s="183" t="str">
        <f>IFERROR(__xludf.DUMMYFUNCTION("QUERY('Volunteer Survey'!I440)"),"")</f>
        <v/>
      </c>
      <c r="AI441" s="183" t="str">
        <f>IFERROR(__xludf.DUMMYFUNCTION("QUERY('Volunteer Survey'!J440)"),"")</f>
        <v/>
      </c>
      <c r="AJ441" s="183" t="str">
        <f>IFERROR(__xludf.DUMMYFUNCTION("QUERY('Volunteer Survey'!K440)"),"")</f>
        <v/>
      </c>
      <c r="AK441" s="183" t="str">
        <f>IFERROR(__xludf.DUMMYFUNCTION("QUERY('Volunteer Survey'!L440)"),"")</f>
        <v/>
      </c>
      <c r="AL441" s="183" t="str">
        <f>IFERROR(__xludf.DUMMYFUNCTION("QUERY('Volunteer Survey'!M440)"),"")</f>
        <v/>
      </c>
      <c r="AM441" s="183" t="str">
        <f>IFERROR(__xludf.DUMMYFUNCTION("QUERY('Volunteer Survey'!N440)"),"")</f>
        <v/>
      </c>
      <c r="AN441" s="183" t="str">
        <f>IFERROR(__xludf.DUMMYFUNCTION("QUERY('Volunteer Survey'!O440)"),"")</f>
        <v/>
      </c>
      <c r="AO441" s="183" t="str">
        <f>IFERROR(__xludf.DUMMYFUNCTION("QUERY('Volunteer Survey'!P440)"),"")</f>
        <v/>
      </c>
    </row>
    <row r="442">
      <c r="A442" s="55" t="str">
        <f>IFERROR(__xludf.DUMMYFUNCTION("QUERY('Volunteer Survey'!A836)"),"")</f>
        <v/>
      </c>
      <c r="B442" s="48" t="s">
        <v>322</v>
      </c>
      <c r="C442" s="53"/>
      <c r="D442" s="55"/>
      <c r="E442" s="55"/>
      <c r="F442" s="55" t="b">
        <v>0</v>
      </c>
      <c r="G442" s="55"/>
      <c r="H442" s="53"/>
      <c r="I442" s="53"/>
      <c r="J442" s="55"/>
      <c r="K442" s="55"/>
      <c r="L442" s="55" t="str">
        <f>IFERROR(__xludf.DUMMYFUNCTION("QUERY('Volunteer Survey'!B836)"),"")</f>
        <v/>
      </c>
      <c r="M442" s="55" t="str">
        <f>IFERROR(__xludf.DUMMYFUNCTION("QUERY('Volunteer Survey'!E836)"),"")</f>
        <v/>
      </c>
      <c r="N442" s="55" t="str">
        <f>IFERROR(__xludf.DUMMYFUNCTION("QUERY('Volunteer Survey'!F836)"),"")</f>
        <v/>
      </c>
      <c r="O442" s="48" t="str">
        <f>'Volunteer Survey'!H853</f>
        <v/>
      </c>
      <c r="P442" s="55" t="str">
        <f>IFERROR(__xludf.DUMMYFUNCTION("QUERY('Volunteer Survey'!I836)"),"")</f>
        <v/>
      </c>
      <c r="Q442" s="60" t="str">
        <f>IFERROR(__xludf.DUMMYFUNCTION("QUERY('Volunteer Survey'!J836)"),"")</f>
        <v/>
      </c>
      <c r="R442" s="55" t="str">
        <f>IFERROR(__xludf.DUMMYFUNCTION("QUERY('Volunteer Survey'!K836)"),"")</f>
        <v/>
      </c>
      <c r="S442" s="55" t="str">
        <f>IFERROR(__xludf.DUMMYFUNCTION("QUERY('Volunteer Survey'!L836)"),"")</f>
        <v/>
      </c>
      <c r="T442" s="55" t="str">
        <f>'Volunteer Survey'!M852</f>
        <v/>
      </c>
      <c r="U442" s="64" t="str">
        <f>IFERROR(__xludf.DUMMYFUNCTION("QUERY('Volunteer Survey'!N836)"),"")</f>
        <v/>
      </c>
      <c r="V442" s="55" t="str">
        <f>'Volunteer Survey'!O852</f>
        <v/>
      </c>
      <c r="W442" s="66" t="str">
        <f>IFERROR(__xludf.DUMMYFUNCTION("QUERY('Volunteer Survey'!P836)"),"")</f>
        <v/>
      </c>
      <c r="X442" s="64" t="str">
        <f>IFERROR(__xludf.DUMMYFUNCTION("QUERY('Volunteer Survey'!R836)"),"")</f>
        <v/>
      </c>
      <c r="Y442" s="53"/>
      <c r="Z442" s="183" t="str">
        <f>IFERROR(__xludf.DUMMYFUNCTION("QUERY('Volunteer Survey'!A441)"),"")</f>
        <v/>
      </c>
      <c r="AA442" s="183" t="str">
        <f>IFERROR(__xludf.DUMMYFUNCTION("QUERY('Volunteer Survey'!B441)"),"")</f>
        <v/>
      </c>
      <c r="AB442" s="183" t="str">
        <f>IFERROR(__xludf.DUMMYFUNCTION("QUERY('Volunteer Survey'!C441)"),"")</f>
        <v/>
      </c>
      <c r="AC442" s="183" t="str">
        <f>IFERROR(__xludf.DUMMYFUNCTION("QUERY('Volunteer Survey'!D441)"),"")</f>
        <v/>
      </c>
      <c r="AD442" s="183" t="str">
        <f>IFERROR(__xludf.DUMMYFUNCTION("QUERY('Volunteer Survey'!E441)"),"")</f>
        <v/>
      </c>
      <c r="AE442" s="183" t="str">
        <f>IFERROR(__xludf.DUMMYFUNCTION("QUERY('Volunteer Survey'!F441)"),"")</f>
        <v/>
      </c>
      <c r="AF442" s="183" t="str">
        <f>IFERROR(__xludf.DUMMYFUNCTION("QUERY('Volunteer Survey'!G441)"),"")</f>
        <v/>
      </c>
      <c r="AG442" s="183" t="str">
        <f>IFERROR(__xludf.DUMMYFUNCTION("QUERY('Volunteer Survey'!H441)"),"")</f>
        <v/>
      </c>
      <c r="AH442" s="183" t="str">
        <f>IFERROR(__xludf.DUMMYFUNCTION("QUERY('Volunteer Survey'!I441)"),"")</f>
        <v/>
      </c>
      <c r="AI442" s="183" t="str">
        <f>IFERROR(__xludf.DUMMYFUNCTION("QUERY('Volunteer Survey'!J441)"),"")</f>
        <v/>
      </c>
      <c r="AJ442" s="183" t="str">
        <f>IFERROR(__xludf.DUMMYFUNCTION("QUERY('Volunteer Survey'!K441)"),"")</f>
        <v/>
      </c>
      <c r="AK442" s="183" t="str">
        <f>IFERROR(__xludf.DUMMYFUNCTION("QUERY('Volunteer Survey'!L441)"),"")</f>
        <v/>
      </c>
      <c r="AL442" s="183" t="str">
        <f>IFERROR(__xludf.DUMMYFUNCTION("QUERY('Volunteer Survey'!M441)"),"")</f>
        <v/>
      </c>
      <c r="AM442" s="183" t="str">
        <f>IFERROR(__xludf.DUMMYFUNCTION("QUERY('Volunteer Survey'!N441)"),"")</f>
        <v/>
      </c>
      <c r="AN442" s="183" t="str">
        <f>IFERROR(__xludf.DUMMYFUNCTION("QUERY('Volunteer Survey'!O441)"),"")</f>
        <v/>
      </c>
      <c r="AO442" s="183" t="str">
        <f>IFERROR(__xludf.DUMMYFUNCTION("QUERY('Volunteer Survey'!P441)"),"")</f>
        <v/>
      </c>
    </row>
    <row r="443">
      <c r="A443" s="55" t="str">
        <f>IFERROR(__xludf.DUMMYFUNCTION("QUERY('Volunteer Survey'!A837)"),"")</f>
        <v/>
      </c>
      <c r="B443" s="48" t="s">
        <v>322</v>
      </c>
      <c r="C443" s="53"/>
      <c r="D443" s="55"/>
      <c r="E443" s="55"/>
      <c r="F443" s="55" t="b">
        <v>0</v>
      </c>
      <c r="G443" s="55"/>
      <c r="H443" s="53"/>
      <c r="I443" s="53"/>
      <c r="J443" s="55"/>
      <c r="K443" s="55"/>
      <c r="L443" s="55" t="str">
        <f>IFERROR(__xludf.DUMMYFUNCTION("QUERY('Volunteer Survey'!B837)"),"")</f>
        <v/>
      </c>
      <c r="M443" s="55" t="str">
        <f>IFERROR(__xludf.DUMMYFUNCTION("QUERY('Volunteer Survey'!E837)"),"")</f>
        <v/>
      </c>
      <c r="N443" s="55" t="str">
        <f>IFERROR(__xludf.DUMMYFUNCTION("QUERY('Volunteer Survey'!F837)"),"")</f>
        <v/>
      </c>
      <c r="O443" s="48" t="str">
        <f>'Volunteer Survey'!H854</f>
        <v/>
      </c>
      <c r="P443" s="55" t="str">
        <f>IFERROR(__xludf.DUMMYFUNCTION("QUERY('Volunteer Survey'!I837)"),"")</f>
        <v/>
      </c>
      <c r="Q443" s="60" t="str">
        <f>IFERROR(__xludf.DUMMYFUNCTION("QUERY('Volunteer Survey'!J837)"),"")</f>
        <v/>
      </c>
      <c r="R443" s="55" t="str">
        <f>IFERROR(__xludf.DUMMYFUNCTION("QUERY('Volunteer Survey'!K837)"),"")</f>
        <v/>
      </c>
      <c r="S443" s="55" t="str">
        <f>IFERROR(__xludf.DUMMYFUNCTION("QUERY('Volunteer Survey'!L837)"),"")</f>
        <v/>
      </c>
      <c r="T443" s="55" t="str">
        <f>'Volunteer Survey'!M853</f>
        <v/>
      </c>
      <c r="U443" s="64" t="str">
        <f>IFERROR(__xludf.DUMMYFUNCTION("QUERY('Volunteer Survey'!N837)"),"")</f>
        <v/>
      </c>
      <c r="V443" s="55" t="str">
        <f>'Volunteer Survey'!O853</f>
        <v/>
      </c>
      <c r="W443" s="66" t="str">
        <f>IFERROR(__xludf.DUMMYFUNCTION("QUERY('Volunteer Survey'!P837)"),"")</f>
        <v/>
      </c>
      <c r="X443" s="64" t="str">
        <f>IFERROR(__xludf.DUMMYFUNCTION("QUERY('Volunteer Survey'!R837)"),"")</f>
        <v/>
      </c>
      <c r="Y443" s="53"/>
      <c r="Z443" s="183" t="str">
        <f>IFERROR(__xludf.DUMMYFUNCTION("QUERY('Volunteer Survey'!A442)"),"")</f>
        <v/>
      </c>
      <c r="AA443" s="183" t="str">
        <f>IFERROR(__xludf.DUMMYFUNCTION("QUERY('Volunteer Survey'!B442)"),"")</f>
        <v/>
      </c>
      <c r="AB443" s="183" t="str">
        <f>IFERROR(__xludf.DUMMYFUNCTION("QUERY('Volunteer Survey'!C442)"),"")</f>
        <v/>
      </c>
      <c r="AC443" s="183" t="str">
        <f>IFERROR(__xludf.DUMMYFUNCTION("QUERY('Volunteer Survey'!D442)"),"")</f>
        <v/>
      </c>
      <c r="AD443" s="183" t="str">
        <f>IFERROR(__xludf.DUMMYFUNCTION("QUERY('Volunteer Survey'!E442)"),"")</f>
        <v/>
      </c>
      <c r="AE443" s="183" t="str">
        <f>IFERROR(__xludf.DUMMYFUNCTION("QUERY('Volunteer Survey'!F442)"),"")</f>
        <v/>
      </c>
      <c r="AF443" s="183" t="str">
        <f>IFERROR(__xludf.DUMMYFUNCTION("QUERY('Volunteer Survey'!G442)"),"")</f>
        <v/>
      </c>
      <c r="AG443" s="183" t="str">
        <f>IFERROR(__xludf.DUMMYFUNCTION("QUERY('Volunteer Survey'!H442)"),"")</f>
        <v/>
      </c>
      <c r="AH443" s="183" t="str">
        <f>IFERROR(__xludf.DUMMYFUNCTION("QUERY('Volunteer Survey'!I442)"),"")</f>
        <v/>
      </c>
      <c r="AI443" s="183" t="str">
        <f>IFERROR(__xludf.DUMMYFUNCTION("QUERY('Volunteer Survey'!J442)"),"")</f>
        <v/>
      </c>
      <c r="AJ443" s="183" t="str">
        <f>IFERROR(__xludf.DUMMYFUNCTION("QUERY('Volunteer Survey'!K442)"),"")</f>
        <v/>
      </c>
      <c r="AK443" s="183" t="str">
        <f>IFERROR(__xludf.DUMMYFUNCTION("QUERY('Volunteer Survey'!L442)"),"")</f>
        <v/>
      </c>
      <c r="AL443" s="183" t="str">
        <f>IFERROR(__xludf.DUMMYFUNCTION("QUERY('Volunteer Survey'!M442)"),"")</f>
        <v/>
      </c>
      <c r="AM443" s="183" t="str">
        <f>IFERROR(__xludf.DUMMYFUNCTION("QUERY('Volunteer Survey'!N442)"),"")</f>
        <v/>
      </c>
      <c r="AN443" s="183" t="str">
        <f>IFERROR(__xludf.DUMMYFUNCTION("QUERY('Volunteer Survey'!O442)"),"")</f>
        <v/>
      </c>
      <c r="AO443" s="183" t="str">
        <f>IFERROR(__xludf.DUMMYFUNCTION("QUERY('Volunteer Survey'!P442)"),"")</f>
        <v/>
      </c>
    </row>
    <row r="444">
      <c r="A444" s="55" t="str">
        <f>IFERROR(__xludf.DUMMYFUNCTION("QUERY('Volunteer Survey'!A838)"),"")</f>
        <v/>
      </c>
      <c r="B444" s="48" t="s">
        <v>322</v>
      </c>
      <c r="C444" s="53"/>
      <c r="D444" s="55"/>
      <c r="E444" s="55"/>
      <c r="F444" s="55" t="b">
        <v>0</v>
      </c>
      <c r="G444" s="55"/>
      <c r="H444" s="53"/>
      <c r="I444" s="53"/>
      <c r="J444" s="55"/>
      <c r="K444" s="55"/>
      <c r="L444" s="55" t="str">
        <f>IFERROR(__xludf.DUMMYFUNCTION("QUERY('Volunteer Survey'!B838)"),"")</f>
        <v/>
      </c>
      <c r="M444" s="55" t="str">
        <f>IFERROR(__xludf.DUMMYFUNCTION("QUERY('Volunteer Survey'!E838)"),"")</f>
        <v/>
      </c>
      <c r="N444" s="55" t="str">
        <f>IFERROR(__xludf.DUMMYFUNCTION("QUERY('Volunteer Survey'!F838)"),"")</f>
        <v/>
      </c>
      <c r="O444" s="48" t="str">
        <f>'Volunteer Survey'!H855</f>
        <v/>
      </c>
      <c r="P444" s="55" t="str">
        <f>IFERROR(__xludf.DUMMYFUNCTION("QUERY('Volunteer Survey'!I838)"),"")</f>
        <v/>
      </c>
      <c r="Q444" s="60" t="str">
        <f>IFERROR(__xludf.DUMMYFUNCTION("QUERY('Volunteer Survey'!J838)"),"")</f>
        <v/>
      </c>
      <c r="R444" s="55" t="str">
        <f>IFERROR(__xludf.DUMMYFUNCTION("QUERY('Volunteer Survey'!K838)"),"")</f>
        <v/>
      </c>
      <c r="S444" s="55" t="str">
        <f>IFERROR(__xludf.DUMMYFUNCTION("QUERY('Volunteer Survey'!L838)"),"")</f>
        <v/>
      </c>
      <c r="T444" s="55" t="str">
        <f>'Volunteer Survey'!M854</f>
        <v/>
      </c>
      <c r="U444" s="64" t="str">
        <f>IFERROR(__xludf.DUMMYFUNCTION("QUERY('Volunteer Survey'!N838)"),"")</f>
        <v/>
      </c>
      <c r="V444" s="55" t="str">
        <f>'Volunteer Survey'!O854</f>
        <v/>
      </c>
      <c r="W444" s="66" t="str">
        <f>IFERROR(__xludf.DUMMYFUNCTION("QUERY('Volunteer Survey'!P838)"),"")</f>
        <v/>
      </c>
      <c r="X444" s="64" t="str">
        <f>IFERROR(__xludf.DUMMYFUNCTION("QUERY('Volunteer Survey'!R838)"),"")</f>
        <v/>
      </c>
      <c r="Y444" s="53"/>
      <c r="Z444" s="183" t="str">
        <f>IFERROR(__xludf.DUMMYFUNCTION("QUERY('Volunteer Survey'!A443)"),"")</f>
        <v/>
      </c>
      <c r="AA444" s="183" t="str">
        <f>IFERROR(__xludf.DUMMYFUNCTION("QUERY('Volunteer Survey'!B443)"),"")</f>
        <v/>
      </c>
      <c r="AB444" s="183" t="str">
        <f>IFERROR(__xludf.DUMMYFUNCTION("QUERY('Volunteer Survey'!C443)"),"")</f>
        <v/>
      </c>
      <c r="AC444" s="183" t="str">
        <f>IFERROR(__xludf.DUMMYFUNCTION("QUERY('Volunteer Survey'!D443)"),"")</f>
        <v/>
      </c>
      <c r="AD444" s="183" t="str">
        <f>IFERROR(__xludf.DUMMYFUNCTION("QUERY('Volunteer Survey'!E443)"),"")</f>
        <v/>
      </c>
      <c r="AE444" s="183" t="str">
        <f>IFERROR(__xludf.DUMMYFUNCTION("QUERY('Volunteer Survey'!F443)"),"")</f>
        <v/>
      </c>
      <c r="AF444" s="183" t="str">
        <f>IFERROR(__xludf.DUMMYFUNCTION("QUERY('Volunteer Survey'!G443)"),"")</f>
        <v/>
      </c>
      <c r="AG444" s="183" t="str">
        <f>IFERROR(__xludf.DUMMYFUNCTION("QUERY('Volunteer Survey'!H443)"),"")</f>
        <v/>
      </c>
      <c r="AH444" s="183" t="str">
        <f>IFERROR(__xludf.DUMMYFUNCTION("QUERY('Volunteer Survey'!I443)"),"")</f>
        <v/>
      </c>
      <c r="AI444" s="183" t="str">
        <f>IFERROR(__xludf.DUMMYFUNCTION("QUERY('Volunteer Survey'!J443)"),"")</f>
        <v/>
      </c>
      <c r="AJ444" s="183" t="str">
        <f>IFERROR(__xludf.DUMMYFUNCTION("QUERY('Volunteer Survey'!K443)"),"")</f>
        <v/>
      </c>
      <c r="AK444" s="183" t="str">
        <f>IFERROR(__xludf.DUMMYFUNCTION("QUERY('Volunteer Survey'!L443)"),"")</f>
        <v/>
      </c>
      <c r="AL444" s="183" t="str">
        <f>IFERROR(__xludf.DUMMYFUNCTION("QUERY('Volunteer Survey'!M443)"),"")</f>
        <v/>
      </c>
      <c r="AM444" s="183" t="str">
        <f>IFERROR(__xludf.DUMMYFUNCTION("QUERY('Volunteer Survey'!N443)"),"")</f>
        <v/>
      </c>
      <c r="AN444" s="183" t="str">
        <f>IFERROR(__xludf.DUMMYFUNCTION("QUERY('Volunteer Survey'!O443)"),"")</f>
        <v/>
      </c>
      <c r="AO444" s="183" t="str">
        <f>IFERROR(__xludf.DUMMYFUNCTION("QUERY('Volunteer Survey'!P443)"),"")</f>
        <v/>
      </c>
    </row>
    <row r="445">
      <c r="A445" s="55" t="str">
        <f>IFERROR(__xludf.DUMMYFUNCTION("QUERY('Volunteer Survey'!A839)"),"")</f>
        <v/>
      </c>
      <c r="B445" s="48" t="s">
        <v>322</v>
      </c>
      <c r="C445" s="53"/>
      <c r="D445" s="55"/>
      <c r="E445" s="55"/>
      <c r="F445" s="55" t="b">
        <v>0</v>
      </c>
      <c r="G445" s="55"/>
      <c r="H445" s="53"/>
      <c r="I445" s="53"/>
      <c r="J445" s="55"/>
      <c r="K445" s="55"/>
      <c r="L445" s="55" t="str">
        <f>IFERROR(__xludf.DUMMYFUNCTION("QUERY('Volunteer Survey'!B839)"),"")</f>
        <v/>
      </c>
      <c r="M445" s="55" t="str">
        <f>IFERROR(__xludf.DUMMYFUNCTION("QUERY('Volunteer Survey'!E839)"),"")</f>
        <v/>
      </c>
      <c r="N445" s="55" t="str">
        <f>'Volunteer Survey'!F855</f>
        <v/>
      </c>
      <c r="O445" s="48" t="str">
        <f>'Volunteer Survey'!H856</f>
        <v/>
      </c>
      <c r="P445" s="55" t="str">
        <f>IFERROR(__xludf.DUMMYFUNCTION("QUERY('Volunteer Survey'!I839)"),"")</f>
        <v/>
      </c>
      <c r="Q445" s="60" t="str">
        <f>IFERROR(__xludf.DUMMYFUNCTION("QUERY('Volunteer Survey'!J839)"),"")</f>
        <v/>
      </c>
      <c r="R445" s="55" t="str">
        <f>IFERROR(__xludf.DUMMYFUNCTION("QUERY('Volunteer Survey'!K839)"),"")</f>
        <v/>
      </c>
      <c r="S445" s="55" t="str">
        <f>IFERROR(__xludf.DUMMYFUNCTION("QUERY('Volunteer Survey'!L839)"),"")</f>
        <v/>
      </c>
      <c r="T445" s="55" t="str">
        <f>'Volunteer Survey'!M855</f>
        <v/>
      </c>
      <c r="U445" s="64" t="str">
        <f>IFERROR(__xludf.DUMMYFUNCTION("QUERY('Volunteer Survey'!N839)"),"")</f>
        <v/>
      </c>
      <c r="V445" s="55" t="str">
        <f>'Volunteer Survey'!O855</f>
        <v/>
      </c>
      <c r="W445" s="66" t="str">
        <f>IFERROR(__xludf.DUMMYFUNCTION("QUERY('Volunteer Survey'!P839)"),"")</f>
        <v/>
      </c>
      <c r="X445" s="64" t="str">
        <f>IFERROR(__xludf.DUMMYFUNCTION("QUERY('Volunteer Survey'!R839)"),"")</f>
        <v/>
      </c>
      <c r="Y445" s="53"/>
      <c r="Z445" s="183" t="str">
        <f>IFERROR(__xludf.DUMMYFUNCTION("QUERY('Volunteer Survey'!A444)"),"")</f>
        <v/>
      </c>
      <c r="AA445" s="183" t="str">
        <f>IFERROR(__xludf.DUMMYFUNCTION("QUERY('Volunteer Survey'!B444)"),"")</f>
        <v/>
      </c>
      <c r="AB445" s="183" t="str">
        <f>IFERROR(__xludf.DUMMYFUNCTION("QUERY('Volunteer Survey'!C444)"),"")</f>
        <v/>
      </c>
      <c r="AC445" s="183" t="str">
        <f>IFERROR(__xludf.DUMMYFUNCTION("QUERY('Volunteer Survey'!D444)"),"")</f>
        <v/>
      </c>
      <c r="AD445" s="183" t="str">
        <f>IFERROR(__xludf.DUMMYFUNCTION("QUERY('Volunteer Survey'!E444)"),"")</f>
        <v/>
      </c>
      <c r="AE445" s="183" t="str">
        <f>IFERROR(__xludf.DUMMYFUNCTION("QUERY('Volunteer Survey'!F444)"),"")</f>
        <v/>
      </c>
      <c r="AF445" s="183" t="str">
        <f>IFERROR(__xludf.DUMMYFUNCTION("QUERY('Volunteer Survey'!G444)"),"")</f>
        <v/>
      </c>
      <c r="AG445" s="183" t="str">
        <f>IFERROR(__xludf.DUMMYFUNCTION("QUERY('Volunteer Survey'!H444)"),"")</f>
        <v/>
      </c>
      <c r="AH445" s="183" t="str">
        <f>IFERROR(__xludf.DUMMYFUNCTION("QUERY('Volunteer Survey'!I444)"),"")</f>
        <v/>
      </c>
      <c r="AI445" s="183" t="str">
        <f>IFERROR(__xludf.DUMMYFUNCTION("QUERY('Volunteer Survey'!J444)"),"")</f>
        <v/>
      </c>
      <c r="AJ445" s="183" t="str">
        <f>IFERROR(__xludf.DUMMYFUNCTION("QUERY('Volunteer Survey'!K444)"),"")</f>
        <v/>
      </c>
      <c r="AK445" s="183" t="str">
        <f>IFERROR(__xludf.DUMMYFUNCTION("QUERY('Volunteer Survey'!L444)"),"")</f>
        <v/>
      </c>
      <c r="AL445" s="183" t="str">
        <f>IFERROR(__xludf.DUMMYFUNCTION("QUERY('Volunteer Survey'!M444)"),"")</f>
        <v/>
      </c>
      <c r="AM445" s="183" t="str">
        <f>IFERROR(__xludf.DUMMYFUNCTION("QUERY('Volunteer Survey'!N444)"),"")</f>
        <v/>
      </c>
      <c r="AN445" s="183" t="str">
        <f>IFERROR(__xludf.DUMMYFUNCTION("QUERY('Volunteer Survey'!O444)"),"")</f>
        <v/>
      </c>
      <c r="AO445" s="183" t="str">
        <f>IFERROR(__xludf.DUMMYFUNCTION("QUERY('Volunteer Survey'!P444)"),"")</f>
        <v/>
      </c>
    </row>
    <row r="446">
      <c r="A446" s="55" t="str">
        <f>IFERROR(__xludf.DUMMYFUNCTION("QUERY('Volunteer Survey'!A840)"),"")</f>
        <v/>
      </c>
      <c r="B446" s="48" t="s">
        <v>322</v>
      </c>
      <c r="C446" s="53"/>
      <c r="D446" s="55"/>
      <c r="E446" s="55"/>
      <c r="F446" s="55" t="b">
        <v>0</v>
      </c>
      <c r="G446" s="55"/>
      <c r="H446" s="53"/>
      <c r="I446" s="53"/>
      <c r="J446" s="55"/>
      <c r="K446" s="55"/>
      <c r="L446" s="55" t="str">
        <f>IFERROR(__xludf.DUMMYFUNCTION("QUERY('Volunteer Survey'!B840)"),"")</f>
        <v/>
      </c>
      <c r="M446" s="55" t="str">
        <f>IFERROR(__xludf.DUMMYFUNCTION("QUERY('Volunteer Survey'!E840)"),"")</f>
        <v/>
      </c>
      <c r="N446" s="55" t="str">
        <f>'Volunteer Survey'!F856</f>
        <v/>
      </c>
      <c r="O446" s="48" t="str">
        <f>'Volunteer Survey'!H857</f>
        <v/>
      </c>
      <c r="P446" s="55" t="str">
        <f>IFERROR(__xludf.DUMMYFUNCTION("QUERY('Volunteer Survey'!I840)"),"")</f>
        <v/>
      </c>
      <c r="Q446" s="60" t="str">
        <f>IFERROR(__xludf.DUMMYFUNCTION("QUERY('Volunteer Survey'!J840)"),"")</f>
        <v/>
      </c>
      <c r="R446" s="55" t="str">
        <f>IFERROR(__xludf.DUMMYFUNCTION("QUERY('Volunteer Survey'!K840)"),"")</f>
        <v/>
      </c>
      <c r="S446" s="55" t="str">
        <f>IFERROR(__xludf.DUMMYFUNCTION("QUERY('Volunteer Survey'!L840)"),"")</f>
        <v/>
      </c>
      <c r="T446" s="55" t="str">
        <f>'Volunteer Survey'!M856</f>
        <v/>
      </c>
      <c r="U446" s="64" t="str">
        <f>IFERROR(__xludf.DUMMYFUNCTION("QUERY('Volunteer Survey'!N840)"),"")</f>
        <v/>
      </c>
      <c r="V446" s="55" t="str">
        <f>'Volunteer Survey'!O856</f>
        <v/>
      </c>
      <c r="W446" s="66" t="str">
        <f>IFERROR(__xludf.DUMMYFUNCTION("QUERY('Volunteer Survey'!P840)"),"")</f>
        <v/>
      </c>
      <c r="X446" s="64" t="str">
        <f>IFERROR(__xludf.DUMMYFUNCTION("QUERY('Volunteer Survey'!R840)"),"")</f>
        <v/>
      </c>
      <c r="Y446" s="53"/>
      <c r="Z446" s="183" t="str">
        <f>IFERROR(__xludf.DUMMYFUNCTION("QUERY('Volunteer Survey'!A445)"),"")</f>
        <v/>
      </c>
      <c r="AA446" s="183" t="str">
        <f>IFERROR(__xludf.DUMMYFUNCTION("QUERY('Volunteer Survey'!B445)"),"")</f>
        <v/>
      </c>
      <c r="AB446" s="183" t="str">
        <f>IFERROR(__xludf.DUMMYFUNCTION("QUERY('Volunteer Survey'!C445)"),"")</f>
        <v/>
      </c>
      <c r="AC446" s="183" t="str">
        <f>IFERROR(__xludf.DUMMYFUNCTION("QUERY('Volunteer Survey'!D445)"),"")</f>
        <v/>
      </c>
      <c r="AD446" s="183" t="str">
        <f>IFERROR(__xludf.DUMMYFUNCTION("QUERY('Volunteer Survey'!E445)"),"")</f>
        <v/>
      </c>
      <c r="AE446" s="183" t="str">
        <f>IFERROR(__xludf.DUMMYFUNCTION("QUERY('Volunteer Survey'!F445)"),"")</f>
        <v/>
      </c>
      <c r="AF446" s="183" t="str">
        <f>IFERROR(__xludf.DUMMYFUNCTION("QUERY('Volunteer Survey'!G445)"),"")</f>
        <v/>
      </c>
      <c r="AG446" s="183" t="str">
        <f>IFERROR(__xludf.DUMMYFUNCTION("QUERY('Volunteer Survey'!H445)"),"")</f>
        <v/>
      </c>
      <c r="AH446" s="183" t="str">
        <f>IFERROR(__xludf.DUMMYFUNCTION("QUERY('Volunteer Survey'!I445)"),"")</f>
        <v/>
      </c>
      <c r="AI446" s="183" t="str">
        <f>IFERROR(__xludf.DUMMYFUNCTION("QUERY('Volunteer Survey'!J445)"),"")</f>
        <v/>
      </c>
      <c r="AJ446" s="183" t="str">
        <f>IFERROR(__xludf.DUMMYFUNCTION("QUERY('Volunteer Survey'!K445)"),"")</f>
        <v/>
      </c>
      <c r="AK446" s="183" t="str">
        <f>IFERROR(__xludf.DUMMYFUNCTION("QUERY('Volunteer Survey'!L445)"),"")</f>
        <v/>
      </c>
      <c r="AL446" s="183" t="str">
        <f>IFERROR(__xludf.DUMMYFUNCTION("QUERY('Volunteer Survey'!M445)"),"")</f>
        <v/>
      </c>
      <c r="AM446" s="183" t="str">
        <f>IFERROR(__xludf.DUMMYFUNCTION("QUERY('Volunteer Survey'!N445)"),"")</f>
        <v/>
      </c>
      <c r="AN446" s="183" t="str">
        <f>IFERROR(__xludf.DUMMYFUNCTION("QUERY('Volunteer Survey'!O445)"),"")</f>
        <v/>
      </c>
      <c r="AO446" s="183" t="str">
        <f>IFERROR(__xludf.DUMMYFUNCTION("QUERY('Volunteer Survey'!P445)"),"")</f>
        <v/>
      </c>
    </row>
    <row r="447">
      <c r="A447" s="55" t="str">
        <f>IFERROR(__xludf.DUMMYFUNCTION("QUERY('Volunteer Survey'!A841)"),"")</f>
        <v/>
      </c>
      <c r="B447" s="48" t="s">
        <v>322</v>
      </c>
      <c r="C447" s="53"/>
      <c r="D447" s="55"/>
      <c r="E447" s="55"/>
      <c r="F447" s="55" t="b">
        <v>0</v>
      </c>
      <c r="G447" s="55"/>
      <c r="H447" s="53"/>
      <c r="I447" s="53"/>
      <c r="J447" s="55"/>
      <c r="K447" s="55"/>
      <c r="L447" s="55" t="str">
        <f>IFERROR(__xludf.DUMMYFUNCTION("QUERY('Volunteer Survey'!B841)"),"")</f>
        <v/>
      </c>
      <c r="M447" s="55" t="str">
        <f>IFERROR(__xludf.DUMMYFUNCTION("QUERY('Volunteer Survey'!E841)"),"")</f>
        <v/>
      </c>
      <c r="N447" s="55" t="str">
        <f>'Volunteer Survey'!F857</f>
        <v/>
      </c>
      <c r="O447" s="48" t="str">
        <f>'Volunteer Survey'!H858</f>
        <v/>
      </c>
      <c r="P447" s="55" t="str">
        <f>IFERROR(__xludf.DUMMYFUNCTION("QUERY('Volunteer Survey'!I841)"),"")</f>
        <v/>
      </c>
      <c r="Q447" s="60" t="str">
        <f>IFERROR(__xludf.DUMMYFUNCTION("QUERY('Volunteer Survey'!J841)"),"")</f>
        <v/>
      </c>
      <c r="R447" s="55" t="str">
        <f>IFERROR(__xludf.DUMMYFUNCTION("QUERY('Volunteer Survey'!K841)"),"")</f>
        <v/>
      </c>
      <c r="S447" s="55" t="str">
        <f>IFERROR(__xludf.DUMMYFUNCTION("QUERY('Volunteer Survey'!L841)"),"")</f>
        <v/>
      </c>
      <c r="T447" s="55" t="str">
        <f>'Volunteer Survey'!M857</f>
        <v/>
      </c>
      <c r="U447" s="64" t="str">
        <f>IFERROR(__xludf.DUMMYFUNCTION("QUERY('Volunteer Survey'!N841)"),"")</f>
        <v/>
      </c>
      <c r="V447" s="55" t="str">
        <f>'Volunteer Survey'!O857</f>
        <v/>
      </c>
      <c r="W447" s="66" t="str">
        <f>IFERROR(__xludf.DUMMYFUNCTION("QUERY('Volunteer Survey'!P841)"),"")</f>
        <v/>
      </c>
      <c r="X447" s="64" t="str">
        <f>IFERROR(__xludf.DUMMYFUNCTION("QUERY('Volunteer Survey'!R841)"),"")</f>
        <v/>
      </c>
      <c r="Y447" s="53"/>
      <c r="Z447" s="183" t="str">
        <f>IFERROR(__xludf.DUMMYFUNCTION("QUERY('Volunteer Survey'!A446)"),"")</f>
        <v/>
      </c>
      <c r="AA447" s="183" t="str">
        <f>IFERROR(__xludf.DUMMYFUNCTION("QUERY('Volunteer Survey'!B446)"),"")</f>
        <v/>
      </c>
      <c r="AB447" s="183" t="str">
        <f>IFERROR(__xludf.DUMMYFUNCTION("QUERY('Volunteer Survey'!C446)"),"")</f>
        <v/>
      </c>
      <c r="AC447" s="183" t="str">
        <f>IFERROR(__xludf.DUMMYFUNCTION("QUERY('Volunteer Survey'!D446)"),"")</f>
        <v/>
      </c>
      <c r="AD447" s="183" t="str">
        <f>IFERROR(__xludf.DUMMYFUNCTION("QUERY('Volunteer Survey'!E446)"),"")</f>
        <v/>
      </c>
      <c r="AE447" s="183" t="str">
        <f>IFERROR(__xludf.DUMMYFUNCTION("QUERY('Volunteer Survey'!F446)"),"")</f>
        <v/>
      </c>
      <c r="AF447" s="183" t="str">
        <f>IFERROR(__xludf.DUMMYFUNCTION("QUERY('Volunteer Survey'!G446)"),"")</f>
        <v/>
      </c>
      <c r="AG447" s="183" t="str">
        <f>IFERROR(__xludf.DUMMYFUNCTION("QUERY('Volunteer Survey'!H446)"),"")</f>
        <v/>
      </c>
      <c r="AH447" s="183" t="str">
        <f>IFERROR(__xludf.DUMMYFUNCTION("QUERY('Volunteer Survey'!I446)"),"")</f>
        <v/>
      </c>
      <c r="AI447" s="183" t="str">
        <f>IFERROR(__xludf.DUMMYFUNCTION("QUERY('Volunteer Survey'!J446)"),"")</f>
        <v/>
      </c>
      <c r="AJ447" s="183" t="str">
        <f>IFERROR(__xludf.DUMMYFUNCTION("QUERY('Volunteer Survey'!K446)"),"")</f>
        <v/>
      </c>
      <c r="AK447" s="183" t="str">
        <f>IFERROR(__xludf.DUMMYFUNCTION("QUERY('Volunteer Survey'!L446)"),"")</f>
        <v/>
      </c>
      <c r="AL447" s="183" t="str">
        <f>IFERROR(__xludf.DUMMYFUNCTION("QUERY('Volunteer Survey'!M446)"),"")</f>
        <v/>
      </c>
      <c r="AM447" s="183" t="str">
        <f>IFERROR(__xludf.DUMMYFUNCTION("QUERY('Volunteer Survey'!N446)"),"")</f>
        <v/>
      </c>
      <c r="AN447" s="183" t="str">
        <f>IFERROR(__xludf.DUMMYFUNCTION("QUERY('Volunteer Survey'!O446)"),"")</f>
        <v/>
      </c>
      <c r="AO447" s="183" t="str">
        <f>IFERROR(__xludf.DUMMYFUNCTION("QUERY('Volunteer Survey'!P446)"),"")</f>
        <v/>
      </c>
    </row>
    <row r="448">
      <c r="A448" s="55" t="str">
        <f>IFERROR(__xludf.DUMMYFUNCTION("QUERY('Volunteer Survey'!A842)"),"")</f>
        <v/>
      </c>
      <c r="B448" s="48" t="s">
        <v>322</v>
      </c>
      <c r="C448" s="53"/>
      <c r="D448" s="55"/>
      <c r="E448" s="55"/>
      <c r="F448" s="55" t="b">
        <v>0</v>
      </c>
      <c r="G448" s="55"/>
      <c r="H448" s="53"/>
      <c r="I448" s="53"/>
      <c r="J448" s="55"/>
      <c r="K448" s="55"/>
      <c r="L448" s="55" t="str">
        <f>IFERROR(__xludf.DUMMYFUNCTION("QUERY('Volunteer Survey'!B842)"),"")</f>
        <v/>
      </c>
      <c r="M448" s="55" t="str">
        <f>IFERROR(__xludf.DUMMYFUNCTION("QUERY('Volunteer Survey'!E842)"),"")</f>
        <v/>
      </c>
      <c r="N448" s="55" t="str">
        <f>'Volunteer Survey'!F858</f>
        <v/>
      </c>
      <c r="O448" s="48" t="str">
        <f>'Volunteer Survey'!H859</f>
        <v/>
      </c>
      <c r="P448" s="55" t="str">
        <f>IFERROR(__xludf.DUMMYFUNCTION("QUERY('Volunteer Survey'!I842)"),"")</f>
        <v/>
      </c>
      <c r="Q448" s="60" t="str">
        <f>IFERROR(__xludf.DUMMYFUNCTION("QUERY('Volunteer Survey'!J842)"),"")</f>
        <v/>
      </c>
      <c r="R448" s="55" t="str">
        <f>IFERROR(__xludf.DUMMYFUNCTION("QUERY('Volunteer Survey'!K842)"),"")</f>
        <v/>
      </c>
      <c r="S448" s="55" t="str">
        <f>IFERROR(__xludf.DUMMYFUNCTION("QUERY('Volunteer Survey'!L842)"),"")</f>
        <v/>
      </c>
      <c r="T448" s="55" t="str">
        <f>'Volunteer Survey'!M858</f>
        <v/>
      </c>
      <c r="U448" s="64" t="str">
        <f>IFERROR(__xludf.DUMMYFUNCTION("QUERY('Volunteer Survey'!N842)"),"")</f>
        <v/>
      </c>
      <c r="V448" s="55" t="str">
        <f>'Volunteer Survey'!O858</f>
        <v/>
      </c>
      <c r="W448" s="66" t="str">
        <f>IFERROR(__xludf.DUMMYFUNCTION("QUERY('Volunteer Survey'!P842)"),"")</f>
        <v/>
      </c>
      <c r="X448" s="64" t="str">
        <f>IFERROR(__xludf.DUMMYFUNCTION("QUERY('Volunteer Survey'!R842)"),"")</f>
        <v/>
      </c>
      <c r="Y448" s="53"/>
      <c r="Z448" s="183" t="str">
        <f>IFERROR(__xludf.DUMMYFUNCTION("QUERY('Volunteer Survey'!A447)"),"")</f>
        <v/>
      </c>
      <c r="AA448" s="183" t="str">
        <f>IFERROR(__xludf.DUMMYFUNCTION("QUERY('Volunteer Survey'!B447)"),"")</f>
        <v/>
      </c>
      <c r="AB448" s="183" t="str">
        <f>IFERROR(__xludf.DUMMYFUNCTION("QUERY('Volunteer Survey'!C447)"),"")</f>
        <v/>
      </c>
      <c r="AC448" s="183" t="str">
        <f>IFERROR(__xludf.DUMMYFUNCTION("QUERY('Volunteer Survey'!D447)"),"")</f>
        <v/>
      </c>
      <c r="AD448" s="183" t="str">
        <f>IFERROR(__xludf.DUMMYFUNCTION("QUERY('Volunteer Survey'!E447)"),"")</f>
        <v/>
      </c>
      <c r="AE448" s="183" t="str">
        <f>IFERROR(__xludf.DUMMYFUNCTION("QUERY('Volunteer Survey'!F447)"),"")</f>
        <v/>
      </c>
      <c r="AF448" s="183" t="str">
        <f>IFERROR(__xludf.DUMMYFUNCTION("QUERY('Volunteer Survey'!G447)"),"")</f>
        <v/>
      </c>
      <c r="AG448" s="183" t="str">
        <f>IFERROR(__xludf.DUMMYFUNCTION("QUERY('Volunteer Survey'!H447)"),"")</f>
        <v/>
      </c>
      <c r="AH448" s="183" t="str">
        <f>IFERROR(__xludf.DUMMYFUNCTION("QUERY('Volunteer Survey'!I447)"),"")</f>
        <v/>
      </c>
      <c r="AI448" s="183" t="str">
        <f>IFERROR(__xludf.DUMMYFUNCTION("QUERY('Volunteer Survey'!J447)"),"")</f>
        <v/>
      </c>
      <c r="AJ448" s="183" t="str">
        <f>IFERROR(__xludf.DUMMYFUNCTION("QUERY('Volunteer Survey'!K447)"),"")</f>
        <v/>
      </c>
      <c r="AK448" s="183" t="str">
        <f>IFERROR(__xludf.DUMMYFUNCTION("QUERY('Volunteer Survey'!L447)"),"")</f>
        <v/>
      </c>
      <c r="AL448" s="183" t="str">
        <f>IFERROR(__xludf.DUMMYFUNCTION("QUERY('Volunteer Survey'!M447)"),"")</f>
        <v/>
      </c>
      <c r="AM448" s="183" t="str">
        <f>IFERROR(__xludf.DUMMYFUNCTION("QUERY('Volunteer Survey'!N447)"),"")</f>
        <v/>
      </c>
      <c r="AN448" s="183" t="str">
        <f>IFERROR(__xludf.DUMMYFUNCTION("QUERY('Volunteer Survey'!O447)"),"")</f>
        <v/>
      </c>
      <c r="AO448" s="183" t="str">
        <f>IFERROR(__xludf.DUMMYFUNCTION("QUERY('Volunteer Survey'!P447)"),"")</f>
        <v/>
      </c>
    </row>
    <row r="449">
      <c r="A449" s="55" t="str">
        <f>IFERROR(__xludf.DUMMYFUNCTION("QUERY('Volunteer Survey'!A843)"),"")</f>
        <v/>
      </c>
      <c r="B449" s="48" t="s">
        <v>322</v>
      </c>
      <c r="C449" s="53"/>
      <c r="D449" s="55"/>
      <c r="E449" s="55"/>
      <c r="F449" s="55" t="b">
        <v>0</v>
      </c>
      <c r="G449" s="55"/>
      <c r="H449" s="53"/>
      <c r="I449" s="53"/>
      <c r="J449" s="55"/>
      <c r="K449" s="55"/>
      <c r="L449" s="55" t="str">
        <f>IFERROR(__xludf.DUMMYFUNCTION("QUERY('Volunteer Survey'!B843)"),"")</f>
        <v/>
      </c>
      <c r="M449" s="55" t="str">
        <f>IFERROR(__xludf.DUMMYFUNCTION("QUERY('Volunteer Survey'!E843)"),"")</f>
        <v/>
      </c>
      <c r="N449" s="55" t="str">
        <f>'Volunteer Survey'!F859</f>
        <v/>
      </c>
      <c r="O449" s="48" t="str">
        <f>'Volunteer Survey'!H860</f>
        <v/>
      </c>
      <c r="P449" s="55" t="str">
        <f>IFERROR(__xludf.DUMMYFUNCTION("QUERY('Volunteer Survey'!I843)"),"")</f>
        <v/>
      </c>
      <c r="Q449" s="60" t="str">
        <f>IFERROR(__xludf.DUMMYFUNCTION("QUERY('Volunteer Survey'!J843)"),"")</f>
        <v/>
      </c>
      <c r="R449" s="55" t="str">
        <f>IFERROR(__xludf.DUMMYFUNCTION("QUERY('Volunteer Survey'!K843)"),"")</f>
        <v/>
      </c>
      <c r="S449" s="55" t="str">
        <f>IFERROR(__xludf.DUMMYFUNCTION("QUERY('Volunteer Survey'!L843)"),"")</f>
        <v/>
      </c>
      <c r="T449" s="55" t="str">
        <f>'Volunteer Survey'!M859</f>
        <v/>
      </c>
      <c r="U449" s="64" t="str">
        <f>IFERROR(__xludf.DUMMYFUNCTION("QUERY('Volunteer Survey'!N843)"),"")</f>
        <v/>
      </c>
      <c r="V449" s="55" t="str">
        <f>'Volunteer Survey'!O859</f>
        <v/>
      </c>
      <c r="W449" s="66" t="str">
        <f>IFERROR(__xludf.DUMMYFUNCTION("QUERY('Volunteer Survey'!P843)"),"")</f>
        <v/>
      </c>
      <c r="X449" s="64" t="str">
        <f>IFERROR(__xludf.DUMMYFUNCTION("QUERY('Volunteer Survey'!R843)"),"")</f>
        <v/>
      </c>
      <c r="Y449" s="53"/>
      <c r="Z449" s="183" t="str">
        <f>IFERROR(__xludf.DUMMYFUNCTION("QUERY('Volunteer Survey'!A448)"),"")</f>
        <v/>
      </c>
      <c r="AA449" s="183" t="str">
        <f>IFERROR(__xludf.DUMMYFUNCTION("QUERY('Volunteer Survey'!B448)"),"")</f>
        <v/>
      </c>
      <c r="AB449" s="183" t="str">
        <f>IFERROR(__xludf.DUMMYFUNCTION("QUERY('Volunteer Survey'!C448)"),"")</f>
        <v/>
      </c>
      <c r="AC449" s="183" t="str">
        <f>IFERROR(__xludf.DUMMYFUNCTION("QUERY('Volunteer Survey'!D448)"),"")</f>
        <v/>
      </c>
      <c r="AD449" s="183" t="str">
        <f>IFERROR(__xludf.DUMMYFUNCTION("QUERY('Volunteer Survey'!E448)"),"")</f>
        <v/>
      </c>
      <c r="AE449" s="183" t="str">
        <f>IFERROR(__xludf.DUMMYFUNCTION("QUERY('Volunteer Survey'!F448)"),"")</f>
        <v/>
      </c>
      <c r="AF449" s="183" t="str">
        <f>IFERROR(__xludf.DUMMYFUNCTION("QUERY('Volunteer Survey'!G448)"),"")</f>
        <v/>
      </c>
      <c r="AG449" s="183" t="str">
        <f>IFERROR(__xludf.DUMMYFUNCTION("QUERY('Volunteer Survey'!H448)"),"")</f>
        <v/>
      </c>
      <c r="AH449" s="183" t="str">
        <f>IFERROR(__xludf.DUMMYFUNCTION("QUERY('Volunteer Survey'!I448)"),"")</f>
        <v/>
      </c>
      <c r="AI449" s="183" t="str">
        <f>IFERROR(__xludf.DUMMYFUNCTION("QUERY('Volunteer Survey'!J448)"),"")</f>
        <v/>
      </c>
      <c r="AJ449" s="183" t="str">
        <f>IFERROR(__xludf.DUMMYFUNCTION("QUERY('Volunteer Survey'!K448)"),"")</f>
        <v/>
      </c>
      <c r="AK449" s="183" t="str">
        <f>IFERROR(__xludf.DUMMYFUNCTION("QUERY('Volunteer Survey'!L448)"),"")</f>
        <v/>
      </c>
      <c r="AL449" s="183" t="str">
        <f>IFERROR(__xludf.DUMMYFUNCTION("QUERY('Volunteer Survey'!M448)"),"")</f>
        <v/>
      </c>
      <c r="AM449" s="183" t="str">
        <f>IFERROR(__xludf.DUMMYFUNCTION("QUERY('Volunteer Survey'!N448)"),"")</f>
        <v/>
      </c>
      <c r="AN449" s="183" t="str">
        <f>IFERROR(__xludf.DUMMYFUNCTION("QUERY('Volunteer Survey'!O448)"),"")</f>
        <v/>
      </c>
      <c r="AO449" s="183" t="str">
        <f>IFERROR(__xludf.DUMMYFUNCTION("QUERY('Volunteer Survey'!P448)"),"")</f>
        <v/>
      </c>
    </row>
    <row r="450">
      <c r="A450" s="55" t="str">
        <f>IFERROR(__xludf.DUMMYFUNCTION("QUERY('Volunteer Survey'!A844)"),"")</f>
        <v/>
      </c>
      <c r="B450" s="48" t="s">
        <v>322</v>
      </c>
      <c r="C450" s="53"/>
      <c r="D450" s="55"/>
      <c r="E450" s="55"/>
      <c r="F450" s="55" t="b">
        <v>0</v>
      </c>
      <c r="G450" s="55"/>
      <c r="H450" s="53"/>
      <c r="I450" s="53"/>
      <c r="J450" s="55"/>
      <c r="K450" s="55"/>
      <c r="L450" s="55" t="str">
        <f>IFERROR(__xludf.DUMMYFUNCTION("QUERY('Volunteer Survey'!B844)"),"")</f>
        <v/>
      </c>
      <c r="M450" s="55" t="str">
        <f>IFERROR(__xludf.DUMMYFUNCTION("QUERY('Volunteer Survey'!E844)"),"")</f>
        <v/>
      </c>
      <c r="N450" s="55" t="str">
        <f>'Volunteer Survey'!F860</f>
        <v/>
      </c>
      <c r="O450" s="48" t="str">
        <f>'Volunteer Survey'!H861</f>
        <v/>
      </c>
      <c r="P450" s="55" t="str">
        <f>IFERROR(__xludf.DUMMYFUNCTION("QUERY('Volunteer Survey'!I844)"),"")</f>
        <v/>
      </c>
      <c r="Q450" s="60" t="str">
        <f>IFERROR(__xludf.DUMMYFUNCTION("QUERY('Volunteer Survey'!J844)"),"")</f>
        <v/>
      </c>
      <c r="R450" s="55" t="str">
        <f>IFERROR(__xludf.DUMMYFUNCTION("QUERY('Volunteer Survey'!K844)"),"")</f>
        <v/>
      </c>
      <c r="S450" s="55" t="str">
        <f>IFERROR(__xludf.DUMMYFUNCTION("QUERY('Volunteer Survey'!L844)"),"")</f>
        <v/>
      </c>
      <c r="T450" s="55" t="str">
        <f>'Volunteer Survey'!M860</f>
        <v/>
      </c>
      <c r="U450" s="64" t="str">
        <f>IFERROR(__xludf.DUMMYFUNCTION("QUERY('Volunteer Survey'!N844)"),"")</f>
        <v/>
      </c>
      <c r="V450" s="55" t="str">
        <f>'Volunteer Survey'!O860</f>
        <v/>
      </c>
      <c r="W450" s="66" t="str">
        <f>IFERROR(__xludf.DUMMYFUNCTION("QUERY('Volunteer Survey'!P844)"),"")</f>
        <v/>
      </c>
      <c r="X450" s="64" t="str">
        <f>IFERROR(__xludf.DUMMYFUNCTION("QUERY('Volunteer Survey'!R844)"),"")</f>
        <v/>
      </c>
      <c r="Y450" s="53"/>
      <c r="Z450" s="183" t="str">
        <f>IFERROR(__xludf.DUMMYFUNCTION("QUERY('Volunteer Survey'!A449)"),"")</f>
        <v/>
      </c>
      <c r="AA450" s="183" t="str">
        <f>IFERROR(__xludf.DUMMYFUNCTION("QUERY('Volunteer Survey'!B449)"),"")</f>
        <v/>
      </c>
      <c r="AB450" s="183" t="str">
        <f>IFERROR(__xludf.DUMMYFUNCTION("QUERY('Volunteer Survey'!C449)"),"")</f>
        <v/>
      </c>
      <c r="AC450" s="183" t="str">
        <f>IFERROR(__xludf.DUMMYFUNCTION("QUERY('Volunteer Survey'!D449)"),"")</f>
        <v/>
      </c>
      <c r="AD450" s="183" t="str">
        <f>IFERROR(__xludf.DUMMYFUNCTION("QUERY('Volunteer Survey'!E449)"),"")</f>
        <v/>
      </c>
      <c r="AE450" s="183" t="str">
        <f>IFERROR(__xludf.DUMMYFUNCTION("QUERY('Volunteer Survey'!F449)"),"")</f>
        <v/>
      </c>
      <c r="AF450" s="183" t="str">
        <f>IFERROR(__xludf.DUMMYFUNCTION("QUERY('Volunteer Survey'!G449)"),"")</f>
        <v/>
      </c>
      <c r="AG450" s="183" t="str">
        <f>IFERROR(__xludf.DUMMYFUNCTION("QUERY('Volunteer Survey'!H449)"),"")</f>
        <v/>
      </c>
      <c r="AH450" s="183" t="str">
        <f>IFERROR(__xludf.DUMMYFUNCTION("QUERY('Volunteer Survey'!I449)"),"")</f>
        <v/>
      </c>
      <c r="AI450" s="183" t="str">
        <f>IFERROR(__xludf.DUMMYFUNCTION("QUERY('Volunteer Survey'!J449)"),"")</f>
        <v/>
      </c>
      <c r="AJ450" s="183" t="str">
        <f>IFERROR(__xludf.DUMMYFUNCTION("QUERY('Volunteer Survey'!K449)"),"")</f>
        <v/>
      </c>
      <c r="AK450" s="183" t="str">
        <f>IFERROR(__xludf.DUMMYFUNCTION("QUERY('Volunteer Survey'!L449)"),"")</f>
        <v/>
      </c>
      <c r="AL450" s="183" t="str">
        <f>IFERROR(__xludf.DUMMYFUNCTION("QUERY('Volunteer Survey'!M449)"),"")</f>
        <v/>
      </c>
      <c r="AM450" s="183" t="str">
        <f>IFERROR(__xludf.DUMMYFUNCTION("QUERY('Volunteer Survey'!N449)"),"")</f>
        <v/>
      </c>
      <c r="AN450" s="183" t="str">
        <f>IFERROR(__xludf.DUMMYFUNCTION("QUERY('Volunteer Survey'!O449)"),"")</f>
        <v/>
      </c>
      <c r="AO450" s="183" t="str">
        <f>IFERROR(__xludf.DUMMYFUNCTION("QUERY('Volunteer Survey'!P449)"),"")</f>
        <v/>
      </c>
    </row>
    <row r="451">
      <c r="A451" s="55" t="str">
        <f>IFERROR(__xludf.DUMMYFUNCTION("QUERY('Volunteer Survey'!A845)"),"")</f>
        <v/>
      </c>
      <c r="B451" s="48" t="s">
        <v>322</v>
      </c>
      <c r="C451" s="53"/>
      <c r="D451" s="55"/>
      <c r="E451" s="55"/>
      <c r="F451" s="55" t="b">
        <v>0</v>
      </c>
      <c r="G451" s="55"/>
      <c r="H451" s="53"/>
      <c r="I451" s="53"/>
      <c r="J451" s="55"/>
      <c r="K451" s="55"/>
      <c r="L451" s="55" t="str">
        <f>IFERROR(__xludf.DUMMYFUNCTION("QUERY('Volunteer Survey'!B845)"),"")</f>
        <v/>
      </c>
      <c r="M451" s="55" t="str">
        <f>IFERROR(__xludf.DUMMYFUNCTION("QUERY('Volunteer Survey'!E845)"),"")</f>
        <v/>
      </c>
      <c r="N451" s="55" t="str">
        <f>'Volunteer Survey'!F861</f>
        <v/>
      </c>
      <c r="O451" s="48" t="str">
        <f>'Volunteer Survey'!H862</f>
        <v/>
      </c>
      <c r="P451" s="55" t="str">
        <f>IFERROR(__xludf.DUMMYFUNCTION("QUERY('Volunteer Survey'!I845)"),"")</f>
        <v/>
      </c>
      <c r="Q451" s="60" t="str">
        <f>IFERROR(__xludf.DUMMYFUNCTION("QUERY('Volunteer Survey'!J845)"),"")</f>
        <v/>
      </c>
      <c r="R451" s="55" t="str">
        <f>IFERROR(__xludf.DUMMYFUNCTION("QUERY('Volunteer Survey'!K845)"),"")</f>
        <v/>
      </c>
      <c r="S451" s="55" t="str">
        <f>IFERROR(__xludf.DUMMYFUNCTION("QUERY('Volunteer Survey'!L845)"),"")</f>
        <v/>
      </c>
      <c r="T451" s="55" t="str">
        <f>'Volunteer Survey'!M861</f>
        <v/>
      </c>
      <c r="U451" s="64" t="str">
        <f>IFERROR(__xludf.DUMMYFUNCTION("QUERY('Volunteer Survey'!N845)"),"")</f>
        <v/>
      </c>
      <c r="V451" s="55" t="str">
        <f>'Volunteer Survey'!O861</f>
        <v/>
      </c>
      <c r="W451" s="66" t="str">
        <f>IFERROR(__xludf.DUMMYFUNCTION("QUERY('Volunteer Survey'!P845)"),"")</f>
        <v/>
      </c>
      <c r="X451" s="64" t="str">
        <f>IFERROR(__xludf.DUMMYFUNCTION("QUERY('Volunteer Survey'!R845)"),"")</f>
        <v/>
      </c>
      <c r="Y451" s="53"/>
      <c r="Z451" s="183" t="str">
        <f>IFERROR(__xludf.DUMMYFUNCTION("QUERY('Volunteer Survey'!A450)"),"")</f>
        <v/>
      </c>
      <c r="AA451" s="183" t="str">
        <f>IFERROR(__xludf.DUMMYFUNCTION("QUERY('Volunteer Survey'!B450)"),"")</f>
        <v/>
      </c>
      <c r="AB451" s="183" t="str">
        <f>IFERROR(__xludf.DUMMYFUNCTION("QUERY('Volunteer Survey'!C450)"),"")</f>
        <v/>
      </c>
      <c r="AC451" s="183" t="str">
        <f>IFERROR(__xludf.DUMMYFUNCTION("QUERY('Volunteer Survey'!D450)"),"")</f>
        <v/>
      </c>
      <c r="AD451" s="183" t="str">
        <f>IFERROR(__xludf.DUMMYFUNCTION("QUERY('Volunteer Survey'!E450)"),"")</f>
        <v/>
      </c>
      <c r="AE451" s="183" t="str">
        <f>IFERROR(__xludf.DUMMYFUNCTION("QUERY('Volunteer Survey'!F450)"),"")</f>
        <v/>
      </c>
      <c r="AF451" s="183" t="str">
        <f>IFERROR(__xludf.DUMMYFUNCTION("QUERY('Volunteer Survey'!G450)"),"")</f>
        <v/>
      </c>
      <c r="AG451" s="183" t="str">
        <f>IFERROR(__xludf.DUMMYFUNCTION("QUERY('Volunteer Survey'!H450)"),"")</f>
        <v/>
      </c>
      <c r="AH451" s="183" t="str">
        <f>IFERROR(__xludf.DUMMYFUNCTION("QUERY('Volunteer Survey'!I450)"),"")</f>
        <v/>
      </c>
      <c r="AI451" s="183" t="str">
        <f>IFERROR(__xludf.DUMMYFUNCTION("QUERY('Volunteer Survey'!J450)"),"")</f>
        <v/>
      </c>
      <c r="AJ451" s="183" t="str">
        <f>IFERROR(__xludf.DUMMYFUNCTION("QUERY('Volunteer Survey'!K450)"),"")</f>
        <v/>
      </c>
      <c r="AK451" s="183" t="str">
        <f>IFERROR(__xludf.DUMMYFUNCTION("QUERY('Volunteer Survey'!L450)"),"")</f>
        <v/>
      </c>
      <c r="AL451" s="183" t="str">
        <f>IFERROR(__xludf.DUMMYFUNCTION("QUERY('Volunteer Survey'!M450)"),"")</f>
        <v/>
      </c>
      <c r="AM451" s="183" t="str">
        <f>IFERROR(__xludf.DUMMYFUNCTION("QUERY('Volunteer Survey'!N450)"),"")</f>
        <v/>
      </c>
      <c r="AN451" s="183" t="str">
        <f>IFERROR(__xludf.DUMMYFUNCTION("QUERY('Volunteer Survey'!O450)"),"")</f>
        <v/>
      </c>
      <c r="AO451" s="183" t="str">
        <f>IFERROR(__xludf.DUMMYFUNCTION("QUERY('Volunteer Survey'!P450)"),"")</f>
        <v/>
      </c>
    </row>
    <row r="452">
      <c r="A452" s="55" t="str">
        <f>IFERROR(__xludf.DUMMYFUNCTION("QUERY('Volunteer Survey'!A846)"),"")</f>
        <v/>
      </c>
      <c r="B452" s="48" t="s">
        <v>322</v>
      </c>
      <c r="C452" s="53"/>
      <c r="D452" s="55"/>
      <c r="E452" s="55"/>
      <c r="F452" s="55" t="b">
        <v>0</v>
      </c>
      <c r="G452" s="55"/>
      <c r="H452" s="53"/>
      <c r="I452" s="53"/>
      <c r="J452" s="55"/>
      <c r="K452" s="55"/>
      <c r="L452" s="55" t="str">
        <f>IFERROR(__xludf.DUMMYFUNCTION("QUERY('Volunteer Survey'!B846)"),"")</f>
        <v/>
      </c>
      <c r="M452" s="55" t="str">
        <f>IFERROR(__xludf.DUMMYFUNCTION("QUERY('Volunteer Survey'!E846)"),"")</f>
        <v/>
      </c>
      <c r="N452" s="55" t="str">
        <f>'Volunteer Survey'!F862</f>
        <v/>
      </c>
      <c r="O452" s="48" t="str">
        <f>'Volunteer Survey'!H863</f>
        <v/>
      </c>
      <c r="P452" s="55" t="str">
        <f>IFERROR(__xludf.DUMMYFUNCTION("QUERY('Volunteer Survey'!I846)"),"")</f>
        <v/>
      </c>
      <c r="Q452" s="60" t="str">
        <f>IFERROR(__xludf.DUMMYFUNCTION("QUERY('Volunteer Survey'!J846)"),"")</f>
        <v/>
      </c>
      <c r="R452" s="55" t="str">
        <f>IFERROR(__xludf.DUMMYFUNCTION("QUERY('Volunteer Survey'!K846)"),"")</f>
        <v/>
      </c>
      <c r="S452" s="55" t="str">
        <f>IFERROR(__xludf.DUMMYFUNCTION("QUERY('Volunteer Survey'!L846)"),"")</f>
        <v/>
      </c>
      <c r="T452" s="55" t="str">
        <f>'Volunteer Survey'!M862</f>
        <v/>
      </c>
      <c r="U452" s="64" t="str">
        <f>IFERROR(__xludf.DUMMYFUNCTION("QUERY('Volunteer Survey'!N846)"),"")</f>
        <v/>
      </c>
      <c r="V452" s="55" t="str">
        <f>'Volunteer Survey'!O862</f>
        <v/>
      </c>
      <c r="W452" s="66" t="str">
        <f>IFERROR(__xludf.DUMMYFUNCTION("QUERY('Volunteer Survey'!P846)"),"")</f>
        <v/>
      </c>
      <c r="X452" s="64" t="str">
        <f>IFERROR(__xludf.DUMMYFUNCTION("QUERY('Volunteer Survey'!R846)"),"")</f>
        <v/>
      </c>
      <c r="Y452" s="53"/>
      <c r="Z452" s="183" t="str">
        <f>IFERROR(__xludf.DUMMYFUNCTION("QUERY('Volunteer Survey'!A451)"),"")</f>
        <v/>
      </c>
      <c r="AA452" s="183" t="str">
        <f>IFERROR(__xludf.DUMMYFUNCTION("QUERY('Volunteer Survey'!B451)"),"")</f>
        <v/>
      </c>
      <c r="AB452" s="183" t="str">
        <f>IFERROR(__xludf.DUMMYFUNCTION("QUERY('Volunteer Survey'!C451)"),"")</f>
        <v/>
      </c>
      <c r="AC452" s="183" t="str">
        <f>IFERROR(__xludf.DUMMYFUNCTION("QUERY('Volunteer Survey'!D451)"),"")</f>
        <v/>
      </c>
      <c r="AD452" s="183" t="str">
        <f>IFERROR(__xludf.DUMMYFUNCTION("QUERY('Volunteer Survey'!E451)"),"")</f>
        <v/>
      </c>
      <c r="AE452" s="183" t="str">
        <f>IFERROR(__xludf.DUMMYFUNCTION("QUERY('Volunteer Survey'!F451)"),"")</f>
        <v/>
      </c>
      <c r="AF452" s="183" t="str">
        <f>IFERROR(__xludf.DUMMYFUNCTION("QUERY('Volunteer Survey'!G451)"),"")</f>
        <v/>
      </c>
      <c r="AG452" s="183" t="str">
        <f>IFERROR(__xludf.DUMMYFUNCTION("QUERY('Volunteer Survey'!H451)"),"")</f>
        <v/>
      </c>
      <c r="AH452" s="183" t="str">
        <f>IFERROR(__xludf.DUMMYFUNCTION("QUERY('Volunteer Survey'!I451)"),"")</f>
        <v/>
      </c>
      <c r="AI452" s="183" t="str">
        <f>IFERROR(__xludf.DUMMYFUNCTION("QUERY('Volunteer Survey'!J451)"),"")</f>
        <v/>
      </c>
      <c r="AJ452" s="183" t="str">
        <f>IFERROR(__xludf.DUMMYFUNCTION("QUERY('Volunteer Survey'!K451)"),"")</f>
        <v/>
      </c>
      <c r="AK452" s="183" t="str">
        <f>IFERROR(__xludf.DUMMYFUNCTION("QUERY('Volunteer Survey'!L451)"),"")</f>
        <v/>
      </c>
      <c r="AL452" s="183" t="str">
        <f>IFERROR(__xludf.DUMMYFUNCTION("QUERY('Volunteer Survey'!M451)"),"")</f>
        <v/>
      </c>
      <c r="AM452" s="183" t="str">
        <f>IFERROR(__xludf.DUMMYFUNCTION("QUERY('Volunteer Survey'!N451)"),"")</f>
        <v/>
      </c>
      <c r="AN452" s="183" t="str">
        <f>IFERROR(__xludf.DUMMYFUNCTION("QUERY('Volunteer Survey'!O451)"),"")</f>
        <v/>
      </c>
      <c r="AO452" s="183" t="str">
        <f>IFERROR(__xludf.DUMMYFUNCTION("QUERY('Volunteer Survey'!P451)"),"")</f>
        <v/>
      </c>
    </row>
    <row r="453">
      <c r="A453" s="55" t="str">
        <f>IFERROR(__xludf.DUMMYFUNCTION("QUERY('Volunteer Survey'!A847)"),"")</f>
        <v/>
      </c>
      <c r="B453" s="48" t="s">
        <v>322</v>
      </c>
      <c r="C453" s="53"/>
      <c r="D453" s="55"/>
      <c r="E453" s="55"/>
      <c r="F453" s="55" t="b">
        <v>0</v>
      </c>
      <c r="G453" s="55"/>
      <c r="H453" s="53"/>
      <c r="I453" s="53"/>
      <c r="J453" s="55"/>
      <c r="K453" s="55"/>
      <c r="L453" s="55" t="str">
        <f>IFERROR(__xludf.DUMMYFUNCTION("QUERY('Volunteer Survey'!B847)"),"")</f>
        <v/>
      </c>
      <c r="M453" s="55" t="str">
        <f>IFERROR(__xludf.DUMMYFUNCTION("QUERY('Volunteer Survey'!E847)"),"")</f>
        <v/>
      </c>
      <c r="N453" s="55" t="str">
        <f>'Volunteer Survey'!F863</f>
        <v/>
      </c>
      <c r="O453" s="48" t="str">
        <f>'Volunteer Survey'!H864</f>
        <v/>
      </c>
      <c r="P453" s="55" t="str">
        <f>IFERROR(__xludf.DUMMYFUNCTION("QUERY('Volunteer Survey'!I847)"),"")</f>
        <v/>
      </c>
      <c r="Q453" s="60" t="str">
        <f>IFERROR(__xludf.DUMMYFUNCTION("QUERY('Volunteer Survey'!J847)"),"")</f>
        <v/>
      </c>
      <c r="R453" s="55"/>
      <c r="S453" s="55" t="str">
        <f>IFERROR(__xludf.DUMMYFUNCTION("QUERY('Volunteer Survey'!L847)"),"")</f>
        <v/>
      </c>
      <c r="T453" s="55" t="str">
        <f>'Volunteer Survey'!M863</f>
        <v/>
      </c>
      <c r="U453" s="64"/>
      <c r="V453" s="55" t="str">
        <f>'Volunteer Survey'!O863</f>
        <v/>
      </c>
      <c r="W453" s="66" t="str">
        <f>IFERROR(__xludf.DUMMYFUNCTION("QUERY('Volunteer Survey'!P847)"),"")</f>
        <v/>
      </c>
      <c r="X453" s="64" t="str">
        <f>IFERROR(__xludf.DUMMYFUNCTION("QUERY('Volunteer Survey'!R847)"),"")</f>
        <v/>
      </c>
      <c r="Y453" s="53"/>
      <c r="Z453" s="183" t="str">
        <f>IFERROR(__xludf.DUMMYFUNCTION("QUERY('Volunteer Survey'!A452)"),"")</f>
        <v/>
      </c>
      <c r="AA453" s="183" t="str">
        <f>IFERROR(__xludf.DUMMYFUNCTION("QUERY('Volunteer Survey'!B452)"),"")</f>
        <v/>
      </c>
      <c r="AB453" s="183" t="str">
        <f>IFERROR(__xludf.DUMMYFUNCTION("QUERY('Volunteer Survey'!C452)"),"")</f>
        <v/>
      </c>
      <c r="AC453" s="183" t="str">
        <f>IFERROR(__xludf.DUMMYFUNCTION("QUERY('Volunteer Survey'!D452)"),"")</f>
        <v/>
      </c>
      <c r="AD453" s="183" t="str">
        <f>IFERROR(__xludf.DUMMYFUNCTION("QUERY('Volunteer Survey'!E452)"),"")</f>
        <v/>
      </c>
      <c r="AE453" s="183" t="str">
        <f>IFERROR(__xludf.DUMMYFUNCTION("QUERY('Volunteer Survey'!F452)"),"")</f>
        <v/>
      </c>
      <c r="AF453" s="183" t="str">
        <f>IFERROR(__xludf.DUMMYFUNCTION("QUERY('Volunteer Survey'!G452)"),"")</f>
        <v/>
      </c>
      <c r="AG453" s="183" t="str">
        <f>IFERROR(__xludf.DUMMYFUNCTION("QUERY('Volunteer Survey'!H452)"),"")</f>
        <v/>
      </c>
      <c r="AH453" s="183" t="str">
        <f>IFERROR(__xludf.DUMMYFUNCTION("QUERY('Volunteer Survey'!I452)"),"")</f>
        <v/>
      </c>
      <c r="AI453" s="183" t="str">
        <f>IFERROR(__xludf.DUMMYFUNCTION("QUERY('Volunteer Survey'!J452)"),"")</f>
        <v/>
      </c>
      <c r="AJ453" s="183" t="str">
        <f>IFERROR(__xludf.DUMMYFUNCTION("QUERY('Volunteer Survey'!K452)"),"")</f>
        <v/>
      </c>
      <c r="AK453" s="183" t="str">
        <f>IFERROR(__xludf.DUMMYFUNCTION("QUERY('Volunteer Survey'!L452)"),"")</f>
        <v/>
      </c>
      <c r="AL453" s="183" t="str">
        <f>IFERROR(__xludf.DUMMYFUNCTION("QUERY('Volunteer Survey'!M452)"),"")</f>
        <v/>
      </c>
      <c r="AM453" s="183" t="str">
        <f>IFERROR(__xludf.DUMMYFUNCTION("QUERY('Volunteer Survey'!N452)"),"")</f>
        <v/>
      </c>
      <c r="AN453" s="183" t="str">
        <f>IFERROR(__xludf.DUMMYFUNCTION("QUERY('Volunteer Survey'!O452)"),"")</f>
        <v/>
      </c>
      <c r="AO453" s="183" t="str">
        <f>IFERROR(__xludf.DUMMYFUNCTION("QUERY('Volunteer Survey'!P452)"),"")</f>
        <v/>
      </c>
    </row>
    <row r="454">
      <c r="A454" s="55" t="str">
        <f>IFERROR(__xludf.DUMMYFUNCTION("QUERY('Volunteer Survey'!A848)"),"")</f>
        <v/>
      </c>
      <c r="B454" s="48" t="s">
        <v>322</v>
      </c>
      <c r="C454" s="53"/>
      <c r="D454" s="55"/>
      <c r="E454" s="55"/>
      <c r="F454" s="55" t="b">
        <v>0</v>
      </c>
      <c r="G454" s="55"/>
      <c r="H454" s="53"/>
      <c r="I454" s="53"/>
      <c r="J454" s="55"/>
      <c r="K454" s="55"/>
      <c r="L454" s="55" t="str">
        <f>IFERROR(__xludf.DUMMYFUNCTION("QUERY('Volunteer Survey'!B848)"),"")</f>
        <v/>
      </c>
      <c r="M454" s="55" t="str">
        <f>IFERROR(__xludf.DUMMYFUNCTION("QUERY('Volunteer Survey'!E848)"),"")</f>
        <v/>
      </c>
      <c r="N454" s="55" t="str">
        <f>'Volunteer Survey'!F864</f>
        <v/>
      </c>
      <c r="O454" s="48" t="str">
        <f>'Volunteer Survey'!H865</f>
        <v/>
      </c>
      <c r="P454" s="55" t="str">
        <f>IFERROR(__xludf.DUMMYFUNCTION("QUERY('Volunteer Survey'!I848)"),"")</f>
        <v/>
      </c>
      <c r="Q454" s="60" t="str">
        <f>IFERROR(__xludf.DUMMYFUNCTION("QUERY('Volunteer Survey'!J848)"),"")</f>
        <v/>
      </c>
      <c r="R454" s="55"/>
      <c r="S454" s="55" t="str">
        <f>IFERROR(__xludf.DUMMYFUNCTION("QUERY('Volunteer Survey'!L848)"),"")</f>
        <v/>
      </c>
      <c r="T454" s="55" t="str">
        <f>'Volunteer Survey'!M864</f>
        <v/>
      </c>
      <c r="U454" s="64"/>
      <c r="V454" s="55" t="str">
        <f>'Volunteer Survey'!O864</f>
        <v/>
      </c>
      <c r="W454" s="66" t="str">
        <f>IFERROR(__xludf.DUMMYFUNCTION("QUERY('Volunteer Survey'!P848)"),"")</f>
        <v/>
      </c>
      <c r="X454" s="64" t="str">
        <f>IFERROR(__xludf.DUMMYFUNCTION("QUERY('Volunteer Survey'!R848)"),"")</f>
        <v/>
      </c>
      <c r="Y454" s="53"/>
      <c r="Z454" s="183" t="str">
        <f>IFERROR(__xludf.DUMMYFUNCTION("QUERY('Volunteer Survey'!A453)"),"")</f>
        <v/>
      </c>
      <c r="AA454" s="183" t="str">
        <f>IFERROR(__xludf.DUMMYFUNCTION("QUERY('Volunteer Survey'!B453)"),"")</f>
        <v/>
      </c>
      <c r="AB454" s="183" t="str">
        <f>IFERROR(__xludf.DUMMYFUNCTION("QUERY('Volunteer Survey'!C453)"),"")</f>
        <v/>
      </c>
      <c r="AC454" s="183" t="str">
        <f>IFERROR(__xludf.DUMMYFUNCTION("QUERY('Volunteer Survey'!D453)"),"")</f>
        <v/>
      </c>
      <c r="AD454" s="183" t="str">
        <f>IFERROR(__xludf.DUMMYFUNCTION("QUERY('Volunteer Survey'!E453)"),"")</f>
        <v/>
      </c>
      <c r="AE454" s="183" t="str">
        <f>IFERROR(__xludf.DUMMYFUNCTION("QUERY('Volunteer Survey'!F453)"),"")</f>
        <v/>
      </c>
      <c r="AF454" s="183" t="str">
        <f>IFERROR(__xludf.DUMMYFUNCTION("QUERY('Volunteer Survey'!G453)"),"")</f>
        <v/>
      </c>
      <c r="AG454" s="183" t="str">
        <f>IFERROR(__xludf.DUMMYFUNCTION("QUERY('Volunteer Survey'!H453)"),"")</f>
        <v/>
      </c>
      <c r="AH454" s="183" t="str">
        <f>IFERROR(__xludf.DUMMYFUNCTION("QUERY('Volunteer Survey'!I453)"),"")</f>
        <v/>
      </c>
      <c r="AI454" s="183" t="str">
        <f>IFERROR(__xludf.DUMMYFUNCTION("QUERY('Volunteer Survey'!J453)"),"")</f>
        <v/>
      </c>
      <c r="AJ454" s="183" t="str">
        <f>IFERROR(__xludf.DUMMYFUNCTION("QUERY('Volunteer Survey'!K453)"),"")</f>
        <v/>
      </c>
      <c r="AK454" s="183" t="str">
        <f>IFERROR(__xludf.DUMMYFUNCTION("QUERY('Volunteer Survey'!L453)"),"")</f>
        <v/>
      </c>
      <c r="AL454" s="183" t="str">
        <f>IFERROR(__xludf.DUMMYFUNCTION("QUERY('Volunteer Survey'!M453)"),"")</f>
        <v/>
      </c>
      <c r="AM454" s="183" t="str">
        <f>IFERROR(__xludf.DUMMYFUNCTION("QUERY('Volunteer Survey'!N453)"),"")</f>
        <v/>
      </c>
      <c r="AN454" s="183" t="str">
        <f>IFERROR(__xludf.DUMMYFUNCTION("QUERY('Volunteer Survey'!O453)"),"")</f>
        <v/>
      </c>
      <c r="AO454" s="183" t="str">
        <f>IFERROR(__xludf.DUMMYFUNCTION("QUERY('Volunteer Survey'!P453)"),"")</f>
        <v/>
      </c>
    </row>
    <row r="455">
      <c r="A455" s="55" t="str">
        <f>IFERROR(__xludf.DUMMYFUNCTION("QUERY('Volunteer Survey'!A849)"),"")</f>
        <v/>
      </c>
      <c r="B455" s="48" t="s">
        <v>322</v>
      </c>
      <c r="C455" s="53"/>
      <c r="D455" s="55"/>
      <c r="E455" s="55"/>
      <c r="F455" s="55" t="b">
        <v>0</v>
      </c>
      <c r="G455" s="55"/>
      <c r="H455" s="53"/>
      <c r="I455" s="53"/>
      <c r="J455" s="55"/>
      <c r="K455" s="55"/>
      <c r="L455" s="55" t="str">
        <f>'Volunteer Survey'!B865</f>
        <v/>
      </c>
      <c r="M455" s="55" t="str">
        <f>IFERROR(__xludf.DUMMYFUNCTION("QUERY('Volunteer Survey'!E849)"),"")</f>
        <v/>
      </c>
      <c r="N455" s="55" t="str">
        <f>'Volunteer Survey'!F865</f>
        <v/>
      </c>
      <c r="O455" s="48" t="str">
        <f>'Volunteer Survey'!H866</f>
        <v/>
      </c>
      <c r="P455" s="55" t="str">
        <f>IFERROR(__xludf.DUMMYFUNCTION("QUERY('Volunteer Survey'!I849)"),"")</f>
        <v/>
      </c>
      <c r="Q455" s="60" t="str">
        <f>IFERROR(__xludf.DUMMYFUNCTION("QUERY('Volunteer Survey'!J849)"),"")</f>
        <v/>
      </c>
      <c r="R455" s="55"/>
      <c r="S455" s="55" t="str">
        <f>IFERROR(__xludf.DUMMYFUNCTION("QUERY('Volunteer Survey'!L849)"),"")</f>
        <v/>
      </c>
      <c r="T455" s="55" t="str">
        <f>'Volunteer Survey'!M865</f>
        <v/>
      </c>
      <c r="U455" s="64"/>
      <c r="V455" s="55" t="str">
        <f>'Volunteer Survey'!O865</f>
        <v/>
      </c>
      <c r="W455" s="66" t="str">
        <f>IFERROR(__xludf.DUMMYFUNCTION("QUERY('Volunteer Survey'!P849)"),"")</f>
        <v/>
      </c>
      <c r="X455" s="64" t="str">
        <f>IFERROR(__xludf.DUMMYFUNCTION("QUERY('Volunteer Survey'!R849)"),"")</f>
        <v/>
      </c>
      <c r="Y455" s="53"/>
      <c r="Z455" s="183" t="str">
        <f>IFERROR(__xludf.DUMMYFUNCTION("QUERY('Volunteer Survey'!A454)"),"")</f>
        <v/>
      </c>
      <c r="AA455" s="183" t="str">
        <f>IFERROR(__xludf.DUMMYFUNCTION("QUERY('Volunteer Survey'!B454)"),"")</f>
        <v/>
      </c>
      <c r="AB455" s="183" t="str">
        <f>IFERROR(__xludf.DUMMYFUNCTION("QUERY('Volunteer Survey'!C454)"),"")</f>
        <v/>
      </c>
      <c r="AC455" s="183" t="str">
        <f>IFERROR(__xludf.DUMMYFUNCTION("QUERY('Volunteer Survey'!D454)"),"")</f>
        <v/>
      </c>
      <c r="AD455" s="183" t="str">
        <f>IFERROR(__xludf.DUMMYFUNCTION("QUERY('Volunteer Survey'!E454)"),"")</f>
        <v/>
      </c>
      <c r="AE455" s="183" t="str">
        <f>IFERROR(__xludf.DUMMYFUNCTION("QUERY('Volunteer Survey'!F454)"),"")</f>
        <v/>
      </c>
      <c r="AF455" s="183" t="str">
        <f>IFERROR(__xludf.DUMMYFUNCTION("QUERY('Volunteer Survey'!G454)"),"")</f>
        <v/>
      </c>
      <c r="AG455" s="183" t="str">
        <f>IFERROR(__xludf.DUMMYFUNCTION("QUERY('Volunteer Survey'!H454)"),"")</f>
        <v/>
      </c>
      <c r="AH455" s="183" t="str">
        <f>IFERROR(__xludf.DUMMYFUNCTION("QUERY('Volunteer Survey'!I454)"),"")</f>
        <v/>
      </c>
      <c r="AI455" s="183" t="str">
        <f>IFERROR(__xludf.DUMMYFUNCTION("QUERY('Volunteer Survey'!J454)"),"")</f>
        <v/>
      </c>
      <c r="AJ455" s="183" t="str">
        <f>IFERROR(__xludf.DUMMYFUNCTION("QUERY('Volunteer Survey'!K454)"),"")</f>
        <v/>
      </c>
      <c r="AK455" s="183" t="str">
        <f>IFERROR(__xludf.DUMMYFUNCTION("QUERY('Volunteer Survey'!L454)"),"")</f>
        <v/>
      </c>
      <c r="AL455" s="183" t="str">
        <f>IFERROR(__xludf.DUMMYFUNCTION("QUERY('Volunteer Survey'!M454)"),"")</f>
        <v/>
      </c>
      <c r="AM455" s="183" t="str">
        <f>IFERROR(__xludf.DUMMYFUNCTION("QUERY('Volunteer Survey'!N454)"),"")</f>
        <v/>
      </c>
      <c r="AN455" s="183" t="str">
        <f>IFERROR(__xludf.DUMMYFUNCTION("QUERY('Volunteer Survey'!O454)"),"")</f>
        <v/>
      </c>
      <c r="AO455" s="183" t="str">
        <f>IFERROR(__xludf.DUMMYFUNCTION("QUERY('Volunteer Survey'!P454)"),"")</f>
        <v/>
      </c>
    </row>
    <row r="456">
      <c r="A456" s="55" t="str">
        <f>'Volunteer Survey'!A866</f>
        <v/>
      </c>
      <c r="B456" s="48" t="s">
        <v>322</v>
      </c>
      <c r="C456" s="53"/>
      <c r="D456" s="55"/>
      <c r="E456" s="55"/>
      <c r="F456" s="55" t="b">
        <v>0</v>
      </c>
      <c r="G456" s="55"/>
      <c r="H456" s="53"/>
      <c r="I456" s="53"/>
      <c r="J456" s="55"/>
      <c r="K456" s="55"/>
      <c r="L456" s="55" t="str">
        <f>'Volunteer Survey'!B866</f>
        <v/>
      </c>
      <c r="M456" s="55" t="str">
        <f>IFERROR(__xludf.DUMMYFUNCTION("QUERY('Volunteer Survey'!E850)"),"")</f>
        <v/>
      </c>
      <c r="N456" s="55" t="str">
        <f>'Volunteer Survey'!F866</f>
        <v/>
      </c>
      <c r="O456" s="48" t="str">
        <f>'Volunteer Survey'!H867</f>
        <v/>
      </c>
      <c r="P456" s="55" t="str">
        <f>IFERROR(__xludf.DUMMYFUNCTION("QUERY('Volunteer Survey'!I850)"),"")</f>
        <v/>
      </c>
      <c r="Q456" s="60" t="str">
        <f>IFERROR(__xludf.DUMMYFUNCTION("QUERY('Volunteer Survey'!J850)"),"")</f>
        <v/>
      </c>
      <c r="R456" s="55"/>
      <c r="S456" s="55" t="str">
        <f>IFERROR(__xludf.DUMMYFUNCTION("QUERY('Volunteer Survey'!L850)"),"")</f>
        <v/>
      </c>
      <c r="T456" s="55" t="str">
        <f>'Volunteer Survey'!M866</f>
        <v/>
      </c>
      <c r="U456" s="64"/>
      <c r="V456" s="55" t="str">
        <f>'Volunteer Survey'!O866</f>
        <v/>
      </c>
      <c r="W456" s="66" t="str">
        <f>IFERROR(__xludf.DUMMYFUNCTION("QUERY('Volunteer Survey'!P850)"),"")</f>
        <v/>
      </c>
      <c r="X456" s="64" t="str">
        <f>IFERROR(__xludf.DUMMYFUNCTION("QUERY('Volunteer Survey'!R850)"),"")</f>
        <v/>
      </c>
      <c r="Y456" s="53"/>
      <c r="Z456" s="183" t="str">
        <f>IFERROR(__xludf.DUMMYFUNCTION("QUERY('Volunteer Survey'!A455)"),"")</f>
        <v/>
      </c>
      <c r="AA456" s="183" t="str">
        <f>IFERROR(__xludf.DUMMYFUNCTION("QUERY('Volunteer Survey'!B455)"),"")</f>
        <v/>
      </c>
      <c r="AB456" s="183" t="str">
        <f>IFERROR(__xludf.DUMMYFUNCTION("QUERY('Volunteer Survey'!C455)"),"")</f>
        <v/>
      </c>
      <c r="AC456" s="183" t="str">
        <f>IFERROR(__xludf.DUMMYFUNCTION("QUERY('Volunteer Survey'!D455)"),"")</f>
        <v/>
      </c>
      <c r="AD456" s="183" t="str">
        <f>IFERROR(__xludf.DUMMYFUNCTION("QUERY('Volunteer Survey'!E455)"),"")</f>
        <v/>
      </c>
      <c r="AE456" s="183" t="str">
        <f>IFERROR(__xludf.DUMMYFUNCTION("QUERY('Volunteer Survey'!F455)"),"")</f>
        <v/>
      </c>
      <c r="AF456" s="183" t="str">
        <f>IFERROR(__xludf.DUMMYFUNCTION("QUERY('Volunteer Survey'!G455)"),"")</f>
        <v/>
      </c>
      <c r="AG456" s="183" t="str">
        <f>IFERROR(__xludf.DUMMYFUNCTION("QUERY('Volunteer Survey'!H455)"),"")</f>
        <v/>
      </c>
      <c r="AH456" s="183" t="str">
        <f>IFERROR(__xludf.DUMMYFUNCTION("QUERY('Volunteer Survey'!I455)"),"")</f>
        <v/>
      </c>
      <c r="AI456" s="183" t="str">
        <f>IFERROR(__xludf.DUMMYFUNCTION("QUERY('Volunteer Survey'!J455)"),"")</f>
        <v/>
      </c>
      <c r="AJ456" s="183" t="str">
        <f>IFERROR(__xludf.DUMMYFUNCTION("QUERY('Volunteer Survey'!K455)"),"")</f>
        <v/>
      </c>
      <c r="AK456" s="183" t="str">
        <f>IFERROR(__xludf.DUMMYFUNCTION("QUERY('Volunteer Survey'!L455)"),"")</f>
        <v/>
      </c>
      <c r="AL456" s="183" t="str">
        <f>IFERROR(__xludf.DUMMYFUNCTION("QUERY('Volunteer Survey'!M455)"),"")</f>
        <v/>
      </c>
      <c r="AM456" s="183" t="str">
        <f>IFERROR(__xludf.DUMMYFUNCTION("QUERY('Volunteer Survey'!N455)"),"")</f>
        <v/>
      </c>
      <c r="AN456" s="183" t="str">
        <f>IFERROR(__xludf.DUMMYFUNCTION("QUERY('Volunteer Survey'!O455)"),"")</f>
        <v/>
      </c>
      <c r="AO456" s="183" t="str">
        <f>IFERROR(__xludf.DUMMYFUNCTION("QUERY('Volunteer Survey'!P455)"),"")</f>
        <v/>
      </c>
    </row>
    <row r="457">
      <c r="A457" s="55" t="str">
        <f>'Volunteer Survey'!A867</f>
        <v/>
      </c>
      <c r="B457" s="48" t="s">
        <v>322</v>
      </c>
      <c r="C457" s="53"/>
      <c r="D457" s="55"/>
      <c r="E457" s="55"/>
      <c r="F457" s="55" t="b">
        <v>0</v>
      </c>
      <c r="G457" s="55"/>
      <c r="H457" s="53"/>
      <c r="I457" s="53"/>
      <c r="J457" s="55"/>
      <c r="K457" s="55"/>
      <c r="L457" s="55" t="str">
        <f>'Volunteer Survey'!B867</f>
        <v/>
      </c>
      <c r="M457" s="55" t="str">
        <f>IFERROR(__xludf.DUMMYFUNCTION("QUERY('Volunteer Survey'!E851)"),"")</f>
        <v/>
      </c>
      <c r="N457" s="55" t="str">
        <f>'Volunteer Survey'!F867</f>
        <v/>
      </c>
      <c r="O457" s="48" t="str">
        <f>'Volunteer Survey'!H868</f>
        <v/>
      </c>
      <c r="P457" s="55" t="str">
        <f>IFERROR(__xludf.DUMMYFUNCTION("QUERY('Volunteer Survey'!I851)"),"")</f>
        <v/>
      </c>
      <c r="Q457" s="60" t="str">
        <f>IFERROR(__xludf.DUMMYFUNCTION("QUERY('Volunteer Survey'!J851)"),"")</f>
        <v/>
      </c>
      <c r="R457" s="55"/>
      <c r="S457" s="55" t="str">
        <f>IFERROR(__xludf.DUMMYFUNCTION("QUERY('Volunteer Survey'!L851)"),"")</f>
        <v/>
      </c>
      <c r="T457" s="55" t="str">
        <f>'Volunteer Survey'!M867</f>
        <v/>
      </c>
      <c r="U457" s="64"/>
      <c r="V457" s="55" t="str">
        <f>'Volunteer Survey'!O867</f>
        <v/>
      </c>
      <c r="W457" s="66" t="str">
        <f>IFERROR(__xludf.DUMMYFUNCTION("QUERY('Volunteer Survey'!P851)"),"")</f>
        <v/>
      </c>
      <c r="X457" s="64" t="str">
        <f>IFERROR(__xludf.DUMMYFUNCTION("QUERY('Volunteer Survey'!R851)"),"")</f>
        <v/>
      </c>
      <c r="Y457" s="53"/>
      <c r="Z457" s="183" t="str">
        <f>IFERROR(__xludf.DUMMYFUNCTION("QUERY('Volunteer Survey'!A456)"),"")</f>
        <v/>
      </c>
      <c r="AA457" s="183" t="str">
        <f>IFERROR(__xludf.DUMMYFUNCTION("QUERY('Volunteer Survey'!B456)"),"")</f>
        <v/>
      </c>
      <c r="AB457" s="183" t="str">
        <f>IFERROR(__xludf.DUMMYFUNCTION("QUERY('Volunteer Survey'!C456)"),"")</f>
        <v/>
      </c>
      <c r="AC457" s="183" t="str">
        <f>IFERROR(__xludf.DUMMYFUNCTION("QUERY('Volunteer Survey'!D456)"),"")</f>
        <v/>
      </c>
      <c r="AD457" s="183" t="str">
        <f>IFERROR(__xludf.DUMMYFUNCTION("QUERY('Volunteer Survey'!E456)"),"")</f>
        <v/>
      </c>
      <c r="AE457" s="183" t="str">
        <f>IFERROR(__xludf.DUMMYFUNCTION("QUERY('Volunteer Survey'!F456)"),"")</f>
        <v/>
      </c>
      <c r="AF457" s="183" t="str">
        <f>IFERROR(__xludf.DUMMYFUNCTION("QUERY('Volunteer Survey'!G456)"),"")</f>
        <v/>
      </c>
      <c r="AG457" s="183" t="str">
        <f>IFERROR(__xludf.DUMMYFUNCTION("QUERY('Volunteer Survey'!H456)"),"")</f>
        <v/>
      </c>
      <c r="AH457" s="183" t="str">
        <f>IFERROR(__xludf.DUMMYFUNCTION("QUERY('Volunteer Survey'!I456)"),"")</f>
        <v/>
      </c>
      <c r="AI457" s="183" t="str">
        <f>IFERROR(__xludf.DUMMYFUNCTION("QUERY('Volunteer Survey'!J456)"),"")</f>
        <v/>
      </c>
      <c r="AJ457" s="183" t="str">
        <f>IFERROR(__xludf.DUMMYFUNCTION("QUERY('Volunteer Survey'!K456)"),"")</f>
        <v/>
      </c>
      <c r="AK457" s="183" t="str">
        <f>IFERROR(__xludf.DUMMYFUNCTION("QUERY('Volunteer Survey'!L456)"),"")</f>
        <v/>
      </c>
      <c r="AL457" s="183" t="str">
        <f>IFERROR(__xludf.DUMMYFUNCTION("QUERY('Volunteer Survey'!M456)"),"")</f>
        <v/>
      </c>
      <c r="AM457" s="183" t="str">
        <f>IFERROR(__xludf.DUMMYFUNCTION("QUERY('Volunteer Survey'!N456)"),"")</f>
        <v/>
      </c>
      <c r="AN457" s="183" t="str">
        <f>IFERROR(__xludf.DUMMYFUNCTION("QUERY('Volunteer Survey'!O456)"),"")</f>
        <v/>
      </c>
      <c r="AO457" s="183" t="str">
        <f>IFERROR(__xludf.DUMMYFUNCTION("QUERY('Volunteer Survey'!P456)"),"")</f>
        <v/>
      </c>
    </row>
    <row r="458">
      <c r="A458" s="55" t="str">
        <f>'Volunteer Survey'!A868</f>
        <v/>
      </c>
      <c r="B458" s="48" t="s">
        <v>322</v>
      </c>
      <c r="C458" s="53"/>
      <c r="D458" s="55"/>
      <c r="E458" s="55"/>
      <c r="F458" s="55" t="b">
        <v>0</v>
      </c>
      <c r="G458" s="55"/>
      <c r="H458" s="53"/>
      <c r="I458" s="53"/>
      <c r="J458" s="55"/>
      <c r="K458" s="55"/>
      <c r="L458" s="55" t="str">
        <f>'Volunteer Survey'!B868</f>
        <v/>
      </c>
      <c r="M458" s="55" t="str">
        <f>IFERROR(__xludf.DUMMYFUNCTION("QUERY('Volunteer Survey'!E852)"),"")</f>
        <v/>
      </c>
      <c r="N458" s="55" t="str">
        <f>'Volunteer Survey'!F868</f>
        <v/>
      </c>
      <c r="O458" s="48" t="str">
        <f>'Volunteer Survey'!H869</f>
        <v/>
      </c>
      <c r="P458" s="55" t="str">
        <f>IFERROR(__xludf.DUMMYFUNCTION("QUERY('Volunteer Survey'!I852)"),"")</f>
        <v/>
      </c>
      <c r="Q458" s="60" t="str">
        <f>IFERROR(__xludf.DUMMYFUNCTION("QUERY('Volunteer Survey'!J852)"),"")</f>
        <v/>
      </c>
      <c r="R458" s="55"/>
      <c r="S458" s="55" t="str">
        <f>IFERROR(__xludf.DUMMYFUNCTION("QUERY('Volunteer Survey'!L852)"),"")</f>
        <v/>
      </c>
      <c r="T458" s="55" t="str">
        <f>'Volunteer Survey'!M868</f>
        <v/>
      </c>
      <c r="U458" s="64"/>
      <c r="V458" s="55" t="str">
        <f>'Volunteer Survey'!O868</f>
        <v/>
      </c>
      <c r="W458" s="66" t="str">
        <f>IFERROR(__xludf.DUMMYFUNCTION("QUERY('Volunteer Survey'!P852)"),"")</f>
        <v/>
      </c>
      <c r="X458" s="64" t="str">
        <f>IFERROR(__xludf.DUMMYFUNCTION("QUERY('Volunteer Survey'!R852)"),"")</f>
        <v/>
      </c>
      <c r="Y458" s="53"/>
      <c r="Z458" s="183" t="str">
        <f>IFERROR(__xludf.DUMMYFUNCTION("QUERY('Volunteer Survey'!A457)"),"")</f>
        <v/>
      </c>
      <c r="AA458" s="183" t="str">
        <f>IFERROR(__xludf.DUMMYFUNCTION("QUERY('Volunteer Survey'!B457)"),"")</f>
        <v/>
      </c>
      <c r="AB458" s="183" t="str">
        <f>IFERROR(__xludf.DUMMYFUNCTION("QUERY('Volunteer Survey'!C457)"),"")</f>
        <v/>
      </c>
      <c r="AC458" s="183" t="str">
        <f>IFERROR(__xludf.DUMMYFUNCTION("QUERY('Volunteer Survey'!D457)"),"")</f>
        <v/>
      </c>
      <c r="AD458" s="183" t="str">
        <f>IFERROR(__xludf.DUMMYFUNCTION("QUERY('Volunteer Survey'!E457)"),"")</f>
        <v/>
      </c>
      <c r="AE458" s="183" t="str">
        <f>IFERROR(__xludf.DUMMYFUNCTION("QUERY('Volunteer Survey'!F457)"),"")</f>
        <v/>
      </c>
      <c r="AF458" s="183" t="str">
        <f>IFERROR(__xludf.DUMMYFUNCTION("QUERY('Volunteer Survey'!G457)"),"")</f>
        <v/>
      </c>
      <c r="AG458" s="183" t="str">
        <f>IFERROR(__xludf.DUMMYFUNCTION("QUERY('Volunteer Survey'!H457)"),"")</f>
        <v/>
      </c>
      <c r="AH458" s="183" t="str">
        <f>IFERROR(__xludf.DUMMYFUNCTION("QUERY('Volunteer Survey'!I457)"),"")</f>
        <v/>
      </c>
      <c r="AI458" s="183" t="str">
        <f>IFERROR(__xludf.DUMMYFUNCTION("QUERY('Volunteer Survey'!J457)"),"")</f>
        <v/>
      </c>
      <c r="AJ458" s="183" t="str">
        <f>IFERROR(__xludf.DUMMYFUNCTION("QUERY('Volunteer Survey'!K457)"),"")</f>
        <v/>
      </c>
      <c r="AK458" s="183" t="str">
        <f>IFERROR(__xludf.DUMMYFUNCTION("QUERY('Volunteer Survey'!L457)"),"")</f>
        <v/>
      </c>
      <c r="AL458" s="183" t="str">
        <f>IFERROR(__xludf.DUMMYFUNCTION("QUERY('Volunteer Survey'!M457)"),"")</f>
        <v/>
      </c>
      <c r="AM458" s="183" t="str">
        <f>IFERROR(__xludf.DUMMYFUNCTION("QUERY('Volunteer Survey'!N457)"),"")</f>
        <v/>
      </c>
      <c r="AN458" s="183" t="str">
        <f>IFERROR(__xludf.DUMMYFUNCTION("QUERY('Volunteer Survey'!O457)"),"")</f>
        <v/>
      </c>
      <c r="AO458" s="183" t="str">
        <f>IFERROR(__xludf.DUMMYFUNCTION("QUERY('Volunteer Survey'!P457)"),"")</f>
        <v/>
      </c>
    </row>
    <row r="459">
      <c r="A459" s="55" t="str">
        <f>'Volunteer Survey'!A869</f>
        <v/>
      </c>
      <c r="B459" s="48" t="s">
        <v>322</v>
      </c>
      <c r="C459" s="53"/>
      <c r="D459" s="55"/>
      <c r="E459" s="55"/>
      <c r="F459" s="55" t="b">
        <v>0</v>
      </c>
      <c r="G459" s="55"/>
      <c r="H459" s="53"/>
      <c r="I459" s="53"/>
      <c r="J459" s="55"/>
      <c r="K459" s="55"/>
      <c r="L459" s="55" t="str">
        <f>'Volunteer Survey'!B869</f>
        <v/>
      </c>
      <c r="M459" s="55" t="str">
        <f>IFERROR(__xludf.DUMMYFUNCTION("QUERY('Volunteer Survey'!E853)"),"")</f>
        <v/>
      </c>
      <c r="N459" s="55" t="str">
        <f>'Volunteer Survey'!F869</f>
        <v/>
      </c>
      <c r="O459" s="48" t="str">
        <f>'Volunteer Survey'!H870</f>
        <v/>
      </c>
      <c r="P459" s="55" t="str">
        <f>IFERROR(__xludf.DUMMYFUNCTION("QUERY('Volunteer Survey'!I853)"),"")</f>
        <v/>
      </c>
      <c r="Q459" s="60" t="str">
        <f>IFERROR(__xludf.DUMMYFUNCTION("QUERY('Volunteer Survey'!J853)"),"")</f>
        <v/>
      </c>
      <c r="R459" s="55"/>
      <c r="S459" s="55" t="str">
        <f>IFERROR(__xludf.DUMMYFUNCTION("QUERY('Volunteer Survey'!L853)"),"")</f>
        <v/>
      </c>
      <c r="T459" s="55" t="str">
        <f>'Volunteer Survey'!M869</f>
        <v/>
      </c>
      <c r="U459" s="64"/>
      <c r="V459" s="55" t="str">
        <f>'Volunteer Survey'!O869</f>
        <v/>
      </c>
      <c r="W459" s="66" t="str">
        <f>IFERROR(__xludf.DUMMYFUNCTION("QUERY('Volunteer Survey'!P853)"),"")</f>
        <v/>
      </c>
      <c r="X459" s="64" t="str">
        <f>IFERROR(__xludf.DUMMYFUNCTION("QUERY('Volunteer Survey'!R853)"),"")</f>
        <v/>
      </c>
      <c r="Y459" s="53"/>
      <c r="Z459" s="183" t="str">
        <f>IFERROR(__xludf.DUMMYFUNCTION("QUERY('Volunteer Survey'!A458)"),"")</f>
        <v/>
      </c>
      <c r="AA459" s="183" t="str">
        <f>IFERROR(__xludf.DUMMYFUNCTION("QUERY('Volunteer Survey'!B458)"),"")</f>
        <v/>
      </c>
      <c r="AB459" s="183" t="str">
        <f>IFERROR(__xludf.DUMMYFUNCTION("QUERY('Volunteer Survey'!C458)"),"")</f>
        <v/>
      </c>
      <c r="AC459" s="183" t="str">
        <f>IFERROR(__xludf.DUMMYFUNCTION("QUERY('Volunteer Survey'!D458)"),"")</f>
        <v/>
      </c>
      <c r="AD459" s="183" t="str">
        <f>IFERROR(__xludf.DUMMYFUNCTION("QUERY('Volunteer Survey'!E458)"),"")</f>
        <v/>
      </c>
      <c r="AE459" s="183" t="str">
        <f>IFERROR(__xludf.DUMMYFUNCTION("QUERY('Volunteer Survey'!F458)"),"")</f>
        <v/>
      </c>
      <c r="AF459" s="183" t="str">
        <f>IFERROR(__xludf.DUMMYFUNCTION("QUERY('Volunteer Survey'!G458)"),"")</f>
        <v/>
      </c>
      <c r="AG459" s="183" t="str">
        <f>IFERROR(__xludf.DUMMYFUNCTION("QUERY('Volunteer Survey'!H458)"),"")</f>
        <v/>
      </c>
      <c r="AH459" s="183" t="str">
        <f>IFERROR(__xludf.DUMMYFUNCTION("QUERY('Volunteer Survey'!I458)"),"")</f>
        <v/>
      </c>
      <c r="AI459" s="183" t="str">
        <f>IFERROR(__xludf.DUMMYFUNCTION("QUERY('Volunteer Survey'!J458)"),"")</f>
        <v/>
      </c>
      <c r="AJ459" s="183" t="str">
        <f>IFERROR(__xludf.DUMMYFUNCTION("QUERY('Volunteer Survey'!K458)"),"")</f>
        <v/>
      </c>
      <c r="AK459" s="183" t="str">
        <f>IFERROR(__xludf.DUMMYFUNCTION("QUERY('Volunteer Survey'!L458)"),"")</f>
        <v/>
      </c>
      <c r="AL459" s="183" t="str">
        <f>IFERROR(__xludf.DUMMYFUNCTION("QUERY('Volunteer Survey'!M458)"),"")</f>
        <v/>
      </c>
      <c r="AM459" s="183" t="str">
        <f>IFERROR(__xludf.DUMMYFUNCTION("QUERY('Volunteer Survey'!N458)"),"")</f>
        <v/>
      </c>
      <c r="AN459" s="183" t="str">
        <f>IFERROR(__xludf.DUMMYFUNCTION("QUERY('Volunteer Survey'!O458)"),"")</f>
        <v/>
      </c>
      <c r="AO459" s="183" t="str">
        <f>IFERROR(__xludf.DUMMYFUNCTION("QUERY('Volunteer Survey'!P458)"),"")</f>
        <v/>
      </c>
    </row>
    <row r="460">
      <c r="A460" s="55" t="str">
        <f>'Volunteer Survey'!A870</f>
        <v/>
      </c>
      <c r="B460" s="48" t="s">
        <v>322</v>
      </c>
      <c r="C460" s="53"/>
      <c r="D460" s="55"/>
      <c r="E460" s="55"/>
      <c r="F460" s="55" t="b">
        <v>0</v>
      </c>
      <c r="G460" s="55"/>
      <c r="H460" s="53"/>
      <c r="I460" s="53"/>
      <c r="J460" s="55"/>
      <c r="K460" s="55"/>
      <c r="L460" s="55" t="str">
        <f>'Volunteer Survey'!B870</f>
        <v/>
      </c>
      <c r="M460" s="55" t="str">
        <f>IFERROR(__xludf.DUMMYFUNCTION("QUERY('Volunteer Survey'!E854)"),"")</f>
        <v/>
      </c>
      <c r="N460" s="55" t="str">
        <f>'Volunteer Survey'!F870</f>
        <v/>
      </c>
      <c r="O460" s="48" t="str">
        <f>'Volunteer Survey'!H871</f>
        <v/>
      </c>
      <c r="P460" s="55" t="str">
        <f>IFERROR(__xludf.DUMMYFUNCTION("QUERY('Volunteer Survey'!I854)"),"")</f>
        <v/>
      </c>
      <c r="Q460" s="60" t="str">
        <f>IFERROR(__xludf.DUMMYFUNCTION("QUERY('Volunteer Survey'!J854)"),"")</f>
        <v/>
      </c>
      <c r="R460" s="55"/>
      <c r="S460" s="55" t="str">
        <f>IFERROR(__xludf.DUMMYFUNCTION("QUERY('Volunteer Survey'!L854)"),"")</f>
        <v/>
      </c>
      <c r="T460" s="55" t="str">
        <f>'Volunteer Survey'!M870</f>
        <v/>
      </c>
      <c r="U460" s="64"/>
      <c r="V460" s="55" t="str">
        <f>'Volunteer Survey'!O870</f>
        <v/>
      </c>
      <c r="W460" s="66" t="str">
        <f>IFERROR(__xludf.DUMMYFUNCTION("QUERY('Volunteer Survey'!P854)"),"")</f>
        <v/>
      </c>
      <c r="X460" s="64" t="str">
        <f>IFERROR(__xludf.DUMMYFUNCTION("QUERY('Volunteer Survey'!R854)"),"")</f>
        <v/>
      </c>
      <c r="Y460" s="53"/>
      <c r="Z460" s="183" t="str">
        <f>IFERROR(__xludf.DUMMYFUNCTION("QUERY('Volunteer Survey'!A459)"),"")</f>
        <v/>
      </c>
      <c r="AA460" s="183" t="str">
        <f>IFERROR(__xludf.DUMMYFUNCTION("QUERY('Volunteer Survey'!B459)"),"")</f>
        <v/>
      </c>
      <c r="AB460" s="183" t="str">
        <f>IFERROR(__xludf.DUMMYFUNCTION("QUERY('Volunteer Survey'!C459)"),"")</f>
        <v/>
      </c>
      <c r="AC460" s="183" t="str">
        <f>IFERROR(__xludf.DUMMYFUNCTION("QUERY('Volunteer Survey'!D459)"),"")</f>
        <v/>
      </c>
      <c r="AD460" s="183" t="str">
        <f>IFERROR(__xludf.DUMMYFUNCTION("QUERY('Volunteer Survey'!E459)"),"")</f>
        <v/>
      </c>
      <c r="AE460" s="183" t="str">
        <f>IFERROR(__xludf.DUMMYFUNCTION("QUERY('Volunteer Survey'!F459)"),"")</f>
        <v/>
      </c>
      <c r="AF460" s="183" t="str">
        <f>IFERROR(__xludf.DUMMYFUNCTION("QUERY('Volunteer Survey'!G459)"),"")</f>
        <v/>
      </c>
      <c r="AG460" s="183" t="str">
        <f>IFERROR(__xludf.DUMMYFUNCTION("QUERY('Volunteer Survey'!H459)"),"")</f>
        <v/>
      </c>
      <c r="AH460" s="183" t="str">
        <f>IFERROR(__xludf.DUMMYFUNCTION("QUERY('Volunteer Survey'!I459)"),"")</f>
        <v/>
      </c>
      <c r="AI460" s="183" t="str">
        <f>IFERROR(__xludf.DUMMYFUNCTION("QUERY('Volunteer Survey'!J459)"),"")</f>
        <v/>
      </c>
      <c r="AJ460" s="183" t="str">
        <f>IFERROR(__xludf.DUMMYFUNCTION("QUERY('Volunteer Survey'!K459)"),"")</f>
        <v/>
      </c>
      <c r="AK460" s="183" t="str">
        <f>IFERROR(__xludf.DUMMYFUNCTION("QUERY('Volunteer Survey'!L459)"),"")</f>
        <v/>
      </c>
      <c r="AL460" s="183" t="str">
        <f>IFERROR(__xludf.DUMMYFUNCTION("QUERY('Volunteer Survey'!M459)"),"")</f>
        <v/>
      </c>
      <c r="AM460" s="183" t="str">
        <f>IFERROR(__xludf.DUMMYFUNCTION("QUERY('Volunteer Survey'!N459)"),"")</f>
        <v/>
      </c>
      <c r="AN460" s="183" t="str">
        <f>IFERROR(__xludf.DUMMYFUNCTION("QUERY('Volunteer Survey'!O459)"),"")</f>
        <v/>
      </c>
      <c r="AO460" s="183" t="str">
        <f>IFERROR(__xludf.DUMMYFUNCTION("QUERY('Volunteer Survey'!P459)"),"")</f>
        <v/>
      </c>
    </row>
    <row r="461">
      <c r="A461" s="55" t="str">
        <f>'Volunteer Survey'!A871</f>
        <v/>
      </c>
      <c r="B461" s="48" t="s">
        <v>322</v>
      </c>
      <c r="C461" s="53"/>
      <c r="D461" s="55"/>
      <c r="E461" s="55"/>
      <c r="F461" s="55" t="b">
        <v>0</v>
      </c>
      <c r="G461" s="55"/>
      <c r="H461" s="53"/>
      <c r="I461" s="53"/>
      <c r="J461" s="55"/>
      <c r="K461" s="55"/>
      <c r="L461" s="55" t="str">
        <f>'Volunteer Survey'!B871</f>
        <v/>
      </c>
      <c r="M461" s="55" t="str">
        <f>IFERROR(__xludf.DUMMYFUNCTION("QUERY('Volunteer Survey'!E855)"),"")</f>
        <v/>
      </c>
      <c r="N461" s="55" t="str">
        <f>'Volunteer Survey'!F872</f>
        <v/>
      </c>
      <c r="O461" s="48" t="str">
        <f>'Volunteer Survey'!H872</f>
        <v/>
      </c>
      <c r="P461" s="55"/>
      <c r="Q461" s="60" t="str">
        <f>IFERROR(__xludf.DUMMYFUNCTION("QUERY('Volunteer Survey'!J855)"),"")</f>
        <v/>
      </c>
      <c r="R461" s="55"/>
      <c r="S461" s="55" t="str">
        <f>IFERROR(__xludf.DUMMYFUNCTION("QUERY('Volunteer Survey'!L855)"),"")</f>
        <v/>
      </c>
      <c r="T461" s="55" t="str">
        <f>'Volunteer Survey'!M871</f>
        <v/>
      </c>
      <c r="U461" s="64"/>
      <c r="V461" s="55" t="str">
        <f>'Volunteer Survey'!O871</f>
        <v/>
      </c>
      <c r="W461" s="66" t="str">
        <f>IFERROR(__xludf.DUMMYFUNCTION("QUERY('Volunteer Survey'!P855)"),"")</f>
        <v/>
      </c>
      <c r="X461" s="64" t="str">
        <f>IFERROR(__xludf.DUMMYFUNCTION("QUERY('Volunteer Survey'!R855)"),"")</f>
        <v/>
      </c>
      <c r="Y461" s="53"/>
      <c r="Z461" s="183" t="str">
        <f>IFERROR(__xludf.DUMMYFUNCTION("QUERY('Volunteer Survey'!A460)"),"")</f>
        <v/>
      </c>
      <c r="AA461" s="183" t="str">
        <f>IFERROR(__xludf.DUMMYFUNCTION("QUERY('Volunteer Survey'!B460)"),"")</f>
        <v/>
      </c>
      <c r="AB461" s="183" t="str">
        <f>IFERROR(__xludf.DUMMYFUNCTION("QUERY('Volunteer Survey'!C460)"),"")</f>
        <v/>
      </c>
      <c r="AC461" s="183" t="str">
        <f>IFERROR(__xludf.DUMMYFUNCTION("QUERY('Volunteer Survey'!D460)"),"")</f>
        <v/>
      </c>
      <c r="AD461" s="183" t="str">
        <f>IFERROR(__xludf.DUMMYFUNCTION("QUERY('Volunteer Survey'!E460)"),"")</f>
        <v/>
      </c>
      <c r="AE461" s="183" t="str">
        <f>IFERROR(__xludf.DUMMYFUNCTION("QUERY('Volunteer Survey'!F460)"),"")</f>
        <v/>
      </c>
      <c r="AF461" s="183" t="str">
        <f>IFERROR(__xludf.DUMMYFUNCTION("QUERY('Volunteer Survey'!G460)"),"")</f>
        <v/>
      </c>
      <c r="AG461" s="183" t="str">
        <f>IFERROR(__xludf.DUMMYFUNCTION("QUERY('Volunteer Survey'!H460)"),"")</f>
        <v/>
      </c>
      <c r="AH461" s="183" t="str">
        <f>IFERROR(__xludf.DUMMYFUNCTION("QUERY('Volunteer Survey'!I460)"),"")</f>
        <v/>
      </c>
      <c r="AI461" s="183" t="str">
        <f>IFERROR(__xludf.DUMMYFUNCTION("QUERY('Volunteer Survey'!J460)"),"")</f>
        <v/>
      </c>
      <c r="AJ461" s="183" t="str">
        <f>IFERROR(__xludf.DUMMYFUNCTION("QUERY('Volunteer Survey'!K460)"),"")</f>
        <v/>
      </c>
      <c r="AK461" s="183" t="str">
        <f>IFERROR(__xludf.DUMMYFUNCTION("QUERY('Volunteer Survey'!L460)"),"")</f>
        <v/>
      </c>
      <c r="AL461" s="183" t="str">
        <f>IFERROR(__xludf.DUMMYFUNCTION("QUERY('Volunteer Survey'!M460)"),"")</f>
        <v/>
      </c>
      <c r="AM461" s="183" t="str">
        <f>IFERROR(__xludf.DUMMYFUNCTION("QUERY('Volunteer Survey'!N460)"),"")</f>
        <v/>
      </c>
      <c r="AN461" s="183" t="str">
        <f>IFERROR(__xludf.DUMMYFUNCTION("QUERY('Volunteer Survey'!O460)"),"")</f>
        <v/>
      </c>
      <c r="AO461" s="183" t="str">
        <f>IFERROR(__xludf.DUMMYFUNCTION("QUERY('Volunteer Survey'!P460)"),"")</f>
        <v/>
      </c>
    </row>
    <row r="462">
      <c r="A462" s="55" t="str">
        <f>'Volunteer Survey'!A872</f>
        <v/>
      </c>
      <c r="B462" s="48" t="s">
        <v>322</v>
      </c>
      <c r="C462" s="53"/>
      <c r="D462" s="55"/>
      <c r="E462" s="55"/>
      <c r="F462" s="55" t="b">
        <v>0</v>
      </c>
      <c r="G462" s="55"/>
      <c r="H462" s="53"/>
      <c r="I462" s="53"/>
      <c r="J462" s="55"/>
      <c r="K462" s="55"/>
      <c r="L462" s="55" t="str">
        <f>'Volunteer Survey'!B872</f>
        <v/>
      </c>
      <c r="M462" s="55" t="str">
        <f>IFERROR(__xludf.DUMMYFUNCTION("QUERY('Volunteer Survey'!E856)"),"")</f>
        <v/>
      </c>
      <c r="N462" s="55" t="str">
        <f>'Volunteer Survey'!F873</f>
        <v/>
      </c>
      <c r="O462" s="48" t="str">
        <f>'Volunteer Survey'!H873</f>
        <v/>
      </c>
      <c r="P462" s="55"/>
      <c r="Q462" s="60" t="str">
        <f>IFERROR(__xludf.DUMMYFUNCTION("QUERY('Volunteer Survey'!J856)"),"")</f>
        <v/>
      </c>
      <c r="R462" s="55"/>
      <c r="S462" s="55" t="str">
        <f>IFERROR(__xludf.DUMMYFUNCTION("QUERY('Volunteer Survey'!L856)"),"")</f>
        <v/>
      </c>
      <c r="T462" s="55" t="str">
        <f>'Volunteer Survey'!M872</f>
        <v/>
      </c>
      <c r="U462" s="64"/>
      <c r="V462" s="55" t="str">
        <f>'Volunteer Survey'!O872</f>
        <v/>
      </c>
      <c r="W462" s="66" t="str">
        <f>IFERROR(__xludf.DUMMYFUNCTION("QUERY('Volunteer Survey'!P856)"),"")</f>
        <v/>
      </c>
      <c r="X462" s="64" t="str">
        <f>IFERROR(__xludf.DUMMYFUNCTION("QUERY('Volunteer Survey'!R856)"),"")</f>
        <v/>
      </c>
      <c r="Y462" s="53"/>
      <c r="Z462" s="183" t="str">
        <f>IFERROR(__xludf.DUMMYFUNCTION("QUERY('Volunteer Survey'!A461)"),"")</f>
        <v/>
      </c>
      <c r="AA462" s="183" t="str">
        <f>IFERROR(__xludf.DUMMYFUNCTION("QUERY('Volunteer Survey'!B461)"),"")</f>
        <v/>
      </c>
      <c r="AB462" s="183" t="str">
        <f>IFERROR(__xludf.DUMMYFUNCTION("QUERY('Volunteer Survey'!C461)"),"")</f>
        <v/>
      </c>
      <c r="AC462" s="183" t="str">
        <f>IFERROR(__xludf.DUMMYFUNCTION("QUERY('Volunteer Survey'!D461)"),"")</f>
        <v/>
      </c>
      <c r="AD462" s="183" t="str">
        <f>IFERROR(__xludf.DUMMYFUNCTION("QUERY('Volunteer Survey'!E461)"),"")</f>
        <v/>
      </c>
      <c r="AE462" s="183" t="str">
        <f>IFERROR(__xludf.DUMMYFUNCTION("QUERY('Volunteer Survey'!F461)"),"")</f>
        <v/>
      </c>
      <c r="AF462" s="183" t="str">
        <f>IFERROR(__xludf.DUMMYFUNCTION("QUERY('Volunteer Survey'!G461)"),"")</f>
        <v/>
      </c>
      <c r="AG462" s="183" t="str">
        <f>IFERROR(__xludf.DUMMYFUNCTION("QUERY('Volunteer Survey'!H461)"),"")</f>
        <v/>
      </c>
      <c r="AH462" s="183" t="str">
        <f>IFERROR(__xludf.DUMMYFUNCTION("QUERY('Volunteer Survey'!I461)"),"")</f>
        <v/>
      </c>
      <c r="AI462" s="183" t="str">
        <f>IFERROR(__xludf.DUMMYFUNCTION("QUERY('Volunteer Survey'!J461)"),"")</f>
        <v/>
      </c>
      <c r="AJ462" s="183" t="str">
        <f>IFERROR(__xludf.DUMMYFUNCTION("QUERY('Volunteer Survey'!K461)"),"")</f>
        <v/>
      </c>
      <c r="AK462" s="183" t="str">
        <f>IFERROR(__xludf.DUMMYFUNCTION("QUERY('Volunteer Survey'!L461)"),"")</f>
        <v/>
      </c>
      <c r="AL462" s="183" t="str">
        <f>IFERROR(__xludf.DUMMYFUNCTION("QUERY('Volunteer Survey'!M461)"),"")</f>
        <v/>
      </c>
      <c r="AM462" s="183" t="str">
        <f>IFERROR(__xludf.DUMMYFUNCTION("QUERY('Volunteer Survey'!N461)"),"")</f>
        <v/>
      </c>
      <c r="AN462" s="183" t="str">
        <f>IFERROR(__xludf.DUMMYFUNCTION("QUERY('Volunteer Survey'!O461)"),"")</f>
        <v/>
      </c>
      <c r="AO462" s="183" t="str">
        <f>IFERROR(__xludf.DUMMYFUNCTION("QUERY('Volunteer Survey'!P461)"),"")</f>
        <v/>
      </c>
    </row>
    <row r="463">
      <c r="A463" s="55" t="str">
        <f>'Volunteer Survey'!A873</f>
        <v/>
      </c>
      <c r="B463" s="48" t="s">
        <v>322</v>
      </c>
      <c r="C463" s="53"/>
      <c r="D463" s="55"/>
      <c r="E463" s="55"/>
      <c r="F463" s="55" t="b">
        <v>0</v>
      </c>
      <c r="G463" s="55"/>
      <c r="H463" s="53"/>
      <c r="I463" s="53"/>
      <c r="J463" s="55"/>
      <c r="K463" s="55"/>
      <c r="L463" s="55" t="str">
        <f>'Volunteer Survey'!B873</f>
        <v/>
      </c>
      <c r="M463" s="55" t="str">
        <f>IFERROR(__xludf.DUMMYFUNCTION("QUERY('Volunteer Survey'!E857)"),"")</f>
        <v/>
      </c>
      <c r="N463" s="55" t="str">
        <f>'Volunteer Survey'!F874</f>
        <v/>
      </c>
      <c r="O463" s="48" t="str">
        <f>'Volunteer Survey'!H874</f>
        <v/>
      </c>
      <c r="P463" s="55"/>
      <c r="Q463" s="60" t="str">
        <f>IFERROR(__xludf.DUMMYFUNCTION("QUERY('Volunteer Survey'!J857)"),"")</f>
        <v/>
      </c>
      <c r="R463" s="55"/>
      <c r="S463" s="55" t="str">
        <f>IFERROR(__xludf.DUMMYFUNCTION("QUERY('Volunteer Survey'!L857)"),"")</f>
        <v/>
      </c>
      <c r="T463" s="55" t="str">
        <f>'Volunteer Survey'!M873</f>
        <v/>
      </c>
      <c r="U463" s="64"/>
      <c r="V463" s="55" t="str">
        <f>'Volunteer Survey'!O873</f>
        <v/>
      </c>
      <c r="W463" s="66" t="str">
        <f>IFERROR(__xludf.DUMMYFUNCTION("QUERY('Volunteer Survey'!P857)"),"")</f>
        <v/>
      </c>
      <c r="X463" s="64" t="str">
        <f>IFERROR(__xludf.DUMMYFUNCTION("QUERY('Volunteer Survey'!R857)"),"")</f>
        <v/>
      </c>
      <c r="Y463" s="53"/>
      <c r="Z463" s="183" t="str">
        <f>IFERROR(__xludf.DUMMYFUNCTION("QUERY('Volunteer Survey'!A462)"),"")</f>
        <v/>
      </c>
      <c r="AA463" s="183" t="str">
        <f>IFERROR(__xludf.DUMMYFUNCTION("QUERY('Volunteer Survey'!B462)"),"")</f>
        <v/>
      </c>
      <c r="AB463" s="183" t="str">
        <f>IFERROR(__xludf.DUMMYFUNCTION("QUERY('Volunteer Survey'!C462)"),"")</f>
        <v/>
      </c>
      <c r="AC463" s="183" t="str">
        <f>IFERROR(__xludf.DUMMYFUNCTION("QUERY('Volunteer Survey'!D462)"),"")</f>
        <v/>
      </c>
      <c r="AD463" s="183" t="str">
        <f>IFERROR(__xludf.DUMMYFUNCTION("QUERY('Volunteer Survey'!E462)"),"")</f>
        <v/>
      </c>
      <c r="AE463" s="183" t="str">
        <f>IFERROR(__xludf.DUMMYFUNCTION("QUERY('Volunteer Survey'!F462)"),"")</f>
        <v/>
      </c>
      <c r="AF463" s="183" t="str">
        <f>IFERROR(__xludf.DUMMYFUNCTION("QUERY('Volunteer Survey'!G462)"),"")</f>
        <v/>
      </c>
      <c r="AG463" s="183" t="str">
        <f>IFERROR(__xludf.DUMMYFUNCTION("QUERY('Volunteer Survey'!H462)"),"")</f>
        <v/>
      </c>
      <c r="AH463" s="183" t="str">
        <f>IFERROR(__xludf.DUMMYFUNCTION("QUERY('Volunteer Survey'!I462)"),"")</f>
        <v/>
      </c>
      <c r="AI463" s="183" t="str">
        <f>IFERROR(__xludf.DUMMYFUNCTION("QUERY('Volunteer Survey'!J462)"),"")</f>
        <v/>
      </c>
      <c r="AJ463" s="183" t="str">
        <f>IFERROR(__xludf.DUMMYFUNCTION("QUERY('Volunteer Survey'!K462)"),"")</f>
        <v/>
      </c>
      <c r="AK463" s="183" t="str">
        <f>IFERROR(__xludf.DUMMYFUNCTION("QUERY('Volunteer Survey'!L462)"),"")</f>
        <v/>
      </c>
      <c r="AL463" s="183" t="str">
        <f>IFERROR(__xludf.DUMMYFUNCTION("QUERY('Volunteer Survey'!M462)"),"")</f>
        <v/>
      </c>
      <c r="AM463" s="183" t="str">
        <f>IFERROR(__xludf.DUMMYFUNCTION("QUERY('Volunteer Survey'!N462)"),"")</f>
        <v/>
      </c>
      <c r="AN463" s="183" t="str">
        <f>IFERROR(__xludf.DUMMYFUNCTION("QUERY('Volunteer Survey'!O462)"),"")</f>
        <v/>
      </c>
      <c r="AO463" s="183" t="str">
        <f>IFERROR(__xludf.DUMMYFUNCTION("QUERY('Volunteer Survey'!P462)"),"")</f>
        <v/>
      </c>
    </row>
    <row r="464">
      <c r="A464" s="55" t="str">
        <f>'Volunteer Survey'!A874</f>
        <v/>
      </c>
      <c r="B464" s="48" t="s">
        <v>322</v>
      </c>
      <c r="C464" s="53"/>
      <c r="D464" s="55"/>
      <c r="E464" s="55"/>
      <c r="F464" s="55" t="b">
        <v>0</v>
      </c>
      <c r="G464" s="55"/>
      <c r="H464" s="53"/>
      <c r="I464" s="53"/>
      <c r="J464" s="55"/>
      <c r="K464" s="55"/>
      <c r="L464" s="55" t="str">
        <f>'Volunteer Survey'!B874</f>
        <v/>
      </c>
      <c r="M464" s="55" t="str">
        <f>IFERROR(__xludf.DUMMYFUNCTION("QUERY('Volunteer Survey'!E858)"),"")</f>
        <v/>
      </c>
      <c r="N464" s="55" t="str">
        <f>'Volunteer Survey'!F875</f>
        <v/>
      </c>
      <c r="O464" s="48" t="str">
        <f>'Volunteer Survey'!H875</f>
        <v/>
      </c>
      <c r="P464" s="55"/>
      <c r="Q464" s="60" t="str">
        <f>IFERROR(__xludf.DUMMYFUNCTION("QUERY('Volunteer Survey'!J858)"),"")</f>
        <v/>
      </c>
      <c r="R464" s="55"/>
      <c r="S464" s="55" t="str">
        <f>'Volunteer Survey'!L869</f>
        <v/>
      </c>
      <c r="T464" s="55" t="str">
        <f>'Volunteer Survey'!M874</f>
        <v/>
      </c>
      <c r="U464" s="64"/>
      <c r="V464" s="55" t="str">
        <f>'Volunteer Survey'!O874</f>
        <v/>
      </c>
      <c r="W464" s="66" t="str">
        <f>IFERROR(__xludf.DUMMYFUNCTION("QUERY('Volunteer Survey'!P858)"),"")</f>
        <v/>
      </c>
      <c r="X464" s="64" t="str">
        <f>IFERROR(__xludf.DUMMYFUNCTION("QUERY('Volunteer Survey'!R858)"),"")</f>
        <v/>
      </c>
      <c r="Y464" s="53"/>
      <c r="Z464" s="183" t="str">
        <f>IFERROR(__xludf.DUMMYFUNCTION("QUERY('Volunteer Survey'!A463)"),"")</f>
        <v/>
      </c>
      <c r="AA464" s="183" t="str">
        <f>IFERROR(__xludf.DUMMYFUNCTION("QUERY('Volunteer Survey'!B463)"),"")</f>
        <v/>
      </c>
      <c r="AB464" s="183" t="str">
        <f>IFERROR(__xludf.DUMMYFUNCTION("QUERY('Volunteer Survey'!C463)"),"")</f>
        <v/>
      </c>
      <c r="AC464" s="183" t="str">
        <f>IFERROR(__xludf.DUMMYFUNCTION("QUERY('Volunteer Survey'!D463)"),"")</f>
        <v/>
      </c>
      <c r="AD464" s="183" t="str">
        <f>IFERROR(__xludf.DUMMYFUNCTION("QUERY('Volunteer Survey'!E463)"),"")</f>
        <v/>
      </c>
      <c r="AE464" s="183" t="str">
        <f>IFERROR(__xludf.DUMMYFUNCTION("QUERY('Volunteer Survey'!F463)"),"")</f>
        <v/>
      </c>
      <c r="AF464" s="183" t="str">
        <f>IFERROR(__xludf.DUMMYFUNCTION("QUERY('Volunteer Survey'!G463)"),"")</f>
        <v/>
      </c>
      <c r="AG464" s="183" t="str">
        <f>IFERROR(__xludf.DUMMYFUNCTION("QUERY('Volunteer Survey'!H463)"),"")</f>
        <v/>
      </c>
      <c r="AH464" s="183" t="str">
        <f>IFERROR(__xludf.DUMMYFUNCTION("QUERY('Volunteer Survey'!I463)"),"")</f>
        <v/>
      </c>
      <c r="AI464" s="183" t="str">
        <f>IFERROR(__xludf.DUMMYFUNCTION("QUERY('Volunteer Survey'!J463)"),"")</f>
        <v/>
      </c>
      <c r="AJ464" s="183" t="str">
        <f>IFERROR(__xludf.DUMMYFUNCTION("QUERY('Volunteer Survey'!K463)"),"")</f>
        <v/>
      </c>
      <c r="AK464" s="183" t="str">
        <f>IFERROR(__xludf.DUMMYFUNCTION("QUERY('Volunteer Survey'!L463)"),"")</f>
        <v/>
      </c>
      <c r="AL464" s="183" t="str">
        <f>IFERROR(__xludf.DUMMYFUNCTION("QUERY('Volunteer Survey'!M463)"),"")</f>
        <v/>
      </c>
      <c r="AM464" s="183" t="str">
        <f>IFERROR(__xludf.DUMMYFUNCTION("QUERY('Volunteer Survey'!N463)"),"")</f>
        <v/>
      </c>
      <c r="AN464" s="183" t="str">
        <f>IFERROR(__xludf.DUMMYFUNCTION("QUERY('Volunteer Survey'!O463)"),"")</f>
        <v/>
      </c>
      <c r="AO464" s="183" t="str">
        <f>IFERROR(__xludf.DUMMYFUNCTION("QUERY('Volunteer Survey'!P463)"),"")</f>
        <v/>
      </c>
    </row>
    <row r="465">
      <c r="A465" s="55" t="str">
        <f>'Volunteer Survey'!A875</f>
        <v/>
      </c>
      <c r="B465" s="48" t="s">
        <v>322</v>
      </c>
      <c r="C465" s="53"/>
      <c r="D465" s="55"/>
      <c r="E465" s="55"/>
      <c r="F465" s="55" t="b">
        <v>0</v>
      </c>
      <c r="G465" s="55"/>
      <c r="H465" s="53"/>
      <c r="I465" s="53"/>
      <c r="J465" s="55"/>
      <c r="K465" s="55"/>
      <c r="L465" s="55" t="str">
        <f>'Volunteer Survey'!B875</f>
        <v/>
      </c>
      <c r="M465" s="55" t="str">
        <f>IFERROR(__xludf.DUMMYFUNCTION("QUERY('Volunteer Survey'!E859)"),"")</f>
        <v/>
      </c>
      <c r="N465" s="55" t="str">
        <f>'Volunteer Survey'!F876</f>
        <v/>
      </c>
      <c r="O465" s="48" t="str">
        <f>'Volunteer Survey'!H876</f>
        <v/>
      </c>
      <c r="P465" s="55"/>
      <c r="Q465" s="60" t="str">
        <f>IFERROR(__xludf.DUMMYFUNCTION("QUERY('Volunteer Survey'!J859)"),"")</f>
        <v/>
      </c>
      <c r="R465" s="55"/>
      <c r="S465" s="55" t="str">
        <f>'Volunteer Survey'!L870</f>
        <v/>
      </c>
      <c r="T465" s="55" t="str">
        <f>'Volunteer Survey'!M875</f>
        <v/>
      </c>
      <c r="U465" s="64"/>
      <c r="V465" s="55" t="str">
        <f>'Volunteer Survey'!O875</f>
        <v/>
      </c>
      <c r="W465" s="66" t="str">
        <f>IFERROR(__xludf.DUMMYFUNCTION("QUERY('Volunteer Survey'!P859)"),"")</f>
        <v/>
      </c>
      <c r="X465" s="64" t="str">
        <f>IFERROR(__xludf.DUMMYFUNCTION("QUERY('Volunteer Survey'!R859)"),"")</f>
        <v/>
      </c>
      <c r="Y465" s="53"/>
      <c r="Z465" s="183" t="str">
        <f>IFERROR(__xludf.DUMMYFUNCTION("QUERY('Volunteer Survey'!A464)"),"")</f>
        <v/>
      </c>
      <c r="AA465" s="183" t="str">
        <f>IFERROR(__xludf.DUMMYFUNCTION("QUERY('Volunteer Survey'!B464)"),"")</f>
        <v/>
      </c>
      <c r="AB465" s="183" t="str">
        <f>IFERROR(__xludf.DUMMYFUNCTION("QUERY('Volunteer Survey'!C464)"),"")</f>
        <v/>
      </c>
      <c r="AC465" s="183" t="str">
        <f>IFERROR(__xludf.DUMMYFUNCTION("QUERY('Volunteer Survey'!D464)"),"")</f>
        <v/>
      </c>
      <c r="AD465" s="183" t="str">
        <f>IFERROR(__xludf.DUMMYFUNCTION("QUERY('Volunteer Survey'!E464)"),"")</f>
        <v/>
      </c>
      <c r="AE465" s="183" t="str">
        <f>IFERROR(__xludf.DUMMYFUNCTION("QUERY('Volunteer Survey'!F464)"),"")</f>
        <v/>
      </c>
      <c r="AF465" s="183" t="str">
        <f>IFERROR(__xludf.DUMMYFUNCTION("QUERY('Volunteer Survey'!G464)"),"")</f>
        <v/>
      </c>
      <c r="AG465" s="183" t="str">
        <f>IFERROR(__xludf.DUMMYFUNCTION("QUERY('Volunteer Survey'!H464)"),"")</f>
        <v/>
      </c>
      <c r="AH465" s="183" t="str">
        <f>IFERROR(__xludf.DUMMYFUNCTION("QUERY('Volunteer Survey'!I464)"),"")</f>
        <v/>
      </c>
      <c r="AI465" s="183" t="str">
        <f>IFERROR(__xludf.DUMMYFUNCTION("QUERY('Volunteer Survey'!J464)"),"")</f>
        <v/>
      </c>
      <c r="AJ465" s="183" t="str">
        <f>IFERROR(__xludf.DUMMYFUNCTION("QUERY('Volunteer Survey'!K464)"),"")</f>
        <v/>
      </c>
      <c r="AK465" s="183" t="str">
        <f>IFERROR(__xludf.DUMMYFUNCTION("QUERY('Volunteer Survey'!L464)"),"")</f>
        <v/>
      </c>
      <c r="AL465" s="183" t="str">
        <f>IFERROR(__xludf.DUMMYFUNCTION("QUERY('Volunteer Survey'!M464)"),"")</f>
        <v/>
      </c>
      <c r="AM465" s="183" t="str">
        <f>IFERROR(__xludf.DUMMYFUNCTION("QUERY('Volunteer Survey'!N464)"),"")</f>
        <v/>
      </c>
      <c r="AN465" s="183" t="str">
        <f>IFERROR(__xludf.DUMMYFUNCTION("QUERY('Volunteer Survey'!O464)"),"")</f>
        <v/>
      </c>
      <c r="AO465" s="183" t="str">
        <f>IFERROR(__xludf.DUMMYFUNCTION("QUERY('Volunteer Survey'!P464)"),"")</f>
        <v/>
      </c>
    </row>
    <row r="466">
      <c r="A466" s="55" t="str">
        <f>'Volunteer Survey'!A876</f>
        <v/>
      </c>
      <c r="B466" s="48" t="s">
        <v>322</v>
      </c>
      <c r="C466" s="53"/>
      <c r="D466" s="55"/>
      <c r="E466" s="55"/>
      <c r="F466" s="55" t="b">
        <v>0</v>
      </c>
      <c r="G466" s="55"/>
      <c r="H466" s="53"/>
      <c r="I466" s="53"/>
      <c r="J466" s="55"/>
      <c r="K466" s="55"/>
      <c r="L466" s="55" t="str">
        <f>'Volunteer Survey'!B876</f>
        <v/>
      </c>
      <c r="M466" s="55" t="str">
        <f>IFERROR(__xludf.DUMMYFUNCTION("QUERY('Volunteer Survey'!E860)"),"")</f>
        <v/>
      </c>
      <c r="N466" s="55" t="str">
        <f>'Volunteer Survey'!F877</f>
        <v/>
      </c>
      <c r="O466" s="48" t="str">
        <f>'Volunteer Survey'!H877</f>
        <v/>
      </c>
      <c r="P466" s="55"/>
      <c r="Q466" s="60" t="str">
        <f>IFERROR(__xludf.DUMMYFUNCTION("QUERY('Volunteer Survey'!J860)"),"")</f>
        <v/>
      </c>
      <c r="R466" s="55"/>
      <c r="S466" s="55" t="str">
        <f>'Volunteer Survey'!L871</f>
        <v/>
      </c>
      <c r="T466" s="55" t="str">
        <f>'Volunteer Survey'!M876</f>
        <v/>
      </c>
      <c r="U466" s="64"/>
      <c r="V466" s="55" t="str">
        <f>'Volunteer Survey'!O876</f>
        <v/>
      </c>
      <c r="W466" s="66" t="str">
        <f>'Volunteer Survey'!P876</f>
        <v/>
      </c>
      <c r="X466" s="64" t="str">
        <f>IFERROR(__xludf.DUMMYFUNCTION("QUERY('Volunteer Survey'!R860)"),"")</f>
        <v/>
      </c>
      <c r="Y466" s="53"/>
      <c r="Z466" s="183" t="str">
        <f>IFERROR(__xludf.DUMMYFUNCTION("QUERY('Volunteer Survey'!A465)"),"")</f>
        <v/>
      </c>
      <c r="AA466" s="183" t="str">
        <f>IFERROR(__xludf.DUMMYFUNCTION("QUERY('Volunteer Survey'!B465)"),"")</f>
        <v/>
      </c>
      <c r="AB466" s="183" t="str">
        <f>IFERROR(__xludf.DUMMYFUNCTION("QUERY('Volunteer Survey'!C465)"),"")</f>
        <v/>
      </c>
      <c r="AC466" s="183" t="str">
        <f>IFERROR(__xludf.DUMMYFUNCTION("QUERY('Volunteer Survey'!D465)"),"")</f>
        <v/>
      </c>
      <c r="AD466" s="183" t="str">
        <f>IFERROR(__xludf.DUMMYFUNCTION("QUERY('Volunteer Survey'!E465)"),"")</f>
        <v/>
      </c>
      <c r="AE466" s="183" t="str">
        <f>IFERROR(__xludf.DUMMYFUNCTION("QUERY('Volunteer Survey'!F465)"),"")</f>
        <v/>
      </c>
      <c r="AF466" s="183" t="str">
        <f>IFERROR(__xludf.DUMMYFUNCTION("QUERY('Volunteer Survey'!G465)"),"")</f>
        <v/>
      </c>
      <c r="AG466" s="183" t="str">
        <f>IFERROR(__xludf.DUMMYFUNCTION("QUERY('Volunteer Survey'!H465)"),"")</f>
        <v/>
      </c>
      <c r="AH466" s="183" t="str">
        <f>IFERROR(__xludf.DUMMYFUNCTION("QUERY('Volunteer Survey'!I465)"),"")</f>
        <v/>
      </c>
      <c r="AI466" s="183" t="str">
        <f>IFERROR(__xludf.DUMMYFUNCTION("QUERY('Volunteer Survey'!J465)"),"")</f>
        <v/>
      </c>
      <c r="AJ466" s="183" t="str">
        <f>IFERROR(__xludf.DUMMYFUNCTION("QUERY('Volunteer Survey'!K465)"),"")</f>
        <v/>
      </c>
      <c r="AK466" s="183" t="str">
        <f>IFERROR(__xludf.DUMMYFUNCTION("QUERY('Volunteer Survey'!L465)"),"")</f>
        <v/>
      </c>
      <c r="AL466" s="183" t="str">
        <f>IFERROR(__xludf.DUMMYFUNCTION("QUERY('Volunteer Survey'!M465)"),"")</f>
        <v/>
      </c>
      <c r="AM466" s="183" t="str">
        <f>IFERROR(__xludf.DUMMYFUNCTION("QUERY('Volunteer Survey'!N465)"),"")</f>
        <v/>
      </c>
      <c r="AN466" s="183" t="str">
        <f>IFERROR(__xludf.DUMMYFUNCTION("QUERY('Volunteer Survey'!O465)"),"")</f>
        <v/>
      </c>
      <c r="AO466" s="183" t="str">
        <f>IFERROR(__xludf.DUMMYFUNCTION("QUERY('Volunteer Survey'!P465)"),"")</f>
        <v/>
      </c>
    </row>
    <row r="467">
      <c r="A467" s="55" t="str">
        <f>'Volunteer Survey'!A877</f>
        <v/>
      </c>
      <c r="B467" s="48" t="s">
        <v>322</v>
      </c>
      <c r="C467" s="53"/>
      <c r="D467" s="55"/>
      <c r="E467" s="55"/>
      <c r="F467" s="55" t="b">
        <v>0</v>
      </c>
      <c r="G467" s="55"/>
      <c r="H467" s="53"/>
      <c r="I467" s="53"/>
      <c r="J467" s="55"/>
      <c r="K467" s="55"/>
      <c r="L467" s="55" t="str">
        <f>'Volunteer Survey'!B877</f>
        <v/>
      </c>
      <c r="M467" s="55" t="str">
        <f>IFERROR(__xludf.DUMMYFUNCTION("QUERY('Volunteer Survey'!E861)"),"")</f>
        <v/>
      </c>
      <c r="N467" s="55" t="str">
        <f>'Volunteer Survey'!F878</f>
        <v/>
      </c>
      <c r="O467" s="48" t="str">
        <f>'Volunteer Survey'!H878</f>
        <v/>
      </c>
      <c r="P467" s="55"/>
      <c r="Q467" s="60" t="str">
        <f>IFERROR(__xludf.DUMMYFUNCTION("QUERY('Volunteer Survey'!J861)"),"")</f>
        <v/>
      </c>
      <c r="R467" s="55"/>
      <c r="S467" s="55" t="str">
        <f>'Volunteer Survey'!L872</f>
        <v/>
      </c>
      <c r="T467" s="55" t="str">
        <f>'Volunteer Survey'!M877</f>
        <v/>
      </c>
      <c r="U467" s="64"/>
      <c r="V467" s="55" t="str">
        <f>'Volunteer Survey'!O877</f>
        <v/>
      </c>
      <c r="W467" s="66" t="str">
        <f>'Volunteer Survey'!P877</f>
        <v/>
      </c>
      <c r="X467" s="64" t="str">
        <f>IFERROR(__xludf.DUMMYFUNCTION("QUERY('Volunteer Survey'!R861)"),"")</f>
        <v/>
      </c>
      <c r="Y467" s="53"/>
      <c r="Z467" s="183" t="str">
        <f>IFERROR(__xludf.DUMMYFUNCTION("QUERY('Volunteer Survey'!A466)"),"")</f>
        <v/>
      </c>
      <c r="AA467" s="183" t="str">
        <f>IFERROR(__xludf.DUMMYFUNCTION("QUERY('Volunteer Survey'!B466)"),"")</f>
        <v/>
      </c>
      <c r="AB467" s="183" t="str">
        <f>IFERROR(__xludf.DUMMYFUNCTION("QUERY('Volunteer Survey'!C466)"),"")</f>
        <v/>
      </c>
      <c r="AC467" s="183" t="str">
        <f>IFERROR(__xludf.DUMMYFUNCTION("QUERY('Volunteer Survey'!D466)"),"")</f>
        <v/>
      </c>
      <c r="AD467" s="183" t="str">
        <f>IFERROR(__xludf.DUMMYFUNCTION("QUERY('Volunteer Survey'!E466)"),"")</f>
        <v/>
      </c>
      <c r="AE467" s="183" t="str">
        <f>IFERROR(__xludf.DUMMYFUNCTION("QUERY('Volunteer Survey'!F466)"),"")</f>
        <v/>
      </c>
      <c r="AF467" s="183" t="str">
        <f>IFERROR(__xludf.DUMMYFUNCTION("QUERY('Volunteer Survey'!G466)"),"")</f>
        <v/>
      </c>
      <c r="AG467" s="183" t="str">
        <f>IFERROR(__xludf.DUMMYFUNCTION("QUERY('Volunteer Survey'!H466)"),"")</f>
        <v/>
      </c>
      <c r="AH467" s="183" t="str">
        <f>IFERROR(__xludf.DUMMYFUNCTION("QUERY('Volunteer Survey'!I466)"),"")</f>
        <v/>
      </c>
      <c r="AI467" s="183" t="str">
        <f>IFERROR(__xludf.DUMMYFUNCTION("QUERY('Volunteer Survey'!J466)"),"")</f>
        <v/>
      </c>
      <c r="AJ467" s="183" t="str">
        <f>IFERROR(__xludf.DUMMYFUNCTION("QUERY('Volunteer Survey'!K466)"),"")</f>
        <v/>
      </c>
      <c r="AK467" s="183" t="str">
        <f>IFERROR(__xludf.DUMMYFUNCTION("QUERY('Volunteer Survey'!L466)"),"")</f>
        <v/>
      </c>
      <c r="AL467" s="183" t="str">
        <f>IFERROR(__xludf.DUMMYFUNCTION("QUERY('Volunteer Survey'!M466)"),"")</f>
        <v/>
      </c>
      <c r="AM467" s="183" t="str">
        <f>IFERROR(__xludf.DUMMYFUNCTION("QUERY('Volunteer Survey'!N466)"),"")</f>
        <v/>
      </c>
      <c r="AN467" s="183" t="str">
        <f>IFERROR(__xludf.DUMMYFUNCTION("QUERY('Volunteer Survey'!O466)"),"")</f>
        <v/>
      </c>
      <c r="AO467" s="183" t="str">
        <f>IFERROR(__xludf.DUMMYFUNCTION("QUERY('Volunteer Survey'!P466)"),"")</f>
        <v/>
      </c>
    </row>
    <row r="468">
      <c r="A468" s="55" t="str">
        <f>'Volunteer Survey'!A878</f>
        <v/>
      </c>
      <c r="B468" s="48" t="s">
        <v>322</v>
      </c>
      <c r="C468" s="53"/>
      <c r="D468" s="55"/>
      <c r="E468" s="55"/>
      <c r="F468" s="55" t="b">
        <v>0</v>
      </c>
      <c r="G468" s="55"/>
      <c r="H468" s="53"/>
      <c r="I468" s="53"/>
      <c r="J468" s="55"/>
      <c r="K468" s="55"/>
      <c r="L468" s="55" t="str">
        <f>'Volunteer Survey'!B878</f>
        <v/>
      </c>
      <c r="M468" s="55" t="str">
        <f>IFERROR(__xludf.DUMMYFUNCTION("QUERY('Volunteer Survey'!E862)"),"")</f>
        <v/>
      </c>
      <c r="N468" s="55" t="str">
        <f>'Volunteer Survey'!F879</f>
        <v/>
      </c>
      <c r="O468" s="48" t="str">
        <f>'Volunteer Survey'!H879</f>
        <v/>
      </c>
      <c r="P468" s="55"/>
      <c r="Q468" s="60" t="str">
        <f>IFERROR(__xludf.DUMMYFUNCTION("QUERY('Volunteer Survey'!J862)"),"")</f>
        <v/>
      </c>
      <c r="R468" s="55"/>
      <c r="S468" s="55" t="str">
        <f>'Volunteer Survey'!L873</f>
        <v/>
      </c>
      <c r="T468" s="55" t="str">
        <f>'Volunteer Survey'!M878</f>
        <v/>
      </c>
      <c r="U468" s="64"/>
      <c r="V468" s="55" t="str">
        <f>'Volunteer Survey'!O878</f>
        <v/>
      </c>
      <c r="W468" s="66" t="str">
        <f>'Volunteer Survey'!P878</f>
        <v/>
      </c>
      <c r="X468" s="64" t="str">
        <f>IFERROR(__xludf.DUMMYFUNCTION("QUERY('Volunteer Survey'!R862)"),"")</f>
        <v/>
      </c>
      <c r="Y468" s="53"/>
      <c r="Z468" s="183" t="str">
        <f>IFERROR(__xludf.DUMMYFUNCTION("QUERY('Volunteer Survey'!A467)"),"")</f>
        <v/>
      </c>
      <c r="AA468" s="183" t="str">
        <f>IFERROR(__xludf.DUMMYFUNCTION("QUERY('Volunteer Survey'!B467)"),"")</f>
        <v/>
      </c>
      <c r="AB468" s="183" t="str">
        <f>IFERROR(__xludf.DUMMYFUNCTION("QUERY('Volunteer Survey'!C467)"),"")</f>
        <v/>
      </c>
      <c r="AC468" s="183" t="str">
        <f>IFERROR(__xludf.DUMMYFUNCTION("QUERY('Volunteer Survey'!D467)"),"")</f>
        <v/>
      </c>
      <c r="AD468" s="183" t="str">
        <f>IFERROR(__xludf.DUMMYFUNCTION("QUERY('Volunteer Survey'!E467)"),"")</f>
        <v/>
      </c>
      <c r="AE468" s="183" t="str">
        <f>IFERROR(__xludf.DUMMYFUNCTION("QUERY('Volunteer Survey'!F467)"),"")</f>
        <v/>
      </c>
      <c r="AF468" s="183" t="str">
        <f>IFERROR(__xludf.DUMMYFUNCTION("QUERY('Volunteer Survey'!G467)"),"")</f>
        <v/>
      </c>
      <c r="AG468" s="183" t="str">
        <f>IFERROR(__xludf.DUMMYFUNCTION("QUERY('Volunteer Survey'!H467)"),"")</f>
        <v/>
      </c>
      <c r="AH468" s="183" t="str">
        <f>IFERROR(__xludf.DUMMYFUNCTION("QUERY('Volunteer Survey'!I467)"),"")</f>
        <v/>
      </c>
      <c r="AI468" s="183" t="str">
        <f>IFERROR(__xludf.DUMMYFUNCTION("QUERY('Volunteer Survey'!J467)"),"")</f>
        <v/>
      </c>
      <c r="AJ468" s="183" t="str">
        <f>IFERROR(__xludf.DUMMYFUNCTION("QUERY('Volunteer Survey'!K467)"),"")</f>
        <v/>
      </c>
      <c r="AK468" s="183" t="str">
        <f>IFERROR(__xludf.DUMMYFUNCTION("QUERY('Volunteer Survey'!L467)"),"")</f>
        <v/>
      </c>
      <c r="AL468" s="183" t="str">
        <f>IFERROR(__xludf.DUMMYFUNCTION("QUERY('Volunteer Survey'!M467)"),"")</f>
        <v/>
      </c>
      <c r="AM468" s="183" t="str">
        <f>IFERROR(__xludf.DUMMYFUNCTION("QUERY('Volunteer Survey'!N467)"),"")</f>
        <v/>
      </c>
      <c r="AN468" s="183" t="str">
        <f>IFERROR(__xludf.DUMMYFUNCTION("QUERY('Volunteer Survey'!O467)"),"")</f>
        <v/>
      </c>
      <c r="AO468" s="183" t="str">
        <f>IFERROR(__xludf.DUMMYFUNCTION("QUERY('Volunteer Survey'!P467)"),"")</f>
        <v/>
      </c>
    </row>
    <row r="469">
      <c r="A469" s="55" t="str">
        <f>'Volunteer Survey'!A879</f>
        <v/>
      </c>
      <c r="B469" s="48" t="s">
        <v>322</v>
      </c>
      <c r="C469" s="53"/>
      <c r="D469" s="55"/>
      <c r="E469" s="55"/>
      <c r="F469" s="55" t="b">
        <v>0</v>
      </c>
      <c r="G469" s="55"/>
      <c r="H469" s="53"/>
      <c r="I469" s="53"/>
      <c r="J469" s="55"/>
      <c r="K469" s="55"/>
      <c r="L469" s="55" t="str">
        <f>'Volunteer Survey'!B879</f>
        <v/>
      </c>
      <c r="M469" s="55" t="str">
        <f>IFERROR(__xludf.DUMMYFUNCTION("QUERY('Volunteer Survey'!E863)"),"")</f>
        <v/>
      </c>
      <c r="N469" s="55" t="str">
        <f>'Volunteer Survey'!F880</f>
        <v/>
      </c>
      <c r="O469" s="48" t="str">
        <f>'Volunteer Survey'!H880</f>
        <v/>
      </c>
      <c r="P469" s="55"/>
      <c r="Q469" s="60" t="str">
        <f>IFERROR(__xludf.DUMMYFUNCTION("QUERY('Volunteer Survey'!J863)"),"")</f>
        <v/>
      </c>
      <c r="R469" s="55"/>
      <c r="S469" s="55" t="str">
        <f>'Volunteer Survey'!L874</f>
        <v/>
      </c>
      <c r="T469" s="55" t="str">
        <f>'Volunteer Survey'!M879</f>
        <v/>
      </c>
      <c r="U469" s="64"/>
      <c r="V469" s="55" t="str">
        <f>'Volunteer Survey'!O879</f>
        <v/>
      </c>
      <c r="W469" s="66" t="str">
        <f>'Volunteer Survey'!P879</f>
        <v/>
      </c>
      <c r="X469" s="64" t="str">
        <f>IFERROR(__xludf.DUMMYFUNCTION("QUERY('Volunteer Survey'!R863)"),"")</f>
        <v/>
      </c>
      <c r="Y469" s="53"/>
      <c r="Z469" s="183" t="str">
        <f>IFERROR(__xludf.DUMMYFUNCTION("QUERY('Volunteer Survey'!A468)"),"")</f>
        <v/>
      </c>
      <c r="AA469" s="183" t="str">
        <f>IFERROR(__xludf.DUMMYFUNCTION("QUERY('Volunteer Survey'!B468)"),"")</f>
        <v/>
      </c>
      <c r="AB469" s="183" t="str">
        <f>IFERROR(__xludf.DUMMYFUNCTION("QUERY('Volunteer Survey'!C468)"),"")</f>
        <v/>
      </c>
      <c r="AC469" s="183" t="str">
        <f>IFERROR(__xludf.DUMMYFUNCTION("QUERY('Volunteer Survey'!D468)"),"")</f>
        <v/>
      </c>
      <c r="AD469" s="183" t="str">
        <f>IFERROR(__xludf.DUMMYFUNCTION("QUERY('Volunteer Survey'!E468)"),"")</f>
        <v/>
      </c>
      <c r="AE469" s="183" t="str">
        <f>IFERROR(__xludf.DUMMYFUNCTION("QUERY('Volunteer Survey'!F468)"),"")</f>
        <v/>
      </c>
      <c r="AF469" s="183" t="str">
        <f>IFERROR(__xludf.DUMMYFUNCTION("QUERY('Volunteer Survey'!G468)"),"")</f>
        <v/>
      </c>
      <c r="AG469" s="183" t="str">
        <f>IFERROR(__xludf.DUMMYFUNCTION("QUERY('Volunteer Survey'!H468)"),"")</f>
        <v/>
      </c>
      <c r="AH469" s="183" t="str">
        <f>IFERROR(__xludf.DUMMYFUNCTION("QUERY('Volunteer Survey'!I468)"),"")</f>
        <v/>
      </c>
      <c r="AI469" s="183" t="str">
        <f>IFERROR(__xludf.DUMMYFUNCTION("QUERY('Volunteer Survey'!J468)"),"")</f>
        <v/>
      </c>
      <c r="AJ469" s="183" t="str">
        <f>IFERROR(__xludf.DUMMYFUNCTION("QUERY('Volunteer Survey'!K468)"),"")</f>
        <v/>
      </c>
      <c r="AK469" s="183" t="str">
        <f>IFERROR(__xludf.DUMMYFUNCTION("QUERY('Volunteer Survey'!L468)"),"")</f>
        <v/>
      </c>
      <c r="AL469" s="183" t="str">
        <f>IFERROR(__xludf.DUMMYFUNCTION("QUERY('Volunteer Survey'!M468)"),"")</f>
        <v/>
      </c>
      <c r="AM469" s="183" t="str">
        <f>IFERROR(__xludf.DUMMYFUNCTION("QUERY('Volunteer Survey'!N468)"),"")</f>
        <v/>
      </c>
      <c r="AN469" s="183" t="str">
        <f>IFERROR(__xludf.DUMMYFUNCTION("QUERY('Volunteer Survey'!O468)"),"")</f>
        <v/>
      </c>
      <c r="AO469" s="183" t="str">
        <f>IFERROR(__xludf.DUMMYFUNCTION("QUERY('Volunteer Survey'!P468)"),"")</f>
        <v/>
      </c>
    </row>
    <row r="470">
      <c r="A470" s="55" t="str">
        <f>'Volunteer Survey'!A880</f>
        <v/>
      </c>
      <c r="B470" s="48" t="s">
        <v>322</v>
      </c>
      <c r="C470" s="53"/>
      <c r="D470" s="55"/>
      <c r="E470" s="55"/>
      <c r="F470" s="55" t="b">
        <v>0</v>
      </c>
      <c r="G470" s="55"/>
      <c r="H470" s="53"/>
      <c r="I470" s="53"/>
      <c r="J470" s="55"/>
      <c r="K470" s="55"/>
      <c r="L470" s="55" t="str">
        <f>'Volunteer Survey'!B880</f>
        <v/>
      </c>
      <c r="M470" s="55" t="str">
        <f>IFERROR(__xludf.DUMMYFUNCTION("QUERY('Volunteer Survey'!E864)"),"")</f>
        <v/>
      </c>
      <c r="N470" s="55" t="str">
        <f>'Volunteer Survey'!F881</f>
        <v/>
      </c>
      <c r="O470" s="48" t="str">
        <f>'Volunteer Survey'!H881</f>
        <v/>
      </c>
      <c r="P470" s="55"/>
      <c r="Q470" s="60" t="str">
        <f>IFERROR(__xludf.DUMMYFUNCTION("QUERY('Volunteer Survey'!J864)"),"")</f>
        <v/>
      </c>
      <c r="R470" s="55"/>
      <c r="S470" s="55" t="str">
        <f>'Volunteer Survey'!L875</f>
        <v/>
      </c>
      <c r="T470" s="55" t="str">
        <f>'Volunteer Survey'!M880</f>
        <v/>
      </c>
      <c r="U470" s="64"/>
      <c r="V470" s="55" t="str">
        <f>'Volunteer Survey'!O880</f>
        <v/>
      </c>
      <c r="W470" s="66" t="str">
        <f>'Volunteer Survey'!P880</f>
        <v/>
      </c>
      <c r="X470" s="64" t="str">
        <f>IFERROR(__xludf.DUMMYFUNCTION("QUERY('Volunteer Survey'!R864)"),"")</f>
        <v/>
      </c>
      <c r="Y470" s="53"/>
      <c r="Z470" s="183" t="str">
        <f>IFERROR(__xludf.DUMMYFUNCTION("QUERY('Volunteer Survey'!A469)"),"")</f>
        <v/>
      </c>
      <c r="AA470" s="183" t="str">
        <f>IFERROR(__xludf.DUMMYFUNCTION("QUERY('Volunteer Survey'!B469)"),"")</f>
        <v/>
      </c>
      <c r="AB470" s="183" t="str">
        <f>IFERROR(__xludf.DUMMYFUNCTION("QUERY('Volunteer Survey'!C469)"),"")</f>
        <v/>
      </c>
      <c r="AC470" s="183" t="str">
        <f>IFERROR(__xludf.DUMMYFUNCTION("QUERY('Volunteer Survey'!D469)"),"")</f>
        <v/>
      </c>
      <c r="AD470" s="183" t="str">
        <f>IFERROR(__xludf.DUMMYFUNCTION("QUERY('Volunteer Survey'!E469)"),"")</f>
        <v/>
      </c>
      <c r="AE470" s="183" t="str">
        <f>IFERROR(__xludf.DUMMYFUNCTION("QUERY('Volunteer Survey'!F469)"),"")</f>
        <v/>
      </c>
      <c r="AF470" s="183" t="str">
        <f>IFERROR(__xludf.DUMMYFUNCTION("QUERY('Volunteer Survey'!G469)"),"")</f>
        <v/>
      </c>
      <c r="AG470" s="183" t="str">
        <f>IFERROR(__xludf.DUMMYFUNCTION("QUERY('Volunteer Survey'!H469)"),"")</f>
        <v/>
      </c>
      <c r="AH470" s="183" t="str">
        <f>IFERROR(__xludf.DUMMYFUNCTION("QUERY('Volunteer Survey'!I469)"),"")</f>
        <v/>
      </c>
      <c r="AI470" s="183" t="str">
        <f>IFERROR(__xludf.DUMMYFUNCTION("QUERY('Volunteer Survey'!J469)"),"")</f>
        <v/>
      </c>
      <c r="AJ470" s="183" t="str">
        <f>IFERROR(__xludf.DUMMYFUNCTION("QUERY('Volunteer Survey'!K469)"),"")</f>
        <v/>
      </c>
      <c r="AK470" s="183" t="str">
        <f>IFERROR(__xludf.DUMMYFUNCTION("QUERY('Volunteer Survey'!L469)"),"")</f>
        <v/>
      </c>
      <c r="AL470" s="183" t="str">
        <f>IFERROR(__xludf.DUMMYFUNCTION("QUERY('Volunteer Survey'!M469)"),"")</f>
        <v/>
      </c>
      <c r="AM470" s="183" t="str">
        <f>IFERROR(__xludf.DUMMYFUNCTION("QUERY('Volunteer Survey'!N469)"),"")</f>
        <v/>
      </c>
      <c r="AN470" s="183" t="str">
        <f>IFERROR(__xludf.DUMMYFUNCTION("QUERY('Volunteer Survey'!O469)"),"")</f>
        <v/>
      </c>
      <c r="AO470" s="183" t="str">
        <f>IFERROR(__xludf.DUMMYFUNCTION("QUERY('Volunteer Survey'!P469)"),"")</f>
        <v/>
      </c>
    </row>
    <row r="471">
      <c r="A471" s="55" t="str">
        <f>'Volunteer Survey'!A881</f>
        <v/>
      </c>
      <c r="B471" s="48" t="s">
        <v>322</v>
      </c>
      <c r="C471" s="53"/>
      <c r="D471" s="55"/>
      <c r="E471" s="55"/>
      <c r="F471" s="55" t="b">
        <v>0</v>
      </c>
      <c r="G471" s="55"/>
      <c r="H471" s="53"/>
      <c r="I471" s="53"/>
      <c r="J471" s="55"/>
      <c r="K471" s="55"/>
      <c r="L471" s="55" t="str">
        <f>'Volunteer Survey'!B881</f>
        <v/>
      </c>
      <c r="M471" s="55" t="str">
        <f>IFERROR(__xludf.DUMMYFUNCTION("QUERY('Volunteer Survey'!E865)"),"")</f>
        <v/>
      </c>
      <c r="N471" s="55" t="str">
        <f>'Volunteer Survey'!F882</f>
        <v/>
      </c>
      <c r="O471" s="48" t="str">
        <f>'Volunteer Survey'!H882</f>
        <v/>
      </c>
      <c r="P471" s="55"/>
      <c r="Q471" s="60" t="str">
        <f>IFERROR(__xludf.DUMMYFUNCTION("QUERY('Volunteer Survey'!J865)"),"")</f>
        <v/>
      </c>
      <c r="R471" s="55"/>
      <c r="S471" s="55" t="str">
        <f>'Volunteer Survey'!L876</f>
        <v/>
      </c>
      <c r="T471" s="55" t="str">
        <f>'Volunteer Survey'!M881</f>
        <v/>
      </c>
      <c r="U471" s="64"/>
      <c r="V471" s="55" t="str">
        <f>'Volunteer Survey'!O881</f>
        <v/>
      </c>
      <c r="W471" s="66" t="str">
        <f>'Volunteer Survey'!P881</f>
        <v/>
      </c>
      <c r="X471" s="64" t="str">
        <f>IFERROR(__xludf.DUMMYFUNCTION("QUERY('Volunteer Survey'!R865)"),"")</f>
        <v/>
      </c>
      <c r="Y471" s="53"/>
      <c r="Z471" s="183" t="str">
        <f>IFERROR(__xludf.DUMMYFUNCTION("QUERY('Volunteer Survey'!A470)"),"")</f>
        <v/>
      </c>
      <c r="AA471" s="183" t="str">
        <f>IFERROR(__xludf.DUMMYFUNCTION("QUERY('Volunteer Survey'!B470)"),"")</f>
        <v/>
      </c>
      <c r="AB471" s="183" t="str">
        <f>IFERROR(__xludf.DUMMYFUNCTION("QUERY('Volunteer Survey'!C470)"),"")</f>
        <v/>
      </c>
      <c r="AC471" s="183" t="str">
        <f>IFERROR(__xludf.DUMMYFUNCTION("QUERY('Volunteer Survey'!D470)"),"")</f>
        <v/>
      </c>
      <c r="AD471" s="183" t="str">
        <f>IFERROR(__xludf.DUMMYFUNCTION("QUERY('Volunteer Survey'!E470)"),"")</f>
        <v/>
      </c>
      <c r="AE471" s="183" t="str">
        <f>IFERROR(__xludf.DUMMYFUNCTION("QUERY('Volunteer Survey'!F470)"),"")</f>
        <v/>
      </c>
      <c r="AF471" s="183" t="str">
        <f>IFERROR(__xludf.DUMMYFUNCTION("QUERY('Volunteer Survey'!G470)"),"")</f>
        <v/>
      </c>
      <c r="AG471" s="183" t="str">
        <f>IFERROR(__xludf.DUMMYFUNCTION("QUERY('Volunteer Survey'!H470)"),"")</f>
        <v/>
      </c>
      <c r="AH471" s="183" t="str">
        <f>IFERROR(__xludf.DUMMYFUNCTION("QUERY('Volunteer Survey'!I470)"),"")</f>
        <v/>
      </c>
      <c r="AI471" s="183" t="str">
        <f>IFERROR(__xludf.DUMMYFUNCTION("QUERY('Volunteer Survey'!J470)"),"")</f>
        <v/>
      </c>
      <c r="AJ471" s="183" t="str">
        <f>IFERROR(__xludf.DUMMYFUNCTION("QUERY('Volunteer Survey'!K470)"),"")</f>
        <v/>
      </c>
      <c r="AK471" s="183" t="str">
        <f>IFERROR(__xludf.DUMMYFUNCTION("QUERY('Volunteer Survey'!L470)"),"")</f>
        <v/>
      </c>
      <c r="AL471" s="183" t="str">
        <f>IFERROR(__xludf.DUMMYFUNCTION("QUERY('Volunteer Survey'!M470)"),"")</f>
        <v/>
      </c>
      <c r="AM471" s="183" t="str">
        <f>IFERROR(__xludf.DUMMYFUNCTION("QUERY('Volunteer Survey'!N470)"),"")</f>
        <v/>
      </c>
      <c r="AN471" s="183" t="str">
        <f>IFERROR(__xludf.DUMMYFUNCTION("QUERY('Volunteer Survey'!O470)"),"")</f>
        <v/>
      </c>
      <c r="AO471" s="183" t="str">
        <f>IFERROR(__xludf.DUMMYFUNCTION("QUERY('Volunteer Survey'!P470)"),"")</f>
        <v/>
      </c>
    </row>
    <row r="472">
      <c r="A472" s="55" t="str">
        <f>'Volunteer Survey'!A882</f>
        <v/>
      </c>
      <c r="B472" s="48" t="s">
        <v>322</v>
      </c>
      <c r="C472" s="53"/>
      <c r="D472" s="55"/>
      <c r="E472" s="55"/>
      <c r="F472" s="55" t="b">
        <v>0</v>
      </c>
      <c r="G472" s="55"/>
      <c r="H472" s="53"/>
      <c r="I472" s="53"/>
      <c r="J472" s="55"/>
      <c r="K472" s="55"/>
      <c r="L472" s="55" t="str">
        <f>'Volunteer Survey'!B882</f>
        <v/>
      </c>
      <c r="M472" s="55" t="str">
        <f>IFERROR(__xludf.DUMMYFUNCTION("QUERY('Volunteer Survey'!E866)"),"")</f>
        <v/>
      </c>
      <c r="N472" s="55" t="str">
        <f>'Volunteer Survey'!F883</f>
        <v/>
      </c>
      <c r="O472" s="48" t="str">
        <f>'Volunteer Survey'!H883</f>
        <v/>
      </c>
      <c r="P472" s="55"/>
      <c r="Q472" s="60" t="str">
        <f>IFERROR(__xludf.DUMMYFUNCTION("QUERY('Volunteer Survey'!J866)"),"")</f>
        <v/>
      </c>
      <c r="R472" s="55"/>
      <c r="S472" s="55" t="str">
        <f>'Volunteer Survey'!L877</f>
        <v/>
      </c>
      <c r="T472" s="55" t="str">
        <f>'Volunteer Survey'!M882</f>
        <v/>
      </c>
      <c r="U472" s="64"/>
      <c r="V472" s="55" t="str">
        <f>'Volunteer Survey'!O882</f>
        <v/>
      </c>
      <c r="W472" s="66" t="str">
        <f>'Volunteer Survey'!P882</f>
        <v/>
      </c>
      <c r="X472" s="64" t="str">
        <f>IFERROR(__xludf.DUMMYFUNCTION("QUERY('Volunteer Survey'!R866)"),"")</f>
        <v/>
      </c>
      <c r="Y472" s="53"/>
      <c r="Z472" s="183" t="str">
        <f>IFERROR(__xludf.DUMMYFUNCTION("QUERY('Volunteer Survey'!A471)"),"")</f>
        <v/>
      </c>
      <c r="AA472" s="183" t="str">
        <f>IFERROR(__xludf.DUMMYFUNCTION("QUERY('Volunteer Survey'!B471)"),"")</f>
        <v/>
      </c>
      <c r="AB472" s="183" t="str">
        <f>IFERROR(__xludf.DUMMYFUNCTION("QUERY('Volunteer Survey'!C471)"),"")</f>
        <v/>
      </c>
      <c r="AC472" s="183" t="str">
        <f>IFERROR(__xludf.DUMMYFUNCTION("QUERY('Volunteer Survey'!D471)"),"")</f>
        <v/>
      </c>
      <c r="AD472" s="183" t="str">
        <f>IFERROR(__xludf.DUMMYFUNCTION("QUERY('Volunteer Survey'!E471)"),"")</f>
        <v/>
      </c>
      <c r="AE472" s="183" t="str">
        <f>IFERROR(__xludf.DUMMYFUNCTION("QUERY('Volunteer Survey'!F471)"),"")</f>
        <v/>
      </c>
      <c r="AF472" s="183" t="str">
        <f>IFERROR(__xludf.DUMMYFUNCTION("QUERY('Volunteer Survey'!G471)"),"")</f>
        <v/>
      </c>
      <c r="AG472" s="183" t="str">
        <f>IFERROR(__xludf.DUMMYFUNCTION("QUERY('Volunteer Survey'!H471)"),"")</f>
        <v/>
      </c>
      <c r="AH472" s="183" t="str">
        <f>IFERROR(__xludf.DUMMYFUNCTION("QUERY('Volunteer Survey'!I471)"),"")</f>
        <v/>
      </c>
      <c r="AI472" s="183" t="str">
        <f>IFERROR(__xludf.DUMMYFUNCTION("QUERY('Volunteer Survey'!J471)"),"")</f>
        <v/>
      </c>
      <c r="AJ472" s="183" t="str">
        <f>IFERROR(__xludf.DUMMYFUNCTION("QUERY('Volunteer Survey'!K471)"),"")</f>
        <v/>
      </c>
      <c r="AK472" s="183" t="str">
        <f>IFERROR(__xludf.DUMMYFUNCTION("QUERY('Volunteer Survey'!L471)"),"")</f>
        <v/>
      </c>
      <c r="AL472" s="183" t="str">
        <f>IFERROR(__xludf.DUMMYFUNCTION("QUERY('Volunteer Survey'!M471)"),"")</f>
        <v/>
      </c>
      <c r="AM472" s="183" t="str">
        <f>IFERROR(__xludf.DUMMYFUNCTION("QUERY('Volunteer Survey'!N471)"),"")</f>
        <v/>
      </c>
      <c r="AN472" s="183" t="str">
        <f>IFERROR(__xludf.DUMMYFUNCTION("QUERY('Volunteer Survey'!O471)"),"")</f>
        <v/>
      </c>
      <c r="AO472" s="183" t="str">
        <f>IFERROR(__xludf.DUMMYFUNCTION("QUERY('Volunteer Survey'!P471)"),"")</f>
        <v/>
      </c>
    </row>
    <row r="473">
      <c r="A473" s="55" t="str">
        <f>'Volunteer Survey'!A883</f>
        <v/>
      </c>
      <c r="B473" s="48" t="s">
        <v>322</v>
      </c>
      <c r="C473" s="53"/>
      <c r="D473" s="55"/>
      <c r="E473" s="55"/>
      <c r="F473" s="55" t="b">
        <v>0</v>
      </c>
      <c r="G473" s="55"/>
      <c r="H473" s="53"/>
      <c r="I473" s="53"/>
      <c r="J473" s="55"/>
      <c r="K473" s="55"/>
      <c r="L473" s="55" t="str">
        <f>'Volunteer Survey'!B883</f>
        <v/>
      </c>
      <c r="M473" s="55" t="str">
        <f>IFERROR(__xludf.DUMMYFUNCTION("QUERY('Volunteer Survey'!E867)"),"")</f>
        <v/>
      </c>
      <c r="N473" s="55" t="str">
        <f>'Volunteer Survey'!F884</f>
        <v/>
      </c>
      <c r="O473" s="48" t="str">
        <f>'Volunteer Survey'!H884</f>
        <v/>
      </c>
      <c r="P473" s="55"/>
      <c r="Q473" s="60" t="str">
        <f>IFERROR(__xludf.DUMMYFUNCTION("QUERY('Volunteer Survey'!J867)"),"")</f>
        <v/>
      </c>
      <c r="R473" s="55"/>
      <c r="S473" s="55" t="str">
        <f>'Volunteer Survey'!L878</f>
        <v/>
      </c>
      <c r="T473" s="55" t="str">
        <f>'Volunteer Survey'!M883</f>
        <v/>
      </c>
      <c r="U473" s="64"/>
      <c r="V473" s="55" t="str">
        <f>'Volunteer Survey'!O883</f>
        <v/>
      </c>
      <c r="W473" s="66" t="str">
        <f>'Volunteer Survey'!P883</f>
        <v/>
      </c>
      <c r="X473" s="64" t="str">
        <f>IFERROR(__xludf.DUMMYFUNCTION("QUERY('Volunteer Survey'!R867)"),"")</f>
        <v/>
      </c>
      <c r="Y473" s="53"/>
      <c r="Z473" s="183" t="str">
        <f>IFERROR(__xludf.DUMMYFUNCTION("QUERY('Volunteer Survey'!A472)"),"")</f>
        <v/>
      </c>
      <c r="AA473" s="183" t="str">
        <f>IFERROR(__xludf.DUMMYFUNCTION("QUERY('Volunteer Survey'!B472)"),"")</f>
        <v/>
      </c>
      <c r="AB473" s="183" t="str">
        <f>IFERROR(__xludf.DUMMYFUNCTION("QUERY('Volunteer Survey'!C472)"),"")</f>
        <v/>
      </c>
      <c r="AC473" s="183" t="str">
        <f>IFERROR(__xludf.DUMMYFUNCTION("QUERY('Volunteer Survey'!D472)"),"")</f>
        <v/>
      </c>
      <c r="AD473" s="183" t="str">
        <f>IFERROR(__xludf.DUMMYFUNCTION("QUERY('Volunteer Survey'!E472)"),"")</f>
        <v/>
      </c>
      <c r="AE473" s="183" t="str">
        <f>IFERROR(__xludf.DUMMYFUNCTION("QUERY('Volunteer Survey'!F472)"),"")</f>
        <v/>
      </c>
      <c r="AF473" s="183" t="str">
        <f>IFERROR(__xludf.DUMMYFUNCTION("QUERY('Volunteer Survey'!G472)"),"")</f>
        <v/>
      </c>
      <c r="AG473" s="183" t="str">
        <f>IFERROR(__xludf.DUMMYFUNCTION("QUERY('Volunteer Survey'!H472)"),"")</f>
        <v/>
      </c>
      <c r="AH473" s="183" t="str">
        <f>IFERROR(__xludf.DUMMYFUNCTION("QUERY('Volunteer Survey'!I472)"),"")</f>
        <v/>
      </c>
      <c r="AI473" s="183" t="str">
        <f>IFERROR(__xludf.DUMMYFUNCTION("QUERY('Volunteer Survey'!J472)"),"")</f>
        <v/>
      </c>
      <c r="AJ473" s="183" t="str">
        <f>IFERROR(__xludf.DUMMYFUNCTION("QUERY('Volunteer Survey'!K472)"),"")</f>
        <v/>
      </c>
      <c r="AK473" s="183" t="str">
        <f>IFERROR(__xludf.DUMMYFUNCTION("QUERY('Volunteer Survey'!L472)"),"")</f>
        <v/>
      </c>
      <c r="AL473" s="183" t="str">
        <f>IFERROR(__xludf.DUMMYFUNCTION("QUERY('Volunteer Survey'!M472)"),"")</f>
        <v/>
      </c>
      <c r="AM473" s="183" t="str">
        <f>IFERROR(__xludf.DUMMYFUNCTION("QUERY('Volunteer Survey'!N472)"),"")</f>
        <v/>
      </c>
      <c r="AN473" s="183" t="str">
        <f>IFERROR(__xludf.DUMMYFUNCTION("QUERY('Volunteer Survey'!O472)"),"")</f>
        <v/>
      </c>
      <c r="AO473" s="183" t="str">
        <f>IFERROR(__xludf.DUMMYFUNCTION("QUERY('Volunteer Survey'!P472)"),"")</f>
        <v/>
      </c>
    </row>
    <row r="474">
      <c r="A474" s="55" t="str">
        <f>'Volunteer Survey'!A884</f>
        <v/>
      </c>
      <c r="B474" s="48" t="s">
        <v>322</v>
      </c>
      <c r="C474" s="53"/>
      <c r="D474" s="55"/>
      <c r="E474" s="55"/>
      <c r="F474" s="55" t="b">
        <v>0</v>
      </c>
      <c r="G474" s="55"/>
      <c r="H474" s="53"/>
      <c r="I474" s="53"/>
      <c r="J474" s="55"/>
      <c r="K474" s="55"/>
      <c r="L474" s="55" t="str">
        <f>'Volunteer Survey'!B884</f>
        <v/>
      </c>
      <c r="M474" s="55" t="str">
        <f>IFERROR(__xludf.DUMMYFUNCTION("QUERY('Volunteer Survey'!E868)"),"")</f>
        <v/>
      </c>
      <c r="N474" s="55" t="str">
        <f>'Volunteer Survey'!F885</f>
        <v/>
      </c>
      <c r="O474" s="48" t="str">
        <f>'Volunteer Survey'!H885</f>
        <v/>
      </c>
      <c r="P474" s="55"/>
      <c r="Q474" s="60" t="str">
        <f>IFERROR(__xludf.DUMMYFUNCTION("QUERY('Volunteer Survey'!J868)"),"")</f>
        <v/>
      </c>
      <c r="R474" s="55"/>
      <c r="S474" s="55" t="str">
        <f>'Volunteer Survey'!L879</f>
        <v/>
      </c>
      <c r="T474" s="55" t="str">
        <f>'Volunteer Survey'!M884</f>
        <v/>
      </c>
      <c r="U474" s="64"/>
      <c r="V474" s="55" t="str">
        <f>'Volunteer Survey'!O884</f>
        <v/>
      </c>
      <c r="W474" s="66" t="str">
        <f>'Volunteer Survey'!P884</f>
        <v/>
      </c>
      <c r="X474" s="64" t="str">
        <f>IFERROR(__xludf.DUMMYFUNCTION("QUERY('Volunteer Survey'!R868)"),"")</f>
        <v/>
      </c>
      <c r="Y474" s="53"/>
      <c r="Z474" s="183" t="str">
        <f>IFERROR(__xludf.DUMMYFUNCTION("QUERY('Volunteer Survey'!A473)"),"")</f>
        <v/>
      </c>
      <c r="AA474" s="183" t="str">
        <f>IFERROR(__xludf.DUMMYFUNCTION("QUERY('Volunteer Survey'!B473)"),"")</f>
        <v/>
      </c>
      <c r="AB474" s="183" t="str">
        <f>IFERROR(__xludf.DUMMYFUNCTION("QUERY('Volunteer Survey'!C473)"),"")</f>
        <v/>
      </c>
      <c r="AC474" s="183" t="str">
        <f>IFERROR(__xludf.DUMMYFUNCTION("QUERY('Volunteer Survey'!D473)"),"")</f>
        <v/>
      </c>
      <c r="AD474" s="183" t="str">
        <f>IFERROR(__xludf.DUMMYFUNCTION("QUERY('Volunteer Survey'!E473)"),"")</f>
        <v/>
      </c>
      <c r="AE474" s="183" t="str">
        <f>IFERROR(__xludf.DUMMYFUNCTION("QUERY('Volunteer Survey'!F473)"),"")</f>
        <v/>
      </c>
      <c r="AF474" s="183" t="str">
        <f>IFERROR(__xludf.DUMMYFUNCTION("QUERY('Volunteer Survey'!G473)"),"")</f>
        <v/>
      </c>
      <c r="AG474" s="183" t="str">
        <f>IFERROR(__xludf.DUMMYFUNCTION("QUERY('Volunteer Survey'!H473)"),"")</f>
        <v/>
      </c>
      <c r="AH474" s="183" t="str">
        <f>IFERROR(__xludf.DUMMYFUNCTION("QUERY('Volunteer Survey'!I473)"),"")</f>
        <v/>
      </c>
      <c r="AI474" s="183" t="str">
        <f>IFERROR(__xludf.DUMMYFUNCTION("QUERY('Volunteer Survey'!J473)"),"")</f>
        <v/>
      </c>
      <c r="AJ474" s="183" t="str">
        <f>IFERROR(__xludf.DUMMYFUNCTION("QUERY('Volunteer Survey'!K473)"),"")</f>
        <v/>
      </c>
      <c r="AK474" s="183" t="str">
        <f>IFERROR(__xludf.DUMMYFUNCTION("QUERY('Volunteer Survey'!L473)"),"")</f>
        <v/>
      </c>
      <c r="AL474" s="183" t="str">
        <f>IFERROR(__xludf.DUMMYFUNCTION("QUERY('Volunteer Survey'!M473)"),"")</f>
        <v/>
      </c>
      <c r="AM474" s="183" t="str">
        <f>IFERROR(__xludf.DUMMYFUNCTION("QUERY('Volunteer Survey'!N473)"),"")</f>
        <v/>
      </c>
      <c r="AN474" s="183" t="str">
        <f>IFERROR(__xludf.DUMMYFUNCTION("QUERY('Volunteer Survey'!O473)"),"")</f>
        <v/>
      </c>
      <c r="AO474" s="183" t="str">
        <f>IFERROR(__xludf.DUMMYFUNCTION("QUERY('Volunteer Survey'!P473)"),"")</f>
        <v/>
      </c>
    </row>
    <row r="475">
      <c r="A475" s="55" t="str">
        <f>'Volunteer Survey'!A885</f>
        <v/>
      </c>
      <c r="B475" s="48" t="s">
        <v>322</v>
      </c>
      <c r="C475" s="53"/>
      <c r="D475" s="55"/>
      <c r="E475" s="55"/>
      <c r="F475" s="55" t="b">
        <v>0</v>
      </c>
      <c r="G475" s="55"/>
      <c r="H475" s="53"/>
      <c r="I475" s="53"/>
      <c r="J475" s="55"/>
      <c r="K475" s="55"/>
      <c r="L475" s="55" t="str">
        <f>'Volunteer Survey'!B885</f>
        <v/>
      </c>
      <c r="M475" s="55" t="str">
        <f>'Volunteer Survey'!E885</f>
        <v/>
      </c>
      <c r="N475" s="55" t="str">
        <f>'Volunteer Survey'!F886</f>
        <v/>
      </c>
      <c r="O475" s="48" t="str">
        <f>'Volunteer Survey'!H886</f>
        <v/>
      </c>
      <c r="P475" s="55"/>
      <c r="Q475" s="60" t="str">
        <f>IFERROR(__xludf.DUMMYFUNCTION("QUERY('Volunteer Survey'!J869)"),"")</f>
        <v/>
      </c>
      <c r="R475" s="55"/>
      <c r="S475" s="55" t="str">
        <f>'Volunteer Survey'!L880</f>
        <v/>
      </c>
      <c r="T475" s="55" t="str">
        <f>'Volunteer Survey'!M885</f>
        <v/>
      </c>
      <c r="U475" s="64"/>
      <c r="V475" s="55" t="str">
        <f>'Volunteer Survey'!O887</f>
        <v/>
      </c>
      <c r="W475" s="66" t="str">
        <f>'Volunteer Survey'!P885</f>
        <v/>
      </c>
      <c r="X475" s="64" t="str">
        <f>IFERROR(__xludf.DUMMYFUNCTION("QUERY('Volunteer Survey'!R869)"),"")</f>
        <v/>
      </c>
      <c r="Y475" s="53"/>
      <c r="Z475" s="183" t="str">
        <f>IFERROR(__xludf.DUMMYFUNCTION("QUERY('Volunteer Survey'!A474)"),"")</f>
        <v/>
      </c>
      <c r="AA475" s="183" t="str">
        <f>IFERROR(__xludf.DUMMYFUNCTION("QUERY('Volunteer Survey'!B474)"),"")</f>
        <v/>
      </c>
      <c r="AB475" s="183" t="str">
        <f>IFERROR(__xludf.DUMMYFUNCTION("QUERY('Volunteer Survey'!C474)"),"")</f>
        <v/>
      </c>
      <c r="AC475" s="183" t="str">
        <f>IFERROR(__xludf.DUMMYFUNCTION("QUERY('Volunteer Survey'!D474)"),"")</f>
        <v/>
      </c>
      <c r="AD475" s="183" t="str">
        <f>IFERROR(__xludf.DUMMYFUNCTION("QUERY('Volunteer Survey'!E474)"),"")</f>
        <v/>
      </c>
      <c r="AE475" s="183" t="str">
        <f>IFERROR(__xludf.DUMMYFUNCTION("QUERY('Volunteer Survey'!F474)"),"")</f>
        <v/>
      </c>
      <c r="AF475" s="183" t="str">
        <f>IFERROR(__xludf.DUMMYFUNCTION("QUERY('Volunteer Survey'!G474)"),"")</f>
        <v/>
      </c>
      <c r="AG475" s="183" t="str">
        <f>IFERROR(__xludf.DUMMYFUNCTION("QUERY('Volunteer Survey'!H474)"),"")</f>
        <v/>
      </c>
      <c r="AH475" s="183" t="str">
        <f>IFERROR(__xludf.DUMMYFUNCTION("QUERY('Volunteer Survey'!I474)"),"")</f>
        <v/>
      </c>
      <c r="AI475" s="183" t="str">
        <f>IFERROR(__xludf.DUMMYFUNCTION("QUERY('Volunteer Survey'!J474)"),"")</f>
        <v/>
      </c>
      <c r="AJ475" s="183" t="str">
        <f>IFERROR(__xludf.DUMMYFUNCTION("QUERY('Volunteer Survey'!K474)"),"")</f>
        <v/>
      </c>
      <c r="AK475" s="183" t="str">
        <f>IFERROR(__xludf.DUMMYFUNCTION("QUERY('Volunteer Survey'!L474)"),"")</f>
        <v/>
      </c>
      <c r="AL475" s="183" t="str">
        <f>IFERROR(__xludf.DUMMYFUNCTION("QUERY('Volunteer Survey'!M474)"),"")</f>
        <v/>
      </c>
      <c r="AM475" s="183" t="str">
        <f>IFERROR(__xludf.DUMMYFUNCTION("QUERY('Volunteer Survey'!N474)"),"")</f>
        <v/>
      </c>
      <c r="AN475" s="183" t="str">
        <f>IFERROR(__xludf.DUMMYFUNCTION("QUERY('Volunteer Survey'!O474)"),"")</f>
        <v/>
      </c>
      <c r="AO475" s="183" t="str">
        <f>IFERROR(__xludf.DUMMYFUNCTION("QUERY('Volunteer Survey'!P474)"),"")</f>
        <v/>
      </c>
    </row>
    <row r="476">
      <c r="A476" s="55" t="str">
        <f>'Volunteer Survey'!A886</f>
        <v/>
      </c>
      <c r="B476" s="48" t="s">
        <v>322</v>
      </c>
      <c r="C476" s="53"/>
      <c r="D476" s="55"/>
      <c r="E476" s="55"/>
      <c r="F476" s="55" t="b">
        <v>0</v>
      </c>
      <c r="G476" s="55"/>
      <c r="H476" s="53"/>
      <c r="I476" s="53"/>
      <c r="J476" s="55"/>
      <c r="K476" s="55"/>
      <c r="L476" s="55" t="str">
        <f>'Volunteer Survey'!B886</f>
        <v/>
      </c>
      <c r="M476" s="55" t="str">
        <f>'Volunteer Survey'!E886</f>
        <v/>
      </c>
      <c r="N476" s="55" t="str">
        <f>'Volunteer Survey'!F887</f>
        <v/>
      </c>
      <c r="O476" s="48" t="str">
        <f>'Volunteer Survey'!H887</f>
        <v/>
      </c>
      <c r="P476" s="55"/>
      <c r="Q476" s="60" t="str">
        <f>IFERROR(__xludf.DUMMYFUNCTION("QUERY('Volunteer Survey'!J870)"),"")</f>
        <v/>
      </c>
      <c r="R476" s="55"/>
      <c r="S476" s="55" t="str">
        <f>'Volunteer Survey'!L881</f>
        <v/>
      </c>
      <c r="T476" s="55" t="str">
        <f>'Volunteer Survey'!M886</f>
        <v/>
      </c>
      <c r="U476" s="64"/>
      <c r="V476" s="55" t="str">
        <f>'Volunteer Survey'!O888</f>
        <v/>
      </c>
      <c r="W476" s="66" t="str">
        <f>'Volunteer Survey'!P886</f>
        <v/>
      </c>
      <c r="X476" s="64" t="str">
        <f>'Volunteer Survey'!R887</f>
        <v/>
      </c>
      <c r="Y476" s="53"/>
      <c r="Z476" s="183" t="str">
        <f>IFERROR(__xludf.DUMMYFUNCTION("QUERY('Volunteer Survey'!A475)"),"")</f>
        <v/>
      </c>
      <c r="AA476" s="183" t="str">
        <f>IFERROR(__xludf.DUMMYFUNCTION("QUERY('Volunteer Survey'!B475)"),"")</f>
        <v/>
      </c>
      <c r="AB476" s="183" t="str">
        <f>IFERROR(__xludf.DUMMYFUNCTION("QUERY('Volunteer Survey'!C475)"),"")</f>
        <v/>
      </c>
      <c r="AC476" s="183" t="str">
        <f>IFERROR(__xludf.DUMMYFUNCTION("QUERY('Volunteer Survey'!D475)"),"")</f>
        <v/>
      </c>
      <c r="AD476" s="183" t="str">
        <f>IFERROR(__xludf.DUMMYFUNCTION("QUERY('Volunteer Survey'!E475)"),"")</f>
        <v/>
      </c>
      <c r="AE476" s="183" t="str">
        <f>IFERROR(__xludf.DUMMYFUNCTION("QUERY('Volunteer Survey'!F475)"),"")</f>
        <v/>
      </c>
      <c r="AF476" s="183" t="str">
        <f>IFERROR(__xludf.DUMMYFUNCTION("QUERY('Volunteer Survey'!G475)"),"")</f>
        <v/>
      </c>
      <c r="AG476" s="183" t="str">
        <f>IFERROR(__xludf.DUMMYFUNCTION("QUERY('Volunteer Survey'!H475)"),"")</f>
        <v/>
      </c>
      <c r="AH476" s="183" t="str">
        <f>IFERROR(__xludf.DUMMYFUNCTION("QUERY('Volunteer Survey'!I475)"),"")</f>
        <v/>
      </c>
      <c r="AI476" s="183" t="str">
        <f>IFERROR(__xludf.DUMMYFUNCTION("QUERY('Volunteer Survey'!J475)"),"")</f>
        <v/>
      </c>
      <c r="AJ476" s="183" t="str">
        <f>IFERROR(__xludf.DUMMYFUNCTION("QUERY('Volunteer Survey'!K475)"),"")</f>
        <v/>
      </c>
      <c r="AK476" s="183" t="str">
        <f>IFERROR(__xludf.DUMMYFUNCTION("QUERY('Volunteer Survey'!L475)"),"")</f>
        <v/>
      </c>
      <c r="AL476" s="183" t="str">
        <f>IFERROR(__xludf.DUMMYFUNCTION("QUERY('Volunteer Survey'!M475)"),"")</f>
        <v/>
      </c>
      <c r="AM476" s="183" t="str">
        <f>IFERROR(__xludf.DUMMYFUNCTION("QUERY('Volunteer Survey'!N475)"),"")</f>
        <v/>
      </c>
      <c r="AN476" s="183" t="str">
        <f>IFERROR(__xludf.DUMMYFUNCTION("QUERY('Volunteer Survey'!O475)"),"")</f>
        <v/>
      </c>
      <c r="AO476" s="183" t="str">
        <f>IFERROR(__xludf.DUMMYFUNCTION("QUERY('Volunteer Survey'!P475)"),"")</f>
        <v/>
      </c>
    </row>
    <row r="477">
      <c r="A477" s="55" t="str">
        <f>'Volunteer Survey'!A887</f>
        <v/>
      </c>
      <c r="B477" s="48" t="s">
        <v>322</v>
      </c>
      <c r="C477" s="53"/>
      <c r="D477" s="55"/>
      <c r="E477" s="55"/>
      <c r="F477" s="55" t="b">
        <v>0</v>
      </c>
      <c r="G477" s="55"/>
      <c r="H477" s="53"/>
      <c r="I477" s="53"/>
      <c r="J477" s="55"/>
      <c r="K477" s="55"/>
      <c r="L477" s="55" t="str">
        <f>'Volunteer Survey'!B887</f>
        <v/>
      </c>
      <c r="M477" s="55" t="str">
        <f>'Volunteer Survey'!E887</f>
        <v/>
      </c>
      <c r="N477" s="55" t="str">
        <f>'Volunteer Survey'!F888</f>
        <v/>
      </c>
      <c r="O477" s="48" t="str">
        <f>'Volunteer Survey'!H888</f>
        <v/>
      </c>
      <c r="P477" s="55"/>
      <c r="Q477" s="60" t="str">
        <f>IFERROR(__xludf.DUMMYFUNCTION("QUERY('Volunteer Survey'!J871)"),"")</f>
        <v/>
      </c>
      <c r="R477" s="55"/>
      <c r="S477" s="55" t="str">
        <f>'Volunteer Survey'!L882</f>
        <v/>
      </c>
      <c r="T477" s="55" t="str">
        <f>'Volunteer Survey'!M887</f>
        <v/>
      </c>
      <c r="U477" s="64"/>
      <c r="V477" s="55"/>
      <c r="W477" s="66" t="str">
        <f>'Volunteer Survey'!P887</f>
        <v/>
      </c>
      <c r="X477" s="64" t="str">
        <f>'Volunteer Survey'!R888</f>
        <v/>
      </c>
      <c r="Y477" s="53"/>
      <c r="Z477" s="183" t="str">
        <f>IFERROR(__xludf.DUMMYFUNCTION("QUERY('Volunteer Survey'!A476)"),"")</f>
        <v/>
      </c>
      <c r="AA477" s="183" t="str">
        <f>IFERROR(__xludf.DUMMYFUNCTION("QUERY('Volunteer Survey'!B476)"),"")</f>
        <v/>
      </c>
      <c r="AB477" s="183" t="str">
        <f>IFERROR(__xludf.DUMMYFUNCTION("QUERY('Volunteer Survey'!C476)"),"")</f>
        <v/>
      </c>
      <c r="AC477" s="183" t="str">
        <f>IFERROR(__xludf.DUMMYFUNCTION("QUERY('Volunteer Survey'!D476)"),"")</f>
        <v/>
      </c>
      <c r="AD477" s="183" t="str">
        <f>IFERROR(__xludf.DUMMYFUNCTION("QUERY('Volunteer Survey'!E476)"),"")</f>
        <v/>
      </c>
      <c r="AE477" s="183" t="str">
        <f>IFERROR(__xludf.DUMMYFUNCTION("QUERY('Volunteer Survey'!F476)"),"")</f>
        <v/>
      </c>
      <c r="AF477" s="183" t="str">
        <f>IFERROR(__xludf.DUMMYFUNCTION("QUERY('Volunteer Survey'!G476)"),"")</f>
        <v/>
      </c>
      <c r="AG477" s="183" t="str">
        <f>IFERROR(__xludf.DUMMYFUNCTION("QUERY('Volunteer Survey'!H476)"),"")</f>
        <v/>
      </c>
      <c r="AH477" s="183" t="str">
        <f>IFERROR(__xludf.DUMMYFUNCTION("QUERY('Volunteer Survey'!I476)"),"")</f>
        <v/>
      </c>
      <c r="AI477" s="183" t="str">
        <f>IFERROR(__xludf.DUMMYFUNCTION("QUERY('Volunteer Survey'!J476)"),"")</f>
        <v/>
      </c>
      <c r="AJ477" s="183" t="str">
        <f>IFERROR(__xludf.DUMMYFUNCTION("QUERY('Volunteer Survey'!K476)"),"")</f>
        <v/>
      </c>
      <c r="AK477" s="183" t="str">
        <f>IFERROR(__xludf.DUMMYFUNCTION("QUERY('Volunteer Survey'!L476)"),"")</f>
        <v/>
      </c>
      <c r="AL477" s="183" t="str">
        <f>IFERROR(__xludf.DUMMYFUNCTION("QUERY('Volunteer Survey'!M476)"),"")</f>
        <v/>
      </c>
      <c r="AM477" s="183" t="str">
        <f>IFERROR(__xludf.DUMMYFUNCTION("QUERY('Volunteer Survey'!N476)"),"")</f>
        <v/>
      </c>
      <c r="AN477" s="183" t="str">
        <f>IFERROR(__xludf.DUMMYFUNCTION("QUERY('Volunteer Survey'!O476)"),"")</f>
        <v/>
      </c>
      <c r="AO477" s="183" t="str">
        <f>IFERROR(__xludf.DUMMYFUNCTION("QUERY('Volunteer Survey'!P476)"),"")</f>
        <v/>
      </c>
    </row>
    <row r="478">
      <c r="A478" s="55" t="str">
        <f>'Volunteer Survey'!A888</f>
        <v/>
      </c>
      <c r="B478" s="48" t="s">
        <v>322</v>
      </c>
      <c r="C478" s="53"/>
      <c r="D478" s="55"/>
      <c r="E478" s="55"/>
      <c r="F478" s="55" t="b">
        <v>0</v>
      </c>
      <c r="G478" s="55"/>
      <c r="H478" s="53"/>
      <c r="I478" s="53"/>
      <c r="J478" s="55"/>
      <c r="K478" s="55"/>
      <c r="L478" s="55" t="str">
        <f>'Volunteer Survey'!B888</f>
        <v/>
      </c>
      <c r="M478" s="55" t="str">
        <f>'Volunteer Survey'!E888</f>
        <v/>
      </c>
      <c r="N478" s="55" t="str">
        <f>'Volunteer Survey'!F889</f>
        <v/>
      </c>
      <c r="O478" s="48" t="str">
        <f>'Volunteer Survey'!H889</f>
        <v/>
      </c>
      <c r="P478" s="55"/>
      <c r="Q478" s="60" t="str">
        <f>IFERROR(__xludf.DUMMYFUNCTION("QUERY('Volunteer Survey'!J872)"),"")</f>
        <v/>
      </c>
      <c r="R478" s="55"/>
      <c r="S478" s="55" t="str">
        <f>'Volunteer Survey'!L883</f>
        <v/>
      </c>
      <c r="T478" s="55" t="str">
        <f>'Volunteer Survey'!M888</f>
        <v/>
      </c>
      <c r="U478" s="64"/>
      <c r="V478" s="55"/>
      <c r="W478" s="66" t="str">
        <f>'Volunteer Survey'!P888</f>
        <v/>
      </c>
      <c r="X478" s="64" t="str">
        <f>'Volunteer Survey'!R889</f>
        <v/>
      </c>
      <c r="Y478" s="53"/>
      <c r="Z478" s="183" t="str">
        <f>IFERROR(__xludf.DUMMYFUNCTION("QUERY('Volunteer Survey'!A477)"),"")</f>
        <v/>
      </c>
      <c r="AA478" s="183" t="str">
        <f>IFERROR(__xludf.DUMMYFUNCTION("QUERY('Volunteer Survey'!B477)"),"")</f>
        <v/>
      </c>
      <c r="AB478" s="183" t="str">
        <f>IFERROR(__xludf.DUMMYFUNCTION("QUERY('Volunteer Survey'!C477)"),"")</f>
        <v/>
      </c>
      <c r="AC478" s="183" t="str">
        <f>IFERROR(__xludf.DUMMYFUNCTION("QUERY('Volunteer Survey'!D477)"),"")</f>
        <v/>
      </c>
      <c r="AD478" s="183" t="str">
        <f>IFERROR(__xludf.DUMMYFUNCTION("QUERY('Volunteer Survey'!E477)"),"")</f>
        <v/>
      </c>
      <c r="AE478" s="183" t="str">
        <f>IFERROR(__xludf.DUMMYFUNCTION("QUERY('Volunteer Survey'!F477)"),"")</f>
        <v/>
      </c>
      <c r="AF478" s="183" t="str">
        <f>IFERROR(__xludf.DUMMYFUNCTION("QUERY('Volunteer Survey'!G477)"),"")</f>
        <v/>
      </c>
      <c r="AG478" s="183" t="str">
        <f>IFERROR(__xludf.DUMMYFUNCTION("QUERY('Volunteer Survey'!H477)"),"")</f>
        <v/>
      </c>
      <c r="AH478" s="183" t="str">
        <f>IFERROR(__xludf.DUMMYFUNCTION("QUERY('Volunteer Survey'!I477)"),"")</f>
        <v/>
      </c>
      <c r="AI478" s="183" t="str">
        <f>IFERROR(__xludf.DUMMYFUNCTION("QUERY('Volunteer Survey'!J477)"),"")</f>
        <v/>
      </c>
      <c r="AJ478" s="183" t="str">
        <f>IFERROR(__xludf.DUMMYFUNCTION("QUERY('Volunteer Survey'!K477)"),"")</f>
        <v/>
      </c>
      <c r="AK478" s="183" t="str">
        <f>IFERROR(__xludf.DUMMYFUNCTION("QUERY('Volunteer Survey'!L477)"),"")</f>
        <v/>
      </c>
      <c r="AL478" s="183" t="str">
        <f>IFERROR(__xludf.DUMMYFUNCTION("QUERY('Volunteer Survey'!M477)"),"")</f>
        <v/>
      </c>
      <c r="AM478" s="183" t="str">
        <f>IFERROR(__xludf.DUMMYFUNCTION("QUERY('Volunteer Survey'!N477)"),"")</f>
        <v/>
      </c>
      <c r="AN478" s="183" t="str">
        <f>IFERROR(__xludf.DUMMYFUNCTION("QUERY('Volunteer Survey'!O477)"),"")</f>
        <v/>
      </c>
      <c r="AO478" s="183" t="str">
        <f>IFERROR(__xludf.DUMMYFUNCTION("QUERY('Volunteer Survey'!P477)"),"")</f>
        <v/>
      </c>
    </row>
    <row r="479">
      <c r="A479" s="55" t="str">
        <f>'Volunteer Survey'!A889</f>
        <v/>
      </c>
      <c r="B479" s="48" t="s">
        <v>322</v>
      </c>
      <c r="C479" s="53"/>
      <c r="D479" s="55"/>
      <c r="E479" s="55"/>
      <c r="F479" s="55" t="b">
        <v>0</v>
      </c>
      <c r="G479" s="55"/>
      <c r="H479" s="53"/>
      <c r="I479" s="53"/>
      <c r="J479" s="55"/>
      <c r="K479" s="55"/>
      <c r="L479" s="55" t="str">
        <f>'Volunteer Survey'!B889</f>
        <v/>
      </c>
      <c r="M479" s="55" t="str">
        <f>'Volunteer Survey'!E889</f>
        <v/>
      </c>
      <c r="N479" s="55" t="str">
        <f>'Volunteer Survey'!F890</f>
        <v/>
      </c>
      <c r="O479" s="48" t="str">
        <f>'Volunteer Survey'!H890</f>
        <v/>
      </c>
      <c r="P479" s="55"/>
      <c r="Q479" s="60" t="str">
        <f>IFERROR(__xludf.DUMMYFUNCTION("QUERY('Volunteer Survey'!J873)"),"")</f>
        <v/>
      </c>
      <c r="R479" s="55"/>
      <c r="S479" s="55" t="str">
        <f>'Volunteer Survey'!L884</f>
        <v/>
      </c>
      <c r="T479" s="55" t="str">
        <f>'Volunteer Survey'!M889</f>
        <v/>
      </c>
      <c r="U479" s="64"/>
      <c r="V479" s="55"/>
      <c r="W479" s="66" t="str">
        <f>'Volunteer Survey'!P889</f>
        <v/>
      </c>
      <c r="X479" s="64" t="str">
        <f>'Volunteer Survey'!R890</f>
        <v/>
      </c>
      <c r="Y479" s="53"/>
      <c r="Z479" s="183" t="str">
        <f>IFERROR(__xludf.DUMMYFUNCTION("QUERY('Volunteer Survey'!A478)"),"")</f>
        <v/>
      </c>
      <c r="AA479" s="183" t="str">
        <f>IFERROR(__xludf.DUMMYFUNCTION("QUERY('Volunteer Survey'!B478)"),"")</f>
        <v/>
      </c>
      <c r="AB479" s="183" t="str">
        <f>IFERROR(__xludf.DUMMYFUNCTION("QUERY('Volunteer Survey'!C478)"),"")</f>
        <v/>
      </c>
      <c r="AC479" s="183" t="str">
        <f>IFERROR(__xludf.DUMMYFUNCTION("QUERY('Volunteer Survey'!D478)"),"")</f>
        <v/>
      </c>
      <c r="AD479" s="183" t="str">
        <f>IFERROR(__xludf.DUMMYFUNCTION("QUERY('Volunteer Survey'!E478)"),"")</f>
        <v/>
      </c>
      <c r="AE479" s="183" t="str">
        <f>IFERROR(__xludf.DUMMYFUNCTION("QUERY('Volunteer Survey'!F478)"),"")</f>
        <v/>
      </c>
      <c r="AF479" s="183" t="str">
        <f>IFERROR(__xludf.DUMMYFUNCTION("QUERY('Volunteer Survey'!G478)"),"")</f>
        <v/>
      </c>
      <c r="AG479" s="183" t="str">
        <f>IFERROR(__xludf.DUMMYFUNCTION("QUERY('Volunteer Survey'!H478)"),"")</f>
        <v/>
      </c>
      <c r="AH479" s="183" t="str">
        <f>IFERROR(__xludf.DUMMYFUNCTION("QUERY('Volunteer Survey'!I478)"),"")</f>
        <v/>
      </c>
      <c r="AI479" s="183" t="str">
        <f>IFERROR(__xludf.DUMMYFUNCTION("QUERY('Volunteer Survey'!J478)"),"")</f>
        <v/>
      </c>
      <c r="AJ479" s="183" t="str">
        <f>IFERROR(__xludf.DUMMYFUNCTION("QUERY('Volunteer Survey'!K478)"),"")</f>
        <v/>
      </c>
      <c r="AK479" s="183" t="str">
        <f>IFERROR(__xludf.DUMMYFUNCTION("QUERY('Volunteer Survey'!L478)"),"")</f>
        <v/>
      </c>
      <c r="AL479" s="183" t="str">
        <f>IFERROR(__xludf.DUMMYFUNCTION("QUERY('Volunteer Survey'!M478)"),"")</f>
        <v/>
      </c>
      <c r="AM479" s="183" t="str">
        <f>IFERROR(__xludf.DUMMYFUNCTION("QUERY('Volunteer Survey'!N478)"),"")</f>
        <v/>
      </c>
      <c r="AN479" s="183" t="str">
        <f>IFERROR(__xludf.DUMMYFUNCTION("QUERY('Volunteer Survey'!O478)"),"")</f>
        <v/>
      </c>
      <c r="AO479" s="183" t="str">
        <f>IFERROR(__xludf.DUMMYFUNCTION("QUERY('Volunteer Survey'!P478)"),"")</f>
        <v/>
      </c>
    </row>
    <row r="480">
      <c r="A480" s="55" t="str">
        <f>'Volunteer Survey'!A890</f>
        <v/>
      </c>
      <c r="B480" s="48" t="s">
        <v>322</v>
      </c>
      <c r="C480" s="53"/>
      <c r="D480" s="55"/>
      <c r="E480" s="55"/>
      <c r="F480" s="55" t="b">
        <v>0</v>
      </c>
      <c r="G480" s="55"/>
      <c r="H480" s="53"/>
      <c r="I480" s="53"/>
      <c r="J480" s="55"/>
      <c r="K480" s="55"/>
      <c r="L480" s="55" t="str">
        <f>'Volunteer Survey'!B890</f>
        <v/>
      </c>
      <c r="M480" s="55" t="str">
        <f>'Volunteer Survey'!E890</f>
        <v/>
      </c>
      <c r="N480" s="55" t="str">
        <f>'Volunteer Survey'!F891</f>
        <v/>
      </c>
      <c r="O480" s="48" t="str">
        <f>'Volunteer Survey'!H891</f>
        <v/>
      </c>
      <c r="P480" s="55"/>
      <c r="Q480" s="60" t="str">
        <f>IFERROR(__xludf.DUMMYFUNCTION("QUERY('Volunteer Survey'!J874)"),"")</f>
        <v/>
      </c>
      <c r="R480" s="55"/>
      <c r="S480" s="55" t="str">
        <f>'Volunteer Survey'!L885</f>
        <v/>
      </c>
      <c r="T480" s="55" t="str">
        <f>'Volunteer Survey'!M890</f>
        <v/>
      </c>
      <c r="U480" s="64"/>
      <c r="V480" s="55"/>
      <c r="W480" s="66" t="str">
        <f>'Volunteer Survey'!P890</f>
        <v/>
      </c>
      <c r="X480" s="64" t="str">
        <f>'Volunteer Survey'!R891</f>
        <v/>
      </c>
      <c r="Y480" s="53"/>
      <c r="Z480" s="183" t="str">
        <f>IFERROR(__xludf.DUMMYFUNCTION("QUERY('Volunteer Survey'!A479)"),"")</f>
        <v/>
      </c>
      <c r="AA480" s="183" t="str">
        <f>IFERROR(__xludf.DUMMYFUNCTION("QUERY('Volunteer Survey'!B479)"),"")</f>
        <v/>
      </c>
      <c r="AB480" s="183" t="str">
        <f>IFERROR(__xludf.DUMMYFUNCTION("QUERY('Volunteer Survey'!C479)"),"")</f>
        <v/>
      </c>
      <c r="AC480" s="183" t="str">
        <f>IFERROR(__xludf.DUMMYFUNCTION("QUERY('Volunteer Survey'!D479)"),"")</f>
        <v/>
      </c>
      <c r="AD480" s="183" t="str">
        <f>IFERROR(__xludf.DUMMYFUNCTION("QUERY('Volunteer Survey'!E479)"),"")</f>
        <v/>
      </c>
      <c r="AE480" s="183" t="str">
        <f>IFERROR(__xludf.DUMMYFUNCTION("QUERY('Volunteer Survey'!F479)"),"")</f>
        <v/>
      </c>
      <c r="AF480" s="183" t="str">
        <f>IFERROR(__xludf.DUMMYFUNCTION("QUERY('Volunteer Survey'!G479)"),"")</f>
        <v/>
      </c>
      <c r="AG480" s="183" t="str">
        <f>IFERROR(__xludf.DUMMYFUNCTION("QUERY('Volunteer Survey'!H479)"),"")</f>
        <v/>
      </c>
      <c r="AH480" s="183" t="str">
        <f>IFERROR(__xludf.DUMMYFUNCTION("QUERY('Volunteer Survey'!I479)"),"")</f>
        <v/>
      </c>
      <c r="AI480" s="183" t="str">
        <f>IFERROR(__xludf.DUMMYFUNCTION("QUERY('Volunteer Survey'!J479)"),"")</f>
        <v/>
      </c>
      <c r="AJ480" s="183" t="str">
        <f>IFERROR(__xludf.DUMMYFUNCTION("QUERY('Volunteer Survey'!K479)"),"")</f>
        <v/>
      </c>
      <c r="AK480" s="183" t="str">
        <f>IFERROR(__xludf.DUMMYFUNCTION("QUERY('Volunteer Survey'!L479)"),"")</f>
        <v/>
      </c>
      <c r="AL480" s="183" t="str">
        <f>IFERROR(__xludf.DUMMYFUNCTION("QUERY('Volunteer Survey'!M479)"),"")</f>
        <v/>
      </c>
      <c r="AM480" s="183" t="str">
        <f>IFERROR(__xludf.DUMMYFUNCTION("QUERY('Volunteer Survey'!N479)"),"")</f>
        <v/>
      </c>
      <c r="AN480" s="183" t="str">
        <f>IFERROR(__xludf.DUMMYFUNCTION("QUERY('Volunteer Survey'!O479)"),"")</f>
        <v/>
      </c>
      <c r="AO480" s="183" t="str">
        <f>IFERROR(__xludf.DUMMYFUNCTION("QUERY('Volunteer Survey'!P479)"),"")</f>
        <v/>
      </c>
    </row>
    <row r="481">
      <c r="A481" s="55" t="str">
        <f>'Volunteer Survey'!A891</f>
        <v/>
      </c>
      <c r="B481" s="48" t="s">
        <v>322</v>
      </c>
      <c r="C481" s="53"/>
      <c r="D481" s="55"/>
      <c r="E481" s="55"/>
      <c r="F481" s="55" t="b">
        <v>0</v>
      </c>
      <c r="G481" s="55"/>
      <c r="H481" s="53"/>
      <c r="I481" s="53"/>
      <c r="J481" s="55"/>
      <c r="K481" s="55"/>
      <c r="L481" s="55" t="str">
        <f>'Volunteer Survey'!B891</f>
        <v/>
      </c>
      <c r="M481" s="55" t="str">
        <f>'Volunteer Survey'!E891</f>
        <v/>
      </c>
      <c r="N481" s="55" t="str">
        <f>'Volunteer Survey'!F892</f>
        <v/>
      </c>
      <c r="O481" s="48" t="str">
        <f>'Volunteer Survey'!H892</f>
        <v/>
      </c>
      <c r="P481" s="55"/>
      <c r="Q481" s="60" t="str">
        <f>IFERROR(__xludf.DUMMYFUNCTION("QUERY('Volunteer Survey'!J875)"),"")</f>
        <v/>
      </c>
      <c r="R481" s="55"/>
      <c r="S481" s="55" t="str">
        <f>'Volunteer Survey'!L886</f>
        <v/>
      </c>
      <c r="T481" s="55" t="str">
        <f>'Volunteer Survey'!M891</f>
        <v/>
      </c>
      <c r="U481" s="64"/>
      <c r="V481" s="55"/>
      <c r="W481" s="66" t="str">
        <f>'Volunteer Survey'!P891</f>
        <v/>
      </c>
      <c r="X481" s="64" t="str">
        <f>'Volunteer Survey'!R892</f>
        <v/>
      </c>
      <c r="Y481" s="53"/>
      <c r="Z481" s="183" t="str">
        <f>IFERROR(__xludf.DUMMYFUNCTION("QUERY('Volunteer Survey'!A480)"),"")</f>
        <v/>
      </c>
      <c r="AA481" s="183" t="str">
        <f>IFERROR(__xludf.DUMMYFUNCTION("QUERY('Volunteer Survey'!B480)"),"")</f>
        <v/>
      </c>
      <c r="AB481" s="183" t="str">
        <f>IFERROR(__xludf.DUMMYFUNCTION("QUERY('Volunteer Survey'!C480)"),"")</f>
        <v/>
      </c>
      <c r="AC481" s="183" t="str">
        <f>IFERROR(__xludf.DUMMYFUNCTION("QUERY('Volunteer Survey'!D480)"),"")</f>
        <v/>
      </c>
      <c r="AD481" s="183" t="str">
        <f>IFERROR(__xludf.DUMMYFUNCTION("QUERY('Volunteer Survey'!E480)"),"")</f>
        <v/>
      </c>
      <c r="AE481" s="183" t="str">
        <f>IFERROR(__xludf.DUMMYFUNCTION("QUERY('Volunteer Survey'!F480)"),"")</f>
        <v/>
      </c>
      <c r="AF481" s="183" t="str">
        <f>IFERROR(__xludf.DUMMYFUNCTION("QUERY('Volunteer Survey'!G480)"),"")</f>
        <v/>
      </c>
      <c r="AG481" s="183" t="str">
        <f>IFERROR(__xludf.DUMMYFUNCTION("QUERY('Volunteer Survey'!H480)"),"")</f>
        <v/>
      </c>
      <c r="AH481" s="183" t="str">
        <f>IFERROR(__xludf.DUMMYFUNCTION("QUERY('Volunteer Survey'!I480)"),"")</f>
        <v/>
      </c>
      <c r="AI481" s="183" t="str">
        <f>IFERROR(__xludf.DUMMYFUNCTION("QUERY('Volunteer Survey'!J480)"),"")</f>
        <v/>
      </c>
      <c r="AJ481" s="183" t="str">
        <f>IFERROR(__xludf.DUMMYFUNCTION("QUERY('Volunteer Survey'!K480)"),"")</f>
        <v/>
      </c>
      <c r="AK481" s="183" t="str">
        <f>IFERROR(__xludf.DUMMYFUNCTION("QUERY('Volunteer Survey'!L480)"),"")</f>
        <v/>
      </c>
      <c r="AL481" s="183" t="str">
        <f>IFERROR(__xludf.DUMMYFUNCTION("QUERY('Volunteer Survey'!M480)"),"")</f>
        <v/>
      </c>
      <c r="AM481" s="183" t="str">
        <f>IFERROR(__xludf.DUMMYFUNCTION("QUERY('Volunteer Survey'!N480)"),"")</f>
        <v/>
      </c>
      <c r="AN481" s="183" t="str">
        <f>IFERROR(__xludf.DUMMYFUNCTION("QUERY('Volunteer Survey'!O480)"),"")</f>
        <v/>
      </c>
      <c r="AO481" s="183" t="str">
        <f>IFERROR(__xludf.DUMMYFUNCTION("QUERY('Volunteer Survey'!P480)"),"")</f>
        <v/>
      </c>
    </row>
    <row r="482">
      <c r="A482" s="55" t="str">
        <f>'Volunteer Survey'!A892</f>
        <v/>
      </c>
      <c r="B482" s="48" t="s">
        <v>322</v>
      </c>
      <c r="C482" s="53"/>
      <c r="D482" s="55"/>
      <c r="E482" s="55"/>
      <c r="F482" s="55" t="b">
        <v>0</v>
      </c>
      <c r="G482" s="55"/>
      <c r="H482" s="53"/>
      <c r="I482" s="53"/>
      <c r="J482" s="55"/>
      <c r="K482" s="55"/>
      <c r="L482" s="55" t="str">
        <f>'Volunteer Survey'!B892</f>
        <v/>
      </c>
      <c r="M482" s="55" t="str">
        <f>'Volunteer Survey'!E892</f>
        <v/>
      </c>
      <c r="N482" s="55" t="str">
        <f>'Volunteer Survey'!F893</f>
        <v/>
      </c>
      <c r="O482" s="48" t="str">
        <f>'Volunteer Survey'!H893</f>
        <v/>
      </c>
      <c r="P482" s="55"/>
      <c r="Q482" s="60" t="str">
        <f>IFERROR(__xludf.DUMMYFUNCTION("QUERY('Volunteer Survey'!J876)"),"")</f>
        <v/>
      </c>
      <c r="R482" s="55"/>
      <c r="S482" s="55" t="str">
        <f>'Volunteer Survey'!L887</f>
        <v/>
      </c>
      <c r="T482" s="55" t="str">
        <f>'Volunteer Survey'!M892</f>
        <v/>
      </c>
      <c r="U482" s="64"/>
      <c r="V482" s="55"/>
      <c r="W482" s="66" t="str">
        <f>'Volunteer Survey'!P892</f>
        <v/>
      </c>
      <c r="X482" s="64" t="str">
        <f>'Volunteer Survey'!R893</f>
        <v/>
      </c>
      <c r="Y482" s="53"/>
      <c r="Z482" s="183" t="str">
        <f>IFERROR(__xludf.DUMMYFUNCTION("QUERY('Volunteer Survey'!A481)"),"")</f>
        <v/>
      </c>
      <c r="AA482" s="183" t="str">
        <f>IFERROR(__xludf.DUMMYFUNCTION("QUERY('Volunteer Survey'!B481)"),"")</f>
        <v/>
      </c>
      <c r="AB482" s="183" t="str">
        <f>IFERROR(__xludf.DUMMYFUNCTION("QUERY('Volunteer Survey'!C481)"),"")</f>
        <v/>
      </c>
      <c r="AC482" s="183" t="str">
        <f>IFERROR(__xludf.DUMMYFUNCTION("QUERY('Volunteer Survey'!D481)"),"")</f>
        <v/>
      </c>
      <c r="AD482" s="183" t="str">
        <f>IFERROR(__xludf.DUMMYFUNCTION("QUERY('Volunteer Survey'!E481)"),"")</f>
        <v/>
      </c>
      <c r="AE482" s="183" t="str">
        <f>IFERROR(__xludf.DUMMYFUNCTION("QUERY('Volunteer Survey'!F481)"),"")</f>
        <v/>
      </c>
      <c r="AF482" s="183" t="str">
        <f>IFERROR(__xludf.DUMMYFUNCTION("QUERY('Volunteer Survey'!G481)"),"")</f>
        <v/>
      </c>
      <c r="AG482" s="183" t="str">
        <f>IFERROR(__xludf.DUMMYFUNCTION("QUERY('Volunteer Survey'!H481)"),"")</f>
        <v/>
      </c>
      <c r="AH482" s="183" t="str">
        <f>IFERROR(__xludf.DUMMYFUNCTION("QUERY('Volunteer Survey'!I481)"),"")</f>
        <v/>
      </c>
      <c r="AI482" s="183" t="str">
        <f>IFERROR(__xludf.DUMMYFUNCTION("QUERY('Volunteer Survey'!J481)"),"")</f>
        <v/>
      </c>
      <c r="AJ482" s="183" t="str">
        <f>IFERROR(__xludf.DUMMYFUNCTION("QUERY('Volunteer Survey'!K481)"),"")</f>
        <v/>
      </c>
      <c r="AK482" s="183" t="str">
        <f>IFERROR(__xludf.DUMMYFUNCTION("QUERY('Volunteer Survey'!L481)"),"")</f>
        <v/>
      </c>
      <c r="AL482" s="183" t="str">
        <f>IFERROR(__xludf.DUMMYFUNCTION("QUERY('Volunteer Survey'!M481)"),"")</f>
        <v/>
      </c>
      <c r="AM482" s="183" t="str">
        <f>IFERROR(__xludf.DUMMYFUNCTION("QUERY('Volunteer Survey'!N481)"),"")</f>
        <v/>
      </c>
      <c r="AN482" s="183" t="str">
        <f>IFERROR(__xludf.DUMMYFUNCTION("QUERY('Volunteer Survey'!O481)"),"")</f>
        <v/>
      </c>
      <c r="AO482" s="183" t="str">
        <f>IFERROR(__xludf.DUMMYFUNCTION("QUERY('Volunteer Survey'!P481)"),"")</f>
        <v/>
      </c>
    </row>
    <row r="483">
      <c r="A483" s="55" t="str">
        <f>'Volunteer Survey'!A893</f>
        <v/>
      </c>
      <c r="B483" s="48" t="s">
        <v>322</v>
      </c>
      <c r="C483" s="53"/>
      <c r="D483" s="55"/>
      <c r="E483" s="55"/>
      <c r="F483" s="55" t="b">
        <v>0</v>
      </c>
      <c r="G483" s="55"/>
      <c r="H483" s="53"/>
      <c r="I483" s="53"/>
      <c r="J483" s="55"/>
      <c r="K483" s="55"/>
      <c r="L483" s="55" t="str">
        <f>'Volunteer Survey'!B893</f>
        <v/>
      </c>
      <c r="M483" s="55" t="str">
        <f>'Volunteer Survey'!E893</f>
        <v/>
      </c>
      <c r="N483" s="55" t="str">
        <f>'Volunteer Survey'!F894</f>
        <v/>
      </c>
      <c r="O483" s="48" t="str">
        <f>'Volunteer Survey'!H894</f>
        <v/>
      </c>
      <c r="P483" s="55"/>
      <c r="Q483" s="60" t="str">
        <f>IFERROR(__xludf.DUMMYFUNCTION("QUERY('Volunteer Survey'!J877)"),"")</f>
        <v/>
      </c>
      <c r="R483" s="55"/>
      <c r="S483" s="55" t="str">
        <f>'Volunteer Survey'!L888</f>
        <v/>
      </c>
      <c r="T483" s="55" t="str">
        <f>'Volunteer Survey'!M893</f>
        <v/>
      </c>
      <c r="U483" s="64"/>
      <c r="V483" s="55"/>
      <c r="W483" s="66" t="str">
        <f>'Volunteer Survey'!P893</f>
        <v/>
      </c>
      <c r="X483" s="64" t="str">
        <f>'Volunteer Survey'!R894</f>
        <v/>
      </c>
      <c r="Y483" s="53"/>
      <c r="Z483" s="183" t="str">
        <f>IFERROR(__xludf.DUMMYFUNCTION("QUERY('Volunteer Survey'!A482)"),"")</f>
        <v/>
      </c>
      <c r="AA483" s="183" t="str">
        <f>IFERROR(__xludf.DUMMYFUNCTION("QUERY('Volunteer Survey'!B482)"),"")</f>
        <v/>
      </c>
      <c r="AB483" s="183" t="str">
        <f>IFERROR(__xludf.DUMMYFUNCTION("QUERY('Volunteer Survey'!C482)"),"")</f>
        <v/>
      </c>
      <c r="AC483" s="183" t="str">
        <f>IFERROR(__xludf.DUMMYFUNCTION("QUERY('Volunteer Survey'!D482)"),"")</f>
        <v/>
      </c>
      <c r="AD483" s="183" t="str">
        <f>IFERROR(__xludf.DUMMYFUNCTION("QUERY('Volunteer Survey'!E482)"),"")</f>
        <v/>
      </c>
      <c r="AE483" s="183" t="str">
        <f>IFERROR(__xludf.DUMMYFUNCTION("QUERY('Volunteer Survey'!F482)"),"")</f>
        <v/>
      </c>
      <c r="AF483" s="183" t="str">
        <f>IFERROR(__xludf.DUMMYFUNCTION("QUERY('Volunteer Survey'!G482)"),"")</f>
        <v/>
      </c>
      <c r="AG483" s="183" t="str">
        <f>IFERROR(__xludf.DUMMYFUNCTION("QUERY('Volunteer Survey'!H482)"),"")</f>
        <v/>
      </c>
      <c r="AH483" s="183" t="str">
        <f>IFERROR(__xludf.DUMMYFUNCTION("QUERY('Volunteer Survey'!I482)"),"")</f>
        <v/>
      </c>
      <c r="AI483" s="183" t="str">
        <f>IFERROR(__xludf.DUMMYFUNCTION("QUERY('Volunteer Survey'!J482)"),"")</f>
        <v/>
      </c>
      <c r="AJ483" s="183" t="str">
        <f>IFERROR(__xludf.DUMMYFUNCTION("QUERY('Volunteer Survey'!K482)"),"")</f>
        <v/>
      </c>
      <c r="AK483" s="183" t="str">
        <f>IFERROR(__xludf.DUMMYFUNCTION("QUERY('Volunteer Survey'!L482)"),"")</f>
        <v/>
      </c>
      <c r="AL483" s="183" t="str">
        <f>IFERROR(__xludf.DUMMYFUNCTION("QUERY('Volunteer Survey'!M482)"),"")</f>
        <v/>
      </c>
      <c r="AM483" s="183" t="str">
        <f>IFERROR(__xludf.DUMMYFUNCTION("QUERY('Volunteer Survey'!N482)"),"")</f>
        <v/>
      </c>
      <c r="AN483" s="183" t="str">
        <f>IFERROR(__xludf.DUMMYFUNCTION("QUERY('Volunteer Survey'!O482)"),"")</f>
        <v/>
      </c>
      <c r="AO483" s="183" t="str">
        <f>IFERROR(__xludf.DUMMYFUNCTION("QUERY('Volunteer Survey'!P482)"),"")</f>
        <v/>
      </c>
    </row>
    <row r="484">
      <c r="A484" s="55" t="str">
        <f>'Volunteer Survey'!A894</f>
        <v/>
      </c>
      <c r="B484" s="48" t="s">
        <v>322</v>
      </c>
      <c r="C484" s="53"/>
      <c r="D484" s="55"/>
      <c r="E484" s="55"/>
      <c r="F484" s="55" t="b">
        <v>0</v>
      </c>
      <c r="G484" s="55"/>
      <c r="H484" s="53"/>
      <c r="I484" s="53"/>
      <c r="J484" s="55"/>
      <c r="K484" s="55"/>
      <c r="L484" s="55" t="str">
        <f>'Volunteer Survey'!B894</f>
        <v/>
      </c>
      <c r="M484" s="55" t="str">
        <f>'Volunteer Survey'!E894</f>
        <v/>
      </c>
      <c r="N484" s="55" t="str">
        <f>'Volunteer Survey'!F895</f>
        <v/>
      </c>
      <c r="O484" s="48" t="str">
        <f>'Volunteer Survey'!H895</f>
        <v/>
      </c>
      <c r="P484" s="55"/>
      <c r="Q484" s="60" t="str">
        <f>IFERROR(__xludf.DUMMYFUNCTION("QUERY('Volunteer Survey'!J878)"),"")</f>
        <v/>
      </c>
      <c r="R484" s="55"/>
      <c r="S484" s="55" t="str">
        <f>'Volunteer Survey'!L889</f>
        <v/>
      </c>
      <c r="T484" s="55" t="str">
        <f>'Volunteer Survey'!M894</f>
        <v/>
      </c>
      <c r="U484" s="64"/>
      <c r="V484" s="55"/>
      <c r="W484" s="66" t="str">
        <f>'Volunteer Survey'!P894</f>
        <v/>
      </c>
      <c r="X484" s="64" t="str">
        <f>'Volunteer Survey'!R895</f>
        <v/>
      </c>
      <c r="Y484" s="53"/>
      <c r="Z484" s="183" t="str">
        <f>IFERROR(__xludf.DUMMYFUNCTION("QUERY('Volunteer Survey'!A483)"),"")</f>
        <v/>
      </c>
      <c r="AA484" s="183" t="str">
        <f>IFERROR(__xludf.DUMMYFUNCTION("QUERY('Volunteer Survey'!B483)"),"")</f>
        <v/>
      </c>
      <c r="AB484" s="183" t="str">
        <f>IFERROR(__xludf.DUMMYFUNCTION("QUERY('Volunteer Survey'!C483)"),"")</f>
        <v/>
      </c>
      <c r="AC484" s="183" t="str">
        <f>IFERROR(__xludf.DUMMYFUNCTION("QUERY('Volunteer Survey'!D483)"),"")</f>
        <v/>
      </c>
      <c r="AD484" s="183" t="str">
        <f>IFERROR(__xludf.DUMMYFUNCTION("QUERY('Volunteer Survey'!E483)"),"")</f>
        <v/>
      </c>
      <c r="AE484" s="183" t="str">
        <f>IFERROR(__xludf.DUMMYFUNCTION("QUERY('Volunteer Survey'!F483)"),"")</f>
        <v/>
      </c>
      <c r="AF484" s="183" t="str">
        <f>IFERROR(__xludf.DUMMYFUNCTION("QUERY('Volunteer Survey'!G483)"),"")</f>
        <v/>
      </c>
      <c r="AG484" s="183" t="str">
        <f>IFERROR(__xludf.DUMMYFUNCTION("QUERY('Volunteer Survey'!H483)"),"")</f>
        <v/>
      </c>
      <c r="AH484" s="183" t="str">
        <f>IFERROR(__xludf.DUMMYFUNCTION("QUERY('Volunteer Survey'!I483)"),"")</f>
        <v/>
      </c>
      <c r="AI484" s="183" t="str">
        <f>IFERROR(__xludf.DUMMYFUNCTION("QUERY('Volunteer Survey'!J483)"),"")</f>
        <v/>
      </c>
      <c r="AJ484" s="183" t="str">
        <f>IFERROR(__xludf.DUMMYFUNCTION("QUERY('Volunteer Survey'!K483)"),"")</f>
        <v/>
      </c>
      <c r="AK484" s="183" t="str">
        <f>IFERROR(__xludf.DUMMYFUNCTION("QUERY('Volunteer Survey'!L483)"),"")</f>
        <v/>
      </c>
      <c r="AL484" s="183" t="str">
        <f>IFERROR(__xludf.DUMMYFUNCTION("QUERY('Volunteer Survey'!M483)"),"")</f>
        <v/>
      </c>
      <c r="AM484" s="183" t="str">
        <f>IFERROR(__xludf.DUMMYFUNCTION("QUERY('Volunteer Survey'!N483)"),"")</f>
        <v/>
      </c>
      <c r="AN484" s="183" t="str">
        <f>IFERROR(__xludf.DUMMYFUNCTION("QUERY('Volunteer Survey'!O483)"),"")</f>
        <v/>
      </c>
      <c r="AO484" s="183" t="str">
        <f>IFERROR(__xludf.DUMMYFUNCTION("QUERY('Volunteer Survey'!P483)"),"")</f>
        <v/>
      </c>
    </row>
    <row r="485">
      <c r="A485" s="55" t="str">
        <f>'Volunteer Survey'!A895</f>
        <v/>
      </c>
      <c r="B485" s="48" t="s">
        <v>322</v>
      </c>
      <c r="C485" s="53"/>
      <c r="D485" s="55"/>
      <c r="E485" s="55"/>
      <c r="F485" s="55" t="b">
        <v>0</v>
      </c>
      <c r="G485" s="55"/>
      <c r="H485" s="53"/>
      <c r="I485" s="53"/>
      <c r="J485" s="55"/>
      <c r="K485" s="55"/>
      <c r="L485" s="55" t="str">
        <f>'Volunteer Survey'!B895</f>
        <v/>
      </c>
      <c r="M485" s="55" t="str">
        <f>'Volunteer Survey'!E895</f>
        <v/>
      </c>
      <c r="N485" s="55" t="str">
        <f>'Volunteer Survey'!F896</f>
        <v/>
      </c>
      <c r="O485" s="48" t="str">
        <f>'Volunteer Survey'!H896</f>
        <v/>
      </c>
      <c r="P485" s="55"/>
      <c r="Q485" s="60" t="str">
        <f>IFERROR(__xludf.DUMMYFUNCTION("QUERY('Volunteer Survey'!J879)"),"")</f>
        <v/>
      </c>
      <c r="R485" s="55"/>
      <c r="S485" s="55" t="str">
        <f>'Volunteer Survey'!L890</f>
        <v/>
      </c>
      <c r="T485" s="55" t="str">
        <f>'Volunteer Survey'!M895</f>
        <v/>
      </c>
      <c r="U485" s="64"/>
      <c r="V485" s="55"/>
      <c r="W485" s="66" t="str">
        <f>'Volunteer Survey'!P895</f>
        <v/>
      </c>
      <c r="X485" s="64" t="str">
        <f>'Volunteer Survey'!R896</f>
        <v/>
      </c>
      <c r="Y485" s="53"/>
      <c r="Z485" s="183" t="str">
        <f>IFERROR(__xludf.DUMMYFUNCTION("QUERY('Volunteer Survey'!A484)"),"")</f>
        <v/>
      </c>
      <c r="AA485" s="183" t="str">
        <f>IFERROR(__xludf.DUMMYFUNCTION("QUERY('Volunteer Survey'!B484)"),"")</f>
        <v/>
      </c>
      <c r="AB485" s="183" t="str">
        <f>IFERROR(__xludf.DUMMYFUNCTION("QUERY('Volunteer Survey'!C484)"),"")</f>
        <v/>
      </c>
      <c r="AC485" s="183" t="str">
        <f>IFERROR(__xludf.DUMMYFUNCTION("QUERY('Volunteer Survey'!D484)"),"")</f>
        <v/>
      </c>
      <c r="AD485" s="183" t="str">
        <f>IFERROR(__xludf.DUMMYFUNCTION("QUERY('Volunteer Survey'!E484)"),"")</f>
        <v/>
      </c>
      <c r="AE485" s="183" t="str">
        <f>IFERROR(__xludf.DUMMYFUNCTION("QUERY('Volunteer Survey'!F484)"),"")</f>
        <v/>
      </c>
      <c r="AF485" s="183" t="str">
        <f>IFERROR(__xludf.DUMMYFUNCTION("QUERY('Volunteer Survey'!G484)"),"")</f>
        <v/>
      </c>
      <c r="AG485" s="183" t="str">
        <f>IFERROR(__xludf.DUMMYFUNCTION("QUERY('Volunteer Survey'!H484)"),"")</f>
        <v/>
      </c>
      <c r="AH485" s="183" t="str">
        <f>IFERROR(__xludf.DUMMYFUNCTION("QUERY('Volunteer Survey'!I484)"),"")</f>
        <v/>
      </c>
      <c r="AI485" s="183" t="str">
        <f>IFERROR(__xludf.DUMMYFUNCTION("QUERY('Volunteer Survey'!J484)"),"")</f>
        <v/>
      </c>
      <c r="AJ485" s="183" t="str">
        <f>IFERROR(__xludf.DUMMYFUNCTION("QUERY('Volunteer Survey'!K484)"),"")</f>
        <v/>
      </c>
      <c r="AK485" s="183" t="str">
        <f>IFERROR(__xludf.DUMMYFUNCTION("QUERY('Volunteer Survey'!L484)"),"")</f>
        <v/>
      </c>
      <c r="AL485" s="183" t="str">
        <f>IFERROR(__xludf.DUMMYFUNCTION("QUERY('Volunteer Survey'!M484)"),"")</f>
        <v/>
      </c>
      <c r="AM485" s="183" t="str">
        <f>IFERROR(__xludf.DUMMYFUNCTION("QUERY('Volunteer Survey'!N484)"),"")</f>
        <v/>
      </c>
      <c r="AN485" s="183" t="str">
        <f>IFERROR(__xludf.DUMMYFUNCTION("QUERY('Volunteer Survey'!O484)"),"")</f>
        <v/>
      </c>
      <c r="AO485" s="183" t="str">
        <f>IFERROR(__xludf.DUMMYFUNCTION("QUERY('Volunteer Survey'!P484)"),"")</f>
        <v/>
      </c>
    </row>
    <row r="486">
      <c r="A486" s="55" t="str">
        <f>'Volunteer Survey'!A896</f>
        <v/>
      </c>
      <c r="B486" s="48" t="s">
        <v>322</v>
      </c>
      <c r="C486" s="53"/>
      <c r="D486" s="55"/>
      <c r="E486" s="55"/>
      <c r="F486" s="55" t="b">
        <v>0</v>
      </c>
      <c r="G486" s="55"/>
      <c r="H486" s="53"/>
      <c r="I486" s="53"/>
      <c r="J486" s="55"/>
      <c r="K486" s="55"/>
      <c r="L486" s="55" t="str">
        <f>'Volunteer Survey'!B896</f>
        <v/>
      </c>
      <c r="M486" s="55" t="str">
        <f>'Volunteer Survey'!E896</f>
        <v/>
      </c>
      <c r="N486" s="55" t="str">
        <f>'Volunteer Survey'!F897</f>
        <v/>
      </c>
      <c r="O486" s="48" t="str">
        <f>'Volunteer Survey'!H897</f>
        <v/>
      </c>
      <c r="P486" s="55"/>
      <c r="Q486" s="60" t="str">
        <f>IFERROR(__xludf.DUMMYFUNCTION("QUERY('Volunteer Survey'!J880)"),"")</f>
        <v/>
      </c>
      <c r="R486" s="55"/>
      <c r="S486" s="55" t="str">
        <f>'Volunteer Survey'!L891</f>
        <v/>
      </c>
      <c r="T486" s="55" t="str">
        <f>'Volunteer Survey'!M896</f>
        <v/>
      </c>
      <c r="U486" s="64"/>
      <c r="V486" s="55"/>
      <c r="W486" s="66" t="str">
        <f>'Volunteer Survey'!P896</f>
        <v/>
      </c>
      <c r="X486" s="64" t="str">
        <f>'Volunteer Survey'!R897</f>
        <v/>
      </c>
      <c r="Y486" s="53"/>
      <c r="Z486" s="183" t="str">
        <f>IFERROR(__xludf.DUMMYFUNCTION("QUERY('Volunteer Survey'!A485)"),"")</f>
        <v/>
      </c>
      <c r="AA486" s="183" t="str">
        <f>IFERROR(__xludf.DUMMYFUNCTION("QUERY('Volunteer Survey'!B485)"),"")</f>
        <v/>
      </c>
      <c r="AB486" s="183" t="str">
        <f>IFERROR(__xludf.DUMMYFUNCTION("QUERY('Volunteer Survey'!C485)"),"")</f>
        <v/>
      </c>
      <c r="AC486" s="183" t="str">
        <f>IFERROR(__xludf.DUMMYFUNCTION("QUERY('Volunteer Survey'!D485)"),"")</f>
        <v/>
      </c>
      <c r="AD486" s="183" t="str">
        <f>IFERROR(__xludf.DUMMYFUNCTION("QUERY('Volunteer Survey'!E485)"),"")</f>
        <v/>
      </c>
      <c r="AE486" s="183" t="str">
        <f>IFERROR(__xludf.DUMMYFUNCTION("QUERY('Volunteer Survey'!F485)"),"")</f>
        <v/>
      </c>
      <c r="AF486" s="183" t="str">
        <f>IFERROR(__xludf.DUMMYFUNCTION("QUERY('Volunteer Survey'!G485)"),"")</f>
        <v/>
      </c>
      <c r="AG486" s="183" t="str">
        <f>IFERROR(__xludf.DUMMYFUNCTION("QUERY('Volunteer Survey'!H485)"),"")</f>
        <v/>
      </c>
      <c r="AH486" s="183" t="str">
        <f>IFERROR(__xludf.DUMMYFUNCTION("QUERY('Volunteer Survey'!I485)"),"")</f>
        <v/>
      </c>
      <c r="AI486" s="183" t="str">
        <f>IFERROR(__xludf.DUMMYFUNCTION("QUERY('Volunteer Survey'!J485)"),"")</f>
        <v/>
      </c>
      <c r="AJ486" s="183" t="str">
        <f>IFERROR(__xludf.DUMMYFUNCTION("QUERY('Volunteer Survey'!K485)"),"")</f>
        <v/>
      </c>
      <c r="AK486" s="183" t="str">
        <f>IFERROR(__xludf.DUMMYFUNCTION("QUERY('Volunteer Survey'!L485)"),"")</f>
        <v/>
      </c>
      <c r="AL486" s="183" t="str">
        <f>IFERROR(__xludf.DUMMYFUNCTION("QUERY('Volunteer Survey'!M485)"),"")</f>
        <v/>
      </c>
      <c r="AM486" s="183" t="str">
        <f>IFERROR(__xludf.DUMMYFUNCTION("QUERY('Volunteer Survey'!N485)"),"")</f>
        <v/>
      </c>
      <c r="AN486" s="183" t="str">
        <f>IFERROR(__xludf.DUMMYFUNCTION("QUERY('Volunteer Survey'!O485)"),"")</f>
        <v/>
      </c>
      <c r="AO486" s="183" t="str">
        <f>IFERROR(__xludf.DUMMYFUNCTION("QUERY('Volunteer Survey'!P485)"),"")</f>
        <v/>
      </c>
    </row>
    <row r="487">
      <c r="A487" s="55" t="str">
        <f>'Volunteer Survey'!A897</f>
        <v/>
      </c>
      <c r="B487" s="48" t="s">
        <v>322</v>
      </c>
      <c r="C487" s="53"/>
      <c r="D487" s="55"/>
      <c r="E487" s="55"/>
      <c r="F487" s="55" t="b">
        <v>0</v>
      </c>
      <c r="G487" s="55"/>
      <c r="H487" s="53"/>
      <c r="I487" s="53"/>
      <c r="J487" s="55"/>
      <c r="K487" s="55"/>
      <c r="L487" s="55" t="str">
        <f>'Volunteer Survey'!B897</f>
        <v/>
      </c>
      <c r="M487" s="55" t="str">
        <f>'Volunteer Survey'!E897</f>
        <v/>
      </c>
      <c r="N487" s="55" t="str">
        <f>'Volunteer Survey'!F898</f>
        <v/>
      </c>
      <c r="O487" s="48" t="str">
        <f>'Volunteer Survey'!H898</f>
        <v/>
      </c>
      <c r="P487" s="55"/>
      <c r="Q487" s="60" t="str">
        <f>IFERROR(__xludf.DUMMYFUNCTION("QUERY('Volunteer Survey'!J881)"),"")</f>
        <v/>
      </c>
      <c r="R487" s="55"/>
      <c r="S487" s="55" t="str">
        <f>'Volunteer Survey'!L892</f>
        <v/>
      </c>
      <c r="T487" s="55" t="str">
        <f>'Volunteer Survey'!M897</f>
        <v/>
      </c>
      <c r="U487" s="64"/>
      <c r="V487" s="55"/>
      <c r="W487" s="66" t="str">
        <f>'Volunteer Survey'!P897</f>
        <v/>
      </c>
      <c r="X487" s="64" t="str">
        <f>'Volunteer Survey'!R898</f>
        <v/>
      </c>
      <c r="Y487" s="53"/>
      <c r="Z487" s="183" t="str">
        <f>IFERROR(__xludf.DUMMYFUNCTION("QUERY('Volunteer Survey'!A486)"),"")</f>
        <v/>
      </c>
      <c r="AA487" s="183" t="str">
        <f>IFERROR(__xludf.DUMMYFUNCTION("QUERY('Volunteer Survey'!B486)"),"")</f>
        <v/>
      </c>
      <c r="AB487" s="183" t="str">
        <f>IFERROR(__xludf.DUMMYFUNCTION("QUERY('Volunteer Survey'!C486)"),"")</f>
        <v/>
      </c>
      <c r="AC487" s="183" t="str">
        <f>IFERROR(__xludf.DUMMYFUNCTION("QUERY('Volunteer Survey'!D486)"),"")</f>
        <v/>
      </c>
      <c r="AD487" s="183" t="str">
        <f>IFERROR(__xludf.DUMMYFUNCTION("QUERY('Volunteer Survey'!E486)"),"")</f>
        <v/>
      </c>
      <c r="AE487" s="183" t="str">
        <f>IFERROR(__xludf.DUMMYFUNCTION("QUERY('Volunteer Survey'!F486)"),"")</f>
        <v/>
      </c>
      <c r="AF487" s="183" t="str">
        <f>IFERROR(__xludf.DUMMYFUNCTION("QUERY('Volunteer Survey'!G486)"),"")</f>
        <v/>
      </c>
      <c r="AG487" s="183" t="str">
        <f>IFERROR(__xludf.DUMMYFUNCTION("QUERY('Volunteer Survey'!H486)"),"")</f>
        <v/>
      </c>
      <c r="AH487" s="183" t="str">
        <f>IFERROR(__xludf.DUMMYFUNCTION("QUERY('Volunteer Survey'!I486)"),"")</f>
        <v/>
      </c>
      <c r="AI487" s="183" t="str">
        <f>IFERROR(__xludf.DUMMYFUNCTION("QUERY('Volunteer Survey'!J486)"),"")</f>
        <v/>
      </c>
      <c r="AJ487" s="183" t="str">
        <f>IFERROR(__xludf.DUMMYFUNCTION("QUERY('Volunteer Survey'!K486)"),"")</f>
        <v/>
      </c>
      <c r="AK487" s="183" t="str">
        <f>IFERROR(__xludf.DUMMYFUNCTION("QUERY('Volunteer Survey'!L486)"),"")</f>
        <v/>
      </c>
      <c r="AL487" s="183" t="str">
        <f>IFERROR(__xludf.DUMMYFUNCTION("QUERY('Volunteer Survey'!M486)"),"")</f>
        <v/>
      </c>
      <c r="AM487" s="183" t="str">
        <f>IFERROR(__xludf.DUMMYFUNCTION("QUERY('Volunteer Survey'!N486)"),"")</f>
        <v/>
      </c>
      <c r="AN487" s="183" t="str">
        <f>IFERROR(__xludf.DUMMYFUNCTION("QUERY('Volunteer Survey'!O486)"),"")</f>
        <v/>
      </c>
      <c r="AO487" s="183" t="str">
        <f>IFERROR(__xludf.DUMMYFUNCTION("QUERY('Volunteer Survey'!P486)"),"")</f>
        <v/>
      </c>
    </row>
    <row r="488">
      <c r="A488" s="55" t="str">
        <f>'Volunteer Survey'!A898</f>
        <v/>
      </c>
      <c r="B488" s="48" t="s">
        <v>322</v>
      </c>
      <c r="C488" s="53"/>
      <c r="D488" s="55"/>
      <c r="E488" s="55"/>
      <c r="F488" s="55" t="b">
        <v>0</v>
      </c>
      <c r="G488" s="55"/>
      <c r="H488" s="53"/>
      <c r="I488" s="53"/>
      <c r="J488" s="55"/>
      <c r="K488" s="55"/>
      <c r="L488" s="55" t="str">
        <f>'Volunteer Survey'!B898</f>
        <v/>
      </c>
      <c r="M488" s="55" t="str">
        <f>'Volunteer Survey'!E898</f>
        <v/>
      </c>
      <c r="N488" s="55" t="str">
        <f>'Volunteer Survey'!F899</f>
        <v/>
      </c>
      <c r="O488" s="48" t="str">
        <f>'Volunteer Survey'!H899</f>
        <v/>
      </c>
      <c r="P488" s="55"/>
      <c r="Q488" s="60" t="str">
        <f>IFERROR(__xludf.DUMMYFUNCTION("QUERY('Volunteer Survey'!J882)"),"")</f>
        <v/>
      </c>
      <c r="R488" s="55"/>
      <c r="S488" s="55" t="str">
        <f>'Volunteer Survey'!L893</f>
        <v/>
      </c>
      <c r="T488" s="55" t="str">
        <f>'Volunteer Survey'!M898</f>
        <v/>
      </c>
      <c r="U488" s="64"/>
      <c r="V488" s="55"/>
      <c r="W488" s="66" t="str">
        <f>'Volunteer Survey'!P898</f>
        <v/>
      </c>
      <c r="X488" s="64" t="str">
        <f>'Volunteer Survey'!R899</f>
        <v/>
      </c>
      <c r="Y488" s="53"/>
      <c r="Z488" s="183" t="str">
        <f>IFERROR(__xludf.DUMMYFUNCTION("QUERY('Volunteer Survey'!A487)"),"")</f>
        <v/>
      </c>
      <c r="AA488" s="183" t="str">
        <f>IFERROR(__xludf.DUMMYFUNCTION("QUERY('Volunteer Survey'!B487)"),"")</f>
        <v/>
      </c>
      <c r="AB488" s="183" t="str">
        <f>IFERROR(__xludf.DUMMYFUNCTION("QUERY('Volunteer Survey'!C487)"),"")</f>
        <v/>
      </c>
      <c r="AC488" s="183" t="str">
        <f>IFERROR(__xludf.DUMMYFUNCTION("QUERY('Volunteer Survey'!D487)"),"")</f>
        <v/>
      </c>
      <c r="AD488" s="183" t="str">
        <f>IFERROR(__xludf.DUMMYFUNCTION("QUERY('Volunteer Survey'!E487)"),"")</f>
        <v/>
      </c>
      <c r="AE488" s="183" t="str">
        <f>IFERROR(__xludf.DUMMYFUNCTION("QUERY('Volunteer Survey'!F487)"),"")</f>
        <v/>
      </c>
      <c r="AF488" s="183" t="str">
        <f>IFERROR(__xludf.DUMMYFUNCTION("QUERY('Volunteer Survey'!G487)"),"")</f>
        <v/>
      </c>
      <c r="AG488" s="183" t="str">
        <f>IFERROR(__xludf.DUMMYFUNCTION("QUERY('Volunteer Survey'!H487)"),"")</f>
        <v/>
      </c>
      <c r="AH488" s="183" t="str">
        <f>IFERROR(__xludf.DUMMYFUNCTION("QUERY('Volunteer Survey'!I487)"),"")</f>
        <v/>
      </c>
      <c r="AI488" s="183" t="str">
        <f>IFERROR(__xludf.DUMMYFUNCTION("QUERY('Volunteer Survey'!J487)"),"")</f>
        <v/>
      </c>
      <c r="AJ488" s="183" t="str">
        <f>IFERROR(__xludf.DUMMYFUNCTION("QUERY('Volunteer Survey'!K487)"),"")</f>
        <v/>
      </c>
      <c r="AK488" s="183" t="str">
        <f>IFERROR(__xludf.DUMMYFUNCTION("QUERY('Volunteer Survey'!L487)"),"")</f>
        <v/>
      </c>
      <c r="AL488" s="183" t="str">
        <f>IFERROR(__xludf.DUMMYFUNCTION("QUERY('Volunteer Survey'!M487)"),"")</f>
        <v/>
      </c>
      <c r="AM488" s="183" t="str">
        <f>IFERROR(__xludf.DUMMYFUNCTION("QUERY('Volunteer Survey'!N487)"),"")</f>
        <v/>
      </c>
      <c r="AN488" s="183" t="str">
        <f>IFERROR(__xludf.DUMMYFUNCTION("QUERY('Volunteer Survey'!O487)"),"")</f>
        <v/>
      </c>
      <c r="AO488" s="183" t="str">
        <f>IFERROR(__xludf.DUMMYFUNCTION("QUERY('Volunteer Survey'!P487)"),"")</f>
        <v/>
      </c>
    </row>
    <row r="489">
      <c r="A489" s="55" t="str">
        <f>'Volunteer Survey'!A899</f>
        <v/>
      </c>
      <c r="B489" s="48" t="s">
        <v>322</v>
      </c>
      <c r="C489" s="53"/>
      <c r="D489" s="55"/>
      <c r="E489" s="55"/>
      <c r="F489" s="55" t="b">
        <v>0</v>
      </c>
      <c r="G489" s="55"/>
      <c r="H489" s="53"/>
      <c r="I489" s="53"/>
      <c r="J489" s="55"/>
      <c r="K489" s="55"/>
      <c r="L489" s="55" t="str">
        <f>'Volunteer Survey'!B899</f>
        <v/>
      </c>
      <c r="M489" s="55" t="str">
        <f>'Volunteer Survey'!E899</f>
        <v/>
      </c>
      <c r="N489" s="55" t="str">
        <f>'Volunteer Survey'!F900</f>
        <v/>
      </c>
      <c r="O489" s="48" t="str">
        <f>'Volunteer Survey'!H900</f>
        <v/>
      </c>
      <c r="P489" s="55"/>
      <c r="Q489" s="60" t="str">
        <f>IFERROR(__xludf.DUMMYFUNCTION("QUERY('Volunteer Survey'!J883)"),"")</f>
        <v/>
      </c>
      <c r="R489" s="55"/>
      <c r="S489" s="55" t="str">
        <f>'Volunteer Survey'!L894</f>
        <v/>
      </c>
      <c r="T489" s="55" t="str">
        <f>'Volunteer Survey'!M899</f>
        <v/>
      </c>
      <c r="U489" s="64"/>
      <c r="V489" s="55"/>
      <c r="W489" s="66" t="str">
        <f>'Volunteer Survey'!P899</f>
        <v/>
      </c>
      <c r="X489" s="64" t="str">
        <f>'Volunteer Survey'!R900</f>
        <v/>
      </c>
      <c r="Y489" s="53"/>
      <c r="Z489" s="183" t="str">
        <f>IFERROR(__xludf.DUMMYFUNCTION("QUERY('Volunteer Survey'!A488)"),"")</f>
        <v/>
      </c>
      <c r="AA489" s="183" t="str">
        <f>IFERROR(__xludf.DUMMYFUNCTION("QUERY('Volunteer Survey'!B488)"),"")</f>
        <v/>
      </c>
      <c r="AB489" s="183" t="str">
        <f>IFERROR(__xludf.DUMMYFUNCTION("QUERY('Volunteer Survey'!C488)"),"")</f>
        <v/>
      </c>
      <c r="AC489" s="183" t="str">
        <f>IFERROR(__xludf.DUMMYFUNCTION("QUERY('Volunteer Survey'!D488)"),"")</f>
        <v/>
      </c>
      <c r="AD489" s="183" t="str">
        <f>IFERROR(__xludf.DUMMYFUNCTION("QUERY('Volunteer Survey'!E488)"),"")</f>
        <v/>
      </c>
      <c r="AE489" s="183" t="str">
        <f>IFERROR(__xludf.DUMMYFUNCTION("QUERY('Volunteer Survey'!F488)"),"")</f>
        <v/>
      </c>
      <c r="AF489" s="183" t="str">
        <f>IFERROR(__xludf.DUMMYFUNCTION("QUERY('Volunteer Survey'!G488)"),"")</f>
        <v/>
      </c>
      <c r="AG489" s="183" t="str">
        <f>IFERROR(__xludf.DUMMYFUNCTION("QUERY('Volunteer Survey'!H488)"),"")</f>
        <v/>
      </c>
      <c r="AH489" s="183" t="str">
        <f>IFERROR(__xludf.DUMMYFUNCTION("QUERY('Volunteer Survey'!I488)"),"")</f>
        <v/>
      </c>
      <c r="AI489" s="183" t="str">
        <f>IFERROR(__xludf.DUMMYFUNCTION("QUERY('Volunteer Survey'!J488)"),"")</f>
        <v/>
      </c>
      <c r="AJ489" s="183" t="str">
        <f>IFERROR(__xludf.DUMMYFUNCTION("QUERY('Volunteer Survey'!K488)"),"")</f>
        <v/>
      </c>
      <c r="AK489" s="183" t="str">
        <f>IFERROR(__xludf.DUMMYFUNCTION("QUERY('Volunteer Survey'!L488)"),"")</f>
        <v/>
      </c>
      <c r="AL489" s="183" t="str">
        <f>IFERROR(__xludf.DUMMYFUNCTION("QUERY('Volunteer Survey'!M488)"),"")</f>
        <v/>
      </c>
      <c r="AM489" s="183" t="str">
        <f>IFERROR(__xludf.DUMMYFUNCTION("QUERY('Volunteer Survey'!N488)"),"")</f>
        <v/>
      </c>
      <c r="AN489" s="183" t="str">
        <f>IFERROR(__xludf.DUMMYFUNCTION("QUERY('Volunteer Survey'!O488)"),"")</f>
        <v/>
      </c>
      <c r="AO489" s="183" t="str">
        <f>IFERROR(__xludf.DUMMYFUNCTION("QUERY('Volunteer Survey'!P488)"),"")</f>
        <v/>
      </c>
    </row>
    <row r="490">
      <c r="A490" s="55" t="str">
        <f>'Volunteer Survey'!A900</f>
        <v/>
      </c>
      <c r="B490" s="48" t="s">
        <v>322</v>
      </c>
      <c r="C490" s="53"/>
      <c r="D490" s="55"/>
      <c r="E490" s="55"/>
      <c r="F490" s="55" t="b">
        <v>0</v>
      </c>
      <c r="G490" s="55"/>
      <c r="H490" s="53"/>
      <c r="I490" s="53"/>
      <c r="J490" s="55"/>
      <c r="K490" s="55"/>
      <c r="L490" s="55" t="str">
        <f>'Volunteer Survey'!B900</f>
        <v/>
      </c>
      <c r="M490" s="55" t="str">
        <f>'Volunteer Survey'!E900</f>
        <v/>
      </c>
      <c r="N490" s="55" t="str">
        <f>'Volunteer Survey'!F901</f>
        <v/>
      </c>
      <c r="O490" s="48" t="str">
        <f>'Volunteer Survey'!H901</f>
        <v/>
      </c>
      <c r="P490" s="55"/>
      <c r="Q490" s="60" t="str">
        <f>IFERROR(__xludf.DUMMYFUNCTION("QUERY('Volunteer Survey'!J884)"),"")</f>
        <v/>
      </c>
      <c r="R490" s="55"/>
      <c r="S490" s="55" t="str">
        <f>'Volunteer Survey'!L895</f>
        <v/>
      </c>
      <c r="T490" s="55" t="str">
        <f>'Volunteer Survey'!M900</f>
        <v/>
      </c>
      <c r="U490" s="64"/>
      <c r="V490" s="55"/>
      <c r="W490" s="66" t="str">
        <f>'Volunteer Survey'!P900</f>
        <v/>
      </c>
      <c r="X490" s="64" t="str">
        <f>'Volunteer Survey'!R901</f>
        <v/>
      </c>
      <c r="Y490" s="53"/>
      <c r="Z490" s="183" t="str">
        <f>IFERROR(__xludf.DUMMYFUNCTION("QUERY('Volunteer Survey'!A489)"),"")</f>
        <v/>
      </c>
      <c r="AA490" s="183" t="str">
        <f>IFERROR(__xludf.DUMMYFUNCTION("QUERY('Volunteer Survey'!B489)"),"")</f>
        <v/>
      </c>
      <c r="AB490" s="183" t="str">
        <f>IFERROR(__xludf.DUMMYFUNCTION("QUERY('Volunteer Survey'!C489)"),"")</f>
        <v/>
      </c>
      <c r="AC490" s="183" t="str">
        <f>IFERROR(__xludf.DUMMYFUNCTION("QUERY('Volunteer Survey'!D489)"),"")</f>
        <v/>
      </c>
      <c r="AD490" s="183" t="str">
        <f>IFERROR(__xludf.DUMMYFUNCTION("QUERY('Volunteer Survey'!E489)"),"")</f>
        <v/>
      </c>
      <c r="AE490" s="183" t="str">
        <f>IFERROR(__xludf.DUMMYFUNCTION("QUERY('Volunteer Survey'!F489)"),"")</f>
        <v/>
      </c>
      <c r="AF490" s="183" t="str">
        <f>IFERROR(__xludf.DUMMYFUNCTION("QUERY('Volunteer Survey'!G489)"),"")</f>
        <v/>
      </c>
      <c r="AG490" s="183" t="str">
        <f>IFERROR(__xludf.DUMMYFUNCTION("QUERY('Volunteer Survey'!H489)"),"")</f>
        <v/>
      </c>
      <c r="AH490" s="183" t="str">
        <f>IFERROR(__xludf.DUMMYFUNCTION("QUERY('Volunteer Survey'!I489)"),"")</f>
        <v/>
      </c>
      <c r="AI490" s="183" t="str">
        <f>IFERROR(__xludf.DUMMYFUNCTION("QUERY('Volunteer Survey'!J489)"),"")</f>
        <v/>
      </c>
      <c r="AJ490" s="183" t="str">
        <f>IFERROR(__xludf.DUMMYFUNCTION("QUERY('Volunteer Survey'!K489)"),"")</f>
        <v/>
      </c>
      <c r="AK490" s="183" t="str">
        <f>IFERROR(__xludf.DUMMYFUNCTION("QUERY('Volunteer Survey'!L489)"),"")</f>
        <v/>
      </c>
      <c r="AL490" s="183" t="str">
        <f>IFERROR(__xludf.DUMMYFUNCTION("QUERY('Volunteer Survey'!M489)"),"")</f>
        <v/>
      </c>
      <c r="AM490" s="183" t="str">
        <f>IFERROR(__xludf.DUMMYFUNCTION("QUERY('Volunteer Survey'!N489)"),"")</f>
        <v/>
      </c>
      <c r="AN490" s="183" t="str">
        <f>IFERROR(__xludf.DUMMYFUNCTION("QUERY('Volunteer Survey'!O489)"),"")</f>
        <v/>
      </c>
      <c r="AO490" s="183" t="str">
        <f>IFERROR(__xludf.DUMMYFUNCTION("QUERY('Volunteer Survey'!P489)"),"")</f>
        <v/>
      </c>
    </row>
    <row r="491">
      <c r="A491" s="55" t="str">
        <f>'Volunteer Survey'!A901</f>
        <v/>
      </c>
      <c r="B491" s="48" t="s">
        <v>322</v>
      </c>
      <c r="C491" s="53"/>
      <c r="D491" s="55"/>
      <c r="E491" s="55"/>
      <c r="F491" s="55" t="b">
        <v>0</v>
      </c>
      <c r="G491" s="55"/>
      <c r="H491" s="53"/>
      <c r="I491" s="53"/>
      <c r="J491" s="55"/>
      <c r="K491" s="55"/>
      <c r="L491" s="55" t="str">
        <f>'Volunteer Survey'!B901</f>
        <v/>
      </c>
      <c r="M491" s="55" t="str">
        <f>'Volunteer Survey'!E901</f>
        <v/>
      </c>
      <c r="N491" s="55" t="str">
        <f>'Volunteer Survey'!F902</f>
        <v/>
      </c>
      <c r="O491" s="48" t="str">
        <f>'Volunteer Survey'!H902</f>
        <v/>
      </c>
      <c r="P491" s="55"/>
      <c r="Q491" s="60" t="str">
        <f>IFERROR(__xludf.DUMMYFUNCTION("QUERY('Volunteer Survey'!J885)"),"")</f>
        <v/>
      </c>
      <c r="R491" s="55"/>
      <c r="S491" s="55" t="str">
        <f>'Volunteer Survey'!L896</f>
        <v/>
      </c>
      <c r="T491" s="55" t="str">
        <f>'Volunteer Survey'!M901</f>
        <v/>
      </c>
      <c r="U491" s="64"/>
      <c r="V491" s="55"/>
      <c r="W491" s="66" t="str">
        <f>'Volunteer Survey'!P901</f>
        <v/>
      </c>
      <c r="X491" s="64" t="str">
        <f>'Volunteer Survey'!R902</f>
        <v/>
      </c>
      <c r="Y491" s="53"/>
      <c r="Z491" s="183" t="str">
        <f>IFERROR(__xludf.DUMMYFUNCTION("QUERY('Volunteer Survey'!A490)"),"")</f>
        <v/>
      </c>
      <c r="AA491" s="183" t="str">
        <f>IFERROR(__xludf.DUMMYFUNCTION("QUERY('Volunteer Survey'!B490)"),"")</f>
        <v/>
      </c>
      <c r="AB491" s="183" t="str">
        <f>IFERROR(__xludf.DUMMYFUNCTION("QUERY('Volunteer Survey'!C490)"),"")</f>
        <v/>
      </c>
      <c r="AC491" s="183" t="str">
        <f>IFERROR(__xludf.DUMMYFUNCTION("QUERY('Volunteer Survey'!D490)"),"")</f>
        <v/>
      </c>
      <c r="AD491" s="183" t="str">
        <f>IFERROR(__xludf.DUMMYFUNCTION("QUERY('Volunteer Survey'!E490)"),"")</f>
        <v/>
      </c>
      <c r="AE491" s="183" t="str">
        <f>IFERROR(__xludf.DUMMYFUNCTION("QUERY('Volunteer Survey'!F490)"),"")</f>
        <v/>
      </c>
      <c r="AF491" s="183" t="str">
        <f>IFERROR(__xludf.DUMMYFUNCTION("QUERY('Volunteer Survey'!G490)"),"")</f>
        <v/>
      </c>
      <c r="AG491" s="183" t="str">
        <f>IFERROR(__xludf.DUMMYFUNCTION("QUERY('Volunteer Survey'!H490)"),"")</f>
        <v/>
      </c>
      <c r="AH491" s="183" t="str">
        <f>IFERROR(__xludf.DUMMYFUNCTION("QUERY('Volunteer Survey'!I490)"),"")</f>
        <v/>
      </c>
      <c r="AI491" s="183" t="str">
        <f>IFERROR(__xludf.DUMMYFUNCTION("QUERY('Volunteer Survey'!J490)"),"")</f>
        <v/>
      </c>
      <c r="AJ491" s="183" t="str">
        <f>IFERROR(__xludf.DUMMYFUNCTION("QUERY('Volunteer Survey'!K490)"),"")</f>
        <v/>
      </c>
      <c r="AK491" s="183" t="str">
        <f>IFERROR(__xludf.DUMMYFUNCTION("QUERY('Volunteer Survey'!L490)"),"")</f>
        <v/>
      </c>
      <c r="AL491" s="183" t="str">
        <f>IFERROR(__xludf.DUMMYFUNCTION("QUERY('Volunteer Survey'!M490)"),"")</f>
        <v/>
      </c>
      <c r="AM491" s="183" t="str">
        <f>IFERROR(__xludf.DUMMYFUNCTION("QUERY('Volunteer Survey'!N490)"),"")</f>
        <v/>
      </c>
      <c r="AN491" s="183" t="str">
        <f>IFERROR(__xludf.DUMMYFUNCTION("QUERY('Volunteer Survey'!O490)"),"")</f>
        <v/>
      </c>
      <c r="AO491" s="183" t="str">
        <f>IFERROR(__xludf.DUMMYFUNCTION("QUERY('Volunteer Survey'!P490)"),"")</f>
        <v/>
      </c>
    </row>
    <row r="492">
      <c r="A492" s="55" t="str">
        <f>'Volunteer Survey'!A902</f>
        <v/>
      </c>
      <c r="B492" s="48" t="s">
        <v>322</v>
      </c>
      <c r="C492" s="53"/>
      <c r="D492" s="55"/>
      <c r="E492" s="55"/>
      <c r="F492" s="55" t="b">
        <v>0</v>
      </c>
      <c r="G492" s="55"/>
      <c r="H492" s="53"/>
      <c r="I492" s="53"/>
      <c r="J492" s="55"/>
      <c r="K492" s="55"/>
      <c r="L492" s="55" t="str">
        <f>'Volunteer Survey'!B902</f>
        <v/>
      </c>
      <c r="M492" s="55" t="str">
        <f>'Volunteer Survey'!E902</f>
        <v/>
      </c>
      <c r="N492" s="55" t="str">
        <f>'Volunteer Survey'!F903</f>
        <v/>
      </c>
      <c r="O492" s="48" t="str">
        <f>'Volunteer Survey'!H903</f>
        <v/>
      </c>
      <c r="P492" s="55"/>
      <c r="Q492" s="60" t="str">
        <f>IFERROR(__xludf.DUMMYFUNCTION("QUERY('Volunteer Survey'!J886)"),"")</f>
        <v/>
      </c>
      <c r="R492" s="55"/>
      <c r="S492" s="55" t="str">
        <f>'Volunteer Survey'!L897</f>
        <v/>
      </c>
      <c r="T492" s="55" t="str">
        <f>'Volunteer Survey'!M902</f>
        <v/>
      </c>
      <c r="U492" s="64"/>
      <c r="V492" s="55"/>
      <c r="W492" s="66" t="str">
        <f>'Volunteer Survey'!P902</f>
        <v/>
      </c>
      <c r="X492" s="64" t="str">
        <f>'Volunteer Survey'!R903</f>
        <v/>
      </c>
      <c r="Y492" s="53"/>
      <c r="Z492" s="183" t="str">
        <f>IFERROR(__xludf.DUMMYFUNCTION("QUERY('Volunteer Survey'!A491)"),"")</f>
        <v/>
      </c>
      <c r="AA492" s="183" t="str">
        <f>IFERROR(__xludf.DUMMYFUNCTION("QUERY('Volunteer Survey'!B491)"),"")</f>
        <v/>
      </c>
      <c r="AB492" s="183" t="str">
        <f>IFERROR(__xludf.DUMMYFUNCTION("QUERY('Volunteer Survey'!C491)"),"")</f>
        <v/>
      </c>
      <c r="AC492" s="183" t="str">
        <f>IFERROR(__xludf.DUMMYFUNCTION("QUERY('Volunteer Survey'!D491)"),"")</f>
        <v/>
      </c>
      <c r="AD492" s="183" t="str">
        <f>IFERROR(__xludf.DUMMYFUNCTION("QUERY('Volunteer Survey'!E491)"),"")</f>
        <v/>
      </c>
      <c r="AE492" s="183" t="str">
        <f>IFERROR(__xludf.DUMMYFUNCTION("QUERY('Volunteer Survey'!F491)"),"")</f>
        <v/>
      </c>
      <c r="AF492" s="183" t="str">
        <f>IFERROR(__xludf.DUMMYFUNCTION("QUERY('Volunteer Survey'!G491)"),"")</f>
        <v/>
      </c>
      <c r="AG492" s="183" t="str">
        <f>IFERROR(__xludf.DUMMYFUNCTION("QUERY('Volunteer Survey'!H491)"),"")</f>
        <v/>
      </c>
      <c r="AH492" s="183" t="str">
        <f>IFERROR(__xludf.DUMMYFUNCTION("QUERY('Volunteer Survey'!I491)"),"")</f>
        <v/>
      </c>
      <c r="AI492" s="183" t="str">
        <f>IFERROR(__xludf.DUMMYFUNCTION("QUERY('Volunteer Survey'!J491)"),"")</f>
        <v/>
      </c>
      <c r="AJ492" s="183" t="str">
        <f>IFERROR(__xludf.DUMMYFUNCTION("QUERY('Volunteer Survey'!K491)"),"")</f>
        <v/>
      </c>
      <c r="AK492" s="183" t="str">
        <f>IFERROR(__xludf.DUMMYFUNCTION("QUERY('Volunteer Survey'!L491)"),"")</f>
        <v/>
      </c>
      <c r="AL492" s="183" t="str">
        <f>IFERROR(__xludf.DUMMYFUNCTION("QUERY('Volunteer Survey'!M491)"),"")</f>
        <v/>
      </c>
      <c r="AM492" s="183" t="str">
        <f>IFERROR(__xludf.DUMMYFUNCTION("QUERY('Volunteer Survey'!N491)"),"")</f>
        <v/>
      </c>
      <c r="AN492" s="183" t="str">
        <f>IFERROR(__xludf.DUMMYFUNCTION("QUERY('Volunteer Survey'!O491)"),"")</f>
        <v/>
      </c>
      <c r="AO492" s="183" t="str">
        <f>IFERROR(__xludf.DUMMYFUNCTION("QUERY('Volunteer Survey'!P491)"),"")</f>
        <v/>
      </c>
    </row>
    <row r="493">
      <c r="A493" s="55" t="str">
        <f>'Volunteer Survey'!A903</f>
        <v/>
      </c>
      <c r="B493" s="48" t="s">
        <v>322</v>
      </c>
      <c r="C493" s="53"/>
      <c r="D493" s="55"/>
      <c r="E493" s="55"/>
      <c r="F493" s="55" t="b">
        <v>0</v>
      </c>
      <c r="G493" s="55"/>
      <c r="H493" s="53"/>
      <c r="I493" s="53"/>
      <c r="J493" s="55"/>
      <c r="K493" s="55"/>
      <c r="L493" s="55" t="str">
        <f>'Volunteer Survey'!B903</f>
        <v/>
      </c>
      <c r="M493" s="55" t="str">
        <f>'Volunteer Survey'!E903</f>
        <v/>
      </c>
      <c r="N493" s="55" t="str">
        <f>'Volunteer Survey'!F904</f>
        <v/>
      </c>
      <c r="O493" s="48" t="str">
        <f>'Volunteer Survey'!H904</f>
        <v/>
      </c>
      <c r="P493" s="55"/>
      <c r="Q493" s="60" t="str">
        <f>IFERROR(__xludf.DUMMYFUNCTION("QUERY('Volunteer Survey'!J887)"),"")</f>
        <v/>
      </c>
      <c r="R493" s="55"/>
      <c r="S493" s="55" t="str">
        <f>'Volunteer Survey'!L898</f>
        <v/>
      </c>
      <c r="T493" s="55" t="str">
        <f>'Volunteer Survey'!M903</f>
        <v/>
      </c>
      <c r="U493" s="64"/>
      <c r="V493" s="55"/>
      <c r="W493" s="66" t="str">
        <f>'Volunteer Survey'!P903</f>
        <v/>
      </c>
      <c r="X493" s="64" t="str">
        <f>'Volunteer Survey'!R904</f>
        <v/>
      </c>
      <c r="Y493" s="53"/>
      <c r="Z493" s="183" t="str">
        <f>IFERROR(__xludf.DUMMYFUNCTION("QUERY('Volunteer Survey'!A492)"),"")</f>
        <v/>
      </c>
      <c r="AA493" s="183" t="str">
        <f>IFERROR(__xludf.DUMMYFUNCTION("QUERY('Volunteer Survey'!B492)"),"")</f>
        <v/>
      </c>
      <c r="AB493" s="183" t="str">
        <f>IFERROR(__xludf.DUMMYFUNCTION("QUERY('Volunteer Survey'!C492)"),"")</f>
        <v/>
      </c>
      <c r="AC493" s="183" t="str">
        <f>IFERROR(__xludf.DUMMYFUNCTION("QUERY('Volunteer Survey'!D492)"),"")</f>
        <v/>
      </c>
      <c r="AD493" s="183" t="str">
        <f>IFERROR(__xludf.DUMMYFUNCTION("QUERY('Volunteer Survey'!E492)"),"")</f>
        <v/>
      </c>
      <c r="AE493" s="183" t="str">
        <f>IFERROR(__xludf.DUMMYFUNCTION("QUERY('Volunteer Survey'!F492)"),"")</f>
        <v/>
      </c>
      <c r="AF493" s="183" t="str">
        <f>IFERROR(__xludf.DUMMYFUNCTION("QUERY('Volunteer Survey'!G492)"),"")</f>
        <v/>
      </c>
      <c r="AG493" s="183" t="str">
        <f>IFERROR(__xludf.DUMMYFUNCTION("QUERY('Volunteer Survey'!H492)"),"")</f>
        <v/>
      </c>
      <c r="AH493" s="183" t="str">
        <f>IFERROR(__xludf.DUMMYFUNCTION("QUERY('Volunteer Survey'!I492)"),"")</f>
        <v/>
      </c>
      <c r="AI493" s="183" t="str">
        <f>IFERROR(__xludf.DUMMYFUNCTION("QUERY('Volunteer Survey'!J492)"),"")</f>
        <v/>
      </c>
      <c r="AJ493" s="183" t="str">
        <f>IFERROR(__xludf.DUMMYFUNCTION("QUERY('Volunteer Survey'!K492)"),"")</f>
        <v/>
      </c>
      <c r="AK493" s="183" t="str">
        <f>IFERROR(__xludf.DUMMYFUNCTION("QUERY('Volunteer Survey'!L492)"),"")</f>
        <v/>
      </c>
      <c r="AL493" s="183" t="str">
        <f>IFERROR(__xludf.DUMMYFUNCTION("QUERY('Volunteer Survey'!M492)"),"")</f>
        <v/>
      </c>
      <c r="AM493" s="183" t="str">
        <f>IFERROR(__xludf.DUMMYFUNCTION("QUERY('Volunteer Survey'!N492)"),"")</f>
        <v/>
      </c>
      <c r="AN493" s="183" t="str">
        <f>IFERROR(__xludf.DUMMYFUNCTION("QUERY('Volunteer Survey'!O492)"),"")</f>
        <v/>
      </c>
      <c r="AO493" s="183" t="str">
        <f>IFERROR(__xludf.DUMMYFUNCTION("QUERY('Volunteer Survey'!P492)"),"")</f>
        <v/>
      </c>
    </row>
    <row r="494">
      <c r="A494" s="55" t="str">
        <f>'Volunteer Survey'!A904</f>
        <v/>
      </c>
      <c r="B494" s="48" t="s">
        <v>322</v>
      </c>
      <c r="C494" s="53"/>
      <c r="D494" s="55"/>
      <c r="E494" s="55"/>
      <c r="F494" s="55" t="b">
        <v>0</v>
      </c>
      <c r="G494" s="55"/>
      <c r="H494" s="53"/>
      <c r="I494" s="53"/>
      <c r="J494" s="55"/>
      <c r="K494" s="55"/>
      <c r="L494" s="55" t="str">
        <f>'Volunteer Survey'!B904</f>
        <v/>
      </c>
      <c r="M494" s="55" t="str">
        <f>'Volunteer Survey'!E904</f>
        <v/>
      </c>
      <c r="N494" s="55" t="str">
        <f>'Volunteer Survey'!F905</f>
        <v/>
      </c>
      <c r="O494" s="48" t="str">
        <f>'Volunteer Survey'!H905</f>
        <v/>
      </c>
      <c r="P494" s="55"/>
      <c r="Q494" s="60" t="str">
        <f>IFERROR(__xludf.DUMMYFUNCTION("QUERY('Volunteer Survey'!J888)"),"")</f>
        <v/>
      </c>
      <c r="R494" s="55"/>
      <c r="S494" s="55" t="str">
        <f>'Volunteer Survey'!L899</f>
        <v/>
      </c>
      <c r="T494" s="55" t="str">
        <f>'Volunteer Survey'!M904</f>
        <v/>
      </c>
      <c r="U494" s="64"/>
      <c r="V494" s="55"/>
      <c r="W494" s="66" t="str">
        <f>'Volunteer Survey'!P904</f>
        <v/>
      </c>
      <c r="X494" s="64" t="str">
        <f>'Volunteer Survey'!R905</f>
        <v/>
      </c>
      <c r="Y494" s="53"/>
      <c r="Z494" s="183" t="str">
        <f>IFERROR(__xludf.DUMMYFUNCTION("QUERY('Volunteer Survey'!A493)"),"")</f>
        <v/>
      </c>
      <c r="AA494" s="183" t="str">
        <f>IFERROR(__xludf.DUMMYFUNCTION("QUERY('Volunteer Survey'!B493)"),"")</f>
        <v/>
      </c>
      <c r="AB494" s="183" t="str">
        <f>IFERROR(__xludf.DUMMYFUNCTION("QUERY('Volunteer Survey'!C493)"),"")</f>
        <v/>
      </c>
      <c r="AC494" s="183" t="str">
        <f>IFERROR(__xludf.DUMMYFUNCTION("QUERY('Volunteer Survey'!D493)"),"")</f>
        <v/>
      </c>
      <c r="AD494" s="183" t="str">
        <f>IFERROR(__xludf.DUMMYFUNCTION("QUERY('Volunteer Survey'!E493)"),"")</f>
        <v/>
      </c>
      <c r="AE494" s="183" t="str">
        <f>IFERROR(__xludf.DUMMYFUNCTION("QUERY('Volunteer Survey'!F493)"),"")</f>
        <v/>
      </c>
      <c r="AF494" s="183" t="str">
        <f>IFERROR(__xludf.DUMMYFUNCTION("QUERY('Volunteer Survey'!G493)"),"")</f>
        <v/>
      </c>
      <c r="AG494" s="183" t="str">
        <f>IFERROR(__xludf.DUMMYFUNCTION("QUERY('Volunteer Survey'!H493)"),"")</f>
        <v/>
      </c>
      <c r="AH494" s="183" t="str">
        <f>IFERROR(__xludf.DUMMYFUNCTION("QUERY('Volunteer Survey'!I493)"),"")</f>
        <v/>
      </c>
      <c r="AI494" s="183" t="str">
        <f>IFERROR(__xludf.DUMMYFUNCTION("QUERY('Volunteer Survey'!J493)"),"")</f>
        <v/>
      </c>
      <c r="AJ494" s="183" t="str">
        <f>IFERROR(__xludf.DUMMYFUNCTION("QUERY('Volunteer Survey'!K493)"),"")</f>
        <v/>
      </c>
      <c r="AK494" s="183" t="str">
        <f>IFERROR(__xludf.DUMMYFUNCTION("QUERY('Volunteer Survey'!L493)"),"")</f>
        <v/>
      </c>
      <c r="AL494" s="183" t="str">
        <f>IFERROR(__xludf.DUMMYFUNCTION("QUERY('Volunteer Survey'!M493)"),"")</f>
        <v/>
      </c>
      <c r="AM494" s="183" t="str">
        <f>IFERROR(__xludf.DUMMYFUNCTION("QUERY('Volunteer Survey'!N493)"),"")</f>
        <v/>
      </c>
      <c r="AN494" s="183" t="str">
        <f>IFERROR(__xludf.DUMMYFUNCTION("QUERY('Volunteer Survey'!O493)"),"")</f>
        <v/>
      </c>
      <c r="AO494" s="183" t="str">
        <f>IFERROR(__xludf.DUMMYFUNCTION("QUERY('Volunteer Survey'!P493)"),"")</f>
        <v/>
      </c>
    </row>
    <row r="495">
      <c r="A495" s="55" t="str">
        <f>'Volunteer Survey'!A905</f>
        <v/>
      </c>
      <c r="B495" s="48" t="s">
        <v>322</v>
      </c>
      <c r="C495" s="53"/>
      <c r="D495" s="55"/>
      <c r="E495" s="55"/>
      <c r="F495" s="55" t="b">
        <v>0</v>
      </c>
      <c r="G495" s="55"/>
      <c r="H495" s="53"/>
      <c r="I495" s="53"/>
      <c r="J495" s="55"/>
      <c r="K495" s="55"/>
      <c r="L495" s="55" t="str">
        <f>'Volunteer Survey'!B905</f>
        <v/>
      </c>
      <c r="M495" s="55" t="str">
        <f>'Volunteer Survey'!E905</f>
        <v/>
      </c>
      <c r="N495" s="55" t="str">
        <f>'Volunteer Survey'!F906</f>
        <v/>
      </c>
      <c r="O495" s="48" t="str">
        <f>'Volunteer Survey'!H906</f>
        <v/>
      </c>
      <c r="P495" s="55"/>
      <c r="Q495" s="60" t="str">
        <f>IFERROR(__xludf.DUMMYFUNCTION("QUERY('Volunteer Survey'!J889)"),"")</f>
        <v/>
      </c>
      <c r="R495" s="55"/>
      <c r="S495" s="55" t="str">
        <f>'Volunteer Survey'!L900</f>
        <v/>
      </c>
      <c r="T495" s="55" t="str">
        <f>'Volunteer Survey'!M905</f>
        <v/>
      </c>
      <c r="U495" s="64"/>
      <c r="V495" s="55"/>
      <c r="W495" s="66" t="str">
        <f>'Volunteer Survey'!P905</f>
        <v/>
      </c>
      <c r="X495" s="64" t="str">
        <f>'Volunteer Survey'!R906</f>
        <v/>
      </c>
      <c r="Y495" s="53"/>
      <c r="Z495" s="183" t="str">
        <f>IFERROR(__xludf.DUMMYFUNCTION("QUERY('Volunteer Survey'!A494)"),"")</f>
        <v/>
      </c>
      <c r="AA495" s="183" t="str">
        <f>IFERROR(__xludf.DUMMYFUNCTION("QUERY('Volunteer Survey'!B494)"),"")</f>
        <v/>
      </c>
      <c r="AB495" s="183" t="str">
        <f>IFERROR(__xludf.DUMMYFUNCTION("QUERY('Volunteer Survey'!C494)"),"")</f>
        <v/>
      </c>
      <c r="AC495" s="183" t="str">
        <f>IFERROR(__xludf.DUMMYFUNCTION("QUERY('Volunteer Survey'!D494)"),"")</f>
        <v/>
      </c>
      <c r="AD495" s="183" t="str">
        <f>IFERROR(__xludf.DUMMYFUNCTION("QUERY('Volunteer Survey'!E494)"),"")</f>
        <v/>
      </c>
      <c r="AE495" s="183" t="str">
        <f>IFERROR(__xludf.DUMMYFUNCTION("QUERY('Volunteer Survey'!F494)"),"")</f>
        <v/>
      </c>
      <c r="AF495" s="183" t="str">
        <f>IFERROR(__xludf.DUMMYFUNCTION("QUERY('Volunteer Survey'!G494)"),"")</f>
        <v/>
      </c>
      <c r="AG495" s="183" t="str">
        <f>IFERROR(__xludf.DUMMYFUNCTION("QUERY('Volunteer Survey'!H494)"),"")</f>
        <v/>
      </c>
      <c r="AH495" s="183" t="str">
        <f>IFERROR(__xludf.DUMMYFUNCTION("QUERY('Volunteer Survey'!I494)"),"")</f>
        <v/>
      </c>
      <c r="AI495" s="183" t="str">
        <f>IFERROR(__xludf.DUMMYFUNCTION("QUERY('Volunteer Survey'!J494)"),"")</f>
        <v/>
      </c>
      <c r="AJ495" s="183" t="str">
        <f>IFERROR(__xludf.DUMMYFUNCTION("QUERY('Volunteer Survey'!K494)"),"")</f>
        <v/>
      </c>
      <c r="AK495" s="183" t="str">
        <f>IFERROR(__xludf.DUMMYFUNCTION("QUERY('Volunteer Survey'!L494)"),"")</f>
        <v/>
      </c>
      <c r="AL495" s="183" t="str">
        <f>IFERROR(__xludf.DUMMYFUNCTION("QUERY('Volunteer Survey'!M494)"),"")</f>
        <v/>
      </c>
      <c r="AM495" s="183" t="str">
        <f>IFERROR(__xludf.DUMMYFUNCTION("QUERY('Volunteer Survey'!N494)"),"")</f>
        <v/>
      </c>
      <c r="AN495" s="183" t="str">
        <f>IFERROR(__xludf.DUMMYFUNCTION("QUERY('Volunteer Survey'!O494)"),"")</f>
        <v/>
      </c>
      <c r="AO495" s="183" t="str">
        <f>IFERROR(__xludf.DUMMYFUNCTION("QUERY('Volunteer Survey'!P494)"),"")</f>
        <v/>
      </c>
    </row>
    <row r="496">
      <c r="A496" s="55" t="str">
        <f>'Volunteer Survey'!A906</f>
        <v/>
      </c>
      <c r="B496" s="48" t="s">
        <v>322</v>
      </c>
      <c r="C496" s="53"/>
      <c r="D496" s="55"/>
      <c r="E496" s="55"/>
      <c r="F496" s="55" t="b">
        <v>0</v>
      </c>
      <c r="G496" s="55"/>
      <c r="H496" s="53"/>
      <c r="I496" s="53"/>
      <c r="J496" s="55"/>
      <c r="K496" s="55"/>
      <c r="L496" s="55" t="str">
        <f>'Volunteer Survey'!B906</f>
        <v/>
      </c>
      <c r="M496" s="55" t="str">
        <f>'Volunteer Survey'!E906</f>
        <v/>
      </c>
      <c r="N496" s="55" t="str">
        <f>'Volunteer Survey'!F907</f>
        <v/>
      </c>
      <c r="O496" s="48" t="str">
        <f>'Volunteer Survey'!H907</f>
        <v/>
      </c>
      <c r="P496" s="55"/>
      <c r="Q496" s="60" t="str">
        <f>IFERROR(__xludf.DUMMYFUNCTION("QUERY('Volunteer Survey'!J890)"),"")</f>
        <v/>
      </c>
      <c r="R496" s="55"/>
      <c r="S496" s="55" t="str">
        <f>'Volunteer Survey'!L901</f>
        <v/>
      </c>
      <c r="T496" s="55" t="str">
        <f>'Volunteer Survey'!M906</f>
        <v/>
      </c>
      <c r="U496" s="64"/>
      <c r="V496" s="55"/>
      <c r="W496" s="66" t="str">
        <f>'Volunteer Survey'!P906</f>
        <v/>
      </c>
      <c r="X496" s="64" t="str">
        <f>'Volunteer Survey'!R907</f>
        <v/>
      </c>
      <c r="Y496" s="53"/>
      <c r="Z496" s="183" t="str">
        <f>IFERROR(__xludf.DUMMYFUNCTION("QUERY('Volunteer Survey'!A495)"),"")</f>
        <v/>
      </c>
      <c r="AA496" s="183" t="str">
        <f>IFERROR(__xludf.DUMMYFUNCTION("QUERY('Volunteer Survey'!B495)"),"")</f>
        <v/>
      </c>
      <c r="AB496" s="183" t="str">
        <f>IFERROR(__xludf.DUMMYFUNCTION("QUERY('Volunteer Survey'!C495)"),"")</f>
        <v/>
      </c>
      <c r="AC496" s="183" t="str">
        <f>IFERROR(__xludf.DUMMYFUNCTION("QUERY('Volunteer Survey'!D495)"),"")</f>
        <v/>
      </c>
      <c r="AD496" s="183" t="str">
        <f>IFERROR(__xludf.DUMMYFUNCTION("QUERY('Volunteer Survey'!E495)"),"")</f>
        <v/>
      </c>
      <c r="AE496" s="183" t="str">
        <f>IFERROR(__xludf.DUMMYFUNCTION("QUERY('Volunteer Survey'!F495)"),"")</f>
        <v/>
      </c>
      <c r="AF496" s="183" t="str">
        <f>IFERROR(__xludf.DUMMYFUNCTION("QUERY('Volunteer Survey'!G495)"),"")</f>
        <v/>
      </c>
      <c r="AG496" s="183" t="str">
        <f>IFERROR(__xludf.DUMMYFUNCTION("QUERY('Volunteer Survey'!H495)"),"")</f>
        <v/>
      </c>
      <c r="AH496" s="183" t="str">
        <f>IFERROR(__xludf.DUMMYFUNCTION("QUERY('Volunteer Survey'!I495)"),"")</f>
        <v/>
      </c>
      <c r="AI496" s="183" t="str">
        <f>IFERROR(__xludf.DUMMYFUNCTION("QUERY('Volunteer Survey'!J495)"),"")</f>
        <v/>
      </c>
      <c r="AJ496" s="183" t="str">
        <f>IFERROR(__xludf.DUMMYFUNCTION("QUERY('Volunteer Survey'!K495)"),"")</f>
        <v/>
      </c>
      <c r="AK496" s="183" t="str">
        <f>IFERROR(__xludf.DUMMYFUNCTION("QUERY('Volunteer Survey'!L495)"),"")</f>
        <v/>
      </c>
      <c r="AL496" s="183" t="str">
        <f>IFERROR(__xludf.DUMMYFUNCTION("QUERY('Volunteer Survey'!M495)"),"")</f>
        <v/>
      </c>
      <c r="AM496" s="183" t="str">
        <f>IFERROR(__xludf.DUMMYFUNCTION("QUERY('Volunteer Survey'!N495)"),"")</f>
        <v/>
      </c>
      <c r="AN496" s="183" t="str">
        <f>IFERROR(__xludf.DUMMYFUNCTION("QUERY('Volunteer Survey'!O495)"),"")</f>
        <v/>
      </c>
      <c r="AO496" s="183" t="str">
        <f>IFERROR(__xludf.DUMMYFUNCTION("QUERY('Volunteer Survey'!P495)"),"")</f>
        <v/>
      </c>
    </row>
    <row r="497">
      <c r="A497" s="55" t="str">
        <f>'Volunteer Survey'!A907</f>
        <v/>
      </c>
      <c r="B497" s="48" t="s">
        <v>322</v>
      </c>
      <c r="C497" s="53"/>
      <c r="D497" s="55"/>
      <c r="E497" s="55"/>
      <c r="F497" s="55" t="b">
        <v>0</v>
      </c>
      <c r="G497" s="55"/>
      <c r="H497" s="53"/>
      <c r="I497" s="53"/>
      <c r="J497" s="55"/>
      <c r="K497" s="55"/>
      <c r="L497" s="55" t="str">
        <f>'Volunteer Survey'!B907</f>
        <v/>
      </c>
      <c r="M497" s="55" t="str">
        <f>'Volunteer Survey'!E907</f>
        <v/>
      </c>
      <c r="N497" s="55" t="str">
        <f>'Volunteer Survey'!F908</f>
        <v/>
      </c>
      <c r="O497" s="48" t="str">
        <f>'Volunteer Survey'!H908</f>
        <v/>
      </c>
      <c r="P497" s="55"/>
      <c r="Q497" s="60" t="str">
        <f>IFERROR(__xludf.DUMMYFUNCTION("QUERY('Volunteer Survey'!J891)"),"")</f>
        <v/>
      </c>
      <c r="R497" s="55"/>
      <c r="S497" s="55" t="str">
        <f>'Volunteer Survey'!L902</f>
        <v/>
      </c>
      <c r="T497" s="55" t="str">
        <f>'Volunteer Survey'!M907</f>
        <v/>
      </c>
      <c r="U497" s="64"/>
      <c r="V497" s="55"/>
      <c r="W497" s="66" t="str">
        <f>'Volunteer Survey'!P907</f>
        <v/>
      </c>
      <c r="X497" s="64" t="str">
        <f>'Volunteer Survey'!R908</f>
        <v/>
      </c>
      <c r="Y497" s="53"/>
      <c r="Z497" s="183" t="str">
        <f>IFERROR(__xludf.DUMMYFUNCTION("QUERY('Volunteer Survey'!A496)"),"")</f>
        <v/>
      </c>
      <c r="AA497" s="183" t="str">
        <f>IFERROR(__xludf.DUMMYFUNCTION("QUERY('Volunteer Survey'!B496)"),"")</f>
        <v/>
      </c>
      <c r="AB497" s="183" t="str">
        <f>IFERROR(__xludf.DUMMYFUNCTION("QUERY('Volunteer Survey'!C496)"),"")</f>
        <v/>
      </c>
      <c r="AC497" s="183" t="str">
        <f>IFERROR(__xludf.DUMMYFUNCTION("QUERY('Volunteer Survey'!D496)"),"")</f>
        <v/>
      </c>
      <c r="AD497" s="183" t="str">
        <f>IFERROR(__xludf.DUMMYFUNCTION("QUERY('Volunteer Survey'!E496)"),"")</f>
        <v/>
      </c>
      <c r="AE497" s="183" t="str">
        <f>IFERROR(__xludf.DUMMYFUNCTION("QUERY('Volunteer Survey'!F496)"),"")</f>
        <v/>
      </c>
      <c r="AF497" s="183" t="str">
        <f>IFERROR(__xludf.DUMMYFUNCTION("QUERY('Volunteer Survey'!G496)"),"")</f>
        <v/>
      </c>
      <c r="AG497" s="183" t="str">
        <f>IFERROR(__xludf.DUMMYFUNCTION("QUERY('Volunteer Survey'!H496)"),"")</f>
        <v/>
      </c>
      <c r="AH497" s="183" t="str">
        <f>IFERROR(__xludf.DUMMYFUNCTION("QUERY('Volunteer Survey'!I496)"),"")</f>
        <v/>
      </c>
      <c r="AI497" s="183" t="str">
        <f>IFERROR(__xludf.DUMMYFUNCTION("QUERY('Volunteer Survey'!J496)"),"")</f>
        <v/>
      </c>
      <c r="AJ497" s="183" t="str">
        <f>IFERROR(__xludf.DUMMYFUNCTION("QUERY('Volunteer Survey'!K496)"),"")</f>
        <v/>
      </c>
      <c r="AK497" s="183" t="str">
        <f>IFERROR(__xludf.DUMMYFUNCTION("QUERY('Volunteer Survey'!L496)"),"")</f>
        <v/>
      </c>
      <c r="AL497" s="183" t="str">
        <f>IFERROR(__xludf.DUMMYFUNCTION("QUERY('Volunteer Survey'!M496)"),"")</f>
        <v/>
      </c>
      <c r="AM497" s="183" t="str">
        <f>IFERROR(__xludf.DUMMYFUNCTION("QUERY('Volunteer Survey'!N496)"),"")</f>
        <v/>
      </c>
      <c r="AN497" s="183" t="str">
        <f>IFERROR(__xludf.DUMMYFUNCTION("QUERY('Volunteer Survey'!O496)"),"")</f>
        <v/>
      </c>
      <c r="AO497" s="183" t="str">
        <f>IFERROR(__xludf.DUMMYFUNCTION("QUERY('Volunteer Survey'!P496)"),"")</f>
        <v/>
      </c>
    </row>
    <row r="498">
      <c r="A498" s="55" t="str">
        <f>'Volunteer Survey'!A908</f>
        <v/>
      </c>
      <c r="B498" s="48" t="s">
        <v>322</v>
      </c>
      <c r="C498" s="53"/>
      <c r="D498" s="55"/>
      <c r="E498" s="55"/>
      <c r="F498" s="55" t="b">
        <v>0</v>
      </c>
      <c r="G498" s="55"/>
      <c r="H498" s="53"/>
      <c r="I498" s="53"/>
      <c r="J498" s="55"/>
      <c r="K498" s="55"/>
      <c r="L498" s="55" t="str">
        <f>'Volunteer Survey'!B908</f>
        <v/>
      </c>
      <c r="M498" s="55" t="str">
        <f>'Volunteer Survey'!E908</f>
        <v/>
      </c>
      <c r="N498" s="55" t="str">
        <f>'Volunteer Survey'!F909</f>
        <v/>
      </c>
      <c r="O498" s="48" t="str">
        <f>'Volunteer Survey'!H909</f>
        <v/>
      </c>
      <c r="P498" s="55"/>
      <c r="Q498" s="60" t="str">
        <f>IFERROR(__xludf.DUMMYFUNCTION("QUERY('Volunteer Survey'!J892)"),"")</f>
        <v/>
      </c>
      <c r="R498" s="55"/>
      <c r="S498" s="55" t="str">
        <f>'Volunteer Survey'!L903</f>
        <v/>
      </c>
      <c r="T498" s="55" t="str">
        <f>'Volunteer Survey'!M908</f>
        <v/>
      </c>
      <c r="U498" s="64"/>
      <c r="V498" s="55"/>
      <c r="W498" s="66" t="str">
        <f>'Volunteer Survey'!P908</f>
        <v/>
      </c>
      <c r="X498" s="64" t="str">
        <f>'Volunteer Survey'!R909</f>
        <v/>
      </c>
      <c r="Y498" s="53"/>
      <c r="Z498" s="183" t="str">
        <f>IFERROR(__xludf.DUMMYFUNCTION("QUERY('Volunteer Survey'!A497)"),"")</f>
        <v/>
      </c>
      <c r="AA498" s="183" t="str">
        <f>IFERROR(__xludf.DUMMYFUNCTION("QUERY('Volunteer Survey'!B497)"),"")</f>
        <v/>
      </c>
      <c r="AB498" s="183" t="str">
        <f>IFERROR(__xludf.DUMMYFUNCTION("QUERY('Volunteer Survey'!C497)"),"")</f>
        <v/>
      </c>
      <c r="AC498" s="183" t="str">
        <f>IFERROR(__xludf.DUMMYFUNCTION("QUERY('Volunteer Survey'!D497)"),"")</f>
        <v/>
      </c>
      <c r="AD498" s="183" t="str">
        <f>IFERROR(__xludf.DUMMYFUNCTION("QUERY('Volunteer Survey'!E497)"),"")</f>
        <v/>
      </c>
      <c r="AE498" s="183" t="str">
        <f>IFERROR(__xludf.DUMMYFUNCTION("QUERY('Volunteer Survey'!F497)"),"")</f>
        <v/>
      </c>
      <c r="AF498" s="183" t="str">
        <f>IFERROR(__xludf.DUMMYFUNCTION("QUERY('Volunteer Survey'!G497)"),"")</f>
        <v/>
      </c>
      <c r="AG498" s="183" t="str">
        <f>IFERROR(__xludf.DUMMYFUNCTION("QUERY('Volunteer Survey'!H497)"),"")</f>
        <v/>
      </c>
      <c r="AH498" s="183" t="str">
        <f>IFERROR(__xludf.DUMMYFUNCTION("QUERY('Volunteer Survey'!I497)"),"")</f>
        <v/>
      </c>
      <c r="AI498" s="183" t="str">
        <f>IFERROR(__xludf.DUMMYFUNCTION("QUERY('Volunteer Survey'!J497)"),"")</f>
        <v/>
      </c>
      <c r="AJ498" s="183" t="str">
        <f>IFERROR(__xludf.DUMMYFUNCTION("QUERY('Volunteer Survey'!K497)"),"")</f>
        <v/>
      </c>
      <c r="AK498" s="183" t="str">
        <f>IFERROR(__xludf.DUMMYFUNCTION("QUERY('Volunteer Survey'!L497)"),"")</f>
        <v/>
      </c>
      <c r="AL498" s="183" t="str">
        <f>IFERROR(__xludf.DUMMYFUNCTION("QUERY('Volunteer Survey'!M497)"),"")</f>
        <v/>
      </c>
      <c r="AM498" s="183" t="str">
        <f>IFERROR(__xludf.DUMMYFUNCTION("QUERY('Volunteer Survey'!N497)"),"")</f>
        <v/>
      </c>
      <c r="AN498" s="183" t="str">
        <f>IFERROR(__xludf.DUMMYFUNCTION("QUERY('Volunteer Survey'!O497)"),"")</f>
        <v/>
      </c>
      <c r="AO498" s="183" t="str">
        <f>IFERROR(__xludf.DUMMYFUNCTION("QUERY('Volunteer Survey'!P497)"),"")</f>
        <v/>
      </c>
    </row>
    <row r="499">
      <c r="A499" s="55" t="str">
        <f>'Volunteer Survey'!A909</f>
        <v/>
      </c>
      <c r="B499" s="48" t="s">
        <v>322</v>
      </c>
      <c r="C499" s="53"/>
      <c r="D499" s="55"/>
      <c r="E499" s="55"/>
      <c r="F499" s="55" t="b">
        <v>0</v>
      </c>
      <c r="G499" s="55"/>
      <c r="H499" s="53"/>
      <c r="I499" s="53"/>
      <c r="J499" s="55"/>
      <c r="K499" s="55"/>
      <c r="L499" s="55" t="str">
        <f>'Volunteer Survey'!B909</f>
        <v/>
      </c>
      <c r="M499" s="55" t="str">
        <f>'Volunteer Survey'!E909</f>
        <v/>
      </c>
      <c r="N499" s="55" t="str">
        <f>'Volunteer Survey'!F910</f>
        <v/>
      </c>
      <c r="O499" s="48" t="str">
        <f>'Volunteer Survey'!H910</f>
        <v/>
      </c>
      <c r="P499" s="55"/>
      <c r="Q499" s="60" t="str">
        <f>IFERROR(__xludf.DUMMYFUNCTION("QUERY('Volunteer Survey'!J893)"),"")</f>
        <v/>
      </c>
      <c r="R499" s="55"/>
      <c r="S499" s="55" t="str">
        <f>'Volunteer Survey'!L904</f>
        <v/>
      </c>
      <c r="T499" s="55" t="str">
        <f>'Volunteer Survey'!M909</f>
        <v/>
      </c>
      <c r="U499" s="64"/>
      <c r="V499" s="55"/>
      <c r="W499" s="66" t="str">
        <f>'Volunteer Survey'!P909</f>
        <v/>
      </c>
      <c r="X499" s="64" t="str">
        <f>'Volunteer Survey'!R910</f>
        <v/>
      </c>
      <c r="Y499" s="53"/>
      <c r="Z499" s="183" t="str">
        <f>IFERROR(__xludf.DUMMYFUNCTION("QUERY('Volunteer Survey'!A498)"),"")</f>
        <v/>
      </c>
      <c r="AA499" s="183" t="str">
        <f>IFERROR(__xludf.DUMMYFUNCTION("QUERY('Volunteer Survey'!B498)"),"")</f>
        <v/>
      </c>
      <c r="AB499" s="183" t="str">
        <f>IFERROR(__xludf.DUMMYFUNCTION("QUERY('Volunteer Survey'!C498)"),"")</f>
        <v/>
      </c>
      <c r="AC499" s="183" t="str">
        <f>IFERROR(__xludf.DUMMYFUNCTION("QUERY('Volunteer Survey'!D498)"),"")</f>
        <v/>
      </c>
      <c r="AD499" s="183" t="str">
        <f>IFERROR(__xludf.DUMMYFUNCTION("QUERY('Volunteer Survey'!E498)"),"")</f>
        <v/>
      </c>
      <c r="AE499" s="183" t="str">
        <f>IFERROR(__xludf.DUMMYFUNCTION("QUERY('Volunteer Survey'!F498)"),"")</f>
        <v/>
      </c>
      <c r="AF499" s="183" t="str">
        <f>IFERROR(__xludf.DUMMYFUNCTION("QUERY('Volunteer Survey'!G498)"),"")</f>
        <v/>
      </c>
      <c r="AG499" s="183" t="str">
        <f>IFERROR(__xludf.DUMMYFUNCTION("QUERY('Volunteer Survey'!H498)"),"")</f>
        <v/>
      </c>
      <c r="AH499" s="183" t="str">
        <f>IFERROR(__xludf.DUMMYFUNCTION("QUERY('Volunteer Survey'!I498)"),"")</f>
        <v/>
      </c>
      <c r="AI499" s="183" t="str">
        <f>IFERROR(__xludf.DUMMYFUNCTION("QUERY('Volunteer Survey'!J498)"),"")</f>
        <v/>
      </c>
      <c r="AJ499" s="183" t="str">
        <f>IFERROR(__xludf.DUMMYFUNCTION("QUERY('Volunteer Survey'!K498)"),"")</f>
        <v/>
      </c>
      <c r="AK499" s="183" t="str">
        <f>IFERROR(__xludf.DUMMYFUNCTION("QUERY('Volunteer Survey'!L498)"),"")</f>
        <v/>
      </c>
      <c r="AL499" s="183" t="str">
        <f>IFERROR(__xludf.DUMMYFUNCTION("QUERY('Volunteer Survey'!M498)"),"")</f>
        <v/>
      </c>
      <c r="AM499" s="183" t="str">
        <f>IFERROR(__xludf.DUMMYFUNCTION("QUERY('Volunteer Survey'!N498)"),"")</f>
        <v/>
      </c>
      <c r="AN499" s="183" t="str">
        <f>IFERROR(__xludf.DUMMYFUNCTION("QUERY('Volunteer Survey'!O498)"),"")</f>
        <v/>
      </c>
      <c r="AO499" s="183" t="str">
        <f>IFERROR(__xludf.DUMMYFUNCTION("QUERY('Volunteer Survey'!P498)"),"")</f>
        <v/>
      </c>
    </row>
    <row r="500">
      <c r="A500" s="55" t="str">
        <f>'Volunteer Survey'!A910</f>
        <v/>
      </c>
      <c r="B500" s="48" t="s">
        <v>322</v>
      </c>
      <c r="C500" s="53"/>
      <c r="D500" s="55"/>
      <c r="E500" s="55"/>
      <c r="F500" s="55" t="b">
        <v>0</v>
      </c>
      <c r="G500" s="55"/>
      <c r="H500" s="53"/>
      <c r="I500" s="53"/>
      <c r="J500" s="55"/>
      <c r="K500" s="55"/>
      <c r="L500" s="55" t="str">
        <f>'Volunteer Survey'!B910</f>
        <v/>
      </c>
      <c r="M500" s="55" t="str">
        <f>'Volunteer Survey'!E910</f>
        <v/>
      </c>
      <c r="N500" s="55" t="str">
        <f>'Volunteer Survey'!F911</f>
        <v/>
      </c>
      <c r="O500" s="48" t="str">
        <f>'Volunteer Survey'!H911</f>
        <v/>
      </c>
      <c r="P500" s="55"/>
      <c r="Q500" s="60" t="str">
        <f>IFERROR(__xludf.DUMMYFUNCTION("QUERY('Volunteer Survey'!J894)"),"")</f>
        <v/>
      </c>
      <c r="R500" s="55"/>
      <c r="S500" s="55" t="str">
        <f>'Volunteer Survey'!L905</f>
        <v/>
      </c>
      <c r="T500" s="55" t="str">
        <f>'Volunteer Survey'!M910</f>
        <v/>
      </c>
      <c r="U500" s="64"/>
      <c r="V500" s="55"/>
      <c r="W500" s="66" t="str">
        <f>'Volunteer Survey'!P910</f>
        <v/>
      </c>
      <c r="X500" s="64" t="str">
        <f>'Volunteer Survey'!R911</f>
        <v/>
      </c>
      <c r="Y500" s="53"/>
      <c r="Z500" s="183" t="str">
        <f>IFERROR(__xludf.DUMMYFUNCTION("QUERY('Volunteer Survey'!A499)"),"")</f>
        <v/>
      </c>
      <c r="AA500" s="183" t="str">
        <f>IFERROR(__xludf.DUMMYFUNCTION("QUERY('Volunteer Survey'!B499)"),"")</f>
        <v/>
      </c>
      <c r="AB500" s="183" t="str">
        <f>IFERROR(__xludf.DUMMYFUNCTION("QUERY('Volunteer Survey'!C499)"),"")</f>
        <v/>
      </c>
      <c r="AC500" s="183" t="str">
        <f>IFERROR(__xludf.DUMMYFUNCTION("QUERY('Volunteer Survey'!D499)"),"")</f>
        <v/>
      </c>
      <c r="AD500" s="183" t="str">
        <f>IFERROR(__xludf.DUMMYFUNCTION("QUERY('Volunteer Survey'!E499)"),"")</f>
        <v/>
      </c>
      <c r="AE500" s="183" t="str">
        <f>IFERROR(__xludf.DUMMYFUNCTION("QUERY('Volunteer Survey'!F499)"),"")</f>
        <v/>
      </c>
      <c r="AF500" s="183" t="str">
        <f>IFERROR(__xludf.DUMMYFUNCTION("QUERY('Volunteer Survey'!G499)"),"")</f>
        <v/>
      </c>
      <c r="AG500" s="183" t="str">
        <f>IFERROR(__xludf.DUMMYFUNCTION("QUERY('Volunteer Survey'!H499)"),"")</f>
        <v/>
      </c>
      <c r="AH500" s="183" t="str">
        <f>IFERROR(__xludf.DUMMYFUNCTION("QUERY('Volunteer Survey'!I499)"),"")</f>
        <v/>
      </c>
      <c r="AI500" s="183" t="str">
        <f>IFERROR(__xludf.DUMMYFUNCTION("QUERY('Volunteer Survey'!J499)"),"")</f>
        <v/>
      </c>
      <c r="AJ500" s="183" t="str">
        <f>IFERROR(__xludf.DUMMYFUNCTION("QUERY('Volunteer Survey'!K499)"),"")</f>
        <v/>
      </c>
      <c r="AK500" s="183" t="str">
        <f>IFERROR(__xludf.DUMMYFUNCTION("QUERY('Volunteer Survey'!L499)"),"")</f>
        <v/>
      </c>
      <c r="AL500" s="183" t="str">
        <f>IFERROR(__xludf.DUMMYFUNCTION("QUERY('Volunteer Survey'!M499)"),"")</f>
        <v/>
      </c>
      <c r="AM500" s="183" t="str">
        <f>IFERROR(__xludf.DUMMYFUNCTION("QUERY('Volunteer Survey'!N499)"),"")</f>
        <v/>
      </c>
      <c r="AN500" s="183" t="str">
        <f>IFERROR(__xludf.DUMMYFUNCTION("QUERY('Volunteer Survey'!O499)"),"")</f>
        <v/>
      </c>
      <c r="AO500" s="183" t="str">
        <f>IFERROR(__xludf.DUMMYFUNCTION("QUERY('Volunteer Survey'!P499)"),"")</f>
        <v/>
      </c>
    </row>
    <row r="501">
      <c r="A501" s="55" t="str">
        <f>'Volunteer Survey'!A911</f>
        <v/>
      </c>
      <c r="B501" s="48" t="s">
        <v>322</v>
      </c>
      <c r="C501" s="53"/>
      <c r="D501" s="55"/>
      <c r="E501" s="55"/>
      <c r="F501" s="55" t="b">
        <v>0</v>
      </c>
      <c r="G501" s="55"/>
      <c r="H501" s="53"/>
      <c r="I501" s="53"/>
      <c r="J501" s="55"/>
      <c r="K501" s="55"/>
      <c r="L501" s="55" t="str">
        <f>'Volunteer Survey'!B911</f>
        <v/>
      </c>
      <c r="M501" s="55" t="str">
        <f>'Volunteer Survey'!E911</f>
        <v/>
      </c>
      <c r="N501" s="55" t="str">
        <f>'Volunteer Survey'!F912</f>
        <v/>
      </c>
      <c r="O501" s="48" t="str">
        <f>'Volunteer Survey'!H912</f>
        <v/>
      </c>
      <c r="P501" s="55"/>
      <c r="Q501" s="60" t="str">
        <f>IFERROR(__xludf.DUMMYFUNCTION("QUERY('Volunteer Survey'!J895)"),"")</f>
        <v/>
      </c>
      <c r="R501" s="55"/>
      <c r="S501" s="55" t="str">
        <f>'Volunteer Survey'!L906</f>
        <v/>
      </c>
      <c r="T501" s="55" t="str">
        <f>'Volunteer Survey'!M911</f>
        <v/>
      </c>
      <c r="U501" s="64"/>
      <c r="V501" s="55"/>
      <c r="W501" s="66" t="str">
        <f>'Volunteer Survey'!P911</f>
        <v/>
      </c>
      <c r="X501" s="64" t="str">
        <f>'Volunteer Survey'!R912</f>
        <v/>
      </c>
      <c r="Y501" s="53"/>
      <c r="Z501" s="183" t="str">
        <f>IFERROR(__xludf.DUMMYFUNCTION("QUERY('Volunteer Survey'!A500)"),"")</f>
        <v/>
      </c>
      <c r="AA501" s="183" t="str">
        <f>IFERROR(__xludf.DUMMYFUNCTION("QUERY('Volunteer Survey'!B500)"),"")</f>
        <v/>
      </c>
      <c r="AB501" s="183" t="str">
        <f>IFERROR(__xludf.DUMMYFUNCTION("QUERY('Volunteer Survey'!C500)"),"")</f>
        <v/>
      </c>
      <c r="AC501" s="183" t="str">
        <f>IFERROR(__xludf.DUMMYFUNCTION("QUERY('Volunteer Survey'!D500)"),"")</f>
        <v/>
      </c>
      <c r="AD501" s="183" t="str">
        <f>IFERROR(__xludf.DUMMYFUNCTION("QUERY('Volunteer Survey'!E500)"),"")</f>
        <v/>
      </c>
      <c r="AE501" s="183" t="str">
        <f>IFERROR(__xludf.DUMMYFUNCTION("QUERY('Volunteer Survey'!F500)"),"")</f>
        <v/>
      </c>
      <c r="AF501" s="183" t="str">
        <f>IFERROR(__xludf.DUMMYFUNCTION("QUERY('Volunteer Survey'!G500)"),"")</f>
        <v/>
      </c>
      <c r="AG501" s="183" t="str">
        <f>IFERROR(__xludf.DUMMYFUNCTION("QUERY('Volunteer Survey'!H500)"),"")</f>
        <v/>
      </c>
      <c r="AH501" s="183" t="str">
        <f>IFERROR(__xludf.DUMMYFUNCTION("QUERY('Volunteer Survey'!I500)"),"")</f>
        <v/>
      </c>
      <c r="AI501" s="183" t="str">
        <f>IFERROR(__xludf.DUMMYFUNCTION("QUERY('Volunteer Survey'!J500)"),"")</f>
        <v/>
      </c>
      <c r="AJ501" s="183" t="str">
        <f>IFERROR(__xludf.DUMMYFUNCTION("QUERY('Volunteer Survey'!K500)"),"")</f>
        <v/>
      </c>
      <c r="AK501" s="183" t="str">
        <f>IFERROR(__xludf.DUMMYFUNCTION("QUERY('Volunteer Survey'!L500)"),"")</f>
        <v/>
      </c>
      <c r="AL501" s="183" t="str">
        <f>IFERROR(__xludf.DUMMYFUNCTION("QUERY('Volunteer Survey'!M500)"),"")</f>
        <v/>
      </c>
      <c r="AM501" s="183" t="str">
        <f>IFERROR(__xludf.DUMMYFUNCTION("QUERY('Volunteer Survey'!N500)"),"")</f>
        <v/>
      </c>
      <c r="AN501" s="183" t="str">
        <f>IFERROR(__xludf.DUMMYFUNCTION("QUERY('Volunteer Survey'!O500)"),"")</f>
        <v/>
      </c>
      <c r="AO501" s="183" t="str">
        <f>IFERROR(__xludf.DUMMYFUNCTION("QUERY('Volunteer Survey'!P500)"),"")</f>
        <v/>
      </c>
    </row>
    <row r="502">
      <c r="A502" s="55" t="str">
        <f>'Volunteer Survey'!A912</f>
        <v/>
      </c>
      <c r="B502" s="48" t="s">
        <v>322</v>
      </c>
      <c r="C502" s="53"/>
      <c r="D502" s="55"/>
      <c r="E502" s="55"/>
      <c r="F502" s="55" t="b">
        <v>0</v>
      </c>
      <c r="G502" s="55"/>
      <c r="H502" s="53"/>
      <c r="I502" s="53"/>
      <c r="J502" s="55"/>
      <c r="K502" s="55"/>
      <c r="L502" s="55" t="str">
        <f>'Volunteer Survey'!B912</f>
        <v/>
      </c>
      <c r="M502" s="55" t="str">
        <f>'Volunteer Survey'!E912</f>
        <v/>
      </c>
      <c r="N502" s="55" t="str">
        <f>'Volunteer Survey'!F913</f>
        <v/>
      </c>
      <c r="O502" s="48" t="str">
        <f>'Volunteer Survey'!H913</f>
        <v/>
      </c>
      <c r="P502" s="55"/>
      <c r="Q502" s="60" t="str">
        <f>IFERROR(__xludf.DUMMYFUNCTION("QUERY('Volunteer Survey'!J896)"),"")</f>
        <v/>
      </c>
      <c r="R502" s="55"/>
      <c r="S502" s="55" t="str">
        <f>'Volunteer Survey'!L907</f>
        <v/>
      </c>
      <c r="T502" s="55" t="str">
        <f>'Volunteer Survey'!M912</f>
        <v/>
      </c>
      <c r="U502" s="64"/>
      <c r="V502" s="55"/>
      <c r="W502" s="66" t="str">
        <f>'Volunteer Survey'!P912</f>
        <v/>
      </c>
      <c r="X502" s="64" t="str">
        <f>'Volunteer Survey'!R913</f>
        <v/>
      </c>
      <c r="Y502" s="53"/>
      <c r="Z502" s="183" t="str">
        <f>IFERROR(__xludf.DUMMYFUNCTION("QUERY('Volunteer Survey'!A501)"),"")</f>
        <v/>
      </c>
      <c r="AA502" s="183" t="str">
        <f>IFERROR(__xludf.DUMMYFUNCTION("QUERY('Volunteer Survey'!B501)"),"")</f>
        <v/>
      </c>
      <c r="AB502" s="183" t="str">
        <f>IFERROR(__xludf.DUMMYFUNCTION("QUERY('Volunteer Survey'!C501)"),"")</f>
        <v/>
      </c>
      <c r="AC502" s="183" t="str">
        <f>IFERROR(__xludf.DUMMYFUNCTION("QUERY('Volunteer Survey'!D501)"),"")</f>
        <v/>
      </c>
      <c r="AD502" s="183" t="str">
        <f>IFERROR(__xludf.DUMMYFUNCTION("QUERY('Volunteer Survey'!E501)"),"")</f>
        <v/>
      </c>
      <c r="AE502" s="183" t="str">
        <f>IFERROR(__xludf.DUMMYFUNCTION("QUERY('Volunteer Survey'!F501)"),"")</f>
        <v/>
      </c>
      <c r="AF502" s="183" t="str">
        <f>IFERROR(__xludf.DUMMYFUNCTION("QUERY('Volunteer Survey'!G501)"),"")</f>
        <v/>
      </c>
      <c r="AG502" s="183" t="str">
        <f>IFERROR(__xludf.DUMMYFUNCTION("QUERY('Volunteer Survey'!H501)"),"")</f>
        <v/>
      </c>
      <c r="AH502" s="183" t="str">
        <f>IFERROR(__xludf.DUMMYFUNCTION("QUERY('Volunteer Survey'!I501)"),"")</f>
        <v/>
      </c>
      <c r="AI502" s="183" t="str">
        <f>IFERROR(__xludf.DUMMYFUNCTION("QUERY('Volunteer Survey'!J501)"),"")</f>
        <v/>
      </c>
      <c r="AJ502" s="183" t="str">
        <f>IFERROR(__xludf.DUMMYFUNCTION("QUERY('Volunteer Survey'!K501)"),"")</f>
        <v/>
      </c>
      <c r="AK502" s="183" t="str">
        <f>IFERROR(__xludf.DUMMYFUNCTION("QUERY('Volunteer Survey'!L501)"),"")</f>
        <v/>
      </c>
      <c r="AL502" s="183" t="str">
        <f>IFERROR(__xludf.DUMMYFUNCTION("QUERY('Volunteer Survey'!M501)"),"")</f>
        <v/>
      </c>
      <c r="AM502" s="183" t="str">
        <f>IFERROR(__xludf.DUMMYFUNCTION("QUERY('Volunteer Survey'!N501)"),"")</f>
        <v/>
      </c>
      <c r="AN502" s="183" t="str">
        <f>IFERROR(__xludf.DUMMYFUNCTION("QUERY('Volunteer Survey'!O501)"),"")</f>
        <v/>
      </c>
      <c r="AO502" s="183" t="str">
        <f>IFERROR(__xludf.DUMMYFUNCTION("QUERY('Volunteer Survey'!P501)"),"")</f>
        <v/>
      </c>
    </row>
    <row r="503">
      <c r="A503" s="55" t="str">
        <f>'Volunteer Survey'!A913</f>
        <v/>
      </c>
      <c r="B503" s="48" t="s">
        <v>322</v>
      </c>
      <c r="C503" s="53"/>
      <c r="D503" s="55"/>
      <c r="E503" s="55"/>
      <c r="F503" s="55" t="b">
        <v>0</v>
      </c>
      <c r="G503" s="55"/>
      <c r="H503" s="53"/>
      <c r="I503" s="53"/>
      <c r="J503" s="55"/>
      <c r="K503" s="55"/>
      <c r="L503" s="55" t="str">
        <f>'Volunteer Survey'!B913</f>
        <v/>
      </c>
      <c r="M503" s="55" t="str">
        <f>'Volunteer Survey'!E913</f>
        <v/>
      </c>
      <c r="N503" s="55" t="str">
        <f>'Volunteer Survey'!F914</f>
        <v/>
      </c>
      <c r="O503" s="48" t="str">
        <f>'Volunteer Survey'!H914</f>
        <v/>
      </c>
      <c r="P503" s="55"/>
      <c r="Q503" s="60" t="str">
        <f>IFERROR(__xludf.DUMMYFUNCTION("QUERY('Volunteer Survey'!J897)"),"")</f>
        <v/>
      </c>
      <c r="R503" s="55"/>
      <c r="S503" s="55" t="str">
        <f>'Volunteer Survey'!L908</f>
        <v/>
      </c>
      <c r="T503" s="55" t="str">
        <f>'Volunteer Survey'!M913</f>
        <v/>
      </c>
      <c r="U503" s="64"/>
      <c r="V503" s="55"/>
      <c r="W503" s="66" t="str">
        <f>'Volunteer Survey'!P913</f>
        <v/>
      </c>
      <c r="X503" s="64" t="str">
        <f>'Volunteer Survey'!R914</f>
        <v/>
      </c>
      <c r="Y503" s="53"/>
      <c r="Z503" s="183" t="str">
        <f>IFERROR(__xludf.DUMMYFUNCTION("QUERY('Volunteer Survey'!A502)"),"")</f>
        <v/>
      </c>
      <c r="AA503" s="183" t="str">
        <f>IFERROR(__xludf.DUMMYFUNCTION("QUERY('Volunteer Survey'!B502)"),"")</f>
        <v/>
      </c>
      <c r="AB503" s="183" t="str">
        <f>IFERROR(__xludf.DUMMYFUNCTION("QUERY('Volunteer Survey'!C502)"),"")</f>
        <v/>
      </c>
      <c r="AC503" s="183" t="str">
        <f>IFERROR(__xludf.DUMMYFUNCTION("QUERY('Volunteer Survey'!D502)"),"")</f>
        <v/>
      </c>
      <c r="AD503" s="183" t="str">
        <f>IFERROR(__xludf.DUMMYFUNCTION("QUERY('Volunteer Survey'!E502)"),"")</f>
        <v/>
      </c>
      <c r="AE503" s="183" t="str">
        <f>IFERROR(__xludf.DUMMYFUNCTION("QUERY('Volunteer Survey'!F502)"),"")</f>
        <v/>
      </c>
      <c r="AF503" s="183" t="str">
        <f>IFERROR(__xludf.DUMMYFUNCTION("QUERY('Volunteer Survey'!G502)"),"")</f>
        <v/>
      </c>
      <c r="AG503" s="183" t="str">
        <f>IFERROR(__xludf.DUMMYFUNCTION("QUERY('Volunteer Survey'!H502)"),"")</f>
        <v/>
      </c>
      <c r="AH503" s="183" t="str">
        <f>IFERROR(__xludf.DUMMYFUNCTION("QUERY('Volunteer Survey'!I502)"),"")</f>
        <v/>
      </c>
      <c r="AI503" s="183" t="str">
        <f>IFERROR(__xludf.DUMMYFUNCTION("QUERY('Volunteer Survey'!J502)"),"")</f>
        <v/>
      </c>
      <c r="AJ503" s="183" t="str">
        <f>IFERROR(__xludf.DUMMYFUNCTION("QUERY('Volunteer Survey'!K502)"),"")</f>
        <v/>
      </c>
      <c r="AK503" s="183" t="str">
        <f>IFERROR(__xludf.DUMMYFUNCTION("QUERY('Volunteer Survey'!L502)"),"")</f>
        <v/>
      </c>
      <c r="AL503" s="183" t="str">
        <f>IFERROR(__xludf.DUMMYFUNCTION("QUERY('Volunteer Survey'!M502)"),"")</f>
        <v/>
      </c>
      <c r="AM503" s="183" t="str">
        <f>IFERROR(__xludf.DUMMYFUNCTION("QUERY('Volunteer Survey'!N502)"),"")</f>
        <v/>
      </c>
      <c r="AN503" s="183" t="str">
        <f>IFERROR(__xludf.DUMMYFUNCTION("QUERY('Volunteer Survey'!O502)"),"")</f>
        <v/>
      </c>
      <c r="AO503" s="183" t="str">
        <f>IFERROR(__xludf.DUMMYFUNCTION("QUERY('Volunteer Survey'!P502)"),"")</f>
        <v/>
      </c>
    </row>
    <row r="504">
      <c r="A504" s="55" t="str">
        <f>'Volunteer Survey'!A914</f>
        <v/>
      </c>
      <c r="B504" s="48" t="s">
        <v>322</v>
      </c>
      <c r="C504" s="53"/>
      <c r="D504" s="55"/>
      <c r="E504" s="55"/>
      <c r="F504" s="55" t="b">
        <v>0</v>
      </c>
      <c r="G504" s="55"/>
      <c r="H504" s="53"/>
      <c r="I504" s="53"/>
      <c r="J504" s="55"/>
      <c r="K504" s="55"/>
      <c r="L504" s="55" t="str">
        <f>'Volunteer Survey'!B914</f>
        <v/>
      </c>
      <c r="M504" s="55" t="str">
        <f>'Volunteer Survey'!E914</f>
        <v/>
      </c>
      <c r="N504" s="55" t="str">
        <f>'Volunteer Survey'!F915</f>
        <v/>
      </c>
      <c r="O504" s="48" t="str">
        <f>'Volunteer Survey'!H915</f>
        <v/>
      </c>
      <c r="P504" s="55"/>
      <c r="Q504" s="60" t="str">
        <f>IFERROR(__xludf.DUMMYFUNCTION("QUERY('Volunteer Survey'!J898)"),"")</f>
        <v/>
      </c>
      <c r="R504" s="55"/>
      <c r="S504" s="55" t="str">
        <f>'Volunteer Survey'!L909</f>
        <v/>
      </c>
      <c r="T504" s="55" t="str">
        <f>'Volunteer Survey'!M914</f>
        <v/>
      </c>
      <c r="U504" s="64"/>
      <c r="V504" s="55"/>
      <c r="W504" s="66" t="str">
        <f>'Volunteer Survey'!P914</f>
        <v/>
      </c>
      <c r="X504" s="55"/>
      <c r="Y504" s="53"/>
      <c r="Z504" s="183" t="str">
        <f>IFERROR(__xludf.DUMMYFUNCTION("QUERY('Volunteer Survey'!A503)"),"")</f>
        <v/>
      </c>
      <c r="AA504" s="183" t="str">
        <f>IFERROR(__xludf.DUMMYFUNCTION("QUERY('Volunteer Survey'!B503)"),"")</f>
        <v/>
      </c>
      <c r="AB504" s="183" t="str">
        <f>IFERROR(__xludf.DUMMYFUNCTION("QUERY('Volunteer Survey'!C503)"),"")</f>
        <v/>
      </c>
      <c r="AC504" s="183" t="str">
        <f>IFERROR(__xludf.DUMMYFUNCTION("QUERY('Volunteer Survey'!D503)"),"")</f>
        <v/>
      </c>
      <c r="AD504" s="183" t="str">
        <f>IFERROR(__xludf.DUMMYFUNCTION("QUERY('Volunteer Survey'!E503)"),"")</f>
        <v/>
      </c>
      <c r="AE504" s="183" t="str">
        <f>IFERROR(__xludf.DUMMYFUNCTION("QUERY('Volunteer Survey'!F503)"),"")</f>
        <v/>
      </c>
      <c r="AF504" s="183" t="str">
        <f>IFERROR(__xludf.DUMMYFUNCTION("QUERY('Volunteer Survey'!G503)"),"")</f>
        <v/>
      </c>
      <c r="AG504" s="183" t="str">
        <f>IFERROR(__xludf.DUMMYFUNCTION("QUERY('Volunteer Survey'!H503)"),"")</f>
        <v/>
      </c>
      <c r="AH504" s="183" t="str">
        <f>IFERROR(__xludf.DUMMYFUNCTION("QUERY('Volunteer Survey'!I503)"),"")</f>
        <v/>
      </c>
      <c r="AI504" s="183" t="str">
        <f>IFERROR(__xludf.DUMMYFUNCTION("QUERY('Volunteer Survey'!J503)"),"")</f>
        <v/>
      </c>
      <c r="AJ504" s="183" t="str">
        <f>IFERROR(__xludf.DUMMYFUNCTION("QUERY('Volunteer Survey'!K503)"),"")</f>
        <v/>
      </c>
      <c r="AK504" s="183" t="str">
        <f>IFERROR(__xludf.DUMMYFUNCTION("QUERY('Volunteer Survey'!L503)"),"")</f>
        <v/>
      </c>
      <c r="AL504" s="183" t="str">
        <f>IFERROR(__xludf.DUMMYFUNCTION("QUERY('Volunteer Survey'!M503)"),"")</f>
        <v/>
      </c>
      <c r="AM504" s="183" t="str">
        <f>IFERROR(__xludf.DUMMYFUNCTION("QUERY('Volunteer Survey'!N503)"),"")</f>
        <v/>
      </c>
      <c r="AN504" s="183" t="str">
        <f>IFERROR(__xludf.DUMMYFUNCTION("QUERY('Volunteer Survey'!O503)"),"")</f>
        <v/>
      </c>
      <c r="AO504" s="183" t="str">
        <f>IFERROR(__xludf.DUMMYFUNCTION("QUERY('Volunteer Survey'!P503)"),"")</f>
        <v/>
      </c>
    </row>
    <row r="505">
      <c r="A505" s="55" t="str">
        <f>'Volunteer Survey'!A915</f>
        <v/>
      </c>
      <c r="B505" s="48" t="s">
        <v>322</v>
      </c>
      <c r="C505" s="53"/>
      <c r="D505" s="55"/>
      <c r="E505" s="55"/>
      <c r="F505" s="55" t="b">
        <v>0</v>
      </c>
      <c r="G505" s="55"/>
      <c r="H505" s="53"/>
      <c r="I505" s="53"/>
      <c r="J505" s="55"/>
      <c r="K505" s="55"/>
      <c r="L505" s="55" t="str">
        <f>'Volunteer Survey'!B915</f>
        <v/>
      </c>
      <c r="M505" s="55" t="str">
        <f>'Volunteer Survey'!E915</f>
        <v/>
      </c>
      <c r="N505" s="55" t="str">
        <f>'Volunteer Survey'!F916</f>
        <v/>
      </c>
      <c r="O505" s="48" t="str">
        <f>'Volunteer Survey'!H916</f>
        <v/>
      </c>
      <c r="P505" s="55"/>
      <c r="Q505" s="60" t="str">
        <f>IFERROR(__xludf.DUMMYFUNCTION("QUERY('Volunteer Survey'!J899)"),"")</f>
        <v/>
      </c>
      <c r="R505" s="55"/>
      <c r="S505" s="55" t="str">
        <f>'Volunteer Survey'!L910</f>
        <v/>
      </c>
      <c r="T505" s="55" t="str">
        <f>'Volunteer Survey'!M915</f>
        <v/>
      </c>
      <c r="U505" s="64"/>
      <c r="V505" s="55"/>
      <c r="W505" s="66" t="str">
        <f>'Volunteer Survey'!P915</f>
        <v/>
      </c>
      <c r="X505" s="55"/>
      <c r="Y505" s="53"/>
      <c r="Z505" s="183" t="str">
        <f>IFERROR(__xludf.DUMMYFUNCTION("QUERY('Volunteer Survey'!A504)"),"")</f>
        <v/>
      </c>
      <c r="AA505" s="183" t="str">
        <f>IFERROR(__xludf.DUMMYFUNCTION("QUERY('Volunteer Survey'!B504)"),"")</f>
        <v/>
      </c>
      <c r="AB505" s="183" t="str">
        <f>IFERROR(__xludf.DUMMYFUNCTION("QUERY('Volunteer Survey'!C504)"),"")</f>
        <v/>
      </c>
      <c r="AC505" s="183" t="str">
        <f>IFERROR(__xludf.DUMMYFUNCTION("QUERY('Volunteer Survey'!D504)"),"")</f>
        <v/>
      </c>
      <c r="AD505" s="183" t="str">
        <f>IFERROR(__xludf.DUMMYFUNCTION("QUERY('Volunteer Survey'!E504)"),"")</f>
        <v/>
      </c>
      <c r="AE505" s="183" t="str">
        <f>IFERROR(__xludf.DUMMYFUNCTION("QUERY('Volunteer Survey'!F504)"),"")</f>
        <v/>
      </c>
      <c r="AF505" s="183" t="str">
        <f>IFERROR(__xludf.DUMMYFUNCTION("QUERY('Volunteer Survey'!G504)"),"")</f>
        <v/>
      </c>
      <c r="AG505" s="183" t="str">
        <f>IFERROR(__xludf.DUMMYFUNCTION("QUERY('Volunteer Survey'!H504)"),"")</f>
        <v/>
      </c>
      <c r="AH505" s="183" t="str">
        <f>IFERROR(__xludf.DUMMYFUNCTION("QUERY('Volunteer Survey'!I504)"),"")</f>
        <v/>
      </c>
      <c r="AI505" s="183" t="str">
        <f>IFERROR(__xludf.DUMMYFUNCTION("QUERY('Volunteer Survey'!J504)"),"")</f>
        <v/>
      </c>
      <c r="AJ505" s="183" t="str">
        <f>IFERROR(__xludf.DUMMYFUNCTION("QUERY('Volunteer Survey'!K504)"),"")</f>
        <v/>
      </c>
      <c r="AK505" s="183" t="str">
        <f>IFERROR(__xludf.DUMMYFUNCTION("QUERY('Volunteer Survey'!L504)"),"")</f>
        <v/>
      </c>
      <c r="AL505" s="183" t="str">
        <f>IFERROR(__xludf.DUMMYFUNCTION("QUERY('Volunteer Survey'!M504)"),"")</f>
        <v/>
      </c>
      <c r="AM505" s="183" t="str">
        <f>IFERROR(__xludf.DUMMYFUNCTION("QUERY('Volunteer Survey'!N504)"),"")</f>
        <v/>
      </c>
      <c r="AN505" s="183" t="str">
        <f>IFERROR(__xludf.DUMMYFUNCTION("QUERY('Volunteer Survey'!O504)"),"")</f>
        <v/>
      </c>
      <c r="AO505" s="183" t="str">
        <f>IFERROR(__xludf.DUMMYFUNCTION("QUERY('Volunteer Survey'!P504)"),"")</f>
        <v/>
      </c>
    </row>
    <row r="506">
      <c r="A506" s="55" t="str">
        <f>'Volunteer Survey'!A916</f>
        <v/>
      </c>
      <c r="B506" s="48" t="s">
        <v>322</v>
      </c>
      <c r="C506" s="53"/>
      <c r="D506" s="55"/>
      <c r="E506" s="55"/>
      <c r="F506" s="55" t="b">
        <v>0</v>
      </c>
      <c r="G506" s="55"/>
      <c r="H506" s="53"/>
      <c r="I506" s="53"/>
      <c r="J506" s="55"/>
      <c r="K506" s="55"/>
      <c r="L506" s="55" t="str">
        <f>'Volunteer Survey'!B916</f>
        <v/>
      </c>
      <c r="M506" s="55" t="str">
        <f>'Volunteer Survey'!E916</f>
        <v/>
      </c>
      <c r="N506" s="55" t="str">
        <f>'Volunteer Survey'!F917</f>
        <v/>
      </c>
      <c r="O506" s="48" t="str">
        <f>'Volunteer Survey'!H917</f>
        <v/>
      </c>
      <c r="P506" s="55"/>
      <c r="Q506" s="60" t="str">
        <f>IFERROR(__xludf.DUMMYFUNCTION("QUERY('Volunteer Survey'!J900)"),"")</f>
        <v/>
      </c>
      <c r="R506" s="55"/>
      <c r="S506" s="55" t="str">
        <f>'Volunteer Survey'!L911</f>
        <v/>
      </c>
      <c r="T506" s="55" t="str">
        <f>'Volunteer Survey'!M916</f>
        <v/>
      </c>
      <c r="U506" s="64"/>
      <c r="V506" s="55"/>
      <c r="W506" s="66" t="str">
        <f>'Volunteer Survey'!P916</f>
        <v/>
      </c>
      <c r="X506" s="55"/>
      <c r="Y506" s="53"/>
      <c r="Z506" s="183" t="str">
        <f>IFERROR(__xludf.DUMMYFUNCTION("QUERY('Volunteer Survey'!A505)"),"")</f>
        <v/>
      </c>
      <c r="AA506" s="183" t="str">
        <f>IFERROR(__xludf.DUMMYFUNCTION("QUERY('Volunteer Survey'!B505)"),"")</f>
        <v/>
      </c>
      <c r="AB506" s="183" t="str">
        <f>IFERROR(__xludf.DUMMYFUNCTION("QUERY('Volunteer Survey'!C505)"),"")</f>
        <v/>
      </c>
      <c r="AC506" s="183" t="str">
        <f>IFERROR(__xludf.DUMMYFUNCTION("QUERY('Volunteer Survey'!D505)"),"")</f>
        <v/>
      </c>
      <c r="AD506" s="183" t="str">
        <f>IFERROR(__xludf.DUMMYFUNCTION("QUERY('Volunteer Survey'!E505)"),"")</f>
        <v/>
      </c>
      <c r="AE506" s="183" t="str">
        <f>IFERROR(__xludf.DUMMYFUNCTION("QUERY('Volunteer Survey'!F505)"),"")</f>
        <v/>
      </c>
      <c r="AF506" s="183" t="str">
        <f>IFERROR(__xludf.DUMMYFUNCTION("QUERY('Volunteer Survey'!G505)"),"")</f>
        <v/>
      </c>
      <c r="AG506" s="183" t="str">
        <f>IFERROR(__xludf.DUMMYFUNCTION("QUERY('Volunteer Survey'!H505)"),"")</f>
        <v/>
      </c>
      <c r="AH506" s="183" t="str">
        <f>IFERROR(__xludf.DUMMYFUNCTION("QUERY('Volunteer Survey'!I505)"),"")</f>
        <v/>
      </c>
      <c r="AI506" s="183" t="str">
        <f>IFERROR(__xludf.DUMMYFUNCTION("QUERY('Volunteer Survey'!J505)"),"")</f>
        <v/>
      </c>
      <c r="AJ506" s="183" t="str">
        <f>IFERROR(__xludf.DUMMYFUNCTION("QUERY('Volunteer Survey'!K505)"),"")</f>
        <v/>
      </c>
      <c r="AK506" s="183" t="str">
        <f>IFERROR(__xludf.DUMMYFUNCTION("QUERY('Volunteer Survey'!L505)"),"")</f>
        <v/>
      </c>
      <c r="AL506" s="183" t="str">
        <f>IFERROR(__xludf.DUMMYFUNCTION("QUERY('Volunteer Survey'!M505)"),"")</f>
        <v/>
      </c>
      <c r="AM506" s="183" t="str">
        <f>IFERROR(__xludf.DUMMYFUNCTION("QUERY('Volunteer Survey'!N505)"),"")</f>
        <v/>
      </c>
      <c r="AN506" s="183" t="str">
        <f>IFERROR(__xludf.DUMMYFUNCTION("QUERY('Volunteer Survey'!O505)"),"")</f>
        <v/>
      </c>
      <c r="AO506" s="183" t="str">
        <f>IFERROR(__xludf.DUMMYFUNCTION("QUERY('Volunteer Survey'!P505)"),"")</f>
        <v/>
      </c>
    </row>
    <row r="507">
      <c r="A507" s="55" t="str">
        <f>'Volunteer Survey'!A917</f>
        <v/>
      </c>
      <c r="B507" s="48" t="s">
        <v>322</v>
      </c>
      <c r="C507" s="53"/>
      <c r="D507" s="55"/>
      <c r="E507" s="55"/>
      <c r="F507" s="55" t="b">
        <v>0</v>
      </c>
      <c r="G507" s="55"/>
      <c r="H507" s="53"/>
      <c r="I507" s="53"/>
      <c r="J507" s="55"/>
      <c r="K507" s="55"/>
      <c r="L507" s="55" t="str">
        <f>'Volunteer Survey'!B917</f>
        <v/>
      </c>
      <c r="M507" s="55" t="str">
        <f>'Volunteer Survey'!E917</f>
        <v/>
      </c>
      <c r="N507" s="55" t="str">
        <f>'Volunteer Survey'!F918</f>
        <v/>
      </c>
      <c r="O507" s="48" t="str">
        <f>'Volunteer Survey'!H918</f>
        <v/>
      </c>
      <c r="P507" s="55"/>
      <c r="Q507" s="60" t="str">
        <f>IFERROR(__xludf.DUMMYFUNCTION("QUERY('Volunteer Survey'!J901)"),"")</f>
        <v/>
      </c>
      <c r="R507" s="55"/>
      <c r="S507" s="55" t="str">
        <f>'Volunteer Survey'!L912</f>
        <v/>
      </c>
      <c r="T507" s="55" t="str">
        <f>'Volunteer Survey'!M917</f>
        <v/>
      </c>
      <c r="U507" s="64"/>
      <c r="V507" s="55"/>
      <c r="W507" s="66" t="str">
        <f>'Volunteer Survey'!P917</f>
        <v/>
      </c>
      <c r="X507" s="55"/>
      <c r="Y507" s="53"/>
      <c r="Z507" s="183" t="str">
        <f>IFERROR(__xludf.DUMMYFUNCTION("QUERY('Volunteer Survey'!A506)"),"")</f>
        <v/>
      </c>
      <c r="AA507" s="183" t="str">
        <f>IFERROR(__xludf.DUMMYFUNCTION("QUERY('Volunteer Survey'!B506)"),"")</f>
        <v/>
      </c>
      <c r="AB507" s="183" t="str">
        <f>IFERROR(__xludf.DUMMYFUNCTION("QUERY('Volunteer Survey'!C506)"),"")</f>
        <v/>
      </c>
      <c r="AC507" s="183" t="str">
        <f>IFERROR(__xludf.DUMMYFUNCTION("QUERY('Volunteer Survey'!D506)"),"")</f>
        <v/>
      </c>
      <c r="AD507" s="183" t="str">
        <f>IFERROR(__xludf.DUMMYFUNCTION("QUERY('Volunteer Survey'!E506)"),"")</f>
        <v/>
      </c>
      <c r="AE507" s="183" t="str">
        <f>IFERROR(__xludf.DUMMYFUNCTION("QUERY('Volunteer Survey'!F506)"),"")</f>
        <v/>
      </c>
      <c r="AF507" s="183" t="str">
        <f>IFERROR(__xludf.DUMMYFUNCTION("QUERY('Volunteer Survey'!G506)"),"")</f>
        <v/>
      </c>
      <c r="AG507" s="183" t="str">
        <f>IFERROR(__xludf.DUMMYFUNCTION("QUERY('Volunteer Survey'!H506)"),"")</f>
        <v/>
      </c>
      <c r="AH507" s="183" t="str">
        <f>IFERROR(__xludf.DUMMYFUNCTION("QUERY('Volunteer Survey'!I506)"),"")</f>
        <v/>
      </c>
      <c r="AI507" s="183" t="str">
        <f>IFERROR(__xludf.DUMMYFUNCTION("QUERY('Volunteer Survey'!J506)"),"")</f>
        <v/>
      </c>
      <c r="AJ507" s="183" t="str">
        <f>IFERROR(__xludf.DUMMYFUNCTION("QUERY('Volunteer Survey'!K506)"),"")</f>
        <v/>
      </c>
      <c r="AK507" s="183" t="str">
        <f>IFERROR(__xludf.DUMMYFUNCTION("QUERY('Volunteer Survey'!L506)"),"")</f>
        <v/>
      </c>
      <c r="AL507" s="183" t="str">
        <f>IFERROR(__xludf.DUMMYFUNCTION("QUERY('Volunteer Survey'!M506)"),"")</f>
        <v/>
      </c>
      <c r="AM507" s="183" t="str">
        <f>IFERROR(__xludf.DUMMYFUNCTION("QUERY('Volunteer Survey'!N506)"),"")</f>
        <v/>
      </c>
      <c r="AN507" s="183" t="str">
        <f>IFERROR(__xludf.DUMMYFUNCTION("QUERY('Volunteer Survey'!O506)"),"")</f>
        <v/>
      </c>
      <c r="AO507" s="183" t="str">
        <f>IFERROR(__xludf.DUMMYFUNCTION("QUERY('Volunteer Survey'!P506)"),"")</f>
        <v/>
      </c>
    </row>
    <row r="508">
      <c r="A508" s="55" t="str">
        <f>'Volunteer Survey'!A918</f>
        <v/>
      </c>
      <c r="B508" s="48" t="s">
        <v>322</v>
      </c>
      <c r="C508" s="53"/>
      <c r="D508" s="55"/>
      <c r="E508" s="55"/>
      <c r="F508" s="55" t="b">
        <v>0</v>
      </c>
      <c r="G508" s="55"/>
      <c r="H508" s="53"/>
      <c r="I508" s="53"/>
      <c r="J508" s="55"/>
      <c r="K508" s="55"/>
      <c r="L508" s="55" t="str">
        <f>'Volunteer Survey'!B918</f>
        <v/>
      </c>
      <c r="M508" s="55" t="str">
        <f>'Volunteer Survey'!E918</f>
        <v/>
      </c>
      <c r="N508" s="55" t="str">
        <f>'Volunteer Survey'!F919</f>
        <v/>
      </c>
      <c r="O508" s="48" t="str">
        <f>'Volunteer Survey'!H919</f>
        <v/>
      </c>
      <c r="P508" s="55"/>
      <c r="Q508" s="60" t="str">
        <f>IFERROR(__xludf.DUMMYFUNCTION("QUERY('Volunteer Survey'!J902)"),"")</f>
        <v/>
      </c>
      <c r="R508" s="55"/>
      <c r="S508" s="55" t="str">
        <f>'Volunteer Survey'!L913</f>
        <v/>
      </c>
      <c r="T508" s="55" t="str">
        <f>'Volunteer Survey'!M918</f>
        <v/>
      </c>
      <c r="U508" s="64"/>
      <c r="V508" s="55"/>
      <c r="W508" s="66" t="str">
        <f>'Volunteer Survey'!P918</f>
        <v/>
      </c>
      <c r="X508" s="55"/>
      <c r="Y508" s="53"/>
      <c r="Z508" s="183" t="str">
        <f>IFERROR(__xludf.DUMMYFUNCTION("QUERY('Volunteer Survey'!A507)"),"")</f>
        <v/>
      </c>
      <c r="AA508" s="183" t="str">
        <f>IFERROR(__xludf.DUMMYFUNCTION("QUERY('Volunteer Survey'!B507)"),"")</f>
        <v/>
      </c>
      <c r="AB508" s="183" t="str">
        <f>IFERROR(__xludf.DUMMYFUNCTION("QUERY('Volunteer Survey'!C507)"),"")</f>
        <v/>
      </c>
      <c r="AC508" s="183" t="str">
        <f>IFERROR(__xludf.DUMMYFUNCTION("QUERY('Volunteer Survey'!D507)"),"")</f>
        <v/>
      </c>
      <c r="AD508" s="183" t="str">
        <f>IFERROR(__xludf.DUMMYFUNCTION("QUERY('Volunteer Survey'!E507)"),"")</f>
        <v/>
      </c>
      <c r="AE508" s="183" t="str">
        <f>IFERROR(__xludf.DUMMYFUNCTION("QUERY('Volunteer Survey'!F507)"),"")</f>
        <v/>
      </c>
      <c r="AF508" s="183" t="str">
        <f>IFERROR(__xludf.DUMMYFUNCTION("QUERY('Volunteer Survey'!G507)"),"")</f>
        <v/>
      </c>
      <c r="AG508" s="183" t="str">
        <f>IFERROR(__xludf.DUMMYFUNCTION("QUERY('Volunteer Survey'!H507)"),"")</f>
        <v/>
      </c>
      <c r="AH508" s="183" t="str">
        <f>IFERROR(__xludf.DUMMYFUNCTION("QUERY('Volunteer Survey'!I507)"),"")</f>
        <v/>
      </c>
      <c r="AI508" s="183" t="str">
        <f>IFERROR(__xludf.DUMMYFUNCTION("QUERY('Volunteer Survey'!J507)"),"")</f>
        <v/>
      </c>
      <c r="AJ508" s="183" t="str">
        <f>IFERROR(__xludf.DUMMYFUNCTION("QUERY('Volunteer Survey'!K507)"),"")</f>
        <v/>
      </c>
      <c r="AK508" s="183" t="str">
        <f>IFERROR(__xludf.DUMMYFUNCTION("QUERY('Volunteer Survey'!L507)"),"")</f>
        <v/>
      </c>
      <c r="AL508" s="183" t="str">
        <f>IFERROR(__xludf.DUMMYFUNCTION("QUERY('Volunteer Survey'!M507)"),"")</f>
        <v/>
      </c>
      <c r="AM508" s="183" t="str">
        <f>IFERROR(__xludf.DUMMYFUNCTION("QUERY('Volunteer Survey'!N507)"),"")</f>
        <v/>
      </c>
      <c r="AN508" s="183" t="str">
        <f>IFERROR(__xludf.DUMMYFUNCTION("QUERY('Volunteer Survey'!O507)"),"")</f>
        <v/>
      </c>
      <c r="AO508" s="183" t="str">
        <f>IFERROR(__xludf.DUMMYFUNCTION("QUERY('Volunteer Survey'!P507)"),"")</f>
        <v/>
      </c>
    </row>
    <row r="509">
      <c r="A509" s="55" t="str">
        <f>'Volunteer Survey'!A919</f>
        <v/>
      </c>
      <c r="B509" s="48" t="s">
        <v>322</v>
      </c>
      <c r="C509" s="53"/>
      <c r="D509" s="55"/>
      <c r="E509" s="55"/>
      <c r="F509" s="55" t="b">
        <v>0</v>
      </c>
      <c r="G509" s="55"/>
      <c r="H509" s="53"/>
      <c r="I509" s="53"/>
      <c r="J509" s="55"/>
      <c r="K509" s="55"/>
      <c r="L509" s="55" t="str">
        <f>'Volunteer Survey'!B919</f>
        <v/>
      </c>
      <c r="M509" s="55" t="str">
        <f>'Volunteer Survey'!E919</f>
        <v/>
      </c>
      <c r="N509" s="55" t="str">
        <f>'Volunteer Survey'!F920</f>
        <v/>
      </c>
      <c r="O509" s="48" t="str">
        <f>'Volunteer Survey'!H920</f>
        <v/>
      </c>
      <c r="P509" s="55"/>
      <c r="Q509" s="60" t="str">
        <f>IFERROR(__xludf.DUMMYFUNCTION("QUERY('Volunteer Survey'!J903)"),"")</f>
        <v/>
      </c>
      <c r="R509" s="55"/>
      <c r="S509" s="55" t="str">
        <f>'Volunteer Survey'!L914</f>
        <v/>
      </c>
      <c r="T509" s="55" t="str">
        <f>'Volunteer Survey'!M919</f>
        <v/>
      </c>
      <c r="U509" s="64"/>
      <c r="V509" s="55"/>
      <c r="W509" s="66" t="str">
        <f>'Volunteer Survey'!P919</f>
        <v/>
      </c>
      <c r="X509" s="55"/>
      <c r="Y509" s="53"/>
      <c r="Z509" s="183" t="str">
        <f>IFERROR(__xludf.DUMMYFUNCTION("QUERY('Volunteer Survey'!A508)"),"")</f>
        <v/>
      </c>
      <c r="AA509" s="183" t="str">
        <f>IFERROR(__xludf.DUMMYFUNCTION("QUERY('Volunteer Survey'!B508)"),"")</f>
        <v/>
      </c>
      <c r="AB509" s="183" t="str">
        <f>IFERROR(__xludf.DUMMYFUNCTION("QUERY('Volunteer Survey'!C508)"),"")</f>
        <v/>
      </c>
      <c r="AC509" s="183" t="str">
        <f>IFERROR(__xludf.DUMMYFUNCTION("QUERY('Volunteer Survey'!D508)"),"")</f>
        <v/>
      </c>
      <c r="AD509" s="183" t="str">
        <f>IFERROR(__xludf.DUMMYFUNCTION("QUERY('Volunteer Survey'!E508)"),"")</f>
        <v/>
      </c>
      <c r="AE509" s="183" t="str">
        <f>IFERROR(__xludf.DUMMYFUNCTION("QUERY('Volunteer Survey'!F508)"),"")</f>
        <v/>
      </c>
      <c r="AF509" s="183" t="str">
        <f>IFERROR(__xludf.DUMMYFUNCTION("QUERY('Volunteer Survey'!G508)"),"")</f>
        <v/>
      </c>
      <c r="AG509" s="183" t="str">
        <f>IFERROR(__xludf.DUMMYFUNCTION("QUERY('Volunteer Survey'!H508)"),"")</f>
        <v/>
      </c>
      <c r="AH509" s="183" t="str">
        <f>IFERROR(__xludf.DUMMYFUNCTION("QUERY('Volunteer Survey'!I508)"),"")</f>
        <v/>
      </c>
      <c r="AI509" s="183" t="str">
        <f>IFERROR(__xludf.DUMMYFUNCTION("QUERY('Volunteer Survey'!J508)"),"")</f>
        <v/>
      </c>
      <c r="AJ509" s="183" t="str">
        <f>IFERROR(__xludf.DUMMYFUNCTION("QUERY('Volunteer Survey'!K508)"),"")</f>
        <v/>
      </c>
      <c r="AK509" s="183" t="str">
        <f>IFERROR(__xludf.DUMMYFUNCTION("QUERY('Volunteer Survey'!L508)"),"")</f>
        <v/>
      </c>
      <c r="AL509" s="183" t="str">
        <f>IFERROR(__xludf.DUMMYFUNCTION("QUERY('Volunteer Survey'!M508)"),"")</f>
        <v/>
      </c>
      <c r="AM509" s="183" t="str">
        <f>IFERROR(__xludf.DUMMYFUNCTION("QUERY('Volunteer Survey'!N508)"),"")</f>
        <v/>
      </c>
      <c r="AN509" s="183" t="str">
        <f>IFERROR(__xludf.DUMMYFUNCTION("QUERY('Volunteer Survey'!O508)"),"")</f>
        <v/>
      </c>
      <c r="AO509" s="183" t="str">
        <f>IFERROR(__xludf.DUMMYFUNCTION("QUERY('Volunteer Survey'!P508)"),"")</f>
        <v/>
      </c>
    </row>
    <row r="510">
      <c r="A510" s="55" t="str">
        <f>'Volunteer Survey'!A920</f>
        <v/>
      </c>
      <c r="B510" s="48" t="s">
        <v>322</v>
      </c>
      <c r="C510" s="53"/>
      <c r="D510" s="55"/>
      <c r="E510" s="55"/>
      <c r="F510" s="55" t="b">
        <v>0</v>
      </c>
      <c r="G510" s="55"/>
      <c r="H510" s="53"/>
      <c r="I510" s="53"/>
      <c r="J510" s="55"/>
      <c r="K510" s="55"/>
      <c r="L510" s="55" t="str">
        <f>'Volunteer Survey'!B920</f>
        <v/>
      </c>
      <c r="M510" s="55" t="str">
        <f>'Volunteer Survey'!E920</f>
        <v/>
      </c>
      <c r="N510" s="55" t="str">
        <f>'Volunteer Survey'!F921</f>
        <v/>
      </c>
      <c r="O510" s="48" t="str">
        <f>'Volunteer Survey'!H921</f>
        <v/>
      </c>
      <c r="P510" s="55"/>
      <c r="Q510" s="60" t="str">
        <f>IFERROR(__xludf.DUMMYFUNCTION("QUERY('Volunteer Survey'!J904)"),"")</f>
        <v/>
      </c>
      <c r="R510" s="55"/>
      <c r="S510" s="55"/>
      <c r="T510" s="55" t="str">
        <f>'Volunteer Survey'!M920</f>
        <v/>
      </c>
      <c r="U510" s="64"/>
      <c r="V510" s="55"/>
      <c r="W510" s="66" t="str">
        <f>'Volunteer Survey'!P920</f>
        <v/>
      </c>
      <c r="X510" s="55"/>
      <c r="Y510" s="53"/>
      <c r="Z510" s="183" t="str">
        <f>IFERROR(__xludf.DUMMYFUNCTION("QUERY('Volunteer Survey'!A509)"),"")</f>
        <v/>
      </c>
      <c r="AA510" s="183" t="str">
        <f>IFERROR(__xludf.DUMMYFUNCTION("QUERY('Volunteer Survey'!B509)"),"")</f>
        <v/>
      </c>
      <c r="AB510" s="183" t="str">
        <f>IFERROR(__xludf.DUMMYFUNCTION("QUERY('Volunteer Survey'!C509)"),"")</f>
        <v/>
      </c>
      <c r="AC510" s="183" t="str">
        <f>IFERROR(__xludf.DUMMYFUNCTION("QUERY('Volunteer Survey'!D509)"),"")</f>
        <v/>
      </c>
      <c r="AD510" s="183" t="str">
        <f>IFERROR(__xludf.DUMMYFUNCTION("QUERY('Volunteer Survey'!E509)"),"")</f>
        <v/>
      </c>
      <c r="AE510" s="183" t="str">
        <f>IFERROR(__xludf.DUMMYFUNCTION("QUERY('Volunteer Survey'!F509)"),"")</f>
        <v/>
      </c>
      <c r="AF510" s="183" t="str">
        <f>IFERROR(__xludf.DUMMYFUNCTION("QUERY('Volunteer Survey'!G509)"),"")</f>
        <v/>
      </c>
      <c r="AG510" s="183" t="str">
        <f>IFERROR(__xludf.DUMMYFUNCTION("QUERY('Volunteer Survey'!H509)"),"")</f>
        <v/>
      </c>
      <c r="AH510" s="183" t="str">
        <f>IFERROR(__xludf.DUMMYFUNCTION("QUERY('Volunteer Survey'!I509)"),"")</f>
        <v/>
      </c>
      <c r="AI510" s="183" t="str">
        <f>IFERROR(__xludf.DUMMYFUNCTION("QUERY('Volunteer Survey'!J509)"),"")</f>
        <v/>
      </c>
      <c r="AJ510" s="183" t="str">
        <f>IFERROR(__xludf.DUMMYFUNCTION("QUERY('Volunteer Survey'!K509)"),"")</f>
        <v/>
      </c>
      <c r="AK510" s="183" t="str">
        <f>IFERROR(__xludf.DUMMYFUNCTION("QUERY('Volunteer Survey'!L509)"),"")</f>
        <v/>
      </c>
      <c r="AL510" s="183" t="str">
        <f>IFERROR(__xludf.DUMMYFUNCTION("QUERY('Volunteer Survey'!M509)"),"")</f>
        <v/>
      </c>
      <c r="AM510" s="183" t="str">
        <f>IFERROR(__xludf.DUMMYFUNCTION("QUERY('Volunteer Survey'!N509)"),"")</f>
        <v/>
      </c>
      <c r="AN510" s="183" t="str">
        <f>IFERROR(__xludf.DUMMYFUNCTION("QUERY('Volunteer Survey'!O509)"),"")</f>
        <v/>
      </c>
      <c r="AO510" s="183" t="str">
        <f>IFERROR(__xludf.DUMMYFUNCTION("QUERY('Volunteer Survey'!P509)"),"")</f>
        <v/>
      </c>
    </row>
    <row r="511">
      <c r="A511" s="55" t="str">
        <f>'Volunteer Survey'!A921</f>
        <v/>
      </c>
      <c r="B511" s="48" t="s">
        <v>322</v>
      </c>
      <c r="C511" s="53"/>
      <c r="D511" s="55"/>
      <c r="E511" s="55"/>
      <c r="F511" s="55" t="b">
        <v>0</v>
      </c>
      <c r="G511" s="55"/>
      <c r="H511" s="53"/>
      <c r="I511" s="53"/>
      <c r="J511" s="55"/>
      <c r="K511" s="55"/>
      <c r="L511" s="55" t="str">
        <f>'Volunteer Survey'!B921</f>
        <v/>
      </c>
      <c r="M511" s="55" t="str">
        <f>'Volunteer Survey'!E921</f>
        <v/>
      </c>
      <c r="N511" s="55" t="str">
        <f>'Volunteer Survey'!F922</f>
        <v/>
      </c>
      <c r="O511" s="48" t="str">
        <f>'Volunteer Survey'!H922</f>
        <v/>
      </c>
      <c r="P511" s="55"/>
      <c r="Q511" s="60" t="str">
        <f>IFERROR(__xludf.DUMMYFUNCTION("QUERY('Volunteer Survey'!J905)"),"")</f>
        <v/>
      </c>
      <c r="R511" s="55"/>
      <c r="S511" s="55"/>
      <c r="T511" s="55" t="str">
        <f>'Volunteer Survey'!M921</f>
        <v/>
      </c>
      <c r="U511" s="64"/>
      <c r="V511" s="55"/>
      <c r="W511" s="66" t="str">
        <f>'Volunteer Survey'!P921</f>
        <v/>
      </c>
      <c r="X511" s="55"/>
      <c r="Y511" s="53"/>
      <c r="Z511" s="183" t="str">
        <f>IFERROR(__xludf.DUMMYFUNCTION("QUERY('Volunteer Survey'!A510)"),"")</f>
        <v/>
      </c>
      <c r="AA511" s="183" t="str">
        <f>IFERROR(__xludf.DUMMYFUNCTION("QUERY('Volunteer Survey'!B510)"),"")</f>
        <v/>
      </c>
      <c r="AB511" s="183" t="str">
        <f>IFERROR(__xludf.DUMMYFUNCTION("QUERY('Volunteer Survey'!C510)"),"")</f>
        <v/>
      </c>
      <c r="AC511" s="183" t="str">
        <f>IFERROR(__xludf.DUMMYFUNCTION("QUERY('Volunteer Survey'!D510)"),"")</f>
        <v/>
      </c>
      <c r="AD511" s="183" t="str">
        <f>IFERROR(__xludf.DUMMYFUNCTION("QUERY('Volunteer Survey'!E510)"),"")</f>
        <v/>
      </c>
      <c r="AE511" s="183" t="str">
        <f>IFERROR(__xludf.DUMMYFUNCTION("QUERY('Volunteer Survey'!F510)"),"")</f>
        <v/>
      </c>
      <c r="AF511" s="183" t="str">
        <f>IFERROR(__xludf.DUMMYFUNCTION("QUERY('Volunteer Survey'!G510)"),"")</f>
        <v/>
      </c>
      <c r="AG511" s="183" t="str">
        <f>IFERROR(__xludf.DUMMYFUNCTION("QUERY('Volunteer Survey'!H510)"),"")</f>
        <v/>
      </c>
      <c r="AH511" s="183" t="str">
        <f>IFERROR(__xludf.DUMMYFUNCTION("QUERY('Volunteer Survey'!I510)"),"")</f>
        <v/>
      </c>
      <c r="AI511" s="183" t="str">
        <f>IFERROR(__xludf.DUMMYFUNCTION("QUERY('Volunteer Survey'!J510)"),"")</f>
        <v/>
      </c>
      <c r="AJ511" s="183" t="str">
        <f>IFERROR(__xludf.DUMMYFUNCTION("QUERY('Volunteer Survey'!K510)"),"")</f>
        <v/>
      </c>
      <c r="AK511" s="183" t="str">
        <f>IFERROR(__xludf.DUMMYFUNCTION("QUERY('Volunteer Survey'!L510)"),"")</f>
        <v/>
      </c>
      <c r="AL511" s="183" t="str">
        <f>IFERROR(__xludf.DUMMYFUNCTION("QUERY('Volunteer Survey'!M510)"),"")</f>
        <v/>
      </c>
      <c r="AM511" s="183" t="str">
        <f>IFERROR(__xludf.DUMMYFUNCTION("QUERY('Volunteer Survey'!N510)"),"")</f>
        <v/>
      </c>
      <c r="AN511" s="183" t="str">
        <f>IFERROR(__xludf.DUMMYFUNCTION("QUERY('Volunteer Survey'!O510)"),"")</f>
        <v/>
      </c>
      <c r="AO511" s="183" t="str">
        <f>IFERROR(__xludf.DUMMYFUNCTION("QUERY('Volunteer Survey'!P510)"),"")</f>
        <v/>
      </c>
    </row>
    <row r="512">
      <c r="A512" s="55" t="str">
        <f>'Volunteer Survey'!A922</f>
        <v/>
      </c>
      <c r="B512" s="48" t="s">
        <v>322</v>
      </c>
      <c r="C512" s="53"/>
      <c r="D512" s="55"/>
      <c r="E512" s="55"/>
      <c r="F512" s="55" t="b">
        <v>0</v>
      </c>
      <c r="G512" s="55"/>
      <c r="H512" s="53"/>
      <c r="I512" s="53"/>
      <c r="J512" s="55"/>
      <c r="K512" s="55"/>
      <c r="L512" s="55" t="str">
        <f>'Volunteer Survey'!B922</f>
        <v/>
      </c>
      <c r="M512" s="55" t="str">
        <f>'Volunteer Survey'!E922</f>
        <v/>
      </c>
      <c r="N512" s="55" t="str">
        <f>'Volunteer Survey'!F923</f>
        <v/>
      </c>
      <c r="O512" s="48" t="str">
        <f>'Volunteer Survey'!H923</f>
        <v/>
      </c>
      <c r="P512" s="55"/>
      <c r="Q512" s="60" t="str">
        <f>IFERROR(__xludf.DUMMYFUNCTION("QUERY('Volunteer Survey'!J906)"),"")</f>
        <v/>
      </c>
      <c r="R512" s="55"/>
      <c r="S512" s="55"/>
      <c r="T512" s="55" t="str">
        <f>'Volunteer Survey'!M922</f>
        <v/>
      </c>
      <c r="U512" s="64"/>
      <c r="V512" s="55"/>
      <c r="W512" s="66" t="str">
        <f>'Volunteer Survey'!P922</f>
        <v/>
      </c>
      <c r="X512" s="55"/>
      <c r="Y512" s="53"/>
      <c r="Z512" s="183" t="str">
        <f>IFERROR(__xludf.DUMMYFUNCTION("QUERY('Volunteer Survey'!A511)"),"")</f>
        <v/>
      </c>
      <c r="AA512" s="183" t="str">
        <f>IFERROR(__xludf.DUMMYFUNCTION("QUERY('Volunteer Survey'!B511)"),"")</f>
        <v/>
      </c>
      <c r="AB512" s="183" t="str">
        <f>IFERROR(__xludf.DUMMYFUNCTION("QUERY('Volunteer Survey'!C511)"),"")</f>
        <v/>
      </c>
      <c r="AC512" s="183" t="str">
        <f>IFERROR(__xludf.DUMMYFUNCTION("QUERY('Volunteer Survey'!D511)"),"")</f>
        <v/>
      </c>
      <c r="AD512" s="183" t="str">
        <f>IFERROR(__xludf.DUMMYFUNCTION("QUERY('Volunteer Survey'!E511)"),"")</f>
        <v/>
      </c>
      <c r="AE512" s="183" t="str">
        <f>IFERROR(__xludf.DUMMYFUNCTION("QUERY('Volunteer Survey'!F511)"),"")</f>
        <v/>
      </c>
      <c r="AF512" s="183" t="str">
        <f>IFERROR(__xludf.DUMMYFUNCTION("QUERY('Volunteer Survey'!G511)"),"")</f>
        <v/>
      </c>
      <c r="AG512" s="183" t="str">
        <f>IFERROR(__xludf.DUMMYFUNCTION("QUERY('Volunteer Survey'!H511)"),"")</f>
        <v/>
      </c>
      <c r="AH512" s="183" t="str">
        <f>IFERROR(__xludf.DUMMYFUNCTION("QUERY('Volunteer Survey'!I511)"),"")</f>
        <v/>
      </c>
      <c r="AI512" s="183" t="str">
        <f>IFERROR(__xludf.DUMMYFUNCTION("QUERY('Volunteer Survey'!J511)"),"")</f>
        <v/>
      </c>
      <c r="AJ512" s="183" t="str">
        <f>IFERROR(__xludf.DUMMYFUNCTION("QUERY('Volunteer Survey'!K511)"),"")</f>
        <v/>
      </c>
      <c r="AK512" s="183" t="str">
        <f>IFERROR(__xludf.DUMMYFUNCTION("QUERY('Volunteer Survey'!L511)"),"")</f>
        <v/>
      </c>
      <c r="AL512" s="183" t="str">
        <f>IFERROR(__xludf.DUMMYFUNCTION("QUERY('Volunteer Survey'!M511)"),"")</f>
        <v/>
      </c>
      <c r="AM512" s="183" t="str">
        <f>IFERROR(__xludf.DUMMYFUNCTION("QUERY('Volunteer Survey'!N511)"),"")</f>
        <v/>
      </c>
      <c r="AN512" s="183" t="str">
        <f>IFERROR(__xludf.DUMMYFUNCTION("QUERY('Volunteer Survey'!O511)"),"")</f>
        <v/>
      </c>
      <c r="AO512" s="183" t="str">
        <f>IFERROR(__xludf.DUMMYFUNCTION("QUERY('Volunteer Survey'!P511)"),"")</f>
        <v/>
      </c>
    </row>
    <row r="513">
      <c r="A513" s="55" t="str">
        <f>'Volunteer Survey'!A923</f>
        <v/>
      </c>
      <c r="B513" s="48" t="s">
        <v>322</v>
      </c>
      <c r="C513" s="53"/>
      <c r="D513" s="55"/>
      <c r="E513" s="55"/>
      <c r="F513" s="55" t="b">
        <v>0</v>
      </c>
      <c r="G513" s="55"/>
      <c r="H513" s="53"/>
      <c r="I513" s="53"/>
      <c r="J513" s="55"/>
      <c r="K513" s="55"/>
      <c r="L513" s="55" t="str">
        <f>'Volunteer Survey'!B923</f>
        <v/>
      </c>
      <c r="M513" s="55" t="str">
        <f>'Volunteer Survey'!E923</f>
        <v/>
      </c>
      <c r="N513" s="55" t="str">
        <f>'Volunteer Survey'!F924</f>
        <v/>
      </c>
      <c r="O513" s="48" t="str">
        <f>'Volunteer Survey'!H924</f>
        <v/>
      </c>
      <c r="P513" s="55"/>
      <c r="Q513" s="60" t="str">
        <f>IFERROR(__xludf.DUMMYFUNCTION("QUERY('Volunteer Survey'!J907)"),"")</f>
        <v/>
      </c>
      <c r="R513" s="55"/>
      <c r="S513" s="55"/>
      <c r="T513" s="55" t="str">
        <f>'Volunteer Survey'!M923</f>
        <v/>
      </c>
      <c r="U513" s="64"/>
      <c r="V513" s="55"/>
      <c r="W513" s="66" t="str">
        <f>'Volunteer Survey'!P923</f>
        <v/>
      </c>
      <c r="X513" s="55"/>
      <c r="Y513" s="53"/>
      <c r="Z513" s="183" t="str">
        <f>IFERROR(__xludf.DUMMYFUNCTION("QUERY('Volunteer Survey'!A512)"),"")</f>
        <v/>
      </c>
      <c r="AA513" s="183" t="str">
        <f>IFERROR(__xludf.DUMMYFUNCTION("QUERY('Volunteer Survey'!B512)"),"")</f>
        <v/>
      </c>
      <c r="AB513" s="183" t="str">
        <f>IFERROR(__xludf.DUMMYFUNCTION("QUERY('Volunteer Survey'!C512)"),"")</f>
        <v/>
      </c>
      <c r="AC513" s="183" t="str">
        <f>IFERROR(__xludf.DUMMYFUNCTION("QUERY('Volunteer Survey'!D512)"),"")</f>
        <v/>
      </c>
      <c r="AD513" s="183" t="str">
        <f>IFERROR(__xludf.DUMMYFUNCTION("QUERY('Volunteer Survey'!E512)"),"")</f>
        <v/>
      </c>
      <c r="AE513" s="183" t="str">
        <f>IFERROR(__xludf.DUMMYFUNCTION("QUERY('Volunteer Survey'!F512)"),"")</f>
        <v/>
      </c>
      <c r="AF513" s="183" t="str">
        <f>IFERROR(__xludf.DUMMYFUNCTION("QUERY('Volunteer Survey'!G512)"),"")</f>
        <v/>
      </c>
      <c r="AG513" s="183" t="str">
        <f>IFERROR(__xludf.DUMMYFUNCTION("QUERY('Volunteer Survey'!H512)"),"")</f>
        <v/>
      </c>
      <c r="AH513" s="183" t="str">
        <f>IFERROR(__xludf.DUMMYFUNCTION("QUERY('Volunteer Survey'!I512)"),"")</f>
        <v/>
      </c>
      <c r="AI513" s="183" t="str">
        <f>IFERROR(__xludf.DUMMYFUNCTION("QUERY('Volunteer Survey'!J512)"),"")</f>
        <v/>
      </c>
      <c r="AJ513" s="183" t="str">
        <f>IFERROR(__xludf.DUMMYFUNCTION("QUERY('Volunteer Survey'!K512)"),"")</f>
        <v/>
      </c>
      <c r="AK513" s="183" t="str">
        <f>IFERROR(__xludf.DUMMYFUNCTION("QUERY('Volunteer Survey'!L512)"),"")</f>
        <v/>
      </c>
      <c r="AL513" s="183" t="str">
        <f>IFERROR(__xludf.DUMMYFUNCTION("QUERY('Volunteer Survey'!M512)"),"")</f>
        <v/>
      </c>
      <c r="AM513" s="183" t="str">
        <f>IFERROR(__xludf.DUMMYFUNCTION("QUERY('Volunteer Survey'!N512)"),"")</f>
        <v/>
      </c>
      <c r="AN513" s="183" t="str">
        <f>IFERROR(__xludf.DUMMYFUNCTION("QUERY('Volunteer Survey'!O512)"),"")</f>
        <v/>
      </c>
      <c r="AO513" s="183" t="str">
        <f>IFERROR(__xludf.DUMMYFUNCTION("QUERY('Volunteer Survey'!P512)"),"")</f>
        <v/>
      </c>
    </row>
    <row r="514">
      <c r="A514" s="55" t="str">
        <f>'Volunteer Survey'!A924</f>
        <v/>
      </c>
      <c r="B514" s="48" t="s">
        <v>322</v>
      </c>
      <c r="C514" s="53"/>
      <c r="D514" s="55"/>
      <c r="E514" s="55"/>
      <c r="F514" s="55" t="b">
        <v>0</v>
      </c>
      <c r="G514" s="55"/>
      <c r="H514" s="53"/>
      <c r="I514" s="53"/>
      <c r="J514" s="55"/>
      <c r="K514" s="55"/>
      <c r="L514" s="55" t="str">
        <f>'Volunteer Survey'!B924</f>
        <v/>
      </c>
      <c r="M514" s="55" t="str">
        <f>'Volunteer Survey'!E924</f>
        <v/>
      </c>
      <c r="N514" s="55" t="str">
        <f>'Volunteer Survey'!F925</f>
        <v/>
      </c>
      <c r="O514" s="48" t="str">
        <f>'Volunteer Survey'!H925</f>
        <v/>
      </c>
      <c r="P514" s="55"/>
      <c r="Q514" s="60" t="str">
        <f>IFERROR(__xludf.DUMMYFUNCTION("QUERY('Volunteer Survey'!J908)"),"")</f>
        <v/>
      </c>
      <c r="R514" s="55"/>
      <c r="S514" s="55"/>
      <c r="T514" s="55" t="str">
        <f>'Volunteer Survey'!M924</f>
        <v/>
      </c>
      <c r="U514" s="64"/>
      <c r="V514" s="55"/>
      <c r="W514" s="66" t="str">
        <f>'Volunteer Survey'!P924</f>
        <v/>
      </c>
      <c r="X514" s="55"/>
      <c r="Y514" s="53"/>
      <c r="Z514" s="183" t="str">
        <f>IFERROR(__xludf.DUMMYFUNCTION("QUERY('Volunteer Survey'!A513)"),"")</f>
        <v/>
      </c>
      <c r="AA514" s="183" t="str">
        <f>IFERROR(__xludf.DUMMYFUNCTION("QUERY('Volunteer Survey'!B513)"),"")</f>
        <v/>
      </c>
      <c r="AB514" s="183" t="str">
        <f>IFERROR(__xludf.DUMMYFUNCTION("QUERY('Volunteer Survey'!C513)"),"")</f>
        <v/>
      </c>
      <c r="AC514" s="183" t="str">
        <f>IFERROR(__xludf.DUMMYFUNCTION("QUERY('Volunteer Survey'!D513)"),"")</f>
        <v/>
      </c>
      <c r="AD514" s="183" t="str">
        <f>IFERROR(__xludf.DUMMYFUNCTION("QUERY('Volunteer Survey'!E513)"),"")</f>
        <v/>
      </c>
      <c r="AE514" s="183" t="str">
        <f>IFERROR(__xludf.DUMMYFUNCTION("QUERY('Volunteer Survey'!F513)"),"")</f>
        <v/>
      </c>
      <c r="AF514" s="183" t="str">
        <f>IFERROR(__xludf.DUMMYFUNCTION("QUERY('Volunteer Survey'!G513)"),"")</f>
        <v/>
      </c>
      <c r="AG514" s="183" t="str">
        <f>IFERROR(__xludf.DUMMYFUNCTION("QUERY('Volunteer Survey'!H513)"),"")</f>
        <v/>
      </c>
      <c r="AH514" s="183" t="str">
        <f>IFERROR(__xludf.DUMMYFUNCTION("QUERY('Volunteer Survey'!I513)"),"")</f>
        <v/>
      </c>
      <c r="AI514" s="183" t="str">
        <f>IFERROR(__xludf.DUMMYFUNCTION("QUERY('Volunteer Survey'!J513)"),"")</f>
        <v/>
      </c>
      <c r="AJ514" s="183" t="str">
        <f>IFERROR(__xludf.DUMMYFUNCTION("QUERY('Volunteer Survey'!K513)"),"")</f>
        <v/>
      </c>
      <c r="AK514" s="183" t="str">
        <f>IFERROR(__xludf.DUMMYFUNCTION("QUERY('Volunteer Survey'!L513)"),"")</f>
        <v/>
      </c>
      <c r="AL514" s="183" t="str">
        <f>IFERROR(__xludf.DUMMYFUNCTION("QUERY('Volunteer Survey'!M513)"),"")</f>
        <v/>
      </c>
      <c r="AM514" s="183" t="str">
        <f>IFERROR(__xludf.DUMMYFUNCTION("QUERY('Volunteer Survey'!N513)"),"")</f>
        <v/>
      </c>
      <c r="AN514" s="183" t="str">
        <f>IFERROR(__xludf.DUMMYFUNCTION("QUERY('Volunteer Survey'!O513)"),"")</f>
        <v/>
      </c>
      <c r="AO514" s="183" t="str">
        <f>IFERROR(__xludf.DUMMYFUNCTION("QUERY('Volunteer Survey'!P513)"),"")</f>
        <v/>
      </c>
    </row>
    <row r="515">
      <c r="A515" s="55" t="str">
        <f>'Volunteer Survey'!A925</f>
        <v/>
      </c>
      <c r="B515" s="48" t="s">
        <v>322</v>
      </c>
      <c r="C515" s="53"/>
      <c r="D515" s="55"/>
      <c r="E515" s="55"/>
      <c r="F515" s="55" t="b">
        <v>0</v>
      </c>
      <c r="G515" s="55"/>
      <c r="H515" s="53"/>
      <c r="I515" s="53"/>
      <c r="J515" s="55"/>
      <c r="K515" s="55"/>
      <c r="L515" s="55" t="str">
        <f>'Volunteer Survey'!B925</f>
        <v/>
      </c>
      <c r="M515" s="55" t="str">
        <f>'Volunteer Survey'!E925</f>
        <v/>
      </c>
      <c r="N515" s="55" t="str">
        <f>'Volunteer Survey'!F926</f>
        <v/>
      </c>
      <c r="O515" s="48" t="str">
        <f>'Volunteer Survey'!H926</f>
        <v/>
      </c>
      <c r="P515" s="55"/>
      <c r="Q515" s="60" t="str">
        <f>IFERROR(__xludf.DUMMYFUNCTION("QUERY('Volunteer Survey'!J909)"),"")</f>
        <v/>
      </c>
      <c r="R515" s="55"/>
      <c r="S515" s="55"/>
      <c r="T515" s="55" t="str">
        <f>'Volunteer Survey'!M925</f>
        <v/>
      </c>
      <c r="U515" s="64"/>
      <c r="V515" s="55"/>
      <c r="W515" s="66" t="str">
        <f>'Volunteer Survey'!P925</f>
        <v/>
      </c>
      <c r="X515" s="55"/>
      <c r="Y515" s="53"/>
      <c r="Z515" s="183" t="str">
        <f>IFERROR(__xludf.DUMMYFUNCTION("QUERY('Volunteer Survey'!A514)"),"")</f>
        <v/>
      </c>
      <c r="AA515" s="183" t="str">
        <f>IFERROR(__xludf.DUMMYFUNCTION("QUERY('Volunteer Survey'!B514)"),"")</f>
        <v/>
      </c>
      <c r="AB515" s="183" t="str">
        <f>IFERROR(__xludf.DUMMYFUNCTION("QUERY('Volunteer Survey'!C514)"),"")</f>
        <v/>
      </c>
      <c r="AC515" s="183" t="str">
        <f>IFERROR(__xludf.DUMMYFUNCTION("QUERY('Volunteer Survey'!D514)"),"")</f>
        <v/>
      </c>
      <c r="AD515" s="183" t="str">
        <f>IFERROR(__xludf.DUMMYFUNCTION("QUERY('Volunteer Survey'!E514)"),"")</f>
        <v/>
      </c>
      <c r="AE515" s="183" t="str">
        <f>IFERROR(__xludf.DUMMYFUNCTION("QUERY('Volunteer Survey'!F514)"),"")</f>
        <v/>
      </c>
      <c r="AF515" s="183" t="str">
        <f>IFERROR(__xludf.DUMMYFUNCTION("QUERY('Volunteer Survey'!G514)"),"")</f>
        <v/>
      </c>
      <c r="AG515" s="183" t="str">
        <f>IFERROR(__xludf.DUMMYFUNCTION("QUERY('Volunteer Survey'!H514)"),"")</f>
        <v/>
      </c>
      <c r="AH515" s="183" t="str">
        <f>IFERROR(__xludf.DUMMYFUNCTION("QUERY('Volunteer Survey'!I514)"),"")</f>
        <v/>
      </c>
      <c r="AI515" s="183" t="str">
        <f>IFERROR(__xludf.DUMMYFUNCTION("QUERY('Volunteer Survey'!J514)"),"")</f>
        <v/>
      </c>
      <c r="AJ515" s="183" t="str">
        <f>IFERROR(__xludf.DUMMYFUNCTION("QUERY('Volunteer Survey'!K514)"),"")</f>
        <v/>
      </c>
      <c r="AK515" s="183" t="str">
        <f>IFERROR(__xludf.DUMMYFUNCTION("QUERY('Volunteer Survey'!L514)"),"")</f>
        <v/>
      </c>
      <c r="AL515" s="183" t="str">
        <f>IFERROR(__xludf.DUMMYFUNCTION("QUERY('Volunteer Survey'!M514)"),"")</f>
        <v/>
      </c>
      <c r="AM515" s="183" t="str">
        <f>IFERROR(__xludf.DUMMYFUNCTION("QUERY('Volunteer Survey'!N514)"),"")</f>
        <v/>
      </c>
      <c r="AN515" s="183" t="str">
        <f>IFERROR(__xludf.DUMMYFUNCTION("QUERY('Volunteer Survey'!O514)"),"")</f>
        <v/>
      </c>
      <c r="AO515" s="183" t="str">
        <f>IFERROR(__xludf.DUMMYFUNCTION("QUERY('Volunteer Survey'!P514)"),"")</f>
        <v/>
      </c>
    </row>
    <row r="516">
      <c r="A516" s="55" t="str">
        <f>'Volunteer Survey'!A926</f>
        <v/>
      </c>
      <c r="B516" s="48" t="s">
        <v>322</v>
      </c>
      <c r="C516" s="53"/>
      <c r="D516" s="55"/>
      <c r="E516" s="55"/>
      <c r="F516" s="55" t="b">
        <v>0</v>
      </c>
      <c r="G516" s="55"/>
      <c r="H516" s="53"/>
      <c r="I516" s="53"/>
      <c r="J516" s="55"/>
      <c r="K516" s="55"/>
      <c r="L516" s="55" t="str">
        <f>'Volunteer Survey'!B926</f>
        <v/>
      </c>
      <c r="M516" s="55" t="str">
        <f>'Volunteer Survey'!E926</f>
        <v/>
      </c>
      <c r="N516" s="55" t="str">
        <f>'Volunteer Survey'!F927</f>
        <v/>
      </c>
      <c r="O516" s="48" t="str">
        <f>'Volunteer Survey'!H927</f>
        <v/>
      </c>
      <c r="P516" s="55"/>
      <c r="Q516" s="60" t="str">
        <f>IFERROR(__xludf.DUMMYFUNCTION("QUERY('Volunteer Survey'!J910)"),"")</f>
        <v/>
      </c>
      <c r="R516" s="55"/>
      <c r="S516" s="55"/>
      <c r="T516" s="55" t="str">
        <f>'Volunteer Survey'!M926</f>
        <v/>
      </c>
      <c r="U516" s="64"/>
      <c r="V516" s="55"/>
      <c r="W516" s="66" t="str">
        <f>'Volunteer Survey'!P926</f>
        <v/>
      </c>
      <c r="X516" s="55"/>
      <c r="Y516" s="53"/>
      <c r="Z516" s="183" t="str">
        <f>IFERROR(__xludf.DUMMYFUNCTION("QUERY('Volunteer Survey'!A515)"),"")</f>
        <v/>
      </c>
      <c r="AA516" s="183" t="str">
        <f>IFERROR(__xludf.DUMMYFUNCTION("QUERY('Volunteer Survey'!B515)"),"")</f>
        <v/>
      </c>
      <c r="AB516" s="183" t="str">
        <f>IFERROR(__xludf.DUMMYFUNCTION("QUERY('Volunteer Survey'!C515)"),"")</f>
        <v/>
      </c>
      <c r="AC516" s="183" t="str">
        <f>IFERROR(__xludf.DUMMYFUNCTION("QUERY('Volunteer Survey'!D515)"),"")</f>
        <v/>
      </c>
      <c r="AD516" s="183" t="str">
        <f>IFERROR(__xludf.DUMMYFUNCTION("QUERY('Volunteer Survey'!E515)"),"")</f>
        <v/>
      </c>
      <c r="AE516" s="183" t="str">
        <f>IFERROR(__xludf.DUMMYFUNCTION("QUERY('Volunteer Survey'!F515)"),"")</f>
        <v/>
      </c>
      <c r="AF516" s="183" t="str">
        <f>IFERROR(__xludf.DUMMYFUNCTION("QUERY('Volunteer Survey'!G515)"),"")</f>
        <v/>
      </c>
      <c r="AG516" s="183" t="str">
        <f>IFERROR(__xludf.DUMMYFUNCTION("QUERY('Volunteer Survey'!H515)"),"")</f>
        <v/>
      </c>
      <c r="AH516" s="183" t="str">
        <f>IFERROR(__xludf.DUMMYFUNCTION("QUERY('Volunteer Survey'!I515)"),"")</f>
        <v/>
      </c>
      <c r="AI516" s="183" t="str">
        <f>IFERROR(__xludf.DUMMYFUNCTION("QUERY('Volunteer Survey'!J515)"),"")</f>
        <v/>
      </c>
      <c r="AJ516" s="183" t="str">
        <f>IFERROR(__xludf.DUMMYFUNCTION("QUERY('Volunteer Survey'!K515)"),"")</f>
        <v/>
      </c>
      <c r="AK516" s="183" t="str">
        <f>IFERROR(__xludf.DUMMYFUNCTION("QUERY('Volunteer Survey'!L515)"),"")</f>
        <v/>
      </c>
      <c r="AL516" s="183" t="str">
        <f>IFERROR(__xludf.DUMMYFUNCTION("QUERY('Volunteer Survey'!M515)"),"")</f>
        <v/>
      </c>
      <c r="AM516" s="183" t="str">
        <f>IFERROR(__xludf.DUMMYFUNCTION("QUERY('Volunteer Survey'!N515)"),"")</f>
        <v/>
      </c>
      <c r="AN516" s="183" t="str">
        <f>IFERROR(__xludf.DUMMYFUNCTION("QUERY('Volunteer Survey'!O515)"),"")</f>
        <v/>
      </c>
      <c r="AO516" s="183" t="str">
        <f>IFERROR(__xludf.DUMMYFUNCTION("QUERY('Volunteer Survey'!P515)"),"")</f>
        <v/>
      </c>
    </row>
    <row r="517">
      <c r="A517" s="55" t="str">
        <f>'Volunteer Survey'!A927</f>
        <v/>
      </c>
      <c r="B517" s="48" t="s">
        <v>322</v>
      </c>
      <c r="C517" s="53"/>
      <c r="D517" s="55"/>
      <c r="E517" s="55"/>
      <c r="F517" s="55" t="b">
        <v>0</v>
      </c>
      <c r="G517" s="55"/>
      <c r="H517" s="53"/>
      <c r="I517" s="53"/>
      <c r="J517" s="55"/>
      <c r="K517" s="55"/>
      <c r="L517" s="55" t="str">
        <f>'Volunteer Survey'!B927</f>
        <v/>
      </c>
      <c r="M517" s="55" t="str">
        <f>'Volunteer Survey'!E927</f>
        <v/>
      </c>
      <c r="N517" s="55" t="str">
        <f>'Volunteer Survey'!F928</f>
        <v/>
      </c>
      <c r="O517" s="48" t="str">
        <f>'Volunteer Survey'!H928</f>
        <v/>
      </c>
      <c r="P517" s="55"/>
      <c r="Q517" s="60" t="str">
        <f>IFERROR(__xludf.DUMMYFUNCTION("QUERY('Volunteer Survey'!J911)"),"")</f>
        <v/>
      </c>
      <c r="R517" s="55"/>
      <c r="S517" s="55"/>
      <c r="T517" s="55" t="str">
        <f>'Volunteer Survey'!M927</f>
        <v/>
      </c>
      <c r="U517" s="64"/>
      <c r="V517" s="55"/>
      <c r="W517" s="66" t="str">
        <f>'Volunteer Survey'!P927</f>
        <v/>
      </c>
      <c r="X517" s="55"/>
      <c r="Y517" s="53"/>
      <c r="Z517" s="183" t="str">
        <f>IFERROR(__xludf.DUMMYFUNCTION("QUERY('Volunteer Survey'!A516)"),"")</f>
        <v/>
      </c>
      <c r="AA517" s="183" t="str">
        <f>IFERROR(__xludf.DUMMYFUNCTION("QUERY('Volunteer Survey'!B516)"),"")</f>
        <v/>
      </c>
      <c r="AB517" s="183" t="str">
        <f>IFERROR(__xludf.DUMMYFUNCTION("QUERY('Volunteer Survey'!C516)"),"")</f>
        <v/>
      </c>
      <c r="AC517" s="183" t="str">
        <f>IFERROR(__xludf.DUMMYFUNCTION("QUERY('Volunteer Survey'!D516)"),"")</f>
        <v/>
      </c>
      <c r="AD517" s="183" t="str">
        <f>IFERROR(__xludf.DUMMYFUNCTION("QUERY('Volunteer Survey'!E516)"),"")</f>
        <v/>
      </c>
      <c r="AE517" s="183" t="str">
        <f>IFERROR(__xludf.DUMMYFUNCTION("QUERY('Volunteer Survey'!F516)"),"")</f>
        <v/>
      </c>
      <c r="AF517" s="183" t="str">
        <f>IFERROR(__xludf.DUMMYFUNCTION("QUERY('Volunteer Survey'!G516)"),"")</f>
        <v/>
      </c>
      <c r="AG517" s="183" t="str">
        <f>IFERROR(__xludf.DUMMYFUNCTION("QUERY('Volunteer Survey'!H516)"),"")</f>
        <v/>
      </c>
      <c r="AH517" s="183" t="str">
        <f>IFERROR(__xludf.DUMMYFUNCTION("QUERY('Volunteer Survey'!I516)"),"")</f>
        <v/>
      </c>
      <c r="AI517" s="183" t="str">
        <f>IFERROR(__xludf.DUMMYFUNCTION("QUERY('Volunteer Survey'!J516)"),"")</f>
        <v/>
      </c>
      <c r="AJ517" s="183" t="str">
        <f>IFERROR(__xludf.DUMMYFUNCTION("QUERY('Volunteer Survey'!K516)"),"")</f>
        <v/>
      </c>
      <c r="AK517" s="183" t="str">
        <f>IFERROR(__xludf.DUMMYFUNCTION("QUERY('Volunteer Survey'!L516)"),"")</f>
        <v/>
      </c>
      <c r="AL517" s="183" t="str">
        <f>IFERROR(__xludf.DUMMYFUNCTION("QUERY('Volunteer Survey'!M516)"),"")</f>
        <v/>
      </c>
      <c r="AM517" s="183" t="str">
        <f>IFERROR(__xludf.DUMMYFUNCTION("QUERY('Volunteer Survey'!N516)"),"")</f>
        <v/>
      </c>
      <c r="AN517" s="183" t="str">
        <f>IFERROR(__xludf.DUMMYFUNCTION("QUERY('Volunteer Survey'!O516)"),"")</f>
        <v/>
      </c>
      <c r="AO517" s="183" t="str">
        <f>IFERROR(__xludf.DUMMYFUNCTION("QUERY('Volunteer Survey'!P516)"),"")</f>
        <v/>
      </c>
    </row>
    <row r="518">
      <c r="A518" s="55" t="str">
        <f>'Volunteer Survey'!A928</f>
        <v/>
      </c>
      <c r="B518" s="48" t="s">
        <v>322</v>
      </c>
      <c r="C518" s="53"/>
      <c r="D518" s="55"/>
      <c r="E518" s="55"/>
      <c r="F518" s="55" t="b">
        <v>0</v>
      </c>
      <c r="G518" s="55"/>
      <c r="H518" s="53"/>
      <c r="I518" s="53"/>
      <c r="J518" s="55"/>
      <c r="K518" s="55"/>
      <c r="L518" s="55" t="str">
        <f>'Volunteer Survey'!B928</f>
        <v/>
      </c>
      <c r="M518" s="55" t="str">
        <f>'Volunteer Survey'!E928</f>
        <v/>
      </c>
      <c r="N518" s="55" t="str">
        <f>'Volunteer Survey'!F929</f>
        <v/>
      </c>
      <c r="O518" s="48" t="str">
        <f>'Volunteer Survey'!H929</f>
        <v/>
      </c>
      <c r="P518" s="55"/>
      <c r="Q518" s="60" t="str">
        <f>IFERROR(__xludf.DUMMYFUNCTION("QUERY('Volunteer Survey'!J912)"),"")</f>
        <v/>
      </c>
      <c r="R518" s="55"/>
      <c r="S518" s="55"/>
      <c r="T518" s="55" t="str">
        <f>'Volunteer Survey'!M928</f>
        <v/>
      </c>
      <c r="U518" s="64"/>
      <c r="V518" s="55"/>
      <c r="W518" s="66" t="str">
        <f>'Volunteer Survey'!P928</f>
        <v/>
      </c>
      <c r="X518" s="55"/>
      <c r="Y518" s="53"/>
      <c r="Z518" s="183" t="str">
        <f>IFERROR(__xludf.DUMMYFUNCTION("QUERY('Volunteer Survey'!A517)"),"")</f>
        <v/>
      </c>
      <c r="AA518" s="183" t="str">
        <f>IFERROR(__xludf.DUMMYFUNCTION("QUERY('Volunteer Survey'!B517)"),"")</f>
        <v/>
      </c>
      <c r="AB518" s="183" t="str">
        <f>IFERROR(__xludf.DUMMYFUNCTION("QUERY('Volunteer Survey'!C517)"),"")</f>
        <v/>
      </c>
      <c r="AC518" s="183" t="str">
        <f>IFERROR(__xludf.DUMMYFUNCTION("QUERY('Volunteer Survey'!D517)"),"")</f>
        <v/>
      </c>
      <c r="AD518" s="183" t="str">
        <f>IFERROR(__xludf.DUMMYFUNCTION("QUERY('Volunteer Survey'!E517)"),"")</f>
        <v/>
      </c>
      <c r="AE518" s="183" t="str">
        <f>IFERROR(__xludf.DUMMYFUNCTION("QUERY('Volunteer Survey'!F517)"),"")</f>
        <v/>
      </c>
      <c r="AF518" s="183" t="str">
        <f>IFERROR(__xludf.DUMMYFUNCTION("QUERY('Volunteer Survey'!G517)"),"")</f>
        <v/>
      </c>
      <c r="AG518" s="183" t="str">
        <f>IFERROR(__xludf.DUMMYFUNCTION("QUERY('Volunteer Survey'!H517)"),"")</f>
        <v/>
      </c>
      <c r="AH518" s="183" t="str">
        <f>IFERROR(__xludf.DUMMYFUNCTION("QUERY('Volunteer Survey'!I517)"),"")</f>
        <v/>
      </c>
      <c r="AI518" s="183" t="str">
        <f>IFERROR(__xludf.DUMMYFUNCTION("QUERY('Volunteer Survey'!J517)"),"")</f>
        <v/>
      </c>
      <c r="AJ518" s="183" t="str">
        <f>IFERROR(__xludf.DUMMYFUNCTION("QUERY('Volunteer Survey'!K517)"),"")</f>
        <v/>
      </c>
      <c r="AK518" s="183" t="str">
        <f>IFERROR(__xludf.DUMMYFUNCTION("QUERY('Volunteer Survey'!L517)"),"")</f>
        <v/>
      </c>
      <c r="AL518" s="183" t="str">
        <f>IFERROR(__xludf.DUMMYFUNCTION("QUERY('Volunteer Survey'!M517)"),"")</f>
        <v/>
      </c>
      <c r="AM518" s="183" t="str">
        <f>IFERROR(__xludf.DUMMYFUNCTION("QUERY('Volunteer Survey'!N517)"),"")</f>
        <v/>
      </c>
      <c r="AN518" s="183" t="str">
        <f>IFERROR(__xludf.DUMMYFUNCTION("QUERY('Volunteer Survey'!O517)"),"")</f>
        <v/>
      </c>
      <c r="AO518" s="183" t="str">
        <f>IFERROR(__xludf.DUMMYFUNCTION("QUERY('Volunteer Survey'!P517)"),"")</f>
        <v/>
      </c>
    </row>
    <row r="519">
      <c r="A519" s="55" t="str">
        <f>'Volunteer Survey'!A929</f>
        <v/>
      </c>
      <c r="B519" s="48" t="s">
        <v>322</v>
      </c>
      <c r="C519" s="53"/>
      <c r="D519" s="55"/>
      <c r="E519" s="55"/>
      <c r="F519" s="55" t="b">
        <v>0</v>
      </c>
      <c r="G519" s="55"/>
      <c r="H519" s="53"/>
      <c r="I519" s="53"/>
      <c r="J519" s="55"/>
      <c r="K519" s="55"/>
      <c r="L519" s="55" t="str">
        <f>'Volunteer Survey'!B929</f>
        <v/>
      </c>
      <c r="M519" s="55" t="str">
        <f>'Volunteer Survey'!E929</f>
        <v/>
      </c>
      <c r="N519" s="55"/>
      <c r="O519" s="48" t="str">
        <f>'Volunteer Survey'!H930</f>
        <v/>
      </c>
      <c r="P519" s="55"/>
      <c r="Q519" s="60" t="str">
        <f>IFERROR(__xludf.DUMMYFUNCTION("QUERY('Volunteer Survey'!J913)"),"")</f>
        <v/>
      </c>
      <c r="R519" s="55"/>
      <c r="S519" s="55"/>
      <c r="T519" s="55" t="str">
        <f>'Volunteer Survey'!M929</f>
        <v/>
      </c>
      <c r="U519" s="64"/>
      <c r="V519" s="55"/>
      <c r="W519" s="66" t="str">
        <f>'Volunteer Survey'!P929</f>
        <v/>
      </c>
      <c r="X519" s="55"/>
      <c r="Y519" s="53"/>
      <c r="Z519" s="183" t="str">
        <f>IFERROR(__xludf.DUMMYFUNCTION("QUERY('Volunteer Survey'!A518)"),"")</f>
        <v/>
      </c>
      <c r="AA519" s="183" t="str">
        <f>IFERROR(__xludf.DUMMYFUNCTION("QUERY('Volunteer Survey'!B518)"),"")</f>
        <v/>
      </c>
      <c r="AB519" s="183" t="str">
        <f>IFERROR(__xludf.DUMMYFUNCTION("QUERY('Volunteer Survey'!C518)"),"")</f>
        <v/>
      </c>
      <c r="AC519" s="183" t="str">
        <f>IFERROR(__xludf.DUMMYFUNCTION("QUERY('Volunteer Survey'!D518)"),"")</f>
        <v/>
      </c>
      <c r="AD519" s="183" t="str">
        <f>IFERROR(__xludf.DUMMYFUNCTION("QUERY('Volunteer Survey'!E518)"),"")</f>
        <v/>
      </c>
      <c r="AE519" s="183" t="str">
        <f>IFERROR(__xludf.DUMMYFUNCTION("QUERY('Volunteer Survey'!F518)"),"")</f>
        <v/>
      </c>
      <c r="AF519" s="183" t="str">
        <f>IFERROR(__xludf.DUMMYFUNCTION("QUERY('Volunteer Survey'!G518)"),"")</f>
        <v/>
      </c>
      <c r="AG519" s="183" t="str">
        <f>IFERROR(__xludf.DUMMYFUNCTION("QUERY('Volunteer Survey'!H518)"),"")</f>
        <v/>
      </c>
      <c r="AH519" s="183" t="str">
        <f>IFERROR(__xludf.DUMMYFUNCTION("QUERY('Volunteer Survey'!I518)"),"")</f>
        <v/>
      </c>
      <c r="AI519" s="183" t="str">
        <f>IFERROR(__xludf.DUMMYFUNCTION("QUERY('Volunteer Survey'!J518)"),"")</f>
        <v/>
      </c>
      <c r="AJ519" s="183" t="str">
        <f>IFERROR(__xludf.DUMMYFUNCTION("QUERY('Volunteer Survey'!K518)"),"")</f>
        <v/>
      </c>
      <c r="AK519" s="183" t="str">
        <f>IFERROR(__xludf.DUMMYFUNCTION("QUERY('Volunteer Survey'!L518)"),"")</f>
        <v/>
      </c>
      <c r="AL519" s="183" t="str">
        <f>IFERROR(__xludf.DUMMYFUNCTION("QUERY('Volunteer Survey'!M518)"),"")</f>
        <v/>
      </c>
      <c r="AM519" s="183" t="str">
        <f>IFERROR(__xludf.DUMMYFUNCTION("QUERY('Volunteer Survey'!N518)"),"")</f>
        <v/>
      </c>
      <c r="AN519" s="183" t="str">
        <f>IFERROR(__xludf.DUMMYFUNCTION("QUERY('Volunteer Survey'!O518)"),"")</f>
        <v/>
      </c>
      <c r="AO519" s="183" t="str">
        <f>IFERROR(__xludf.DUMMYFUNCTION("QUERY('Volunteer Survey'!P518)"),"")</f>
        <v/>
      </c>
    </row>
    <row r="520">
      <c r="A520" s="55" t="str">
        <f>'Volunteer Survey'!A930</f>
        <v/>
      </c>
      <c r="B520" s="48" t="s">
        <v>322</v>
      </c>
      <c r="C520" s="53"/>
      <c r="D520" s="55"/>
      <c r="E520" s="55"/>
      <c r="F520" s="55" t="b">
        <v>0</v>
      </c>
      <c r="G520" s="55"/>
      <c r="H520" s="53"/>
      <c r="I520" s="53"/>
      <c r="J520" s="55"/>
      <c r="K520" s="55"/>
      <c r="L520" s="55" t="str">
        <f>'Volunteer Survey'!B930</f>
        <v/>
      </c>
      <c r="M520" s="55" t="str">
        <f>'Volunteer Survey'!E930</f>
        <v/>
      </c>
      <c r="N520" s="55"/>
      <c r="O520" s="48" t="str">
        <f>'Volunteer Survey'!H931</f>
        <v/>
      </c>
      <c r="P520" s="55"/>
      <c r="Q520" s="60" t="str">
        <f>IFERROR(__xludf.DUMMYFUNCTION("QUERY('Volunteer Survey'!J914)"),"")</f>
        <v/>
      </c>
      <c r="R520" s="55"/>
      <c r="S520" s="55"/>
      <c r="T520" s="55" t="str">
        <f>'Volunteer Survey'!M930</f>
        <v/>
      </c>
      <c r="U520" s="64"/>
      <c r="V520" s="55"/>
      <c r="W520" s="66" t="str">
        <f>'Volunteer Survey'!P930</f>
        <v/>
      </c>
      <c r="X520" s="55"/>
      <c r="Y520" s="53"/>
      <c r="Z520" s="183" t="str">
        <f>IFERROR(__xludf.DUMMYFUNCTION("QUERY('Volunteer Survey'!A519)"),"")</f>
        <v/>
      </c>
      <c r="AA520" s="183" t="str">
        <f>IFERROR(__xludf.DUMMYFUNCTION("QUERY('Volunteer Survey'!B519)"),"")</f>
        <v/>
      </c>
      <c r="AB520" s="183" t="str">
        <f>IFERROR(__xludf.DUMMYFUNCTION("QUERY('Volunteer Survey'!C519)"),"")</f>
        <v/>
      </c>
      <c r="AC520" s="183" t="str">
        <f>IFERROR(__xludf.DUMMYFUNCTION("QUERY('Volunteer Survey'!D519)"),"")</f>
        <v/>
      </c>
      <c r="AD520" s="183" t="str">
        <f>IFERROR(__xludf.DUMMYFUNCTION("QUERY('Volunteer Survey'!E519)"),"")</f>
        <v/>
      </c>
      <c r="AE520" s="183" t="str">
        <f>IFERROR(__xludf.DUMMYFUNCTION("QUERY('Volunteer Survey'!F519)"),"")</f>
        <v/>
      </c>
      <c r="AF520" s="183" t="str">
        <f>IFERROR(__xludf.DUMMYFUNCTION("QUERY('Volunteer Survey'!G519)"),"")</f>
        <v/>
      </c>
      <c r="AG520" s="183" t="str">
        <f>IFERROR(__xludf.DUMMYFUNCTION("QUERY('Volunteer Survey'!H519)"),"")</f>
        <v/>
      </c>
      <c r="AH520" s="183" t="str">
        <f>IFERROR(__xludf.DUMMYFUNCTION("QUERY('Volunteer Survey'!I519)"),"")</f>
        <v/>
      </c>
      <c r="AI520" s="183" t="str">
        <f>IFERROR(__xludf.DUMMYFUNCTION("QUERY('Volunteer Survey'!J519)"),"")</f>
        <v/>
      </c>
      <c r="AJ520" s="183" t="str">
        <f>IFERROR(__xludf.DUMMYFUNCTION("QUERY('Volunteer Survey'!K519)"),"")</f>
        <v/>
      </c>
      <c r="AK520" s="183" t="str">
        <f>IFERROR(__xludf.DUMMYFUNCTION("QUERY('Volunteer Survey'!L519)"),"")</f>
        <v/>
      </c>
      <c r="AL520" s="183" t="str">
        <f>IFERROR(__xludf.DUMMYFUNCTION("QUERY('Volunteer Survey'!M519)"),"")</f>
        <v/>
      </c>
      <c r="AM520" s="183" t="str">
        <f>IFERROR(__xludf.DUMMYFUNCTION("QUERY('Volunteer Survey'!N519)"),"")</f>
        <v/>
      </c>
      <c r="AN520" s="183" t="str">
        <f>IFERROR(__xludf.DUMMYFUNCTION("QUERY('Volunteer Survey'!O519)"),"")</f>
        <v/>
      </c>
      <c r="AO520" s="183" t="str">
        <f>IFERROR(__xludf.DUMMYFUNCTION("QUERY('Volunteer Survey'!P519)"),"")</f>
        <v/>
      </c>
    </row>
    <row r="521">
      <c r="A521" s="55" t="str">
        <f>'Volunteer Survey'!A931</f>
        <v/>
      </c>
      <c r="B521" s="48" t="s">
        <v>322</v>
      </c>
      <c r="C521" s="53"/>
      <c r="D521" s="55"/>
      <c r="E521" s="55"/>
      <c r="F521" s="55" t="b">
        <v>0</v>
      </c>
      <c r="G521" s="55"/>
      <c r="H521" s="53"/>
      <c r="I521" s="53"/>
      <c r="J521" s="55"/>
      <c r="K521" s="55"/>
      <c r="L521" s="55" t="str">
        <f>'Volunteer Survey'!B931</f>
        <v/>
      </c>
      <c r="M521" s="55" t="str">
        <f>'Volunteer Survey'!E931</f>
        <v/>
      </c>
      <c r="N521" s="55"/>
      <c r="O521" s="48" t="str">
        <f>'Volunteer Survey'!H932</f>
        <v/>
      </c>
      <c r="P521" s="55"/>
      <c r="Q521" s="60" t="str">
        <f>IFERROR(__xludf.DUMMYFUNCTION("QUERY('Volunteer Survey'!J915)"),"")</f>
        <v/>
      </c>
      <c r="R521" s="55"/>
      <c r="S521" s="55"/>
      <c r="T521" s="55" t="str">
        <f>'Volunteer Survey'!M931</f>
        <v/>
      </c>
      <c r="U521" s="64"/>
      <c r="V521" s="55"/>
      <c r="W521" s="66" t="str">
        <f>'Volunteer Survey'!P931</f>
        <v/>
      </c>
      <c r="X521" s="55"/>
      <c r="Y521" s="53"/>
      <c r="Z521" s="183" t="str">
        <f>IFERROR(__xludf.DUMMYFUNCTION("QUERY('Volunteer Survey'!A520)"),"")</f>
        <v/>
      </c>
      <c r="AA521" s="183" t="str">
        <f>IFERROR(__xludf.DUMMYFUNCTION("QUERY('Volunteer Survey'!B520)"),"")</f>
        <v/>
      </c>
      <c r="AB521" s="183" t="str">
        <f>IFERROR(__xludf.DUMMYFUNCTION("QUERY('Volunteer Survey'!C520)"),"")</f>
        <v/>
      </c>
      <c r="AC521" s="183" t="str">
        <f>IFERROR(__xludf.DUMMYFUNCTION("QUERY('Volunteer Survey'!D520)"),"")</f>
        <v/>
      </c>
      <c r="AD521" s="183" t="str">
        <f>IFERROR(__xludf.DUMMYFUNCTION("QUERY('Volunteer Survey'!E520)"),"")</f>
        <v/>
      </c>
      <c r="AE521" s="183" t="str">
        <f>IFERROR(__xludf.DUMMYFUNCTION("QUERY('Volunteer Survey'!F520)"),"")</f>
        <v/>
      </c>
      <c r="AF521" s="183" t="str">
        <f>IFERROR(__xludf.DUMMYFUNCTION("QUERY('Volunteer Survey'!G520)"),"")</f>
        <v/>
      </c>
      <c r="AG521" s="183" t="str">
        <f>IFERROR(__xludf.DUMMYFUNCTION("QUERY('Volunteer Survey'!H520)"),"")</f>
        <v/>
      </c>
      <c r="AH521" s="183" t="str">
        <f>IFERROR(__xludf.DUMMYFUNCTION("QUERY('Volunteer Survey'!I520)"),"")</f>
        <v/>
      </c>
      <c r="AI521" s="183" t="str">
        <f>IFERROR(__xludf.DUMMYFUNCTION("QUERY('Volunteer Survey'!J520)"),"")</f>
        <v/>
      </c>
      <c r="AJ521" s="183" t="str">
        <f>IFERROR(__xludf.DUMMYFUNCTION("QUERY('Volunteer Survey'!K520)"),"")</f>
        <v/>
      </c>
      <c r="AK521" s="183" t="str">
        <f>IFERROR(__xludf.DUMMYFUNCTION("QUERY('Volunteer Survey'!L520)"),"")</f>
        <v/>
      </c>
      <c r="AL521" s="183" t="str">
        <f>IFERROR(__xludf.DUMMYFUNCTION("QUERY('Volunteer Survey'!M520)"),"")</f>
        <v/>
      </c>
      <c r="AM521" s="183" t="str">
        <f>IFERROR(__xludf.DUMMYFUNCTION("QUERY('Volunteer Survey'!N520)"),"")</f>
        <v/>
      </c>
      <c r="AN521" s="183" t="str">
        <f>IFERROR(__xludf.DUMMYFUNCTION("QUERY('Volunteer Survey'!O520)"),"")</f>
        <v/>
      </c>
      <c r="AO521" s="183" t="str">
        <f>IFERROR(__xludf.DUMMYFUNCTION("QUERY('Volunteer Survey'!P520)"),"")</f>
        <v/>
      </c>
    </row>
    <row r="522">
      <c r="A522" s="55" t="str">
        <f>'Volunteer Survey'!A932</f>
        <v/>
      </c>
      <c r="B522" s="48" t="s">
        <v>322</v>
      </c>
      <c r="C522" s="53"/>
      <c r="D522" s="55"/>
      <c r="E522" s="55"/>
      <c r="F522" s="55" t="b">
        <v>0</v>
      </c>
      <c r="G522" s="55"/>
      <c r="H522" s="53"/>
      <c r="I522" s="53"/>
      <c r="J522" s="55"/>
      <c r="K522" s="55"/>
      <c r="L522" s="55" t="str">
        <f>'Volunteer Survey'!B932</f>
        <v/>
      </c>
      <c r="M522" s="55" t="str">
        <f>'Volunteer Survey'!E932</f>
        <v/>
      </c>
      <c r="N522" s="55"/>
      <c r="O522" s="48" t="str">
        <f>'Volunteer Survey'!H933</f>
        <v/>
      </c>
      <c r="P522" s="55"/>
      <c r="Q522" s="60" t="str">
        <f>IFERROR(__xludf.DUMMYFUNCTION("QUERY('Volunteer Survey'!J916)"),"")</f>
        <v/>
      </c>
      <c r="R522" s="55"/>
      <c r="S522" s="55"/>
      <c r="T522" s="55" t="str">
        <f>'Volunteer Survey'!M932</f>
        <v/>
      </c>
      <c r="U522" s="64"/>
      <c r="V522" s="55"/>
      <c r="W522" s="66" t="str">
        <f>'Volunteer Survey'!P932</f>
        <v/>
      </c>
      <c r="X522" s="55"/>
      <c r="Y522" s="53"/>
      <c r="Z522" s="183" t="str">
        <f>IFERROR(__xludf.DUMMYFUNCTION("QUERY('Volunteer Survey'!A521)"),"")</f>
        <v/>
      </c>
      <c r="AA522" s="183" t="str">
        <f>IFERROR(__xludf.DUMMYFUNCTION("QUERY('Volunteer Survey'!B521)"),"")</f>
        <v/>
      </c>
      <c r="AB522" s="183" t="str">
        <f>IFERROR(__xludf.DUMMYFUNCTION("QUERY('Volunteer Survey'!C521)"),"")</f>
        <v/>
      </c>
      <c r="AC522" s="183" t="str">
        <f>IFERROR(__xludf.DUMMYFUNCTION("QUERY('Volunteer Survey'!D521)"),"")</f>
        <v/>
      </c>
      <c r="AD522" s="183" t="str">
        <f>IFERROR(__xludf.DUMMYFUNCTION("QUERY('Volunteer Survey'!E521)"),"")</f>
        <v/>
      </c>
      <c r="AE522" s="183" t="str">
        <f>IFERROR(__xludf.DUMMYFUNCTION("QUERY('Volunteer Survey'!F521)"),"")</f>
        <v/>
      </c>
      <c r="AF522" s="183" t="str">
        <f>IFERROR(__xludf.DUMMYFUNCTION("QUERY('Volunteer Survey'!G521)"),"")</f>
        <v/>
      </c>
      <c r="AG522" s="183" t="str">
        <f>IFERROR(__xludf.DUMMYFUNCTION("QUERY('Volunteer Survey'!H521)"),"")</f>
        <v/>
      </c>
      <c r="AH522" s="183" t="str">
        <f>IFERROR(__xludf.DUMMYFUNCTION("QUERY('Volunteer Survey'!I521)"),"")</f>
        <v/>
      </c>
      <c r="AI522" s="183" t="str">
        <f>IFERROR(__xludf.DUMMYFUNCTION("QUERY('Volunteer Survey'!J521)"),"")</f>
        <v/>
      </c>
      <c r="AJ522" s="183" t="str">
        <f>IFERROR(__xludf.DUMMYFUNCTION("QUERY('Volunteer Survey'!K521)"),"")</f>
        <v/>
      </c>
      <c r="AK522" s="183" t="str">
        <f>IFERROR(__xludf.DUMMYFUNCTION("QUERY('Volunteer Survey'!L521)"),"")</f>
        <v/>
      </c>
      <c r="AL522" s="183" t="str">
        <f>IFERROR(__xludf.DUMMYFUNCTION("QUERY('Volunteer Survey'!M521)"),"")</f>
        <v/>
      </c>
      <c r="AM522" s="183" t="str">
        <f>IFERROR(__xludf.DUMMYFUNCTION("QUERY('Volunteer Survey'!N521)"),"")</f>
        <v/>
      </c>
      <c r="AN522" s="183" t="str">
        <f>IFERROR(__xludf.DUMMYFUNCTION("QUERY('Volunteer Survey'!O521)"),"")</f>
        <v/>
      </c>
      <c r="AO522" s="183" t="str">
        <f>IFERROR(__xludf.DUMMYFUNCTION("QUERY('Volunteer Survey'!P521)"),"")</f>
        <v/>
      </c>
    </row>
    <row r="523">
      <c r="A523" s="55" t="str">
        <f>'Volunteer Survey'!A933</f>
        <v/>
      </c>
      <c r="B523" s="48" t="s">
        <v>322</v>
      </c>
      <c r="C523" s="53"/>
      <c r="D523" s="55"/>
      <c r="E523" s="55"/>
      <c r="F523" s="55" t="b">
        <v>0</v>
      </c>
      <c r="G523" s="55"/>
      <c r="H523" s="53"/>
      <c r="I523" s="53"/>
      <c r="J523" s="55"/>
      <c r="K523" s="55"/>
      <c r="L523" s="55" t="str">
        <f>'Volunteer Survey'!B933</f>
        <v/>
      </c>
      <c r="M523" s="55" t="str">
        <f>'Volunteer Survey'!E933</f>
        <v/>
      </c>
      <c r="N523" s="55"/>
      <c r="O523" s="48" t="str">
        <f>'Volunteer Survey'!H934</f>
        <v/>
      </c>
      <c r="P523" s="55"/>
      <c r="Q523" s="60" t="str">
        <f>IFERROR(__xludf.DUMMYFUNCTION("QUERY('Volunteer Survey'!J917)"),"")</f>
        <v/>
      </c>
      <c r="R523" s="55"/>
      <c r="S523" s="55"/>
      <c r="T523" s="55" t="str">
        <f>'Volunteer Survey'!M933</f>
        <v/>
      </c>
      <c r="U523" s="64"/>
      <c r="V523" s="55"/>
      <c r="W523" s="66" t="str">
        <f>'Volunteer Survey'!P933</f>
        <v/>
      </c>
      <c r="X523" s="55"/>
      <c r="Y523" s="53"/>
      <c r="Z523" s="183" t="str">
        <f>IFERROR(__xludf.DUMMYFUNCTION("QUERY('Volunteer Survey'!A522)"),"")</f>
        <v/>
      </c>
      <c r="AA523" s="183" t="str">
        <f>IFERROR(__xludf.DUMMYFUNCTION("QUERY('Volunteer Survey'!B522)"),"")</f>
        <v/>
      </c>
      <c r="AB523" s="183" t="str">
        <f>IFERROR(__xludf.DUMMYFUNCTION("QUERY('Volunteer Survey'!C522)"),"")</f>
        <v/>
      </c>
      <c r="AC523" s="183" t="str">
        <f>IFERROR(__xludf.DUMMYFUNCTION("QUERY('Volunteer Survey'!D522)"),"")</f>
        <v/>
      </c>
      <c r="AD523" s="183" t="str">
        <f>IFERROR(__xludf.DUMMYFUNCTION("QUERY('Volunteer Survey'!E522)"),"")</f>
        <v/>
      </c>
      <c r="AE523" s="183" t="str">
        <f>IFERROR(__xludf.DUMMYFUNCTION("QUERY('Volunteer Survey'!F522)"),"")</f>
        <v/>
      </c>
      <c r="AF523" s="183" t="str">
        <f>IFERROR(__xludf.DUMMYFUNCTION("QUERY('Volunteer Survey'!G522)"),"")</f>
        <v/>
      </c>
      <c r="AG523" s="183" t="str">
        <f>IFERROR(__xludf.DUMMYFUNCTION("QUERY('Volunteer Survey'!H522)"),"")</f>
        <v/>
      </c>
      <c r="AH523" s="183" t="str">
        <f>IFERROR(__xludf.DUMMYFUNCTION("QUERY('Volunteer Survey'!I522)"),"")</f>
        <v/>
      </c>
      <c r="AI523" s="183" t="str">
        <f>IFERROR(__xludf.DUMMYFUNCTION("QUERY('Volunteer Survey'!J522)"),"")</f>
        <v/>
      </c>
      <c r="AJ523" s="183" t="str">
        <f>IFERROR(__xludf.DUMMYFUNCTION("QUERY('Volunteer Survey'!K522)"),"")</f>
        <v/>
      </c>
      <c r="AK523" s="183" t="str">
        <f>IFERROR(__xludf.DUMMYFUNCTION("QUERY('Volunteer Survey'!L522)"),"")</f>
        <v/>
      </c>
      <c r="AL523" s="183" t="str">
        <f>IFERROR(__xludf.DUMMYFUNCTION("QUERY('Volunteer Survey'!M522)"),"")</f>
        <v/>
      </c>
      <c r="AM523" s="183" t="str">
        <f>IFERROR(__xludf.DUMMYFUNCTION("QUERY('Volunteer Survey'!N522)"),"")</f>
        <v/>
      </c>
      <c r="AN523" s="183" t="str">
        <f>IFERROR(__xludf.DUMMYFUNCTION("QUERY('Volunteer Survey'!O522)"),"")</f>
        <v/>
      </c>
      <c r="AO523" s="183" t="str">
        <f>IFERROR(__xludf.DUMMYFUNCTION("QUERY('Volunteer Survey'!P522)"),"")</f>
        <v/>
      </c>
    </row>
    <row r="524">
      <c r="A524" s="55" t="str">
        <f>'Volunteer Survey'!A934</f>
        <v/>
      </c>
      <c r="B524" s="48" t="s">
        <v>322</v>
      </c>
      <c r="C524" s="53"/>
      <c r="D524" s="55"/>
      <c r="E524" s="55"/>
      <c r="F524" s="55" t="b">
        <v>0</v>
      </c>
      <c r="G524" s="55"/>
      <c r="H524" s="53"/>
      <c r="I524" s="53"/>
      <c r="J524" s="55"/>
      <c r="K524" s="55"/>
      <c r="L524" s="55" t="str">
        <f>'Volunteer Survey'!B934</f>
        <v/>
      </c>
      <c r="M524" s="55" t="str">
        <f>'Volunteer Survey'!E934</f>
        <v/>
      </c>
      <c r="N524" s="55"/>
      <c r="O524" s="48" t="str">
        <f>'Volunteer Survey'!H935</f>
        <v/>
      </c>
      <c r="P524" s="55"/>
      <c r="Q524" s="60" t="str">
        <f>IFERROR(__xludf.DUMMYFUNCTION("QUERY('Volunteer Survey'!J918)"),"")</f>
        <v/>
      </c>
      <c r="R524" s="55"/>
      <c r="S524" s="55"/>
      <c r="T524" s="55" t="str">
        <f>'Volunteer Survey'!M934</f>
        <v/>
      </c>
      <c r="U524" s="64"/>
      <c r="V524" s="55"/>
      <c r="W524" s="66" t="str">
        <f>'Volunteer Survey'!P934</f>
        <v/>
      </c>
      <c r="X524" s="55"/>
      <c r="Y524" s="53"/>
      <c r="Z524" s="183" t="str">
        <f>IFERROR(__xludf.DUMMYFUNCTION("QUERY('Volunteer Survey'!A523)"),"")</f>
        <v/>
      </c>
      <c r="AA524" s="183" t="str">
        <f>IFERROR(__xludf.DUMMYFUNCTION("QUERY('Volunteer Survey'!B523)"),"")</f>
        <v/>
      </c>
      <c r="AB524" s="183" t="str">
        <f>IFERROR(__xludf.DUMMYFUNCTION("QUERY('Volunteer Survey'!C523)"),"")</f>
        <v/>
      </c>
      <c r="AC524" s="183" t="str">
        <f>IFERROR(__xludf.DUMMYFUNCTION("QUERY('Volunteer Survey'!D523)"),"")</f>
        <v/>
      </c>
      <c r="AD524" s="183" t="str">
        <f>IFERROR(__xludf.DUMMYFUNCTION("QUERY('Volunteer Survey'!E523)"),"")</f>
        <v/>
      </c>
      <c r="AE524" s="183" t="str">
        <f>IFERROR(__xludf.DUMMYFUNCTION("QUERY('Volunteer Survey'!F523)"),"")</f>
        <v/>
      </c>
      <c r="AF524" s="183" t="str">
        <f>IFERROR(__xludf.DUMMYFUNCTION("QUERY('Volunteer Survey'!G523)"),"")</f>
        <v/>
      </c>
      <c r="AG524" s="183" t="str">
        <f>IFERROR(__xludf.DUMMYFUNCTION("QUERY('Volunteer Survey'!H523)"),"")</f>
        <v/>
      </c>
      <c r="AH524" s="183" t="str">
        <f>IFERROR(__xludf.DUMMYFUNCTION("QUERY('Volunteer Survey'!I523)"),"")</f>
        <v/>
      </c>
      <c r="AI524" s="183" t="str">
        <f>IFERROR(__xludf.DUMMYFUNCTION("QUERY('Volunteer Survey'!J523)"),"")</f>
        <v/>
      </c>
      <c r="AJ524" s="183" t="str">
        <f>IFERROR(__xludf.DUMMYFUNCTION("QUERY('Volunteer Survey'!K523)"),"")</f>
        <v/>
      </c>
      <c r="AK524" s="183" t="str">
        <f>IFERROR(__xludf.DUMMYFUNCTION("QUERY('Volunteer Survey'!L523)"),"")</f>
        <v/>
      </c>
      <c r="AL524" s="183" t="str">
        <f>IFERROR(__xludf.DUMMYFUNCTION("QUERY('Volunteer Survey'!M523)"),"")</f>
        <v/>
      </c>
      <c r="AM524" s="183" t="str">
        <f>IFERROR(__xludf.DUMMYFUNCTION("QUERY('Volunteer Survey'!N523)"),"")</f>
        <v/>
      </c>
      <c r="AN524" s="183" t="str">
        <f>IFERROR(__xludf.DUMMYFUNCTION("QUERY('Volunteer Survey'!O523)"),"")</f>
        <v/>
      </c>
      <c r="AO524" s="183" t="str">
        <f>IFERROR(__xludf.DUMMYFUNCTION("QUERY('Volunteer Survey'!P523)"),"")</f>
        <v/>
      </c>
    </row>
    <row r="525">
      <c r="A525" s="55" t="str">
        <f>'Volunteer Survey'!A935</f>
        <v/>
      </c>
      <c r="B525" s="48" t="s">
        <v>322</v>
      </c>
      <c r="C525" s="53"/>
      <c r="D525" s="55"/>
      <c r="E525" s="55"/>
      <c r="F525" s="55" t="b">
        <v>0</v>
      </c>
      <c r="G525" s="55"/>
      <c r="H525" s="53"/>
      <c r="I525" s="53"/>
      <c r="J525" s="55"/>
      <c r="K525" s="55"/>
      <c r="L525" s="55" t="str">
        <f>'Volunteer Survey'!B935</f>
        <v/>
      </c>
      <c r="M525" s="55" t="str">
        <f>'Volunteer Survey'!E935</f>
        <v/>
      </c>
      <c r="N525" s="55"/>
      <c r="O525" s="48" t="str">
        <f>'Volunteer Survey'!H936</f>
        <v/>
      </c>
      <c r="P525" s="55"/>
      <c r="Q525" s="60" t="str">
        <f>IFERROR(__xludf.DUMMYFUNCTION("QUERY('Volunteer Survey'!J919)"),"")</f>
        <v/>
      </c>
      <c r="R525" s="55"/>
      <c r="S525" s="55"/>
      <c r="T525" s="55" t="str">
        <f>'Volunteer Survey'!M935</f>
        <v/>
      </c>
      <c r="U525" s="64"/>
      <c r="V525" s="55"/>
      <c r="W525" s="66" t="str">
        <f>'Volunteer Survey'!P935</f>
        <v/>
      </c>
      <c r="X525" s="55"/>
      <c r="Y525" s="53"/>
      <c r="Z525" s="183" t="str">
        <f>IFERROR(__xludf.DUMMYFUNCTION("QUERY('Volunteer Survey'!A524)"),"")</f>
        <v/>
      </c>
      <c r="AA525" s="183" t="str">
        <f>IFERROR(__xludf.DUMMYFUNCTION("QUERY('Volunteer Survey'!B524)"),"")</f>
        <v/>
      </c>
      <c r="AB525" s="183" t="str">
        <f>IFERROR(__xludf.DUMMYFUNCTION("QUERY('Volunteer Survey'!C524)"),"")</f>
        <v/>
      </c>
      <c r="AC525" s="183" t="str">
        <f>IFERROR(__xludf.DUMMYFUNCTION("QUERY('Volunteer Survey'!D524)"),"")</f>
        <v/>
      </c>
      <c r="AD525" s="183" t="str">
        <f>IFERROR(__xludf.DUMMYFUNCTION("QUERY('Volunteer Survey'!E524)"),"")</f>
        <v/>
      </c>
      <c r="AE525" s="183" t="str">
        <f>IFERROR(__xludf.DUMMYFUNCTION("QUERY('Volunteer Survey'!F524)"),"")</f>
        <v/>
      </c>
      <c r="AF525" s="183" t="str">
        <f>IFERROR(__xludf.DUMMYFUNCTION("QUERY('Volunteer Survey'!G524)"),"")</f>
        <v/>
      </c>
      <c r="AG525" s="183" t="str">
        <f>IFERROR(__xludf.DUMMYFUNCTION("QUERY('Volunteer Survey'!H524)"),"")</f>
        <v/>
      </c>
      <c r="AH525" s="183" t="str">
        <f>IFERROR(__xludf.DUMMYFUNCTION("QUERY('Volunteer Survey'!I524)"),"")</f>
        <v/>
      </c>
      <c r="AI525" s="183" t="str">
        <f>IFERROR(__xludf.DUMMYFUNCTION("QUERY('Volunteer Survey'!J524)"),"")</f>
        <v/>
      </c>
      <c r="AJ525" s="183" t="str">
        <f>IFERROR(__xludf.DUMMYFUNCTION("QUERY('Volunteer Survey'!K524)"),"")</f>
        <v/>
      </c>
      <c r="AK525" s="183" t="str">
        <f>IFERROR(__xludf.DUMMYFUNCTION("QUERY('Volunteer Survey'!L524)"),"")</f>
        <v/>
      </c>
      <c r="AL525" s="183" t="str">
        <f>IFERROR(__xludf.DUMMYFUNCTION("QUERY('Volunteer Survey'!M524)"),"")</f>
        <v/>
      </c>
      <c r="AM525" s="183" t="str">
        <f>IFERROR(__xludf.DUMMYFUNCTION("QUERY('Volunteer Survey'!N524)"),"")</f>
        <v/>
      </c>
      <c r="AN525" s="183" t="str">
        <f>IFERROR(__xludf.DUMMYFUNCTION("QUERY('Volunteer Survey'!O524)"),"")</f>
        <v/>
      </c>
      <c r="AO525" s="183" t="str">
        <f>IFERROR(__xludf.DUMMYFUNCTION("QUERY('Volunteer Survey'!P524)"),"")</f>
        <v/>
      </c>
    </row>
    <row r="526">
      <c r="A526" s="55" t="str">
        <f>'Volunteer Survey'!A936</f>
        <v/>
      </c>
      <c r="B526" s="48" t="s">
        <v>322</v>
      </c>
      <c r="C526" s="53"/>
      <c r="D526" s="55"/>
      <c r="E526" s="55"/>
      <c r="F526" s="55" t="b">
        <v>0</v>
      </c>
      <c r="G526" s="55"/>
      <c r="H526" s="53"/>
      <c r="I526" s="53"/>
      <c r="J526" s="55"/>
      <c r="K526" s="55"/>
      <c r="L526" s="55" t="str">
        <f>'Volunteer Survey'!B936</f>
        <v/>
      </c>
      <c r="M526" s="55" t="str">
        <f>'Volunteer Survey'!E936</f>
        <v/>
      </c>
      <c r="N526" s="55"/>
      <c r="O526" s="48" t="str">
        <f>'Volunteer Survey'!H937</f>
        <v/>
      </c>
      <c r="P526" s="55"/>
      <c r="Q526" s="60" t="str">
        <f>IFERROR(__xludf.DUMMYFUNCTION("QUERY('Volunteer Survey'!J920)"),"")</f>
        <v/>
      </c>
      <c r="R526" s="55"/>
      <c r="S526" s="55"/>
      <c r="T526" s="55" t="str">
        <f>'Volunteer Survey'!M936</f>
        <v/>
      </c>
      <c r="U526" s="64"/>
      <c r="V526" s="55"/>
      <c r="W526" s="66" t="str">
        <f>'Volunteer Survey'!P936</f>
        <v/>
      </c>
      <c r="X526" s="55"/>
      <c r="Y526" s="53"/>
      <c r="Z526" s="183" t="str">
        <f>IFERROR(__xludf.DUMMYFUNCTION("QUERY('Volunteer Survey'!A525)"),"")</f>
        <v/>
      </c>
      <c r="AA526" s="183" t="str">
        <f>IFERROR(__xludf.DUMMYFUNCTION("QUERY('Volunteer Survey'!B525)"),"")</f>
        <v/>
      </c>
      <c r="AB526" s="183" t="str">
        <f>IFERROR(__xludf.DUMMYFUNCTION("QUERY('Volunteer Survey'!C525)"),"")</f>
        <v/>
      </c>
      <c r="AC526" s="183" t="str">
        <f>IFERROR(__xludf.DUMMYFUNCTION("QUERY('Volunteer Survey'!D525)"),"")</f>
        <v/>
      </c>
      <c r="AD526" s="183" t="str">
        <f>IFERROR(__xludf.DUMMYFUNCTION("QUERY('Volunteer Survey'!E525)"),"")</f>
        <v/>
      </c>
      <c r="AE526" s="183" t="str">
        <f>IFERROR(__xludf.DUMMYFUNCTION("QUERY('Volunteer Survey'!F525)"),"")</f>
        <v/>
      </c>
      <c r="AF526" s="183" t="str">
        <f>IFERROR(__xludf.DUMMYFUNCTION("QUERY('Volunteer Survey'!G525)"),"")</f>
        <v/>
      </c>
      <c r="AG526" s="183" t="str">
        <f>IFERROR(__xludf.DUMMYFUNCTION("QUERY('Volunteer Survey'!H525)"),"")</f>
        <v/>
      </c>
      <c r="AH526" s="183" t="str">
        <f>IFERROR(__xludf.DUMMYFUNCTION("QUERY('Volunteer Survey'!I525)"),"")</f>
        <v/>
      </c>
      <c r="AI526" s="183" t="str">
        <f>IFERROR(__xludf.DUMMYFUNCTION("QUERY('Volunteer Survey'!J525)"),"")</f>
        <v/>
      </c>
      <c r="AJ526" s="183" t="str">
        <f>IFERROR(__xludf.DUMMYFUNCTION("QUERY('Volunteer Survey'!K525)"),"")</f>
        <v/>
      </c>
      <c r="AK526" s="183" t="str">
        <f>IFERROR(__xludf.DUMMYFUNCTION("QUERY('Volunteer Survey'!L525)"),"")</f>
        <v/>
      </c>
      <c r="AL526" s="183" t="str">
        <f>IFERROR(__xludf.DUMMYFUNCTION("QUERY('Volunteer Survey'!M525)"),"")</f>
        <v/>
      </c>
      <c r="AM526" s="183" t="str">
        <f>IFERROR(__xludf.DUMMYFUNCTION("QUERY('Volunteer Survey'!N525)"),"")</f>
        <v/>
      </c>
      <c r="AN526" s="183" t="str">
        <f>IFERROR(__xludf.DUMMYFUNCTION("QUERY('Volunteer Survey'!O525)"),"")</f>
        <v/>
      </c>
      <c r="AO526" s="183" t="str">
        <f>IFERROR(__xludf.DUMMYFUNCTION("QUERY('Volunteer Survey'!P525)"),"")</f>
        <v/>
      </c>
    </row>
    <row r="527">
      <c r="A527" s="55" t="str">
        <f>'Volunteer Survey'!A937</f>
        <v/>
      </c>
      <c r="B527" s="48" t="s">
        <v>322</v>
      </c>
      <c r="C527" s="53"/>
      <c r="D527" s="55"/>
      <c r="E527" s="55"/>
      <c r="F527" s="55" t="b">
        <v>0</v>
      </c>
      <c r="G527" s="55"/>
      <c r="H527" s="53"/>
      <c r="I527" s="53"/>
      <c r="J527" s="55"/>
      <c r="K527" s="55"/>
      <c r="L527" s="55" t="str">
        <f>'Volunteer Survey'!B937</f>
        <v/>
      </c>
      <c r="M527" s="55" t="str">
        <f>'Volunteer Survey'!E937</f>
        <v/>
      </c>
      <c r="N527" s="55"/>
      <c r="O527" s="48" t="str">
        <f>'Volunteer Survey'!H938</f>
        <v/>
      </c>
      <c r="P527" s="55"/>
      <c r="Q527" s="60" t="str">
        <f>IFERROR(__xludf.DUMMYFUNCTION("QUERY('Volunteer Survey'!J921)"),"")</f>
        <v/>
      </c>
      <c r="R527" s="55"/>
      <c r="S527" s="55"/>
      <c r="T527" s="55" t="str">
        <f>'Volunteer Survey'!M937</f>
        <v/>
      </c>
      <c r="U527" s="64"/>
      <c r="V527" s="55"/>
      <c r="W527" s="66" t="str">
        <f>'Volunteer Survey'!P937</f>
        <v/>
      </c>
      <c r="X527" s="55"/>
      <c r="Y527" s="53"/>
      <c r="Z527" s="183" t="str">
        <f>IFERROR(__xludf.DUMMYFUNCTION("QUERY('Volunteer Survey'!A526)"),"")</f>
        <v/>
      </c>
      <c r="AA527" s="183" t="str">
        <f>IFERROR(__xludf.DUMMYFUNCTION("QUERY('Volunteer Survey'!B526)"),"")</f>
        <v/>
      </c>
      <c r="AB527" s="183" t="str">
        <f>IFERROR(__xludf.DUMMYFUNCTION("QUERY('Volunteer Survey'!C526)"),"")</f>
        <v/>
      </c>
      <c r="AC527" s="183" t="str">
        <f>IFERROR(__xludf.DUMMYFUNCTION("QUERY('Volunteer Survey'!D526)"),"")</f>
        <v/>
      </c>
      <c r="AD527" s="183" t="str">
        <f>IFERROR(__xludf.DUMMYFUNCTION("QUERY('Volunteer Survey'!E526)"),"")</f>
        <v/>
      </c>
      <c r="AE527" s="183" t="str">
        <f>IFERROR(__xludf.DUMMYFUNCTION("QUERY('Volunteer Survey'!F526)"),"")</f>
        <v/>
      </c>
      <c r="AF527" s="183" t="str">
        <f>IFERROR(__xludf.DUMMYFUNCTION("QUERY('Volunteer Survey'!G526)"),"")</f>
        <v/>
      </c>
      <c r="AG527" s="183" t="str">
        <f>IFERROR(__xludf.DUMMYFUNCTION("QUERY('Volunteer Survey'!H526)"),"")</f>
        <v/>
      </c>
      <c r="AH527" s="183" t="str">
        <f>IFERROR(__xludf.DUMMYFUNCTION("QUERY('Volunteer Survey'!I526)"),"")</f>
        <v/>
      </c>
      <c r="AI527" s="183" t="str">
        <f>IFERROR(__xludf.DUMMYFUNCTION("QUERY('Volunteer Survey'!J526)"),"")</f>
        <v/>
      </c>
      <c r="AJ527" s="183" t="str">
        <f>IFERROR(__xludf.DUMMYFUNCTION("QUERY('Volunteer Survey'!K526)"),"")</f>
        <v/>
      </c>
      <c r="AK527" s="183" t="str">
        <f>IFERROR(__xludf.DUMMYFUNCTION("QUERY('Volunteer Survey'!L526)"),"")</f>
        <v/>
      </c>
      <c r="AL527" s="183" t="str">
        <f>IFERROR(__xludf.DUMMYFUNCTION("QUERY('Volunteer Survey'!M526)"),"")</f>
        <v/>
      </c>
      <c r="AM527" s="183" t="str">
        <f>IFERROR(__xludf.DUMMYFUNCTION("QUERY('Volunteer Survey'!N526)"),"")</f>
        <v/>
      </c>
      <c r="AN527" s="183" t="str">
        <f>IFERROR(__xludf.DUMMYFUNCTION("QUERY('Volunteer Survey'!O526)"),"")</f>
        <v/>
      </c>
      <c r="AO527" s="183" t="str">
        <f>IFERROR(__xludf.DUMMYFUNCTION("QUERY('Volunteer Survey'!P526)"),"")</f>
        <v/>
      </c>
    </row>
    <row r="528">
      <c r="A528" s="55" t="str">
        <f>'Volunteer Survey'!A938</f>
        <v/>
      </c>
      <c r="B528" s="48" t="s">
        <v>322</v>
      </c>
      <c r="C528" s="53"/>
      <c r="D528" s="55"/>
      <c r="E528" s="55"/>
      <c r="F528" s="55" t="b">
        <v>0</v>
      </c>
      <c r="G528" s="55"/>
      <c r="H528" s="53"/>
      <c r="I528" s="53"/>
      <c r="J528" s="55"/>
      <c r="K528" s="55"/>
      <c r="L528" s="55" t="str">
        <f>'Volunteer Survey'!B938</f>
        <v/>
      </c>
      <c r="M528" s="55" t="str">
        <f>'Volunteer Survey'!E938</f>
        <v/>
      </c>
      <c r="N528" s="55"/>
      <c r="O528" s="48" t="str">
        <f>'Volunteer Survey'!H939</f>
        <v/>
      </c>
      <c r="P528" s="55"/>
      <c r="Q528" s="60" t="str">
        <f>IFERROR(__xludf.DUMMYFUNCTION("QUERY('Volunteer Survey'!J922)"),"")</f>
        <v/>
      </c>
      <c r="R528" s="55"/>
      <c r="S528" s="55"/>
      <c r="T528" s="55" t="str">
        <f>'Volunteer Survey'!M938</f>
        <v/>
      </c>
      <c r="U528" s="64"/>
      <c r="V528" s="55"/>
      <c r="W528" s="66" t="str">
        <f>'Volunteer Survey'!P938</f>
        <v/>
      </c>
      <c r="X528" s="55"/>
      <c r="Y528" s="53"/>
      <c r="Z528" s="183" t="str">
        <f>IFERROR(__xludf.DUMMYFUNCTION("QUERY('Volunteer Survey'!A527)"),"")</f>
        <v/>
      </c>
      <c r="AA528" s="183" t="str">
        <f>IFERROR(__xludf.DUMMYFUNCTION("QUERY('Volunteer Survey'!B527)"),"")</f>
        <v/>
      </c>
      <c r="AB528" s="183" t="str">
        <f>IFERROR(__xludf.DUMMYFUNCTION("QUERY('Volunteer Survey'!C527)"),"")</f>
        <v/>
      </c>
      <c r="AC528" s="183" t="str">
        <f>IFERROR(__xludf.DUMMYFUNCTION("QUERY('Volunteer Survey'!D527)"),"")</f>
        <v/>
      </c>
      <c r="AD528" s="183" t="str">
        <f>IFERROR(__xludf.DUMMYFUNCTION("QUERY('Volunteer Survey'!E527)"),"")</f>
        <v/>
      </c>
      <c r="AE528" s="183" t="str">
        <f>IFERROR(__xludf.DUMMYFUNCTION("QUERY('Volunteer Survey'!F527)"),"")</f>
        <v/>
      </c>
      <c r="AF528" s="183" t="str">
        <f>IFERROR(__xludf.DUMMYFUNCTION("QUERY('Volunteer Survey'!G527)"),"")</f>
        <v/>
      </c>
      <c r="AG528" s="183" t="str">
        <f>IFERROR(__xludf.DUMMYFUNCTION("QUERY('Volunteer Survey'!H527)"),"")</f>
        <v/>
      </c>
      <c r="AH528" s="183" t="str">
        <f>IFERROR(__xludf.DUMMYFUNCTION("QUERY('Volunteer Survey'!I527)"),"")</f>
        <v/>
      </c>
      <c r="AI528" s="183" t="str">
        <f>IFERROR(__xludf.DUMMYFUNCTION("QUERY('Volunteer Survey'!J527)"),"")</f>
        <v/>
      </c>
      <c r="AJ528" s="183" t="str">
        <f>IFERROR(__xludf.DUMMYFUNCTION("QUERY('Volunteer Survey'!K527)"),"")</f>
        <v/>
      </c>
      <c r="AK528" s="183" t="str">
        <f>IFERROR(__xludf.DUMMYFUNCTION("QUERY('Volunteer Survey'!L527)"),"")</f>
        <v/>
      </c>
      <c r="AL528" s="183" t="str">
        <f>IFERROR(__xludf.DUMMYFUNCTION("QUERY('Volunteer Survey'!M527)"),"")</f>
        <v/>
      </c>
      <c r="AM528" s="183" t="str">
        <f>IFERROR(__xludf.DUMMYFUNCTION("QUERY('Volunteer Survey'!N527)"),"")</f>
        <v/>
      </c>
      <c r="AN528" s="183" t="str">
        <f>IFERROR(__xludf.DUMMYFUNCTION("QUERY('Volunteer Survey'!O527)"),"")</f>
        <v/>
      </c>
      <c r="AO528" s="183" t="str">
        <f>IFERROR(__xludf.DUMMYFUNCTION("QUERY('Volunteer Survey'!P527)"),"")</f>
        <v/>
      </c>
    </row>
    <row r="529">
      <c r="A529" s="55" t="str">
        <f>'Volunteer Survey'!A939</f>
        <v/>
      </c>
      <c r="B529" s="48" t="s">
        <v>322</v>
      </c>
      <c r="C529" s="53"/>
      <c r="D529" s="55"/>
      <c r="E529" s="55"/>
      <c r="F529" s="55" t="b">
        <v>0</v>
      </c>
      <c r="G529" s="55"/>
      <c r="H529" s="53"/>
      <c r="I529" s="53"/>
      <c r="J529" s="55"/>
      <c r="K529" s="55"/>
      <c r="L529" s="55" t="str">
        <f>'Volunteer Survey'!B939</f>
        <v/>
      </c>
      <c r="M529" s="55" t="str">
        <f>'Volunteer Survey'!E939</f>
        <v/>
      </c>
      <c r="N529" s="55"/>
      <c r="O529" s="48" t="str">
        <f>'Volunteer Survey'!H940</f>
        <v/>
      </c>
      <c r="P529" s="55"/>
      <c r="Q529" s="60" t="str">
        <f>IFERROR(__xludf.DUMMYFUNCTION("QUERY('Volunteer Survey'!J923)"),"")</f>
        <v/>
      </c>
      <c r="R529" s="55"/>
      <c r="S529" s="55"/>
      <c r="T529" s="55" t="str">
        <f>'Volunteer Survey'!M939</f>
        <v/>
      </c>
      <c r="U529" s="64"/>
      <c r="V529" s="55"/>
      <c r="W529" s="66" t="str">
        <f>'Volunteer Survey'!P939</f>
        <v/>
      </c>
      <c r="X529" s="55"/>
      <c r="Y529" s="53"/>
      <c r="Z529" s="183" t="str">
        <f>IFERROR(__xludf.DUMMYFUNCTION("QUERY('Volunteer Survey'!A528)"),"")</f>
        <v/>
      </c>
      <c r="AA529" s="183" t="str">
        <f>IFERROR(__xludf.DUMMYFUNCTION("QUERY('Volunteer Survey'!B528)"),"")</f>
        <v/>
      </c>
      <c r="AB529" s="183" t="str">
        <f>IFERROR(__xludf.DUMMYFUNCTION("QUERY('Volunteer Survey'!C528)"),"")</f>
        <v/>
      </c>
      <c r="AC529" s="183" t="str">
        <f>IFERROR(__xludf.DUMMYFUNCTION("QUERY('Volunteer Survey'!D528)"),"")</f>
        <v/>
      </c>
      <c r="AD529" s="183" t="str">
        <f>IFERROR(__xludf.DUMMYFUNCTION("QUERY('Volunteer Survey'!E528)"),"")</f>
        <v/>
      </c>
      <c r="AE529" s="183" t="str">
        <f>IFERROR(__xludf.DUMMYFUNCTION("QUERY('Volunteer Survey'!F528)"),"")</f>
        <v/>
      </c>
      <c r="AF529" s="183" t="str">
        <f>IFERROR(__xludf.DUMMYFUNCTION("QUERY('Volunteer Survey'!G528)"),"")</f>
        <v/>
      </c>
      <c r="AG529" s="183" t="str">
        <f>IFERROR(__xludf.DUMMYFUNCTION("QUERY('Volunteer Survey'!H528)"),"")</f>
        <v/>
      </c>
      <c r="AH529" s="183" t="str">
        <f>IFERROR(__xludf.DUMMYFUNCTION("QUERY('Volunteer Survey'!I528)"),"")</f>
        <v/>
      </c>
      <c r="AI529" s="183" t="str">
        <f>IFERROR(__xludf.DUMMYFUNCTION("QUERY('Volunteer Survey'!J528)"),"")</f>
        <v/>
      </c>
      <c r="AJ529" s="183" t="str">
        <f>IFERROR(__xludf.DUMMYFUNCTION("QUERY('Volunteer Survey'!K528)"),"")</f>
        <v/>
      </c>
      <c r="AK529" s="183" t="str">
        <f>IFERROR(__xludf.DUMMYFUNCTION("QUERY('Volunteer Survey'!L528)"),"")</f>
        <v/>
      </c>
      <c r="AL529" s="183" t="str">
        <f>IFERROR(__xludf.DUMMYFUNCTION("QUERY('Volunteer Survey'!M528)"),"")</f>
        <v/>
      </c>
      <c r="AM529" s="183" t="str">
        <f>IFERROR(__xludf.DUMMYFUNCTION("QUERY('Volunteer Survey'!N528)"),"")</f>
        <v/>
      </c>
      <c r="AN529" s="183" t="str">
        <f>IFERROR(__xludf.DUMMYFUNCTION("QUERY('Volunteer Survey'!O528)"),"")</f>
        <v/>
      </c>
      <c r="AO529" s="183" t="str">
        <f>IFERROR(__xludf.DUMMYFUNCTION("QUERY('Volunteer Survey'!P528)"),"")</f>
        <v/>
      </c>
    </row>
    <row r="530">
      <c r="A530" s="55" t="str">
        <f>'Volunteer Survey'!A940</f>
        <v/>
      </c>
      <c r="B530" s="48" t="s">
        <v>322</v>
      </c>
      <c r="C530" s="53"/>
      <c r="D530" s="55"/>
      <c r="E530" s="55"/>
      <c r="F530" s="55" t="b">
        <v>0</v>
      </c>
      <c r="G530" s="55"/>
      <c r="H530" s="53"/>
      <c r="I530" s="53"/>
      <c r="J530" s="55"/>
      <c r="K530" s="55"/>
      <c r="L530" s="55" t="str">
        <f>'Volunteer Survey'!B940</f>
        <v/>
      </c>
      <c r="M530" s="55" t="str">
        <f>'Volunteer Survey'!E940</f>
        <v/>
      </c>
      <c r="N530" s="55"/>
      <c r="O530" s="48" t="str">
        <f>'Volunteer Survey'!H941</f>
        <v/>
      </c>
      <c r="P530" s="55"/>
      <c r="Q530" s="60" t="str">
        <f>IFERROR(__xludf.DUMMYFUNCTION("QUERY('Volunteer Survey'!J924)"),"")</f>
        <v/>
      </c>
      <c r="R530" s="55"/>
      <c r="S530" s="55"/>
      <c r="T530" s="55" t="str">
        <f>'Volunteer Survey'!M940</f>
        <v/>
      </c>
      <c r="U530" s="64"/>
      <c r="V530" s="55"/>
      <c r="W530" s="66" t="str">
        <f>'Volunteer Survey'!P940</f>
        <v/>
      </c>
      <c r="X530" s="55"/>
      <c r="Y530" s="53"/>
      <c r="Z530" s="183" t="str">
        <f>IFERROR(__xludf.DUMMYFUNCTION("QUERY('Volunteer Survey'!A529)"),"")</f>
        <v/>
      </c>
      <c r="AA530" s="183" t="str">
        <f>IFERROR(__xludf.DUMMYFUNCTION("QUERY('Volunteer Survey'!B529)"),"")</f>
        <v/>
      </c>
      <c r="AB530" s="183" t="str">
        <f>IFERROR(__xludf.DUMMYFUNCTION("QUERY('Volunteer Survey'!C529)"),"")</f>
        <v/>
      </c>
      <c r="AC530" s="183" t="str">
        <f>IFERROR(__xludf.DUMMYFUNCTION("QUERY('Volunteer Survey'!D529)"),"")</f>
        <v/>
      </c>
      <c r="AD530" s="183" t="str">
        <f>IFERROR(__xludf.DUMMYFUNCTION("QUERY('Volunteer Survey'!E529)"),"")</f>
        <v/>
      </c>
      <c r="AE530" s="183" t="str">
        <f>IFERROR(__xludf.DUMMYFUNCTION("QUERY('Volunteer Survey'!F529)"),"")</f>
        <v/>
      </c>
      <c r="AF530" s="183" t="str">
        <f>IFERROR(__xludf.DUMMYFUNCTION("QUERY('Volunteer Survey'!G529)"),"")</f>
        <v/>
      </c>
      <c r="AG530" s="183" t="str">
        <f>IFERROR(__xludf.DUMMYFUNCTION("QUERY('Volunteer Survey'!H529)"),"")</f>
        <v/>
      </c>
      <c r="AH530" s="183" t="str">
        <f>IFERROR(__xludf.DUMMYFUNCTION("QUERY('Volunteer Survey'!I529)"),"")</f>
        <v/>
      </c>
      <c r="AI530" s="183" t="str">
        <f>IFERROR(__xludf.DUMMYFUNCTION("QUERY('Volunteer Survey'!J529)"),"")</f>
        <v/>
      </c>
      <c r="AJ530" s="183" t="str">
        <f>IFERROR(__xludf.DUMMYFUNCTION("QUERY('Volunteer Survey'!K529)"),"")</f>
        <v/>
      </c>
      <c r="AK530" s="183" t="str">
        <f>IFERROR(__xludf.DUMMYFUNCTION("QUERY('Volunteer Survey'!L529)"),"")</f>
        <v/>
      </c>
      <c r="AL530" s="183" t="str">
        <f>IFERROR(__xludf.DUMMYFUNCTION("QUERY('Volunteer Survey'!M529)"),"")</f>
        <v/>
      </c>
      <c r="AM530" s="183" t="str">
        <f>IFERROR(__xludf.DUMMYFUNCTION("QUERY('Volunteer Survey'!N529)"),"")</f>
        <v/>
      </c>
      <c r="AN530" s="183" t="str">
        <f>IFERROR(__xludf.DUMMYFUNCTION("QUERY('Volunteer Survey'!O529)"),"")</f>
        <v/>
      </c>
      <c r="AO530" s="183" t="str">
        <f>IFERROR(__xludf.DUMMYFUNCTION("QUERY('Volunteer Survey'!P529)"),"")</f>
        <v/>
      </c>
    </row>
    <row r="531">
      <c r="A531" s="55" t="str">
        <f>'Volunteer Survey'!A941</f>
        <v/>
      </c>
      <c r="B531" s="48" t="s">
        <v>322</v>
      </c>
      <c r="C531" s="53"/>
      <c r="D531" s="55"/>
      <c r="E531" s="55"/>
      <c r="F531" s="55" t="b">
        <v>0</v>
      </c>
      <c r="G531" s="55"/>
      <c r="H531" s="53"/>
      <c r="I531" s="53"/>
      <c r="J531" s="55"/>
      <c r="K531" s="55"/>
      <c r="L531" s="55" t="str">
        <f>'Volunteer Survey'!B941</f>
        <v/>
      </c>
      <c r="M531" s="55" t="str">
        <f>'Volunteer Survey'!E941</f>
        <v/>
      </c>
      <c r="N531" s="55"/>
      <c r="O531" s="48" t="str">
        <f>'Volunteer Survey'!H942</f>
        <v/>
      </c>
      <c r="P531" s="55"/>
      <c r="Q531" s="60" t="str">
        <f>IFERROR(__xludf.DUMMYFUNCTION("QUERY('Volunteer Survey'!J925)"),"")</f>
        <v/>
      </c>
      <c r="R531" s="55"/>
      <c r="S531" s="55"/>
      <c r="T531" s="55" t="str">
        <f>'Volunteer Survey'!M941</f>
        <v/>
      </c>
      <c r="U531" s="64"/>
      <c r="V531" s="55"/>
      <c r="W531" s="66" t="str">
        <f>'Volunteer Survey'!P941</f>
        <v/>
      </c>
      <c r="X531" s="55"/>
      <c r="Y531" s="53"/>
      <c r="Z531" s="183" t="str">
        <f>IFERROR(__xludf.DUMMYFUNCTION("QUERY('Volunteer Survey'!A530)"),"")</f>
        <v/>
      </c>
      <c r="AA531" s="183" t="str">
        <f>IFERROR(__xludf.DUMMYFUNCTION("QUERY('Volunteer Survey'!B530)"),"")</f>
        <v/>
      </c>
      <c r="AB531" s="183" t="str">
        <f>IFERROR(__xludf.DUMMYFUNCTION("QUERY('Volunteer Survey'!C530)"),"")</f>
        <v/>
      </c>
      <c r="AC531" s="183" t="str">
        <f>IFERROR(__xludf.DUMMYFUNCTION("QUERY('Volunteer Survey'!D530)"),"")</f>
        <v/>
      </c>
      <c r="AD531" s="183" t="str">
        <f>IFERROR(__xludf.DUMMYFUNCTION("QUERY('Volunteer Survey'!E530)"),"")</f>
        <v/>
      </c>
      <c r="AE531" s="183" t="str">
        <f>IFERROR(__xludf.DUMMYFUNCTION("QUERY('Volunteer Survey'!F530)"),"")</f>
        <v/>
      </c>
      <c r="AF531" s="183" t="str">
        <f>IFERROR(__xludf.DUMMYFUNCTION("QUERY('Volunteer Survey'!G530)"),"")</f>
        <v/>
      </c>
      <c r="AG531" s="183" t="str">
        <f>IFERROR(__xludf.DUMMYFUNCTION("QUERY('Volunteer Survey'!H530)"),"")</f>
        <v/>
      </c>
      <c r="AH531" s="183" t="str">
        <f>IFERROR(__xludf.DUMMYFUNCTION("QUERY('Volunteer Survey'!I530)"),"")</f>
        <v/>
      </c>
      <c r="AI531" s="183" t="str">
        <f>IFERROR(__xludf.DUMMYFUNCTION("QUERY('Volunteer Survey'!J530)"),"")</f>
        <v/>
      </c>
      <c r="AJ531" s="183" t="str">
        <f>IFERROR(__xludf.DUMMYFUNCTION("QUERY('Volunteer Survey'!K530)"),"")</f>
        <v/>
      </c>
      <c r="AK531" s="183" t="str">
        <f>IFERROR(__xludf.DUMMYFUNCTION("QUERY('Volunteer Survey'!L530)"),"")</f>
        <v/>
      </c>
      <c r="AL531" s="183" t="str">
        <f>IFERROR(__xludf.DUMMYFUNCTION("QUERY('Volunteer Survey'!M530)"),"")</f>
        <v/>
      </c>
      <c r="AM531" s="183" t="str">
        <f>IFERROR(__xludf.DUMMYFUNCTION("QUERY('Volunteer Survey'!N530)"),"")</f>
        <v/>
      </c>
      <c r="AN531" s="183" t="str">
        <f>IFERROR(__xludf.DUMMYFUNCTION("QUERY('Volunteer Survey'!O530)"),"")</f>
        <v/>
      </c>
      <c r="AO531" s="183" t="str">
        <f>IFERROR(__xludf.DUMMYFUNCTION("QUERY('Volunteer Survey'!P530)"),"")</f>
        <v/>
      </c>
    </row>
    <row r="532">
      <c r="A532" s="55" t="str">
        <f>'Volunteer Survey'!A942</f>
        <v/>
      </c>
      <c r="B532" s="48" t="s">
        <v>322</v>
      </c>
      <c r="C532" s="53"/>
      <c r="D532" s="55"/>
      <c r="E532" s="55"/>
      <c r="F532" s="55" t="b">
        <v>0</v>
      </c>
      <c r="G532" s="55"/>
      <c r="H532" s="53"/>
      <c r="I532" s="53"/>
      <c r="J532" s="55"/>
      <c r="K532" s="55"/>
      <c r="L532" s="55" t="str">
        <f>'Volunteer Survey'!B942</f>
        <v/>
      </c>
      <c r="M532" s="55" t="str">
        <f>'Volunteer Survey'!E942</f>
        <v/>
      </c>
      <c r="N532" s="55"/>
      <c r="O532" s="48" t="str">
        <f>'Volunteer Survey'!H943</f>
        <v/>
      </c>
      <c r="P532" s="55"/>
      <c r="Q532" s="60" t="str">
        <f>IFERROR(__xludf.DUMMYFUNCTION("QUERY('Volunteer Survey'!J926)"),"")</f>
        <v/>
      </c>
      <c r="R532" s="55"/>
      <c r="S532" s="55"/>
      <c r="T532" s="55" t="str">
        <f>'Volunteer Survey'!M942</f>
        <v/>
      </c>
      <c r="U532" s="64"/>
      <c r="V532" s="55"/>
      <c r="W532" s="66" t="str">
        <f>'Volunteer Survey'!P942</f>
        <v/>
      </c>
      <c r="X532" s="55"/>
      <c r="Y532" s="53"/>
      <c r="Z532" s="183" t="str">
        <f>IFERROR(__xludf.DUMMYFUNCTION("QUERY('Volunteer Survey'!A531)"),"")</f>
        <v/>
      </c>
      <c r="AA532" s="183" t="str">
        <f>IFERROR(__xludf.DUMMYFUNCTION("QUERY('Volunteer Survey'!B531)"),"")</f>
        <v/>
      </c>
      <c r="AB532" s="183" t="str">
        <f>IFERROR(__xludf.DUMMYFUNCTION("QUERY('Volunteer Survey'!C531)"),"")</f>
        <v/>
      </c>
      <c r="AC532" s="183" t="str">
        <f>IFERROR(__xludf.DUMMYFUNCTION("QUERY('Volunteer Survey'!D531)"),"")</f>
        <v/>
      </c>
      <c r="AD532" s="183" t="str">
        <f>IFERROR(__xludf.DUMMYFUNCTION("QUERY('Volunteer Survey'!E531)"),"")</f>
        <v/>
      </c>
      <c r="AE532" s="183" t="str">
        <f>IFERROR(__xludf.DUMMYFUNCTION("QUERY('Volunteer Survey'!F531)"),"")</f>
        <v/>
      </c>
      <c r="AF532" s="183" t="str">
        <f>IFERROR(__xludf.DUMMYFUNCTION("QUERY('Volunteer Survey'!G531)"),"")</f>
        <v/>
      </c>
      <c r="AG532" s="183" t="str">
        <f>IFERROR(__xludf.DUMMYFUNCTION("QUERY('Volunteer Survey'!H531)"),"")</f>
        <v/>
      </c>
      <c r="AH532" s="183" t="str">
        <f>IFERROR(__xludf.DUMMYFUNCTION("QUERY('Volunteer Survey'!I531)"),"")</f>
        <v/>
      </c>
      <c r="AI532" s="183" t="str">
        <f>IFERROR(__xludf.DUMMYFUNCTION("QUERY('Volunteer Survey'!J531)"),"")</f>
        <v/>
      </c>
      <c r="AJ532" s="183" t="str">
        <f>IFERROR(__xludf.DUMMYFUNCTION("QUERY('Volunteer Survey'!K531)"),"")</f>
        <v/>
      </c>
      <c r="AK532" s="183" t="str">
        <f>IFERROR(__xludf.DUMMYFUNCTION("QUERY('Volunteer Survey'!L531)"),"")</f>
        <v/>
      </c>
      <c r="AL532" s="183" t="str">
        <f>IFERROR(__xludf.DUMMYFUNCTION("QUERY('Volunteer Survey'!M531)"),"")</f>
        <v/>
      </c>
      <c r="AM532" s="183" t="str">
        <f>IFERROR(__xludf.DUMMYFUNCTION("QUERY('Volunteer Survey'!N531)"),"")</f>
        <v/>
      </c>
      <c r="AN532" s="183" t="str">
        <f>IFERROR(__xludf.DUMMYFUNCTION("QUERY('Volunteer Survey'!O531)"),"")</f>
        <v/>
      </c>
      <c r="AO532" s="183" t="str">
        <f>IFERROR(__xludf.DUMMYFUNCTION("QUERY('Volunteer Survey'!P531)"),"")</f>
        <v/>
      </c>
    </row>
    <row r="533">
      <c r="A533" s="55" t="str">
        <f>'Volunteer Survey'!A943</f>
        <v/>
      </c>
      <c r="B533" s="48" t="s">
        <v>322</v>
      </c>
      <c r="C533" s="53"/>
      <c r="D533" s="55"/>
      <c r="E533" s="55"/>
      <c r="F533" s="55" t="b">
        <v>0</v>
      </c>
      <c r="G533" s="55"/>
      <c r="H533" s="53"/>
      <c r="I533" s="53"/>
      <c r="J533" s="55"/>
      <c r="K533" s="55"/>
      <c r="L533" s="55" t="str">
        <f>'Volunteer Survey'!B943</f>
        <v/>
      </c>
      <c r="M533" s="55" t="str">
        <f>'Volunteer Survey'!E943</f>
        <v/>
      </c>
      <c r="N533" s="55"/>
      <c r="O533" s="48" t="str">
        <f>'Volunteer Survey'!H944</f>
        <v/>
      </c>
      <c r="P533" s="55"/>
      <c r="Q533" s="60" t="str">
        <f>IFERROR(__xludf.DUMMYFUNCTION("QUERY('Volunteer Survey'!J927)"),"")</f>
        <v/>
      </c>
      <c r="R533" s="55"/>
      <c r="S533" s="55"/>
      <c r="T533" s="55" t="str">
        <f>'Volunteer Survey'!M943</f>
        <v/>
      </c>
      <c r="U533" s="64"/>
      <c r="V533" s="55"/>
      <c r="W533" s="66" t="str">
        <f>'Volunteer Survey'!P943</f>
        <v/>
      </c>
      <c r="X533" s="55"/>
      <c r="Y533" s="53"/>
      <c r="Z533" s="183" t="str">
        <f>IFERROR(__xludf.DUMMYFUNCTION("QUERY('Volunteer Survey'!A532)"),"")</f>
        <v/>
      </c>
      <c r="AA533" s="183" t="str">
        <f>IFERROR(__xludf.DUMMYFUNCTION("QUERY('Volunteer Survey'!B532)"),"")</f>
        <v/>
      </c>
      <c r="AB533" s="183" t="str">
        <f>IFERROR(__xludf.DUMMYFUNCTION("QUERY('Volunteer Survey'!C532)"),"")</f>
        <v/>
      </c>
      <c r="AC533" s="183" t="str">
        <f>IFERROR(__xludf.DUMMYFUNCTION("QUERY('Volunteer Survey'!D532)"),"")</f>
        <v/>
      </c>
      <c r="AD533" s="183" t="str">
        <f>IFERROR(__xludf.DUMMYFUNCTION("QUERY('Volunteer Survey'!E532)"),"")</f>
        <v/>
      </c>
      <c r="AE533" s="183" t="str">
        <f>IFERROR(__xludf.DUMMYFUNCTION("QUERY('Volunteer Survey'!F532)"),"")</f>
        <v/>
      </c>
      <c r="AF533" s="183" t="str">
        <f>IFERROR(__xludf.DUMMYFUNCTION("QUERY('Volunteer Survey'!G532)"),"")</f>
        <v/>
      </c>
      <c r="AG533" s="183" t="str">
        <f>IFERROR(__xludf.DUMMYFUNCTION("QUERY('Volunteer Survey'!H532)"),"")</f>
        <v/>
      </c>
      <c r="AH533" s="183" t="str">
        <f>IFERROR(__xludf.DUMMYFUNCTION("QUERY('Volunteer Survey'!I532)"),"")</f>
        <v/>
      </c>
      <c r="AI533" s="183" t="str">
        <f>IFERROR(__xludf.DUMMYFUNCTION("QUERY('Volunteer Survey'!J532)"),"")</f>
        <v/>
      </c>
      <c r="AJ533" s="183" t="str">
        <f>IFERROR(__xludf.DUMMYFUNCTION("QUERY('Volunteer Survey'!K532)"),"")</f>
        <v/>
      </c>
      <c r="AK533" s="183" t="str">
        <f>IFERROR(__xludf.DUMMYFUNCTION("QUERY('Volunteer Survey'!L532)"),"")</f>
        <v/>
      </c>
      <c r="AL533" s="183" t="str">
        <f>IFERROR(__xludf.DUMMYFUNCTION("QUERY('Volunteer Survey'!M532)"),"")</f>
        <v/>
      </c>
      <c r="AM533" s="183" t="str">
        <f>IFERROR(__xludf.DUMMYFUNCTION("QUERY('Volunteer Survey'!N532)"),"")</f>
        <v/>
      </c>
      <c r="AN533" s="183" t="str">
        <f>IFERROR(__xludf.DUMMYFUNCTION("QUERY('Volunteer Survey'!O532)"),"")</f>
        <v/>
      </c>
      <c r="AO533" s="183" t="str">
        <f>IFERROR(__xludf.DUMMYFUNCTION("QUERY('Volunteer Survey'!P532)"),"")</f>
        <v/>
      </c>
    </row>
    <row r="534">
      <c r="A534" s="55" t="str">
        <f>'Volunteer Survey'!A944</f>
        <v/>
      </c>
      <c r="B534" s="48" t="s">
        <v>322</v>
      </c>
      <c r="C534" s="53"/>
      <c r="D534" s="55"/>
      <c r="E534" s="55"/>
      <c r="F534" s="55" t="b">
        <v>0</v>
      </c>
      <c r="G534" s="55"/>
      <c r="H534" s="53"/>
      <c r="I534" s="53"/>
      <c r="J534" s="55"/>
      <c r="K534" s="55"/>
      <c r="L534" s="55" t="str">
        <f>'Volunteer Survey'!B944</f>
        <v/>
      </c>
      <c r="M534" s="55" t="str">
        <f>'Volunteer Survey'!E944</f>
        <v/>
      </c>
      <c r="N534" s="55"/>
      <c r="O534" s="48" t="str">
        <f>'Volunteer Survey'!H945</f>
        <v/>
      </c>
      <c r="P534" s="55"/>
      <c r="Q534" s="60" t="str">
        <f>'Volunteer Survey'!J944</f>
        <v/>
      </c>
      <c r="R534" s="55"/>
      <c r="S534" s="55"/>
      <c r="T534" s="55" t="str">
        <f>'Volunteer Survey'!M944</f>
        <v/>
      </c>
      <c r="U534" s="64"/>
      <c r="V534" s="55"/>
      <c r="W534" s="66" t="str">
        <f>'Volunteer Survey'!P944</f>
        <v/>
      </c>
      <c r="X534" s="55"/>
      <c r="Y534" s="53"/>
      <c r="Z534" s="183" t="str">
        <f>IFERROR(__xludf.DUMMYFUNCTION("QUERY('Volunteer Survey'!A533)"),"")</f>
        <v/>
      </c>
      <c r="AA534" s="183" t="str">
        <f>IFERROR(__xludf.DUMMYFUNCTION("QUERY('Volunteer Survey'!B533)"),"")</f>
        <v/>
      </c>
      <c r="AB534" s="183" t="str">
        <f>IFERROR(__xludf.DUMMYFUNCTION("QUERY('Volunteer Survey'!C533)"),"")</f>
        <v/>
      </c>
      <c r="AC534" s="183" t="str">
        <f>IFERROR(__xludf.DUMMYFUNCTION("QUERY('Volunteer Survey'!D533)"),"")</f>
        <v/>
      </c>
      <c r="AD534" s="183" t="str">
        <f>IFERROR(__xludf.DUMMYFUNCTION("QUERY('Volunteer Survey'!E533)"),"")</f>
        <v/>
      </c>
      <c r="AE534" s="183" t="str">
        <f>IFERROR(__xludf.DUMMYFUNCTION("QUERY('Volunteer Survey'!F533)"),"")</f>
        <v/>
      </c>
      <c r="AF534" s="183" t="str">
        <f>IFERROR(__xludf.DUMMYFUNCTION("QUERY('Volunteer Survey'!G533)"),"")</f>
        <v/>
      </c>
      <c r="AG534" s="183" t="str">
        <f>IFERROR(__xludf.DUMMYFUNCTION("QUERY('Volunteer Survey'!H533)"),"")</f>
        <v/>
      </c>
      <c r="AH534" s="183" t="str">
        <f>IFERROR(__xludf.DUMMYFUNCTION("QUERY('Volunteer Survey'!I533)"),"")</f>
        <v/>
      </c>
      <c r="AI534" s="183" t="str">
        <f>IFERROR(__xludf.DUMMYFUNCTION("QUERY('Volunteer Survey'!J533)"),"")</f>
        <v/>
      </c>
      <c r="AJ534" s="183" t="str">
        <f>IFERROR(__xludf.DUMMYFUNCTION("QUERY('Volunteer Survey'!K533)"),"")</f>
        <v/>
      </c>
      <c r="AK534" s="183" t="str">
        <f>IFERROR(__xludf.DUMMYFUNCTION("QUERY('Volunteer Survey'!L533)"),"")</f>
        <v/>
      </c>
      <c r="AL534" s="183" t="str">
        <f>IFERROR(__xludf.DUMMYFUNCTION("QUERY('Volunteer Survey'!M533)"),"")</f>
        <v/>
      </c>
      <c r="AM534" s="183" t="str">
        <f>IFERROR(__xludf.DUMMYFUNCTION("QUERY('Volunteer Survey'!N533)"),"")</f>
        <v/>
      </c>
      <c r="AN534" s="183" t="str">
        <f>IFERROR(__xludf.DUMMYFUNCTION("QUERY('Volunteer Survey'!O533)"),"")</f>
        <v/>
      </c>
      <c r="AO534" s="183" t="str">
        <f>IFERROR(__xludf.DUMMYFUNCTION("QUERY('Volunteer Survey'!P533)"),"")</f>
        <v/>
      </c>
    </row>
    <row r="535">
      <c r="A535" s="55" t="str">
        <f>'Volunteer Survey'!A945</f>
        <v/>
      </c>
      <c r="B535" s="55"/>
      <c r="C535" s="53"/>
      <c r="D535" s="55"/>
      <c r="E535" s="55"/>
      <c r="F535" s="55" t="b">
        <v>0</v>
      </c>
      <c r="G535" s="55"/>
      <c r="H535" s="53"/>
      <c r="I535" s="53"/>
      <c r="J535" s="55"/>
      <c r="K535" s="55"/>
      <c r="L535" s="55" t="str">
        <f>'Volunteer Survey'!B945</f>
        <v/>
      </c>
      <c r="M535" s="55" t="str">
        <f>'Volunteer Survey'!E945</f>
        <v/>
      </c>
      <c r="N535" s="55"/>
      <c r="O535" s="48" t="str">
        <f>'Volunteer Survey'!H946</f>
        <v/>
      </c>
      <c r="P535" s="55"/>
      <c r="Q535" s="60" t="str">
        <f>'Volunteer Survey'!J945</f>
        <v/>
      </c>
      <c r="R535" s="55"/>
      <c r="S535" s="55"/>
      <c r="T535" s="55" t="str">
        <f>'Volunteer Survey'!M945</f>
        <v/>
      </c>
      <c r="U535" s="64"/>
      <c r="V535" s="55"/>
      <c r="W535" s="66" t="str">
        <f>'Volunteer Survey'!P945</f>
        <v/>
      </c>
      <c r="X535" s="55"/>
      <c r="Y535" s="53"/>
      <c r="Z535" s="183" t="str">
        <f>IFERROR(__xludf.DUMMYFUNCTION("QUERY('Volunteer Survey'!A534)"),"")</f>
        <v/>
      </c>
      <c r="AA535" s="183" t="str">
        <f>IFERROR(__xludf.DUMMYFUNCTION("QUERY('Volunteer Survey'!B534)"),"")</f>
        <v/>
      </c>
      <c r="AB535" s="183" t="str">
        <f>IFERROR(__xludf.DUMMYFUNCTION("QUERY('Volunteer Survey'!C534)"),"")</f>
        <v/>
      </c>
      <c r="AC535" s="183" t="str">
        <f>IFERROR(__xludf.DUMMYFUNCTION("QUERY('Volunteer Survey'!D534)"),"")</f>
        <v/>
      </c>
      <c r="AD535" s="183" t="str">
        <f>IFERROR(__xludf.DUMMYFUNCTION("QUERY('Volunteer Survey'!E534)"),"")</f>
        <v/>
      </c>
      <c r="AE535" s="183" t="str">
        <f>IFERROR(__xludf.DUMMYFUNCTION("QUERY('Volunteer Survey'!F534)"),"")</f>
        <v/>
      </c>
      <c r="AF535" s="183" t="str">
        <f>IFERROR(__xludf.DUMMYFUNCTION("QUERY('Volunteer Survey'!G534)"),"")</f>
        <v/>
      </c>
      <c r="AG535" s="183" t="str">
        <f>IFERROR(__xludf.DUMMYFUNCTION("QUERY('Volunteer Survey'!H534)"),"")</f>
        <v/>
      </c>
      <c r="AH535" s="183" t="str">
        <f>IFERROR(__xludf.DUMMYFUNCTION("QUERY('Volunteer Survey'!I534)"),"")</f>
        <v/>
      </c>
      <c r="AI535" s="183" t="str">
        <f>IFERROR(__xludf.DUMMYFUNCTION("QUERY('Volunteer Survey'!J534)"),"")</f>
        <v/>
      </c>
      <c r="AJ535" s="183" t="str">
        <f>IFERROR(__xludf.DUMMYFUNCTION("QUERY('Volunteer Survey'!K534)"),"")</f>
        <v/>
      </c>
      <c r="AK535" s="183" t="str">
        <f>IFERROR(__xludf.DUMMYFUNCTION("QUERY('Volunteer Survey'!L534)"),"")</f>
        <v/>
      </c>
      <c r="AL535" s="183" t="str">
        <f>IFERROR(__xludf.DUMMYFUNCTION("QUERY('Volunteer Survey'!M534)"),"")</f>
        <v/>
      </c>
      <c r="AM535" s="183" t="str">
        <f>IFERROR(__xludf.DUMMYFUNCTION("QUERY('Volunteer Survey'!N534)"),"")</f>
        <v/>
      </c>
      <c r="AN535" s="183" t="str">
        <f>IFERROR(__xludf.DUMMYFUNCTION("QUERY('Volunteer Survey'!O534)"),"")</f>
        <v/>
      </c>
      <c r="AO535" s="183" t="str">
        <f>IFERROR(__xludf.DUMMYFUNCTION("QUERY('Volunteer Survey'!P534)"),"")</f>
        <v/>
      </c>
    </row>
    <row r="536">
      <c r="A536" s="55" t="str">
        <f>'Volunteer Survey'!A946</f>
        <v/>
      </c>
      <c r="B536" s="55"/>
      <c r="C536" s="53"/>
      <c r="D536" s="55"/>
      <c r="E536" s="55"/>
      <c r="F536" s="55" t="b">
        <v>0</v>
      </c>
      <c r="G536" s="55"/>
      <c r="H536" s="53"/>
      <c r="I536" s="53"/>
      <c r="J536" s="55"/>
      <c r="K536" s="55"/>
      <c r="L536" s="55" t="str">
        <f>'Volunteer Survey'!B946</f>
        <v/>
      </c>
      <c r="M536" s="55" t="str">
        <f>'Volunteer Survey'!E946</f>
        <v/>
      </c>
      <c r="N536" s="55"/>
      <c r="O536" s="48" t="str">
        <f>'Volunteer Survey'!H947</f>
        <v/>
      </c>
      <c r="P536" s="55"/>
      <c r="Q536" s="60" t="str">
        <f>'Volunteer Survey'!J946</f>
        <v/>
      </c>
      <c r="R536" s="55"/>
      <c r="S536" s="55"/>
      <c r="T536" s="55" t="str">
        <f>'Volunteer Survey'!M946</f>
        <v/>
      </c>
      <c r="U536" s="64"/>
      <c r="V536" s="55"/>
      <c r="W536" s="66" t="str">
        <f>'Volunteer Survey'!P946</f>
        <v/>
      </c>
      <c r="X536" s="55"/>
      <c r="Y536" s="53"/>
      <c r="Z536" s="183" t="str">
        <f>IFERROR(__xludf.DUMMYFUNCTION("QUERY('Volunteer Survey'!A535)"),"")</f>
        <v/>
      </c>
      <c r="AA536" s="183" t="str">
        <f>IFERROR(__xludf.DUMMYFUNCTION("QUERY('Volunteer Survey'!B535)"),"")</f>
        <v/>
      </c>
      <c r="AB536" s="183" t="str">
        <f>IFERROR(__xludf.DUMMYFUNCTION("QUERY('Volunteer Survey'!C535)"),"")</f>
        <v/>
      </c>
      <c r="AC536" s="183" t="str">
        <f>IFERROR(__xludf.DUMMYFUNCTION("QUERY('Volunteer Survey'!D535)"),"")</f>
        <v/>
      </c>
      <c r="AD536" s="183" t="str">
        <f>IFERROR(__xludf.DUMMYFUNCTION("QUERY('Volunteer Survey'!E535)"),"")</f>
        <v/>
      </c>
      <c r="AE536" s="183" t="str">
        <f>IFERROR(__xludf.DUMMYFUNCTION("QUERY('Volunteer Survey'!F535)"),"")</f>
        <v/>
      </c>
      <c r="AF536" s="183" t="str">
        <f>IFERROR(__xludf.DUMMYFUNCTION("QUERY('Volunteer Survey'!G535)"),"")</f>
        <v/>
      </c>
      <c r="AG536" s="183" t="str">
        <f>IFERROR(__xludf.DUMMYFUNCTION("QUERY('Volunteer Survey'!H535)"),"")</f>
        <v/>
      </c>
      <c r="AH536" s="183" t="str">
        <f>IFERROR(__xludf.DUMMYFUNCTION("QUERY('Volunteer Survey'!I535)"),"")</f>
        <v/>
      </c>
      <c r="AI536" s="183" t="str">
        <f>IFERROR(__xludf.DUMMYFUNCTION("QUERY('Volunteer Survey'!J535)"),"")</f>
        <v/>
      </c>
      <c r="AJ536" s="183" t="str">
        <f>IFERROR(__xludf.DUMMYFUNCTION("QUERY('Volunteer Survey'!K535)"),"")</f>
        <v/>
      </c>
      <c r="AK536" s="183" t="str">
        <f>IFERROR(__xludf.DUMMYFUNCTION("QUERY('Volunteer Survey'!L535)"),"")</f>
        <v/>
      </c>
      <c r="AL536" s="183" t="str">
        <f>IFERROR(__xludf.DUMMYFUNCTION("QUERY('Volunteer Survey'!M535)"),"")</f>
        <v/>
      </c>
      <c r="AM536" s="183" t="str">
        <f>IFERROR(__xludf.DUMMYFUNCTION("QUERY('Volunteer Survey'!N535)"),"")</f>
        <v/>
      </c>
      <c r="AN536" s="183" t="str">
        <f>IFERROR(__xludf.DUMMYFUNCTION("QUERY('Volunteer Survey'!O535)"),"")</f>
        <v/>
      </c>
      <c r="AO536" s="183" t="str">
        <f>IFERROR(__xludf.DUMMYFUNCTION("QUERY('Volunteer Survey'!P535)"),"")</f>
        <v/>
      </c>
    </row>
    <row r="537">
      <c r="A537" s="55" t="str">
        <f>'Volunteer Survey'!A947</f>
        <v/>
      </c>
      <c r="B537" s="55"/>
      <c r="C537" s="53"/>
      <c r="D537" s="55"/>
      <c r="E537" s="55"/>
      <c r="F537" s="55" t="b">
        <v>0</v>
      </c>
      <c r="G537" s="55"/>
      <c r="H537" s="53"/>
      <c r="I537" s="53"/>
      <c r="J537" s="55"/>
      <c r="K537" s="55"/>
      <c r="L537" s="55" t="str">
        <f>'Volunteer Survey'!B947</f>
        <v/>
      </c>
      <c r="M537" s="55" t="str">
        <f>'Volunteer Survey'!E947</f>
        <v/>
      </c>
      <c r="N537" s="55"/>
      <c r="O537" s="48" t="str">
        <f>'Volunteer Survey'!H948</f>
        <v/>
      </c>
      <c r="P537" s="55"/>
      <c r="Q537" s="60" t="str">
        <f>'Volunteer Survey'!J947</f>
        <v/>
      </c>
      <c r="R537" s="55"/>
      <c r="S537" s="55"/>
      <c r="T537" s="55" t="str">
        <f>'Volunteer Survey'!M947</f>
        <v/>
      </c>
      <c r="U537" s="64"/>
      <c r="V537" s="55"/>
      <c r="W537" s="66" t="str">
        <f>'Volunteer Survey'!P947</f>
        <v/>
      </c>
      <c r="X537" s="55"/>
      <c r="Y537" s="53"/>
      <c r="Z537" s="183" t="str">
        <f>IFERROR(__xludf.DUMMYFUNCTION("QUERY('Volunteer Survey'!A536)"),"")</f>
        <v/>
      </c>
      <c r="AA537" s="183" t="str">
        <f>IFERROR(__xludf.DUMMYFUNCTION("QUERY('Volunteer Survey'!B536)"),"")</f>
        <v/>
      </c>
      <c r="AB537" s="183" t="str">
        <f>IFERROR(__xludf.DUMMYFUNCTION("QUERY('Volunteer Survey'!C536)"),"")</f>
        <v/>
      </c>
      <c r="AC537" s="183" t="str">
        <f>IFERROR(__xludf.DUMMYFUNCTION("QUERY('Volunteer Survey'!D536)"),"")</f>
        <v/>
      </c>
      <c r="AD537" s="183" t="str">
        <f>IFERROR(__xludf.DUMMYFUNCTION("QUERY('Volunteer Survey'!E536)"),"")</f>
        <v/>
      </c>
      <c r="AE537" s="183" t="str">
        <f>IFERROR(__xludf.DUMMYFUNCTION("QUERY('Volunteer Survey'!F536)"),"")</f>
        <v/>
      </c>
      <c r="AF537" s="183" t="str">
        <f>IFERROR(__xludf.DUMMYFUNCTION("QUERY('Volunteer Survey'!G536)"),"")</f>
        <v/>
      </c>
      <c r="AG537" s="183" t="str">
        <f>IFERROR(__xludf.DUMMYFUNCTION("QUERY('Volunteer Survey'!H536)"),"")</f>
        <v/>
      </c>
      <c r="AH537" s="183" t="str">
        <f>IFERROR(__xludf.DUMMYFUNCTION("QUERY('Volunteer Survey'!I536)"),"")</f>
        <v/>
      </c>
      <c r="AI537" s="183" t="str">
        <f>IFERROR(__xludf.DUMMYFUNCTION("QUERY('Volunteer Survey'!J536)"),"")</f>
        <v/>
      </c>
      <c r="AJ537" s="183" t="str">
        <f>IFERROR(__xludf.DUMMYFUNCTION("QUERY('Volunteer Survey'!K536)"),"")</f>
        <v/>
      </c>
      <c r="AK537" s="183" t="str">
        <f>IFERROR(__xludf.DUMMYFUNCTION("QUERY('Volunteer Survey'!L536)"),"")</f>
        <v/>
      </c>
      <c r="AL537" s="183" t="str">
        <f>IFERROR(__xludf.DUMMYFUNCTION("QUERY('Volunteer Survey'!M536)"),"")</f>
        <v/>
      </c>
      <c r="AM537" s="183" t="str">
        <f>IFERROR(__xludf.DUMMYFUNCTION("QUERY('Volunteer Survey'!N536)"),"")</f>
        <v/>
      </c>
      <c r="AN537" s="183" t="str">
        <f>IFERROR(__xludf.DUMMYFUNCTION("QUERY('Volunteer Survey'!O536)"),"")</f>
        <v/>
      </c>
      <c r="AO537" s="183" t="str">
        <f>IFERROR(__xludf.DUMMYFUNCTION("QUERY('Volunteer Survey'!P536)"),"")</f>
        <v/>
      </c>
    </row>
    <row r="538">
      <c r="A538" s="55" t="str">
        <f>'Volunteer Survey'!A948</f>
        <v/>
      </c>
      <c r="B538" s="55"/>
      <c r="C538" s="53"/>
      <c r="D538" s="55"/>
      <c r="E538" s="55"/>
      <c r="F538" s="55" t="b">
        <v>0</v>
      </c>
      <c r="G538" s="55"/>
      <c r="H538" s="53"/>
      <c r="I538" s="53"/>
      <c r="J538" s="55"/>
      <c r="K538" s="55"/>
      <c r="L538" s="55" t="str">
        <f>'Volunteer Survey'!B948</f>
        <v/>
      </c>
      <c r="M538" s="55" t="str">
        <f>'Volunteer Survey'!E948</f>
        <v/>
      </c>
      <c r="N538" s="55"/>
      <c r="O538" s="48" t="str">
        <f>'Volunteer Survey'!H949</f>
        <v/>
      </c>
      <c r="P538" s="55"/>
      <c r="Q538" s="60" t="str">
        <f>'Volunteer Survey'!J948</f>
        <v/>
      </c>
      <c r="R538" s="55"/>
      <c r="S538" s="55"/>
      <c r="T538" s="55" t="str">
        <f>'Volunteer Survey'!M948</f>
        <v/>
      </c>
      <c r="U538" s="64"/>
      <c r="V538" s="55"/>
      <c r="W538" s="66" t="str">
        <f>'Volunteer Survey'!P948</f>
        <v/>
      </c>
      <c r="X538" s="55"/>
      <c r="Y538" s="53"/>
      <c r="Z538" s="183" t="str">
        <f>IFERROR(__xludf.DUMMYFUNCTION("QUERY('Volunteer Survey'!A537)"),"")</f>
        <v/>
      </c>
      <c r="AA538" s="183" t="str">
        <f>IFERROR(__xludf.DUMMYFUNCTION("QUERY('Volunteer Survey'!B537)"),"")</f>
        <v/>
      </c>
      <c r="AB538" s="183" t="str">
        <f>IFERROR(__xludf.DUMMYFUNCTION("QUERY('Volunteer Survey'!C537)"),"")</f>
        <v/>
      </c>
      <c r="AC538" s="183" t="str">
        <f>IFERROR(__xludf.DUMMYFUNCTION("QUERY('Volunteer Survey'!D537)"),"")</f>
        <v/>
      </c>
      <c r="AD538" s="183" t="str">
        <f>IFERROR(__xludf.DUMMYFUNCTION("QUERY('Volunteer Survey'!E537)"),"")</f>
        <v/>
      </c>
      <c r="AE538" s="183" t="str">
        <f>IFERROR(__xludf.DUMMYFUNCTION("QUERY('Volunteer Survey'!F537)"),"")</f>
        <v/>
      </c>
      <c r="AF538" s="183" t="str">
        <f>IFERROR(__xludf.DUMMYFUNCTION("QUERY('Volunteer Survey'!G537)"),"")</f>
        <v/>
      </c>
      <c r="AG538" s="183" t="str">
        <f>IFERROR(__xludf.DUMMYFUNCTION("QUERY('Volunteer Survey'!H537)"),"")</f>
        <v/>
      </c>
      <c r="AH538" s="183" t="str">
        <f>IFERROR(__xludf.DUMMYFUNCTION("QUERY('Volunteer Survey'!I537)"),"")</f>
        <v/>
      </c>
      <c r="AI538" s="183" t="str">
        <f>IFERROR(__xludf.DUMMYFUNCTION("QUERY('Volunteer Survey'!J537)"),"")</f>
        <v/>
      </c>
      <c r="AJ538" s="183" t="str">
        <f>IFERROR(__xludf.DUMMYFUNCTION("QUERY('Volunteer Survey'!K537)"),"")</f>
        <v/>
      </c>
      <c r="AK538" s="183" t="str">
        <f>IFERROR(__xludf.DUMMYFUNCTION("QUERY('Volunteer Survey'!L537)"),"")</f>
        <v/>
      </c>
      <c r="AL538" s="183" t="str">
        <f>IFERROR(__xludf.DUMMYFUNCTION("QUERY('Volunteer Survey'!M537)"),"")</f>
        <v/>
      </c>
      <c r="AM538" s="183" t="str">
        <f>IFERROR(__xludf.DUMMYFUNCTION("QUERY('Volunteer Survey'!N537)"),"")</f>
        <v/>
      </c>
      <c r="AN538" s="183" t="str">
        <f>IFERROR(__xludf.DUMMYFUNCTION("QUERY('Volunteer Survey'!O537)"),"")</f>
        <v/>
      </c>
      <c r="AO538" s="183" t="str">
        <f>IFERROR(__xludf.DUMMYFUNCTION("QUERY('Volunteer Survey'!P537)"),"")</f>
        <v/>
      </c>
    </row>
    <row r="539">
      <c r="A539" s="55" t="str">
        <f>'Volunteer Survey'!A949</f>
        <v/>
      </c>
      <c r="B539" s="55"/>
      <c r="C539" s="53"/>
      <c r="D539" s="55"/>
      <c r="E539" s="55"/>
      <c r="F539" s="55" t="b">
        <v>0</v>
      </c>
      <c r="G539" s="55"/>
      <c r="H539" s="53"/>
      <c r="I539" s="53"/>
      <c r="J539" s="55"/>
      <c r="K539" s="55"/>
      <c r="L539" s="55" t="str">
        <f>'Volunteer Survey'!B949</f>
        <v/>
      </c>
      <c r="M539" s="55" t="str">
        <f>'Volunteer Survey'!E949</f>
        <v/>
      </c>
      <c r="N539" s="55"/>
      <c r="O539" s="48" t="str">
        <f>'Volunteer Survey'!H950</f>
        <v/>
      </c>
      <c r="P539" s="55"/>
      <c r="Q539" s="60" t="str">
        <f>'Volunteer Survey'!J949</f>
        <v/>
      </c>
      <c r="R539" s="55"/>
      <c r="S539" s="55"/>
      <c r="T539" s="55" t="str">
        <f>'Volunteer Survey'!M949</f>
        <v/>
      </c>
      <c r="U539" s="64"/>
      <c r="V539" s="55"/>
      <c r="W539" s="66" t="str">
        <f>'Volunteer Survey'!P949</f>
        <v/>
      </c>
      <c r="X539" s="55"/>
      <c r="Y539" s="53"/>
      <c r="Z539" s="183" t="str">
        <f>IFERROR(__xludf.DUMMYFUNCTION("QUERY('Volunteer Survey'!A538)"),"")</f>
        <v/>
      </c>
      <c r="AA539" s="183" t="str">
        <f>IFERROR(__xludf.DUMMYFUNCTION("QUERY('Volunteer Survey'!B538)"),"")</f>
        <v/>
      </c>
      <c r="AB539" s="183" t="str">
        <f>IFERROR(__xludf.DUMMYFUNCTION("QUERY('Volunteer Survey'!C538)"),"")</f>
        <v/>
      </c>
      <c r="AC539" s="183" t="str">
        <f>IFERROR(__xludf.DUMMYFUNCTION("QUERY('Volunteer Survey'!D538)"),"")</f>
        <v/>
      </c>
      <c r="AD539" s="183" t="str">
        <f>IFERROR(__xludf.DUMMYFUNCTION("QUERY('Volunteer Survey'!E538)"),"")</f>
        <v/>
      </c>
      <c r="AE539" s="183" t="str">
        <f>IFERROR(__xludf.DUMMYFUNCTION("QUERY('Volunteer Survey'!F538)"),"")</f>
        <v/>
      </c>
      <c r="AF539" s="183" t="str">
        <f>IFERROR(__xludf.DUMMYFUNCTION("QUERY('Volunteer Survey'!G538)"),"")</f>
        <v/>
      </c>
      <c r="AG539" s="183" t="str">
        <f>IFERROR(__xludf.DUMMYFUNCTION("QUERY('Volunteer Survey'!H538)"),"")</f>
        <v/>
      </c>
      <c r="AH539" s="183" t="str">
        <f>IFERROR(__xludf.DUMMYFUNCTION("QUERY('Volunteer Survey'!I538)"),"")</f>
        <v/>
      </c>
      <c r="AI539" s="183" t="str">
        <f>IFERROR(__xludf.DUMMYFUNCTION("QUERY('Volunteer Survey'!J538)"),"")</f>
        <v/>
      </c>
      <c r="AJ539" s="183" t="str">
        <f>IFERROR(__xludf.DUMMYFUNCTION("QUERY('Volunteer Survey'!K538)"),"")</f>
        <v/>
      </c>
      <c r="AK539" s="183" t="str">
        <f>IFERROR(__xludf.DUMMYFUNCTION("QUERY('Volunteer Survey'!L538)"),"")</f>
        <v/>
      </c>
      <c r="AL539" s="183" t="str">
        <f>IFERROR(__xludf.DUMMYFUNCTION("QUERY('Volunteer Survey'!M538)"),"")</f>
        <v/>
      </c>
      <c r="AM539" s="183" t="str">
        <f>IFERROR(__xludf.DUMMYFUNCTION("QUERY('Volunteer Survey'!N538)"),"")</f>
        <v/>
      </c>
      <c r="AN539" s="183" t="str">
        <f>IFERROR(__xludf.DUMMYFUNCTION("QUERY('Volunteer Survey'!O538)"),"")</f>
        <v/>
      </c>
      <c r="AO539" s="183" t="str">
        <f>IFERROR(__xludf.DUMMYFUNCTION("QUERY('Volunteer Survey'!P538)"),"")</f>
        <v/>
      </c>
    </row>
    <row r="540">
      <c r="A540" s="55" t="str">
        <f>'Volunteer Survey'!A950</f>
        <v/>
      </c>
      <c r="B540" s="55"/>
      <c r="C540" s="53"/>
      <c r="D540" s="55"/>
      <c r="E540" s="55"/>
      <c r="F540" s="55" t="b">
        <v>0</v>
      </c>
      <c r="G540" s="55"/>
      <c r="H540" s="53"/>
      <c r="I540" s="53"/>
      <c r="J540" s="55"/>
      <c r="K540" s="55"/>
      <c r="L540" s="55" t="str">
        <f>'Volunteer Survey'!B950</f>
        <v/>
      </c>
      <c r="M540" s="55" t="str">
        <f>'Volunteer Survey'!E950</f>
        <v/>
      </c>
      <c r="N540" s="55"/>
      <c r="O540" s="48" t="str">
        <f>'Volunteer Survey'!H951</f>
        <v/>
      </c>
      <c r="P540" s="55"/>
      <c r="Q540" s="60" t="str">
        <f>'Volunteer Survey'!J950</f>
        <v/>
      </c>
      <c r="R540" s="55"/>
      <c r="S540" s="55"/>
      <c r="T540" s="55" t="str">
        <f>'Volunteer Survey'!M950</f>
        <v/>
      </c>
      <c r="U540" s="64"/>
      <c r="V540" s="55"/>
      <c r="W540" s="66" t="str">
        <f>'Volunteer Survey'!P950</f>
        <v/>
      </c>
      <c r="X540" s="55"/>
      <c r="Y540" s="53"/>
      <c r="Z540" s="183" t="str">
        <f>IFERROR(__xludf.DUMMYFUNCTION("QUERY('Volunteer Survey'!A539)"),"")</f>
        <v/>
      </c>
      <c r="AA540" s="183" t="str">
        <f>IFERROR(__xludf.DUMMYFUNCTION("QUERY('Volunteer Survey'!B539)"),"")</f>
        <v/>
      </c>
      <c r="AB540" s="183" t="str">
        <f>IFERROR(__xludf.DUMMYFUNCTION("QUERY('Volunteer Survey'!C539)"),"")</f>
        <v/>
      </c>
      <c r="AC540" s="183" t="str">
        <f>IFERROR(__xludf.DUMMYFUNCTION("QUERY('Volunteer Survey'!D539)"),"")</f>
        <v/>
      </c>
      <c r="AD540" s="183" t="str">
        <f>IFERROR(__xludf.DUMMYFUNCTION("QUERY('Volunteer Survey'!E539)"),"")</f>
        <v/>
      </c>
      <c r="AE540" s="183" t="str">
        <f>IFERROR(__xludf.DUMMYFUNCTION("QUERY('Volunteer Survey'!F539)"),"")</f>
        <v/>
      </c>
      <c r="AF540" s="183" t="str">
        <f>IFERROR(__xludf.DUMMYFUNCTION("QUERY('Volunteer Survey'!G539)"),"")</f>
        <v/>
      </c>
      <c r="AG540" s="183" t="str">
        <f>IFERROR(__xludf.DUMMYFUNCTION("QUERY('Volunteer Survey'!H539)"),"")</f>
        <v/>
      </c>
      <c r="AH540" s="183" t="str">
        <f>IFERROR(__xludf.DUMMYFUNCTION("QUERY('Volunteer Survey'!I539)"),"")</f>
        <v/>
      </c>
      <c r="AI540" s="183" t="str">
        <f>IFERROR(__xludf.DUMMYFUNCTION("QUERY('Volunteer Survey'!J539)"),"")</f>
        <v/>
      </c>
      <c r="AJ540" s="183" t="str">
        <f>IFERROR(__xludf.DUMMYFUNCTION("QUERY('Volunteer Survey'!K539)"),"")</f>
        <v/>
      </c>
      <c r="AK540" s="183" t="str">
        <f>IFERROR(__xludf.DUMMYFUNCTION("QUERY('Volunteer Survey'!L539)"),"")</f>
        <v/>
      </c>
      <c r="AL540" s="183" t="str">
        <f>IFERROR(__xludf.DUMMYFUNCTION("QUERY('Volunteer Survey'!M539)"),"")</f>
        <v/>
      </c>
      <c r="AM540" s="183" t="str">
        <f>IFERROR(__xludf.DUMMYFUNCTION("QUERY('Volunteer Survey'!N539)"),"")</f>
        <v/>
      </c>
      <c r="AN540" s="183" t="str">
        <f>IFERROR(__xludf.DUMMYFUNCTION("QUERY('Volunteer Survey'!O539)"),"")</f>
        <v/>
      </c>
      <c r="AO540" s="183" t="str">
        <f>IFERROR(__xludf.DUMMYFUNCTION("QUERY('Volunteer Survey'!P539)"),"")</f>
        <v/>
      </c>
    </row>
    <row r="541">
      <c r="A541" s="55" t="str">
        <f>'Volunteer Survey'!A951</f>
        <v/>
      </c>
      <c r="B541" s="55"/>
      <c r="C541" s="53"/>
      <c r="D541" s="55"/>
      <c r="E541" s="55"/>
      <c r="F541" s="55" t="b">
        <v>0</v>
      </c>
      <c r="G541" s="55"/>
      <c r="H541" s="53"/>
      <c r="I541" s="53"/>
      <c r="J541" s="55"/>
      <c r="K541" s="55"/>
      <c r="L541" s="55" t="str">
        <f>'Volunteer Survey'!B951</f>
        <v/>
      </c>
      <c r="M541" s="55" t="str">
        <f>'Volunteer Survey'!E951</f>
        <v/>
      </c>
      <c r="N541" s="55"/>
      <c r="O541" s="48" t="str">
        <f>'Volunteer Survey'!H952</f>
        <v/>
      </c>
      <c r="P541" s="55"/>
      <c r="Q541" s="60" t="str">
        <f>'Volunteer Survey'!J951</f>
        <v/>
      </c>
      <c r="R541" s="55"/>
      <c r="S541" s="55"/>
      <c r="T541" s="55" t="str">
        <f>'Volunteer Survey'!M951</f>
        <v/>
      </c>
      <c r="U541" s="64"/>
      <c r="V541" s="55"/>
      <c r="W541" s="66" t="str">
        <f>'Volunteer Survey'!P951</f>
        <v/>
      </c>
      <c r="X541" s="55"/>
      <c r="Y541" s="53"/>
      <c r="Z541" s="183" t="str">
        <f>IFERROR(__xludf.DUMMYFUNCTION("QUERY('Volunteer Survey'!A540)"),"")</f>
        <v/>
      </c>
      <c r="AA541" s="183" t="str">
        <f>IFERROR(__xludf.DUMMYFUNCTION("QUERY('Volunteer Survey'!B540)"),"")</f>
        <v/>
      </c>
      <c r="AB541" s="183" t="str">
        <f>IFERROR(__xludf.DUMMYFUNCTION("QUERY('Volunteer Survey'!C540)"),"")</f>
        <v/>
      </c>
      <c r="AC541" s="183" t="str">
        <f>IFERROR(__xludf.DUMMYFUNCTION("QUERY('Volunteer Survey'!D540)"),"")</f>
        <v/>
      </c>
      <c r="AD541" s="183" t="str">
        <f>IFERROR(__xludf.DUMMYFUNCTION("QUERY('Volunteer Survey'!E540)"),"")</f>
        <v/>
      </c>
      <c r="AE541" s="183" t="str">
        <f>IFERROR(__xludf.DUMMYFUNCTION("QUERY('Volunteer Survey'!F540)"),"")</f>
        <v/>
      </c>
      <c r="AF541" s="183" t="str">
        <f>IFERROR(__xludf.DUMMYFUNCTION("QUERY('Volunteer Survey'!G540)"),"")</f>
        <v/>
      </c>
      <c r="AG541" s="183" t="str">
        <f>IFERROR(__xludf.DUMMYFUNCTION("QUERY('Volunteer Survey'!H540)"),"")</f>
        <v/>
      </c>
      <c r="AH541" s="183" t="str">
        <f>IFERROR(__xludf.DUMMYFUNCTION("QUERY('Volunteer Survey'!I540)"),"")</f>
        <v/>
      </c>
      <c r="AI541" s="183" t="str">
        <f>IFERROR(__xludf.DUMMYFUNCTION("QUERY('Volunteer Survey'!J540)"),"")</f>
        <v/>
      </c>
      <c r="AJ541" s="183" t="str">
        <f>IFERROR(__xludf.DUMMYFUNCTION("QUERY('Volunteer Survey'!K540)"),"")</f>
        <v/>
      </c>
      <c r="AK541" s="183" t="str">
        <f>IFERROR(__xludf.DUMMYFUNCTION("QUERY('Volunteer Survey'!L540)"),"")</f>
        <v/>
      </c>
      <c r="AL541" s="183" t="str">
        <f>IFERROR(__xludf.DUMMYFUNCTION("QUERY('Volunteer Survey'!M540)"),"")</f>
        <v/>
      </c>
      <c r="AM541" s="183" t="str">
        <f>IFERROR(__xludf.DUMMYFUNCTION("QUERY('Volunteer Survey'!N540)"),"")</f>
        <v/>
      </c>
      <c r="AN541" s="183" t="str">
        <f>IFERROR(__xludf.DUMMYFUNCTION("QUERY('Volunteer Survey'!O540)"),"")</f>
        <v/>
      </c>
      <c r="AO541" s="183" t="str">
        <f>IFERROR(__xludf.DUMMYFUNCTION("QUERY('Volunteer Survey'!P540)"),"")</f>
        <v/>
      </c>
    </row>
    <row r="542">
      <c r="A542" s="55" t="str">
        <f>'Volunteer Survey'!A952</f>
        <v/>
      </c>
      <c r="B542" s="55"/>
      <c r="C542" s="53"/>
      <c r="D542" s="55"/>
      <c r="E542" s="55"/>
      <c r="F542" s="55" t="b">
        <v>0</v>
      </c>
      <c r="G542" s="55"/>
      <c r="H542" s="53"/>
      <c r="I542" s="53"/>
      <c r="J542" s="55"/>
      <c r="K542" s="55"/>
      <c r="L542" s="55" t="str">
        <f>'Volunteer Survey'!B952</f>
        <v/>
      </c>
      <c r="M542" s="55" t="str">
        <f>'Volunteer Survey'!E952</f>
        <v/>
      </c>
      <c r="N542" s="55"/>
      <c r="O542" s="48" t="str">
        <f>'Volunteer Survey'!H953</f>
        <v/>
      </c>
      <c r="P542" s="55"/>
      <c r="Q542" s="60" t="str">
        <f>'Volunteer Survey'!J952</f>
        <v/>
      </c>
      <c r="R542" s="55"/>
      <c r="S542" s="55"/>
      <c r="T542" s="55" t="str">
        <f>'Volunteer Survey'!M952</f>
        <v/>
      </c>
      <c r="U542" s="64"/>
      <c r="V542" s="55"/>
      <c r="W542" s="66" t="str">
        <f>'Volunteer Survey'!P952</f>
        <v/>
      </c>
      <c r="X542" s="55"/>
      <c r="Y542" s="53"/>
      <c r="Z542" s="183" t="str">
        <f>IFERROR(__xludf.DUMMYFUNCTION("QUERY('Volunteer Survey'!A541)"),"")</f>
        <v/>
      </c>
      <c r="AA542" s="183" t="str">
        <f>IFERROR(__xludf.DUMMYFUNCTION("QUERY('Volunteer Survey'!B541)"),"")</f>
        <v/>
      </c>
      <c r="AB542" s="183" t="str">
        <f>IFERROR(__xludf.DUMMYFUNCTION("QUERY('Volunteer Survey'!C541)"),"")</f>
        <v/>
      </c>
      <c r="AC542" s="183" t="str">
        <f>IFERROR(__xludf.DUMMYFUNCTION("QUERY('Volunteer Survey'!D541)"),"")</f>
        <v/>
      </c>
      <c r="AD542" s="183" t="str">
        <f>IFERROR(__xludf.DUMMYFUNCTION("QUERY('Volunteer Survey'!E541)"),"")</f>
        <v/>
      </c>
      <c r="AE542" s="183" t="str">
        <f>IFERROR(__xludf.DUMMYFUNCTION("QUERY('Volunteer Survey'!F541)"),"")</f>
        <v/>
      </c>
      <c r="AF542" s="183" t="str">
        <f>IFERROR(__xludf.DUMMYFUNCTION("QUERY('Volunteer Survey'!G541)"),"")</f>
        <v/>
      </c>
      <c r="AG542" s="183" t="str">
        <f>IFERROR(__xludf.DUMMYFUNCTION("QUERY('Volunteer Survey'!H541)"),"")</f>
        <v/>
      </c>
      <c r="AH542" s="183" t="str">
        <f>IFERROR(__xludf.DUMMYFUNCTION("QUERY('Volunteer Survey'!I541)"),"")</f>
        <v/>
      </c>
      <c r="AI542" s="183" t="str">
        <f>IFERROR(__xludf.DUMMYFUNCTION("QUERY('Volunteer Survey'!J541)"),"")</f>
        <v/>
      </c>
      <c r="AJ542" s="183" t="str">
        <f>IFERROR(__xludf.DUMMYFUNCTION("QUERY('Volunteer Survey'!K541)"),"")</f>
        <v/>
      </c>
      <c r="AK542" s="183" t="str">
        <f>IFERROR(__xludf.DUMMYFUNCTION("QUERY('Volunteer Survey'!L541)"),"")</f>
        <v/>
      </c>
      <c r="AL542" s="183" t="str">
        <f>IFERROR(__xludf.DUMMYFUNCTION("QUERY('Volunteer Survey'!M541)"),"")</f>
        <v/>
      </c>
      <c r="AM542" s="183" t="str">
        <f>IFERROR(__xludf.DUMMYFUNCTION("QUERY('Volunteer Survey'!N541)"),"")</f>
        <v/>
      </c>
      <c r="AN542" s="183" t="str">
        <f>IFERROR(__xludf.DUMMYFUNCTION("QUERY('Volunteer Survey'!O541)"),"")</f>
        <v/>
      </c>
      <c r="AO542" s="183" t="str">
        <f>IFERROR(__xludf.DUMMYFUNCTION("QUERY('Volunteer Survey'!P541)"),"")</f>
        <v/>
      </c>
    </row>
    <row r="543">
      <c r="A543" s="55" t="str">
        <f>'Volunteer Survey'!A953</f>
        <v/>
      </c>
      <c r="B543" s="55"/>
      <c r="C543" s="53"/>
      <c r="D543" s="55"/>
      <c r="E543" s="55"/>
      <c r="F543" s="55" t="b">
        <v>0</v>
      </c>
      <c r="G543" s="55"/>
      <c r="H543" s="53"/>
      <c r="I543" s="53"/>
      <c r="J543" s="55"/>
      <c r="K543" s="55"/>
      <c r="L543" s="55" t="str">
        <f>'Volunteer Survey'!B953</f>
        <v/>
      </c>
      <c r="M543" s="55" t="str">
        <f>'Volunteer Survey'!E953</f>
        <v/>
      </c>
      <c r="N543" s="55"/>
      <c r="O543" s="48" t="str">
        <f>'Volunteer Survey'!H954</f>
        <v/>
      </c>
      <c r="P543" s="55"/>
      <c r="Q543" s="60" t="str">
        <f>'Volunteer Survey'!J953</f>
        <v/>
      </c>
      <c r="R543" s="55"/>
      <c r="S543" s="55"/>
      <c r="T543" s="55" t="str">
        <f>'Volunteer Survey'!M953</f>
        <v/>
      </c>
      <c r="U543" s="64"/>
      <c r="V543" s="55"/>
      <c r="W543" s="66" t="str">
        <f>'Volunteer Survey'!P953</f>
        <v/>
      </c>
      <c r="X543" s="55"/>
      <c r="Y543" s="53"/>
      <c r="Z543" s="183" t="str">
        <f>IFERROR(__xludf.DUMMYFUNCTION("QUERY('Volunteer Survey'!A542)"),"")</f>
        <v/>
      </c>
      <c r="AA543" s="183" t="str">
        <f>IFERROR(__xludf.DUMMYFUNCTION("QUERY('Volunteer Survey'!B542)"),"")</f>
        <v/>
      </c>
      <c r="AB543" s="183" t="str">
        <f>IFERROR(__xludf.DUMMYFUNCTION("QUERY('Volunteer Survey'!C542)"),"")</f>
        <v/>
      </c>
      <c r="AC543" s="183" t="str">
        <f>IFERROR(__xludf.DUMMYFUNCTION("QUERY('Volunteer Survey'!D542)"),"")</f>
        <v/>
      </c>
      <c r="AD543" s="183" t="str">
        <f>IFERROR(__xludf.DUMMYFUNCTION("QUERY('Volunteer Survey'!E542)"),"")</f>
        <v/>
      </c>
      <c r="AE543" s="183" t="str">
        <f>IFERROR(__xludf.DUMMYFUNCTION("QUERY('Volunteer Survey'!F542)"),"")</f>
        <v/>
      </c>
      <c r="AF543" s="183" t="str">
        <f>IFERROR(__xludf.DUMMYFUNCTION("QUERY('Volunteer Survey'!G542)"),"")</f>
        <v/>
      </c>
      <c r="AG543" s="183" t="str">
        <f>IFERROR(__xludf.DUMMYFUNCTION("QUERY('Volunteer Survey'!H542)"),"")</f>
        <v/>
      </c>
      <c r="AH543" s="183" t="str">
        <f>IFERROR(__xludf.DUMMYFUNCTION("QUERY('Volunteer Survey'!I542)"),"")</f>
        <v/>
      </c>
      <c r="AI543" s="183" t="str">
        <f>IFERROR(__xludf.DUMMYFUNCTION("QUERY('Volunteer Survey'!J542)"),"")</f>
        <v/>
      </c>
      <c r="AJ543" s="183" t="str">
        <f>IFERROR(__xludf.DUMMYFUNCTION("QUERY('Volunteer Survey'!K542)"),"")</f>
        <v/>
      </c>
      <c r="AK543" s="183" t="str">
        <f>IFERROR(__xludf.DUMMYFUNCTION("QUERY('Volunteer Survey'!L542)"),"")</f>
        <v/>
      </c>
      <c r="AL543" s="183" t="str">
        <f>IFERROR(__xludf.DUMMYFUNCTION("QUERY('Volunteer Survey'!M542)"),"")</f>
        <v/>
      </c>
      <c r="AM543" s="183" t="str">
        <f>IFERROR(__xludf.DUMMYFUNCTION("QUERY('Volunteer Survey'!N542)"),"")</f>
        <v/>
      </c>
      <c r="AN543" s="183" t="str">
        <f>IFERROR(__xludf.DUMMYFUNCTION("QUERY('Volunteer Survey'!O542)"),"")</f>
        <v/>
      </c>
      <c r="AO543" s="183" t="str">
        <f>IFERROR(__xludf.DUMMYFUNCTION("QUERY('Volunteer Survey'!P542)"),"")</f>
        <v/>
      </c>
    </row>
    <row r="544">
      <c r="A544" s="55" t="str">
        <f>'Volunteer Survey'!A954</f>
        <v/>
      </c>
      <c r="B544" s="55"/>
      <c r="C544" s="53"/>
      <c r="D544" s="55"/>
      <c r="E544" s="55"/>
      <c r="F544" s="55" t="b">
        <v>0</v>
      </c>
      <c r="G544" s="55"/>
      <c r="H544" s="53"/>
      <c r="I544" s="53"/>
      <c r="J544" s="55"/>
      <c r="K544" s="55"/>
      <c r="L544" s="55" t="str">
        <f>'Volunteer Survey'!B954</f>
        <v/>
      </c>
      <c r="M544" s="55" t="str">
        <f>'Volunteer Survey'!E954</f>
        <v/>
      </c>
      <c r="N544" s="55"/>
      <c r="O544" s="48" t="str">
        <f>'Volunteer Survey'!H955</f>
        <v/>
      </c>
      <c r="P544" s="55"/>
      <c r="Q544" s="60" t="str">
        <f>'Volunteer Survey'!J954</f>
        <v/>
      </c>
      <c r="R544" s="55"/>
      <c r="S544" s="55"/>
      <c r="T544" s="55" t="str">
        <f>'Volunteer Survey'!M954</f>
        <v/>
      </c>
      <c r="U544" s="64"/>
      <c r="V544" s="55"/>
      <c r="W544" s="66" t="str">
        <f>'Volunteer Survey'!P954</f>
        <v/>
      </c>
      <c r="X544" s="55"/>
      <c r="Y544" s="53"/>
      <c r="Z544" s="183" t="str">
        <f>IFERROR(__xludf.DUMMYFUNCTION("QUERY('Volunteer Survey'!A543)"),"")</f>
        <v/>
      </c>
      <c r="AA544" s="183" t="str">
        <f>IFERROR(__xludf.DUMMYFUNCTION("QUERY('Volunteer Survey'!B543)"),"")</f>
        <v/>
      </c>
      <c r="AB544" s="183" t="str">
        <f>IFERROR(__xludf.DUMMYFUNCTION("QUERY('Volunteer Survey'!C543)"),"")</f>
        <v/>
      </c>
      <c r="AC544" s="183" t="str">
        <f>IFERROR(__xludf.DUMMYFUNCTION("QUERY('Volunteer Survey'!D543)"),"")</f>
        <v/>
      </c>
      <c r="AD544" s="183" t="str">
        <f>IFERROR(__xludf.DUMMYFUNCTION("QUERY('Volunteer Survey'!E543)"),"")</f>
        <v/>
      </c>
      <c r="AE544" s="183" t="str">
        <f>IFERROR(__xludf.DUMMYFUNCTION("QUERY('Volunteer Survey'!F543)"),"")</f>
        <v/>
      </c>
      <c r="AF544" s="183" t="str">
        <f>IFERROR(__xludf.DUMMYFUNCTION("QUERY('Volunteer Survey'!G543)"),"")</f>
        <v/>
      </c>
      <c r="AG544" s="183" t="str">
        <f>IFERROR(__xludf.DUMMYFUNCTION("QUERY('Volunteer Survey'!H543)"),"")</f>
        <v/>
      </c>
      <c r="AH544" s="183" t="str">
        <f>IFERROR(__xludf.DUMMYFUNCTION("QUERY('Volunteer Survey'!I543)"),"")</f>
        <v/>
      </c>
      <c r="AI544" s="183" t="str">
        <f>IFERROR(__xludf.DUMMYFUNCTION("QUERY('Volunteer Survey'!J543)"),"")</f>
        <v/>
      </c>
      <c r="AJ544" s="183" t="str">
        <f>IFERROR(__xludf.DUMMYFUNCTION("QUERY('Volunteer Survey'!K543)"),"")</f>
        <v/>
      </c>
      <c r="AK544" s="183" t="str">
        <f>IFERROR(__xludf.DUMMYFUNCTION("QUERY('Volunteer Survey'!L543)"),"")</f>
        <v/>
      </c>
      <c r="AL544" s="183" t="str">
        <f>IFERROR(__xludf.DUMMYFUNCTION("QUERY('Volunteer Survey'!M543)"),"")</f>
        <v/>
      </c>
      <c r="AM544" s="183" t="str">
        <f>IFERROR(__xludf.DUMMYFUNCTION("QUERY('Volunteer Survey'!N543)"),"")</f>
        <v/>
      </c>
      <c r="AN544" s="183" t="str">
        <f>IFERROR(__xludf.DUMMYFUNCTION("QUERY('Volunteer Survey'!O543)"),"")</f>
        <v/>
      </c>
      <c r="AO544" s="183" t="str">
        <f>IFERROR(__xludf.DUMMYFUNCTION("QUERY('Volunteer Survey'!P543)"),"")</f>
        <v/>
      </c>
    </row>
    <row r="545">
      <c r="A545" s="55" t="str">
        <f>'Volunteer Survey'!A955</f>
        <v/>
      </c>
      <c r="B545" s="55"/>
      <c r="C545" s="53"/>
      <c r="D545" s="55"/>
      <c r="E545" s="55"/>
      <c r="F545" s="55" t="b">
        <v>0</v>
      </c>
      <c r="G545" s="55"/>
      <c r="H545" s="53"/>
      <c r="I545" s="53"/>
      <c r="J545" s="55"/>
      <c r="K545" s="55"/>
      <c r="L545" s="55" t="str">
        <f>'Volunteer Survey'!B955</f>
        <v/>
      </c>
      <c r="M545" s="55" t="str">
        <f>'Volunteer Survey'!E955</f>
        <v/>
      </c>
      <c r="N545" s="55"/>
      <c r="O545" s="48" t="str">
        <f>'Volunteer Survey'!H956</f>
        <v/>
      </c>
      <c r="P545" s="55"/>
      <c r="Q545" s="60" t="str">
        <f>'Volunteer Survey'!J955</f>
        <v/>
      </c>
      <c r="R545" s="55"/>
      <c r="S545" s="55"/>
      <c r="T545" s="55" t="str">
        <f>'Volunteer Survey'!M955</f>
        <v/>
      </c>
      <c r="U545" s="64"/>
      <c r="V545" s="55"/>
      <c r="W545" s="66" t="str">
        <f>'Volunteer Survey'!P955</f>
        <v/>
      </c>
      <c r="X545" s="55"/>
      <c r="Y545" s="53"/>
      <c r="Z545" s="183" t="str">
        <f>IFERROR(__xludf.DUMMYFUNCTION("QUERY('Volunteer Survey'!A544)"),"")</f>
        <v/>
      </c>
      <c r="AA545" s="183" t="str">
        <f>IFERROR(__xludf.DUMMYFUNCTION("QUERY('Volunteer Survey'!B544)"),"")</f>
        <v/>
      </c>
      <c r="AB545" s="183" t="str">
        <f>IFERROR(__xludf.DUMMYFUNCTION("QUERY('Volunteer Survey'!C544)"),"")</f>
        <v/>
      </c>
      <c r="AC545" s="183" t="str">
        <f>IFERROR(__xludf.DUMMYFUNCTION("QUERY('Volunteer Survey'!D544)"),"")</f>
        <v/>
      </c>
      <c r="AD545" s="183" t="str">
        <f>IFERROR(__xludf.DUMMYFUNCTION("QUERY('Volunteer Survey'!E544)"),"")</f>
        <v/>
      </c>
      <c r="AE545" s="183" t="str">
        <f>IFERROR(__xludf.DUMMYFUNCTION("QUERY('Volunteer Survey'!F544)"),"")</f>
        <v/>
      </c>
      <c r="AF545" s="183" t="str">
        <f>IFERROR(__xludf.DUMMYFUNCTION("QUERY('Volunteer Survey'!G544)"),"")</f>
        <v/>
      </c>
      <c r="AG545" s="183" t="str">
        <f>IFERROR(__xludf.DUMMYFUNCTION("QUERY('Volunteer Survey'!H544)"),"")</f>
        <v/>
      </c>
      <c r="AH545" s="183" t="str">
        <f>IFERROR(__xludf.DUMMYFUNCTION("QUERY('Volunteer Survey'!I544)"),"")</f>
        <v/>
      </c>
      <c r="AI545" s="183" t="str">
        <f>IFERROR(__xludf.DUMMYFUNCTION("QUERY('Volunteer Survey'!J544)"),"")</f>
        <v/>
      </c>
      <c r="AJ545" s="183" t="str">
        <f>IFERROR(__xludf.DUMMYFUNCTION("QUERY('Volunteer Survey'!K544)"),"")</f>
        <v/>
      </c>
      <c r="AK545" s="183" t="str">
        <f>IFERROR(__xludf.DUMMYFUNCTION("QUERY('Volunteer Survey'!L544)"),"")</f>
        <v/>
      </c>
      <c r="AL545" s="183" t="str">
        <f>IFERROR(__xludf.DUMMYFUNCTION("QUERY('Volunteer Survey'!M544)"),"")</f>
        <v/>
      </c>
      <c r="AM545" s="183" t="str">
        <f>IFERROR(__xludf.DUMMYFUNCTION("QUERY('Volunteer Survey'!N544)"),"")</f>
        <v/>
      </c>
      <c r="AN545" s="183" t="str">
        <f>IFERROR(__xludf.DUMMYFUNCTION("QUERY('Volunteer Survey'!O544)"),"")</f>
        <v/>
      </c>
      <c r="AO545" s="183" t="str">
        <f>IFERROR(__xludf.DUMMYFUNCTION("QUERY('Volunteer Survey'!P544)"),"")</f>
        <v/>
      </c>
    </row>
    <row r="546">
      <c r="A546" s="55" t="str">
        <f>'Volunteer Survey'!A956</f>
        <v/>
      </c>
      <c r="B546" s="55"/>
      <c r="C546" s="53"/>
      <c r="D546" s="55"/>
      <c r="E546" s="55"/>
      <c r="F546" s="55" t="b">
        <v>0</v>
      </c>
      <c r="G546" s="55"/>
      <c r="H546" s="53"/>
      <c r="I546" s="53"/>
      <c r="J546" s="55"/>
      <c r="K546" s="55"/>
      <c r="L546" s="55" t="str">
        <f>'Volunteer Survey'!B956</f>
        <v/>
      </c>
      <c r="M546" s="55" t="str">
        <f>'Volunteer Survey'!E956</f>
        <v/>
      </c>
      <c r="N546" s="55"/>
      <c r="O546" s="48" t="str">
        <f>'Volunteer Survey'!H957</f>
        <v/>
      </c>
      <c r="P546" s="55"/>
      <c r="Q546" s="60" t="str">
        <f>'Volunteer Survey'!J956</f>
        <v/>
      </c>
      <c r="R546" s="55"/>
      <c r="S546" s="55"/>
      <c r="T546" s="55" t="str">
        <f>'Volunteer Survey'!M956</f>
        <v/>
      </c>
      <c r="U546" s="64"/>
      <c r="V546" s="55"/>
      <c r="W546" s="66" t="str">
        <f>'Volunteer Survey'!P956</f>
        <v/>
      </c>
      <c r="X546" s="55"/>
      <c r="Y546" s="53"/>
      <c r="Z546" s="183" t="str">
        <f>IFERROR(__xludf.DUMMYFUNCTION("QUERY('Volunteer Survey'!A545)"),"")</f>
        <v/>
      </c>
      <c r="AA546" s="183" t="str">
        <f>IFERROR(__xludf.DUMMYFUNCTION("QUERY('Volunteer Survey'!B545)"),"")</f>
        <v/>
      </c>
      <c r="AB546" s="183" t="str">
        <f>IFERROR(__xludf.DUMMYFUNCTION("QUERY('Volunteer Survey'!C545)"),"")</f>
        <v/>
      </c>
      <c r="AC546" s="183" t="str">
        <f>IFERROR(__xludf.DUMMYFUNCTION("QUERY('Volunteer Survey'!D545)"),"")</f>
        <v/>
      </c>
      <c r="AD546" s="183" t="str">
        <f>IFERROR(__xludf.DUMMYFUNCTION("QUERY('Volunteer Survey'!E545)"),"")</f>
        <v/>
      </c>
      <c r="AE546" s="183" t="str">
        <f>IFERROR(__xludf.DUMMYFUNCTION("QUERY('Volunteer Survey'!F545)"),"")</f>
        <v/>
      </c>
      <c r="AF546" s="183" t="str">
        <f>IFERROR(__xludf.DUMMYFUNCTION("QUERY('Volunteer Survey'!G545)"),"")</f>
        <v/>
      </c>
      <c r="AG546" s="183" t="str">
        <f>IFERROR(__xludf.DUMMYFUNCTION("QUERY('Volunteer Survey'!H545)"),"")</f>
        <v/>
      </c>
      <c r="AH546" s="183" t="str">
        <f>IFERROR(__xludf.DUMMYFUNCTION("QUERY('Volunteer Survey'!I545)"),"")</f>
        <v/>
      </c>
      <c r="AI546" s="183" t="str">
        <f>IFERROR(__xludf.DUMMYFUNCTION("QUERY('Volunteer Survey'!J545)"),"")</f>
        <v/>
      </c>
      <c r="AJ546" s="183" t="str">
        <f>IFERROR(__xludf.DUMMYFUNCTION("QUERY('Volunteer Survey'!K545)"),"")</f>
        <v/>
      </c>
      <c r="AK546" s="183" t="str">
        <f>IFERROR(__xludf.DUMMYFUNCTION("QUERY('Volunteer Survey'!L545)"),"")</f>
        <v/>
      </c>
      <c r="AL546" s="183" t="str">
        <f>IFERROR(__xludf.DUMMYFUNCTION("QUERY('Volunteer Survey'!M545)"),"")</f>
        <v/>
      </c>
      <c r="AM546" s="183" t="str">
        <f>IFERROR(__xludf.DUMMYFUNCTION("QUERY('Volunteer Survey'!N545)"),"")</f>
        <v/>
      </c>
      <c r="AN546" s="183" t="str">
        <f>IFERROR(__xludf.DUMMYFUNCTION("QUERY('Volunteer Survey'!O545)"),"")</f>
        <v/>
      </c>
      <c r="AO546" s="183" t="str">
        <f>IFERROR(__xludf.DUMMYFUNCTION("QUERY('Volunteer Survey'!P545)"),"")</f>
        <v/>
      </c>
    </row>
    <row r="547">
      <c r="A547" s="55" t="str">
        <f>'Volunteer Survey'!A957</f>
        <v/>
      </c>
      <c r="B547" s="55"/>
      <c r="C547" s="53"/>
      <c r="D547" s="55"/>
      <c r="E547" s="55"/>
      <c r="F547" s="55" t="b">
        <v>0</v>
      </c>
      <c r="G547" s="55"/>
      <c r="H547" s="53"/>
      <c r="I547" s="53"/>
      <c r="J547" s="55"/>
      <c r="K547" s="55"/>
      <c r="L547" s="55" t="str">
        <f>'Volunteer Survey'!B957</f>
        <v/>
      </c>
      <c r="M547" s="55" t="str">
        <f>'Volunteer Survey'!E957</f>
        <v/>
      </c>
      <c r="N547" s="55"/>
      <c r="O547" s="48" t="str">
        <f>'Volunteer Survey'!H958</f>
        <v/>
      </c>
      <c r="P547" s="55"/>
      <c r="Q547" s="60" t="str">
        <f>'Volunteer Survey'!J957</f>
        <v/>
      </c>
      <c r="R547" s="55"/>
      <c r="S547" s="55"/>
      <c r="T547" s="55" t="str">
        <f>'Volunteer Survey'!M957</f>
        <v/>
      </c>
      <c r="U547" s="64"/>
      <c r="V547" s="55"/>
      <c r="W547" s="66" t="str">
        <f>'Volunteer Survey'!P957</f>
        <v/>
      </c>
      <c r="X547" s="55"/>
      <c r="Y547" s="53"/>
      <c r="Z547" s="183" t="str">
        <f>IFERROR(__xludf.DUMMYFUNCTION("QUERY('Volunteer Survey'!A546)"),"")</f>
        <v/>
      </c>
      <c r="AA547" s="183" t="str">
        <f>IFERROR(__xludf.DUMMYFUNCTION("QUERY('Volunteer Survey'!B546)"),"")</f>
        <v/>
      </c>
      <c r="AB547" s="183" t="str">
        <f>IFERROR(__xludf.DUMMYFUNCTION("QUERY('Volunteer Survey'!C546)"),"")</f>
        <v/>
      </c>
      <c r="AC547" s="183" t="str">
        <f>IFERROR(__xludf.DUMMYFUNCTION("QUERY('Volunteer Survey'!D546)"),"")</f>
        <v/>
      </c>
      <c r="AD547" s="183" t="str">
        <f>IFERROR(__xludf.DUMMYFUNCTION("QUERY('Volunteer Survey'!E546)"),"")</f>
        <v/>
      </c>
      <c r="AE547" s="183" t="str">
        <f>IFERROR(__xludf.DUMMYFUNCTION("QUERY('Volunteer Survey'!F546)"),"")</f>
        <v/>
      </c>
      <c r="AF547" s="183" t="str">
        <f>IFERROR(__xludf.DUMMYFUNCTION("QUERY('Volunteer Survey'!G546)"),"")</f>
        <v/>
      </c>
      <c r="AG547" s="183" t="str">
        <f>IFERROR(__xludf.DUMMYFUNCTION("QUERY('Volunteer Survey'!H546)"),"")</f>
        <v/>
      </c>
      <c r="AH547" s="183" t="str">
        <f>IFERROR(__xludf.DUMMYFUNCTION("QUERY('Volunteer Survey'!I546)"),"")</f>
        <v/>
      </c>
      <c r="AI547" s="183" t="str">
        <f>IFERROR(__xludf.DUMMYFUNCTION("QUERY('Volunteer Survey'!J546)"),"")</f>
        <v/>
      </c>
      <c r="AJ547" s="183" t="str">
        <f>IFERROR(__xludf.DUMMYFUNCTION("QUERY('Volunteer Survey'!K546)"),"")</f>
        <v/>
      </c>
      <c r="AK547" s="183" t="str">
        <f>IFERROR(__xludf.DUMMYFUNCTION("QUERY('Volunteer Survey'!L546)"),"")</f>
        <v/>
      </c>
      <c r="AL547" s="183" t="str">
        <f>IFERROR(__xludf.DUMMYFUNCTION("QUERY('Volunteer Survey'!M546)"),"")</f>
        <v/>
      </c>
      <c r="AM547" s="183" t="str">
        <f>IFERROR(__xludf.DUMMYFUNCTION("QUERY('Volunteer Survey'!N546)"),"")</f>
        <v/>
      </c>
      <c r="AN547" s="183" t="str">
        <f>IFERROR(__xludf.DUMMYFUNCTION("QUERY('Volunteer Survey'!O546)"),"")</f>
        <v/>
      </c>
      <c r="AO547" s="183" t="str">
        <f>IFERROR(__xludf.DUMMYFUNCTION("QUERY('Volunteer Survey'!P546)"),"")</f>
        <v/>
      </c>
    </row>
    <row r="548">
      <c r="A548" s="55" t="str">
        <f>'Volunteer Survey'!A958</f>
        <v/>
      </c>
      <c r="B548" s="55"/>
      <c r="C548" s="53"/>
      <c r="D548" s="55"/>
      <c r="E548" s="55"/>
      <c r="F548" s="55" t="b">
        <v>0</v>
      </c>
      <c r="G548" s="55"/>
      <c r="H548" s="53"/>
      <c r="I548" s="53"/>
      <c r="J548" s="55"/>
      <c r="K548" s="55"/>
      <c r="L548" s="55" t="str">
        <f>'Volunteer Survey'!B958</f>
        <v/>
      </c>
      <c r="M548" s="55" t="str">
        <f>'Volunteer Survey'!E958</f>
        <v/>
      </c>
      <c r="N548" s="55"/>
      <c r="O548" s="48" t="str">
        <f>'Volunteer Survey'!H959</f>
        <v/>
      </c>
      <c r="P548" s="55"/>
      <c r="Q548" s="60" t="str">
        <f>'Volunteer Survey'!J958</f>
        <v/>
      </c>
      <c r="R548" s="55"/>
      <c r="S548" s="55"/>
      <c r="T548" s="55" t="str">
        <f>'Volunteer Survey'!M958</f>
        <v/>
      </c>
      <c r="U548" s="64"/>
      <c r="V548" s="55"/>
      <c r="W548" s="66" t="str">
        <f>'Volunteer Survey'!P958</f>
        <v/>
      </c>
      <c r="X548" s="55"/>
      <c r="Y548" s="53"/>
      <c r="Z548" s="183" t="str">
        <f>IFERROR(__xludf.DUMMYFUNCTION("QUERY('Volunteer Survey'!A547)"),"")</f>
        <v/>
      </c>
      <c r="AA548" s="183" t="str">
        <f>IFERROR(__xludf.DUMMYFUNCTION("QUERY('Volunteer Survey'!B547)"),"")</f>
        <v/>
      </c>
      <c r="AB548" s="183" t="str">
        <f>IFERROR(__xludf.DUMMYFUNCTION("QUERY('Volunteer Survey'!C547)"),"")</f>
        <v/>
      </c>
      <c r="AC548" s="183" t="str">
        <f>IFERROR(__xludf.DUMMYFUNCTION("QUERY('Volunteer Survey'!D547)"),"")</f>
        <v/>
      </c>
      <c r="AD548" s="183" t="str">
        <f>IFERROR(__xludf.DUMMYFUNCTION("QUERY('Volunteer Survey'!E547)"),"")</f>
        <v/>
      </c>
      <c r="AE548" s="183" t="str">
        <f>IFERROR(__xludf.DUMMYFUNCTION("QUERY('Volunteer Survey'!F547)"),"")</f>
        <v/>
      </c>
      <c r="AF548" s="183" t="str">
        <f>IFERROR(__xludf.DUMMYFUNCTION("QUERY('Volunteer Survey'!G547)"),"")</f>
        <v/>
      </c>
      <c r="AG548" s="183" t="str">
        <f>IFERROR(__xludf.DUMMYFUNCTION("QUERY('Volunteer Survey'!H547)"),"")</f>
        <v/>
      </c>
      <c r="AH548" s="183" t="str">
        <f>IFERROR(__xludf.DUMMYFUNCTION("QUERY('Volunteer Survey'!I547)"),"")</f>
        <v/>
      </c>
      <c r="AI548" s="183" t="str">
        <f>IFERROR(__xludf.DUMMYFUNCTION("QUERY('Volunteer Survey'!J547)"),"")</f>
        <v/>
      </c>
      <c r="AJ548" s="183" t="str">
        <f>IFERROR(__xludf.DUMMYFUNCTION("QUERY('Volunteer Survey'!K547)"),"")</f>
        <v/>
      </c>
      <c r="AK548" s="183" t="str">
        <f>IFERROR(__xludf.DUMMYFUNCTION("QUERY('Volunteer Survey'!L547)"),"")</f>
        <v/>
      </c>
      <c r="AL548" s="183" t="str">
        <f>IFERROR(__xludf.DUMMYFUNCTION("QUERY('Volunteer Survey'!M547)"),"")</f>
        <v/>
      </c>
      <c r="AM548" s="183" t="str">
        <f>IFERROR(__xludf.DUMMYFUNCTION("QUERY('Volunteer Survey'!N547)"),"")</f>
        <v/>
      </c>
      <c r="AN548" s="183" t="str">
        <f>IFERROR(__xludf.DUMMYFUNCTION("QUERY('Volunteer Survey'!O547)"),"")</f>
        <v/>
      </c>
      <c r="AO548" s="183" t="str">
        <f>IFERROR(__xludf.DUMMYFUNCTION("QUERY('Volunteer Survey'!P547)"),"")</f>
        <v/>
      </c>
    </row>
    <row r="549">
      <c r="A549" s="55" t="str">
        <f>'Volunteer Survey'!A959</f>
        <v/>
      </c>
      <c r="B549" s="55"/>
      <c r="C549" s="53"/>
      <c r="D549" s="55"/>
      <c r="E549" s="55"/>
      <c r="F549" s="55" t="b">
        <v>0</v>
      </c>
      <c r="G549" s="55"/>
      <c r="H549" s="53"/>
      <c r="I549" s="53"/>
      <c r="J549" s="55"/>
      <c r="K549" s="55"/>
      <c r="L549" s="55" t="str">
        <f>'Volunteer Survey'!B959</f>
        <v/>
      </c>
      <c r="M549" s="55" t="str">
        <f>'Volunteer Survey'!E959</f>
        <v/>
      </c>
      <c r="N549" s="55"/>
      <c r="O549" s="48" t="str">
        <f>'Volunteer Survey'!H960</f>
        <v/>
      </c>
      <c r="P549" s="55"/>
      <c r="Q549" s="60" t="str">
        <f>'Volunteer Survey'!J959</f>
        <v/>
      </c>
      <c r="R549" s="55"/>
      <c r="S549" s="55"/>
      <c r="T549" s="55" t="str">
        <f>'Volunteer Survey'!M959</f>
        <v/>
      </c>
      <c r="U549" s="64"/>
      <c r="V549" s="55"/>
      <c r="W549" s="66" t="str">
        <f>'Volunteer Survey'!P959</f>
        <v/>
      </c>
      <c r="X549" s="55"/>
      <c r="Y549" s="53"/>
      <c r="Z549" s="183" t="str">
        <f>IFERROR(__xludf.DUMMYFUNCTION("QUERY('Volunteer Survey'!A548)"),"")</f>
        <v/>
      </c>
      <c r="AA549" s="183" t="str">
        <f>IFERROR(__xludf.DUMMYFUNCTION("QUERY('Volunteer Survey'!B548)"),"")</f>
        <v/>
      </c>
      <c r="AB549" s="183" t="str">
        <f>IFERROR(__xludf.DUMMYFUNCTION("QUERY('Volunteer Survey'!C548)"),"")</f>
        <v/>
      </c>
      <c r="AC549" s="183" t="str">
        <f>IFERROR(__xludf.DUMMYFUNCTION("QUERY('Volunteer Survey'!D548)"),"")</f>
        <v/>
      </c>
      <c r="AD549" s="183" t="str">
        <f>IFERROR(__xludf.DUMMYFUNCTION("QUERY('Volunteer Survey'!E548)"),"")</f>
        <v/>
      </c>
      <c r="AE549" s="183" t="str">
        <f>IFERROR(__xludf.DUMMYFUNCTION("QUERY('Volunteer Survey'!F548)"),"")</f>
        <v/>
      </c>
      <c r="AF549" s="183" t="str">
        <f>IFERROR(__xludf.DUMMYFUNCTION("QUERY('Volunteer Survey'!G548)"),"")</f>
        <v/>
      </c>
      <c r="AG549" s="183" t="str">
        <f>IFERROR(__xludf.DUMMYFUNCTION("QUERY('Volunteer Survey'!H548)"),"")</f>
        <v/>
      </c>
      <c r="AH549" s="183" t="str">
        <f>IFERROR(__xludf.DUMMYFUNCTION("QUERY('Volunteer Survey'!I548)"),"")</f>
        <v/>
      </c>
      <c r="AI549" s="183" t="str">
        <f>IFERROR(__xludf.DUMMYFUNCTION("QUERY('Volunteer Survey'!J548)"),"")</f>
        <v/>
      </c>
      <c r="AJ549" s="183" t="str">
        <f>IFERROR(__xludf.DUMMYFUNCTION("QUERY('Volunteer Survey'!K548)"),"")</f>
        <v/>
      </c>
      <c r="AK549" s="183" t="str">
        <f>IFERROR(__xludf.DUMMYFUNCTION("QUERY('Volunteer Survey'!L548)"),"")</f>
        <v/>
      </c>
      <c r="AL549" s="183" t="str">
        <f>IFERROR(__xludf.DUMMYFUNCTION("QUERY('Volunteer Survey'!M548)"),"")</f>
        <v/>
      </c>
      <c r="AM549" s="183" t="str">
        <f>IFERROR(__xludf.DUMMYFUNCTION("QUERY('Volunteer Survey'!N548)"),"")</f>
        <v/>
      </c>
      <c r="AN549" s="183" t="str">
        <f>IFERROR(__xludf.DUMMYFUNCTION("QUERY('Volunteer Survey'!O548)"),"")</f>
        <v/>
      </c>
      <c r="AO549" s="183" t="str">
        <f>IFERROR(__xludf.DUMMYFUNCTION("QUERY('Volunteer Survey'!P548)"),"")</f>
        <v/>
      </c>
    </row>
    <row r="550">
      <c r="A550" s="55" t="str">
        <f>'Volunteer Survey'!A960</f>
        <v/>
      </c>
      <c r="B550" s="55"/>
      <c r="C550" s="53"/>
      <c r="D550" s="55"/>
      <c r="E550" s="55"/>
      <c r="F550" s="55" t="b">
        <v>0</v>
      </c>
      <c r="G550" s="55"/>
      <c r="H550" s="53"/>
      <c r="I550" s="53"/>
      <c r="J550" s="55"/>
      <c r="K550" s="55"/>
      <c r="L550" s="55" t="str">
        <f>'Volunteer Survey'!B960</f>
        <v/>
      </c>
      <c r="M550" s="55" t="str">
        <f>'Volunteer Survey'!E960</f>
        <v/>
      </c>
      <c r="N550" s="55"/>
      <c r="O550" s="48" t="str">
        <f>'Volunteer Survey'!H961</f>
        <v/>
      </c>
      <c r="P550" s="55"/>
      <c r="Q550" s="60" t="str">
        <f>'Volunteer Survey'!J960</f>
        <v/>
      </c>
      <c r="R550" s="55"/>
      <c r="S550" s="55"/>
      <c r="T550" s="55" t="str">
        <f>'Volunteer Survey'!M960</f>
        <v/>
      </c>
      <c r="U550" s="64"/>
      <c r="V550" s="55"/>
      <c r="W550" s="66" t="str">
        <f>'Volunteer Survey'!P960</f>
        <v/>
      </c>
      <c r="X550" s="55"/>
      <c r="Y550" s="53"/>
      <c r="Z550" s="183" t="str">
        <f>IFERROR(__xludf.DUMMYFUNCTION("QUERY('Volunteer Survey'!A549)"),"")</f>
        <v/>
      </c>
      <c r="AA550" s="183" t="str">
        <f>IFERROR(__xludf.DUMMYFUNCTION("QUERY('Volunteer Survey'!B549)"),"")</f>
        <v/>
      </c>
      <c r="AB550" s="183" t="str">
        <f>IFERROR(__xludf.DUMMYFUNCTION("QUERY('Volunteer Survey'!C549)"),"")</f>
        <v/>
      </c>
      <c r="AC550" s="183" t="str">
        <f>IFERROR(__xludf.DUMMYFUNCTION("QUERY('Volunteer Survey'!D549)"),"")</f>
        <v/>
      </c>
      <c r="AD550" s="183" t="str">
        <f>IFERROR(__xludf.DUMMYFUNCTION("QUERY('Volunteer Survey'!E549)"),"")</f>
        <v/>
      </c>
      <c r="AE550" s="183" t="str">
        <f>IFERROR(__xludf.DUMMYFUNCTION("QUERY('Volunteer Survey'!F549)"),"")</f>
        <v/>
      </c>
      <c r="AF550" s="183" t="str">
        <f>IFERROR(__xludf.DUMMYFUNCTION("QUERY('Volunteer Survey'!G549)"),"")</f>
        <v/>
      </c>
      <c r="AG550" s="183" t="str">
        <f>IFERROR(__xludf.DUMMYFUNCTION("QUERY('Volunteer Survey'!H549)"),"")</f>
        <v/>
      </c>
      <c r="AH550" s="183" t="str">
        <f>IFERROR(__xludf.DUMMYFUNCTION("QUERY('Volunteer Survey'!I549)"),"")</f>
        <v/>
      </c>
      <c r="AI550" s="183" t="str">
        <f>IFERROR(__xludf.DUMMYFUNCTION("QUERY('Volunteer Survey'!J549)"),"")</f>
        <v/>
      </c>
      <c r="AJ550" s="183" t="str">
        <f>IFERROR(__xludf.DUMMYFUNCTION("QUERY('Volunteer Survey'!K549)"),"")</f>
        <v/>
      </c>
      <c r="AK550" s="183" t="str">
        <f>IFERROR(__xludf.DUMMYFUNCTION("QUERY('Volunteer Survey'!L549)"),"")</f>
        <v/>
      </c>
      <c r="AL550" s="183" t="str">
        <f>IFERROR(__xludf.DUMMYFUNCTION("QUERY('Volunteer Survey'!M549)"),"")</f>
        <v/>
      </c>
      <c r="AM550" s="183" t="str">
        <f>IFERROR(__xludf.DUMMYFUNCTION("QUERY('Volunteer Survey'!N549)"),"")</f>
        <v/>
      </c>
      <c r="AN550" s="183" t="str">
        <f>IFERROR(__xludf.DUMMYFUNCTION("QUERY('Volunteer Survey'!O549)"),"")</f>
        <v/>
      </c>
      <c r="AO550" s="183" t="str">
        <f>IFERROR(__xludf.DUMMYFUNCTION("QUERY('Volunteer Survey'!P549)"),"")</f>
        <v/>
      </c>
    </row>
    <row r="551">
      <c r="A551" s="55" t="str">
        <f>'Volunteer Survey'!A961</f>
        <v/>
      </c>
      <c r="B551" s="55"/>
      <c r="C551" s="53"/>
      <c r="D551" s="55"/>
      <c r="E551" s="55"/>
      <c r="F551" s="55" t="b">
        <v>0</v>
      </c>
      <c r="G551" s="55"/>
      <c r="H551" s="53"/>
      <c r="I551" s="53"/>
      <c r="J551" s="55"/>
      <c r="K551" s="55"/>
      <c r="L551" s="55" t="str">
        <f>'Volunteer Survey'!B961</f>
        <v/>
      </c>
      <c r="M551" s="55" t="str">
        <f>'Volunteer Survey'!E961</f>
        <v/>
      </c>
      <c r="N551" s="55"/>
      <c r="O551" s="48" t="str">
        <f>'Volunteer Survey'!H962</f>
        <v/>
      </c>
      <c r="P551" s="55"/>
      <c r="Q551" s="60" t="str">
        <f>'Volunteer Survey'!J961</f>
        <v/>
      </c>
      <c r="R551" s="55"/>
      <c r="S551" s="55"/>
      <c r="T551" s="55" t="str">
        <f>'Volunteer Survey'!M961</f>
        <v/>
      </c>
      <c r="U551" s="64"/>
      <c r="V551" s="55"/>
      <c r="W551" s="66" t="str">
        <f>'Volunteer Survey'!P961</f>
        <v/>
      </c>
      <c r="X551" s="55"/>
      <c r="Y551" s="53"/>
      <c r="Z551" s="183" t="str">
        <f>IFERROR(__xludf.DUMMYFUNCTION("QUERY('Volunteer Survey'!A550)"),"")</f>
        <v/>
      </c>
      <c r="AA551" s="183" t="str">
        <f>IFERROR(__xludf.DUMMYFUNCTION("QUERY('Volunteer Survey'!B550)"),"")</f>
        <v/>
      </c>
      <c r="AB551" s="183" t="str">
        <f>IFERROR(__xludf.DUMMYFUNCTION("QUERY('Volunteer Survey'!C550)"),"")</f>
        <v/>
      </c>
      <c r="AC551" s="183" t="str">
        <f>IFERROR(__xludf.DUMMYFUNCTION("QUERY('Volunteer Survey'!D550)"),"")</f>
        <v/>
      </c>
      <c r="AD551" s="183" t="str">
        <f>IFERROR(__xludf.DUMMYFUNCTION("QUERY('Volunteer Survey'!E550)"),"")</f>
        <v/>
      </c>
      <c r="AE551" s="183" t="str">
        <f>IFERROR(__xludf.DUMMYFUNCTION("QUERY('Volunteer Survey'!F550)"),"")</f>
        <v/>
      </c>
      <c r="AF551" s="183" t="str">
        <f>IFERROR(__xludf.DUMMYFUNCTION("QUERY('Volunteer Survey'!G550)"),"")</f>
        <v/>
      </c>
      <c r="AG551" s="183" t="str">
        <f>IFERROR(__xludf.DUMMYFUNCTION("QUERY('Volunteer Survey'!H550)"),"")</f>
        <v/>
      </c>
      <c r="AH551" s="183" t="str">
        <f>IFERROR(__xludf.DUMMYFUNCTION("QUERY('Volunteer Survey'!I550)"),"")</f>
        <v/>
      </c>
      <c r="AI551" s="183" t="str">
        <f>IFERROR(__xludf.DUMMYFUNCTION("QUERY('Volunteer Survey'!J550)"),"")</f>
        <v/>
      </c>
      <c r="AJ551" s="183" t="str">
        <f>IFERROR(__xludf.DUMMYFUNCTION("QUERY('Volunteer Survey'!K550)"),"")</f>
        <v/>
      </c>
      <c r="AK551" s="183" t="str">
        <f>IFERROR(__xludf.DUMMYFUNCTION("QUERY('Volunteer Survey'!L550)"),"")</f>
        <v/>
      </c>
      <c r="AL551" s="183" t="str">
        <f>IFERROR(__xludf.DUMMYFUNCTION("QUERY('Volunteer Survey'!M550)"),"")</f>
        <v/>
      </c>
      <c r="AM551" s="183" t="str">
        <f>IFERROR(__xludf.DUMMYFUNCTION("QUERY('Volunteer Survey'!N550)"),"")</f>
        <v/>
      </c>
      <c r="AN551" s="183" t="str">
        <f>IFERROR(__xludf.DUMMYFUNCTION("QUERY('Volunteer Survey'!O550)"),"")</f>
        <v/>
      </c>
      <c r="AO551" s="183" t="str">
        <f>IFERROR(__xludf.DUMMYFUNCTION("QUERY('Volunteer Survey'!P550)"),"")</f>
        <v/>
      </c>
    </row>
    <row r="552">
      <c r="A552" s="55" t="str">
        <f>'Volunteer Survey'!A962</f>
        <v/>
      </c>
      <c r="B552" s="55"/>
      <c r="C552" s="53"/>
      <c r="D552" s="55"/>
      <c r="E552" s="55"/>
      <c r="F552" s="55" t="b">
        <v>0</v>
      </c>
      <c r="G552" s="55"/>
      <c r="H552" s="53"/>
      <c r="I552" s="53"/>
      <c r="J552" s="55"/>
      <c r="K552" s="55"/>
      <c r="L552" s="55" t="str">
        <f>'Volunteer Survey'!B962</f>
        <v/>
      </c>
      <c r="M552" s="55" t="str">
        <f>'Volunteer Survey'!E962</f>
        <v/>
      </c>
      <c r="N552" s="55"/>
      <c r="O552" s="48" t="str">
        <f>'Volunteer Survey'!H963</f>
        <v/>
      </c>
      <c r="P552" s="55"/>
      <c r="Q552" s="60" t="str">
        <f>'Volunteer Survey'!J962</f>
        <v/>
      </c>
      <c r="R552" s="55"/>
      <c r="S552" s="55"/>
      <c r="T552" s="55" t="str">
        <f>'Volunteer Survey'!M962</f>
        <v/>
      </c>
      <c r="U552" s="64"/>
      <c r="V552" s="55"/>
      <c r="W552" s="66" t="str">
        <f>'Volunteer Survey'!P962</f>
        <v/>
      </c>
      <c r="X552" s="55"/>
      <c r="Y552" s="53"/>
      <c r="Z552" s="183" t="str">
        <f>IFERROR(__xludf.DUMMYFUNCTION("QUERY('Volunteer Survey'!A551)"),"")</f>
        <v/>
      </c>
      <c r="AA552" s="183" t="str">
        <f>IFERROR(__xludf.DUMMYFUNCTION("QUERY('Volunteer Survey'!B551)"),"")</f>
        <v/>
      </c>
      <c r="AB552" s="183" t="str">
        <f>IFERROR(__xludf.DUMMYFUNCTION("QUERY('Volunteer Survey'!C551)"),"")</f>
        <v/>
      </c>
      <c r="AC552" s="183" t="str">
        <f>IFERROR(__xludf.DUMMYFUNCTION("QUERY('Volunteer Survey'!D551)"),"")</f>
        <v/>
      </c>
      <c r="AD552" s="183" t="str">
        <f>IFERROR(__xludf.DUMMYFUNCTION("QUERY('Volunteer Survey'!E551)"),"")</f>
        <v/>
      </c>
      <c r="AE552" s="183" t="str">
        <f>IFERROR(__xludf.DUMMYFUNCTION("QUERY('Volunteer Survey'!F551)"),"")</f>
        <v/>
      </c>
      <c r="AF552" s="183" t="str">
        <f>IFERROR(__xludf.DUMMYFUNCTION("QUERY('Volunteer Survey'!G551)"),"")</f>
        <v/>
      </c>
      <c r="AG552" s="183" t="str">
        <f>IFERROR(__xludf.DUMMYFUNCTION("QUERY('Volunteer Survey'!H551)"),"")</f>
        <v/>
      </c>
      <c r="AH552" s="183" t="str">
        <f>IFERROR(__xludf.DUMMYFUNCTION("QUERY('Volunteer Survey'!I551)"),"")</f>
        <v/>
      </c>
      <c r="AI552" s="183" t="str">
        <f>IFERROR(__xludf.DUMMYFUNCTION("QUERY('Volunteer Survey'!J551)"),"")</f>
        <v/>
      </c>
      <c r="AJ552" s="183" t="str">
        <f>IFERROR(__xludf.DUMMYFUNCTION("QUERY('Volunteer Survey'!K551)"),"")</f>
        <v/>
      </c>
      <c r="AK552" s="183" t="str">
        <f>IFERROR(__xludf.DUMMYFUNCTION("QUERY('Volunteer Survey'!L551)"),"")</f>
        <v/>
      </c>
      <c r="AL552" s="183" t="str">
        <f>IFERROR(__xludf.DUMMYFUNCTION("QUERY('Volunteer Survey'!M551)"),"")</f>
        <v/>
      </c>
      <c r="AM552" s="183" t="str">
        <f>IFERROR(__xludf.DUMMYFUNCTION("QUERY('Volunteer Survey'!N551)"),"")</f>
        <v/>
      </c>
      <c r="AN552" s="183" t="str">
        <f>IFERROR(__xludf.DUMMYFUNCTION("QUERY('Volunteer Survey'!O551)"),"")</f>
        <v/>
      </c>
      <c r="AO552" s="183" t="str">
        <f>IFERROR(__xludf.DUMMYFUNCTION("QUERY('Volunteer Survey'!P551)"),"")</f>
        <v/>
      </c>
    </row>
    <row r="553">
      <c r="A553" s="55" t="str">
        <f>'Volunteer Survey'!A963</f>
        <v/>
      </c>
      <c r="B553" s="55"/>
      <c r="C553" s="53"/>
      <c r="D553" s="55"/>
      <c r="E553" s="55"/>
      <c r="F553" s="55" t="b">
        <v>0</v>
      </c>
      <c r="G553" s="55"/>
      <c r="H553" s="53"/>
      <c r="I553" s="53"/>
      <c r="J553" s="55"/>
      <c r="K553" s="55"/>
      <c r="L553" s="55" t="str">
        <f>'Volunteer Survey'!B963</f>
        <v/>
      </c>
      <c r="M553" s="55" t="str">
        <f>'Volunteer Survey'!E963</f>
        <v/>
      </c>
      <c r="N553" s="55"/>
      <c r="O553" s="48" t="str">
        <f>'Volunteer Survey'!H964</f>
        <v/>
      </c>
      <c r="P553" s="55"/>
      <c r="Q553" s="60" t="str">
        <f>'Volunteer Survey'!J963</f>
        <v/>
      </c>
      <c r="R553" s="55"/>
      <c r="S553" s="55"/>
      <c r="T553" s="55" t="str">
        <f>'Volunteer Survey'!M963</f>
        <v/>
      </c>
      <c r="U553" s="64"/>
      <c r="V553" s="55"/>
      <c r="W553" s="66" t="str">
        <f>'Volunteer Survey'!P963</f>
        <v/>
      </c>
      <c r="X553" s="55"/>
      <c r="Y553" s="53"/>
      <c r="Z553" s="183" t="str">
        <f>IFERROR(__xludf.DUMMYFUNCTION("QUERY('Volunteer Survey'!A552)"),"")</f>
        <v/>
      </c>
      <c r="AA553" s="183" t="str">
        <f>IFERROR(__xludf.DUMMYFUNCTION("QUERY('Volunteer Survey'!B552)"),"")</f>
        <v/>
      </c>
      <c r="AB553" s="183" t="str">
        <f>IFERROR(__xludf.DUMMYFUNCTION("QUERY('Volunteer Survey'!C552)"),"")</f>
        <v/>
      </c>
      <c r="AC553" s="183" t="str">
        <f>IFERROR(__xludf.DUMMYFUNCTION("QUERY('Volunteer Survey'!D552)"),"")</f>
        <v/>
      </c>
      <c r="AD553" s="183" t="str">
        <f>IFERROR(__xludf.DUMMYFUNCTION("QUERY('Volunteer Survey'!E552)"),"")</f>
        <v/>
      </c>
      <c r="AE553" s="183" t="str">
        <f>IFERROR(__xludf.DUMMYFUNCTION("QUERY('Volunteer Survey'!F552)"),"")</f>
        <v/>
      </c>
      <c r="AF553" s="183" t="str">
        <f>IFERROR(__xludf.DUMMYFUNCTION("QUERY('Volunteer Survey'!G552)"),"")</f>
        <v/>
      </c>
      <c r="AG553" s="183" t="str">
        <f>IFERROR(__xludf.DUMMYFUNCTION("QUERY('Volunteer Survey'!H552)"),"")</f>
        <v/>
      </c>
      <c r="AH553" s="183" t="str">
        <f>IFERROR(__xludf.DUMMYFUNCTION("QUERY('Volunteer Survey'!I552)"),"")</f>
        <v/>
      </c>
      <c r="AI553" s="183" t="str">
        <f>IFERROR(__xludf.DUMMYFUNCTION("QUERY('Volunteer Survey'!J552)"),"")</f>
        <v/>
      </c>
      <c r="AJ553" s="183" t="str">
        <f>IFERROR(__xludf.DUMMYFUNCTION("QUERY('Volunteer Survey'!K552)"),"")</f>
        <v/>
      </c>
      <c r="AK553" s="183" t="str">
        <f>IFERROR(__xludf.DUMMYFUNCTION("QUERY('Volunteer Survey'!L552)"),"")</f>
        <v/>
      </c>
      <c r="AL553" s="183" t="str">
        <f>IFERROR(__xludf.DUMMYFUNCTION("QUERY('Volunteer Survey'!M552)"),"")</f>
        <v/>
      </c>
      <c r="AM553" s="183" t="str">
        <f>IFERROR(__xludf.DUMMYFUNCTION("QUERY('Volunteer Survey'!N552)"),"")</f>
        <v/>
      </c>
      <c r="AN553" s="183" t="str">
        <f>IFERROR(__xludf.DUMMYFUNCTION("QUERY('Volunteer Survey'!O552)"),"")</f>
        <v/>
      </c>
      <c r="AO553" s="183" t="str">
        <f>IFERROR(__xludf.DUMMYFUNCTION("QUERY('Volunteer Survey'!P552)"),"")</f>
        <v/>
      </c>
    </row>
    <row r="554">
      <c r="A554" s="55" t="str">
        <f>'Volunteer Survey'!A964</f>
        <v/>
      </c>
      <c r="B554" s="55"/>
      <c r="C554" s="53"/>
      <c r="D554" s="55"/>
      <c r="E554" s="55"/>
      <c r="F554" s="55" t="b">
        <v>0</v>
      </c>
      <c r="G554" s="55"/>
      <c r="H554" s="53"/>
      <c r="I554" s="53"/>
      <c r="J554" s="55"/>
      <c r="K554" s="55"/>
      <c r="L554" s="55" t="str">
        <f>'Volunteer Survey'!B964</f>
        <v/>
      </c>
      <c r="M554" s="55" t="str">
        <f>'Volunteer Survey'!E964</f>
        <v/>
      </c>
      <c r="N554" s="55"/>
      <c r="O554" s="48" t="str">
        <f>'Volunteer Survey'!H965</f>
        <v/>
      </c>
      <c r="P554" s="55"/>
      <c r="Q554" s="60" t="str">
        <f>'Volunteer Survey'!J964</f>
        <v/>
      </c>
      <c r="R554" s="55"/>
      <c r="S554" s="55"/>
      <c r="T554" s="55" t="str">
        <f>'Volunteer Survey'!M964</f>
        <v/>
      </c>
      <c r="U554" s="64"/>
      <c r="V554" s="55"/>
      <c r="W554" s="66" t="str">
        <f>'Volunteer Survey'!P964</f>
        <v/>
      </c>
      <c r="X554" s="55"/>
      <c r="Y554" s="53"/>
      <c r="Z554" s="183" t="str">
        <f>IFERROR(__xludf.DUMMYFUNCTION("QUERY('Volunteer Survey'!A553)"),"")</f>
        <v/>
      </c>
      <c r="AA554" s="183" t="str">
        <f>IFERROR(__xludf.DUMMYFUNCTION("QUERY('Volunteer Survey'!B553)"),"")</f>
        <v/>
      </c>
      <c r="AB554" s="183" t="str">
        <f>IFERROR(__xludf.DUMMYFUNCTION("QUERY('Volunteer Survey'!C553)"),"")</f>
        <v/>
      </c>
      <c r="AC554" s="183" t="str">
        <f>IFERROR(__xludf.DUMMYFUNCTION("QUERY('Volunteer Survey'!D553)"),"")</f>
        <v/>
      </c>
      <c r="AD554" s="183" t="str">
        <f>IFERROR(__xludf.DUMMYFUNCTION("QUERY('Volunteer Survey'!E553)"),"")</f>
        <v/>
      </c>
      <c r="AE554" s="183" t="str">
        <f>IFERROR(__xludf.DUMMYFUNCTION("QUERY('Volunteer Survey'!F553)"),"")</f>
        <v/>
      </c>
      <c r="AF554" s="183" t="str">
        <f>IFERROR(__xludf.DUMMYFUNCTION("QUERY('Volunteer Survey'!G553)"),"")</f>
        <v/>
      </c>
      <c r="AG554" s="183" t="str">
        <f>IFERROR(__xludf.DUMMYFUNCTION("QUERY('Volunteer Survey'!H553)"),"")</f>
        <v/>
      </c>
      <c r="AH554" s="183" t="str">
        <f>IFERROR(__xludf.DUMMYFUNCTION("QUERY('Volunteer Survey'!I553)"),"")</f>
        <v/>
      </c>
      <c r="AI554" s="183" t="str">
        <f>IFERROR(__xludf.DUMMYFUNCTION("QUERY('Volunteer Survey'!J553)"),"")</f>
        <v/>
      </c>
      <c r="AJ554" s="183" t="str">
        <f>IFERROR(__xludf.DUMMYFUNCTION("QUERY('Volunteer Survey'!K553)"),"")</f>
        <v/>
      </c>
      <c r="AK554" s="183" t="str">
        <f>IFERROR(__xludf.DUMMYFUNCTION("QUERY('Volunteer Survey'!L553)"),"")</f>
        <v/>
      </c>
      <c r="AL554" s="183" t="str">
        <f>IFERROR(__xludf.DUMMYFUNCTION("QUERY('Volunteer Survey'!M553)"),"")</f>
        <v/>
      </c>
      <c r="AM554" s="183" t="str">
        <f>IFERROR(__xludf.DUMMYFUNCTION("QUERY('Volunteer Survey'!N553)"),"")</f>
        <v/>
      </c>
      <c r="AN554" s="183" t="str">
        <f>IFERROR(__xludf.DUMMYFUNCTION("QUERY('Volunteer Survey'!O553)"),"")</f>
        <v/>
      </c>
      <c r="AO554" s="183" t="str">
        <f>IFERROR(__xludf.DUMMYFUNCTION("QUERY('Volunteer Survey'!P553)"),"")</f>
        <v/>
      </c>
    </row>
    <row r="555">
      <c r="A555" s="55" t="str">
        <f>'Volunteer Survey'!A965</f>
        <v/>
      </c>
      <c r="B555" s="55"/>
      <c r="C555" s="53"/>
      <c r="D555" s="55"/>
      <c r="E555" s="55"/>
      <c r="F555" s="55" t="b">
        <v>0</v>
      </c>
      <c r="G555" s="55"/>
      <c r="H555" s="53"/>
      <c r="I555" s="53"/>
      <c r="J555" s="55"/>
      <c r="K555" s="55"/>
      <c r="L555" s="55" t="str">
        <f>'Volunteer Survey'!B965</f>
        <v/>
      </c>
      <c r="M555" s="55" t="str">
        <f>'Volunteer Survey'!E965</f>
        <v/>
      </c>
      <c r="N555" s="55"/>
      <c r="O555" s="48" t="str">
        <f>'Volunteer Survey'!H966</f>
        <v/>
      </c>
      <c r="P555" s="55"/>
      <c r="Q555" s="60" t="str">
        <f>'Volunteer Survey'!J965</f>
        <v/>
      </c>
      <c r="R555" s="55"/>
      <c r="S555" s="55"/>
      <c r="T555" s="55" t="str">
        <f>'Volunteer Survey'!M965</f>
        <v/>
      </c>
      <c r="U555" s="64"/>
      <c r="V555" s="55"/>
      <c r="W555" s="66" t="str">
        <f>'Volunteer Survey'!P965</f>
        <v/>
      </c>
      <c r="X555" s="55"/>
      <c r="Y555" s="53"/>
      <c r="Z555" s="183" t="str">
        <f>IFERROR(__xludf.DUMMYFUNCTION("QUERY('Volunteer Survey'!A554)"),"")</f>
        <v/>
      </c>
      <c r="AA555" s="183" t="str">
        <f>IFERROR(__xludf.DUMMYFUNCTION("QUERY('Volunteer Survey'!B554)"),"")</f>
        <v/>
      </c>
      <c r="AB555" s="183" t="str">
        <f>IFERROR(__xludf.DUMMYFUNCTION("QUERY('Volunteer Survey'!C554)"),"")</f>
        <v/>
      </c>
      <c r="AC555" s="183" t="str">
        <f>IFERROR(__xludf.DUMMYFUNCTION("QUERY('Volunteer Survey'!D554)"),"")</f>
        <v/>
      </c>
      <c r="AD555" s="183" t="str">
        <f>IFERROR(__xludf.DUMMYFUNCTION("QUERY('Volunteer Survey'!E554)"),"")</f>
        <v/>
      </c>
      <c r="AE555" s="183" t="str">
        <f>IFERROR(__xludf.DUMMYFUNCTION("QUERY('Volunteer Survey'!F554)"),"")</f>
        <v/>
      </c>
      <c r="AF555" s="183" t="str">
        <f>IFERROR(__xludf.DUMMYFUNCTION("QUERY('Volunteer Survey'!G554)"),"")</f>
        <v/>
      </c>
      <c r="AG555" s="183" t="str">
        <f>IFERROR(__xludf.DUMMYFUNCTION("QUERY('Volunteer Survey'!H554)"),"")</f>
        <v/>
      </c>
      <c r="AH555" s="183" t="str">
        <f>IFERROR(__xludf.DUMMYFUNCTION("QUERY('Volunteer Survey'!I554)"),"")</f>
        <v/>
      </c>
      <c r="AI555" s="183" t="str">
        <f>IFERROR(__xludf.DUMMYFUNCTION("QUERY('Volunteer Survey'!J554)"),"")</f>
        <v/>
      </c>
      <c r="AJ555" s="183" t="str">
        <f>IFERROR(__xludf.DUMMYFUNCTION("QUERY('Volunteer Survey'!K554)"),"")</f>
        <v/>
      </c>
      <c r="AK555" s="183" t="str">
        <f>IFERROR(__xludf.DUMMYFUNCTION("QUERY('Volunteer Survey'!L554)"),"")</f>
        <v/>
      </c>
      <c r="AL555" s="183" t="str">
        <f>IFERROR(__xludf.DUMMYFUNCTION("QUERY('Volunteer Survey'!M554)"),"")</f>
        <v/>
      </c>
      <c r="AM555" s="183" t="str">
        <f>IFERROR(__xludf.DUMMYFUNCTION("QUERY('Volunteer Survey'!N554)"),"")</f>
        <v/>
      </c>
      <c r="AN555" s="183" t="str">
        <f>IFERROR(__xludf.DUMMYFUNCTION("QUERY('Volunteer Survey'!O554)"),"")</f>
        <v/>
      </c>
      <c r="AO555" s="183" t="str">
        <f>IFERROR(__xludf.DUMMYFUNCTION("QUERY('Volunteer Survey'!P554)"),"")</f>
        <v/>
      </c>
    </row>
    <row r="556">
      <c r="A556" s="55" t="str">
        <f>'Volunteer Survey'!A966</f>
        <v/>
      </c>
      <c r="B556" s="55"/>
      <c r="C556" s="53"/>
      <c r="D556" s="55"/>
      <c r="E556" s="55"/>
      <c r="F556" s="55" t="b">
        <v>0</v>
      </c>
      <c r="G556" s="55"/>
      <c r="H556" s="53"/>
      <c r="I556" s="53"/>
      <c r="J556" s="55"/>
      <c r="K556" s="55"/>
      <c r="L556" s="55" t="str">
        <f>'Volunteer Survey'!B966</f>
        <v/>
      </c>
      <c r="M556" s="55" t="str">
        <f>'Volunteer Survey'!E966</f>
        <v/>
      </c>
      <c r="N556" s="55"/>
      <c r="O556" s="55" t="b">
        <v>0</v>
      </c>
      <c r="P556" s="55"/>
      <c r="Q556" s="60" t="str">
        <f>'Volunteer Survey'!J966</f>
        <v/>
      </c>
      <c r="R556" s="55"/>
      <c r="S556" s="55"/>
      <c r="T556" s="55" t="str">
        <f>'Volunteer Survey'!M966</f>
        <v/>
      </c>
      <c r="U556" s="64"/>
      <c r="V556" s="55"/>
      <c r="W556" s="66" t="str">
        <f>'Volunteer Survey'!P966</f>
        <v/>
      </c>
      <c r="X556" s="55"/>
      <c r="Y556" s="53"/>
      <c r="Z556" s="183" t="str">
        <f>IFERROR(__xludf.DUMMYFUNCTION("QUERY('Volunteer Survey'!A555)"),"")</f>
        <v/>
      </c>
      <c r="AA556" s="183" t="str">
        <f>IFERROR(__xludf.DUMMYFUNCTION("QUERY('Volunteer Survey'!B555)"),"")</f>
        <v/>
      </c>
      <c r="AB556" s="183" t="str">
        <f>IFERROR(__xludf.DUMMYFUNCTION("QUERY('Volunteer Survey'!C555)"),"")</f>
        <v/>
      </c>
      <c r="AC556" s="183" t="str">
        <f>IFERROR(__xludf.DUMMYFUNCTION("QUERY('Volunteer Survey'!D555)"),"")</f>
        <v/>
      </c>
      <c r="AD556" s="183" t="str">
        <f>IFERROR(__xludf.DUMMYFUNCTION("QUERY('Volunteer Survey'!E555)"),"")</f>
        <v/>
      </c>
      <c r="AE556" s="183" t="str">
        <f>IFERROR(__xludf.DUMMYFUNCTION("QUERY('Volunteer Survey'!F555)"),"")</f>
        <v/>
      </c>
      <c r="AF556" s="183" t="str">
        <f>IFERROR(__xludf.DUMMYFUNCTION("QUERY('Volunteer Survey'!G555)"),"")</f>
        <v/>
      </c>
      <c r="AG556" s="183" t="str">
        <f>IFERROR(__xludf.DUMMYFUNCTION("QUERY('Volunteer Survey'!H555)"),"")</f>
        <v/>
      </c>
      <c r="AH556" s="183" t="str">
        <f>IFERROR(__xludf.DUMMYFUNCTION("QUERY('Volunteer Survey'!I555)"),"")</f>
        <v/>
      </c>
      <c r="AI556" s="183" t="str">
        <f>IFERROR(__xludf.DUMMYFUNCTION("QUERY('Volunteer Survey'!J555)"),"")</f>
        <v/>
      </c>
      <c r="AJ556" s="183" t="str">
        <f>IFERROR(__xludf.DUMMYFUNCTION("QUERY('Volunteer Survey'!K555)"),"")</f>
        <v/>
      </c>
      <c r="AK556" s="183" t="str">
        <f>IFERROR(__xludf.DUMMYFUNCTION("QUERY('Volunteer Survey'!L555)"),"")</f>
        <v/>
      </c>
      <c r="AL556" s="183" t="str">
        <f>IFERROR(__xludf.DUMMYFUNCTION("QUERY('Volunteer Survey'!M555)"),"")</f>
        <v/>
      </c>
      <c r="AM556" s="183" t="str">
        <f>IFERROR(__xludf.DUMMYFUNCTION("QUERY('Volunteer Survey'!N555)"),"")</f>
        <v/>
      </c>
      <c r="AN556" s="183" t="str">
        <f>IFERROR(__xludf.DUMMYFUNCTION("QUERY('Volunteer Survey'!O555)"),"")</f>
        <v/>
      </c>
      <c r="AO556" s="183" t="str">
        <f>IFERROR(__xludf.DUMMYFUNCTION("QUERY('Volunteer Survey'!P555)"),"")</f>
        <v/>
      </c>
    </row>
    <row r="557">
      <c r="A557" s="55" t="str">
        <f>'Volunteer Survey'!A967</f>
        <v/>
      </c>
      <c r="B557" s="55"/>
      <c r="C557" s="53"/>
      <c r="D557" s="55"/>
      <c r="E557" s="55"/>
      <c r="F557" s="55" t="b">
        <v>0</v>
      </c>
      <c r="G557" s="55"/>
      <c r="H557" s="53"/>
      <c r="I557" s="53"/>
      <c r="J557" s="55"/>
      <c r="K557" s="55"/>
      <c r="L557" s="55" t="str">
        <f>'Volunteer Survey'!B967</f>
        <v/>
      </c>
      <c r="M557" s="55" t="str">
        <f>'Volunteer Survey'!E967</f>
        <v/>
      </c>
      <c r="N557" s="55"/>
      <c r="O557" s="55" t="b">
        <v>0</v>
      </c>
      <c r="P557" s="55"/>
      <c r="Q557" s="60" t="str">
        <f>'Volunteer Survey'!J967</f>
        <v/>
      </c>
      <c r="R557" s="55"/>
      <c r="S557" s="55"/>
      <c r="T557" s="55" t="str">
        <f>'Volunteer Survey'!M967</f>
        <v/>
      </c>
      <c r="U557" s="64"/>
      <c r="V557" s="55"/>
      <c r="W557" s="66" t="str">
        <f>'Volunteer Survey'!P967</f>
        <v/>
      </c>
      <c r="X557" s="55"/>
      <c r="Y557" s="53"/>
      <c r="Z557" s="183" t="str">
        <f>IFERROR(__xludf.DUMMYFUNCTION("QUERY('Volunteer Survey'!A556)"),"")</f>
        <v/>
      </c>
      <c r="AA557" s="183" t="str">
        <f>IFERROR(__xludf.DUMMYFUNCTION("QUERY('Volunteer Survey'!B556)"),"")</f>
        <v/>
      </c>
      <c r="AB557" s="183" t="str">
        <f>IFERROR(__xludf.DUMMYFUNCTION("QUERY('Volunteer Survey'!C556)"),"")</f>
        <v/>
      </c>
      <c r="AC557" s="183" t="str">
        <f>IFERROR(__xludf.DUMMYFUNCTION("QUERY('Volunteer Survey'!D556)"),"")</f>
        <v/>
      </c>
      <c r="AD557" s="183" t="str">
        <f>IFERROR(__xludf.DUMMYFUNCTION("QUERY('Volunteer Survey'!E556)"),"")</f>
        <v/>
      </c>
      <c r="AE557" s="183" t="str">
        <f>IFERROR(__xludf.DUMMYFUNCTION("QUERY('Volunteer Survey'!F556)"),"")</f>
        <v/>
      </c>
      <c r="AF557" s="183" t="str">
        <f>IFERROR(__xludf.DUMMYFUNCTION("QUERY('Volunteer Survey'!G556)"),"")</f>
        <v/>
      </c>
      <c r="AG557" s="183" t="str">
        <f>IFERROR(__xludf.DUMMYFUNCTION("QUERY('Volunteer Survey'!H556)"),"")</f>
        <v/>
      </c>
      <c r="AH557" s="183" t="str">
        <f>IFERROR(__xludf.DUMMYFUNCTION("QUERY('Volunteer Survey'!I556)"),"")</f>
        <v/>
      </c>
      <c r="AI557" s="183" t="str">
        <f>IFERROR(__xludf.DUMMYFUNCTION("QUERY('Volunteer Survey'!J556)"),"")</f>
        <v/>
      </c>
      <c r="AJ557" s="183" t="str">
        <f>IFERROR(__xludf.DUMMYFUNCTION("QUERY('Volunteer Survey'!K556)"),"")</f>
        <v/>
      </c>
      <c r="AK557" s="183" t="str">
        <f>IFERROR(__xludf.DUMMYFUNCTION("QUERY('Volunteer Survey'!L556)"),"")</f>
        <v/>
      </c>
      <c r="AL557" s="183" t="str">
        <f>IFERROR(__xludf.DUMMYFUNCTION("QUERY('Volunteer Survey'!M556)"),"")</f>
        <v/>
      </c>
      <c r="AM557" s="183" t="str">
        <f>IFERROR(__xludf.DUMMYFUNCTION("QUERY('Volunteer Survey'!N556)"),"")</f>
        <v/>
      </c>
      <c r="AN557" s="183" t="str">
        <f>IFERROR(__xludf.DUMMYFUNCTION("QUERY('Volunteer Survey'!O556)"),"")</f>
        <v/>
      </c>
      <c r="AO557" s="183" t="str">
        <f>IFERROR(__xludf.DUMMYFUNCTION("QUERY('Volunteer Survey'!P556)"),"")</f>
        <v/>
      </c>
    </row>
    <row r="558">
      <c r="A558" s="55" t="str">
        <f>'Volunteer Survey'!A968</f>
        <v/>
      </c>
      <c r="B558" s="55"/>
      <c r="C558" s="53"/>
      <c r="D558" s="55"/>
      <c r="E558" s="55"/>
      <c r="F558" s="55" t="b">
        <v>0</v>
      </c>
      <c r="G558" s="55"/>
      <c r="H558" s="53"/>
      <c r="I558" s="53"/>
      <c r="J558" s="55"/>
      <c r="K558" s="55"/>
      <c r="L558" s="55" t="str">
        <f>'Volunteer Survey'!B968</f>
        <v/>
      </c>
      <c r="M558" s="55" t="str">
        <f>'Volunteer Survey'!E968</f>
        <v/>
      </c>
      <c r="N558" s="55"/>
      <c r="O558" s="55" t="b">
        <v>0</v>
      </c>
      <c r="P558" s="55"/>
      <c r="Q558" s="60" t="str">
        <f>'Volunteer Survey'!J968</f>
        <v/>
      </c>
      <c r="R558" s="55"/>
      <c r="S558" s="55"/>
      <c r="T558" s="55" t="str">
        <f>'Volunteer Survey'!M968</f>
        <v/>
      </c>
      <c r="U558" s="64"/>
      <c r="V558" s="55"/>
      <c r="W558" s="66" t="str">
        <f>'Volunteer Survey'!P968</f>
        <v/>
      </c>
      <c r="X558" s="55"/>
      <c r="Y558" s="53"/>
      <c r="Z558" s="183" t="str">
        <f>IFERROR(__xludf.DUMMYFUNCTION("QUERY('Volunteer Survey'!A557)"),"")</f>
        <v/>
      </c>
      <c r="AA558" s="183" t="str">
        <f>IFERROR(__xludf.DUMMYFUNCTION("QUERY('Volunteer Survey'!B557)"),"")</f>
        <v/>
      </c>
      <c r="AB558" s="183" t="str">
        <f>IFERROR(__xludf.DUMMYFUNCTION("QUERY('Volunteer Survey'!C557)"),"")</f>
        <v/>
      </c>
      <c r="AC558" s="183" t="str">
        <f>IFERROR(__xludf.DUMMYFUNCTION("QUERY('Volunteer Survey'!D557)"),"")</f>
        <v/>
      </c>
      <c r="AD558" s="183" t="str">
        <f>IFERROR(__xludf.DUMMYFUNCTION("QUERY('Volunteer Survey'!E557)"),"")</f>
        <v/>
      </c>
      <c r="AE558" s="183" t="str">
        <f>IFERROR(__xludf.DUMMYFUNCTION("QUERY('Volunteer Survey'!F557)"),"")</f>
        <v/>
      </c>
      <c r="AF558" s="183" t="str">
        <f>IFERROR(__xludf.DUMMYFUNCTION("QUERY('Volunteer Survey'!G557)"),"")</f>
        <v/>
      </c>
      <c r="AG558" s="183" t="str">
        <f>IFERROR(__xludf.DUMMYFUNCTION("QUERY('Volunteer Survey'!H557)"),"")</f>
        <v/>
      </c>
      <c r="AH558" s="183" t="str">
        <f>IFERROR(__xludf.DUMMYFUNCTION("QUERY('Volunteer Survey'!I557)"),"")</f>
        <v/>
      </c>
      <c r="AI558" s="183" t="str">
        <f>IFERROR(__xludf.DUMMYFUNCTION("QUERY('Volunteer Survey'!J557)"),"")</f>
        <v/>
      </c>
      <c r="AJ558" s="183" t="str">
        <f>IFERROR(__xludf.DUMMYFUNCTION("QUERY('Volunteer Survey'!K557)"),"")</f>
        <v/>
      </c>
      <c r="AK558" s="183" t="str">
        <f>IFERROR(__xludf.DUMMYFUNCTION("QUERY('Volunteer Survey'!L557)"),"")</f>
        <v/>
      </c>
      <c r="AL558" s="183" t="str">
        <f>IFERROR(__xludf.DUMMYFUNCTION("QUERY('Volunteer Survey'!M557)"),"")</f>
        <v/>
      </c>
      <c r="AM558" s="183" t="str">
        <f>IFERROR(__xludf.DUMMYFUNCTION("QUERY('Volunteer Survey'!N557)"),"")</f>
        <v/>
      </c>
      <c r="AN558" s="183" t="str">
        <f>IFERROR(__xludf.DUMMYFUNCTION("QUERY('Volunteer Survey'!O557)"),"")</f>
        <v/>
      </c>
      <c r="AO558" s="183" t="str">
        <f>IFERROR(__xludf.DUMMYFUNCTION("QUERY('Volunteer Survey'!P557)"),"")</f>
        <v/>
      </c>
    </row>
    <row r="559">
      <c r="A559" s="55" t="str">
        <f>'Volunteer Survey'!A969</f>
        <v/>
      </c>
      <c r="B559" s="55"/>
      <c r="C559" s="53"/>
      <c r="D559" s="55"/>
      <c r="E559" s="55"/>
      <c r="F559" s="55" t="b">
        <v>0</v>
      </c>
      <c r="G559" s="55"/>
      <c r="H559" s="53"/>
      <c r="I559" s="53"/>
      <c r="J559" s="55"/>
      <c r="K559" s="55"/>
      <c r="L559" s="55" t="str">
        <f>'Volunteer Survey'!B969</f>
        <v/>
      </c>
      <c r="M559" s="55" t="str">
        <f>'Volunteer Survey'!E969</f>
        <v/>
      </c>
      <c r="N559" s="55"/>
      <c r="O559" s="55" t="b">
        <v>0</v>
      </c>
      <c r="P559" s="55"/>
      <c r="Q559" s="60" t="str">
        <f>'Volunteer Survey'!J969</f>
        <v/>
      </c>
      <c r="R559" s="55"/>
      <c r="S559" s="55"/>
      <c r="T559" s="55" t="str">
        <f>'Volunteer Survey'!M969</f>
        <v/>
      </c>
      <c r="U559" s="64"/>
      <c r="V559" s="55"/>
      <c r="W559" s="66" t="str">
        <f>'Volunteer Survey'!P969</f>
        <v/>
      </c>
      <c r="X559" s="55"/>
      <c r="Y559" s="53"/>
      <c r="Z559" s="183" t="str">
        <f>IFERROR(__xludf.DUMMYFUNCTION("QUERY('Volunteer Survey'!A558)"),"")</f>
        <v/>
      </c>
      <c r="AA559" s="183" t="str">
        <f>IFERROR(__xludf.DUMMYFUNCTION("QUERY('Volunteer Survey'!B558)"),"")</f>
        <v/>
      </c>
      <c r="AB559" s="183" t="str">
        <f>IFERROR(__xludf.DUMMYFUNCTION("QUERY('Volunteer Survey'!C558)"),"")</f>
        <v/>
      </c>
      <c r="AC559" s="183" t="str">
        <f>IFERROR(__xludf.DUMMYFUNCTION("QUERY('Volunteer Survey'!D558)"),"")</f>
        <v/>
      </c>
      <c r="AD559" s="183" t="str">
        <f>IFERROR(__xludf.DUMMYFUNCTION("QUERY('Volunteer Survey'!E558)"),"")</f>
        <v/>
      </c>
      <c r="AE559" s="183" t="str">
        <f>IFERROR(__xludf.DUMMYFUNCTION("QUERY('Volunteer Survey'!F558)"),"")</f>
        <v/>
      </c>
      <c r="AF559" s="183" t="str">
        <f>IFERROR(__xludf.DUMMYFUNCTION("QUERY('Volunteer Survey'!G558)"),"")</f>
        <v/>
      </c>
      <c r="AG559" s="183" t="str">
        <f>IFERROR(__xludf.DUMMYFUNCTION("QUERY('Volunteer Survey'!H558)"),"")</f>
        <v/>
      </c>
      <c r="AH559" s="183" t="str">
        <f>IFERROR(__xludf.DUMMYFUNCTION("QUERY('Volunteer Survey'!I558)"),"")</f>
        <v/>
      </c>
      <c r="AI559" s="183" t="str">
        <f>IFERROR(__xludf.DUMMYFUNCTION("QUERY('Volunteer Survey'!J558)"),"")</f>
        <v/>
      </c>
      <c r="AJ559" s="183" t="str">
        <f>IFERROR(__xludf.DUMMYFUNCTION("QUERY('Volunteer Survey'!K558)"),"")</f>
        <v/>
      </c>
      <c r="AK559" s="183" t="str">
        <f>IFERROR(__xludf.DUMMYFUNCTION("QUERY('Volunteer Survey'!L558)"),"")</f>
        <v/>
      </c>
      <c r="AL559" s="183" t="str">
        <f>IFERROR(__xludf.DUMMYFUNCTION("QUERY('Volunteer Survey'!M558)"),"")</f>
        <v/>
      </c>
      <c r="AM559" s="183" t="str">
        <f>IFERROR(__xludf.DUMMYFUNCTION("QUERY('Volunteer Survey'!N558)"),"")</f>
        <v/>
      </c>
      <c r="AN559" s="183" t="str">
        <f>IFERROR(__xludf.DUMMYFUNCTION("QUERY('Volunteer Survey'!O558)"),"")</f>
        <v/>
      </c>
      <c r="AO559" s="183" t="str">
        <f>IFERROR(__xludf.DUMMYFUNCTION("QUERY('Volunteer Survey'!P558)"),"")</f>
        <v/>
      </c>
    </row>
    <row r="560">
      <c r="A560" s="55" t="str">
        <f>'Volunteer Survey'!A970</f>
        <v/>
      </c>
      <c r="B560" s="55"/>
      <c r="C560" s="53"/>
      <c r="D560" s="55"/>
      <c r="E560" s="55"/>
      <c r="F560" s="55" t="b">
        <v>0</v>
      </c>
      <c r="G560" s="55"/>
      <c r="H560" s="53"/>
      <c r="I560" s="53"/>
      <c r="J560" s="55"/>
      <c r="K560" s="55"/>
      <c r="L560" s="55" t="str">
        <f>'Volunteer Survey'!B970</f>
        <v/>
      </c>
      <c r="M560" s="55" t="str">
        <f>'Volunteer Survey'!E970</f>
        <v/>
      </c>
      <c r="N560" s="55"/>
      <c r="O560" s="55" t="b">
        <v>0</v>
      </c>
      <c r="P560" s="55"/>
      <c r="Q560" s="60" t="str">
        <f>'Volunteer Survey'!J970</f>
        <v/>
      </c>
      <c r="R560" s="55"/>
      <c r="S560" s="55"/>
      <c r="T560" s="55" t="str">
        <f>'Volunteer Survey'!M970</f>
        <v/>
      </c>
      <c r="U560" s="64"/>
      <c r="V560" s="55"/>
      <c r="W560" s="66" t="str">
        <f>'Volunteer Survey'!P970</f>
        <v/>
      </c>
      <c r="X560" s="55"/>
      <c r="Y560" s="53"/>
      <c r="Z560" s="183" t="str">
        <f>IFERROR(__xludf.DUMMYFUNCTION("QUERY('Volunteer Survey'!A559)"),"")</f>
        <v/>
      </c>
      <c r="AA560" s="183" t="str">
        <f>IFERROR(__xludf.DUMMYFUNCTION("QUERY('Volunteer Survey'!B559)"),"")</f>
        <v/>
      </c>
      <c r="AB560" s="183" t="str">
        <f>IFERROR(__xludf.DUMMYFUNCTION("QUERY('Volunteer Survey'!C559)"),"")</f>
        <v/>
      </c>
      <c r="AC560" s="183" t="str">
        <f>IFERROR(__xludf.DUMMYFUNCTION("QUERY('Volunteer Survey'!D559)"),"")</f>
        <v/>
      </c>
      <c r="AD560" s="183" t="str">
        <f>IFERROR(__xludf.DUMMYFUNCTION("QUERY('Volunteer Survey'!E559)"),"")</f>
        <v/>
      </c>
      <c r="AE560" s="183" t="str">
        <f>IFERROR(__xludf.DUMMYFUNCTION("QUERY('Volunteer Survey'!F559)"),"")</f>
        <v/>
      </c>
      <c r="AF560" s="183" t="str">
        <f>IFERROR(__xludf.DUMMYFUNCTION("QUERY('Volunteer Survey'!G559)"),"")</f>
        <v/>
      </c>
      <c r="AG560" s="183" t="str">
        <f>IFERROR(__xludf.DUMMYFUNCTION("QUERY('Volunteer Survey'!H559)"),"")</f>
        <v/>
      </c>
      <c r="AH560" s="183" t="str">
        <f>IFERROR(__xludf.DUMMYFUNCTION("QUERY('Volunteer Survey'!I559)"),"")</f>
        <v/>
      </c>
      <c r="AI560" s="183" t="str">
        <f>IFERROR(__xludf.DUMMYFUNCTION("QUERY('Volunteer Survey'!J559)"),"")</f>
        <v/>
      </c>
      <c r="AJ560" s="183" t="str">
        <f>IFERROR(__xludf.DUMMYFUNCTION("QUERY('Volunteer Survey'!K559)"),"")</f>
        <v/>
      </c>
      <c r="AK560" s="183" t="str">
        <f>IFERROR(__xludf.DUMMYFUNCTION("QUERY('Volunteer Survey'!L559)"),"")</f>
        <v/>
      </c>
      <c r="AL560" s="183" t="str">
        <f>IFERROR(__xludf.DUMMYFUNCTION("QUERY('Volunteer Survey'!M559)"),"")</f>
        <v/>
      </c>
      <c r="AM560" s="183" t="str">
        <f>IFERROR(__xludf.DUMMYFUNCTION("QUERY('Volunteer Survey'!N559)"),"")</f>
        <v/>
      </c>
      <c r="AN560" s="183" t="str">
        <f>IFERROR(__xludf.DUMMYFUNCTION("QUERY('Volunteer Survey'!O559)"),"")</f>
        <v/>
      </c>
      <c r="AO560" s="183" t="str">
        <f>IFERROR(__xludf.DUMMYFUNCTION("QUERY('Volunteer Survey'!P559)"),"")</f>
        <v/>
      </c>
    </row>
    <row r="561">
      <c r="A561" s="55" t="str">
        <f>'Volunteer Survey'!A971</f>
        <v/>
      </c>
      <c r="B561" s="55"/>
      <c r="C561" s="53"/>
      <c r="D561" s="55"/>
      <c r="E561" s="55"/>
      <c r="F561" s="55" t="b">
        <v>0</v>
      </c>
      <c r="G561" s="55"/>
      <c r="H561" s="53"/>
      <c r="I561" s="53"/>
      <c r="J561" s="55"/>
      <c r="K561" s="55"/>
      <c r="L561" s="55" t="str">
        <f>'Volunteer Survey'!B971</f>
        <v/>
      </c>
      <c r="M561" s="55" t="str">
        <f>'Volunteer Survey'!E971</f>
        <v/>
      </c>
      <c r="N561" s="55"/>
      <c r="O561" s="55" t="b">
        <v>0</v>
      </c>
      <c r="P561" s="55"/>
      <c r="Q561" s="60" t="str">
        <f>'Volunteer Survey'!J971</f>
        <v/>
      </c>
      <c r="R561" s="55"/>
      <c r="S561" s="55"/>
      <c r="T561" s="55" t="str">
        <f>'Volunteer Survey'!M971</f>
        <v/>
      </c>
      <c r="U561" s="64"/>
      <c r="V561" s="55"/>
      <c r="W561" s="66" t="str">
        <f>'Volunteer Survey'!P971</f>
        <v/>
      </c>
      <c r="X561" s="55"/>
      <c r="Y561" s="53"/>
      <c r="Z561" s="183" t="str">
        <f>IFERROR(__xludf.DUMMYFUNCTION("QUERY('Volunteer Survey'!A560)"),"")</f>
        <v/>
      </c>
      <c r="AA561" s="183" t="str">
        <f>IFERROR(__xludf.DUMMYFUNCTION("QUERY('Volunteer Survey'!B560)"),"")</f>
        <v/>
      </c>
      <c r="AB561" s="183" t="str">
        <f>IFERROR(__xludf.DUMMYFUNCTION("QUERY('Volunteer Survey'!C560)"),"")</f>
        <v/>
      </c>
      <c r="AC561" s="183" t="str">
        <f>IFERROR(__xludf.DUMMYFUNCTION("QUERY('Volunteer Survey'!D560)"),"")</f>
        <v/>
      </c>
      <c r="AD561" s="183" t="str">
        <f>IFERROR(__xludf.DUMMYFUNCTION("QUERY('Volunteer Survey'!E560)"),"")</f>
        <v/>
      </c>
      <c r="AE561" s="183" t="str">
        <f>IFERROR(__xludf.DUMMYFUNCTION("QUERY('Volunteer Survey'!F560)"),"")</f>
        <v/>
      </c>
      <c r="AF561" s="183" t="str">
        <f>IFERROR(__xludf.DUMMYFUNCTION("QUERY('Volunteer Survey'!G560)"),"")</f>
        <v/>
      </c>
      <c r="AG561" s="183" t="str">
        <f>IFERROR(__xludf.DUMMYFUNCTION("QUERY('Volunteer Survey'!H560)"),"")</f>
        <v/>
      </c>
      <c r="AH561" s="183" t="str">
        <f>IFERROR(__xludf.DUMMYFUNCTION("QUERY('Volunteer Survey'!I560)"),"")</f>
        <v/>
      </c>
      <c r="AI561" s="183" t="str">
        <f>IFERROR(__xludf.DUMMYFUNCTION("QUERY('Volunteer Survey'!J560)"),"")</f>
        <v/>
      </c>
      <c r="AJ561" s="183" t="str">
        <f>IFERROR(__xludf.DUMMYFUNCTION("QUERY('Volunteer Survey'!K560)"),"")</f>
        <v/>
      </c>
      <c r="AK561" s="183" t="str">
        <f>IFERROR(__xludf.DUMMYFUNCTION("QUERY('Volunteer Survey'!L560)"),"")</f>
        <v/>
      </c>
      <c r="AL561" s="183" t="str">
        <f>IFERROR(__xludf.DUMMYFUNCTION("QUERY('Volunteer Survey'!M560)"),"")</f>
        <v/>
      </c>
      <c r="AM561" s="183" t="str">
        <f>IFERROR(__xludf.DUMMYFUNCTION("QUERY('Volunteer Survey'!N560)"),"")</f>
        <v/>
      </c>
      <c r="AN561" s="183" t="str">
        <f>IFERROR(__xludf.DUMMYFUNCTION("QUERY('Volunteer Survey'!O560)"),"")</f>
        <v/>
      </c>
      <c r="AO561" s="183" t="str">
        <f>IFERROR(__xludf.DUMMYFUNCTION("QUERY('Volunteer Survey'!P560)"),"")</f>
        <v/>
      </c>
    </row>
    <row r="562">
      <c r="A562" s="55" t="str">
        <f>'Volunteer Survey'!A972</f>
        <v/>
      </c>
      <c r="B562" s="55"/>
      <c r="C562" s="53"/>
      <c r="D562" s="55"/>
      <c r="E562" s="55"/>
      <c r="F562" s="55" t="b">
        <v>0</v>
      </c>
      <c r="G562" s="55"/>
      <c r="H562" s="53"/>
      <c r="I562" s="53"/>
      <c r="J562" s="55"/>
      <c r="K562" s="55"/>
      <c r="L562" s="55" t="str">
        <f>'Volunteer Survey'!B972</f>
        <v/>
      </c>
      <c r="M562" s="55" t="str">
        <f>'Volunteer Survey'!E972</f>
        <v/>
      </c>
      <c r="N562" s="55"/>
      <c r="O562" s="55" t="b">
        <v>0</v>
      </c>
      <c r="P562" s="55"/>
      <c r="Q562" s="60" t="str">
        <f>'Volunteer Survey'!J972</f>
        <v/>
      </c>
      <c r="R562" s="55"/>
      <c r="S562" s="55"/>
      <c r="T562" s="55" t="str">
        <f>'Volunteer Survey'!M972</f>
        <v/>
      </c>
      <c r="U562" s="64"/>
      <c r="V562" s="55"/>
      <c r="W562" s="66" t="str">
        <f>'Volunteer Survey'!P972</f>
        <v/>
      </c>
      <c r="X562" s="55"/>
      <c r="Y562" s="53"/>
      <c r="Z562" s="183" t="str">
        <f>IFERROR(__xludf.DUMMYFUNCTION("QUERY('Volunteer Survey'!A561)"),"")</f>
        <v/>
      </c>
      <c r="AA562" s="183" t="str">
        <f>IFERROR(__xludf.DUMMYFUNCTION("QUERY('Volunteer Survey'!B561)"),"")</f>
        <v/>
      </c>
      <c r="AB562" s="183" t="str">
        <f>IFERROR(__xludf.DUMMYFUNCTION("QUERY('Volunteer Survey'!C561)"),"")</f>
        <v/>
      </c>
      <c r="AC562" s="183" t="str">
        <f>IFERROR(__xludf.DUMMYFUNCTION("QUERY('Volunteer Survey'!D561)"),"")</f>
        <v/>
      </c>
      <c r="AD562" s="183" t="str">
        <f>IFERROR(__xludf.DUMMYFUNCTION("QUERY('Volunteer Survey'!E561)"),"")</f>
        <v/>
      </c>
      <c r="AE562" s="183" t="str">
        <f>IFERROR(__xludf.DUMMYFUNCTION("QUERY('Volunteer Survey'!F561)"),"")</f>
        <v/>
      </c>
      <c r="AF562" s="183" t="str">
        <f>IFERROR(__xludf.DUMMYFUNCTION("QUERY('Volunteer Survey'!G561)"),"")</f>
        <v/>
      </c>
      <c r="AG562" s="183" t="str">
        <f>IFERROR(__xludf.DUMMYFUNCTION("QUERY('Volunteer Survey'!H561)"),"")</f>
        <v/>
      </c>
      <c r="AH562" s="183" t="str">
        <f>IFERROR(__xludf.DUMMYFUNCTION("QUERY('Volunteer Survey'!I561)"),"")</f>
        <v/>
      </c>
      <c r="AI562" s="183" t="str">
        <f>IFERROR(__xludf.DUMMYFUNCTION("QUERY('Volunteer Survey'!J561)"),"")</f>
        <v/>
      </c>
      <c r="AJ562" s="183" t="str">
        <f>IFERROR(__xludf.DUMMYFUNCTION("QUERY('Volunteer Survey'!K561)"),"")</f>
        <v/>
      </c>
      <c r="AK562" s="183" t="str">
        <f>IFERROR(__xludf.DUMMYFUNCTION("QUERY('Volunteer Survey'!L561)"),"")</f>
        <v/>
      </c>
      <c r="AL562" s="183" t="str">
        <f>IFERROR(__xludf.DUMMYFUNCTION("QUERY('Volunteer Survey'!M561)"),"")</f>
        <v/>
      </c>
      <c r="AM562" s="183" t="str">
        <f>IFERROR(__xludf.DUMMYFUNCTION("QUERY('Volunteer Survey'!N561)"),"")</f>
        <v/>
      </c>
      <c r="AN562" s="183" t="str">
        <f>IFERROR(__xludf.DUMMYFUNCTION("QUERY('Volunteer Survey'!O561)"),"")</f>
        <v/>
      </c>
      <c r="AO562" s="183" t="str">
        <f>IFERROR(__xludf.DUMMYFUNCTION("QUERY('Volunteer Survey'!P561)"),"")</f>
        <v/>
      </c>
    </row>
    <row r="563">
      <c r="A563" s="55" t="str">
        <f>'Volunteer Survey'!A973</f>
        <v/>
      </c>
      <c r="B563" s="55"/>
      <c r="C563" s="53"/>
      <c r="D563" s="55"/>
      <c r="E563" s="55"/>
      <c r="F563" s="55" t="b">
        <v>0</v>
      </c>
      <c r="G563" s="55"/>
      <c r="H563" s="53"/>
      <c r="I563" s="53"/>
      <c r="J563" s="55"/>
      <c r="K563" s="55"/>
      <c r="L563" s="55" t="str">
        <f>'Volunteer Survey'!B973</f>
        <v/>
      </c>
      <c r="M563" s="55" t="str">
        <f>'Volunteer Survey'!E973</f>
        <v/>
      </c>
      <c r="N563" s="55"/>
      <c r="O563" s="55" t="b">
        <v>0</v>
      </c>
      <c r="P563" s="55"/>
      <c r="Q563" s="60" t="str">
        <f>'Volunteer Survey'!J973</f>
        <v/>
      </c>
      <c r="R563" s="55"/>
      <c r="S563" s="55"/>
      <c r="T563" s="55" t="str">
        <f>'Volunteer Survey'!M973</f>
        <v/>
      </c>
      <c r="U563" s="64"/>
      <c r="V563" s="55"/>
      <c r="W563" s="66" t="str">
        <f>'Volunteer Survey'!P973</f>
        <v/>
      </c>
      <c r="X563" s="55"/>
      <c r="Y563" s="53"/>
      <c r="Z563" s="183" t="str">
        <f>IFERROR(__xludf.DUMMYFUNCTION("QUERY('Volunteer Survey'!A562)"),"")</f>
        <v/>
      </c>
      <c r="AA563" s="183" t="str">
        <f>IFERROR(__xludf.DUMMYFUNCTION("QUERY('Volunteer Survey'!B562)"),"")</f>
        <v/>
      </c>
      <c r="AB563" s="183" t="str">
        <f>IFERROR(__xludf.DUMMYFUNCTION("QUERY('Volunteer Survey'!C562)"),"")</f>
        <v/>
      </c>
      <c r="AC563" s="183" t="str">
        <f>IFERROR(__xludf.DUMMYFUNCTION("QUERY('Volunteer Survey'!D562)"),"")</f>
        <v/>
      </c>
      <c r="AD563" s="183" t="str">
        <f>IFERROR(__xludf.DUMMYFUNCTION("QUERY('Volunteer Survey'!E562)"),"")</f>
        <v/>
      </c>
      <c r="AE563" s="183" t="str">
        <f>IFERROR(__xludf.DUMMYFUNCTION("QUERY('Volunteer Survey'!F562)"),"")</f>
        <v/>
      </c>
      <c r="AF563" s="183" t="str">
        <f>IFERROR(__xludf.DUMMYFUNCTION("QUERY('Volunteer Survey'!G562)"),"")</f>
        <v/>
      </c>
      <c r="AG563" s="183" t="str">
        <f>IFERROR(__xludf.DUMMYFUNCTION("QUERY('Volunteer Survey'!H562)"),"")</f>
        <v/>
      </c>
      <c r="AH563" s="183" t="str">
        <f>IFERROR(__xludf.DUMMYFUNCTION("QUERY('Volunteer Survey'!I562)"),"")</f>
        <v/>
      </c>
      <c r="AI563" s="183" t="str">
        <f>IFERROR(__xludf.DUMMYFUNCTION("QUERY('Volunteer Survey'!J562)"),"")</f>
        <v/>
      </c>
      <c r="AJ563" s="183" t="str">
        <f>IFERROR(__xludf.DUMMYFUNCTION("QUERY('Volunteer Survey'!K562)"),"")</f>
        <v/>
      </c>
      <c r="AK563" s="183" t="str">
        <f>IFERROR(__xludf.DUMMYFUNCTION("QUERY('Volunteer Survey'!L562)"),"")</f>
        <v/>
      </c>
      <c r="AL563" s="183" t="str">
        <f>IFERROR(__xludf.DUMMYFUNCTION("QUERY('Volunteer Survey'!M562)"),"")</f>
        <v/>
      </c>
      <c r="AM563" s="183" t="str">
        <f>IFERROR(__xludf.DUMMYFUNCTION("QUERY('Volunteer Survey'!N562)"),"")</f>
        <v/>
      </c>
      <c r="AN563" s="183" t="str">
        <f>IFERROR(__xludf.DUMMYFUNCTION("QUERY('Volunteer Survey'!O562)"),"")</f>
        <v/>
      </c>
      <c r="AO563" s="183" t="str">
        <f>IFERROR(__xludf.DUMMYFUNCTION("QUERY('Volunteer Survey'!P562)"),"")</f>
        <v/>
      </c>
    </row>
    <row r="564">
      <c r="A564" s="55" t="str">
        <f>'Volunteer Survey'!A974</f>
        <v/>
      </c>
      <c r="B564" s="55"/>
      <c r="C564" s="53"/>
      <c r="D564" s="55"/>
      <c r="E564" s="55"/>
      <c r="F564" s="55" t="b">
        <v>0</v>
      </c>
      <c r="G564" s="55"/>
      <c r="H564" s="53"/>
      <c r="I564" s="53"/>
      <c r="J564" s="55"/>
      <c r="K564" s="55"/>
      <c r="L564" s="55" t="str">
        <f>'Volunteer Survey'!B974</f>
        <v/>
      </c>
      <c r="M564" s="55" t="str">
        <f>'Volunteer Survey'!E974</f>
        <v/>
      </c>
      <c r="N564" s="55"/>
      <c r="O564" s="55" t="b">
        <v>0</v>
      </c>
      <c r="P564" s="55"/>
      <c r="Q564" s="60" t="str">
        <f>'Volunteer Survey'!J974</f>
        <v/>
      </c>
      <c r="R564" s="55"/>
      <c r="S564" s="55"/>
      <c r="T564" s="55" t="str">
        <f>'Volunteer Survey'!M974</f>
        <v/>
      </c>
      <c r="U564" s="64"/>
      <c r="V564" s="55"/>
      <c r="W564" s="66" t="str">
        <f>'Volunteer Survey'!P974</f>
        <v/>
      </c>
      <c r="X564" s="55"/>
      <c r="Y564" s="53"/>
      <c r="Z564" s="183" t="str">
        <f>IFERROR(__xludf.DUMMYFUNCTION("QUERY('Volunteer Survey'!A563)"),"")</f>
        <v/>
      </c>
      <c r="AA564" s="183" t="str">
        <f>IFERROR(__xludf.DUMMYFUNCTION("QUERY('Volunteer Survey'!B563)"),"")</f>
        <v/>
      </c>
      <c r="AB564" s="183" t="str">
        <f>IFERROR(__xludf.DUMMYFUNCTION("QUERY('Volunteer Survey'!C563)"),"")</f>
        <v/>
      </c>
      <c r="AC564" s="183" t="str">
        <f>IFERROR(__xludf.DUMMYFUNCTION("QUERY('Volunteer Survey'!D563)"),"")</f>
        <v/>
      </c>
      <c r="AD564" s="183" t="str">
        <f>IFERROR(__xludf.DUMMYFUNCTION("QUERY('Volunteer Survey'!E563)"),"")</f>
        <v/>
      </c>
      <c r="AE564" s="183" t="str">
        <f>IFERROR(__xludf.DUMMYFUNCTION("QUERY('Volunteer Survey'!F563)"),"")</f>
        <v/>
      </c>
      <c r="AF564" s="183" t="str">
        <f>IFERROR(__xludf.DUMMYFUNCTION("QUERY('Volunteer Survey'!G563)"),"")</f>
        <v/>
      </c>
      <c r="AG564" s="183" t="str">
        <f>IFERROR(__xludf.DUMMYFUNCTION("QUERY('Volunteer Survey'!H563)"),"")</f>
        <v/>
      </c>
      <c r="AH564" s="183" t="str">
        <f>IFERROR(__xludf.DUMMYFUNCTION("QUERY('Volunteer Survey'!I563)"),"")</f>
        <v/>
      </c>
      <c r="AI564" s="183" t="str">
        <f>IFERROR(__xludf.DUMMYFUNCTION("QUERY('Volunteer Survey'!J563)"),"")</f>
        <v/>
      </c>
      <c r="AJ564" s="183" t="str">
        <f>IFERROR(__xludf.DUMMYFUNCTION("QUERY('Volunteer Survey'!K563)"),"")</f>
        <v/>
      </c>
      <c r="AK564" s="183" t="str">
        <f>IFERROR(__xludf.DUMMYFUNCTION("QUERY('Volunteer Survey'!L563)"),"")</f>
        <v/>
      </c>
      <c r="AL564" s="183" t="str">
        <f>IFERROR(__xludf.DUMMYFUNCTION("QUERY('Volunteer Survey'!M563)"),"")</f>
        <v/>
      </c>
      <c r="AM564" s="183" t="str">
        <f>IFERROR(__xludf.DUMMYFUNCTION("QUERY('Volunteer Survey'!N563)"),"")</f>
        <v/>
      </c>
      <c r="AN564" s="183" t="str">
        <f>IFERROR(__xludf.DUMMYFUNCTION("QUERY('Volunteer Survey'!O563)"),"")</f>
        <v/>
      </c>
      <c r="AO564" s="183" t="str">
        <f>IFERROR(__xludf.DUMMYFUNCTION("QUERY('Volunteer Survey'!P563)"),"")</f>
        <v/>
      </c>
    </row>
    <row r="565">
      <c r="A565" s="55" t="str">
        <f>'Volunteer Survey'!A975</f>
        <v/>
      </c>
      <c r="B565" s="55"/>
      <c r="C565" s="53"/>
      <c r="D565" s="55"/>
      <c r="E565" s="55"/>
      <c r="F565" s="55" t="b">
        <v>0</v>
      </c>
      <c r="G565" s="55"/>
      <c r="H565" s="53"/>
      <c r="I565" s="53"/>
      <c r="J565" s="55"/>
      <c r="K565" s="55"/>
      <c r="L565" s="55" t="str">
        <f>'Volunteer Survey'!B975</f>
        <v/>
      </c>
      <c r="M565" s="55" t="str">
        <f>'Volunteer Survey'!E975</f>
        <v/>
      </c>
      <c r="N565" s="55"/>
      <c r="O565" s="55" t="b">
        <v>0</v>
      </c>
      <c r="P565" s="55"/>
      <c r="Q565" s="60" t="str">
        <f>'Volunteer Survey'!J975</f>
        <v/>
      </c>
      <c r="R565" s="55"/>
      <c r="S565" s="55"/>
      <c r="T565" s="55" t="str">
        <f>'Volunteer Survey'!M975</f>
        <v/>
      </c>
      <c r="U565" s="64"/>
      <c r="V565" s="55"/>
      <c r="W565" s="66" t="str">
        <f>'Volunteer Survey'!P975</f>
        <v/>
      </c>
      <c r="X565" s="55"/>
      <c r="Y565" s="53"/>
      <c r="Z565" s="183" t="str">
        <f>IFERROR(__xludf.DUMMYFUNCTION("QUERY('Volunteer Survey'!A564)"),"")</f>
        <v/>
      </c>
      <c r="AA565" s="183" t="str">
        <f>IFERROR(__xludf.DUMMYFUNCTION("QUERY('Volunteer Survey'!B564)"),"")</f>
        <v/>
      </c>
      <c r="AB565" s="183" t="str">
        <f>IFERROR(__xludf.DUMMYFUNCTION("QUERY('Volunteer Survey'!C564)"),"")</f>
        <v/>
      </c>
      <c r="AC565" s="183" t="str">
        <f>IFERROR(__xludf.DUMMYFUNCTION("QUERY('Volunteer Survey'!D564)"),"")</f>
        <v/>
      </c>
      <c r="AD565" s="183" t="str">
        <f>IFERROR(__xludf.DUMMYFUNCTION("QUERY('Volunteer Survey'!E564)"),"")</f>
        <v/>
      </c>
      <c r="AE565" s="183" t="str">
        <f>IFERROR(__xludf.DUMMYFUNCTION("QUERY('Volunteer Survey'!F564)"),"")</f>
        <v/>
      </c>
      <c r="AF565" s="183" t="str">
        <f>IFERROR(__xludf.DUMMYFUNCTION("QUERY('Volunteer Survey'!G564)"),"")</f>
        <v/>
      </c>
      <c r="AG565" s="183" t="str">
        <f>IFERROR(__xludf.DUMMYFUNCTION("QUERY('Volunteer Survey'!H564)"),"")</f>
        <v/>
      </c>
      <c r="AH565" s="183" t="str">
        <f>IFERROR(__xludf.DUMMYFUNCTION("QUERY('Volunteer Survey'!I564)"),"")</f>
        <v/>
      </c>
      <c r="AI565" s="183" t="str">
        <f>IFERROR(__xludf.DUMMYFUNCTION("QUERY('Volunteer Survey'!J564)"),"")</f>
        <v/>
      </c>
      <c r="AJ565" s="183" t="str">
        <f>IFERROR(__xludf.DUMMYFUNCTION("QUERY('Volunteer Survey'!K564)"),"")</f>
        <v/>
      </c>
      <c r="AK565" s="183" t="str">
        <f>IFERROR(__xludf.DUMMYFUNCTION("QUERY('Volunteer Survey'!L564)"),"")</f>
        <v/>
      </c>
      <c r="AL565" s="183" t="str">
        <f>IFERROR(__xludf.DUMMYFUNCTION("QUERY('Volunteer Survey'!M564)"),"")</f>
        <v/>
      </c>
      <c r="AM565" s="183" t="str">
        <f>IFERROR(__xludf.DUMMYFUNCTION("QUERY('Volunteer Survey'!N564)"),"")</f>
        <v/>
      </c>
      <c r="AN565" s="183" t="str">
        <f>IFERROR(__xludf.DUMMYFUNCTION("QUERY('Volunteer Survey'!O564)"),"")</f>
        <v/>
      </c>
      <c r="AO565" s="183" t="str">
        <f>IFERROR(__xludf.DUMMYFUNCTION("QUERY('Volunteer Survey'!P564)"),"")</f>
        <v/>
      </c>
    </row>
    <row r="566">
      <c r="A566" s="55" t="str">
        <f>'Volunteer Survey'!A976</f>
        <v/>
      </c>
      <c r="B566" s="55"/>
      <c r="C566" s="53"/>
      <c r="D566" s="55"/>
      <c r="E566" s="55"/>
      <c r="F566" s="55" t="b">
        <v>0</v>
      </c>
      <c r="G566" s="55"/>
      <c r="H566" s="53"/>
      <c r="I566" s="53"/>
      <c r="J566" s="55"/>
      <c r="K566" s="55"/>
      <c r="L566" s="55" t="str">
        <f>'Volunteer Survey'!B976</f>
        <v/>
      </c>
      <c r="M566" s="55" t="str">
        <f>'Volunteer Survey'!E976</f>
        <v/>
      </c>
      <c r="N566" s="55"/>
      <c r="O566" s="55" t="b">
        <v>0</v>
      </c>
      <c r="P566" s="55"/>
      <c r="Q566" s="60" t="str">
        <f>'Volunteer Survey'!J976</f>
        <v/>
      </c>
      <c r="R566" s="55"/>
      <c r="S566" s="55"/>
      <c r="T566" s="55" t="str">
        <f>'Volunteer Survey'!M976</f>
        <v/>
      </c>
      <c r="U566" s="64"/>
      <c r="V566" s="55"/>
      <c r="W566" s="66" t="str">
        <f>'Volunteer Survey'!P976</f>
        <v/>
      </c>
      <c r="X566" s="55"/>
      <c r="Y566" s="53"/>
      <c r="Z566" s="183" t="str">
        <f>IFERROR(__xludf.DUMMYFUNCTION("QUERY('Volunteer Survey'!A565)"),"")</f>
        <v/>
      </c>
      <c r="AA566" s="183" t="str">
        <f>IFERROR(__xludf.DUMMYFUNCTION("QUERY('Volunteer Survey'!B565)"),"")</f>
        <v/>
      </c>
      <c r="AB566" s="183" t="str">
        <f>IFERROR(__xludf.DUMMYFUNCTION("QUERY('Volunteer Survey'!C565)"),"")</f>
        <v/>
      </c>
      <c r="AC566" s="183" t="str">
        <f>IFERROR(__xludf.DUMMYFUNCTION("QUERY('Volunteer Survey'!D565)"),"")</f>
        <v/>
      </c>
      <c r="AD566" s="183" t="str">
        <f>IFERROR(__xludf.DUMMYFUNCTION("QUERY('Volunteer Survey'!E565)"),"")</f>
        <v/>
      </c>
      <c r="AE566" s="183" t="str">
        <f>IFERROR(__xludf.DUMMYFUNCTION("QUERY('Volunteer Survey'!F565)"),"")</f>
        <v/>
      </c>
      <c r="AF566" s="183" t="str">
        <f>IFERROR(__xludf.DUMMYFUNCTION("QUERY('Volunteer Survey'!G565)"),"")</f>
        <v/>
      </c>
      <c r="AG566" s="183" t="str">
        <f>IFERROR(__xludf.DUMMYFUNCTION("QUERY('Volunteer Survey'!H565)"),"")</f>
        <v/>
      </c>
      <c r="AH566" s="183" t="str">
        <f>IFERROR(__xludf.DUMMYFUNCTION("QUERY('Volunteer Survey'!I565)"),"")</f>
        <v/>
      </c>
      <c r="AI566" s="183" t="str">
        <f>IFERROR(__xludf.DUMMYFUNCTION("QUERY('Volunteer Survey'!J565)"),"")</f>
        <v/>
      </c>
      <c r="AJ566" s="183" t="str">
        <f>IFERROR(__xludf.DUMMYFUNCTION("QUERY('Volunteer Survey'!K565)"),"")</f>
        <v/>
      </c>
      <c r="AK566" s="183" t="str">
        <f>IFERROR(__xludf.DUMMYFUNCTION("QUERY('Volunteer Survey'!L565)"),"")</f>
        <v/>
      </c>
      <c r="AL566" s="183" t="str">
        <f>IFERROR(__xludf.DUMMYFUNCTION("QUERY('Volunteer Survey'!M565)"),"")</f>
        <v/>
      </c>
      <c r="AM566" s="183" t="str">
        <f>IFERROR(__xludf.DUMMYFUNCTION("QUERY('Volunteer Survey'!N565)"),"")</f>
        <v/>
      </c>
      <c r="AN566" s="183" t="str">
        <f>IFERROR(__xludf.DUMMYFUNCTION("QUERY('Volunteer Survey'!O565)"),"")</f>
        <v/>
      </c>
      <c r="AO566" s="183" t="str">
        <f>IFERROR(__xludf.DUMMYFUNCTION("QUERY('Volunteer Survey'!P565)"),"")</f>
        <v/>
      </c>
    </row>
    <row r="567">
      <c r="A567" s="55" t="str">
        <f>'Volunteer Survey'!A977</f>
        <v/>
      </c>
      <c r="B567" s="55"/>
      <c r="C567" s="53"/>
      <c r="D567" s="55"/>
      <c r="E567" s="55"/>
      <c r="F567" s="55" t="b">
        <v>0</v>
      </c>
      <c r="G567" s="55"/>
      <c r="H567" s="53"/>
      <c r="I567" s="53"/>
      <c r="J567" s="55"/>
      <c r="K567" s="55"/>
      <c r="L567" s="55" t="str">
        <f>'Volunteer Survey'!B977</f>
        <v/>
      </c>
      <c r="M567" s="55" t="str">
        <f>'Volunteer Survey'!E977</f>
        <v/>
      </c>
      <c r="N567" s="55"/>
      <c r="O567" s="55" t="b">
        <v>0</v>
      </c>
      <c r="P567" s="55"/>
      <c r="Q567" s="60" t="str">
        <f>'Volunteer Survey'!J977</f>
        <v/>
      </c>
      <c r="R567" s="55"/>
      <c r="S567" s="55"/>
      <c r="T567" s="55" t="str">
        <f>'Volunteer Survey'!M977</f>
        <v/>
      </c>
      <c r="U567" s="64"/>
      <c r="V567" s="55"/>
      <c r="W567" s="66" t="str">
        <f>'Volunteer Survey'!P977</f>
        <v/>
      </c>
      <c r="X567" s="55"/>
      <c r="Y567" s="53"/>
      <c r="Z567" s="183" t="str">
        <f>IFERROR(__xludf.DUMMYFUNCTION("QUERY('Volunteer Survey'!A566)"),"")</f>
        <v/>
      </c>
      <c r="AA567" s="183" t="str">
        <f>IFERROR(__xludf.DUMMYFUNCTION("QUERY('Volunteer Survey'!B566)"),"")</f>
        <v/>
      </c>
      <c r="AB567" s="183" t="str">
        <f>IFERROR(__xludf.DUMMYFUNCTION("QUERY('Volunteer Survey'!C566)"),"")</f>
        <v/>
      </c>
      <c r="AC567" s="183" t="str">
        <f>IFERROR(__xludf.DUMMYFUNCTION("QUERY('Volunteer Survey'!D566)"),"")</f>
        <v/>
      </c>
      <c r="AD567" s="183" t="str">
        <f>IFERROR(__xludf.DUMMYFUNCTION("QUERY('Volunteer Survey'!E566)"),"")</f>
        <v/>
      </c>
      <c r="AE567" s="183" t="str">
        <f>IFERROR(__xludf.DUMMYFUNCTION("QUERY('Volunteer Survey'!F566)"),"")</f>
        <v/>
      </c>
      <c r="AF567" s="183" t="str">
        <f>IFERROR(__xludf.DUMMYFUNCTION("QUERY('Volunteer Survey'!G566)"),"")</f>
        <v/>
      </c>
      <c r="AG567" s="183" t="str">
        <f>IFERROR(__xludf.DUMMYFUNCTION("QUERY('Volunteer Survey'!H566)"),"")</f>
        <v/>
      </c>
      <c r="AH567" s="183" t="str">
        <f>IFERROR(__xludf.DUMMYFUNCTION("QUERY('Volunteer Survey'!I566)"),"")</f>
        <v/>
      </c>
      <c r="AI567" s="183" t="str">
        <f>IFERROR(__xludf.DUMMYFUNCTION("QUERY('Volunteer Survey'!J566)"),"")</f>
        <v/>
      </c>
      <c r="AJ567" s="183" t="str">
        <f>IFERROR(__xludf.DUMMYFUNCTION("QUERY('Volunteer Survey'!K566)"),"")</f>
        <v/>
      </c>
      <c r="AK567" s="183" t="str">
        <f>IFERROR(__xludf.DUMMYFUNCTION("QUERY('Volunteer Survey'!L566)"),"")</f>
        <v/>
      </c>
      <c r="AL567" s="183" t="str">
        <f>IFERROR(__xludf.DUMMYFUNCTION("QUERY('Volunteer Survey'!M566)"),"")</f>
        <v/>
      </c>
      <c r="AM567" s="183" t="str">
        <f>IFERROR(__xludf.DUMMYFUNCTION("QUERY('Volunteer Survey'!N566)"),"")</f>
        <v/>
      </c>
      <c r="AN567" s="183" t="str">
        <f>IFERROR(__xludf.DUMMYFUNCTION("QUERY('Volunteer Survey'!O566)"),"")</f>
        <v/>
      </c>
      <c r="AO567" s="183" t="str">
        <f>IFERROR(__xludf.DUMMYFUNCTION("QUERY('Volunteer Survey'!P566)"),"")</f>
        <v/>
      </c>
    </row>
    <row r="568">
      <c r="A568" s="55" t="str">
        <f>'Volunteer Survey'!A978</f>
        <v/>
      </c>
      <c r="B568" s="55"/>
      <c r="C568" s="53"/>
      <c r="D568" s="55"/>
      <c r="E568" s="55"/>
      <c r="F568" s="55" t="b">
        <v>0</v>
      </c>
      <c r="G568" s="55"/>
      <c r="H568" s="53"/>
      <c r="I568" s="53"/>
      <c r="J568" s="55"/>
      <c r="K568" s="55"/>
      <c r="L568" s="55" t="str">
        <f>'Volunteer Survey'!B978</f>
        <v/>
      </c>
      <c r="M568" s="55" t="str">
        <f>'Volunteer Survey'!E978</f>
        <v/>
      </c>
      <c r="N568" s="55"/>
      <c r="O568" s="55" t="b">
        <v>0</v>
      </c>
      <c r="P568" s="55"/>
      <c r="Q568" s="60" t="str">
        <f>'Volunteer Survey'!J978</f>
        <v/>
      </c>
      <c r="R568" s="55"/>
      <c r="S568" s="55"/>
      <c r="T568" s="55" t="str">
        <f>'Volunteer Survey'!M978</f>
        <v/>
      </c>
      <c r="U568" s="64"/>
      <c r="V568" s="55"/>
      <c r="W568" s="66" t="str">
        <f>'Volunteer Survey'!P978</f>
        <v/>
      </c>
      <c r="X568" s="55"/>
      <c r="Y568" s="53"/>
      <c r="Z568" s="183" t="str">
        <f>IFERROR(__xludf.DUMMYFUNCTION("QUERY('Volunteer Survey'!A567)"),"")</f>
        <v/>
      </c>
      <c r="AA568" s="183" t="str">
        <f>IFERROR(__xludf.DUMMYFUNCTION("QUERY('Volunteer Survey'!B567)"),"")</f>
        <v/>
      </c>
      <c r="AB568" s="183" t="str">
        <f>IFERROR(__xludf.DUMMYFUNCTION("QUERY('Volunteer Survey'!C567)"),"")</f>
        <v/>
      </c>
      <c r="AC568" s="183" t="str">
        <f>IFERROR(__xludf.DUMMYFUNCTION("QUERY('Volunteer Survey'!D567)"),"")</f>
        <v/>
      </c>
      <c r="AD568" s="183" t="str">
        <f>IFERROR(__xludf.DUMMYFUNCTION("QUERY('Volunteer Survey'!E567)"),"")</f>
        <v/>
      </c>
      <c r="AE568" s="183" t="str">
        <f>IFERROR(__xludf.DUMMYFUNCTION("QUERY('Volunteer Survey'!F567)"),"")</f>
        <v/>
      </c>
      <c r="AF568" s="183" t="str">
        <f>IFERROR(__xludf.DUMMYFUNCTION("QUERY('Volunteer Survey'!G567)"),"")</f>
        <v/>
      </c>
      <c r="AG568" s="183" t="str">
        <f>IFERROR(__xludf.DUMMYFUNCTION("QUERY('Volunteer Survey'!H567)"),"")</f>
        <v/>
      </c>
      <c r="AH568" s="183" t="str">
        <f>IFERROR(__xludf.DUMMYFUNCTION("QUERY('Volunteer Survey'!I567)"),"")</f>
        <v/>
      </c>
      <c r="AI568" s="183" t="str">
        <f>IFERROR(__xludf.DUMMYFUNCTION("QUERY('Volunteer Survey'!J567)"),"")</f>
        <v/>
      </c>
      <c r="AJ568" s="183" t="str">
        <f>IFERROR(__xludf.DUMMYFUNCTION("QUERY('Volunteer Survey'!K567)"),"")</f>
        <v/>
      </c>
      <c r="AK568" s="183" t="str">
        <f>IFERROR(__xludf.DUMMYFUNCTION("QUERY('Volunteer Survey'!L567)"),"")</f>
        <v/>
      </c>
      <c r="AL568" s="183" t="str">
        <f>IFERROR(__xludf.DUMMYFUNCTION("QUERY('Volunteer Survey'!M567)"),"")</f>
        <v/>
      </c>
      <c r="AM568" s="183" t="str">
        <f>IFERROR(__xludf.DUMMYFUNCTION("QUERY('Volunteer Survey'!N567)"),"")</f>
        <v/>
      </c>
      <c r="AN568" s="183" t="str">
        <f>IFERROR(__xludf.DUMMYFUNCTION("QUERY('Volunteer Survey'!O567)"),"")</f>
        <v/>
      </c>
      <c r="AO568" s="183" t="str">
        <f>IFERROR(__xludf.DUMMYFUNCTION("QUERY('Volunteer Survey'!P567)"),"")</f>
        <v/>
      </c>
    </row>
    <row r="569">
      <c r="A569" s="55" t="str">
        <f>'Volunteer Survey'!A979</f>
        <v/>
      </c>
      <c r="B569" s="55"/>
      <c r="C569" s="53"/>
      <c r="D569" s="55"/>
      <c r="E569" s="55"/>
      <c r="F569" s="55" t="b">
        <v>0</v>
      </c>
      <c r="G569" s="55"/>
      <c r="H569" s="53"/>
      <c r="I569" s="53"/>
      <c r="J569" s="55"/>
      <c r="K569" s="55"/>
      <c r="L569" s="55" t="str">
        <f>'Volunteer Survey'!B979</f>
        <v/>
      </c>
      <c r="M569" s="55" t="str">
        <f>'Volunteer Survey'!E979</f>
        <v/>
      </c>
      <c r="N569" s="55"/>
      <c r="O569" s="55" t="b">
        <v>0</v>
      </c>
      <c r="P569" s="55"/>
      <c r="Q569" s="60" t="str">
        <f>'Volunteer Survey'!J979</f>
        <v/>
      </c>
      <c r="R569" s="55"/>
      <c r="S569" s="55"/>
      <c r="T569" s="55" t="str">
        <f>'Volunteer Survey'!M979</f>
        <v/>
      </c>
      <c r="U569" s="64"/>
      <c r="V569" s="55"/>
      <c r="W569" s="66" t="str">
        <f>'Volunteer Survey'!P979</f>
        <v/>
      </c>
      <c r="X569" s="55"/>
      <c r="Y569" s="53"/>
      <c r="Z569" s="183" t="str">
        <f>IFERROR(__xludf.DUMMYFUNCTION("QUERY('Volunteer Survey'!A568)"),"")</f>
        <v/>
      </c>
      <c r="AA569" s="183" t="str">
        <f>IFERROR(__xludf.DUMMYFUNCTION("QUERY('Volunteer Survey'!B568)"),"")</f>
        <v/>
      </c>
      <c r="AB569" s="183" t="str">
        <f>IFERROR(__xludf.DUMMYFUNCTION("QUERY('Volunteer Survey'!C568)"),"")</f>
        <v/>
      </c>
      <c r="AC569" s="183" t="str">
        <f>IFERROR(__xludf.DUMMYFUNCTION("QUERY('Volunteer Survey'!D568)"),"")</f>
        <v/>
      </c>
      <c r="AD569" s="183" t="str">
        <f>IFERROR(__xludf.DUMMYFUNCTION("QUERY('Volunteer Survey'!E568)"),"")</f>
        <v/>
      </c>
      <c r="AE569" s="183" t="str">
        <f>IFERROR(__xludf.DUMMYFUNCTION("QUERY('Volunteer Survey'!F568)"),"")</f>
        <v/>
      </c>
      <c r="AF569" s="183" t="str">
        <f>IFERROR(__xludf.DUMMYFUNCTION("QUERY('Volunteer Survey'!G568)"),"")</f>
        <v/>
      </c>
      <c r="AG569" s="183" t="str">
        <f>IFERROR(__xludf.DUMMYFUNCTION("QUERY('Volunteer Survey'!H568)"),"")</f>
        <v/>
      </c>
      <c r="AH569" s="183" t="str">
        <f>IFERROR(__xludf.DUMMYFUNCTION("QUERY('Volunteer Survey'!I568)"),"")</f>
        <v/>
      </c>
      <c r="AI569" s="183" t="str">
        <f>IFERROR(__xludf.DUMMYFUNCTION("QUERY('Volunteer Survey'!J568)"),"")</f>
        <v/>
      </c>
      <c r="AJ569" s="183" t="str">
        <f>IFERROR(__xludf.DUMMYFUNCTION("QUERY('Volunteer Survey'!K568)"),"")</f>
        <v/>
      </c>
      <c r="AK569" s="183" t="str">
        <f>IFERROR(__xludf.DUMMYFUNCTION("QUERY('Volunteer Survey'!L568)"),"")</f>
        <v/>
      </c>
      <c r="AL569" s="183" t="str">
        <f>IFERROR(__xludf.DUMMYFUNCTION("QUERY('Volunteer Survey'!M568)"),"")</f>
        <v/>
      </c>
      <c r="AM569" s="183" t="str">
        <f>IFERROR(__xludf.DUMMYFUNCTION("QUERY('Volunteer Survey'!N568)"),"")</f>
        <v/>
      </c>
      <c r="AN569" s="183" t="str">
        <f>IFERROR(__xludf.DUMMYFUNCTION("QUERY('Volunteer Survey'!O568)"),"")</f>
        <v/>
      </c>
      <c r="AO569" s="183" t="str">
        <f>IFERROR(__xludf.DUMMYFUNCTION("QUERY('Volunteer Survey'!P568)"),"")</f>
        <v/>
      </c>
    </row>
    <row r="570">
      <c r="A570" s="55" t="str">
        <f>'Volunteer Survey'!A980</f>
        <v/>
      </c>
      <c r="B570" s="55"/>
      <c r="C570" s="53"/>
      <c r="D570" s="55"/>
      <c r="E570" s="55"/>
      <c r="F570" s="55" t="b">
        <v>0</v>
      </c>
      <c r="G570" s="55"/>
      <c r="H570" s="53"/>
      <c r="I570" s="53"/>
      <c r="J570" s="55"/>
      <c r="K570" s="55"/>
      <c r="L570" s="55" t="str">
        <f>'Volunteer Survey'!B980</f>
        <v/>
      </c>
      <c r="M570" s="55" t="str">
        <f>'Volunteer Survey'!E980</f>
        <v/>
      </c>
      <c r="N570" s="55"/>
      <c r="O570" s="55" t="b">
        <v>0</v>
      </c>
      <c r="P570" s="55"/>
      <c r="Q570" s="60" t="str">
        <f>'Volunteer Survey'!J980</f>
        <v/>
      </c>
      <c r="R570" s="55"/>
      <c r="S570" s="55"/>
      <c r="T570" s="55" t="str">
        <f>'Volunteer Survey'!M980</f>
        <v/>
      </c>
      <c r="U570" s="64"/>
      <c r="V570" s="55"/>
      <c r="W570" s="66" t="str">
        <f>'Volunteer Survey'!P980</f>
        <v/>
      </c>
      <c r="X570" s="55"/>
      <c r="Y570" s="53"/>
      <c r="Z570" s="183" t="str">
        <f>IFERROR(__xludf.DUMMYFUNCTION("QUERY('Volunteer Survey'!A569)"),"")</f>
        <v/>
      </c>
      <c r="AA570" s="183" t="str">
        <f>IFERROR(__xludf.DUMMYFUNCTION("QUERY('Volunteer Survey'!B569)"),"")</f>
        <v/>
      </c>
      <c r="AB570" s="183" t="str">
        <f>IFERROR(__xludf.DUMMYFUNCTION("QUERY('Volunteer Survey'!C569)"),"")</f>
        <v/>
      </c>
      <c r="AC570" s="183" t="str">
        <f>IFERROR(__xludf.DUMMYFUNCTION("QUERY('Volunteer Survey'!D569)"),"")</f>
        <v/>
      </c>
      <c r="AD570" s="183" t="str">
        <f>IFERROR(__xludf.DUMMYFUNCTION("QUERY('Volunteer Survey'!E569)"),"")</f>
        <v/>
      </c>
      <c r="AE570" s="183" t="str">
        <f>IFERROR(__xludf.DUMMYFUNCTION("QUERY('Volunteer Survey'!F569)"),"")</f>
        <v/>
      </c>
      <c r="AF570" s="183" t="str">
        <f>IFERROR(__xludf.DUMMYFUNCTION("QUERY('Volunteer Survey'!G569)"),"")</f>
        <v/>
      </c>
      <c r="AG570" s="183" t="str">
        <f>IFERROR(__xludf.DUMMYFUNCTION("QUERY('Volunteer Survey'!H569)"),"")</f>
        <v/>
      </c>
      <c r="AH570" s="183" t="str">
        <f>IFERROR(__xludf.DUMMYFUNCTION("QUERY('Volunteer Survey'!I569)"),"")</f>
        <v/>
      </c>
      <c r="AI570" s="183" t="str">
        <f>IFERROR(__xludf.DUMMYFUNCTION("QUERY('Volunteer Survey'!J569)"),"")</f>
        <v/>
      </c>
      <c r="AJ570" s="183" t="str">
        <f>IFERROR(__xludf.DUMMYFUNCTION("QUERY('Volunteer Survey'!K569)"),"")</f>
        <v/>
      </c>
      <c r="AK570" s="183" t="str">
        <f>IFERROR(__xludf.DUMMYFUNCTION("QUERY('Volunteer Survey'!L569)"),"")</f>
        <v/>
      </c>
      <c r="AL570" s="183" t="str">
        <f>IFERROR(__xludf.DUMMYFUNCTION("QUERY('Volunteer Survey'!M569)"),"")</f>
        <v/>
      </c>
      <c r="AM570" s="183" t="str">
        <f>IFERROR(__xludf.DUMMYFUNCTION("QUERY('Volunteer Survey'!N569)"),"")</f>
        <v/>
      </c>
      <c r="AN570" s="183" t="str">
        <f>IFERROR(__xludf.DUMMYFUNCTION("QUERY('Volunteer Survey'!O569)"),"")</f>
        <v/>
      </c>
      <c r="AO570" s="183" t="str">
        <f>IFERROR(__xludf.DUMMYFUNCTION("QUERY('Volunteer Survey'!P569)"),"")</f>
        <v/>
      </c>
    </row>
    <row r="571">
      <c r="A571" s="55" t="str">
        <f>'Volunteer Survey'!A981</f>
        <v/>
      </c>
      <c r="B571" s="55"/>
      <c r="C571" s="53"/>
      <c r="D571" s="55"/>
      <c r="E571" s="55"/>
      <c r="F571" s="55" t="b">
        <v>0</v>
      </c>
      <c r="G571" s="55"/>
      <c r="H571" s="53"/>
      <c r="I571" s="53"/>
      <c r="J571" s="55"/>
      <c r="K571" s="55"/>
      <c r="L571" s="55" t="str">
        <f>'Volunteer Survey'!B981</f>
        <v/>
      </c>
      <c r="M571" s="55"/>
      <c r="N571" s="55"/>
      <c r="O571" s="55" t="b">
        <v>0</v>
      </c>
      <c r="P571" s="55"/>
      <c r="Q571" s="60" t="str">
        <f>'Volunteer Survey'!J981</f>
        <v/>
      </c>
      <c r="R571" s="55"/>
      <c r="S571" s="55"/>
      <c r="T571" s="55" t="str">
        <f>'Volunteer Survey'!M981</f>
        <v/>
      </c>
      <c r="U571" s="64"/>
      <c r="V571" s="55"/>
      <c r="W571" s="66" t="str">
        <f>'Volunteer Survey'!P981</f>
        <v/>
      </c>
      <c r="X571" s="55"/>
      <c r="Y571" s="53"/>
      <c r="Z571" s="183" t="str">
        <f>IFERROR(__xludf.DUMMYFUNCTION("QUERY('Volunteer Survey'!A570)"),"")</f>
        <v/>
      </c>
      <c r="AA571" s="183" t="str">
        <f>IFERROR(__xludf.DUMMYFUNCTION("QUERY('Volunteer Survey'!B570)"),"")</f>
        <v/>
      </c>
      <c r="AB571" s="183" t="str">
        <f>IFERROR(__xludf.DUMMYFUNCTION("QUERY('Volunteer Survey'!C570)"),"")</f>
        <v/>
      </c>
      <c r="AC571" s="183" t="str">
        <f>IFERROR(__xludf.DUMMYFUNCTION("QUERY('Volunteer Survey'!D570)"),"")</f>
        <v/>
      </c>
      <c r="AD571" s="183" t="str">
        <f>IFERROR(__xludf.DUMMYFUNCTION("QUERY('Volunteer Survey'!E570)"),"")</f>
        <v/>
      </c>
      <c r="AE571" s="183" t="str">
        <f>IFERROR(__xludf.DUMMYFUNCTION("QUERY('Volunteer Survey'!F570)"),"")</f>
        <v/>
      </c>
      <c r="AF571" s="183" t="str">
        <f>IFERROR(__xludf.DUMMYFUNCTION("QUERY('Volunteer Survey'!G570)"),"")</f>
        <v/>
      </c>
      <c r="AG571" s="183" t="str">
        <f>IFERROR(__xludf.DUMMYFUNCTION("QUERY('Volunteer Survey'!H570)"),"")</f>
        <v/>
      </c>
      <c r="AH571" s="183" t="str">
        <f>IFERROR(__xludf.DUMMYFUNCTION("QUERY('Volunteer Survey'!I570)"),"")</f>
        <v/>
      </c>
      <c r="AI571" s="183" t="str">
        <f>IFERROR(__xludf.DUMMYFUNCTION("QUERY('Volunteer Survey'!J570)"),"")</f>
        <v/>
      </c>
      <c r="AJ571" s="183" t="str">
        <f>IFERROR(__xludf.DUMMYFUNCTION("QUERY('Volunteer Survey'!K570)"),"")</f>
        <v/>
      </c>
      <c r="AK571" s="183" t="str">
        <f>IFERROR(__xludf.DUMMYFUNCTION("QUERY('Volunteer Survey'!L570)"),"")</f>
        <v/>
      </c>
      <c r="AL571" s="183" t="str">
        <f>IFERROR(__xludf.DUMMYFUNCTION("QUERY('Volunteer Survey'!M570)"),"")</f>
        <v/>
      </c>
      <c r="AM571" s="183" t="str">
        <f>IFERROR(__xludf.DUMMYFUNCTION("QUERY('Volunteer Survey'!N570)"),"")</f>
        <v/>
      </c>
      <c r="AN571" s="183" t="str">
        <f>IFERROR(__xludf.DUMMYFUNCTION("QUERY('Volunteer Survey'!O570)"),"")</f>
        <v/>
      </c>
      <c r="AO571" s="183" t="str">
        <f>IFERROR(__xludf.DUMMYFUNCTION("QUERY('Volunteer Survey'!P570)"),"")</f>
        <v/>
      </c>
    </row>
    <row r="572">
      <c r="A572" s="55" t="str">
        <f>'Volunteer Survey'!A982</f>
        <v/>
      </c>
      <c r="B572" s="55"/>
      <c r="C572" s="53"/>
      <c r="D572" s="55"/>
      <c r="E572" s="55"/>
      <c r="F572" s="55" t="b">
        <v>0</v>
      </c>
      <c r="G572" s="55"/>
      <c r="H572" s="53"/>
      <c r="I572" s="53"/>
      <c r="J572" s="55"/>
      <c r="K572" s="55"/>
      <c r="L572" s="55" t="str">
        <f>'Volunteer Survey'!B982</f>
        <v/>
      </c>
      <c r="M572" s="55"/>
      <c r="N572" s="55"/>
      <c r="O572" s="55" t="b">
        <v>0</v>
      </c>
      <c r="P572" s="55"/>
      <c r="Q572" s="60" t="str">
        <f>'Volunteer Survey'!J982</f>
        <v/>
      </c>
      <c r="R572" s="55"/>
      <c r="S572" s="55"/>
      <c r="T572" s="55" t="str">
        <f>'Volunteer Survey'!M982</f>
        <v/>
      </c>
      <c r="U572" s="64"/>
      <c r="V572" s="55"/>
      <c r="W572" s="66" t="str">
        <f>'Volunteer Survey'!P982</f>
        <v/>
      </c>
      <c r="X572" s="55"/>
      <c r="Y572" s="53"/>
      <c r="Z572" s="183" t="str">
        <f>IFERROR(__xludf.DUMMYFUNCTION("QUERY('Volunteer Survey'!A571)"),"")</f>
        <v/>
      </c>
      <c r="AA572" s="183" t="str">
        <f>IFERROR(__xludf.DUMMYFUNCTION("QUERY('Volunteer Survey'!B571)"),"")</f>
        <v/>
      </c>
      <c r="AB572" s="183" t="str">
        <f>IFERROR(__xludf.DUMMYFUNCTION("QUERY('Volunteer Survey'!C571)"),"")</f>
        <v/>
      </c>
      <c r="AC572" s="183" t="str">
        <f>IFERROR(__xludf.DUMMYFUNCTION("QUERY('Volunteer Survey'!D571)"),"")</f>
        <v/>
      </c>
      <c r="AD572" s="183" t="str">
        <f>IFERROR(__xludf.DUMMYFUNCTION("QUERY('Volunteer Survey'!E571)"),"")</f>
        <v/>
      </c>
      <c r="AE572" s="183" t="str">
        <f>IFERROR(__xludf.DUMMYFUNCTION("QUERY('Volunteer Survey'!F571)"),"")</f>
        <v/>
      </c>
      <c r="AF572" s="183" t="str">
        <f>IFERROR(__xludf.DUMMYFUNCTION("QUERY('Volunteer Survey'!G571)"),"")</f>
        <v/>
      </c>
      <c r="AG572" s="183" t="str">
        <f>IFERROR(__xludf.DUMMYFUNCTION("QUERY('Volunteer Survey'!H571)"),"")</f>
        <v/>
      </c>
      <c r="AH572" s="183" t="str">
        <f>IFERROR(__xludf.DUMMYFUNCTION("QUERY('Volunteer Survey'!I571)"),"")</f>
        <v/>
      </c>
      <c r="AI572" s="183" t="str">
        <f>IFERROR(__xludf.DUMMYFUNCTION("QUERY('Volunteer Survey'!J571)"),"")</f>
        <v/>
      </c>
      <c r="AJ572" s="183" t="str">
        <f>IFERROR(__xludf.DUMMYFUNCTION("QUERY('Volunteer Survey'!K571)"),"")</f>
        <v/>
      </c>
      <c r="AK572" s="183" t="str">
        <f>IFERROR(__xludf.DUMMYFUNCTION("QUERY('Volunteer Survey'!L571)"),"")</f>
        <v/>
      </c>
      <c r="AL572" s="183" t="str">
        <f>IFERROR(__xludf.DUMMYFUNCTION("QUERY('Volunteer Survey'!M571)"),"")</f>
        <v/>
      </c>
      <c r="AM572" s="183" t="str">
        <f>IFERROR(__xludf.DUMMYFUNCTION("QUERY('Volunteer Survey'!N571)"),"")</f>
        <v/>
      </c>
      <c r="AN572" s="183" t="str">
        <f>IFERROR(__xludf.DUMMYFUNCTION("QUERY('Volunteer Survey'!O571)"),"")</f>
        <v/>
      </c>
      <c r="AO572" s="183" t="str">
        <f>IFERROR(__xludf.DUMMYFUNCTION("QUERY('Volunteer Survey'!P571)"),"")</f>
        <v/>
      </c>
    </row>
    <row r="573">
      <c r="A573" s="55" t="str">
        <f>'Volunteer Survey'!A983</f>
        <v/>
      </c>
      <c r="B573" s="55"/>
      <c r="C573" s="53"/>
      <c r="D573" s="55"/>
      <c r="E573" s="55"/>
      <c r="F573" s="55" t="b">
        <v>0</v>
      </c>
      <c r="G573" s="55"/>
      <c r="H573" s="53"/>
      <c r="I573" s="53"/>
      <c r="J573" s="55"/>
      <c r="K573" s="55"/>
      <c r="L573" s="55" t="str">
        <f>'Volunteer Survey'!B983</f>
        <v/>
      </c>
      <c r="M573" s="55"/>
      <c r="N573" s="55"/>
      <c r="O573" s="55" t="b">
        <v>0</v>
      </c>
      <c r="P573" s="55"/>
      <c r="Q573" s="60" t="str">
        <f>'Volunteer Survey'!J983</f>
        <v/>
      </c>
      <c r="R573" s="55"/>
      <c r="S573" s="55"/>
      <c r="T573" s="55" t="str">
        <f>'Volunteer Survey'!M983</f>
        <v/>
      </c>
      <c r="U573" s="64"/>
      <c r="V573" s="55"/>
      <c r="W573" s="66" t="str">
        <f>'Volunteer Survey'!P983</f>
        <v/>
      </c>
      <c r="X573" s="55"/>
      <c r="Y573" s="53"/>
      <c r="Z573" s="183" t="str">
        <f>IFERROR(__xludf.DUMMYFUNCTION("QUERY('Volunteer Survey'!A572)"),"")</f>
        <v/>
      </c>
      <c r="AA573" s="183" t="str">
        <f>IFERROR(__xludf.DUMMYFUNCTION("QUERY('Volunteer Survey'!B572)"),"")</f>
        <v/>
      </c>
      <c r="AB573" s="183" t="str">
        <f>IFERROR(__xludf.DUMMYFUNCTION("QUERY('Volunteer Survey'!C572)"),"")</f>
        <v/>
      </c>
      <c r="AC573" s="183" t="str">
        <f>IFERROR(__xludf.DUMMYFUNCTION("QUERY('Volunteer Survey'!D572)"),"")</f>
        <v/>
      </c>
      <c r="AD573" s="183" t="str">
        <f>IFERROR(__xludf.DUMMYFUNCTION("QUERY('Volunteer Survey'!E572)"),"")</f>
        <v/>
      </c>
      <c r="AE573" s="183" t="str">
        <f>IFERROR(__xludf.DUMMYFUNCTION("QUERY('Volunteer Survey'!F572)"),"")</f>
        <v/>
      </c>
      <c r="AF573" s="183" t="str">
        <f>IFERROR(__xludf.DUMMYFUNCTION("QUERY('Volunteer Survey'!G572)"),"")</f>
        <v/>
      </c>
      <c r="AG573" s="183" t="str">
        <f>IFERROR(__xludf.DUMMYFUNCTION("QUERY('Volunteer Survey'!H572)"),"")</f>
        <v/>
      </c>
      <c r="AH573" s="183" t="str">
        <f>IFERROR(__xludf.DUMMYFUNCTION("QUERY('Volunteer Survey'!I572)"),"")</f>
        <v/>
      </c>
      <c r="AI573" s="183" t="str">
        <f>IFERROR(__xludf.DUMMYFUNCTION("QUERY('Volunteer Survey'!J572)"),"")</f>
        <v/>
      </c>
      <c r="AJ573" s="183" t="str">
        <f>IFERROR(__xludf.DUMMYFUNCTION("QUERY('Volunteer Survey'!K572)"),"")</f>
        <v/>
      </c>
      <c r="AK573" s="183" t="str">
        <f>IFERROR(__xludf.DUMMYFUNCTION("QUERY('Volunteer Survey'!L572)"),"")</f>
        <v/>
      </c>
      <c r="AL573" s="183" t="str">
        <f>IFERROR(__xludf.DUMMYFUNCTION("QUERY('Volunteer Survey'!M572)"),"")</f>
        <v/>
      </c>
      <c r="AM573" s="183" t="str">
        <f>IFERROR(__xludf.DUMMYFUNCTION("QUERY('Volunteer Survey'!N572)"),"")</f>
        <v/>
      </c>
      <c r="AN573" s="183" t="str">
        <f>IFERROR(__xludf.DUMMYFUNCTION("QUERY('Volunteer Survey'!O572)"),"")</f>
        <v/>
      </c>
      <c r="AO573" s="183" t="str">
        <f>IFERROR(__xludf.DUMMYFUNCTION("QUERY('Volunteer Survey'!P572)"),"")</f>
        <v/>
      </c>
    </row>
    <row r="574">
      <c r="A574" s="55" t="str">
        <f>'Volunteer Survey'!A984</f>
        <v/>
      </c>
      <c r="B574" s="55"/>
      <c r="C574" s="53"/>
      <c r="D574" s="55"/>
      <c r="E574" s="55"/>
      <c r="F574" s="55" t="b">
        <v>0</v>
      </c>
      <c r="G574" s="55"/>
      <c r="H574" s="53"/>
      <c r="I574" s="53"/>
      <c r="J574" s="55"/>
      <c r="K574" s="55"/>
      <c r="L574" s="55" t="str">
        <f>'Volunteer Survey'!B984</f>
        <v/>
      </c>
      <c r="M574" s="55"/>
      <c r="N574" s="55"/>
      <c r="O574" s="55" t="b">
        <v>0</v>
      </c>
      <c r="P574" s="55"/>
      <c r="Q574" s="60" t="str">
        <f>'Volunteer Survey'!J984</f>
        <v/>
      </c>
      <c r="R574" s="55"/>
      <c r="S574" s="55"/>
      <c r="T574" s="55" t="str">
        <f>'Volunteer Survey'!M984</f>
        <v/>
      </c>
      <c r="U574" s="64"/>
      <c r="V574" s="55"/>
      <c r="W574" s="66" t="str">
        <f>'Volunteer Survey'!P984</f>
        <v/>
      </c>
      <c r="X574" s="55"/>
      <c r="Y574" s="53"/>
      <c r="Z574" s="183" t="str">
        <f>IFERROR(__xludf.DUMMYFUNCTION("QUERY('Volunteer Survey'!A573)"),"")</f>
        <v/>
      </c>
      <c r="AA574" s="183" t="str">
        <f>IFERROR(__xludf.DUMMYFUNCTION("QUERY('Volunteer Survey'!B573)"),"")</f>
        <v/>
      </c>
      <c r="AB574" s="183" t="str">
        <f>IFERROR(__xludf.DUMMYFUNCTION("QUERY('Volunteer Survey'!C573)"),"")</f>
        <v/>
      </c>
      <c r="AC574" s="183" t="str">
        <f>IFERROR(__xludf.DUMMYFUNCTION("QUERY('Volunteer Survey'!D573)"),"")</f>
        <v/>
      </c>
      <c r="AD574" s="183" t="str">
        <f>IFERROR(__xludf.DUMMYFUNCTION("QUERY('Volunteer Survey'!E573)"),"")</f>
        <v/>
      </c>
      <c r="AE574" s="183" t="str">
        <f>IFERROR(__xludf.DUMMYFUNCTION("QUERY('Volunteer Survey'!F573)"),"")</f>
        <v/>
      </c>
      <c r="AF574" s="183" t="str">
        <f>IFERROR(__xludf.DUMMYFUNCTION("QUERY('Volunteer Survey'!G573)"),"")</f>
        <v/>
      </c>
      <c r="AG574" s="183" t="str">
        <f>IFERROR(__xludf.DUMMYFUNCTION("QUERY('Volunteer Survey'!H573)"),"")</f>
        <v/>
      </c>
      <c r="AH574" s="183" t="str">
        <f>IFERROR(__xludf.DUMMYFUNCTION("QUERY('Volunteer Survey'!I573)"),"")</f>
        <v/>
      </c>
      <c r="AI574" s="183" t="str">
        <f>IFERROR(__xludf.DUMMYFUNCTION("QUERY('Volunteer Survey'!J573)"),"")</f>
        <v/>
      </c>
      <c r="AJ574" s="183" t="str">
        <f>IFERROR(__xludf.DUMMYFUNCTION("QUERY('Volunteer Survey'!K573)"),"")</f>
        <v/>
      </c>
      <c r="AK574" s="183" t="str">
        <f>IFERROR(__xludf.DUMMYFUNCTION("QUERY('Volunteer Survey'!L573)"),"")</f>
        <v/>
      </c>
      <c r="AL574" s="183" t="str">
        <f>IFERROR(__xludf.DUMMYFUNCTION("QUERY('Volunteer Survey'!M573)"),"")</f>
        <v/>
      </c>
      <c r="AM574" s="183" t="str">
        <f>IFERROR(__xludf.DUMMYFUNCTION("QUERY('Volunteer Survey'!N573)"),"")</f>
        <v/>
      </c>
      <c r="AN574" s="183" t="str">
        <f>IFERROR(__xludf.DUMMYFUNCTION("QUERY('Volunteer Survey'!O573)"),"")</f>
        <v/>
      </c>
      <c r="AO574" s="183" t="str">
        <f>IFERROR(__xludf.DUMMYFUNCTION("QUERY('Volunteer Survey'!P573)"),"")</f>
        <v/>
      </c>
    </row>
    <row r="575">
      <c r="A575" s="55" t="str">
        <f>'Volunteer Survey'!A985</f>
        <v/>
      </c>
      <c r="B575" s="55"/>
      <c r="C575" s="53"/>
      <c r="D575" s="55"/>
      <c r="E575" s="55"/>
      <c r="F575" s="55" t="b">
        <v>0</v>
      </c>
      <c r="G575" s="55"/>
      <c r="H575" s="53"/>
      <c r="I575" s="53"/>
      <c r="J575" s="55"/>
      <c r="K575" s="55"/>
      <c r="L575" s="55" t="str">
        <f>'Volunteer Survey'!B985</f>
        <v/>
      </c>
      <c r="M575" s="55"/>
      <c r="N575" s="55"/>
      <c r="O575" s="55" t="b">
        <v>0</v>
      </c>
      <c r="P575" s="55"/>
      <c r="Q575" s="60" t="str">
        <f>'Volunteer Survey'!J985</f>
        <v/>
      </c>
      <c r="R575" s="55"/>
      <c r="S575" s="55"/>
      <c r="T575" s="55" t="str">
        <f>'Volunteer Survey'!M985</f>
        <v/>
      </c>
      <c r="U575" s="64"/>
      <c r="V575" s="55"/>
      <c r="W575" s="66" t="str">
        <f>'Volunteer Survey'!P985</f>
        <v/>
      </c>
      <c r="X575" s="55"/>
      <c r="Y575" s="53"/>
      <c r="Z575" s="183" t="str">
        <f>IFERROR(__xludf.DUMMYFUNCTION("QUERY('Volunteer Survey'!A574)"),"")</f>
        <v/>
      </c>
      <c r="AA575" s="183" t="str">
        <f>IFERROR(__xludf.DUMMYFUNCTION("QUERY('Volunteer Survey'!B574)"),"")</f>
        <v/>
      </c>
      <c r="AB575" s="183" t="str">
        <f>IFERROR(__xludf.DUMMYFUNCTION("QUERY('Volunteer Survey'!C574)"),"")</f>
        <v/>
      </c>
      <c r="AC575" s="183" t="str">
        <f>IFERROR(__xludf.DUMMYFUNCTION("QUERY('Volunteer Survey'!D574)"),"")</f>
        <v/>
      </c>
      <c r="AD575" s="183" t="str">
        <f>IFERROR(__xludf.DUMMYFUNCTION("QUERY('Volunteer Survey'!E574)"),"")</f>
        <v/>
      </c>
      <c r="AE575" s="183" t="str">
        <f>IFERROR(__xludf.DUMMYFUNCTION("QUERY('Volunteer Survey'!F574)"),"")</f>
        <v/>
      </c>
      <c r="AF575" s="183" t="str">
        <f>IFERROR(__xludf.DUMMYFUNCTION("QUERY('Volunteer Survey'!G574)"),"")</f>
        <v/>
      </c>
      <c r="AG575" s="183" t="str">
        <f>IFERROR(__xludf.DUMMYFUNCTION("QUERY('Volunteer Survey'!H574)"),"")</f>
        <v/>
      </c>
      <c r="AH575" s="183" t="str">
        <f>IFERROR(__xludf.DUMMYFUNCTION("QUERY('Volunteer Survey'!I574)"),"")</f>
        <v/>
      </c>
      <c r="AI575" s="183" t="str">
        <f>IFERROR(__xludf.DUMMYFUNCTION("QUERY('Volunteer Survey'!J574)"),"")</f>
        <v/>
      </c>
      <c r="AJ575" s="183" t="str">
        <f>IFERROR(__xludf.DUMMYFUNCTION("QUERY('Volunteer Survey'!K574)"),"")</f>
        <v/>
      </c>
      <c r="AK575" s="183" t="str">
        <f>IFERROR(__xludf.DUMMYFUNCTION("QUERY('Volunteer Survey'!L574)"),"")</f>
        <v/>
      </c>
      <c r="AL575" s="183" t="str">
        <f>IFERROR(__xludf.DUMMYFUNCTION("QUERY('Volunteer Survey'!M574)"),"")</f>
        <v/>
      </c>
      <c r="AM575" s="183" t="str">
        <f>IFERROR(__xludf.DUMMYFUNCTION("QUERY('Volunteer Survey'!N574)"),"")</f>
        <v/>
      </c>
      <c r="AN575" s="183" t="str">
        <f>IFERROR(__xludf.DUMMYFUNCTION("QUERY('Volunteer Survey'!O574)"),"")</f>
        <v/>
      </c>
      <c r="AO575" s="183" t="str">
        <f>IFERROR(__xludf.DUMMYFUNCTION("QUERY('Volunteer Survey'!P574)"),"")</f>
        <v/>
      </c>
    </row>
    <row r="576">
      <c r="A576" s="55" t="str">
        <f>'Volunteer Survey'!A986</f>
        <v/>
      </c>
      <c r="B576" s="55"/>
      <c r="C576" s="53"/>
      <c r="D576" s="55"/>
      <c r="E576" s="55"/>
      <c r="F576" s="55" t="b">
        <v>0</v>
      </c>
      <c r="G576" s="55"/>
      <c r="H576" s="53"/>
      <c r="I576" s="53"/>
      <c r="J576" s="55"/>
      <c r="K576" s="55"/>
      <c r="L576" s="55" t="str">
        <f>'Volunteer Survey'!B986</f>
        <v/>
      </c>
      <c r="M576" s="55"/>
      <c r="N576" s="55"/>
      <c r="O576" s="55" t="b">
        <v>0</v>
      </c>
      <c r="P576" s="55"/>
      <c r="Q576" s="60" t="str">
        <f>'Volunteer Survey'!J986</f>
        <v/>
      </c>
      <c r="R576" s="55"/>
      <c r="S576" s="55"/>
      <c r="T576" s="55" t="str">
        <f>'Volunteer Survey'!M986</f>
        <v/>
      </c>
      <c r="U576" s="64"/>
      <c r="V576" s="55"/>
      <c r="W576" s="66" t="str">
        <f>'Volunteer Survey'!P986</f>
        <v/>
      </c>
      <c r="X576" s="55"/>
      <c r="Y576" s="53"/>
      <c r="Z576" s="183" t="str">
        <f>IFERROR(__xludf.DUMMYFUNCTION("QUERY('Volunteer Survey'!A575)"),"")</f>
        <v/>
      </c>
      <c r="AA576" s="183" t="str">
        <f>IFERROR(__xludf.DUMMYFUNCTION("QUERY('Volunteer Survey'!B575)"),"")</f>
        <v/>
      </c>
      <c r="AB576" s="183" t="str">
        <f>IFERROR(__xludf.DUMMYFUNCTION("QUERY('Volunteer Survey'!C575)"),"")</f>
        <v/>
      </c>
      <c r="AC576" s="183" t="str">
        <f>IFERROR(__xludf.DUMMYFUNCTION("QUERY('Volunteer Survey'!D575)"),"")</f>
        <v/>
      </c>
      <c r="AD576" s="183" t="str">
        <f>IFERROR(__xludf.DUMMYFUNCTION("QUERY('Volunteer Survey'!E575)"),"")</f>
        <v/>
      </c>
      <c r="AE576" s="183" t="str">
        <f>IFERROR(__xludf.DUMMYFUNCTION("QUERY('Volunteer Survey'!F575)"),"")</f>
        <v/>
      </c>
      <c r="AF576" s="183" t="str">
        <f>IFERROR(__xludf.DUMMYFUNCTION("QUERY('Volunteer Survey'!G575)"),"")</f>
        <v/>
      </c>
      <c r="AG576" s="183" t="str">
        <f>IFERROR(__xludf.DUMMYFUNCTION("QUERY('Volunteer Survey'!H575)"),"")</f>
        <v/>
      </c>
      <c r="AH576" s="183" t="str">
        <f>IFERROR(__xludf.DUMMYFUNCTION("QUERY('Volunteer Survey'!I575)"),"")</f>
        <v/>
      </c>
      <c r="AI576" s="183" t="str">
        <f>IFERROR(__xludf.DUMMYFUNCTION("QUERY('Volunteer Survey'!J575)"),"")</f>
        <v/>
      </c>
      <c r="AJ576" s="183" t="str">
        <f>IFERROR(__xludf.DUMMYFUNCTION("QUERY('Volunteer Survey'!K575)"),"")</f>
        <v/>
      </c>
      <c r="AK576" s="183" t="str">
        <f>IFERROR(__xludf.DUMMYFUNCTION("QUERY('Volunteer Survey'!L575)"),"")</f>
        <v/>
      </c>
      <c r="AL576" s="183" t="str">
        <f>IFERROR(__xludf.DUMMYFUNCTION("QUERY('Volunteer Survey'!M575)"),"")</f>
        <v/>
      </c>
      <c r="AM576" s="183" t="str">
        <f>IFERROR(__xludf.DUMMYFUNCTION("QUERY('Volunteer Survey'!N575)"),"")</f>
        <v/>
      </c>
      <c r="AN576" s="183" t="str">
        <f>IFERROR(__xludf.DUMMYFUNCTION("QUERY('Volunteer Survey'!O575)"),"")</f>
        <v/>
      </c>
      <c r="AO576" s="183" t="str">
        <f>IFERROR(__xludf.DUMMYFUNCTION("QUERY('Volunteer Survey'!P575)"),"")</f>
        <v/>
      </c>
    </row>
    <row r="577">
      <c r="A577" s="55" t="str">
        <f>'Volunteer Survey'!A987</f>
        <v/>
      </c>
      <c r="B577" s="55"/>
      <c r="C577" s="53"/>
      <c r="D577" s="55"/>
      <c r="E577" s="55"/>
      <c r="F577" s="55" t="b">
        <v>0</v>
      </c>
      <c r="G577" s="55"/>
      <c r="H577" s="53"/>
      <c r="I577" s="53"/>
      <c r="J577" s="55"/>
      <c r="K577" s="55"/>
      <c r="L577" s="55" t="str">
        <f>'Volunteer Survey'!B987</f>
        <v/>
      </c>
      <c r="M577" s="55"/>
      <c r="N577" s="55"/>
      <c r="O577" s="55" t="b">
        <v>0</v>
      </c>
      <c r="P577" s="55"/>
      <c r="Q577" s="60" t="str">
        <f>'Volunteer Survey'!J987</f>
        <v/>
      </c>
      <c r="R577" s="55"/>
      <c r="S577" s="55"/>
      <c r="T577" s="55" t="str">
        <f>'Volunteer Survey'!M987</f>
        <v/>
      </c>
      <c r="U577" s="64"/>
      <c r="V577" s="55"/>
      <c r="W577" s="66" t="str">
        <f>'Volunteer Survey'!P987</f>
        <v/>
      </c>
      <c r="X577" s="55"/>
      <c r="Y577" s="53"/>
      <c r="Z577" s="183" t="str">
        <f>IFERROR(__xludf.DUMMYFUNCTION("QUERY('Volunteer Survey'!A576)"),"")</f>
        <v/>
      </c>
      <c r="AA577" s="183" t="str">
        <f>IFERROR(__xludf.DUMMYFUNCTION("QUERY('Volunteer Survey'!B576)"),"")</f>
        <v/>
      </c>
      <c r="AB577" s="183" t="str">
        <f>IFERROR(__xludf.DUMMYFUNCTION("QUERY('Volunteer Survey'!C576)"),"")</f>
        <v/>
      </c>
      <c r="AC577" s="183" t="str">
        <f>IFERROR(__xludf.DUMMYFUNCTION("QUERY('Volunteer Survey'!D576)"),"")</f>
        <v/>
      </c>
      <c r="AD577" s="183" t="str">
        <f>IFERROR(__xludf.DUMMYFUNCTION("QUERY('Volunteer Survey'!E576)"),"")</f>
        <v/>
      </c>
      <c r="AE577" s="183" t="str">
        <f>IFERROR(__xludf.DUMMYFUNCTION("QUERY('Volunteer Survey'!F576)"),"")</f>
        <v/>
      </c>
      <c r="AF577" s="183" t="str">
        <f>IFERROR(__xludf.DUMMYFUNCTION("QUERY('Volunteer Survey'!G576)"),"")</f>
        <v/>
      </c>
      <c r="AG577" s="183" t="str">
        <f>IFERROR(__xludf.DUMMYFUNCTION("QUERY('Volunteer Survey'!H576)"),"")</f>
        <v/>
      </c>
      <c r="AH577" s="183" t="str">
        <f>IFERROR(__xludf.DUMMYFUNCTION("QUERY('Volunteer Survey'!I576)"),"")</f>
        <v/>
      </c>
      <c r="AI577" s="183" t="str">
        <f>IFERROR(__xludf.DUMMYFUNCTION("QUERY('Volunteer Survey'!J576)"),"")</f>
        <v/>
      </c>
      <c r="AJ577" s="183" t="str">
        <f>IFERROR(__xludf.DUMMYFUNCTION("QUERY('Volunteer Survey'!K576)"),"")</f>
        <v/>
      </c>
      <c r="AK577" s="183" t="str">
        <f>IFERROR(__xludf.DUMMYFUNCTION("QUERY('Volunteer Survey'!L576)"),"")</f>
        <v/>
      </c>
      <c r="AL577" s="183" t="str">
        <f>IFERROR(__xludf.DUMMYFUNCTION("QUERY('Volunteer Survey'!M576)"),"")</f>
        <v/>
      </c>
      <c r="AM577" s="183" t="str">
        <f>IFERROR(__xludf.DUMMYFUNCTION("QUERY('Volunteer Survey'!N576)"),"")</f>
        <v/>
      </c>
      <c r="AN577" s="183" t="str">
        <f>IFERROR(__xludf.DUMMYFUNCTION("QUERY('Volunteer Survey'!O576)"),"")</f>
        <v/>
      </c>
      <c r="AO577" s="183" t="str">
        <f>IFERROR(__xludf.DUMMYFUNCTION("QUERY('Volunteer Survey'!P576)"),"")</f>
        <v/>
      </c>
    </row>
    <row r="578">
      <c r="A578" s="55" t="str">
        <f>'Volunteer Survey'!A988</f>
        <v/>
      </c>
      <c r="B578" s="55"/>
      <c r="C578" s="53"/>
      <c r="D578" s="55"/>
      <c r="E578" s="55"/>
      <c r="F578" s="55" t="b">
        <v>0</v>
      </c>
      <c r="G578" s="55"/>
      <c r="H578" s="53"/>
      <c r="I578" s="53"/>
      <c r="J578" s="55"/>
      <c r="K578" s="55"/>
      <c r="L578" s="55" t="str">
        <f>'Volunteer Survey'!B988</f>
        <v/>
      </c>
      <c r="M578" s="55"/>
      <c r="N578" s="55"/>
      <c r="O578" s="55" t="b">
        <v>0</v>
      </c>
      <c r="P578" s="55"/>
      <c r="Q578" s="60" t="str">
        <f>'Volunteer Survey'!J988</f>
        <v/>
      </c>
      <c r="R578" s="55"/>
      <c r="S578" s="55"/>
      <c r="T578" s="55" t="str">
        <f>'Volunteer Survey'!M988</f>
        <v/>
      </c>
      <c r="U578" s="64"/>
      <c r="V578" s="55"/>
      <c r="W578" s="66" t="str">
        <f>'Volunteer Survey'!P988</f>
        <v/>
      </c>
      <c r="X578" s="55"/>
      <c r="Y578" s="53"/>
      <c r="Z578" s="183" t="str">
        <f>IFERROR(__xludf.DUMMYFUNCTION("QUERY('Volunteer Survey'!A577)"),"")</f>
        <v/>
      </c>
      <c r="AA578" s="183" t="str">
        <f>IFERROR(__xludf.DUMMYFUNCTION("QUERY('Volunteer Survey'!B577)"),"")</f>
        <v/>
      </c>
      <c r="AB578" s="183" t="str">
        <f>IFERROR(__xludf.DUMMYFUNCTION("QUERY('Volunteer Survey'!C577)"),"")</f>
        <v/>
      </c>
      <c r="AC578" s="183" t="str">
        <f>IFERROR(__xludf.DUMMYFUNCTION("QUERY('Volunteer Survey'!D577)"),"")</f>
        <v/>
      </c>
      <c r="AD578" s="183" t="str">
        <f>IFERROR(__xludf.DUMMYFUNCTION("QUERY('Volunteer Survey'!E577)"),"")</f>
        <v/>
      </c>
      <c r="AE578" s="183" t="str">
        <f>IFERROR(__xludf.DUMMYFUNCTION("QUERY('Volunteer Survey'!F577)"),"")</f>
        <v/>
      </c>
      <c r="AF578" s="183" t="str">
        <f>IFERROR(__xludf.DUMMYFUNCTION("QUERY('Volunteer Survey'!G577)"),"")</f>
        <v/>
      </c>
      <c r="AG578" s="183" t="str">
        <f>IFERROR(__xludf.DUMMYFUNCTION("QUERY('Volunteer Survey'!H577)"),"")</f>
        <v/>
      </c>
      <c r="AH578" s="183" t="str">
        <f>IFERROR(__xludf.DUMMYFUNCTION("QUERY('Volunteer Survey'!I577)"),"")</f>
        <v/>
      </c>
      <c r="AI578" s="183" t="str">
        <f>IFERROR(__xludf.DUMMYFUNCTION("QUERY('Volunteer Survey'!J577)"),"")</f>
        <v/>
      </c>
      <c r="AJ578" s="183" t="str">
        <f>IFERROR(__xludf.DUMMYFUNCTION("QUERY('Volunteer Survey'!K577)"),"")</f>
        <v/>
      </c>
      <c r="AK578" s="183" t="str">
        <f>IFERROR(__xludf.DUMMYFUNCTION("QUERY('Volunteer Survey'!L577)"),"")</f>
        <v/>
      </c>
      <c r="AL578" s="183" t="str">
        <f>IFERROR(__xludf.DUMMYFUNCTION("QUERY('Volunteer Survey'!M577)"),"")</f>
        <v/>
      </c>
      <c r="AM578" s="183" t="str">
        <f>IFERROR(__xludf.DUMMYFUNCTION("QUERY('Volunteer Survey'!N577)"),"")</f>
        <v/>
      </c>
      <c r="AN578" s="183" t="str">
        <f>IFERROR(__xludf.DUMMYFUNCTION("QUERY('Volunteer Survey'!O577)"),"")</f>
        <v/>
      </c>
      <c r="AO578" s="183" t="str">
        <f>IFERROR(__xludf.DUMMYFUNCTION("QUERY('Volunteer Survey'!P577)"),"")</f>
        <v/>
      </c>
    </row>
    <row r="579">
      <c r="A579" s="55" t="str">
        <f>'Volunteer Survey'!A989</f>
        <v/>
      </c>
      <c r="B579" s="55"/>
      <c r="C579" s="53"/>
      <c r="D579" s="55"/>
      <c r="E579" s="55"/>
      <c r="F579" s="55" t="b">
        <v>0</v>
      </c>
      <c r="G579" s="55"/>
      <c r="H579" s="53"/>
      <c r="I579" s="53"/>
      <c r="J579" s="55"/>
      <c r="K579" s="55"/>
      <c r="L579" s="55" t="str">
        <f>'Volunteer Survey'!B989</f>
        <v/>
      </c>
      <c r="M579" s="55"/>
      <c r="N579" s="55"/>
      <c r="O579" s="55" t="b">
        <v>0</v>
      </c>
      <c r="P579" s="55"/>
      <c r="Q579" s="60" t="str">
        <f>'Volunteer Survey'!J989</f>
        <v/>
      </c>
      <c r="R579" s="55"/>
      <c r="S579" s="55"/>
      <c r="T579" s="55" t="str">
        <f>'Volunteer Survey'!M989</f>
        <v/>
      </c>
      <c r="U579" s="64"/>
      <c r="V579" s="55"/>
      <c r="W579" s="66" t="str">
        <f>'Volunteer Survey'!P989</f>
        <v/>
      </c>
      <c r="X579" s="55"/>
      <c r="Y579" s="53"/>
      <c r="Z579" s="183" t="str">
        <f>IFERROR(__xludf.DUMMYFUNCTION("QUERY('Volunteer Survey'!A578)"),"")</f>
        <v/>
      </c>
      <c r="AA579" s="183" t="str">
        <f>IFERROR(__xludf.DUMMYFUNCTION("QUERY('Volunteer Survey'!B578)"),"")</f>
        <v/>
      </c>
      <c r="AB579" s="183" t="str">
        <f>IFERROR(__xludf.DUMMYFUNCTION("QUERY('Volunteer Survey'!C578)"),"")</f>
        <v/>
      </c>
      <c r="AC579" s="183" t="str">
        <f>IFERROR(__xludf.DUMMYFUNCTION("QUERY('Volunteer Survey'!D578)"),"")</f>
        <v/>
      </c>
      <c r="AD579" s="183" t="str">
        <f>IFERROR(__xludf.DUMMYFUNCTION("QUERY('Volunteer Survey'!E578)"),"")</f>
        <v/>
      </c>
      <c r="AE579" s="183" t="str">
        <f>IFERROR(__xludf.DUMMYFUNCTION("QUERY('Volunteer Survey'!F578)"),"")</f>
        <v/>
      </c>
      <c r="AF579" s="183" t="str">
        <f>IFERROR(__xludf.DUMMYFUNCTION("QUERY('Volunteer Survey'!G578)"),"")</f>
        <v/>
      </c>
      <c r="AG579" s="183" t="str">
        <f>IFERROR(__xludf.DUMMYFUNCTION("QUERY('Volunteer Survey'!H578)"),"")</f>
        <v/>
      </c>
      <c r="AH579" s="183" t="str">
        <f>IFERROR(__xludf.DUMMYFUNCTION("QUERY('Volunteer Survey'!I578)"),"")</f>
        <v/>
      </c>
      <c r="AI579" s="183" t="str">
        <f>IFERROR(__xludf.DUMMYFUNCTION("QUERY('Volunteer Survey'!J578)"),"")</f>
        <v/>
      </c>
      <c r="AJ579" s="183" t="str">
        <f>IFERROR(__xludf.DUMMYFUNCTION("QUERY('Volunteer Survey'!K578)"),"")</f>
        <v/>
      </c>
      <c r="AK579" s="183" t="str">
        <f>IFERROR(__xludf.DUMMYFUNCTION("QUERY('Volunteer Survey'!L578)"),"")</f>
        <v/>
      </c>
      <c r="AL579" s="183" t="str">
        <f>IFERROR(__xludf.DUMMYFUNCTION("QUERY('Volunteer Survey'!M578)"),"")</f>
        <v/>
      </c>
      <c r="AM579" s="183" t="str">
        <f>IFERROR(__xludf.DUMMYFUNCTION("QUERY('Volunteer Survey'!N578)"),"")</f>
        <v/>
      </c>
      <c r="AN579" s="183" t="str">
        <f>IFERROR(__xludf.DUMMYFUNCTION("QUERY('Volunteer Survey'!O578)"),"")</f>
        <v/>
      </c>
      <c r="AO579" s="183" t="str">
        <f>IFERROR(__xludf.DUMMYFUNCTION("QUERY('Volunteer Survey'!P578)"),"")</f>
        <v/>
      </c>
    </row>
    <row r="580">
      <c r="A580" s="55" t="str">
        <f>'Volunteer Survey'!A990</f>
        <v/>
      </c>
      <c r="B580" s="55"/>
      <c r="C580" s="53"/>
      <c r="D580" s="55"/>
      <c r="E580" s="55"/>
      <c r="F580" s="55" t="b">
        <v>0</v>
      </c>
      <c r="G580" s="55"/>
      <c r="H580" s="53"/>
      <c r="I580" s="53"/>
      <c r="J580" s="55"/>
      <c r="K580" s="55"/>
      <c r="L580" s="55" t="str">
        <f>'Volunteer Survey'!B990</f>
        <v/>
      </c>
      <c r="M580" s="55"/>
      <c r="N580" s="55"/>
      <c r="O580" s="55" t="b">
        <v>0</v>
      </c>
      <c r="P580" s="55"/>
      <c r="Q580" s="60" t="str">
        <f>'Volunteer Survey'!J990</f>
        <v/>
      </c>
      <c r="R580" s="55"/>
      <c r="S580" s="55"/>
      <c r="T580" s="55" t="str">
        <f>'Volunteer Survey'!M990</f>
        <v/>
      </c>
      <c r="U580" s="64"/>
      <c r="V580" s="55"/>
      <c r="W580" s="66" t="str">
        <f>'Volunteer Survey'!P990</f>
        <v/>
      </c>
      <c r="X580" s="55"/>
      <c r="Y580" s="53"/>
      <c r="Z580" s="183" t="str">
        <f>IFERROR(__xludf.DUMMYFUNCTION("QUERY('Volunteer Survey'!A579)"),"")</f>
        <v/>
      </c>
      <c r="AA580" s="183" t="str">
        <f>IFERROR(__xludf.DUMMYFUNCTION("QUERY('Volunteer Survey'!B579)"),"")</f>
        <v/>
      </c>
      <c r="AB580" s="183" t="str">
        <f>IFERROR(__xludf.DUMMYFUNCTION("QUERY('Volunteer Survey'!C579)"),"")</f>
        <v/>
      </c>
      <c r="AC580" s="183" t="str">
        <f>IFERROR(__xludf.DUMMYFUNCTION("QUERY('Volunteer Survey'!D579)"),"")</f>
        <v/>
      </c>
      <c r="AD580" s="183" t="str">
        <f>IFERROR(__xludf.DUMMYFUNCTION("QUERY('Volunteer Survey'!E579)"),"")</f>
        <v/>
      </c>
      <c r="AE580" s="183" t="str">
        <f>IFERROR(__xludf.DUMMYFUNCTION("QUERY('Volunteer Survey'!F579)"),"")</f>
        <v/>
      </c>
      <c r="AF580" s="183" t="str">
        <f>IFERROR(__xludf.DUMMYFUNCTION("QUERY('Volunteer Survey'!G579)"),"")</f>
        <v/>
      </c>
      <c r="AG580" s="183" t="str">
        <f>IFERROR(__xludf.DUMMYFUNCTION("QUERY('Volunteer Survey'!H579)"),"")</f>
        <v/>
      </c>
      <c r="AH580" s="183" t="str">
        <f>IFERROR(__xludf.DUMMYFUNCTION("QUERY('Volunteer Survey'!I579)"),"")</f>
        <v/>
      </c>
      <c r="AI580" s="183" t="str">
        <f>IFERROR(__xludf.DUMMYFUNCTION("QUERY('Volunteer Survey'!J579)"),"")</f>
        <v/>
      </c>
      <c r="AJ580" s="183" t="str">
        <f>IFERROR(__xludf.DUMMYFUNCTION("QUERY('Volunteer Survey'!K579)"),"")</f>
        <v/>
      </c>
      <c r="AK580" s="183" t="str">
        <f>IFERROR(__xludf.DUMMYFUNCTION("QUERY('Volunteer Survey'!L579)"),"")</f>
        <v/>
      </c>
      <c r="AL580" s="183" t="str">
        <f>IFERROR(__xludf.DUMMYFUNCTION("QUERY('Volunteer Survey'!M579)"),"")</f>
        <v/>
      </c>
      <c r="AM580" s="183" t="str">
        <f>IFERROR(__xludf.DUMMYFUNCTION("QUERY('Volunteer Survey'!N579)"),"")</f>
        <v/>
      </c>
      <c r="AN580" s="183" t="str">
        <f>IFERROR(__xludf.DUMMYFUNCTION("QUERY('Volunteer Survey'!O579)"),"")</f>
        <v/>
      </c>
      <c r="AO580" s="183" t="str">
        <f>IFERROR(__xludf.DUMMYFUNCTION("QUERY('Volunteer Survey'!P579)"),"")</f>
        <v/>
      </c>
    </row>
    <row r="581">
      <c r="A581" s="55" t="str">
        <f>'Volunteer Survey'!A991</f>
        <v/>
      </c>
      <c r="B581" s="55"/>
      <c r="C581" s="53"/>
      <c r="D581" s="55"/>
      <c r="E581" s="55"/>
      <c r="F581" s="55" t="b">
        <v>0</v>
      </c>
      <c r="G581" s="55"/>
      <c r="H581" s="53"/>
      <c r="I581" s="53"/>
      <c r="J581" s="55"/>
      <c r="K581" s="55"/>
      <c r="L581" s="55" t="str">
        <f>'Volunteer Survey'!B991</f>
        <v/>
      </c>
      <c r="M581" s="55"/>
      <c r="N581" s="55"/>
      <c r="O581" s="55" t="b">
        <v>0</v>
      </c>
      <c r="P581" s="55"/>
      <c r="Q581" s="60" t="str">
        <f>'Volunteer Survey'!J991</f>
        <v/>
      </c>
      <c r="R581" s="55"/>
      <c r="S581" s="55"/>
      <c r="T581" s="55" t="str">
        <f>'Volunteer Survey'!M991</f>
        <v/>
      </c>
      <c r="U581" s="64"/>
      <c r="V581" s="55"/>
      <c r="W581" s="66" t="str">
        <f>'Volunteer Survey'!P991</f>
        <v/>
      </c>
      <c r="X581" s="55"/>
      <c r="Y581" s="53"/>
      <c r="Z581" s="183" t="str">
        <f>IFERROR(__xludf.DUMMYFUNCTION("QUERY('Volunteer Survey'!A580)"),"")</f>
        <v/>
      </c>
      <c r="AA581" s="183" t="str">
        <f>IFERROR(__xludf.DUMMYFUNCTION("QUERY('Volunteer Survey'!B580)"),"")</f>
        <v/>
      </c>
      <c r="AB581" s="183" t="str">
        <f>IFERROR(__xludf.DUMMYFUNCTION("QUERY('Volunteer Survey'!C580)"),"")</f>
        <v/>
      </c>
      <c r="AC581" s="183" t="str">
        <f>IFERROR(__xludf.DUMMYFUNCTION("QUERY('Volunteer Survey'!D580)"),"")</f>
        <v/>
      </c>
      <c r="AD581" s="183" t="str">
        <f>IFERROR(__xludf.DUMMYFUNCTION("QUERY('Volunteer Survey'!E580)"),"")</f>
        <v/>
      </c>
      <c r="AE581" s="183" t="str">
        <f>IFERROR(__xludf.DUMMYFUNCTION("QUERY('Volunteer Survey'!F580)"),"")</f>
        <v/>
      </c>
      <c r="AF581" s="183" t="str">
        <f>IFERROR(__xludf.DUMMYFUNCTION("QUERY('Volunteer Survey'!G580)"),"")</f>
        <v/>
      </c>
      <c r="AG581" s="183" t="str">
        <f>IFERROR(__xludf.DUMMYFUNCTION("QUERY('Volunteer Survey'!H580)"),"")</f>
        <v/>
      </c>
      <c r="AH581" s="183" t="str">
        <f>IFERROR(__xludf.DUMMYFUNCTION("QUERY('Volunteer Survey'!I580)"),"")</f>
        <v/>
      </c>
      <c r="AI581" s="183" t="str">
        <f>IFERROR(__xludf.DUMMYFUNCTION("QUERY('Volunteer Survey'!J580)"),"")</f>
        <v/>
      </c>
      <c r="AJ581" s="183" t="str">
        <f>IFERROR(__xludf.DUMMYFUNCTION("QUERY('Volunteer Survey'!K580)"),"")</f>
        <v/>
      </c>
      <c r="AK581" s="183" t="str">
        <f>IFERROR(__xludf.DUMMYFUNCTION("QUERY('Volunteer Survey'!L580)"),"")</f>
        <v/>
      </c>
      <c r="AL581" s="183" t="str">
        <f>IFERROR(__xludf.DUMMYFUNCTION("QUERY('Volunteer Survey'!M580)"),"")</f>
        <v/>
      </c>
      <c r="AM581" s="183" t="str">
        <f>IFERROR(__xludf.DUMMYFUNCTION("QUERY('Volunteer Survey'!N580)"),"")</f>
        <v/>
      </c>
      <c r="AN581" s="183" t="str">
        <f>IFERROR(__xludf.DUMMYFUNCTION("QUERY('Volunteer Survey'!O580)"),"")</f>
        <v/>
      </c>
      <c r="AO581" s="183" t="str">
        <f>IFERROR(__xludf.DUMMYFUNCTION("QUERY('Volunteer Survey'!P580)"),"")</f>
        <v/>
      </c>
    </row>
    <row r="582">
      <c r="A582" s="55" t="str">
        <f>'Volunteer Survey'!A992</f>
        <v/>
      </c>
      <c r="B582" s="55"/>
      <c r="C582" s="53"/>
      <c r="D582" s="55"/>
      <c r="E582" s="55"/>
      <c r="F582" s="55" t="b">
        <v>0</v>
      </c>
      <c r="G582" s="55"/>
      <c r="H582" s="53"/>
      <c r="I582" s="53"/>
      <c r="J582" s="55"/>
      <c r="K582" s="55"/>
      <c r="L582" s="55" t="str">
        <f>'Volunteer Survey'!B992</f>
        <v/>
      </c>
      <c r="M582" s="55"/>
      <c r="N582" s="55"/>
      <c r="O582" s="55" t="b">
        <v>0</v>
      </c>
      <c r="P582" s="55"/>
      <c r="Q582" s="60" t="str">
        <f>'Volunteer Survey'!J992</f>
        <v/>
      </c>
      <c r="R582" s="55"/>
      <c r="S582" s="55"/>
      <c r="T582" s="55" t="str">
        <f>'Volunteer Survey'!M992</f>
        <v/>
      </c>
      <c r="U582" s="64"/>
      <c r="V582" s="55"/>
      <c r="W582" s="66" t="str">
        <f>'Volunteer Survey'!P992</f>
        <v/>
      </c>
      <c r="X582" s="55"/>
      <c r="Y582" s="53"/>
      <c r="Z582" s="183" t="str">
        <f>IFERROR(__xludf.DUMMYFUNCTION("QUERY('Volunteer Survey'!A581)"),"")</f>
        <v/>
      </c>
      <c r="AA582" s="183" t="str">
        <f>IFERROR(__xludf.DUMMYFUNCTION("QUERY('Volunteer Survey'!B581)"),"")</f>
        <v/>
      </c>
      <c r="AB582" s="183" t="str">
        <f>IFERROR(__xludf.DUMMYFUNCTION("QUERY('Volunteer Survey'!C581)"),"")</f>
        <v/>
      </c>
      <c r="AC582" s="183" t="str">
        <f>IFERROR(__xludf.DUMMYFUNCTION("QUERY('Volunteer Survey'!D581)"),"")</f>
        <v/>
      </c>
      <c r="AD582" s="183" t="str">
        <f>IFERROR(__xludf.DUMMYFUNCTION("QUERY('Volunteer Survey'!E581)"),"")</f>
        <v/>
      </c>
      <c r="AE582" s="183" t="str">
        <f>IFERROR(__xludf.DUMMYFUNCTION("QUERY('Volunteer Survey'!F581)"),"")</f>
        <v/>
      </c>
      <c r="AF582" s="183" t="str">
        <f>IFERROR(__xludf.DUMMYFUNCTION("QUERY('Volunteer Survey'!G581)"),"")</f>
        <v/>
      </c>
      <c r="AG582" s="183" t="str">
        <f>IFERROR(__xludf.DUMMYFUNCTION("QUERY('Volunteer Survey'!H581)"),"")</f>
        <v/>
      </c>
      <c r="AH582" s="183" t="str">
        <f>IFERROR(__xludf.DUMMYFUNCTION("QUERY('Volunteer Survey'!I581)"),"")</f>
        <v/>
      </c>
      <c r="AI582" s="183" t="str">
        <f>IFERROR(__xludf.DUMMYFUNCTION("QUERY('Volunteer Survey'!J581)"),"")</f>
        <v/>
      </c>
      <c r="AJ582" s="183" t="str">
        <f>IFERROR(__xludf.DUMMYFUNCTION("QUERY('Volunteer Survey'!K581)"),"")</f>
        <v/>
      </c>
      <c r="AK582" s="183" t="str">
        <f>IFERROR(__xludf.DUMMYFUNCTION("QUERY('Volunteer Survey'!L581)"),"")</f>
        <v/>
      </c>
      <c r="AL582" s="183" t="str">
        <f>IFERROR(__xludf.DUMMYFUNCTION("QUERY('Volunteer Survey'!M581)"),"")</f>
        <v/>
      </c>
      <c r="AM582" s="183" t="str">
        <f>IFERROR(__xludf.DUMMYFUNCTION("QUERY('Volunteer Survey'!N581)"),"")</f>
        <v/>
      </c>
      <c r="AN582" s="183" t="str">
        <f>IFERROR(__xludf.DUMMYFUNCTION("QUERY('Volunteer Survey'!O581)"),"")</f>
        <v/>
      </c>
      <c r="AO582" s="183" t="str">
        <f>IFERROR(__xludf.DUMMYFUNCTION("QUERY('Volunteer Survey'!P581)"),"")</f>
        <v/>
      </c>
    </row>
    <row r="583">
      <c r="A583" s="55" t="str">
        <f>'Volunteer Survey'!A993</f>
        <v/>
      </c>
      <c r="B583" s="55"/>
      <c r="C583" s="53"/>
      <c r="D583" s="55"/>
      <c r="E583" s="55"/>
      <c r="F583" s="55" t="b">
        <v>0</v>
      </c>
      <c r="G583" s="55"/>
      <c r="H583" s="53"/>
      <c r="I583" s="53"/>
      <c r="J583" s="55"/>
      <c r="K583" s="55"/>
      <c r="L583" s="55" t="str">
        <f>'Volunteer Survey'!B993</f>
        <v/>
      </c>
      <c r="M583" s="55"/>
      <c r="N583" s="55"/>
      <c r="O583" s="55" t="b">
        <v>0</v>
      </c>
      <c r="P583" s="55"/>
      <c r="Q583" s="60" t="str">
        <f>'Volunteer Survey'!J993</f>
        <v/>
      </c>
      <c r="R583" s="55"/>
      <c r="S583" s="55"/>
      <c r="T583" s="55" t="str">
        <f>'Volunteer Survey'!M993</f>
        <v/>
      </c>
      <c r="U583" s="64"/>
      <c r="V583" s="55"/>
      <c r="W583" s="66" t="str">
        <f>'Volunteer Survey'!P993</f>
        <v/>
      </c>
      <c r="X583" s="55"/>
      <c r="Y583" s="53"/>
      <c r="Z583" s="183" t="str">
        <f>IFERROR(__xludf.DUMMYFUNCTION("QUERY('Volunteer Survey'!A582)"),"")</f>
        <v/>
      </c>
      <c r="AA583" s="183" t="str">
        <f>IFERROR(__xludf.DUMMYFUNCTION("QUERY('Volunteer Survey'!B582)"),"")</f>
        <v/>
      </c>
      <c r="AB583" s="183" t="str">
        <f>IFERROR(__xludf.DUMMYFUNCTION("QUERY('Volunteer Survey'!C582)"),"")</f>
        <v/>
      </c>
      <c r="AC583" s="183" t="str">
        <f>IFERROR(__xludf.DUMMYFUNCTION("QUERY('Volunteer Survey'!D582)"),"")</f>
        <v/>
      </c>
      <c r="AD583" s="183" t="str">
        <f>IFERROR(__xludf.DUMMYFUNCTION("QUERY('Volunteer Survey'!E582)"),"")</f>
        <v/>
      </c>
      <c r="AE583" s="183" t="str">
        <f>IFERROR(__xludf.DUMMYFUNCTION("QUERY('Volunteer Survey'!F582)"),"")</f>
        <v/>
      </c>
      <c r="AF583" s="183" t="str">
        <f>IFERROR(__xludf.DUMMYFUNCTION("QUERY('Volunteer Survey'!G582)"),"")</f>
        <v/>
      </c>
      <c r="AG583" s="183" t="str">
        <f>IFERROR(__xludf.DUMMYFUNCTION("QUERY('Volunteer Survey'!H582)"),"")</f>
        <v/>
      </c>
      <c r="AH583" s="183" t="str">
        <f>IFERROR(__xludf.DUMMYFUNCTION("QUERY('Volunteer Survey'!I582)"),"")</f>
        <v/>
      </c>
      <c r="AI583" s="183" t="str">
        <f>IFERROR(__xludf.DUMMYFUNCTION("QUERY('Volunteer Survey'!J582)"),"")</f>
        <v/>
      </c>
      <c r="AJ583" s="183" t="str">
        <f>IFERROR(__xludf.DUMMYFUNCTION("QUERY('Volunteer Survey'!K582)"),"")</f>
        <v/>
      </c>
      <c r="AK583" s="183" t="str">
        <f>IFERROR(__xludf.DUMMYFUNCTION("QUERY('Volunteer Survey'!L582)"),"")</f>
        <v/>
      </c>
      <c r="AL583" s="183" t="str">
        <f>IFERROR(__xludf.DUMMYFUNCTION("QUERY('Volunteer Survey'!M582)"),"")</f>
        <v/>
      </c>
      <c r="AM583" s="183" t="str">
        <f>IFERROR(__xludf.DUMMYFUNCTION("QUERY('Volunteer Survey'!N582)"),"")</f>
        <v/>
      </c>
      <c r="AN583" s="183" t="str">
        <f>IFERROR(__xludf.DUMMYFUNCTION("QUERY('Volunteer Survey'!O582)"),"")</f>
        <v/>
      </c>
      <c r="AO583" s="183" t="str">
        <f>IFERROR(__xludf.DUMMYFUNCTION("QUERY('Volunteer Survey'!P582)"),"")</f>
        <v/>
      </c>
    </row>
    <row r="584">
      <c r="A584" s="55" t="str">
        <f>'Volunteer Survey'!A994</f>
        <v/>
      </c>
      <c r="B584" s="55"/>
      <c r="C584" s="53"/>
      <c r="D584" s="55"/>
      <c r="E584" s="55"/>
      <c r="F584" s="55" t="b">
        <v>0</v>
      </c>
      <c r="G584" s="55"/>
      <c r="H584" s="53"/>
      <c r="I584" s="53"/>
      <c r="J584" s="55"/>
      <c r="K584" s="55"/>
      <c r="L584" s="55" t="str">
        <f>'Volunteer Survey'!B994</f>
        <v/>
      </c>
      <c r="M584" s="55"/>
      <c r="N584" s="55"/>
      <c r="O584" s="55" t="b">
        <v>0</v>
      </c>
      <c r="P584" s="55"/>
      <c r="Q584" s="60" t="str">
        <f>'Volunteer Survey'!J994</f>
        <v/>
      </c>
      <c r="R584" s="55"/>
      <c r="S584" s="55"/>
      <c r="T584" s="55" t="str">
        <f>'Volunteer Survey'!M994</f>
        <v/>
      </c>
      <c r="U584" s="64"/>
      <c r="V584" s="55"/>
      <c r="W584" s="66" t="str">
        <f>'Volunteer Survey'!P994</f>
        <v/>
      </c>
      <c r="X584" s="55"/>
      <c r="Y584" s="53"/>
      <c r="Z584" s="183" t="str">
        <f>IFERROR(__xludf.DUMMYFUNCTION("QUERY('Volunteer Survey'!A583)"),"")</f>
        <v/>
      </c>
      <c r="AA584" s="183" t="str">
        <f>IFERROR(__xludf.DUMMYFUNCTION("QUERY('Volunteer Survey'!B583)"),"")</f>
        <v/>
      </c>
      <c r="AB584" s="183" t="str">
        <f>IFERROR(__xludf.DUMMYFUNCTION("QUERY('Volunteer Survey'!C583)"),"")</f>
        <v/>
      </c>
      <c r="AC584" s="183" t="str">
        <f>IFERROR(__xludf.DUMMYFUNCTION("QUERY('Volunteer Survey'!D583)"),"")</f>
        <v/>
      </c>
      <c r="AD584" s="183" t="str">
        <f>IFERROR(__xludf.DUMMYFUNCTION("QUERY('Volunteer Survey'!E583)"),"")</f>
        <v/>
      </c>
      <c r="AE584" s="183" t="str">
        <f>IFERROR(__xludf.DUMMYFUNCTION("QUERY('Volunteer Survey'!F583)"),"")</f>
        <v/>
      </c>
      <c r="AF584" s="183" t="str">
        <f>IFERROR(__xludf.DUMMYFUNCTION("QUERY('Volunteer Survey'!G583)"),"")</f>
        <v/>
      </c>
      <c r="AG584" s="183" t="str">
        <f>IFERROR(__xludf.DUMMYFUNCTION("QUERY('Volunteer Survey'!H583)"),"")</f>
        <v/>
      </c>
      <c r="AH584" s="183" t="str">
        <f>IFERROR(__xludf.DUMMYFUNCTION("QUERY('Volunteer Survey'!I583)"),"")</f>
        <v/>
      </c>
      <c r="AI584" s="183" t="str">
        <f>IFERROR(__xludf.DUMMYFUNCTION("QUERY('Volunteer Survey'!J583)"),"")</f>
        <v/>
      </c>
      <c r="AJ584" s="183" t="str">
        <f>IFERROR(__xludf.DUMMYFUNCTION("QUERY('Volunteer Survey'!K583)"),"")</f>
        <v/>
      </c>
      <c r="AK584" s="183" t="str">
        <f>IFERROR(__xludf.DUMMYFUNCTION("QUERY('Volunteer Survey'!L583)"),"")</f>
        <v/>
      </c>
      <c r="AL584" s="183" t="str">
        <f>IFERROR(__xludf.DUMMYFUNCTION("QUERY('Volunteer Survey'!M583)"),"")</f>
        <v/>
      </c>
      <c r="AM584" s="183" t="str">
        <f>IFERROR(__xludf.DUMMYFUNCTION("QUERY('Volunteer Survey'!N583)"),"")</f>
        <v/>
      </c>
      <c r="AN584" s="183" t="str">
        <f>IFERROR(__xludf.DUMMYFUNCTION("QUERY('Volunteer Survey'!O583)"),"")</f>
        <v/>
      </c>
      <c r="AO584" s="183" t="str">
        <f>IFERROR(__xludf.DUMMYFUNCTION("QUERY('Volunteer Survey'!P583)"),"")</f>
        <v/>
      </c>
    </row>
    <row r="585">
      <c r="A585" s="55" t="str">
        <f>'Volunteer Survey'!A995</f>
        <v/>
      </c>
      <c r="B585" s="55"/>
      <c r="C585" s="53"/>
      <c r="D585" s="55"/>
      <c r="E585" s="55"/>
      <c r="F585" s="55" t="b">
        <v>0</v>
      </c>
      <c r="G585" s="55"/>
      <c r="H585" s="53"/>
      <c r="I585" s="53"/>
      <c r="J585" s="55"/>
      <c r="K585" s="55"/>
      <c r="L585" s="55" t="str">
        <f>'Volunteer Survey'!B995</f>
        <v/>
      </c>
      <c r="M585" s="55"/>
      <c r="N585" s="55"/>
      <c r="O585" s="55" t="b">
        <v>0</v>
      </c>
      <c r="P585" s="55"/>
      <c r="Q585" s="60" t="str">
        <f>'Volunteer Survey'!J995</f>
        <v/>
      </c>
      <c r="R585" s="55"/>
      <c r="S585" s="55"/>
      <c r="T585" s="55" t="str">
        <f>'Volunteer Survey'!M995</f>
        <v/>
      </c>
      <c r="U585" s="64"/>
      <c r="V585" s="55"/>
      <c r="W585" s="66" t="str">
        <f>'Volunteer Survey'!P995</f>
        <v/>
      </c>
      <c r="X585" s="55"/>
      <c r="Y585" s="53"/>
      <c r="Z585" s="183" t="str">
        <f>IFERROR(__xludf.DUMMYFUNCTION("QUERY('Volunteer Survey'!A584)"),"")</f>
        <v/>
      </c>
      <c r="AA585" s="183" t="str">
        <f>IFERROR(__xludf.DUMMYFUNCTION("QUERY('Volunteer Survey'!B584)"),"")</f>
        <v/>
      </c>
      <c r="AB585" s="183" t="str">
        <f>IFERROR(__xludf.DUMMYFUNCTION("QUERY('Volunteer Survey'!C584)"),"")</f>
        <v/>
      </c>
      <c r="AC585" s="183" t="str">
        <f>IFERROR(__xludf.DUMMYFUNCTION("QUERY('Volunteer Survey'!D584)"),"")</f>
        <v/>
      </c>
      <c r="AD585" s="183" t="str">
        <f>IFERROR(__xludf.DUMMYFUNCTION("QUERY('Volunteer Survey'!E584)"),"")</f>
        <v/>
      </c>
      <c r="AE585" s="183" t="str">
        <f>IFERROR(__xludf.DUMMYFUNCTION("QUERY('Volunteer Survey'!F584)"),"")</f>
        <v/>
      </c>
      <c r="AF585" s="183" t="str">
        <f>IFERROR(__xludf.DUMMYFUNCTION("QUERY('Volunteer Survey'!G584)"),"")</f>
        <v/>
      </c>
      <c r="AG585" s="183" t="str">
        <f>IFERROR(__xludf.DUMMYFUNCTION("QUERY('Volunteer Survey'!H584)"),"")</f>
        <v/>
      </c>
      <c r="AH585" s="183" t="str">
        <f>IFERROR(__xludf.DUMMYFUNCTION("QUERY('Volunteer Survey'!I584)"),"")</f>
        <v/>
      </c>
      <c r="AI585" s="183" t="str">
        <f>IFERROR(__xludf.DUMMYFUNCTION("QUERY('Volunteer Survey'!J584)"),"")</f>
        <v/>
      </c>
      <c r="AJ585" s="183" t="str">
        <f>IFERROR(__xludf.DUMMYFUNCTION("QUERY('Volunteer Survey'!K584)"),"")</f>
        <v/>
      </c>
      <c r="AK585" s="183" t="str">
        <f>IFERROR(__xludf.DUMMYFUNCTION("QUERY('Volunteer Survey'!L584)"),"")</f>
        <v/>
      </c>
      <c r="AL585" s="183" t="str">
        <f>IFERROR(__xludf.DUMMYFUNCTION("QUERY('Volunteer Survey'!M584)"),"")</f>
        <v/>
      </c>
      <c r="AM585" s="183" t="str">
        <f>IFERROR(__xludf.DUMMYFUNCTION("QUERY('Volunteer Survey'!N584)"),"")</f>
        <v/>
      </c>
      <c r="AN585" s="183" t="str">
        <f>IFERROR(__xludf.DUMMYFUNCTION("QUERY('Volunteer Survey'!O584)"),"")</f>
        <v/>
      </c>
      <c r="AO585" s="183" t="str">
        <f>IFERROR(__xludf.DUMMYFUNCTION("QUERY('Volunteer Survey'!P584)"),"")</f>
        <v/>
      </c>
    </row>
    <row r="586">
      <c r="A586" s="55" t="str">
        <f>'Volunteer Survey'!A996</f>
        <v/>
      </c>
      <c r="B586" s="55"/>
      <c r="C586" s="53"/>
      <c r="D586" s="55"/>
      <c r="E586" s="55"/>
      <c r="F586" s="55" t="b">
        <v>0</v>
      </c>
      <c r="G586" s="55"/>
      <c r="H586" s="53"/>
      <c r="I586" s="53"/>
      <c r="J586" s="55"/>
      <c r="K586" s="55"/>
      <c r="L586" s="55" t="str">
        <f>'Volunteer Survey'!B996</f>
        <v/>
      </c>
      <c r="M586" s="55"/>
      <c r="N586" s="55"/>
      <c r="O586" s="55" t="b">
        <v>0</v>
      </c>
      <c r="P586" s="55"/>
      <c r="Q586" s="60" t="str">
        <f>'Volunteer Survey'!J996</f>
        <v/>
      </c>
      <c r="R586" s="55"/>
      <c r="S586" s="55"/>
      <c r="T586" s="55" t="str">
        <f>'Volunteer Survey'!M996</f>
        <v/>
      </c>
      <c r="U586" s="64"/>
      <c r="V586" s="55"/>
      <c r="W586" s="66" t="str">
        <f>'Volunteer Survey'!P996</f>
        <v/>
      </c>
      <c r="X586" s="55"/>
      <c r="Y586" s="53"/>
      <c r="Z586" s="183" t="str">
        <f>IFERROR(__xludf.DUMMYFUNCTION("QUERY('Volunteer Survey'!A585)"),"")</f>
        <v/>
      </c>
      <c r="AA586" s="183" t="str">
        <f>IFERROR(__xludf.DUMMYFUNCTION("QUERY('Volunteer Survey'!B585)"),"")</f>
        <v/>
      </c>
      <c r="AB586" s="183" t="str">
        <f>IFERROR(__xludf.DUMMYFUNCTION("QUERY('Volunteer Survey'!C585)"),"")</f>
        <v/>
      </c>
      <c r="AC586" s="183" t="str">
        <f>IFERROR(__xludf.DUMMYFUNCTION("QUERY('Volunteer Survey'!D585)"),"")</f>
        <v/>
      </c>
      <c r="AD586" s="183" t="str">
        <f>IFERROR(__xludf.DUMMYFUNCTION("QUERY('Volunteer Survey'!E585)"),"")</f>
        <v/>
      </c>
      <c r="AE586" s="183" t="str">
        <f>IFERROR(__xludf.DUMMYFUNCTION("QUERY('Volunteer Survey'!F585)"),"")</f>
        <v/>
      </c>
      <c r="AF586" s="183" t="str">
        <f>IFERROR(__xludf.DUMMYFUNCTION("QUERY('Volunteer Survey'!G585)"),"")</f>
        <v/>
      </c>
      <c r="AG586" s="183" t="str">
        <f>IFERROR(__xludf.DUMMYFUNCTION("QUERY('Volunteer Survey'!H585)"),"")</f>
        <v/>
      </c>
      <c r="AH586" s="183" t="str">
        <f>IFERROR(__xludf.DUMMYFUNCTION("QUERY('Volunteer Survey'!I585)"),"")</f>
        <v/>
      </c>
      <c r="AI586" s="183" t="str">
        <f>IFERROR(__xludf.DUMMYFUNCTION("QUERY('Volunteer Survey'!J585)"),"")</f>
        <v/>
      </c>
      <c r="AJ586" s="183" t="str">
        <f>IFERROR(__xludf.DUMMYFUNCTION("QUERY('Volunteer Survey'!K585)"),"")</f>
        <v/>
      </c>
      <c r="AK586" s="183" t="str">
        <f>IFERROR(__xludf.DUMMYFUNCTION("QUERY('Volunteer Survey'!L585)"),"")</f>
        <v/>
      </c>
      <c r="AL586" s="183" t="str">
        <f>IFERROR(__xludf.DUMMYFUNCTION("QUERY('Volunteer Survey'!M585)"),"")</f>
        <v/>
      </c>
      <c r="AM586" s="183" t="str">
        <f>IFERROR(__xludf.DUMMYFUNCTION("QUERY('Volunteer Survey'!N585)"),"")</f>
        <v/>
      </c>
      <c r="AN586" s="183" t="str">
        <f>IFERROR(__xludf.DUMMYFUNCTION("QUERY('Volunteer Survey'!O585)"),"")</f>
        <v/>
      </c>
      <c r="AO586" s="183" t="str">
        <f>IFERROR(__xludf.DUMMYFUNCTION("QUERY('Volunteer Survey'!P585)"),"")</f>
        <v/>
      </c>
    </row>
    <row r="587">
      <c r="A587" s="55" t="str">
        <f>'Volunteer Survey'!A997</f>
        <v/>
      </c>
      <c r="B587" s="55"/>
      <c r="C587" s="53"/>
      <c r="D587" s="55"/>
      <c r="E587" s="55"/>
      <c r="F587" s="55" t="b">
        <v>0</v>
      </c>
      <c r="G587" s="55"/>
      <c r="H587" s="53"/>
      <c r="I587" s="53"/>
      <c r="J587" s="55"/>
      <c r="K587" s="55"/>
      <c r="L587" s="55" t="str">
        <f>'Volunteer Survey'!B997</f>
        <v/>
      </c>
      <c r="M587" s="55"/>
      <c r="N587" s="55"/>
      <c r="O587" s="55" t="b">
        <v>0</v>
      </c>
      <c r="P587" s="55"/>
      <c r="Q587" s="60" t="str">
        <f>'Volunteer Survey'!J997</f>
        <v/>
      </c>
      <c r="R587" s="55"/>
      <c r="S587" s="55"/>
      <c r="T587" s="55" t="str">
        <f>'Volunteer Survey'!M997</f>
        <v/>
      </c>
      <c r="U587" s="64"/>
      <c r="V587" s="55"/>
      <c r="W587" s="66" t="str">
        <f>'Volunteer Survey'!P997</f>
        <v/>
      </c>
      <c r="X587" s="55"/>
      <c r="Y587" s="53"/>
      <c r="Z587" s="183" t="str">
        <f>IFERROR(__xludf.DUMMYFUNCTION("QUERY('Volunteer Survey'!A586)"),"")</f>
        <v/>
      </c>
      <c r="AA587" s="183" t="str">
        <f>IFERROR(__xludf.DUMMYFUNCTION("QUERY('Volunteer Survey'!B586)"),"")</f>
        <v/>
      </c>
      <c r="AB587" s="183" t="str">
        <f>IFERROR(__xludf.DUMMYFUNCTION("QUERY('Volunteer Survey'!C586)"),"")</f>
        <v/>
      </c>
      <c r="AC587" s="183" t="str">
        <f>IFERROR(__xludf.DUMMYFUNCTION("QUERY('Volunteer Survey'!D586)"),"")</f>
        <v/>
      </c>
      <c r="AD587" s="183" t="str">
        <f>IFERROR(__xludf.DUMMYFUNCTION("QUERY('Volunteer Survey'!E586)"),"")</f>
        <v/>
      </c>
      <c r="AE587" s="183" t="str">
        <f>IFERROR(__xludf.DUMMYFUNCTION("QUERY('Volunteer Survey'!F586)"),"")</f>
        <v/>
      </c>
      <c r="AF587" s="183" t="str">
        <f>IFERROR(__xludf.DUMMYFUNCTION("QUERY('Volunteer Survey'!G586)"),"")</f>
        <v/>
      </c>
      <c r="AG587" s="183" t="str">
        <f>IFERROR(__xludf.DUMMYFUNCTION("QUERY('Volunteer Survey'!H586)"),"")</f>
        <v/>
      </c>
      <c r="AH587" s="183" t="str">
        <f>IFERROR(__xludf.DUMMYFUNCTION("QUERY('Volunteer Survey'!I586)"),"")</f>
        <v/>
      </c>
      <c r="AI587" s="183" t="str">
        <f>IFERROR(__xludf.DUMMYFUNCTION("QUERY('Volunteer Survey'!J586)"),"")</f>
        <v/>
      </c>
      <c r="AJ587" s="183" t="str">
        <f>IFERROR(__xludf.DUMMYFUNCTION("QUERY('Volunteer Survey'!K586)"),"")</f>
        <v/>
      </c>
      <c r="AK587" s="183" t="str">
        <f>IFERROR(__xludf.DUMMYFUNCTION("QUERY('Volunteer Survey'!L586)"),"")</f>
        <v/>
      </c>
      <c r="AL587" s="183" t="str">
        <f>IFERROR(__xludf.DUMMYFUNCTION("QUERY('Volunteer Survey'!M586)"),"")</f>
        <v/>
      </c>
      <c r="AM587" s="183" t="str">
        <f>IFERROR(__xludf.DUMMYFUNCTION("QUERY('Volunteer Survey'!N586)"),"")</f>
        <v/>
      </c>
      <c r="AN587" s="183" t="str">
        <f>IFERROR(__xludf.DUMMYFUNCTION("QUERY('Volunteer Survey'!O586)"),"")</f>
        <v/>
      </c>
      <c r="AO587" s="183" t="str">
        <f>IFERROR(__xludf.DUMMYFUNCTION("QUERY('Volunteer Survey'!P586)"),"")</f>
        <v/>
      </c>
    </row>
    <row r="588">
      <c r="A588" s="55" t="str">
        <f>'Volunteer Survey'!A998</f>
        <v/>
      </c>
      <c r="B588" s="55"/>
      <c r="C588" s="53"/>
      <c r="D588" s="55"/>
      <c r="E588" s="55"/>
      <c r="F588" s="55" t="b">
        <v>0</v>
      </c>
      <c r="G588" s="55"/>
      <c r="H588" s="53"/>
      <c r="I588" s="53"/>
      <c r="J588" s="55"/>
      <c r="K588" s="55"/>
      <c r="L588" s="55" t="str">
        <f>'Volunteer Survey'!B998</f>
        <v/>
      </c>
      <c r="M588" s="55"/>
      <c r="N588" s="55"/>
      <c r="O588" s="55" t="b">
        <v>0</v>
      </c>
      <c r="P588" s="55"/>
      <c r="Q588" s="60" t="str">
        <f>'Volunteer Survey'!J998</f>
        <v/>
      </c>
      <c r="R588" s="55"/>
      <c r="S588" s="55"/>
      <c r="T588" s="55" t="str">
        <f>'Volunteer Survey'!M998</f>
        <v/>
      </c>
      <c r="U588" s="64"/>
      <c r="V588" s="55"/>
      <c r="W588" s="66" t="str">
        <f>'Volunteer Survey'!P998</f>
        <v/>
      </c>
      <c r="X588" s="55"/>
      <c r="Y588" s="53"/>
      <c r="Z588" s="183" t="str">
        <f>IFERROR(__xludf.DUMMYFUNCTION("QUERY('Volunteer Survey'!A587)"),"")</f>
        <v/>
      </c>
      <c r="AA588" s="183" t="str">
        <f>IFERROR(__xludf.DUMMYFUNCTION("QUERY('Volunteer Survey'!B587)"),"")</f>
        <v/>
      </c>
      <c r="AB588" s="183" t="str">
        <f>IFERROR(__xludf.DUMMYFUNCTION("QUERY('Volunteer Survey'!C587)"),"")</f>
        <v/>
      </c>
      <c r="AC588" s="183" t="str">
        <f>IFERROR(__xludf.DUMMYFUNCTION("QUERY('Volunteer Survey'!D587)"),"")</f>
        <v/>
      </c>
      <c r="AD588" s="183" t="str">
        <f>IFERROR(__xludf.DUMMYFUNCTION("QUERY('Volunteer Survey'!E587)"),"")</f>
        <v/>
      </c>
      <c r="AE588" s="183" t="str">
        <f>IFERROR(__xludf.DUMMYFUNCTION("QUERY('Volunteer Survey'!F587)"),"")</f>
        <v/>
      </c>
      <c r="AF588" s="183" t="str">
        <f>IFERROR(__xludf.DUMMYFUNCTION("QUERY('Volunteer Survey'!G587)"),"")</f>
        <v/>
      </c>
      <c r="AG588" s="183" t="str">
        <f>IFERROR(__xludf.DUMMYFUNCTION("QUERY('Volunteer Survey'!H587)"),"")</f>
        <v/>
      </c>
      <c r="AH588" s="183" t="str">
        <f>IFERROR(__xludf.DUMMYFUNCTION("QUERY('Volunteer Survey'!I587)"),"")</f>
        <v/>
      </c>
      <c r="AI588" s="183" t="str">
        <f>IFERROR(__xludf.DUMMYFUNCTION("QUERY('Volunteer Survey'!J587)"),"")</f>
        <v/>
      </c>
      <c r="AJ588" s="183" t="str">
        <f>IFERROR(__xludf.DUMMYFUNCTION("QUERY('Volunteer Survey'!K587)"),"")</f>
        <v/>
      </c>
      <c r="AK588" s="183" t="str">
        <f>IFERROR(__xludf.DUMMYFUNCTION("QUERY('Volunteer Survey'!L587)"),"")</f>
        <v/>
      </c>
      <c r="AL588" s="183" t="str">
        <f>IFERROR(__xludf.DUMMYFUNCTION("QUERY('Volunteer Survey'!M587)"),"")</f>
        <v/>
      </c>
      <c r="AM588" s="183" t="str">
        <f>IFERROR(__xludf.DUMMYFUNCTION("QUERY('Volunteer Survey'!N587)"),"")</f>
        <v/>
      </c>
      <c r="AN588" s="183" t="str">
        <f>IFERROR(__xludf.DUMMYFUNCTION("QUERY('Volunteer Survey'!O587)"),"")</f>
        <v/>
      </c>
      <c r="AO588" s="183" t="str">
        <f>IFERROR(__xludf.DUMMYFUNCTION("QUERY('Volunteer Survey'!P587)"),"")</f>
        <v/>
      </c>
    </row>
    <row r="589">
      <c r="A589" s="55" t="str">
        <f>'Volunteer Survey'!A999</f>
        <v/>
      </c>
      <c r="B589" s="55"/>
      <c r="C589" s="53"/>
      <c r="D589" s="55"/>
      <c r="E589" s="55"/>
      <c r="F589" s="55" t="b">
        <v>0</v>
      </c>
      <c r="G589" s="55"/>
      <c r="H589" s="53"/>
      <c r="I589" s="53"/>
      <c r="J589" s="55"/>
      <c r="K589" s="55"/>
      <c r="L589" s="55" t="str">
        <f>'Volunteer Survey'!B999</f>
        <v/>
      </c>
      <c r="M589" s="55"/>
      <c r="N589" s="55"/>
      <c r="O589" s="55" t="b">
        <v>0</v>
      </c>
      <c r="P589" s="55"/>
      <c r="Q589" s="60" t="str">
        <f>'Volunteer Survey'!J999</f>
        <v/>
      </c>
      <c r="R589" s="55"/>
      <c r="S589" s="55"/>
      <c r="T589" s="55" t="str">
        <f>'Volunteer Survey'!M999</f>
        <v/>
      </c>
      <c r="U589" s="64"/>
      <c r="V589" s="55"/>
      <c r="W589" s="66" t="str">
        <f>'Volunteer Survey'!P999</f>
        <v/>
      </c>
      <c r="X589" s="55"/>
      <c r="Y589" s="53"/>
      <c r="Z589" s="183" t="str">
        <f>IFERROR(__xludf.DUMMYFUNCTION("QUERY('Volunteer Survey'!A588)"),"")</f>
        <v/>
      </c>
      <c r="AA589" s="183" t="str">
        <f>IFERROR(__xludf.DUMMYFUNCTION("QUERY('Volunteer Survey'!B588)"),"")</f>
        <v/>
      </c>
      <c r="AB589" s="183" t="str">
        <f>IFERROR(__xludf.DUMMYFUNCTION("QUERY('Volunteer Survey'!C588)"),"")</f>
        <v/>
      </c>
      <c r="AC589" s="183" t="str">
        <f>IFERROR(__xludf.DUMMYFUNCTION("QUERY('Volunteer Survey'!D588)"),"")</f>
        <v/>
      </c>
      <c r="AD589" s="183" t="str">
        <f>IFERROR(__xludf.DUMMYFUNCTION("QUERY('Volunteer Survey'!E588)"),"")</f>
        <v/>
      </c>
      <c r="AE589" s="183" t="str">
        <f>IFERROR(__xludf.DUMMYFUNCTION("QUERY('Volunteer Survey'!F588)"),"")</f>
        <v/>
      </c>
      <c r="AF589" s="183" t="str">
        <f>IFERROR(__xludf.DUMMYFUNCTION("QUERY('Volunteer Survey'!G588)"),"")</f>
        <v/>
      </c>
      <c r="AG589" s="183" t="str">
        <f>IFERROR(__xludf.DUMMYFUNCTION("QUERY('Volunteer Survey'!H588)"),"")</f>
        <v/>
      </c>
      <c r="AH589" s="183" t="str">
        <f>IFERROR(__xludf.DUMMYFUNCTION("QUERY('Volunteer Survey'!I588)"),"")</f>
        <v/>
      </c>
      <c r="AI589" s="183" t="str">
        <f>IFERROR(__xludf.DUMMYFUNCTION("QUERY('Volunteer Survey'!J588)"),"")</f>
        <v/>
      </c>
      <c r="AJ589" s="183" t="str">
        <f>IFERROR(__xludf.DUMMYFUNCTION("QUERY('Volunteer Survey'!K588)"),"")</f>
        <v/>
      </c>
      <c r="AK589" s="183" t="str">
        <f>IFERROR(__xludf.DUMMYFUNCTION("QUERY('Volunteer Survey'!L588)"),"")</f>
        <v/>
      </c>
      <c r="AL589" s="183" t="str">
        <f>IFERROR(__xludf.DUMMYFUNCTION("QUERY('Volunteer Survey'!M588)"),"")</f>
        <v/>
      </c>
      <c r="AM589" s="183" t="str">
        <f>IFERROR(__xludf.DUMMYFUNCTION("QUERY('Volunteer Survey'!N588)"),"")</f>
        <v/>
      </c>
      <c r="AN589" s="183" t="str">
        <f>IFERROR(__xludf.DUMMYFUNCTION("QUERY('Volunteer Survey'!O588)"),"")</f>
        <v/>
      </c>
      <c r="AO589" s="183" t="str">
        <f>IFERROR(__xludf.DUMMYFUNCTION("QUERY('Volunteer Survey'!P588)"),"")</f>
        <v/>
      </c>
    </row>
    <row r="590">
      <c r="A590" s="55" t="str">
        <f>'Volunteer Survey'!A1000</f>
        <v/>
      </c>
      <c r="B590" s="55"/>
      <c r="C590" s="53"/>
      <c r="D590" s="55"/>
      <c r="E590" s="55"/>
      <c r="F590" s="55" t="b">
        <v>0</v>
      </c>
      <c r="G590" s="55"/>
      <c r="H590" s="53"/>
      <c r="I590" s="53"/>
      <c r="J590" s="55"/>
      <c r="K590" s="55"/>
      <c r="L590" s="55" t="str">
        <f>'Volunteer Survey'!B1000</f>
        <v/>
      </c>
      <c r="M590" s="55"/>
      <c r="N590" s="55"/>
      <c r="O590" s="55" t="b">
        <v>0</v>
      </c>
      <c r="P590" s="55"/>
      <c r="Q590" s="60" t="str">
        <f>'Volunteer Survey'!J1000</f>
        <v/>
      </c>
      <c r="R590" s="55"/>
      <c r="S590" s="55"/>
      <c r="T590" s="55" t="str">
        <f>'Volunteer Survey'!M1000</f>
        <v/>
      </c>
      <c r="U590" s="64"/>
      <c r="V590" s="55"/>
      <c r="W590" s="66" t="str">
        <f>'Volunteer Survey'!P1000</f>
        <v/>
      </c>
      <c r="X590" s="55"/>
      <c r="Y590" s="53"/>
      <c r="Z590" s="183" t="str">
        <f>IFERROR(__xludf.DUMMYFUNCTION("QUERY('Volunteer Survey'!A589)"),"")</f>
        <v/>
      </c>
      <c r="AA590" s="183" t="str">
        <f>IFERROR(__xludf.DUMMYFUNCTION("QUERY('Volunteer Survey'!B589)"),"")</f>
        <v/>
      </c>
      <c r="AB590" s="183" t="str">
        <f>IFERROR(__xludf.DUMMYFUNCTION("QUERY('Volunteer Survey'!C589)"),"")</f>
        <v/>
      </c>
      <c r="AC590" s="183" t="str">
        <f>IFERROR(__xludf.DUMMYFUNCTION("QUERY('Volunteer Survey'!D589)"),"")</f>
        <v/>
      </c>
      <c r="AD590" s="183" t="str">
        <f>IFERROR(__xludf.DUMMYFUNCTION("QUERY('Volunteer Survey'!E589)"),"")</f>
        <v/>
      </c>
      <c r="AE590" s="183" t="str">
        <f>IFERROR(__xludf.DUMMYFUNCTION("QUERY('Volunteer Survey'!F589)"),"")</f>
        <v/>
      </c>
      <c r="AF590" s="183" t="str">
        <f>IFERROR(__xludf.DUMMYFUNCTION("QUERY('Volunteer Survey'!G589)"),"")</f>
        <v/>
      </c>
      <c r="AG590" s="183" t="str">
        <f>IFERROR(__xludf.DUMMYFUNCTION("QUERY('Volunteer Survey'!H589)"),"")</f>
        <v/>
      </c>
      <c r="AH590" s="183" t="str">
        <f>IFERROR(__xludf.DUMMYFUNCTION("QUERY('Volunteer Survey'!I589)"),"")</f>
        <v/>
      </c>
      <c r="AI590" s="183" t="str">
        <f>IFERROR(__xludf.DUMMYFUNCTION("QUERY('Volunteer Survey'!J589)"),"")</f>
        <v/>
      </c>
      <c r="AJ590" s="183" t="str">
        <f>IFERROR(__xludf.DUMMYFUNCTION("QUERY('Volunteer Survey'!K589)"),"")</f>
        <v/>
      </c>
      <c r="AK590" s="183" t="str">
        <f>IFERROR(__xludf.DUMMYFUNCTION("QUERY('Volunteer Survey'!L589)"),"")</f>
        <v/>
      </c>
      <c r="AL590" s="183" t="str">
        <f>IFERROR(__xludf.DUMMYFUNCTION("QUERY('Volunteer Survey'!M589)"),"")</f>
        <v/>
      </c>
      <c r="AM590" s="183" t="str">
        <f>IFERROR(__xludf.DUMMYFUNCTION("QUERY('Volunteer Survey'!N589)"),"")</f>
        <v/>
      </c>
      <c r="AN590" s="183" t="str">
        <f>IFERROR(__xludf.DUMMYFUNCTION("QUERY('Volunteer Survey'!O589)"),"")</f>
        <v/>
      </c>
      <c r="AO590" s="183" t="str">
        <f>IFERROR(__xludf.DUMMYFUNCTION("QUERY('Volunteer Survey'!P589)"),"")</f>
        <v/>
      </c>
    </row>
    <row r="591">
      <c r="A591" s="55" t="str">
        <f>'Volunteer Survey'!A1001</f>
        <v/>
      </c>
      <c r="B591" s="55"/>
      <c r="C591" s="53"/>
      <c r="D591" s="55"/>
      <c r="E591" s="55"/>
      <c r="F591" s="55" t="b">
        <v>0</v>
      </c>
      <c r="G591" s="55"/>
      <c r="H591" s="53"/>
      <c r="I591" s="53"/>
      <c r="J591" s="55"/>
      <c r="K591" s="55"/>
      <c r="L591" s="55" t="str">
        <f>'Volunteer Survey'!B1001</f>
        <v/>
      </c>
      <c r="M591" s="55"/>
      <c r="N591" s="55"/>
      <c r="O591" s="55" t="b">
        <v>0</v>
      </c>
      <c r="P591" s="55"/>
      <c r="Q591" s="60" t="str">
        <f>'Volunteer Survey'!J1001</f>
        <v/>
      </c>
      <c r="R591" s="55"/>
      <c r="S591" s="55"/>
      <c r="T591" s="55" t="str">
        <f>'Volunteer Survey'!M1001</f>
        <v/>
      </c>
      <c r="U591" s="64"/>
      <c r="V591" s="55"/>
      <c r="W591" s="66" t="str">
        <f>'Volunteer Survey'!P1001</f>
        <v/>
      </c>
      <c r="X591" s="55"/>
      <c r="Y591" s="53"/>
      <c r="Z591" s="183" t="str">
        <f>IFERROR(__xludf.DUMMYFUNCTION("QUERY('Volunteer Survey'!A590)"),"")</f>
        <v/>
      </c>
      <c r="AA591" s="183" t="str">
        <f>IFERROR(__xludf.DUMMYFUNCTION("QUERY('Volunteer Survey'!B590)"),"")</f>
        <v/>
      </c>
      <c r="AB591" s="183" t="str">
        <f>IFERROR(__xludf.DUMMYFUNCTION("QUERY('Volunteer Survey'!C590)"),"")</f>
        <v/>
      </c>
      <c r="AC591" s="183" t="str">
        <f>IFERROR(__xludf.DUMMYFUNCTION("QUERY('Volunteer Survey'!D590)"),"")</f>
        <v/>
      </c>
      <c r="AD591" s="183" t="str">
        <f>IFERROR(__xludf.DUMMYFUNCTION("QUERY('Volunteer Survey'!E590)"),"")</f>
        <v/>
      </c>
      <c r="AE591" s="183" t="str">
        <f>IFERROR(__xludf.DUMMYFUNCTION("QUERY('Volunteer Survey'!F590)"),"")</f>
        <v/>
      </c>
      <c r="AF591" s="183" t="str">
        <f>IFERROR(__xludf.DUMMYFUNCTION("QUERY('Volunteer Survey'!G590)"),"")</f>
        <v/>
      </c>
      <c r="AG591" s="183" t="str">
        <f>IFERROR(__xludf.DUMMYFUNCTION("QUERY('Volunteer Survey'!H590)"),"")</f>
        <v/>
      </c>
      <c r="AH591" s="183" t="str">
        <f>IFERROR(__xludf.DUMMYFUNCTION("QUERY('Volunteer Survey'!I590)"),"")</f>
        <v/>
      </c>
      <c r="AI591" s="183" t="str">
        <f>IFERROR(__xludf.DUMMYFUNCTION("QUERY('Volunteer Survey'!J590)"),"")</f>
        <v/>
      </c>
      <c r="AJ591" s="183" t="str">
        <f>IFERROR(__xludf.DUMMYFUNCTION("QUERY('Volunteer Survey'!K590)"),"")</f>
        <v/>
      </c>
      <c r="AK591" s="183" t="str">
        <f>IFERROR(__xludf.DUMMYFUNCTION("QUERY('Volunteer Survey'!L590)"),"")</f>
        <v/>
      </c>
      <c r="AL591" s="183" t="str">
        <f>IFERROR(__xludf.DUMMYFUNCTION("QUERY('Volunteer Survey'!M590)"),"")</f>
        <v/>
      </c>
      <c r="AM591" s="183" t="str">
        <f>IFERROR(__xludf.DUMMYFUNCTION("QUERY('Volunteer Survey'!N590)"),"")</f>
        <v/>
      </c>
      <c r="AN591" s="183" t="str">
        <f>IFERROR(__xludf.DUMMYFUNCTION("QUERY('Volunteer Survey'!O590)"),"")</f>
        <v/>
      </c>
      <c r="AO591" s="183" t="str">
        <f>IFERROR(__xludf.DUMMYFUNCTION("QUERY('Volunteer Survey'!P590)"),"")</f>
        <v/>
      </c>
    </row>
    <row r="592">
      <c r="A592" s="55" t="str">
        <f>'Volunteer Survey'!A1002</f>
        <v/>
      </c>
      <c r="B592" s="55"/>
      <c r="C592" s="53"/>
      <c r="D592" s="55"/>
      <c r="E592" s="55"/>
      <c r="F592" s="55" t="b">
        <v>0</v>
      </c>
      <c r="G592" s="55"/>
      <c r="H592" s="53"/>
      <c r="I592" s="53"/>
      <c r="J592" s="55"/>
      <c r="K592" s="55"/>
      <c r="L592" s="55" t="str">
        <f>'Volunteer Survey'!B1002</f>
        <v/>
      </c>
      <c r="M592" s="55"/>
      <c r="N592" s="55"/>
      <c r="O592" s="55" t="b">
        <v>0</v>
      </c>
      <c r="P592" s="55"/>
      <c r="Q592" s="60" t="str">
        <f>'Volunteer Survey'!J1002</f>
        <v/>
      </c>
      <c r="R592" s="55"/>
      <c r="S592" s="55"/>
      <c r="T592" s="55" t="str">
        <f>'Volunteer Survey'!M1002</f>
        <v/>
      </c>
      <c r="U592" s="64"/>
      <c r="V592" s="55"/>
      <c r="W592" s="66" t="str">
        <f>'Volunteer Survey'!P1002</f>
        <v/>
      </c>
      <c r="X592" s="55"/>
      <c r="Y592" s="53"/>
      <c r="Z592" s="183" t="str">
        <f>IFERROR(__xludf.DUMMYFUNCTION("QUERY('Volunteer Survey'!A591)"),"")</f>
        <v/>
      </c>
      <c r="AA592" s="183" t="str">
        <f>IFERROR(__xludf.DUMMYFUNCTION("QUERY('Volunteer Survey'!B591)"),"")</f>
        <v/>
      </c>
      <c r="AB592" s="183" t="str">
        <f>IFERROR(__xludf.DUMMYFUNCTION("QUERY('Volunteer Survey'!C591)"),"")</f>
        <v/>
      </c>
      <c r="AC592" s="183" t="str">
        <f>IFERROR(__xludf.DUMMYFUNCTION("QUERY('Volunteer Survey'!D591)"),"")</f>
        <v/>
      </c>
      <c r="AD592" s="183" t="str">
        <f>IFERROR(__xludf.DUMMYFUNCTION("QUERY('Volunteer Survey'!E591)"),"")</f>
        <v/>
      </c>
      <c r="AE592" s="183" t="str">
        <f>IFERROR(__xludf.DUMMYFUNCTION("QUERY('Volunteer Survey'!F591)"),"")</f>
        <v/>
      </c>
      <c r="AF592" s="183" t="str">
        <f>IFERROR(__xludf.DUMMYFUNCTION("QUERY('Volunteer Survey'!G591)"),"")</f>
        <v/>
      </c>
      <c r="AG592" s="183" t="str">
        <f>IFERROR(__xludf.DUMMYFUNCTION("QUERY('Volunteer Survey'!H591)"),"")</f>
        <v/>
      </c>
      <c r="AH592" s="183" t="str">
        <f>IFERROR(__xludf.DUMMYFUNCTION("QUERY('Volunteer Survey'!I591)"),"")</f>
        <v/>
      </c>
      <c r="AI592" s="183" t="str">
        <f>IFERROR(__xludf.DUMMYFUNCTION("QUERY('Volunteer Survey'!J591)"),"")</f>
        <v/>
      </c>
      <c r="AJ592" s="183" t="str">
        <f>IFERROR(__xludf.DUMMYFUNCTION("QUERY('Volunteer Survey'!K591)"),"")</f>
        <v/>
      </c>
      <c r="AK592" s="183" t="str">
        <f>IFERROR(__xludf.DUMMYFUNCTION("QUERY('Volunteer Survey'!L591)"),"")</f>
        <v/>
      </c>
      <c r="AL592" s="183" t="str">
        <f>IFERROR(__xludf.DUMMYFUNCTION("QUERY('Volunteer Survey'!M591)"),"")</f>
        <v/>
      </c>
      <c r="AM592" s="183" t="str">
        <f>IFERROR(__xludf.DUMMYFUNCTION("QUERY('Volunteer Survey'!N591)"),"")</f>
        <v/>
      </c>
      <c r="AN592" s="183" t="str">
        <f>IFERROR(__xludf.DUMMYFUNCTION("QUERY('Volunteer Survey'!O591)"),"")</f>
        <v/>
      </c>
      <c r="AO592" s="183" t="str">
        <f>IFERROR(__xludf.DUMMYFUNCTION("QUERY('Volunteer Survey'!P591)"),"")</f>
        <v/>
      </c>
    </row>
    <row r="593">
      <c r="A593" s="55" t="str">
        <f>'Volunteer Survey'!A1003</f>
        <v/>
      </c>
      <c r="B593" s="55"/>
      <c r="C593" s="53"/>
      <c r="D593" s="55"/>
      <c r="E593" s="55"/>
      <c r="F593" s="55" t="b">
        <v>0</v>
      </c>
      <c r="G593" s="55"/>
      <c r="H593" s="53"/>
      <c r="I593" s="53"/>
      <c r="J593" s="55"/>
      <c r="K593" s="55"/>
      <c r="L593" s="55"/>
      <c r="M593" s="55"/>
      <c r="N593" s="55"/>
      <c r="O593" s="55" t="b">
        <v>0</v>
      </c>
      <c r="P593" s="55"/>
      <c r="Q593" s="60" t="str">
        <f>'Volunteer Survey'!J1003</f>
        <v/>
      </c>
      <c r="R593" s="55"/>
      <c r="S593" s="55"/>
      <c r="T593" s="55"/>
      <c r="U593" s="64"/>
      <c r="V593" s="55"/>
      <c r="W593" s="66" t="str">
        <f>'Volunteer Survey'!P1003</f>
        <v/>
      </c>
      <c r="X593" s="55"/>
      <c r="Y593" s="53"/>
      <c r="Z593" s="183" t="str">
        <f>IFERROR(__xludf.DUMMYFUNCTION("QUERY('Volunteer Survey'!A592)"),"")</f>
        <v/>
      </c>
      <c r="AA593" s="183" t="str">
        <f>IFERROR(__xludf.DUMMYFUNCTION("QUERY('Volunteer Survey'!B592)"),"")</f>
        <v/>
      </c>
      <c r="AB593" s="183" t="str">
        <f>IFERROR(__xludf.DUMMYFUNCTION("QUERY('Volunteer Survey'!C592)"),"")</f>
        <v/>
      </c>
      <c r="AC593" s="183" t="str">
        <f>IFERROR(__xludf.DUMMYFUNCTION("QUERY('Volunteer Survey'!D592)"),"")</f>
        <v/>
      </c>
      <c r="AD593" s="183" t="str">
        <f>IFERROR(__xludf.DUMMYFUNCTION("QUERY('Volunteer Survey'!E592)"),"")</f>
        <v/>
      </c>
      <c r="AE593" s="183" t="str">
        <f>IFERROR(__xludf.DUMMYFUNCTION("QUERY('Volunteer Survey'!F592)"),"")</f>
        <v/>
      </c>
      <c r="AF593" s="183" t="str">
        <f>IFERROR(__xludf.DUMMYFUNCTION("QUERY('Volunteer Survey'!G592)"),"")</f>
        <v/>
      </c>
      <c r="AG593" s="183" t="str">
        <f>IFERROR(__xludf.DUMMYFUNCTION("QUERY('Volunteer Survey'!H592)"),"")</f>
        <v/>
      </c>
      <c r="AH593" s="183" t="str">
        <f>IFERROR(__xludf.DUMMYFUNCTION("QUERY('Volunteer Survey'!I592)"),"")</f>
        <v/>
      </c>
      <c r="AI593" s="183" t="str">
        <f>IFERROR(__xludf.DUMMYFUNCTION("QUERY('Volunteer Survey'!J592)"),"")</f>
        <v/>
      </c>
      <c r="AJ593" s="183" t="str">
        <f>IFERROR(__xludf.DUMMYFUNCTION("QUERY('Volunteer Survey'!K592)"),"")</f>
        <v/>
      </c>
      <c r="AK593" s="183" t="str">
        <f>IFERROR(__xludf.DUMMYFUNCTION("QUERY('Volunteer Survey'!L592)"),"")</f>
        <v/>
      </c>
      <c r="AL593" s="183" t="str">
        <f>IFERROR(__xludf.DUMMYFUNCTION("QUERY('Volunteer Survey'!M592)"),"")</f>
        <v/>
      </c>
      <c r="AM593" s="183" t="str">
        <f>IFERROR(__xludf.DUMMYFUNCTION("QUERY('Volunteer Survey'!N592)"),"")</f>
        <v/>
      </c>
      <c r="AN593" s="183" t="str">
        <f>IFERROR(__xludf.DUMMYFUNCTION("QUERY('Volunteer Survey'!O592)"),"")</f>
        <v/>
      </c>
      <c r="AO593" s="183" t="str">
        <f>IFERROR(__xludf.DUMMYFUNCTION("QUERY('Volunteer Survey'!P592)"),"")</f>
        <v/>
      </c>
    </row>
    <row r="594">
      <c r="A594" s="55" t="str">
        <f>'Volunteer Survey'!A1004</f>
        <v/>
      </c>
      <c r="B594" s="55"/>
      <c r="C594" s="53"/>
      <c r="D594" s="55"/>
      <c r="E594" s="55"/>
      <c r="F594" s="55" t="b">
        <v>0</v>
      </c>
      <c r="G594" s="55"/>
      <c r="H594" s="53"/>
      <c r="I594" s="53"/>
      <c r="J594" s="55"/>
      <c r="K594" s="55"/>
      <c r="L594" s="55"/>
      <c r="M594" s="55"/>
      <c r="N594" s="55"/>
      <c r="O594" s="55" t="b">
        <v>0</v>
      </c>
      <c r="P594" s="55"/>
      <c r="Q594" s="60" t="str">
        <f>'Volunteer Survey'!J1004</f>
        <v/>
      </c>
      <c r="R594" s="55"/>
      <c r="S594" s="55"/>
      <c r="T594" s="55"/>
      <c r="U594" s="64"/>
      <c r="V594" s="55"/>
      <c r="W594" s="66" t="str">
        <f>'Volunteer Survey'!P1004</f>
        <v/>
      </c>
      <c r="X594" s="55"/>
      <c r="Y594" s="53"/>
      <c r="Z594" s="183" t="str">
        <f>IFERROR(__xludf.DUMMYFUNCTION("QUERY('Volunteer Survey'!A593)"),"")</f>
        <v/>
      </c>
      <c r="AA594" s="183" t="str">
        <f>IFERROR(__xludf.DUMMYFUNCTION("QUERY('Volunteer Survey'!B593)"),"")</f>
        <v/>
      </c>
      <c r="AB594" s="183" t="str">
        <f>IFERROR(__xludf.DUMMYFUNCTION("QUERY('Volunteer Survey'!C593)"),"")</f>
        <v/>
      </c>
      <c r="AC594" s="183" t="str">
        <f>IFERROR(__xludf.DUMMYFUNCTION("QUERY('Volunteer Survey'!D593)"),"")</f>
        <v/>
      </c>
      <c r="AD594" s="183" t="str">
        <f>IFERROR(__xludf.DUMMYFUNCTION("QUERY('Volunteer Survey'!E593)"),"")</f>
        <v/>
      </c>
      <c r="AE594" s="183" t="str">
        <f>IFERROR(__xludf.DUMMYFUNCTION("QUERY('Volunteer Survey'!F593)"),"")</f>
        <v/>
      </c>
      <c r="AF594" s="183" t="str">
        <f>IFERROR(__xludf.DUMMYFUNCTION("QUERY('Volunteer Survey'!G593)"),"")</f>
        <v/>
      </c>
      <c r="AG594" s="183" t="str">
        <f>IFERROR(__xludf.DUMMYFUNCTION("QUERY('Volunteer Survey'!H593)"),"")</f>
        <v/>
      </c>
      <c r="AH594" s="183" t="str">
        <f>IFERROR(__xludf.DUMMYFUNCTION("QUERY('Volunteer Survey'!I593)"),"")</f>
        <v/>
      </c>
      <c r="AI594" s="183" t="str">
        <f>IFERROR(__xludf.DUMMYFUNCTION("QUERY('Volunteer Survey'!J593)"),"")</f>
        <v/>
      </c>
      <c r="AJ594" s="183" t="str">
        <f>IFERROR(__xludf.DUMMYFUNCTION("QUERY('Volunteer Survey'!K593)"),"")</f>
        <v/>
      </c>
      <c r="AK594" s="183" t="str">
        <f>IFERROR(__xludf.DUMMYFUNCTION("QUERY('Volunteer Survey'!L593)"),"")</f>
        <v/>
      </c>
      <c r="AL594" s="183" t="str">
        <f>IFERROR(__xludf.DUMMYFUNCTION("QUERY('Volunteer Survey'!M593)"),"")</f>
        <v/>
      </c>
      <c r="AM594" s="183" t="str">
        <f>IFERROR(__xludf.DUMMYFUNCTION("QUERY('Volunteer Survey'!N593)"),"")</f>
        <v/>
      </c>
      <c r="AN594" s="183" t="str">
        <f>IFERROR(__xludf.DUMMYFUNCTION("QUERY('Volunteer Survey'!O593)"),"")</f>
        <v/>
      </c>
      <c r="AO594" s="183" t="str">
        <f>IFERROR(__xludf.DUMMYFUNCTION("QUERY('Volunteer Survey'!P593)"),"")</f>
        <v/>
      </c>
    </row>
    <row r="595">
      <c r="A595" s="55"/>
      <c r="B595" s="55"/>
      <c r="C595" s="53"/>
      <c r="D595" s="55"/>
      <c r="E595" s="55"/>
      <c r="F595" s="55" t="b">
        <v>0</v>
      </c>
      <c r="G595" s="55"/>
      <c r="H595" s="53"/>
      <c r="I595" s="53"/>
      <c r="J595" s="55"/>
      <c r="K595" s="55"/>
      <c r="L595" s="55"/>
      <c r="M595" s="55"/>
      <c r="N595" s="55"/>
      <c r="O595" s="55" t="b">
        <v>0</v>
      </c>
      <c r="P595" s="55"/>
      <c r="Q595" s="60" t="str">
        <f>'Volunteer Survey'!J1005</f>
        <v/>
      </c>
      <c r="R595" s="55"/>
      <c r="S595" s="55"/>
      <c r="T595" s="55"/>
      <c r="U595" s="64"/>
      <c r="V595" s="55"/>
      <c r="W595" s="66" t="str">
        <f>'Volunteer Survey'!P1005</f>
        <v/>
      </c>
      <c r="X595" s="55"/>
      <c r="Y595" s="53"/>
      <c r="Z595" s="183" t="str">
        <f>IFERROR(__xludf.DUMMYFUNCTION("QUERY('Volunteer Survey'!A594)"),"")</f>
        <v/>
      </c>
      <c r="AA595" s="183" t="str">
        <f>IFERROR(__xludf.DUMMYFUNCTION("QUERY('Volunteer Survey'!B594)"),"")</f>
        <v/>
      </c>
      <c r="AB595" s="183" t="str">
        <f>IFERROR(__xludf.DUMMYFUNCTION("QUERY('Volunteer Survey'!C594)"),"")</f>
        <v/>
      </c>
      <c r="AC595" s="183" t="str">
        <f>IFERROR(__xludf.DUMMYFUNCTION("QUERY('Volunteer Survey'!D594)"),"")</f>
        <v/>
      </c>
      <c r="AD595" s="183" t="str">
        <f>IFERROR(__xludf.DUMMYFUNCTION("QUERY('Volunteer Survey'!E594)"),"")</f>
        <v/>
      </c>
      <c r="AE595" s="183" t="str">
        <f>IFERROR(__xludf.DUMMYFUNCTION("QUERY('Volunteer Survey'!F594)"),"")</f>
        <v/>
      </c>
      <c r="AF595" s="183" t="str">
        <f>IFERROR(__xludf.DUMMYFUNCTION("QUERY('Volunteer Survey'!G594)"),"")</f>
        <v/>
      </c>
      <c r="AG595" s="183" t="str">
        <f>IFERROR(__xludf.DUMMYFUNCTION("QUERY('Volunteer Survey'!H594)"),"")</f>
        <v/>
      </c>
      <c r="AH595" s="183" t="str">
        <f>IFERROR(__xludf.DUMMYFUNCTION("QUERY('Volunteer Survey'!I594)"),"")</f>
        <v/>
      </c>
      <c r="AI595" s="183" t="str">
        <f>IFERROR(__xludf.DUMMYFUNCTION("QUERY('Volunteer Survey'!J594)"),"")</f>
        <v/>
      </c>
      <c r="AJ595" s="183" t="str">
        <f>IFERROR(__xludf.DUMMYFUNCTION("QUERY('Volunteer Survey'!K594)"),"")</f>
        <v/>
      </c>
      <c r="AK595" s="183" t="str">
        <f>IFERROR(__xludf.DUMMYFUNCTION("QUERY('Volunteer Survey'!L594)"),"")</f>
        <v/>
      </c>
      <c r="AL595" s="183" t="str">
        <f>IFERROR(__xludf.DUMMYFUNCTION("QUERY('Volunteer Survey'!M594)"),"")</f>
        <v/>
      </c>
      <c r="AM595" s="183" t="str">
        <f>IFERROR(__xludf.DUMMYFUNCTION("QUERY('Volunteer Survey'!N594)"),"")</f>
        <v/>
      </c>
      <c r="AN595" s="183" t="str">
        <f>IFERROR(__xludf.DUMMYFUNCTION("QUERY('Volunteer Survey'!O594)"),"")</f>
        <v/>
      </c>
      <c r="AO595" s="183" t="str">
        <f>IFERROR(__xludf.DUMMYFUNCTION("QUERY('Volunteer Survey'!P594)"),"")</f>
        <v/>
      </c>
    </row>
    <row r="596">
      <c r="A596" s="55"/>
      <c r="B596" s="55"/>
      <c r="C596" s="53"/>
      <c r="D596" s="55"/>
      <c r="E596" s="55"/>
      <c r="F596" s="55" t="b">
        <v>0</v>
      </c>
      <c r="G596" s="55"/>
      <c r="H596" s="53"/>
      <c r="I596" s="53"/>
      <c r="J596" s="55"/>
      <c r="K596" s="55"/>
      <c r="L596" s="55"/>
      <c r="M596" s="55"/>
      <c r="N596" s="55"/>
      <c r="O596" s="55" t="b">
        <v>0</v>
      </c>
      <c r="P596" s="55"/>
      <c r="Q596" s="60" t="str">
        <f>'Volunteer Survey'!J1006</f>
        <v/>
      </c>
      <c r="R596" s="55"/>
      <c r="S596" s="55"/>
      <c r="T596" s="55"/>
      <c r="U596" s="64"/>
      <c r="V596" s="55"/>
      <c r="W596" s="66" t="str">
        <f>'Volunteer Survey'!P1006</f>
        <v/>
      </c>
      <c r="X596" s="55"/>
      <c r="Y596" s="53"/>
      <c r="Z596" s="183" t="str">
        <f>IFERROR(__xludf.DUMMYFUNCTION("QUERY('Volunteer Survey'!A595)"),"")</f>
        <v/>
      </c>
      <c r="AA596" s="183" t="str">
        <f>IFERROR(__xludf.DUMMYFUNCTION("QUERY('Volunteer Survey'!B595)"),"")</f>
        <v/>
      </c>
      <c r="AB596" s="183" t="str">
        <f>IFERROR(__xludf.DUMMYFUNCTION("QUERY('Volunteer Survey'!C595)"),"")</f>
        <v/>
      </c>
      <c r="AC596" s="183" t="str">
        <f>IFERROR(__xludf.DUMMYFUNCTION("QUERY('Volunteer Survey'!D595)"),"")</f>
        <v/>
      </c>
      <c r="AD596" s="183" t="str">
        <f>IFERROR(__xludf.DUMMYFUNCTION("QUERY('Volunteer Survey'!E595)"),"")</f>
        <v/>
      </c>
      <c r="AE596" s="183" t="str">
        <f>IFERROR(__xludf.DUMMYFUNCTION("QUERY('Volunteer Survey'!F595)"),"")</f>
        <v/>
      </c>
      <c r="AF596" s="183" t="str">
        <f>IFERROR(__xludf.DUMMYFUNCTION("QUERY('Volunteer Survey'!G595)"),"")</f>
        <v/>
      </c>
      <c r="AG596" s="183" t="str">
        <f>IFERROR(__xludf.DUMMYFUNCTION("QUERY('Volunteer Survey'!H595)"),"")</f>
        <v/>
      </c>
      <c r="AH596" s="183" t="str">
        <f>IFERROR(__xludf.DUMMYFUNCTION("QUERY('Volunteer Survey'!I595)"),"")</f>
        <v/>
      </c>
      <c r="AI596" s="183" t="str">
        <f>IFERROR(__xludf.DUMMYFUNCTION("QUERY('Volunteer Survey'!J595)"),"")</f>
        <v/>
      </c>
      <c r="AJ596" s="183" t="str">
        <f>IFERROR(__xludf.DUMMYFUNCTION("QUERY('Volunteer Survey'!K595)"),"")</f>
        <v/>
      </c>
      <c r="AK596" s="183" t="str">
        <f>IFERROR(__xludf.DUMMYFUNCTION("QUERY('Volunteer Survey'!L595)"),"")</f>
        <v/>
      </c>
      <c r="AL596" s="183" t="str">
        <f>IFERROR(__xludf.DUMMYFUNCTION("QUERY('Volunteer Survey'!M595)"),"")</f>
        <v/>
      </c>
      <c r="AM596" s="183" t="str">
        <f>IFERROR(__xludf.DUMMYFUNCTION("QUERY('Volunteer Survey'!N595)"),"")</f>
        <v/>
      </c>
      <c r="AN596" s="183" t="str">
        <f>IFERROR(__xludf.DUMMYFUNCTION("QUERY('Volunteer Survey'!O595)"),"")</f>
        <v/>
      </c>
      <c r="AO596" s="183" t="str">
        <f>IFERROR(__xludf.DUMMYFUNCTION("QUERY('Volunteer Survey'!P595)"),"")</f>
        <v/>
      </c>
    </row>
    <row r="597">
      <c r="A597" s="55"/>
      <c r="B597" s="55"/>
      <c r="C597" s="53"/>
      <c r="D597" s="55"/>
      <c r="E597" s="55"/>
      <c r="F597" s="55" t="b">
        <v>0</v>
      </c>
      <c r="G597" s="55"/>
      <c r="H597" s="53"/>
      <c r="I597" s="53"/>
      <c r="J597" s="55"/>
      <c r="K597" s="55"/>
      <c r="L597" s="55"/>
      <c r="M597" s="55"/>
      <c r="N597" s="55"/>
      <c r="O597" s="55" t="b">
        <v>0</v>
      </c>
      <c r="P597" s="55"/>
      <c r="Q597" s="60" t="str">
        <f>'Volunteer Survey'!J1007</f>
        <v/>
      </c>
      <c r="R597" s="55"/>
      <c r="S597" s="55"/>
      <c r="T597" s="55"/>
      <c r="U597" s="64"/>
      <c r="V597" s="55"/>
      <c r="W597" s="66" t="str">
        <f>'Volunteer Survey'!P1007</f>
        <v/>
      </c>
      <c r="X597" s="55"/>
      <c r="Y597" s="53"/>
      <c r="Z597" s="183" t="str">
        <f>IFERROR(__xludf.DUMMYFUNCTION("QUERY('Volunteer Survey'!A596)"),"")</f>
        <v/>
      </c>
      <c r="AA597" s="183" t="str">
        <f>IFERROR(__xludf.DUMMYFUNCTION("QUERY('Volunteer Survey'!B596)"),"")</f>
        <v/>
      </c>
      <c r="AB597" s="183" t="str">
        <f>IFERROR(__xludf.DUMMYFUNCTION("QUERY('Volunteer Survey'!C596)"),"")</f>
        <v/>
      </c>
      <c r="AC597" s="183" t="str">
        <f>IFERROR(__xludf.DUMMYFUNCTION("QUERY('Volunteer Survey'!D596)"),"")</f>
        <v/>
      </c>
      <c r="AD597" s="183" t="str">
        <f>IFERROR(__xludf.DUMMYFUNCTION("QUERY('Volunteer Survey'!E596)"),"")</f>
        <v/>
      </c>
      <c r="AE597" s="183" t="str">
        <f>IFERROR(__xludf.DUMMYFUNCTION("QUERY('Volunteer Survey'!F596)"),"")</f>
        <v/>
      </c>
      <c r="AF597" s="183" t="str">
        <f>IFERROR(__xludf.DUMMYFUNCTION("QUERY('Volunteer Survey'!G596)"),"")</f>
        <v/>
      </c>
      <c r="AG597" s="183" t="str">
        <f>IFERROR(__xludf.DUMMYFUNCTION("QUERY('Volunteer Survey'!H596)"),"")</f>
        <v/>
      </c>
      <c r="AH597" s="183" t="str">
        <f>IFERROR(__xludf.DUMMYFUNCTION("QUERY('Volunteer Survey'!I596)"),"")</f>
        <v/>
      </c>
      <c r="AI597" s="183" t="str">
        <f>IFERROR(__xludf.DUMMYFUNCTION("QUERY('Volunteer Survey'!J596)"),"")</f>
        <v/>
      </c>
      <c r="AJ597" s="183" t="str">
        <f>IFERROR(__xludf.DUMMYFUNCTION("QUERY('Volunteer Survey'!K596)"),"")</f>
        <v/>
      </c>
      <c r="AK597" s="183" t="str">
        <f>IFERROR(__xludf.DUMMYFUNCTION("QUERY('Volunteer Survey'!L596)"),"")</f>
        <v/>
      </c>
      <c r="AL597" s="183" t="str">
        <f>IFERROR(__xludf.DUMMYFUNCTION("QUERY('Volunteer Survey'!M596)"),"")</f>
        <v/>
      </c>
      <c r="AM597" s="183" t="str">
        <f>IFERROR(__xludf.DUMMYFUNCTION("QUERY('Volunteer Survey'!N596)"),"")</f>
        <v/>
      </c>
      <c r="AN597" s="183" t="str">
        <f>IFERROR(__xludf.DUMMYFUNCTION("QUERY('Volunteer Survey'!O596)"),"")</f>
        <v/>
      </c>
      <c r="AO597" s="183" t="str">
        <f>IFERROR(__xludf.DUMMYFUNCTION("QUERY('Volunteer Survey'!P596)"),"")</f>
        <v/>
      </c>
    </row>
    <row r="598">
      <c r="A598" s="55"/>
      <c r="B598" s="55"/>
      <c r="C598" s="53"/>
      <c r="D598" s="55"/>
      <c r="E598" s="55"/>
      <c r="F598" s="55" t="b">
        <v>0</v>
      </c>
      <c r="G598" s="55"/>
      <c r="H598" s="53"/>
      <c r="I598" s="53"/>
      <c r="J598" s="55"/>
      <c r="K598" s="55"/>
      <c r="L598" s="55"/>
      <c r="M598" s="55"/>
      <c r="N598" s="55"/>
      <c r="O598" s="55" t="b">
        <v>0</v>
      </c>
      <c r="P598" s="55"/>
      <c r="Q598" s="60" t="str">
        <f>'Volunteer Survey'!J1008</f>
        <v/>
      </c>
      <c r="R598" s="55"/>
      <c r="S598" s="55"/>
      <c r="T598" s="55"/>
      <c r="U598" s="64"/>
      <c r="V598" s="55"/>
      <c r="W598" s="66" t="str">
        <f>'Volunteer Survey'!P1008</f>
        <v/>
      </c>
      <c r="X598" s="55"/>
      <c r="Y598" s="53"/>
      <c r="Z598" s="183" t="str">
        <f>IFERROR(__xludf.DUMMYFUNCTION("QUERY('Volunteer Survey'!A597)"),"")</f>
        <v/>
      </c>
      <c r="AA598" s="183" t="str">
        <f>IFERROR(__xludf.DUMMYFUNCTION("QUERY('Volunteer Survey'!B597)"),"")</f>
        <v/>
      </c>
      <c r="AB598" s="183" t="str">
        <f>IFERROR(__xludf.DUMMYFUNCTION("QUERY('Volunteer Survey'!C597)"),"")</f>
        <v/>
      </c>
      <c r="AC598" s="183" t="str">
        <f>IFERROR(__xludf.DUMMYFUNCTION("QUERY('Volunteer Survey'!D597)"),"")</f>
        <v/>
      </c>
      <c r="AD598" s="183" t="str">
        <f>IFERROR(__xludf.DUMMYFUNCTION("QUERY('Volunteer Survey'!E597)"),"")</f>
        <v/>
      </c>
      <c r="AE598" s="183" t="str">
        <f>IFERROR(__xludf.DUMMYFUNCTION("QUERY('Volunteer Survey'!F597)"),"")</f>
        <v/>
      </c>
      <c r="AF598" s="183" t="str">
        <f>IFERROR(__xludf.DUMMYFUNCTION("QUERY('Volunteer Survey'!G597)"),"")</f>
        <v/>
      </c>
      <c r="AG598" s="183" t="str">
        <f>IFERROR(__xludf.DUMMYFUNCTION("QUERY('Volunteer Survey'!H597)"),"")</f>
        <v/>
      </c>
      <c r="AH598" s="183" t="str">
        <f>IFERROR(__xludf.DUMMYFUNCTION("QUERY('Volunteer Survey'!I597)"),"")</f>
        <v/>
      </c>
      <c r="AI598" s="183" t="str">
        <f>IFERROR(__xludf.DUMMYFUNCTION("QUERY('Volunteer Survey'!J597)"),"")</f>
        <v/>
      </c>
      <c r="AJ598" s="183" t="str">
        <f>IFERROR(__xludf.DUMMYFUNCTION("QUERY('Volunteer Survey'!K597)"),"")</f>
        <v/>
      </c>
      <c r="AK598" s="183" t="str">
        <f>IFERROR(__xludf.DUMMYFUNCTION("QUERY('Volunteer Survey'!L597)"),"")</f>
        <v/>
      </c>
      <c r="AL598" s="183" t="str">
        <f>IFERROR(__xludf.DUMMYFUNCTION("QUERY('Volunteer Survey'!M597)"),"")</f>
        <v/>
      </c>
      <c r="AM598" s="183" t="str">
        <f>IFERROR(__xludf.DUMMYFUNCTION("QUERY('Volunteer Survey'!N597)"),"")</f>
        <v/>
      </c>
      <c r="AN598" s="183" t="str">
        <f>IFERROR(__xludf.DUMMYFUNCTION("QUERY('Volunteer Survey'!O597)"),"")</f>
        <v/>
      </c>
      <c r="AO598" s="183" t="str">
        <f>IFERROR(__xludf.DUMMYFUNCTION("QUERY('Volunteer Survey'!P597)"),"")</f>
        <v/>
      </c>
    </row>
    <row r="599">
      <c r="A599" s="55"/>
      <c r="B599" s="55"/>
      <c r="C599" s="53"/>
      <c r="D599" s="55"/>
      <c r="E599" s="55"/>
      <c r="F599" s="55" t="b">
        <v>0</v>
      </c>
      <c r="G599" s="55"/>
      <c r="H599" s="53"/>
      <c r="I599" s="53"/>
      <c r="J599" s="55"/>
      <c r="K599" s="55"/>
      <c r="L599" s="55"/>
      <c r="M599" s="55"/>
      <c r="N599" s="55"/>
      <c r="O599" s="55" t="b">
        <v>0</v>
      </c>
      <c r="P599" s="55"/>
      <c r="Q599" s="60" t="str">
        <f>'Volunteer Survey'!J1009</f>
        <v/>
      </c>
      <c r="R599" s="55"/>
      <c r="S599" s="55"/>
      <c r="T599" s="55"/>
      <c r="U599" s="64"/>
      <c r="V599" s="55"/>
      <c r="W599" s="66" t="str">
        <f>'Volunteer Survey'!P1009</f>
        <v/>
      </c>
      <c r="X599" s="55"/>
      <c r="Y599" s="53"/>
      <c r="Z599" s="183" t="str">
        <f>IFERROR(__xludf.DUMMYFUNCTION("QUERY('Volunteer Survey'!A598)"),"")</f>
        <v/>
      </c>
      <c r="AA599" s="183" t="str">
        <f>IFERROR(__xludf.DUMMYFUNCTION("QUERY('Volunteer Survey'!B598)"),"")</f>
        <v/>
      </c>
      <c r="AB599" s="183" t="str">
        <f>IFERROR(__xludf.DUMMYFUNCTION("QUERY('Volunteer Survey'!C598)"),"")</f>
        <v/>
      </c>
      <c r="AC599" s="183" t="str">
        <f>IFERROR(__xludf.DUMMYFUNCTION("QUERY('Volunteer Survey'!D598)"),"")</f>
        <v/>
      </c>
      <c r="AD599" s="183" t="str">
        <f>IFERROR(__xludf.DUMMYFUNCTION("QUERY('Volunteer Survey'!E598)"),"")</f>
        <v/>
      </c>
      <c r="AE599" s="183" t="str">
        <f>IFERROR(__xludf.DUMMYFUNCTION("QUERY('Volunteer Survey'!F598)"),"")</f>
        <v/>
      </c>
      <c r="AF599" s="183" t="str">
        <f>IFERROR(__xludf.DUMMYFUNCTION("QUERY('Volunteer Survey'!G598)"),"")</f>
        <v/>
      </c>
      <c r="AG599" s="183" t="str">
        <f>IFERROR(__xludf.DUMMYFUNCTION("QUERY('Volunteer Survey'!H598)"),"")</f>
        <v/>
      </c>
      <c r="AH599" s="183" t="str">
        <f>IFERROR(__xludf.DUMMYFUNCTION("QUERY('Volunteer Survey'!I598)"),"")</f>
        <v/>
      </c>
      <c r="AI599" s="183" t="str">
        <f>IFERROR(__xludf.DUMMYFUNCTION("QUERY('Volunteer Survey'!J598)"),"")</f>
        <v/>
      </c>
      <c r="AJ599" s="183" t="str">
        <f>IFERROR(__xludf.DUMMYFUNCTION("QUERY('Volunteer Survey'!K598)"),"")</f>
        <v/>
      </c>
      <c r="AK599" s="183" t="str">
        <f>IFERROR(__xludf.DUMMYFUNCTION("QUERY('Volunteer Survey'!L598)"),"")</f>
        <v/>
      </c>
      <c r="AL599" s="183" t="str">
        <f>IFERROR(__xludf.DUMMYFUNCTION("QUERY('Volunteer Survey'!M598)"),"")</f>
        <v/>
      </c>
      <c r="AM599" s="183" t="str">
        <f>IFERROR(__xludf.DUMMYFUNCTION("QUERY('Volunteer Survey'!N598)"),"")</f>
        <v/>
      </c>
      <c r="AN599" s="183" t="str">
        <f>IFERROR(__xludf.DUMMYFUNCTION("QUERY('Volunteer Survey'!O598)"),"")</f>
        <v/>
      </c>
      <c r="AO599" s="183" t="str">
        <f>IFERROR(__xludf.DUMMYFUNCTION("QUERY('Volunteer Survey'!P598)"),"")</f>
        <v/>
      </c>
    </row>
    <row r="600">
      <c r="A600" s="55"/>
      <c r="B600" s="55"/>
      <c r="C600" s="53"/>
      <c r="D600" s="55"/>
      <c r="E600" s="55"/>
      <c r="F600" s="55" t="b">
        <v>0</v>
      </c>
      <c r="G600" s="55"/>
      <c r="H600" s="53"/>
      <c r="I600" s="53"/>
      <c r="J600" s="55"/>
      <c r="K600" s="55"/>
      <c r="L600" s="55"/>
      <c r="M600" s="55"/>
      <c r="N600" s="55"/>
      <c r="O600" s="55" t="b">
        <v>0</v>
      </c>
      <c r="P600" s="55"/>
      <c r="Q600" s="60" t="str">
        <f>'Volunteer Survey'!J1010</f>
        <v/>
      </c>
      <c r="R600" s="55"/>
      <c r="S600" s="55"/>
      <c r="T600" s="55"/>
      <c r="U600" s="64"/>
      <c r="V600" s="55"/>
      <c r="W600" s="66" t="str">
        <f>'Volunteer Survey'!P1010</f>
        <v/>
      </c>
      <c r="X600" s="55"/>
      <c r="Y600" s="53"/>
      <c r="Z600" s="183" t="str">
        <f>IFERROR(__xludf.DUMMYFUNCTION("QUERY('Volunteer Survey'!A599)"),"")</f>
        <v/>
      </c>
      <c r="AA600" s="183" t="str">
        <f>IFERROR(__xludf.DUMMYFUNCTION("QUERY('Volunteer Survey'!B599)"),"")</f>
        <v/>
      </c>
      <c r="AB600" s="183" t="str">
        <f>IFERROR(__xludf.DUMMYFUNCTION("QUERY('Volunteer Survey'!C599)"),"")</f>
        <v/>
      </c>
      <c r="AC600" s="183" t="str">
        <f>IFERROR(__xludf.DUMMYFUNCTION("QUERY('Volunteer Survey'!D599)"),"")</f>
        <v/>
      </c>
      <c r="AD600" s="183" t="str">
        <f>IFERROR(__xludf.DUMMYFUNCTION("QUERY('Volunteer Survey'!E599)"),"")</f>
        <v/>
      </c>
      <c r="AE600" s="183" t="str">
        <f>IFERROR(__xludf.DUMMYFUNCTION("QUERY('Volunteer Survey'!F599)"),"")</f>
        <v/>
      </c>
      <c r="AF600" s="183" t="str">
        <f>IFERROR(__xludf.DUMMYFUNCTION("QUERY('Volunteer Survey'!G599)"),"")</f>
        <v/>
      </c>
      <c r="AG600" s="183" t="str">
        <f>IFERROR(__xludf.DUMMYFUNCTION("QUERY('Volunteer Survey'!H599)"),"")</f>
        <v/>
      </c>
      <c r="AH600" s="183" t="str">
        <f>IFERROR(__xludf.DUMMYFUNCTION("QUERY('Volunteer Survey'!I599)"),"")</f>
        <v/>
      </c>
      <c r="AI600" s="183" t="str">
        <f>IFERROR(__xludf.DUMMYFUNCTION("QUERY('Volunteer Survey'!J599)"),"")</f>
        <v/>
      </c>
      <c r="AJ600" s="183" t="str">
        <f>IFERROR(__xludf.DUMMYFUNCTION("QUERY('Volunteer Survey'!K599)"),"")</f>
        <v/>
      </c>
      <c r="AK600" s="183" t="str">
        <f>IFERROR(__xludf.DUMMYFUNCTION("QUERY('Volunteer Survey'!L599)"),"")</f>
        <v/>
      </c>
      <c r="AL600" s="183" t="str">
        <f>IFERROR(__xludf.DUMMYFUNCTION("QUERY('Volunteer Survey'!M599)"),"")</f>
        <v/>
      </c>
      <c r="AM600" s="183" t="str">
        <f>IFERROR(__xludf.DUMMYFUNCTION("QUERY('Volunteer Survey'!N599)"),"")</f>
        <v/>
      </c>
      <c r="AN600" s="183" t="str">
        <f>IFERROR(__xludf.DUMMYFUNCTION("QUERY('Volunteer Survey'!O599)"),"")</f>
        <v/>
      </c>
      <c r="AO600" s="183" t="str">
        <f>IFERROR(__xludf.DUMMYFUNCTION("QUERY('Volunteer Survey'!P599)"),"")</f>
        <v/>
      </c>
    </row>
    <row r="601">
      <c r="A601" s="55"/>
      <c r="B601" s="55"/>
      <c r="C601" s="53"/>
      <c r="D601" s="55"/>
      <c r="E601" s="55"/>
      <c r="F601" s="55" t="b">
        <v>0</v>
      </c>
      <c r="G601" s="55"/>
      <c r="H601" s="53"/>
      <c r="I601" s="53"/>
      <c r="J601" s="55"/>
      <c r="K601" s="55"/>
      <c r="L601" s="55"/>
      <c r="M601" s="55"/>
      <c r="N601" s="55"/>
      <c r="O601" s="55" t="b">
        <v>0</v>
      </c>
      <c r="P601" s="55"/>
      <c r="Q601" s="60" t="str">
        <f>'Volunteer Survey'!J1011</f>
        <v/>
      </c>
      <c r="R601" s="55"/>
      <c r="S601" s="55"/>
      <c r="T601" s="55"/>
      <c r="U601" s="64"/>
      <c r="V601" s="55"/>
      <c r="W601" s="66" t="str">
        <f>'Volunteer Survey'!P1011</f>
        <v/>
      </c>
      <c r="X601" s="55"/>
      <c r="Y601" s="53"/>
      <c r="Z601" s="183" t="str">
        <f>IFERROR(__xludf.DUMMYFUNCTION("QUERY('Volunteer Survey'!A600)"),"")</f>
        <v/>
      </c>
      <c r="AA601" s="183" t="str">
        <f>IFERROR(__xludf.DUMMYFUNCTION("QUERY('Volunteer Survey'!B600)"),"")</f>
        <v/>
      </c>
      <c r="AB601" s="183" t="str">
        <f>IFERROR(__xludf.DUMMYFUNCTION("QUERY('Volunteer Survey'!C600)"),"")</f>
        <v/>
      </c>
      <c r="AC601" s="183" t="str">
        <f>IFERROR(__xludf.DUMMYFUNCTION("QUERY('Volunteer Survey'!D600)"),"")</f>
        <v/>
      </c>
      <c r="AD601" s="183" t="str">
        <f>IFERROR(__xludf.DUMMYFUNCTION("QUERY('Volunteer Survey'!E600)"),"")</f>
        <v/>
      </c>
      <c r="AE601" s="183" t="str">
        <f>IFERROR(__xludf.DUMMYFUNCTION("QUERY('Volunteer Survey'!F600)"),"")</f>
        <v/>
      </c>
      <c r="AF601" s="183" t="str">
        <f>IFERROR(__xludf.DUMMYFUNCTION("QUERY('Volunteer Survey'!G600)"),"")</f>
        <v/>
      </c>
      <c r="AG601" s="183" t="str">
        <f>IFERROR(__xludf.DUMMYFUNCTION("QUERY('Volunteer Survey'!H600)"),"")</f>
        <v/>
      </c>
      <c r="AH601" s="183" t="str">
        <f>IFERROR(__xludf.DUMMYFUNCTION("QUERY('Volunteer Survey'!I600)"),"")</f>
        <v/>
      </c>
      <c r="AI601" s="183" t="str">
        <f>IFERROR(__xludf.DUMMYFUNCTION("QUERY('Volunteer Survey'!J600)"),"")</f>
        <v/>
      </c>
      <c r="AJ601" s="183" t="str">
        <f>IFERROR(__xludf.DUMMYFUNCTION("QUERY('Volunteer Survey'!K600)"),"")</f>
        <v/>
      </c>
      <c r="AK601" s="183" t="str">
        <f>IFERROR(__xludf.DUMMYFUNCTION("QUERY('Volunteer Survey'!L600)"),"")</f>
        <v/>
      </c>
      <c r="AL601" s="183" t="str">
        <f>IFERROR(__xludf.DUMMYFUNCTION("QUERY('Volunteer Survey'!M600)"),"")</f>
        <v/>
      </c>
      <c r="AM601" s="183" t="str">
        <f>IFERROR(__xludf.DUMMYFUNCTION("QUERY('Volunteer Survey'!N600)"),"")</f>
        <v/>
      </c>
      <c r="AN601" s="183" t="str">
        <f>IFERROR(__xludf.DUMMYFUNCTION("QUERY('Volunteer Survey'!O600)"),"")</f>
        <v/>
      </c>
      <c r="AO601" s="183" t="str">
        <f>IFERROR(__xludf.DUMMYFUNCTION("QUERY('Volunteer Survey'!P600)"),"")</f>
        <v/>
      </c>
    </row>
    <row r="602">
      <c r="A602" s="55"/>
      <c r="B602" s="55"/>
      <c r="C602" s="53"/>
      <c r="D602" s="55"/>
      <c r="E602" s="55"/>
      <c r="F602" s="55" t="b">
        <v>0</v>
      </c>
      <c r="G602" s="55"/>
      <c r="H602" s="53"/>
      <c r="I602" s="53"/>
      <c r="J602" s="55"/>
      <c r="K602" s="55"/>
      <c r="L602" s="55"/>
      <c r="M602" s="55"/>
      <c r="N602" s="55"/>
      <c r="O602" s="55" t="b">
        <v>0</v>
      </c>
      <c r="P602" s="55"/>
      <c r="Q602" s="60" t="str">
        <f>'Volunteer Survey'!J1012</f>
        <v/>
      </c>
      <c r="R602" s="55"/>
      <c r="S602" s="55"/>
      <c r="T602" s="55"/>
      <c r="U602" s="64"/>
      <c r="V602" s="55"/>
      <c r="W602" s="66" t="str">
        <f>'Volunteer Survey'!P1012</f>
        <v/>
      </c>
      <c r="X602" s="55"/>
      <c r="Y602" s="53"/>
      <c r="Z602" s="183" t="str">
        <f>IFERROR(__xludf.DUMMYFUNCTION("QUERY('Volunteer Survey'!A601)"),"")</f>
        <v/>
      </c>
      <c r="AA602" s="183" t="str">
        <f>IFERROR(__xludf.DUMMYFUNCTION("QUERY('Volunteer Survey'!B601)"),"")</f>
        <v/>
      </c>
      <c r="AB602" s="183" t="str">
        <f>IFERROR(__xludf.DUMMYFUNCTION("QUERY('Volunteer Survey'!C601)"),"")</f>
        <v/>
      </c>
      <c r="AC602" s="183" t="str">
        <f>IFERROR(__xludf.DUMMYFUNCTION("QUERY('Volunteer Survey'!D601)"),"")</f>
        <v/>
      </c>
      <c r="AD602" s="183" t="str">
        <f>IFERROR(__xludf.DUMMYFUNCTION("QUERY('Volunteer Survey'!E601)"),"")</f>
        <v/>
      </c>
      <c r="AE602" s="183" t="str">
        <f>IFERROR(__xludf.DUMMYFUNCTION("QUERY('Volunteer Survey'!F601)"),"")</f>
        <v/>
      </c>
      <c r="AF602" s="183" t="str">
        <f>IFERROR(__xludf.DUMMYFUNCTION("QUERY('Volunteer Survey'!G601)"),"")</f>
        <v/>
      </c>
      <c r="AG602" s="183" t="str">
        <f>IFERROR(__xludf.DUMMYFUNCTION("QUERY('Volunteer Survey'!H601)"),"")</f>
        <v/>
      </c>
      <c r="AH602" s="183" t="str">
        <f>IFERROR(__xludf.DUMMYFUNCTION("QUERY('Volunteer Survey'!I601)"),"")</f>
        <v/>
      </c>
      <c r="AI602" s="183" t="str">
        <f>IFERROR(__xludf.DUMMYFUNCTION("QUERY('Volunteer Survey'!J601)"),"")</f>
        <v/>
      </c>
      <c r="AJ602" s="183" t="str">
        <f>IFERROR(__xludf.DUMMYFUNCTION("QUERY('Volunteer Survey'!K601)"),"")</f>
        <v/>
      </c>
      <c r="AK602" s="183" t="str">
        <f>IFERROR(__xludf.DUMMYFUNCTION("QUERY('Volunteer Survey'!L601)"),"")</f>
        <v/>
      </c>
      <c r="AL602" s="183" t="str">
        <f>IFERROR(__xludf.DUMMYFUNCTION("QUERY('Volunteer Survey'!M601)"),"")</f>
        <v/>
      </c>
      <c r="AM602" s="183" t="str">
        <f>IFERROR(__xludf.DUMMYFUNCTION("QUERY('Volunteer Survey'!N601)"),"")</f>
        <v/>
      </c>
      <c r="AN602" s="183" t="str">
        <f>IFERROR(__xludf.DUMMYFUNCTION("QUERY('Volunteer Survey'!O601)"),"")</f>
        <v/>
      </c>
      <c r="AO602" s="183" t="str">
        <f>IFERROR(__xludf.DUMMYFUNCTION("QUERY('Volunteer Survey'!P601)"),"")</f>
        <v/>
      </c>
    </row>
    <row r="603">
      <c r="A603" s="55"/>
      <c r="B603" s="55"/>
      <c r="C603" s="53"/>
      <c r="D603" s="55"/>
      <c r="E603" s="55"/>
      <c r="F603" s="55" t="b">
        <v>0</v>
      </c>
      <c r="G603" s="55"/>
      <c r="H603" s="53"/>
      <c r="I603" s="53"/>
      <c r="J603" s="55"/>
      <c r="K603" s="55"/>
      <c r="L603" s="55"/>
      <c r="M603" s="55"/>
      <c r="N603" s="55"/>
      <c r="O603" s="55" t="b">
        <v>0</v>
      </c>
      <c r="P603" s="55"/>
      <c r="Q603" s="60" t="str">
        <f>'Volunteer Survey'!J1013</f>
        <v/>
      </c>
      <c r="R603" s="55"/>
      <c r="S603" s="55"/>
      <c r="T603" s="55"/>
      <c r="U603" s="64"/>
      <c r="V603" s="55"/>
      <c r="W603" s="66" t="str">
        <f>'Volunteer Survey'!P1013</f>
        <v/>
      </c>
      <c r="X603" s="55"/>
      <c r="Y603" s="53"/>
      <c r="Z603" s="183" t="str">
        <f>IFERROR(__xludf.DUMMYFUNCTION("QUERY('Volunteer Survey'!A602)"),"")</f>
        <v/>
      </c>
      <c r="AA603" s="183" t="str">
        <f>IFERROR(__xludf.DUMMYFUNCTION("QUERY('Volunteer Survey'!B602)"),"")</f>
        <v/>
      </c>
      <c r="AB603" s="183" t="str">
        <f>IFERROR(__xludf.DUMMYFUNCTION("QUERY('Volunteer Survey'!C602)"),"")</f>
        <v/>
      </c>
      <c r="AC603" s="183" t="str">
        <f>IFERROR(__xludf.DUMMYFUNCTION("QUERY('Volunteer Survey'!D602)"),"")</f>
        <v/>
      </c>
      <c r="AD603" s="183" t="str">
        <f>IFERROR(__xludf.DUMMYFUNCTION("QUERY('Volunteer Survey'!E602)"),"")</f>
        <v/>
      </c>
      <c r="AE603" s="183" t="str">
        <f>IFERROR(__xludf.DUMMYFUNCTION("QUERY('Volunteer Survey'!F602)"),"")</f>
        <v/>
      </c>
      <c r="AF603" s="183" t="str">
        <f>IFERROR(__xludf.DUMMYFUNCTION("QUERY('Volunteer Survey'!G602)"),"")</f>
        <v/>
      </c>
      <c r="AG603" s="183" t="str">
        <f>IFERROR(__xludf.DUMMYFUNCTION("QUERY('Volunteer Survey'!H602)"),"")</f>
        <v/>
      </c>
      <c r="AH603" s="183" t="str">
        <f>IFERROR(__xludf.DUMMYFUNCTION("QUERY('Volunteer Survey'!I602)"),"")</f>
        <v/>
      </c>
      <c r="AI603" s="183" t="str">
        <f>IFERROR(__xludf.DUMMYFUNCTION("QUERY('Volunteer Survey'!J602)"),"")</f>
        <v/>
      </c>
      <c r="AJ603" s="183" t="str">
        <f>IFERROR(__xludf.DUMMYFUNCTION("QUERY('Volunteer Survey'!K602)"),"")</f>
        <v/>
      </c>
      <c r="AK603" s="183" t="str">
        <f>IFERROR(__xludf.DUMMYFUNCTION("QUERY('Volunteer Survey'!L602)"),"")</f>
        <v/>
      </c>
      <c r="AL603" s="183" t="str">
        <f>IFERROR(__xludf.DUMMYFUNCTION("QUERY('Volunteer Survey'!M602)"),"")</f>
        <v/>
      </c>
      <c r="AM603" s="183" t="str">
        <f>IFERROR(__xludf.DUMMYFUNCTION("QUERY('Volunteer Survey'!N602)"),"")</f>
        <v/>
      </c>
      <c r="AN603" s="183" t="str">
        <f>IFERROR(__xludf.DUMMYFUNCTION("QUERY('Volunteer Survey'!O602)"),"")</f>
        <v/>
      </c>
      <c r="AO603" s="183" t="str">
        <f>IFERROR(__xludf.DUMMYFUNCTION("QUERY('Volunteer Survey'!P602)"),"")</f>
        <v/>
      </c>
    </row>
    <row r="604">
      <c r="A604" s="55"/>
      <c r="B604" s="55"/>
      <c r="C604" s="53"/>
      <c r="D604" s="55"/>
      <c r="E604" s="55"/>
      <c r="F604" s="55" t="b">
        <v>0</v>
      </c>
      <c r="G604" s="55"/>
      <c r="H604" s="53"/>
      <c r="I604" s="53"/>
      <c r="J604" s="55"/>
      <c r="K604" s="55"/>
      <c r="L604" s="55"/>
      <c r="M604" s="55"/>
      <c r="N604" s="55"/>
      <c r="O604" s="55" t="b">
        <v>0</v>
      </c>
      <c r="P604" s="55"/>
      <c r="Q604" s="60" t="str">
        <f>'Volunteer Survey'!J1014</f>
        <v/>
      </c>
      <c r="R604" s="55"/>
      <c r="S604" s="55"/>
      <c r="T604" s="55"/>
      <c r="U604" s="64"/>
      <c r="V604" s="55"/>
      <c r="W604" s="66" t="str">
        <f>'Volunteer Survey'!P1014</f>
        <v/>
      </c>
      <c r="X604" s="55"/>
      <c r="Y604" s="53"/>
      <c r="Z604" s="183" t="str">
        <f>IFERROR(__xludf.DUMMYFUNCTION("QUERY('Volunteer Survey'!A603)"),"")</f>
        <v/>
      </c>
      <c r="AA604" s="183" t="str">
        <f>IFERROR(__xludf.DUMMYFUNCTION("QUERY('Volunteer Survey'!B603)"),"")</f>
        <v/>
      </c>
      <c r="AB604" s="183" t="str">
        <f>IFERROR(__xludf.DUMMYFUNCTION("QUERY('Volunteer Survey'!C603)"),"")</f>
        <v/>
      </c>
      <c r="AC604" s="183" t="str">
        <f>IFERROR(__xludf.DUMMYFUNCTION("QUERY('Volunteer Survey'!D603)"),"")</f>
        <v/>
      </c>
      <c r="AD604" s="183" t="str">
        <f>IFERROR(__xludf.DUMMYFUNCTION("QUERY('Volunteer Survey'!E603)"),"")</f>
        <v/>
      </c>
      <c r="AE604" s="183" t="str">
        <f>IFERROR(__xludf.DUMMYFUNCTION("QUERY('Volunteer Survey'!F603)"),"")</f>
        <v/>
      </c>
      <c r="AF604" s="183" t="str">
        <f>IFERROR(__xludf.DUMMYFUNCTION("QUERY('Volunteer Survey'!G603)"),"")</f>
        <v/>
      </c>
      <c r="AG604" s="183" t="str">
        <f>IFERROR(__xludf.DUMMYFUNCTION("QUERY('Volunteer Survey'!H603)"),"")</f>
        <v/>
      </c>
      <c r="AH604" s="183" t="str">
        <f>IFERROR(__xludf.DUMMYFUNCTION("QUERY('Volunteer Survey'!I603)"),"")</f>
        <v/>
      </c>
      <c r="AI604" s="183" t="str">
        <f>IFERROR(__xludf.DUMMYFUNCTION("QUERY('Volunteer Survey'!J603)"),"")</f>
        <v/>
      </c>
      <c r="AJ604" s="183" t="str">
        <f>IFERROR(__xludf.DUMMYFUNCTION("QUERY('Volunteer Survey'!K603)"),"")</f>
        <v/>
      </c>
      <c r="AK604" s="183" t="str">
        <f>IFERROR(__xludf.DUMMYFUNCTION("QUERY('Volunteer Survey'!L603)"),"")</f>
        <v/>
      </c>
      <c r="AL604" s="183" t="str">
        <f>IFERROR(__xludf.DUMMYFUNCTION("QUERY('Volunteer Survey'!M603)"),"")</f>
        <v/>
      </c>
      <c r="AM604" s="183" t="str">
        <f>IFERROR(__xludf.DUMMYFUNCTION("QUERY('Volunteer Survey'!N603)"),"")</f>
        <v/>
      </c>
      <c r="AN604" s="183" t="str">
        <f>IFERROR(__xludf.DUMMYFUNCTION("QUERY('Volunteer Survey'!O603)"),"")</f>
        <v/>
      </c>
      <c r="AO604" s="183" t="str">
        <f>IFERROR(__xludf.DUMMYFUNCTION("QUERY('Volunteer Survey'!P603)"),"")</f>
        <v/>
      </c>
    </row>
    <row r="605">
      <c r="A605" s="55"/>
      <c r="B605" s="55"/>
      <c r="C605" s="53"/>
      <c r="D605" s="55"/>
      <c r="E605" s="55"/>
      <c r="F605" s="55" t="b">
        <v>0</v>
      </c>
      <c r="G605" s="55"/>
      <c r="H605" s="53"/>
      <c r="I605" s="53"/>
      <c r="J605" s="55"/>
      <c r="K605" s="55"/>
      <c r="L605" s="55"/>
      <c r="M605" s="55"/>
      <c r="N605" s="55"/>
      <c r="O605" s="55" t="b">
        <v>0</v>
      </c>
      <c r="P605" s="55"/>
      <c r="Q605" s="60" t="str">
        <f>'Volunteer Survey'!J1015</f>
        <v/>
      </c>
      <c r="R605" s="55"/>
      <c r="S605" s="55"/>
      <c r="T605" s="55"/>
      <c r="U605" s="64"/>
      <c r="V605" s="55"/>
      <c r="W605" s="66" t="str">
        <f>'Volunteer Survey'!P1015</f>
        <v/>
      </c>
      <c r="X605" s="55"/>
      <c r="Y605" s="53"/>
      <c r="Z605" s="183" t="str">
        <f>IFERROR(__xludf.DUMMYFUNCTION("QUERY('Volunteer Survey'!A604)"),"")</f>
        <v/>
      </c>
      <c r="AA605" s="183" t="str">
        <f>IFERROR(__xludf.DUMMYFUNCTION("QUERY('Volunteer Survey'!B604)"),"")</f>
        <v/>
      </c>
      <c r="AB605" s="183" t="str">
        <f>IFERROR(__xludf.DUMMYFUNCTION("QUERY('Volunteer Survey'!C604)"),"")</f>
        <v/>
      </c>
      <c r="AC605" s="183" t="str">
        <f>IFERROR(__xludf.DUMMYFUNCTION("QUERY('Volunteer Survey'!D604)"),"")</f>
        <v/>
      </c>
      <c r="AD605" s="183" t="str">
        <f>IFERROR(__xludf.DUMMYFUNCTION("QUERY('Volunteer Survey'!E604)"),"")</f>
        <v/>
      </c>
      <c r="AE605" s="183" t="str">
        <f>IFERROR(__xludf.DUMMYFUNCTION("QUERY('Volunteer Survey'!F604)"),"")</f>
        <v/>
      </c>
      <c r="AF605" s="183" t="str">
        <f>IFERROR(__xludf.DUMMYFUNCTION("QUERY('Volunteer Survey'!G604)"),"")</f>
        <v/>
      </c>
      <c r="AG605" s="183" t="str">
        <f>IFERROR(__xludf.DUMMYFUNCTION("QUERY('Volunteer Survey'!H604)"),"")</f>
        <v/>
      </c>
      <c r="AH605" s="183" t="str">
        <f>IFERROR(__xludf.DUMMYFUNCTION("QUERY('Volunteer Survey'!I604)"),"")</f>
        <v/>
      </c>
      <c r="AI605" s="183" t="str">
        <f>IFERROR(__xludf.DUMMYFUNCTION("QUERY('Volunteer Survey'!J604)"),"")</f>
        <v/>
      </c>
      <c r="AJ605" s="183" t="str">
        <f>IFERROR(__xludf.DUMMYFUNCTION("QUERY('Volunteer Survey'!K604)"),"")</f>
        <v/>
      </c>
      <c r="AK605" s="183" t="str">
        <f>IFERROR(__xludf.DUMMYFUNCTION("QUERY('Volunteer Survey'!L604)"),"")</f>
        <v/>
      </c>
      <c r="AL605" s="183" t="str">
        <f>IFERROR(__xludf.DUMMYFUNCTION("QUERY('Volunteer Survey'!M604)"),"")</f>
        <v/>
      </c>
      <c r="AM605" s="183" t="str">
        <f>IFERROR(__xludf.DUMMYFUNCTION("QUERY('Volunteer Survey'!N604)"),"")</f>
        <v/>
      </c>
      <c r="AN605" s="183" t="str">
        <f>IFERROR(__xludf.DUMMYFUNCTION("QUERY('Volunteer Survey'!O604)"),"")</f>
        <v/>
      </c>
      <c r="AO605" s="183" t="str">
        <f>IFERROR(__xludf.DUMMYFUNCTION("QUERY('Volunteer Survey'!P604)"),"")</f>
        <v/>
      </c>
    </row>
    <row r="606">
      <c r="A606" s="55"/>
      <c r="B606" s="55"/>
      <c r="C606" s="53"/>
      <c r="D606" s="55"/>
      <c r="E606" s="55"/>
      <c r="F606" s="55" t="b">
        <v>0</v>
      </c>
      <c r="G606" s="55"/>
      <c r="H606" s="53"/>
      <c r="I606" s="53"/>
      <c r="J606" s="55"/>
      <c r="K606" s="55"/>
      <c r="L606" s="55"/>
      <c r="M606" s="55"/>
      <c r="N606" s="55"/>
      <c r="O606" s="55" t="b">
        <v>0</v>
      </c>
      <c r="P606" s="55"/>
      <c r="Q606" s="60" t="str">
        <f>'Volunteer Survey'!J1016</f>
        <v/>
      </c>
      <c r="R606" s="55"/>
      <c r="S606" s="55"/>
      <c r="T606" s="55"/>
      <c r="U606" s="64"/>
      <c r="V606" s="55"/>
      <c r="W606" s="66" t="str">
        <f>'Volunteer Survey'!P1016</f>
        <v/>
      </c>
      <c r="X606" s="55"/>
      <c r="Y606" s="53"/>
      <c r="Z606" s="183" t="str">
        <f>IFERROR(__xludf.DUMMYFUNCTION("QUERY('Volunteer Survey'!A605)"),"")</f>
        <v/>
      </c>
      <c r="AA606" s="183" t="str">
        <f>IFERROR(__xludf.DUMMYFUNCTION("QUERY('Volunteer Survey'!B605)"),"")</f>
        <v/>
      </c>
      <c r="AB606" s="183" t="str">
        <f>IFERROR(__xludf.DUMMYFUNCTION("QUERY('Volunteer Survey'!C605)"),"")</f>
        <v/>
      </c>
      <c r="AC606" s="183" t="str">
        <f>IFERROR(__xludf.DUMMYFUNCTION("QUERY('Volunteer Survey'!D605)"),"")</f>
        <v/>
      </c>
      <c r="AD606" s="183" t="str">
        <f>IFERROR(__xludf.DUMMYFUNCTION("QUERY('Volunteer Survey'!E605)"),"")</f>
        <v/>
      </c>
      <c r="AE606" s="183" t="str">
        <f>IFERROR(__xludf.DUMMYFUNCTION("QUERY('Volunteer Survey'!F605)"),"")</f>
        <v/>
      </c>
      <c r="AF606" s="183" t="str">
        <f>IFERROR(__xludf.DUMMYFUNCTION("QUERY('Volunteer Survey'!G605)"),"")</f>
        <v/>
      </c>
      <c r="AG606" s="183" t="str">
        <f>IFERROR(__xludf.DUMMYFUNCTION("QUERY('Volunteer Survey'!H605)"),"")</f>
        <v/>
      </c>
      <c r="AH606" s="183" t="str">
        <f>IFERROR(__xludf.DUMMYFUNCTION("QUERY('Volunteer Survey'!I605)"),"")</f>
        <v/>
      </c>
      <c r="AI606" s="183" t="str">
        <f>IFERROR(__xludf.DUMMYFUNCTION("QUERY('Volunteer Survey'!J605)"),"")</f>
        <v/>
      </c>
      <c r="AJ606" s="183" t="str">
        <f>IFERROR(__xludf.DUMMYFUNCTION("QUERY('Volunteer Survey'!K605)"),"")</f>
        <v/>
      </c>
      <c r="AK606" s="183" t="str">
        <f>IFERROR(__xludf.DUMMYFUNCTION("QUERY('Volunteer Survey'!L605)"),"")</f>
        <v/>
      </c>
      <c r="AL606" s="183" t="str">
        <f>IFERROR(__xludf.DUMMYFUNCTION("QUERY('Volunteer Survey'!M605)"),"")</f>
        <v/>
      </c>
      <c r="AM606" s="183" t="str">
        <f>IFERROR(__xludf.DUMMYFUNCTION("QUERY('Volunteer Survey'!N605)"),"")</f>
        <v/>
      </c>
      <c r="AN606" s="183" t="str">
        <f>IFERROR(__xludf.DUMMYFUNCTION("QUERY('Volunteer Survey'!O605)"),"")</f>
        <v/>
      </c>
      <c r="AO606" s="183" t="str">
        <f>IFERROR(__xludf.DUMMYFUNCTION("QUERY('Volunteer Survey'!P605)"),"")</f>
        <v/>
      </c>
    </row>
    <row r="607">
      <c r="A607" s="55"/>
      <c r="B607" s="55"/>
      <c r="C607" s="53"/>
      <c r="D607" s="55"/>
      <c r="E607" s="55"/>
      <c r="F607" s="55" t="b">
        <v>0</v>
      </c>
      <c r="G607" s="55"/>
      <c r="H607" s="53"/>
      <c r="I607" s="53"/>
      <c r="J607" s="55"/>
      <c r="K607" s="55"/>
      <c r="L607" s="55"/>
      <c r="M607" s="55"/>
      <c r="N607" s="55"/>
      <c r="O607" s="55" t="b">
        <v>0</v>
      </c>
      <c r="P607" s="55"/>
      <c r="Q607" s="60" t="str">
        <f>'Volunteer Survey'!J1017</f>
        <v/>
      </c>
      <c r="R607" s="55"/>
      <c r="S607" s="55"/>
      <c r="T607" s="55"/>
      <c r="U607" s="64"/>
      <c r="V607" s="55"/>
      <c r="W607" s="66" t="str">
        <f>'Volunteer Survey'!P1017</f>
        <v/>
      </c>
      <c r="X607" s="55"/>
      <c r="Y607" s="53"/>
      <c r="Z607" s="183" t="str">
        <f>IFERROR(__xludf.DUMMYFUNCTION("QUERY('Volunteer Survey'!A606)"),"")</f>
        <v/>
      </c>
      <c r="AA607" s="183" t="str">
        <f>IFERROR(__xludf.DUMMYFUNCTION("QUERY('Volunteer Survey'!B606)"),"")</f>
        <v/>
      </c>
      <c r="AB607" s="183" t="str">
        <f>IFERROR(__xludf.DUMMYFUNCTION("QUERY('Volunteer Survey'!C606)"),"")</f>
        <v/>
      </c>
      <c r="AC607" s="183" t="str">
        <f>IFERROR(__xludf.DUMMYFUNCTION("QUERY('Volunteer Survey'!D606)"),"")</f>
        <v/>
      </c>
      <c r="AD607" s="183" t="str">
        <f>IFERROR(__xludf.DUMMYFUNCTION("QUERY('Volunteer Survey'!E606)"),"")</f>
        <v/>
      </c>
      <c r="AE607" s="183" t="str">
        <f>IFERROR(__xludf.DUMMYFUNCTION("QUERY('Volunteer Survey'!F606)"),"")</f>
        <v/>
      </c>
      <c r="AF607" s="183" t="str">
        <f>IFERROR(__xludf.DUMMYFUNCTION("QUERY('Volunteer Survey'!G606)"),"")</f>
        <v/>
      </c>
      <c r="AG607" s="183" t="str">
        <f>IFERROR(__xludf.DUMMYFUNCTION("QUERY('Volunteer Survey'!H606)"),"")</f>
        <v/>
      </c>
      <c r="AH607" s="183" t="str">
        <f>IFERROR(__xludf.DUMMYFUNCTION("QUERY('Volunteer Survey'!I606)"),"")</f>
        <v/>
      </c>
      <c r="AI607" s="183" t="str">
        <f>IFERROR(__xludf.DUMMYFUNCTION("QUERY('Volunteer Survey'!J606)"),"")</f>
        <v/>
      </c>
      <c r="AJ607" s="183" t="str">
        <f>IFERROR(__xludf.DUMMYFUNCTION("QUERY('Volunteer Survey'!K606)"),"")</f>
        <v/>
      </c>
      <c r="AK607" s="183" t="str">
        <f>IFERROR(__xludf.DUMMYFUNCTION("QUERY('Volunteer Survey'!L606)"),"")</f>
        <v/>
      </c>
      <c r="AL607" s="183" t="str">
        <f>IFERROR(__xludf.DUMMYFUNCTION("QUERY('Volunteer Survey'!M606)"),"")</f>
        <v/>
      </c>
      <c r="AM607" s="183" t="str">
        <f>IFERROR(__xludf.DUMMYFUNCTION("QUERY('Volunteer Survey'!N606)"),"")</f>
        <v/>
      </c>
      <c r="AN607" s="183" t="str">
        <f>IFERROR(__xludf.DUMMYFUNCTION("QUERY('Volunteer Survey'!O606)"),"")</f>
        <v/>
      </c>
      <c r="AO607" s="183" t="str">
        <f>IFERROR(__xludf.DUMMYFUNCTION("QUERY('Volunteer Survey'!P606)"),"")</f>
        <v/>
      </c>
    </row>
    <row r="608">
      <c r="A608" s="55"/>
      <c r="B608" s="55"/>
      <c r="C608" s="53"/>
      <c r="D608" s="55"/>
      <c r="E608" s="55"/>
      <c r="F608" s="55" t="b">
        <v>0</v>
      </c>
      <c r="G608" s="55"/>
      <c r="H608" s="53"/>
      <c r="I608" s="53"/>
      <c r="J608" s="55"/>
      <c r="K608" s="55"/>
      <c r="L608" s="55"/>
      <c r="M608" s="55"/>
      <c r="N608" s="55"/>
      <c r="O608" s="55" t="b">
        <v>0</v>
      </c>
      <c r="P608" s="55"/>
      <c r="Q608" s="60" t="str">
        <f>'Volunteer Survey'!J1018</f>
        <v/>
      </c>
      <c r="R608" s="55"/>
      <c r="S608" s="55"/>
      <c r="T608" s="55"/>
      <c r="U608" s="64"/>
      <c r="V608" s="55"/>
      <c r="W608" s="66" t="str">
        <f>'Volunteer Survey'!P1018</f>
        <v/>
      </c>
      <c r="X608" s="55"/>
      <c r="Y608" s="53"/>
      <c r="Z608" s="183" t="str">
        <f>IFERROR(__xludf.DUMMYFUNCTION("QUERY('Volunteer Survey'!A607)"),"")</f>
        <v/>
      </c>
      <c r="AA608" s="183" t="str">
        <f>IFERROR(__xludf.DUMMYFUNCTION("QUERY('Volunteer Survey'!B607)"),"")</f>
        <v/>
      </c>
      <c r="AB608" s="183" t="str">
        <f>IFERROR(__xludf.DUMMYFUNCTION("QUERY('Volunteer Survey'!C607)"),"")</f>
        <v/>
      </c>
      <c r="AC608" s="183" t="str">
        <f>IFERROR(__xludf.DUMMYFUNCTION("QUERY('Volunteer Survey'!D607)"),"")</f>
        <v/>
      </c>
      <c r="AD608" s="183" t="str">
        <f>IFERROR(__xludf.DUMMYFUNCTION("QUERY('Volunteer Survey'!E607)"),"")</f>
        <v/>
      </c>
      <c r="AE608" s="183" t="str">
        <f>IFERROR(__xludf.DUMMYFUNCTION("QUERY('Volunteer Survey'!F607)"),"")</f>
        <v/>
      </c>
      <c r="AF608" s="183" t="str">
        <f>IFERROR(__xludf.DUMMYFUNCTION("QUERY('Volunteer Survey'!G607)"),"")</f>
        <v/>
      </c>
      <c r="AG608" s="183" t="str">
        <f>IFERROR(__xludf.DUMMYFUNCTION("QUERY('Volunteer Survey'!H607)"),"")</f>
        <v/>
      </c>
      <c r="AH608" s="183" t="str">
        <f>IFERROR(__xludf.DUMMYFUNCTION("QUERY('Volunteer Survey'!I607)"),"")</f>
        <v/>
      </c>
      <c r="AI608" s="183" t="str">
        <f>IFERROR(__xludf.DUMMYFUNCTION("QUERY('Volunteer Survey'!J607)"),"")</f>
        <v/>
      </c>
      <c r="AJ608" s="183" t="str">
        <f>IFERROR(__xludf.DUMMYFUNCTION("QUERY('Volunteer Survey'!K607)"),"")</f>
        <v/>
      </c>
      <c r="AK608" s="183" t="str">
        <f>IFERROR(__xludf.DUMMYFUNCTION("QUERY('Volunteer Survey'!L607)"),"")</f>
        <v/>
      </c>
      <c r="AL608" s="183" t="str">
        <f>IFERROR(__xludf.DUMMYFUNCTION("QUERY('Volunteer Survey'!M607)"),"")</f>
        <v/>
      </c>
      <c r="AM608" s="183" t="str">
        <f>IFERROR(__xludf.DUMMYFUNCTION("QUERY('Volunteer Survey'!N607)"),"")</f>
        <v/>
      </c>
      <c r="AN608" s="183" t="str">
        <f>IFERROR(__xludf.DUMMYFUNCTION("QUERY('Volunteer Survey'!O607)"),"")</f>
        <v/>
      </c>
      <c r="AO608" s="183" t="str">
        <f>IFERROR(__xludf.DUMMYFUNCTION("QUERY('Volunteer Survey'!P607)"),"")</f>
        <v/>
      </c>
    </row>
    <row r="609">
      <c r="A609" s="55"/>
      <c r="B609" s="55"/>
      <c r="C609" s="53"/>
      <c r="D609" s="55"/>
      <c r="E609" s="55"/>
      <c r="F609" s="55" t="b">
        <v>0</v>
      </c>
      <c r="G609" s="55"/>
      <c r="H609" s="53"/>
      <c r="I609" s="53"/>
      <c r="J609" s="55"/>
      <c r="K609" s="55"/>
      <c r="L609" s="55"/>
      <c r="M609" s="55"/>
      <c r="N609" s="55"/>
      <c r="O609" s="55" t="b">
        <v>0</v>
      </c>
      <c r="P609" s="55"/>
      <c r="Q609" s="60" t="str">
        <f>'Volunteer Survey'!J1019</f>
        <v/>
      </c>
      <c r="R609" s="55"/>
      <c r="S609" s="55"/>
      <c r="T609" s="55"/>
      <c r="U609" s="64"/>
      <c r="V609" s="55"/>
      <c r="W609" s="66" t="str">
        <f>'Volunteer Survey'!P1019</f>
        <v/>
      </c>
      <c r="X609" s="55"/>
      <c r="Y609" s="53"/>
      <c r="Z609" s="183" t="str">
        <f>IFERROR(__xludf.DUMMYFUNCTION("QUERY('Volunteer Survey'!A608)"),"")</f>
        <v/>
      </c>
      <c r="AA609" s="183" t="str">
        <f>IFERROR(__xludf.DUMMYFUNCTION("QUERY('Volunteer Survey'!B608)"),"")</f>
        <v/>
      </c>
      <c r="AB609" s="183" t="str">
        <f>IFERROR(__xludf.DUMMYFUNCTION("QUERY('Volunteer Survey'!C608)"),"")</f>
        <v/>
      </c>
      <c r="AC609" s="183" t="str">
        <f>IFERROR(__xludf.DUMMYFUNCTION("QUERY('Volunteer Survey'!D608)"),"")</f>
        <v/>
      </c>
      <c r="AD609" s="183" t="str">
        <f>IFERROR(__xludf.DUMMYFUNCTION("QUERY('Volunteer Survey'!E608)"),"")</f>
        <v/>
      </c>
      <c r="AE609" s="183" t="str">
        <f>IFERROR(__xludf.DUMMYFUNCTION("QUERY('Volunteer Survey'!F608)"),"")</f>
        <v/>
      </c>
      <c r="AF609" s="183" t="str">
        <f>IFERROR(__xludf.DUMMYFUNCTION("QUERY('Volunteer Survey'!G608)"),"")</f>
        <v/>
      </c>
      <c r="AG609" s="183" t="str">
        <f>IFERROR(__xludf.DUMMYFUNCTION("QUERY('Volunteer Survey'!H608)"),"")</f>
        <v/>
      </c>
      <c r="AH609" s="183" t="str">
        <f>IFERROR(__xludf.DUMMYFUNCTION("QUERY('Volunteer Survey'!I608)"),"")</f>
        <v/>
      </c>
      <c r="AI609" s="183" t="str">
        <f>IFERROR(__xludf.DUMMYFUNCTION("QUERY('Volunteer Survey'!J608)"),"")</f>
        <v/>
      </c>
      <c r="AJ609" s="183" t="str">
        <f>IFERROR(__xludf.DUMMYFUNCTION("QUERY('Volunteer Survey'!K608)"),"")</f>
        <v/>
      </c>
      <c r="AK609" s="183" t="str">
        <f>IFERROR(__xludf.DUMMYFUNCTION("QUERY('Volunteer Survey'!L608)"),"")</f>
        <v/>
      </c>
      <c r="AL609" s="183" t="str">
        <f>IFERROR(__xludf.DUMMYFUNCTION("QUERY('Volunteer Survey'!M608)"),"")</f>
        <v/>
      </c>
      <c r="AM609" s="183" t="str">
        <f>IFERROR(__xludf.DUMMYFUNCTION("QUERY('Volunteer Survey'!N608)"),"")</f>
        <v/>
      </c>
      <c r="AN609" s="183" t="str">
        <f>IFERROR(__xludf.DUMMYFUNCTION("QUERY('Volunteer Survey'!O608)"),"")</f>
        <v/>
      </c>
      <c r="AO609" s="183" t="str">
        <f>IFERROR(__xludf.DUMMYFUNCTION("QUERY('Volunteer Survey'!P608)"),"")</f>
        <v/>
      </c>
    </row>
    <row r="610">
      <c r="A610" s="55"/>
      <c r="B610" s="55"/>
      <c r="C610" s="53"/>
      <c r="D610" s="55"/>
      <c r="E610" s="55"/>
      <c r="F610" s="55" t="b">
        <v>0</v>
      </c>
      <c r="G610" s="55"/>
      <c r="H610" s="53"/>
      <c r="I610" s="53"/>
      <c r="J610" s="55"/>
      <c r="K610" s="55"/>
      <c r="L610" s="55"/>
      <c r="M610" s="55"/>
      <c r="N610" s="55"/>
      <c r="O610" s="55" t="b">
        <v>0</v>
      </c>
      <c r="P610" s="55"/>
      <c r="Q610" s="60" t="str">
        <f>'Volunteer Survey'!J1020</f>
        <v/>
      </c>
      <c r="R610" s="55"/>
      <c r="S610" s="55"/>
      <c r="T610" s="55"/>
      <c r="U610" s="64"/>
      <c r="V610" s="55"/>
      <c r="W610" s="66" t="str">
        <f>'Volunteer Survey'!P1020</f>
        <v/>
      </c>
      <c r="X610" s="55"/>
      <c r="Y610" s="53"/>
      <c r="Z610" s="183" t="str">
        <f>IFERROR(__xludf.DUMMYFUNCTION("QUERY('Volunteer Survey'!A609)"),"")</f>
        <v/>
      </c>
      <c r="AA610" s="183" t="str">
        <f>IFERROR(__xludf.DUMMYFUNCTION("QUERY('Volunteer Survey'!B609)"),"")</f>
        <v/>
      </c>
      <c r="AB610" s="183" t="str">
        <f>IFERROR(__xludf.DUMMYFUNCTION("QUERY('Volunteer Survey'!C609)"),"")</f>
        <v/>
      </c>
      <c r="AC610" s="183" t="str">
        <f>IFERROR(__xludf.DUMMYFUNCTION("QUERY('Volunteer Survey'!D609)"),"")</f>
        <v/>
      </c>
      <c r="AD610" s="183" t="str">
        <f>IFERROR(__xludf.DUMMYFUNCTION("QUERY('Volunteer Survey'!E609)"),"")</f>
        <v/>
      </c>
      <c r="AE610" s="183" t="str">
        <f>IFERROR(__xludf.DUMMYFUNCTION("QUERY('Volunteer Survey'!F609)"),"")</f>
        <v/>
      </c>
      <c r="AF610" s="183" t="str">
        <f>IFERROR(__xludf.DUMMYFUNCTION("QUERY('Volunteer Survey'!G609)"),"")</f>
        <v/>
      </c>
      <c r="AG610" s="183" t="str">
        <f>IFERROR(__xludf.DUMMYFUNCTION("QUERY('Volunteer Survey'!H609)"),"")</f>
        <v/>
      </c>
      <c r="AH610" s="183" t="str">
        <f>IFERROR(__xludf.DUMMYFUNCTION("QUERY('Volunteer Survey'!I609)"),"")</f>
        <v/>
      </c>
      <c r="AI610" s="183" t="str">
        <f>IFERROR(__xludf.DUMMYFUNCTION("QUERY('Volunteer Survey'!J609)"),"")</f>
        <v/>
      </c>
      <c r="AJ610" s="183" t="str">
        <f>IFERROR(__xludf.DUMMYFUNCTION("QUERY('Volunteer Survey'!K609)"),"")</f>
        <v/>
      </c>
      <c r="AK610" s="183" t="str">
        <f>IFERROR(__xludf.DUMMYFUNCTION("QUERY('Volunteer Survey'!L609)"),"")</f>
        <v/>
      </c>
      <c r="AL610" s="183" t="str">
        <f>IFERROR(__xludf.DUMMYFUNCTION("QUERY('Volunteer Survey'!M609)"),"")</f>
        <v/>
      </c>
      <c r="AM610" s="183" t="str">
        <f>IFERROR(__xludf.DUMMYFUNCTION("QUERY('Volunteer Survey'!N609)"),"")</f>
        <v/>
      </c>
      <c r="AN610" s="183" t="str">
        <f>IFERROR(__xludf.DUMMYFUNCTION("QUERY('Volunteer Survey'!O609)"),"")</f>
        <v/>
      </c>
      <c r="AO610" s="183" t="str">
        <f>IFERROR(__xludf.DUMMYFUNCTION("QUERY('Volunteer Survey'!P609)"),"")</f>
        <v/>
      </c>
    </row>
    <row r="611">
      <c r="A611" s="55"/>
      <c r="B611" s="55"/>
      <c r="C611" s="53"/>
      <c r="D611" s="55"/>
      <c r="E611" s="55"/>
      <c r="F611" s="55" t="b">
        <v>0</v>
      </c>
      <c r="G611" s="55"/>
      <c r="H611" s="53"/>
      <c r="I611" s="53"/>
      <c r="J611" s="55"/>
      <c r="K611" s="55"/>
      <c r="L611" s="55"/>
      <c r="M611" s="55"/>
      <c r="N611" s="55"/>
      <c r="O611" s="55" t="b">
        <v>0</v>
      </c>
      <c r="P611" s="55"/>
      <c r="Q611" s="55"/>
      <c r="R611" s="55"/>
      <c r="S611" s="55"/>
      <c r="T611" s="55"/>
      <c r="U611" s="64"/>
      <c r="V611" s="55"/>
      <c r="W611" s="66" t="str">
        <f>'Volunteer Survey'!P1021</f>
        <v/>
      </c>
      <c r="X611" s="55"/>
      <c r="Y611" s="53"/>
      <c r="Z611" s="183" t="str">
        <f>IFERROR(__xludf.DUMMYFUNCTION("QUERY('Volunteer Survey'!A610)"),"")</f>
        <v/>
      </c>
      <c r="AA611" s="183" t="str">
        <f>IFERROR(__xludf.DUMMYFUNCTION("QUERY('Volunteer Survey'!B610)"),"")</f>
        <v/>
      </c>
      <c r="AB611" s="183" t="str">
        <f>IFERROR(__xludf.DUMMYFUNCTION("QUERY('Volunteer Survey'!C610)"),"")</f>
        <v/>
      </c>
      <c r="AC611" s="183" t="str">
        <f>IFERROR(__xludf.DUMMYFUNCTION("QUERY('Volunteer Survey'!D610)"),"")</f>
        <v/>
      </c>
      <c r="AD611" s="183" t="str">
        <f>IFERROR(__xludf.DUMMYFUNCTION("QUERY('Volunteer Survey'!E610)"),"")</f>
        <v/>
      </c>
      <c r="AE611" s="183" t="str">
        <f>IFERROR(__xludf.DUMMYFUNCTION("QUERY('Volunteer Survey'!F610)"),"")</f>
        <v/>
      </c>
      <c r="AF611" s="183" t="str">
        <f>IFERROR(__xludf.DUMMYFUNCTION("QUERY('Volunteer Survey'!G610)"),"")</f>
        <v/>
      </c>
      <c r="AG611" s="183" t="str">
        <f>IFERROR(__xludf.DUMMYFUNCTION("QUERY('Volunteer Survey'!H610)"),"")</f>
        <v/>
      </c>
      <c r="AH611" s="183" t="str">
        <f>IFERROR(__xludf.DUMMYFUNCTION("QUERY('Volunteer Survey'!I610)"),"")</f>
        <v/>
      </c>
      <c r="AI611" s="183" t="str">
        <f>IFERROR(__xludf.DUMMYFUNCTION("QUERY('Volunteer Survey'!J610)"),"")</f>
        <v/>
      </c>
      <c r="AJ611" s="183" t="str">
        <f>IFERROR(__xludf.DUMMYFUNCTION("QUERY('Volunteer Survey'!K610)"),"")</f>
        <v/>
      </c>
      <c r="AK611" s="183" t="str">
        <f>IFERROR(__xludf.DUMMYFUNCTION("QUERY('Volunteer Survey'!L610)"),"")</f>
        <v/>
      </c>
      <c r="AL611" s="183" t="str">
        <f>IFERROR(__xludf.DUMMYFUNCTION("QUERY('Volunteer Survey'!M610)"),"")</f>
        <v/>
      </c>
      <c r="AM611" s="183" t="str">
        <f>IFERROR(__xludf.DUMMYFUNCTION("QUERY('Volunteer Survey'!N610)"),"")</f>
        <v/>
      </c>
      <c r="AN611" s="183" t="str">
        <f>IFERROR(__xludf.DUMMYFUNCTION("QUERY('Volunteer Survey'!O610)"),"")</f>
        <v/>
      </c>
      <c r="AO611" s="183" t="str">
        <f>IFERROR(__xludf.DUMMYFUNCTION("QUERY('Volunteer Survey'!P610)"),"")</f>
        <v/>
      </c>
    </row>
    <row r="612">
      <c r="A612" s="55"/>
      <c r="B612" s="55"/>
      <c r="C612" s="53"/>
      <c r="D612" s="55"/>
      <c r="E612" s="55"/>
      <c r="F612" s="55" t="b">
        <v>0</v>
      </c>
      <c r="G612" s="55"/>
      <c r="H612" s="53"/>
      <c r="I612" s="53"/>
      <c r="J612" s="55"/>
      <c r="K612" s="55"/>
      <c r="L612" s="55"/>
      <c r="M612" s="55"/>
      <c r="N612" s="55"/>
      <c r="O612" s="55" t="b">
        <v>0</v>
      </c>
      <c r="P612" s="55"/>
      <c r="Q612" s="55"/>
      <c r="R612" s="55"/>
      <c r="S612" s="55"/>
      <c r="T612" s="55"/>
      <c r="U612" s="64"/>
      <c r="V612" s="55"/>
      <c r="W612" s="66" t="str">
        <f>'Volunteer Survey'!P1022</f>
        <v/>
      </c>
      <c r="X612" s="55"/>
      <c r="Y612" s="53"/>
      <c r="Z612" s="183" t="str">
        <f>IFERROR(__xludf.DUMMYFUNCTION("QUERY('Volunteer Survey'!A611)"),"")</f>
        <v/>
      </c>
      <c r="AA612" s="183" t="str">
        <f>IFERROR(__xludf.DUMMYFUNCTION("QUERY('Volunteer Survey'!B611)"),"")</f>
        <v/>
      </c>
      <c r="AB612" s="183" t="str">
        <f>IFERROR(__xludf.DUMMYFUNCTION("QUERY('Volunteer Survey'!C611)"),"")</f>
        <v/>
      </c>
      <c r="AC612" s="183" t="str">
        <f>IFERROR(__xludf.DUMMYFUNCTION("QUERY('Volunteer Survey'!D611)"),"")</f>
        <v/>
      </c>
      <c r="AD612" s="183" t="str">
        <f>IFERROR(__xludf.DUMMYFUNCTION("QUERY('Volunteer Survey'!E611)"),"")</f>
        <v/>
      </c>
      <c r="AE612" s="183" t="str">
        <f>IFERROR(__xludf.DUMMYFUNCTION("QUERY('Volunteer Survey'!F611)"),"")</f>
        <v/>
      </c>
      <c r="AF612" s="183" t="str">
        <f>IFERROR(__xludf.DUMMYFUNCTION("QUERY('Volunteer Survey'!G611)"),"")</f>
        <v/>
      </c>
      <c r="AG612" s="183" t="str">
        <f>IFERROR(__xludf.DUMMYFUNCTION("QUERY('Volunteer Survey'!H611)"),"")</f>
        <v/>
      </c>
      <c r="AH612" s="183" t="str">
        <f>IFERROR(__xludf.DUMMYFUNCTION("QUERY('Volunteer Survey'!I611)"),"")</f>
        <v/>
      </c>
      <c r="AI612" s="183" t="str">
        <f>IFERROR(__xludf.DUMMYFUNCTION("QUERY('Volunteer Survey'!J611)"),"")</f>
        <v/>
      </c>
      <c r="AJ612" s="183" t="str">
        <f>IFERROR(__xludf.DUMMYFUNCTION("QUERY('Volunteer Survey'!K611)"),"")</f>
        <v/>
      </c>
      <c r="AK612" s="183" t="str">
        <f>IFERROR(__xludf.DUMMYFUNCTION("QUERY('Volunteer Survey'!L611)"),"")</f>
        <v/>
      </c>
      <c r="AL612" s="183" t="str">
        <f>IFERROR(__xludf.DUMMYFUNCTION("QUERY('Volunteer Survey'!M611)"),"")</f>
        <v/>
      </c>
      <c r="AM612" s="183" t="str">
        <f>IFERROR(__xludf.DUMMYFUNCTION("QUERY('Volunteer Survey'!N611)"),"")</f>
        <v/>
      </c>
      <c r="AN612" s="183" t="str">
        <f>IFERROR(__xludf.DUMMYFUNCTION("QUERY('Volunteer Survey'!O611)"),"")</f>
        <v/>
      </c>
      <c r="AO612" s="183" t="str">
        <f>IFERROR(__xludf.DUMMYFUNCTION("QUERY('Volunteer Survey'!P611)"),"")</f>
        <v/>
      </c>
    </row>
    <row r="613">
      <c r="A613" s="55"/>
      <c r="B613" s="55"/>
      <c r="C613" s="53"/>
      <c r="D613" s="55"/>
      <c r="E613" s="55"/>
      <c r="F613" s="55" t="b">
        <v>0</v>
      </c>
      <c r="G613" s="55"/>
      <c r="H613" s="53"/>
      <c r="I613" s="53"/>
      <c r="J613" s="55"/>
      <c r="K613" s="55"/>
      <c r="L613" s="55"/>
      <c r="M613" s="55"/>
      <c r="N613" s="55"/>
      <c r="O613" s="55" t="b">
        <v>0</v>
      </c>
      <c r="P613" s="55"/>
      <c r="Q613" s="55"/>
      <c r="R613" s="55"/>
      <c r="S613" s="55"/>
      <c r="T613" s="55"/>
      <c r="U613" s="64"/>
      <c r="V613" s="55"/>
      <c r="W613" s="66" t="str">
        <f>'Volunteer Survey'!P1023</f>
        <v/>
      </c>
      <c r="X613" s="55"/>
      <c r="Y613" s="53"/>
      <c r="Z613" s="183" t="str">
        <f>IFERROR(__xludf.DUMMYFUNCTION("QUERY('Volunteer Survey'!A612)"),"")</f>
        <v/>
      </c>
      <c r="AA613" s="183" t="str">
        <f>IFERROR(__xludf.DUMMYFUNCTION("QUERY('Volunteer Survey'!B612)"),"")</f>
        <v/>
      </c>
      <c r="AB613" s="183" t="str">
        <f>IFERROR(__xludf.DUMMYFUNCTION("QUERY('Volunteer Survey'!C612)"),"")</f>
        <v/>
      </c>
      <c r="AC613" s="183" t="str">
        <f>IFERROR(__xludf.DUMMYFUNCTION("QUERY('Volunteer Survey'!D612)"),"")</f>
        <v/>
      </c>
      <c r="AD613" s="183" t="str">
        <f>IFERROR(__xludf.DUMMYFUNCTION("QUERY('Volunteer Survey'!E612)"),"")</f>
        <v/>
      </c>
      <c r="AE613" s="183" t="str">
        <f>IFERROR(__xludf.DUMMYFUNCTION("QUERY('Volunteer Survey'!F612)"),"")</f>
        <v/>
      </c>
      <c r="AF613" s="183" t="str">
        <f>IFERROR(__xludf.DUMMYFUNCTION("QUERY('Volunteer Survey'!G612)"),"")</f>
        <v/>
      </c>
      <c r="AG613" s="183" t="str">
        <f>IFERROR(__xludf.DUMMYFUNCTION("QUERY('Volunteer Survey'!H612)"),"")</f>
        <v/>
      </c>
      <c r="AH613" s="183" t="str">
        <f>IFERROR(__xludf.DUMMYFUNCTION("QUERY('Volunteer Survey'!I612)"),"")</f>
        <v/>
      </c>
      <c r="AI613" s="183" t="str">
        <f>IFERROR(__xludf.DUMMYFUNCTION("QUERY('Volunteer Survey'!J612)"),"")</f>
        <v/>
      </c>
      <c r="AJ613" s="183" t="str">
        <f>IFERROR(__xludf.DUMMYFUNCTION("QUERY('Volunteer Survey'!K612)"),"")</f>
        <v/>
      </c>
      <c r="AK613" s="183" t="str">
        <f>IFERROR(__xludf.DUMMYFUNCTION("QUERY('Volunteer Survey'!L612)"),"")</f>
        <v/>
      </c>
      <c r="AL613" s="183" t="str">
        <f>IFERROR(__xludf.DUMMYFUNCTION("QUERY('Volunteer Survey'!M612)"),"")</f>
        <v/>
      </c>
      <c r="AM613" s="183" t="str">
        <f>IFERROR(__xludf.DUMMYFUNCTION("QUERY('Volunteer Survey'!N612)"),"")</f>
        <v/>
      </c>
      <c r="AN613" s="183" t="str">
        <f>IFERROR(__xludf.DUMMYFUNCTION("QUERY('Volunteer Survey'!O612)"),"")</f>
        <v/>
      </c>
      <c r="AO613" s="183" t="str">
        <f>IFERROR(__xludf.DUMMYFUNCTION("QUERY('Volunteer Survey'!P612)"),"")</f>
        <v/>
      </c>
    </row>
    <row r="614">
      <c r="A614" s="55"/>
      <c r="B614" s="55"/>
      <c r="C614" s="53"/>
      <c r="D614" s="55"/>
      <c r="E614" s="55"/>
      <c r="F614" s="55" t="b">
        <v>0</v>
      </c>
      <c r="G614" s="55"/>
      <c r="H614" s="53"/>
      <c r="I614" s="53"/>
      <c r="J614" s="55"/>
      <c r="K614" s="55"/>
      <c r="L614" s="55"/>
      <c r="M614" s="55"/>
      <c r="N614" s="55"/>
      <c r="O614" s="55" t="b">
        <v>0</v>
      </c>
      <c r="P614" s="55"/>
      <c r="Q614" s="55"/>
      <c r="R614" s="55"/>
      <c r="S614" s="55"/>
      <c r="T614" s="55"/>
      <c r="U614" s="64"/>
      <c r="V614" s="55"/>
      <c r="W614" s="66" t="str">
        <f>'Volunteer Survey'!P1024</f>
        <v/>
      </c>
      <c r="X614" s="55"/>
      <c r="Y614" s="53"/>
      <c r="Z614" s="183" t="str">
        <f>IFERROR(__xludf.DUMMYFUNCTION("QUERY('Volunteer Survey'!A613)"),"")</f>
        <v/>
      </c>
      <c r="AA614" s="183" t="str">
        <f>IFERROR(__xludf.DUMMYFUNCTION("QUERY('Volunteer Survey'!B613)"),"")</f>
        <v/>
      </c>
      <c r="AB614" s="183" t="str">
        <f>IFERROR(__xludf.DUMMYFUNCTION("QUERY('Volunteer Survey'!C613)"),"")</f>
        <v/>
      </c>
      <c r="AC614" s="183" t="str">
        <f>IFERROR(__xludf.DUMMYFUNCTION("QUERY('Volunteer Survey'!D613)"),"")</f>
        <v/>
      </c>
      <c r="AD614" s="183" t="str">
        <f>IFERROR(__xludf.DUMMYFUNCTION("QUERY('Volunteer Survey'!E613)"),"")</f>
        <v/>
      </c>
      <c r="AE614" s="183" t="str">
        <f>IFERROR(__xludf.DUMMYFUNCTION("QUERY('Volunteer Survey'!F613)"),"")</f>
        <v/>
      </c>
      <c r="AF614" s="183" t="str">
        <f>IFERROR(__xludf.DUMMYFUNCTION("QUERY('Volunteer Survey'!G613)"),"")</f>
        <v/>
      </c>
      <c r="AG614" s="183" t="str">
        <f>IFERROR(__xludf.DUMMYFUNCTION("QUERY('Volunteer Survey'!H613)"),"")</f>
        <v/>
      </c>
      <c r="AH614" s="183" t="str">
        <f>IFERROR(__xludf.DUMMYFUNCTION("QUERY('Volunteer Survey'!I613)"),"")</f>
        <v/>
      </c>
      <c r="AI614" s="183" t="str">
        <f>IFERROR(__xludf.DUMMYFUNCTION("QUERY('Volunteer Survey'!J613)"),"")</f>
        <v/>
      </c>
      <c r="AJ614" s="183" t="str">
        <f>IFERROR(__xludf.DUMMYFUNCTION("QUERY('Volunteer Survey'!K613)"),"")</f>
        <v/>
      </c>
      <c r="AK614" s="183" t="str">
        <f>IFERROR(__xludf.DUMMYFUNCTION("QUERY('Volunteer Survey'!L613)"),"")</f>
        <v/>
      </c>
      <c r="AL614" s="183" t="str">
        <f>IFERROR(__xludf.DUMMYFUNCTION("QUERY('Volunteer Survey'!M613)"),"")</f>
        <v/>
      </c>
      <c r="AM614" s="183" t="str">
        <f>IFERROR(__xludf.DUMMYFUNCTION("QUERY('Volunteer Survey'!N613)"),"")</f>
        <v/>
      </c>
      <c r="AN614" s="183" t="str">
        <f>IFERROR(__xludf.DUMMYFUNCTION("QUERY('Volunteer Survey'!O613)"),"")</f>
        <v/>
      </c>
      <c r="AO614" s="183" t="str">
        <f>IFERROR(__xludf.DUMMYFUNCTION("QUERY('Volunteer Survey'!P613)"),"")</f>
        <v/>
      </c>
    </row>
    <row r="615">
      <c r="A615" s="55"/>
      <c r="B615" s="55"/>
      <c r="C615" s="53"/>
      <c r="D615" s="55"/>
      <c r="E615" s="55"/>
      <c r="F615" s="55" t="b">
        <v>0</v>
      </c>
      <c r="G615" s="55"/>
      <c r="H615" s="53"/>
      <c r="I615" s="53"/>
      <c r="J615" s="55"/>
      <c r="K615" s="55"/>
      <c r="L615" s="55"/>
      <c r="M615" s="55"/>
      <c r="N615" s="55"/>
      <c r="O615" s="55" t="b">
        <v>0</v>
      </c>
      <c r="P615" s="55"/>
      <c r="Q615" s="55"/>
      <c r="R615" s="55"/>
      <c r="S615" s="55"/>
      <c r="T615" s="55"/>
      <c r="U615" s="64"/>
      <c r="V615" s="55"/>
      <c r="W615" s="66" t="str">
        <f>'Volunteer Survey'!P1025</f>
        <v/>
      </c>
      <c r="X615" s="55"/>
      <c r="Y615" s="53"/>
      <c r="Z615" s="183" t="str">
        <f>IFERROR(__xludf.DUMMYFUNCTION("QUERY('Volunteer Survey'!A614)"),"")</f>
        <v/>
      </c>
      <c r="AA615" s="183" t="str">
        <f>IFERROR(__xludf.DUMMYFUNCTION("QUERY('Volunteer Survey'!B614)"),"")</f>
        <v/>
      </c>
      <c r="AB615" s="183" t="str">
        <f>IFERROR(__xludf.DUMMYFUNCTION("QUERY('Volunteer Survey'!C614)"),"")</f>
        <v/>
      </c>
      <c r="AC615" s="183" t="str">
        <f>IFERROR(__xludf.DUMMYFUNCTION("QUERY('Volunteer Survey'!D614)"),"")</f>
        <v/>
      </c>
      <c r="AD615" s="183" t="str">
        <f>IFERROR(__xludf.DUMMYFUNCTION("QUERY('Volunteer Survey'!E614)"),"")</f>
        <v/>
      </c>
      <c r="AE615" s="183" t="str">
        <f>IFERROR(__xludf.DUMMYFUNCTION("QUERY('Volunteer Survey'!F614)"),"")</f>
        <v/>
      </c>
      <c r="AF615" s="183" t="str">
        <f>IFERROR(__xludf.DUMMYFUNCTION("QUERY('Volunteer Survey'!G614)"),"")</f>
        <v/>
      </c>
      <c r="AG615" s="183" t="str">
        <f>IFERROR(__xludf.DUMMYFUNCTION("QUERY('Volunteer Survey'!H614)"),"")</f>
        <v/>
      </c>
      <c r="AH615" s="183" t="str">
        <f>IFERROR(__xludf.DUMMYFUNCTION("QUERY('Volunteer Survey'!I614)"),"")</f>
        <v/>
      </c>
      <c r="AI615" s="183" t="str">
        <f>IFERROR(__xludf.DUMMYFUNCTION("QUERY('Volunteer Survey'!J614)"),"")</f>
        <v/>
      </c>
      <c r="AJ615" s="183" t="str">
        <f>IFERROR(__xludf.DUMMYFUNCTION("QUERY('Volunteer Survey'!K614)"),"")</f>
        <v/>
      </c>
      <c r="AK615" s="183" t="str">
        <f>IFERROR(__xludf.DUMMYFUNCTION("QUERY('Volunteer Survey'!L614)"),"")</f>
        <v/>
      </c>
      <c r="AL615" s="183" t="str">
        <f>IFERROR(__xludf.DUMMYFUNCTION("QUERY('Volunteer Survey'!M614)"),"")</f>
        <v/>
      </c>
      <c r="AM615" s="183" t="str">
        <f>IFERROR(__xludf.DUMMYFUNCTION("QUERY('Volunteer Survey'!N614)"),"")</f>
        <v/>
      </c>
      <c r="AN615" s="183" t="str">
        <f>IFERROR(__xludf.DUMMYFUNCTION("QUERY('Volunteer Survey'!O614)"),"")</f>
        <v/>
      </c>
      <c r="AO615" s="183" t="str">
        <f>IFERROR(__xludf.DUMMYFUNCTION("QUERY('Volunteer Survey'!P614)"),"")</f>
        <v/>
      </c>
    </row>
    <row r="616">
      <c r="A616" s="55"/>
      <c r="B616" s="55"/>
      <c r="C616" s="53"/>
      <c r="D616" s="55"/>
      <c r="E616" s="55"/>
      <c r="F616" s="55" t="b">
        <v>0</v>
      </c>
      <c r="G616" s="55"/>
      <c r="H616" s="53"/>
      <c r="I616" s="53"/>
      <c r="J616" s="55"/>
      <c r="K616" s="55"/>
      <c r="L616" s="55"/>
      <c r="M616" s="55"/>
      <c r="N616" s="55"/>
      <c r="O616" s="55" t="b">
        <v>0</v>
      </c>
      <c r="P616" s="55"/>
      <c r="Q616" s="55"/>
      <c r="R616" s="55"/>
      <c r="S616" s="55"/>
      <c r="T616" s="55"/>
      <c r="U616" s="64"/>
      <c r="V616" s="55"/>
      <c r="W616" s="66" t="str">
        <f>'Volunteer Survey'!P1026</f>
        <v/>
      </c>
      <c r="X616" s="55"/>
      <c r="Y616" s="53"/>
      <c r="Z616" s="183" t="str">
        <f>IFERROR(__xludf.DUMMYFUNCTION("QUERY('Volunteer Survey'!A615)"),"")</f>
        <v/>
      </c>
      <c r="AA616" s="183" t="str">
        <f>IFERROR(__xludf.DUMMYFUNCTION("QUERY('Volunteer Survey'!B615)"),"")</f>
        <v/>
      </c>
      <c r="AB616" s="183" t="str">
        <f>IFERROR(__xludf.DUMMYFUNCTION("QUERY('Volunteer Survey'!C615)"),"")</f>
        <v/>
      </c>
      <c r="AC616" s="183" t="str">
        <f>IFERROR(__xludf.DUMMYFUNCTION("QUERY('Volunteer Survey'!D615)"),"")</f>
        <v/>
      </c>
      <c r="AD616" s="183" t="str">
        <f>IFERROR(__xludf.DUMMYFUNCTION("QUERY('Volunteer Survey'!E615)"),"")</f>
        <v/>
      </c>
      <c r="AE616" s="183" t="str">
        <f>IFERROR(__xludf.DUMMYFUNCTION("QUERY('Volunteer Survey'!F615)"),"")</f>
        <v/>
      </c>
      <c r="AF616" s="183" t="str">
        <f>IFERROR(__xludf.DUMMYFUNCTION("QUERY('Volunteer Survey'!G615)"),"")</f>
        <v/>
      </c>
      <c r="AG616" s="183" t="str">
        <f>IFERROR(__xludf.DUMMYFUNCTION("QUERY('Volunteer Survey'!H615)"),"")</f>
        <v/>
      </c>
      <c r="AH616" s="183" t="str">
        <f>IFERROR(__xludf.DUMMYFUNCTION("QUERY('Volunteer Survey'!I615)"),"")</f>
        <v/>
      </c>
      <c r="AI616" s="183" t="str">
        <f>IFERROR(__xludf.DUMMYFUNCTION("QUERY('Volunteer Survey'!J615)"),"")</f>
        <v/>
      </c>
      <c r="AJ616" s="183" t="str">
        <f>IFERROR(__xludf.DUMMYFUNCTION("QUERY('Volunteer Survey'!K615)"),"")</f>
        <v/>
      </c>
      <c r="AK616" s="183" t="str">
        <f>IFERROR(__xludf.DUMMYFUNCTION("QUERY('Volunteer Survey'!L615)"),"")</f>
        <v/>
      </c>
      <c r="AL616" s="183" t="str">
        <f>IFERROR(__xludf.DUMMYFUNCTION("QUERY('Volunteer Survey'!M615)"),"")</f>
        <v/>
      </c>
      <c r="AM616" s="183" t="str">
        <f>IFERROR(__xludf.DUMMYFUNCTION("QUERY('Volunteer Survey'!N615)"),"")</f>
        <v/>
      </c>
      <c r="AN616" s="183" t="str">
        <f>IFERROR(__xludf.DUMMYFUNCTION("QUERY('Volunteer Survey'!O615)"),"")</f>
        <v/>
      </c>
      <c r="AO616" s="183" t="str">
        <f>IFERROR(__xludf.DUMMYFUNCTION("QUERY('Volunteer Survey'!P615)"),"")</f>
        <v/>
      </c>
    </row>
    <row r="617">
      <c r="A617" s="55"/>
      <c r="B617" s="55"/>
      <c r="C617" s="53"/>
      <c r="D617" s="55"/>
      <c r="E617" s="55"/>
      <c r="F617" s="55" t="b">
        <v>0</v>
      </c>
      <c r="G617" s="55"/>
      <c r="H617" s="53"/>
      <c r="I617" s="53"/>
      <c r="J617" s="55"/>
      <c r="K617" s="55"/>
      <c r="L617" s="55"/>
      <c r="M617" s="55"/>
      <c r="N617" s="55"/>
      <c r="O617" s="55" t="b">
        <v>0</v>
      </c>
      <c r="P617" s="55"/>
      <c r="Q617" s="55"/>
      <c r="R617" s="55"/>
      <c r="S617" s="55"/>
      <c r="T617" s="55"/>
      <c r="U617" s="64"/>
      <c r="V617" s="55"/>
      <c r="W617" s="66" t="str">
        <f>'Volunteer Survey'!P1027</f>
        <v/>
      </c>
      <c r="X617" s="55"/>
      <c r="Y617" s="53"/>
      <c r="Z617" s="183" t="str">
        <f>IFERROR(__xludf.DUMMYFUNCTION("QUERY('Volunteer Survey'!A616)"),"")</f>
        <v/>
      </c>
      <c r="AA617" s="183" t="str">
        <f>IFERROR(__xludf.DUMMYFUNCTION("QUERY('Volunteer Survey'!B616)"),"")</f>
        <v/>
      </c>
      <c r="AB617" s="183" t="str">
        <f>IFERROR(__xludf.DUMMYFUNCTION("QUERY('Volunteer Survey'!C616)"),"")</f>
        <v/>
      </c>
      <c r="AC617" s="183" t="str">
        <f>IFERROR(__xludf.DUMMYFUNCTION("QUERY('Volunteer Survey'!D616)"),"")</f>
        <v/>
      </c>
      <c r="AD617" s="183" t="str">
        <f>IFERROR(__xludf.DUMMYFUNCTION("QUERY('Volunteer Survey'!E616)"),"")</f>
        <v/>
      </c>
      <c r="AE617" s="183" t="str">
        <f>IFERROR(__xludf.DUMMYFUNCTION("QUERY('Volunteer Survey'!F616)"),"")</f>
        <v/>
      </c>
      <c r="AF617" s="183" t="str">
        <f>IFERROR(__xludf.DUMMYFUNCTION("QUERY('Volunteer Survey'!G616)"),"")</f>
        <v/>
      </c>
      <c r="AG617" s="183" t="str">
        <f>IFERROR(__xludf.DUMMYFUNCTION("QUERY('Volunteer Survey'!H616)"),"")</f>
        <v/>
      </c>
      <c r="AH617" s="183" t="str">
        <f>IFERROR(__xludf.DUMMYFUNCTION("QUERY('Volunteer Survey'!I616)"),"")</f>
        <v/>
      </c>
      <c r="AI617" s="183" t="str">
        <f>IFERROR(__xludf.DUMMYFUNCTION("QUERY('Volunteer Survey'!J616)"),"")</f>
        <v/>
      </c>
      <c r="AJ617" s="183" t="str">
        <f>IFERROR(__xludf.DUMMYFUNCTION("QUERY('Volunteer Survey'!K616)"),"")</f>
        <v/>
      </c>
      <c r="AK617" s="183" t="str">
        <f>IFERROR(__xludf.DUMMYFUNCTION("QUERY('Volunteer Survey'!L616)"),"")</f>
        <v/>
      </c>
      <c r="AL617" s="183" t="str">
        <f>IFERROR(__xludf.DUMMYFUNCTION("QUERY('Volunteer Survey'!M616)"),"")</f>
        <v/>
      </c>
      <c r="AM617" s="183" t="str">
        <f>IFERROR(__xludf.DUMMYFUNCTION("QUERY('Volunteer Survey'!N616)"),"")</f>
        <v/>
      </c>
      <c r="AN617" s="183" t="str">
        <f>IFERROR(__xludf.DUMMYFUNCTION("QUERY('Volunteer Survey'!O616)"),"")</f>
        <v/>
      </c>
      <c r="AO617" s="183" t="str">
        <f>IFERROR(__xludf.DUMMYFUNCTION("QUERY('Volunteer Survey'!P616)"),"")</f>
        <v/>
      </c>
    </row>
    <row r="618">
      <c r="A618" s="55"/>
      <c r="B618" s="55"/>
      <c r="C618" s="53"/>
      <c r="D618" s="55"/>
      <c r="E618" s="55"/>
      <c r="F618" s="55" t="b">
        <v>0</v>
      </c>
      <c r="G618" s="55"/>
      <c r="H618" s="53"/>
      <c r="I618" s="53"/>
      <c r="J618" s="55"/>
      <c r="K618" s="55"/>
      <c r="L618" s="55"/>
      <c r="M618" s="55"/>
      <c r="N618" s="55"/>
      <c r="O618" s="55" t="b">
        <v>0</v>
      </c>
      <c r="P618" s="55"/>
      <c r="Q618" s="55"/>
      <c r="R618" s="55"/>
      <c r="S618" s="55"/>
      <c r="T618" s="55"/>
      <c r="U618" s="64"/>
      <c r="V618" s="55"/>
      <c r="W618" s="66" t="str">
        <f>'Volunteer Survey'!P1028</f>
        <v/>
      </c>
      <c r="X618" s="55"/>
      <c r="Y618" s="53"/>
      <c r="Z618" s="183" t="str">
        <f>IFERROR(__xludf.DUMMYFUNCTION("QUERY('Volunteer Survey'!A617)"),"")</f>
        <v/>
      </c>
      <c r="AA618" s="183" t="str">
        <f>IFERROR(__xludf.DUMMYFUNCTION("QUERY('Volunteer Survey'!B617)"),"")</f>
        <v/>
      </c>
      <c r="AB618" s="183" t="str">
        <f>IFERROR(__xludf.DUMMYFUNCTION("QUERY('Volunteer Survey'!C617)"),"")</f>
        <v/>
      </c>
      <c r="AC618" s="183" t="str">
        <f>IFERROR(__xludf.DUMMYFUNCTION("QUERY('Volunteer Survey'!D617)"),"")</f>
        <v/>
      </c>
      <c r="AD618" s="183" t="str">
        <f>IFERROR(__xludf.DUMMYFUNCTION("QUERY('Volunteer Survey'!E617)"),"")</f>
        <v/>
      </c>
      <c r="AE618" s="183" t="str">
        <f>IFERROR(__xludf.DUMMYFUNCTION("QUERY('Volunteer Survey'!F617)"),"")</f>
        <v/>
      </c>
      <c r="AF618" s="183" t="str">
        <f>IFERROR(__xludf.DUMMYFUNCTION("QUERY('Volunteer Survey'!G617)"),"")</f>
        <v/>
      </c>
      <c r="AG618" s="183" t="str">
        <f>IFERROR(__xludf.DUMMYFUNCTION("QUERY('Volunteer Survey'!H617)"),"")</f>
        <v/>
      </c>
      <c r="AH618" s="183" t="str">
        <f>IFERROR(__xludf.DUMMYFUNCTION("QUERY('Volunteer Survey'!I617)"),"")</f>
        <v/>
      </c>
      <c r="AI618" s="183" t="str">
        <f>IFERROR(__xludf.DUMMYFUNCTION("QUERY('Volunteer Survey'!J617)"),"")</f>
        <v/>
      </c>
      <c r="AJ618" s="183" t="str">
        <f>IFERROR(__xludf.DUMMYFUNCTION("QUERY('Volunteer Survey'!K617)"),"")</f>
        <v/>
      </c>
      <c r="AK618" s="183" t="str">
        <f>IFERROR(__xludf.DUMMYFUNCTION("QUERY('Volunteer Survey'!L617)"),"")</f>
        <v/>
      </c>
      <c r="AL618" s="183" t="str">
        <f>IFERROR(__xludf.DUMMYFUNCTION("QUERY('Volunteer Survey'!M617)"),"")</f>
        <v/>
      </c>
      <c r="AM618" s="183" t="str">
        <f>IFERROR(__xludf.DUMMYFUNCTION("QUERY('Volunteer Survey'!N617)"),"")</f>
        <v/>
      </c>
      <c r="AN618" s="183" t="str">
        <f>IFERROR(__xludf.DUMMYFUNCTION("QUERY('Volunteer Survey'!O617)"),"")</f>
        <v/>
      </c>
      <c r="AO618" s="183" t="str">
        <f>IFERROR(__xludf.DUMMYFUNCTION("QUERY('Volunteer Survey'!P617)"),"")</f>
        <v/>
      </c>
    </row>
    <row r="619">
      <c r="A619" s="55"/>
      <c r="B619" s="55"/>
      <c r="C619" s="53"/>
      <c r="D619" s="55"/>
      <c r="E619" s="55"/>
      <c r="F619" s="55" t="b">
        <v>0</v>
      </c>
      <c r="G619" s="55"/>
      <c r="H619" s="53"/>
      <c r="I619" s="53"/>
      <c r="J619" s="55"/>
      <c r="K619" s="55"/>
      <c r="L619" s="55"/>
      <c r="M619" s="55"/>
      <c r="N619" s="55"/>
      <c r="O619" s="55" t="b">
        <v>0</v>
      </c>
      <c r="P619" s="55"/>
      <c r="Q619" s="55"/>
      <c r="R619" s="55"/>
      <c r="S619" s="55"/>
      <c r="T619" s="55"/>
      <c r="U619" s="64"/>
      <c r="V619" s="55"/>
      <c r="W619" s="66" t="str">
        <f>'Volunteer Survey'!P1029</f>
        <v/>
      </c>
      <c r="X619" s="55"/>
      <c r="Y619" s="53"/>
      <c r="Z619" s="183" t="str">
        <f>IFERROR(__xludf.DUMMYFUNCTION("QUERY('Volunteer Survey'!A618)"),"")</f>
        <v/>
      </c>
      <c r="AA619" s="183" t="str">
        <f>IFERROR(__xludf.DUMMYFUNCTION("QUERY('Volunteer Survey'!B618)"),"")</f>
        <v/>
      </c>
      <c r="AB619" s="183" t="str">
        <f>IFERROR(__xludf.DUMMYFUNCTION("QUERY('Volunteer Survey'!C618)"),"")</f>
        <v/>
      </c>
      <c r="AC619" s="183" t="str">
        <f>IFERROR(__xludf.DUMMYFUNCTION("QUERY('Volunteer Survey'!D618)"),"")</f>
        <v/>
      </c>
      <c r="AD619" s="183" t="str">
        <f>IFERROR(__xludf.DUMMYFUNCTION("QUERY('Volunteer Survey'!E618)"),"")</f>
        <v/>
      </c>
      <c r="AE619" s="183" t="str">
        <f>IFERROR(__xludf.DUMMYFUNCTION("QUERY('Volunteer Survey'!F618)"),"")</f>
        <v/>
      </c>
      <c r="AF619" s="183" t="str">
        <f>IFERROR(__xludf.DUMMYFUNCTION("QUERY('Volunteer Survey'!G618)"),"")</f>
        <v/>
      </c>
      <c r="AG619" s="183" t="str">
        <f>IFERROR(__xludf.DUMMYFUNCTION("QUERY('Volunteer Survey'!H618)"),"")</f>
        <v/>
      </c>
      <c r="AH619" s="183" t="str">
        <f>IFERROR(__xludf.DUMMYFUNCTION("QUERY('Volunteer Survey'!I618)"),"")</f>
        <v/>
      </c>
      <c r="AI619" s="183" t="str">
        <f>IFERROR(__xludf.DUMMYFUNCTION("QUERY('Volunteer Survey'!J618)"),"")</f>
        <v/>
      </c>
      <c r="AJ619" s="183" t="str">
        <f>IFERROR(__xludf.DUMMYFUNCTION("QUERY('Volunteer Survey'!K618)"),"")</f>
        <v/>
      </c>
      <c r="AK619" s="183" t="str">
        <f>IFERROR(__xludf.DUMMYFUNCTION("QUERY('Volunteer Survey'!L618)"),"")</f>
        <v/>
      </c>
      <c r="AL619" s="183" t="str">
        <f>IFERROR(__xludf.DUMMYFUNCTION("QUERY('Volunteer Survey'!M618)"),"")</f>
        <v/>
      </c>
      <c r="AM619" s="183" t="str">
        <f>IFERROR(__xludf.DUMMYFUNCTION("QUERY('Volunteer Survey'!N618)"),"")</f>
        <v/>
      </c>
      <c r="AN619" s="183" t="str">
        <f>IFERROR(__xludf.DUMMYFUNCTION("QUERY('Volunteer Survey'!O618)"),"")</f>
        <v/>
      </c>
      <c r="AO619" s="183" t="str">
        <f>IFERROR(__xludf.DUMMYFUNCTION("QUERY('Volunteer Survey'!P618)"),"")</f>
        <v/>
      </c>
    </row>
    <row r="620">
      <c r="A620" s="55"/>
      <c r="B620" s="55"/>
      <c r="C620" s="53"/>
      <c r="D620" s="55"/>
      <c r="E620" s="55"/>
      <c r="F620" s="55" t="b">
        <v>0</v>
      </c>
      <c r="G620" s="55"/>
      <c r="H620" s="53"/>
      <c r="I620" s="53"/>
      <c r="J620" s="55"/>
      <c r="K620" s="55"/>
      <c r="L620" s="55"/>
      <c r="M620" s="55"/>
      <c r="N620" s="55"/>
      <c r="O620" s="55" t="b">
        <v>0</v>
      </c>
      <c r="P620" s="55"/>
      <c r="Q620" s="55"/>
      <c r="R620" s="55"/>
      <c r="S620" s="55"/>
      <c r="T620" s="55"/>
      <c r="U620" s="64"/>
      <c r="V620" s="55"/>
      <c r="W620" s="64"/>
      <c r="X620" s="55"/>
      <c r="Y620" s="53"/>
      <c r="Z620" s="183" t="str">
        <f>IFERROR(__xludf.DUMMYFUNCTION("QUERY('Volunteer Survey'!A619)"),"")</f>
        <v/>
      </c>
      <c r="AA620" s="183" t="str">
        <f>IFERROR(__xludf.DUMMYFUNCTION("QUERY('Volunteer Survey'!B619)"),"")</f>
        <v/>
      </c>
      <c r="AB620" s="183" t="str">
        <f>IFERROR(__xludf.DUMMYFUNCTION("QUERY('Volunteer Survey'!C619)"),"")</f>
        <v/>
      </c>
      <c r="AC620" s="183" t="str">
        <f>IFERROR(__xludf.DUMMYFUNCTION("QUERY('Volunteer Survey'!D619)"),"")</f>
        <v/>
      </c>
      <c r="AD620" s="183" t="str">
        <f>IFERROR(__xludf.DUMMYFUNCTION("QUERY('Volunteer Survey'!E619)"),"")</f>
        <v/>
      </c>
      <c r="AE620" s="183" t="str">
        <f>IFERROR(__xludf.DUMMYFUNCTION("QUERY('Volunteer Survey'!F619)"),"")</f>
        <v/>
      </c>
      <c r="AF620" s="183" t="str">
        <f>IFERROR(__xludf.DUMMYFUNCTION("QUERY('Volunteer Survey'!G619)"),"")</f>
        <v/>
      </c>
      <c r="AG620" s="183" t="str">
        <f>IFERROR(__xludf.DUMMYFUNCTION("QUERY('Volunteer Survey'!H619)"),"")</f>
        <v/>
      </c>
      <c r="AH620" s="183" t="str">
        <f>IFERROR(__xludf.DUMMYFUNCTION("QUERY('Volunteer Survey'!I619)"),"")</f>
        <v/>
      </c>
      <c r="AI620" s="183" t="str">
        <f>IFERROR(__xludf.DUMMYFUNCTION("QUERY('Volunteer Survey'!J619)"),"")</f>
        <v/>
      </c>
      <c r="AJ620" s="183" t="str">
        <f>IFERROR(__xludf.DUMMYFUNCTION("QUERY('Volunteer Survey'!K619)"),"")</f>
        <v/>
      </c>
      <c r="AK620" s="183" t="str">
        <f>IFERROR(__xludf.DUMMYFUNCTION("QUERY('Volunteer Survey'!L619)"),"")</f>
        <v/>
      </c>
      <c r="AL620" s="183" t="str">
        <f>IFERROR(__xludf.DUMMYFUNCTION("QUERY('Volunteer Survey'!M619)"),"")</f>
        <v/>
      </c>
      <c r="AM620" s="183" t="str">
        <f>IFERROR(__xludf.DUMMYFUNCTION("QUERY('Volunteer Survey'!N619)"),"")</f>
        <v/>
      </c>
      <c r="AN620" s="183" t="str">
        <f>IFERROR(__xludf.DUMMYFUNCTION("QUERY('Volunteer Survey'!O619)"),"")</f>
        <v/>
      </c>
      <c r="AO620" s="183" t="str">
        <f>IFERROR(__xludf.DUMMYFUNCTION("QUERY('Volunteer Survey'!P619)"),"")</f>
        <v/>
      </c>
    </row>
    <row r="621">
      <c r="A621" s="55"/>
      <c r="B621" s="55"/>
      <c r="C621" s="53"/>
      <c r="D621" s="55"/>
      <c r="E621" s="55"/>
      <c r="F621" s="55" t="b">
        <v>0</v>
      </c>
      <c r="G621" s="55"/>
      <c r="H621" s="53"/>
      <c r="I621" s="53"/>
      <c r="J621" s="55"/>
      <c r="K621" s="55"/>
      <c r="L621" s="55"/>
      <c r="M621" s="55"/>
      <c r="N621" s="55"/>
      <c r="O621" s="55" t="b">
        <v>0</v>
      </c>
      <c r="P621" s="55"/>
      <c r="Q621" s="55"/>
      <c r="R621" s="55"/>
      <c r="S621" s="55"/>
      <c r="T621" s="55"/>
      <c r="U621" s="64"/>
      <c r="V621" s="55"/>
      <c r="W621" s="64"/>
      <c r="X621" s="55"/>
      <c r="Y621" s="53"/>
      <c r="Z621" s="183" t="str">
        <f>IFERROR(__xludf.DUMMYFUNCTION("QUERY('Volunteer Survey'!A620)"),"")</f>
        <v/>
      </c>
      <c r="AA621" s="183" t="str">
        <f>IFERROR(__xludf.DUMMYFUNCTION("QUERY('Volunteer Survey'!B620)"),"")</f>
        <v/>
      </c>
      <c r="AB621" s="183" t="str">
        <f>IFERROR(__xludf.DUMMYFUNCTION("QUERY('Volunteer Survey'!C620)"),"")</f>
        <v/>
      </c>
      <c r="AC621" s="183" t="str">
        <f>IFERROR(__xludf.DUMMYFUNCTION("QUERY('Volunteer Survey'!D620)"),"")</f>
        <v/>
      </c>
      <c r="AD621" s="183" t="str">
        <f>IFERROR(__xludf.DUMMYFUNCTION("QUERY('Volunteer Survey'!E620)"),"")</f>
        <v/>
      </c>
      <c r="AE621" s="183" t="str">
        <f>IFERROR(__xludf.DUMMYFUNCTION("QUERY('Volunteer Survey'!F620)"),"")</f>
        <v/>
      </c>
      <c r="AF621" s="183" t="str">
        <f>IFERROR(__xludf.DUMMYFUNCTION("QUERY('Volunteer Survey'!G620)"),"")</f>
        <v/>
      </c>
      <c r="AG621" s="183" t="str">
        <f>IFERROR(__xludf.DUMMYFUNCTION("QUERY('Volunteer Survey'!H620)"),"")</f>
        <v/>
      </c>
      <c r="AH621" s="183" t="str">
        <f>IFERROR(__xludf.DUMMYFUNCTION("QUERY('Volunteer Survey'!I620)"),"")</f>
        <v/>
      </c>
      <c r="AI621" s="183" t="str">
        <f>IFERROR(__xludf.DUMMYFUNCTION("QUERY('Volunteer Survey'!J620)"),"")</f>
        <v/>
      </c>
      <c r="AJ621" s="183" t="str">
        <f>IFERROR(__xludf.DUMMYFUNCTION("QUERY('Volunteer Survey'!K620)"),"")</f>
        <v/>
      </c>
      <c r="AK621" s="183" t="str">
        <f>IFERROR(__xludf.DUMMYFUNCTION("QUERY('Volunteer Survey'!L620)"),"")</f>
        <v/>
      </c>
      <c r="AL621" s="183" t="str">
        <f>IFERROR(__xludf.DUMMYFUNCTION("QUERY('Volunteer Survey'!M620)"),"")</f>
        <v/>
      </c>
      <c r="AM621" s="183" t="str">
        <f>IFERROR(__xludf.DUMMYFUNCTION("QUERY('Volunteer Survey'!N620)"),"")</f>
        <v/>
      </c>
      <c r="AN621" s="183" t="str">
        <f>IFERROR(__xludf.DUMMYFUNCTION("QUERY('Volunteer Survey'!O620)"),"")</f>
        <v/>
      </c>
      <c r="AO621" s="183" t="str">
        <f>IFERROR(__xludf.DUMMYFUNCTION("QUERY('Volunteer Survey'!P620)"),"")</f>
        <v/>
      </c>
    </row>
    <row r="622">
      <c r="A622" s="55"/>
      <c r="B622" s="55"/>
      <c r="C622" s="53"/>
      <c r="D622" s="55"/>
      <c r="E622" s="55"/>
      <c r="F622" s="55" t="b">
        <v>0</v>
      </c>
      <c r="G622" s="55"/>
      <c r="H622" s="53"/>
      <c r="I622" s="53"/>
      <c r="J622" s="55"/>
      <c r="K622" s="55"/>
      <c r="L622" s="55"/>
      <c r="M622" s="55"/>
      <c r="N622" s="55"/>
      <c r="O622" s="55" t="b">
        <v>0</v>
      </c>
      <c r="P622" s="55"/>
      <c r="Q622" s="55"/>
      <c r="R622" s="55"/>
      <c r="S622" s="55"/>
      <c r="T622" s="55"/>
      <c r="U622" s="64"/>
      <c r="V622" s="55"/>
      <c r="W622" s="64"/>
      <c r="X622" s="55"/>
      <c r="Y622" s="53"/>
      <c r="Z622" s="183" t="str">
        <f>IFERROR(__xludf.DUMMYFUNCTION("QUERY('Volunteer Survey'!A621)"),"")</f>
        <v/>
      </c>
      <c r="AA622" s="183" t="str">
        <f>IFERROR(__xludf.DUMMYFUNCTION("QUERY('Volunteer Survey'!B621)"),"")</f>
        <v/>
      </c>
      <c r="AB622" s="183" t="str">
        <f>IFERROR(__xludf.DUMMYFUNCTION("QUERY('Volunteer Survey'!C621)"),"")</f>
        <v/>
      </c>
      <c r="AC622" s="183" t="str">
        <f>IFERROR(__xludf.DUMMYFUNCTION("QUERY('Volunteer Survey'!D621)"),"")</f>
        <v/>
      </c>
      <c r="AD622" s="183" t="str">
        <f>IFERROR(__xludf.DUMMYFUNCTION("QUERY('Volunteer Survey'!E621)"),"")</f>
        <v/>
      </c>
      <c r="AE622" s="183" t="str">
        <f>IFERROR(__xludf.DUMMYFUNCTION("QUERY('Volunteer Survey'!F621)"),"")</f>
        <v/>
      </c>
      <c r="AF622" s="183" t="str">
        <f>IFERROR(__xludf.DUMMYFUNCTION("QUERY('Volunteer Survey'!G621)"),"")</f>
        <v/>
      </c>
      <c r="AG622" s="183" t="str">
        <f>IFERROR(__xludf.DUMMYFUNCTION("QUERY('Volunteer Survey'!H621)"),"")</f>
        <v/>
      </c>
      <c r="AH622" s="183" t="str">
        <f>IFERROR(__xludf.DUMMYFUNCTION("QUERY('Volunteer Survey'!I621)"),"")</f>
        <v/>
      </c>
      <c r="AI622" s="183" t="str">
        <f>IFERROR(__xludf.DUMMYFUNCTION("QUERY('Volunteer Survey'!J621)"),"")</f>
        <v/>
      </c>
      <c r="AJ622" s="183" t="str">
        <f>IFERROR(__xludf.DUMMYFUNCTION("QUERY('Volunteer Survey'!K621)"),"")</f>
        <v/>
      </c>
      <c r="AK622" s="183" t="str">
        <f>IFERROR(__xludf.DUMMYFUNCTION("QUERY('Volunteer Survey'!L621)"),"")</f>
        <v/>
      </c>
      <c r="AL622" s="183" t="str">
        <f>IFERROR(__xludf.DUMMYFUNCTION("QUERY('Volunteer Survey'!M621)"),"")</f>
        <v/>
      </c>
      <c r="AM622" s="183" t="str">
        <f>IFERROR(__xludf.DUMMYFUNCTION("QUERY('Volunteer Survey'!N621)"),"")</f>
        <v/>
      </c>
      <c r="AN622" s="183" t="str">
        <f>IFERROR(__xludf.DUMMYFUNCTION("QUERY('Volunteer Survey'!O621)"),"")</f>
        <v/>
      </c>
      <c r="AO622" s="183" t="str">
        <f>IFERROR(__xludf.DUMMYFUNCTION("QUERY('Volunteer Survey'!P621)"),"")</f>
        <v/>
      </c>
    </row>
    <row r="623">
      <c r="A623" s="55"/>
      <c r="B623" s="55"/>
      <c r="C623" s="53"/>
      <c r="D623" s="55"/>
      <c r="E623" s="55"/>
      <c r="F623" s="55" t="b">
        <v>0</v>
      </c>
      <c r="G623" s="55"/>
      <c r="H623" s="53"/>
      <c r="I623" s="53"/>
      <c r="J623" s="55"/>
      <c r="K623" s="55"/>
      <c r="L623" s="55"/>
      <c r="M623" s="55"/>
      <c r="N623" s="55"/>
      <c r="O623" s="55" t="b">
        <v>0</v>
      </c>
      <c r="P623" s="55"/>
      <c r="Q623" s="55"/>
      <c r="R623" s="55"/>
      <c r="S623" s="55"/>
      <c r="T623" s="55"/>
      <c r="U623" s="64"/>
      <c r="V623" s="55"/>
      <c r="W623" s="64"/>
      <c r="X623" s="55"/>
      <c r="Y623" s="53"/>
      <c r="Z623" s="183" t="str">
        <f>IFERROR(__xludf.DUMMYFUNCTION("QUERY('Volunteer Survey'!A622)"),"")</f>
        <v/>
      </c>
      <c r="AA623" s="183" t="str">
        <f>IFERROR(__xludf.DUMMYFUNCTION("QUERY('Volunteer Survey'!B622)"),"")</f>
        <v/>
      </c>
      <c r="AB623" s="183" t="str">
        <f>IFERROR(__xludf.DUMMYFUNCTION("QUERY('Volunteer Survey'!C622)"),"")</f>
        <v/>
      </c>
      <c r="AC623" s="183" t="str">
        <f>IFERROR(__xludf.DUMMYFUNCTION("QUERY('Volunteer Survey'!D622)"),"")</f>
        <v/>
      </c>
      <c r="AD623" s="183" t="str">
        <f>IFERROR(__xludf.DUMMYFUNCTION("QUERY('Volunteer Survey'!E622)"),"")</f>
        <v/>
      </c>
      <c r="AE623" s="183" t="str">
        <f>IFERROR(__xludf.DUMMYFUNCTION("QUERY('Volunteer Survey'!F622)"),"")</f>
        <v/>
      </c>
      <c r="AF623" s="183" t="str">
        <f>IFERROR(__xludf.DUMMYFUNCTION("QUERY('Volunteer Survey'!G622)"),"")</f>
        <v/>
      </c>
      <c r="AG623" s="183" t="str">
        <f>IFERROR(__xludf.DUMMYFUNCTION("QUERY('Volunteer Survey'!H622)"),"")</f>
        <v/>
      </c>
      <c r="AH623" s="183" t="str">
        <f>IFERROR(__xludf.DUMMYFUNCTION("QUERY('Volunteer Survey'!I622)"),"")</f>
        <v/>
      </c>
      <c r="AI623" s="183" t="str">
        <f>IFERROR(__xludf.DUMMYFUNCTION("QUERY('Volunteer Survey'!J622)"),"")</f>
        <v/>
      </c>
      <c r="AJ623" s="183" t="str">
        <f>IFERROR(__xludf.DUMMYFUNCTION("QUERY('Volunteer Survey'!K622)"),"")</f>
        <v/>
      </c>
      <c r="AK623" s="183" t="str">
        <f>IFERROR(__xludf.DUMMYFUNCTION("QUERY('Volunteer Survey'!L622)"),"")</f>
        <v/>
      </c>
      <c r="AL623" s="183" t="str">
        <f>IFERROR(__xludf.DUMMYFUNCTION("QUERY('Volunteer Survey'!M622)"),"")</f>
        <v/>
      </c>
      <c r="AM623" s="183" t="str">
        <f>IFERROR(__xludf.DUMMYFUNCTION("QUERY('Volunteer Survey'!N622)"),"")</f>
        <v/>
      </c>
      <c r="AN623" s="183" t="str">
        <f>IFERROR(__xludf.DUMMYFUNCTION("QUERY('Volunteer Survey'!O622)"),"")</f>
        <v/>
      </c>
      <c r="AO623" s="183" t="str">
        <f>IFERROR(__xludf.DUMMYFUNCTION("QUERY('Volunteer Survey'!P622)"),"")</f>
        <v/>
      </c>
    </row>
    <row r="624">
      <c r="A624" s="55"/>
      <c r="B624" s="55"/>
      <c r="C624" s="53"/>
      <c r="D624" s="55"/>
      <c r="E624" s="55"/>
      <c r="F624" s="55" t="b">
        <v>0</v>
      </c>
      <c r="G624" s="55"/>
      <c r="H624" s="53"/>
      <c r="I624" s="53"/>
      <c r="J624" s="55"/>
      <c r="K624" s="55"/>
      <c r="L624" s="55"/>
      <c r="M624" s="55"/>
      <c r="N624" s="55"/>
      <c r="O624" s="55" t="b">
        <v>0</v>
      </c>
      <c r="P624" s="55"/>
      <c r="Q624" s="55"/>
      <c r="R624" s="55"/>
      <c r="S624" s="55"/>
      <c r="T624" s="55"/>
      <c r="U624" s="64"/>
      <c r="V624" s="55"/>
      <c r="W624" s="64"/>
      <c r="X624" s="55"/>
      <c r="Y624" s="53"/>
      <c r="Z624" s="183" t="str">
        <f>IFERROR(__xludf.DUMMYFUNCTION("QUERY('Volunteer Survey'!A623)"),"")</f>
        <v/>
      </c>
      <c r="AA624" s="183" t="str">
        <f>IFERROR(__xludf.DUMMYFUNCTION("QUERY('Volunteer Survey'!B623)"),"")</f>
        <v/>
      </c>
      <c r="AB624" s="183" t="str">
        <f>IFERROR(__xludf.DUMMYFUNCTION("QUERY('Volunteer Survey'!C623)"),"")</f>
        <v/>
      </c>
      <c r="AC624" s="183" t="str">
        <f>IFERROR(__xludf.DUMMYFUNCTION("QUERY('Volunteer Survey'!D623)"),"")</f>
        <v/>
      </c>
      <c r="AD624" s="183" t="str">
        <f>IFERROR(__xludf.DUMMYFUNCTION("QUERY('Volunteer Survey'!E623)"),"")</f>
        <v/>
      </c>
      <c r="AE624" s="183" t="str">
        <f>IFERROR(__xludf.DUMMYFUNCTION("QUERY('Volunteer Survey'!F623)"),"")</f>
        <v/>
      </c>
      <c r="AF624" s="183" t="str">
        <f>IFERROR(__xludf.DUMMYFUNCTION("QUERY('Volunteer Survey'!G623)"),"")</f>
        <v/>
      </c>
      <c r="AG624" s="183" t="str">
        <f>IFERROR(__xludf.DUMMYFUNCTION("QUERY('Volunteer Survey'!H623)"),"")</f>
        <v/>
      </c>
      <c r="AH624" s="183" t="str">
        <f>IFERROR(__xludf.DUMMYFUNCTION("QUERY('Volunteer Survey'!I623)"),"")</f>
        <v/>
      </c>
      <c r="AI624" s="183" t="str">
        <f>IFERROR(__xludf.DUMMYFUNCTION("QUERY('Volunteer Survey'!J623)"),"")</f>
        <v/>
      </c>
      <c r="AJ624" s="183" t="str">
        <f>IFERROR(__xludf.DUMMYFUNCTION("QUERY('Volunteer Survey'!K623)"),"")</f>
        <v/>
      </c>
      <c r="AK624" s="183" t="str">
        <f>IFERROR(__xludf.DUMMYFUNCTION("QUERY('Volunteer Survey'!L623)"),"")</f>
        <v/>
      </c>
      <c r="AL624" s="183" t="str">
        <f>IFERROR(__xludf.DUMMYFUNCTION("QUERY('Volunteer Survey'!M623)"),"")</f>
        <v/>
      </c>
      <c r="AM624" s="183" t="str">
        <f>IFERROR(__xludf.DUMMYFUNCTION("QUERY('Volunteer Survey'!N623)"),"")</f>
        <v/>
      </c>
      <c r="AN624" s="183" t="str">
        <f>IFERROR(__xludf.DUMMYFUNCTION("QUERY('Volunteer Survey'!O623)"),"")</f>
        <v/>
      </c>
      <c r="AO624" s="183" t="str">
        <f>IFERROR(__xludf.DUMMYFUNCTION("QUERY('Volunteer Survey'!P623)"),"")</f>
        <v/>
      </c>
    </row>
    <row r="625">
      <c r="A625" s="55"/>
      <c r="B625" s="55"/>
      <c r="C625" s="53"/>
      <c r="D625" s="55"/>
      <c r="E625" s="55"/>
      <c r="F625" s="55" t="b">
        <v>0</v>
      </c>
      <c r="G625" s="55"/>
      <c r="H625" s="53"/>
      <c r="I625" s="53"/>
      <c r="J625" s="55"/>
      <c r="K625" s="55"/>
      <c r="L625" s="55"/>
      <c r="M625" s="55"/>
      <c r="N625" s="55"/>
      <c r="O625" s="55" t="b">
        <v>0</v>
      </c>
      <c r="P625" s="55"/>
      <c r="Q625" s="55"/>
      <c r="R625" s="55"/>
      <c r="S625" s="55"/>
      <c r="T625" s="55"/>
      <c r="U625" s="64"/>
      <c r="V625" s="55"/>
      <c r="W625" s="64"/>
      <c r="X625" s="55"/>
      <c r="Y625" s="53"/>
      <c r="Z625" s="183" t="str">
        <f>IFERROR(__xludf.DUMMYFUNCTION("QUERY('Volunteer Survey'!A624)"),"")</f>
        <v/>
      </c>
      <c r="AA625" s="183" t="str">
        <f>IFERROR(__xludf.DUMMYFUNCTION("QUERY('Volunteer Survey'!B624)"),"")</f>
        <v/>
      </c>
      <c r="AB625" s="183" t="str">
        <f>IFERROR(__xludf.DUMMYFUNCTION("QUERY('Volunteer Survey'!C624)"),"")</f>
        <v/>
      </c>
      <c r="AC625" s="183" t="str">
        <f>IFERROR(__xludf.DUMMYFUNCTION("QUERY('Volunteer Survey'!D624)"),"")</f>
        <v/>
      </c>
      <c r="AD625" s="183" t="str">
        <f>IFERROR(__xludf.DUMMYFUNCTION("QUERY('Volunteer Survey'!E624)"),"")</f>
        <v/>
      </c>
      <c r="AE625" s="183" t="str">
        <f>IFERROR(__xludf.DUMMYFUNCTION("QUERY('Volunteer Survey'!F624)"),"")</f>
        <v/>
      </c>
      <c r="AF625" s="183" t="str">
        <f>IFERROR(__xludf.DUMMYFUNCTION("QUERY('Volunteer Survey'!G624)"),"")</f>
        <v/>
      </c>
      <c r="AG625" s="183" t="str">
        <f>IFERROR(__xludf.DUMMYFUNCTION("QUERY('Volunteer Survey'!H624)"),"")</f>
        <v/>
      </c>
      <c r="AH625" s="183" t="str">
        <f>IFERROR(__xludf.DUMMYFUNCTION("QUERY('Volunteer Survey'!I624)"),"")</f>
        <v/>
      </c>
      <c r="AI625" s="183" t="str">
        <f>IFERROR(__xludf.DUMMYFUNCTION("QUERY('Volunteer Survey'!J624)"),"")</f>
        <v/>
      </c>
      <c r="AJ625" s="183" t="str">
        <f>IFERROR(__xludf.DUMMYFUNCTION("QUERY('Volunteer Survey'!K624)"),"")</f>
        <v/>
      </c>
      <c r="AK625" s="183" t="str">
        <f>IFERROR(__xludf.DUMMYFUNCTION("QUERY('Volunteer Survey'!L624)"),"")</f>
        <v/>
      </c>
      <c r="AL625" s="183" t="str">
        <f>IFERROR(__xludf.DUMMYFUNCTION("QUERY('Volunteer Survey'!M624)"),"")</f>
        <v/>
      </c>
      <c r="AM625" s="183" t="str">
        <f>IFERROR(__xludf.DUMMYFUNCTION("QUERY('Volunteer Survey'!N624)"),"")</f>
        <v/>
      </c>
      <c r="AN625" s="183" t="str">
        <f>IFERROR(__xludf.DUMMYFUNCTION("QUERY('Volunteer Survey'!O624)"),"")</f>
        <v/>
      </c>
      <c r="AO625" s="183" t="str">
        <f>IFERROR(__xludf.DUMMYFUNCTION("QUERY('Volunteer Survey'!P624)"),"")</f>
        <v/>
      </c>
    </row>
    <row r="626">
      <c r="A626" s="55"/>
      <c r="B626" s="55"/>
      <c r="C626" s="53"/>
      <c r="D626" s="55"/>
      <c r="E626" s="55"/>
      <c r="F626" s="55" t="b">
        <v>0</v>
      </c>
      <c r="G626" s="55"/>
      <c r="H626" s="53"/>
      <c r="I626" s="53"/>
      <c r="J626" s="55"/>
      <c r="K626" s="55"/>
      <c r="L626" s="55"/>
      <c r="M626" s="55"/>
      <c r="N626" s="55"/>
      <c r="O626" s="55" t="b">
        <v>0</v>
      </c>
      <c r="P626" s="55"/>
      <c r="Q626" s="55"/>
      <c r="R626" s="55"/>
      <c r="S626" s="55"/>
      <c r="T626" s="55"/>
      <c r="U626" s="64"/>
      <c r="V626" s="55"/>
      <c r="W626" s="64"/>
      <c r="X626" s="55"/>
      <c r="Y626" s="53"/>
      <c r="Z626" s="183" t="str">
        <f>IFERROR(__xludf.DUMMYFUNCTION("QUERY('Volunteer Survey'!A625)"),"")</f>
        <v/>
      </c>
      <c r="AA626" s="183" t="str">
        <f>IFERROR(__xludf.DUMMYFUNCTION("QUERY('Volunteer Survey'!B625)"),"")</f>
        <v/>
      </c>
      <c r="AB626" s="183" t="str">
        <f>IFERROR(__xludf.DUMMYFUNCTION("QUERY('Volunteer Survey'!C625)"),"")</f>
        <v/>
      </c>
      <c r="AC626" s="183" t="str">
        <f>IFERROR(__xludf.DUMMYFUNCTION("QUERY('Volunteer Survey'!D625)"),"")</f>
        <v/>
      </c>
      <c r="AD626" s="183" t="str">
        <f>IFERROR(__xludf.DUMMYFUNCTION("QUERY('Volunteer Survey'!E625)"),"")</f>
        <v/>
      </c>
      <c r="AE626" s="183" t="str">
        <f>IFERROR(__xludf.DUMMYFUNCTION("QUERY('Volunteer Survey'!F625)"),"")</f>
        <v/>
      </c>
      <c r="AF626" s="183" t="str">
        <f>IFERROR(__xludf.DUMMYFUNCTION("QUERY('Volunteer Survey'!G625)"),"")</f>
        <v/>
      </c>
      <c r="AG626" s="183" t="str">
        <f>IFERROR(__xludf.DUMMYFUNCTION("QUERY('Volunteer Survey'!H625)"),"")</f>
        <v/>
      </c>
      <c r="AH626" s="183" t="str">
        <f>IFERROR(__xludf.DUMMYFUNCTION("QUERY('Volunteer Survey'!I625)"),"")</f>
        <v/>
      </c>
      <c r="AI626" s="183" t="str">
        <f>IFERROR(__xludf.DUMMYFUNCTION("QUERY('Volunteer Survey'!J625)"),"")</f>
        <v/>
      </c>
      <c r="AJ626" s="183" t="str">
        <f>IFERROR(__xludf.DUMMYFUNCTION("QUERY('Volunteer Survey'!K625)"),"")</f>
        <v/>
      </c>
      <c r="AK626" s="183" t="str">
        <f>IFERROR(__xludf.DUMMYFUNCTION("QUERY('Volunteer Survey'!L625)"),"")</f>
        <v/>
      </c>
      <c r="AL626" s="183" t="str">
        <f>IFERROR(__xludf.DUMMYFUNCTION("QUERY('Volunteer Survey'!M625)"),"")</f>
        <v/>
      </c>
      <c r="AM626" s="183" t="str">
        <f>IFERROR(__xludf.DUMMYFUNCTION("QUERY('Volunteer Survey'!N625)"),"")</f>
        <v/>
      </c>
      <c r="AN626" s="183" t="str">
        <f>IFERROR(__xludf.DUMMYFUNCTION("QUERY('Volunteer Survey'!O625)"),"")</f>
        <v/>
      </c>
      <c r="AO626" s="183" t="str">
        <f>IFERROR(__xludf.DUMMYFUNCTION("QUERY('Volunteer Survey'!P625)"),"")</f>
        <v/>
      </c>
    </row>
    <row r="627">
      <c r="A627" s="55"/>
      <c r="B627" s="55"/>
      <c r="C627" s="53"/>
      <c r="D627" s="55"/>
      <c r="E627" s="55"/>
      <c r="F627" s="55" t="b">
        <v>0</v>
      </c>
      <c r="G627" s="55"/>
      <c r="H627" s="53"/>
      <c r="I627" s="53"/>
      <c r="J627" s="55"/>
      <c r="K627" s="55"/>
      <c r="L627" s="55"/>
      <c r="M627" s="55"/>
      <c r="N627" s="55"/>
      <c r="O627" s="55" t="b">
        <v>0</v>
      </c>
      <c r="P627" s="55"/>
      <c r="Q627" s="55"/>
      <c r="R627" s="55"/>
      <c r="S627" s="55"/>
      <c r="T627" s="55"/>
      <c r="U627" s="64"/>
      <c r="V627" s="55"/>
      <c r="W627" s="64"/>
      <c r="X627" s="55"/>
      <c r="Y627" s="53"/>
      <c r="Z627" s="183" t="str">
        <f>IFERROR(__xludf.DUMMYFUNCTION("QUERY('Volunteer Survey'!A626)"),"")</f>
        <v/>
      </c>
      <c r="AA627" s="183" t="str">
        <f>IFERROR(__xludf.DUMMYFUNCTION("QUERY('Volunteer Survey'!B626)"),"")</f>
        <v/>
      </c>
      <c r="AB627" s="183" t="str">
        <f>IFERROR(__xludf.DUMMYFUNCTION("QUERY('Volunteer Survey'!C626)"),"")</f>
        <v/>
      </c>
      <c r="AC627" s="183" t="str">
        <f>IFERROR(__xludf.DUMMYFUNCTION("QUERY('Volunteer Survey'!D626)"),"")</f>
        <v/>
      </c>
      <c r="AD627" s="183" t="str">
        <f>IFERROR(__xludf.DUMMYFUNCTION("QUERY('Volunteer Survey'!E626)"),"")</f>
        <v/>
      </c>
      <c r="AE627" s="183" t="str">
        <f>IFERROR(__xludf.DUMMYFUNCTION("QUERY('Volunteer Survey'!F626)"),"")</f>
        <v/>
      </c>
      <c r="AF627" s="183" t="str">
        <f>IFERROR(__xludf.DUMMYFUNCTION("QUERY('Volunteer Survey'!G626)"),"")</f>
        <v/>
      </c>
      <c r="AG627" s="183" t="str">
        <f>IFERROR(__xludf.DUMMYFUNCTION("QUERY('Volunteer Survey'!H626)"),"")</f>
        <v/>
      </c>
      <c r="AH627" s="183" t="str">
        <f>IFERROR(__xludf.DUMMYFUNCTION("QUERY('Volunteer Survey'!I626)"),"")</f>
        <v/>
      </c>
      <c r="AI627" s="183" t="str">
        <f>IFERROR(__xludf.DUMMYFUNCTION("QUERY('Volunteer Survey'!J626)"),"")</f>
        <v/>
      </c>
      <c r="AJ627" s="183" t="str">
        <f>IFERROR(__xludf.DUMMYFUNCTION("QUERY('Volunteer Survey'!K626)"),"")</f>
        <v/>
      </c>
      <c r="AK627" s="183" t="str">
        <f>IFERROR(__xludf.DUMMYFUNCTION("QUERY('Volunteer Survey'!L626)"),"")</f>
        <v/>
      </c>
      <c r="AL627" s="183" t="str">
        <f>IFERROR(__xludf.DUMMYFUNCTION("QUERY('Volunteer Survey'!M626)"),"")</f>
        <v/>
      </c>
      <c r="AM627" s="183" t="str">
        <f>IFERROR(__xludf.DUMMYFUNCTION("QUERY('Volunteer Survey'!N626)"),"")</f>
        <v/>
      </c>
      <c r="AN627" s="183" t="str">
        <f>IFERROR(__xludf.DUMMYFUNCTION("QUERY('Volunteer Survey'!O626)"),"")</f>
        <v/>
      </c>
      <c r="AO627" s="183" t="str">
        <f>IFERROR(__xludf.DUMMYFUNCTION("QUERY('Volunteer Survey'!P626)"),"")</f>
        <v/>
      </c>
    </row>
    <row r="628">
      <c r="A628" s="55"/>
      <c r="B628" s="55"/>
      <c r="C628" s="53"/>
      <c r="D628" s="55"/>
      <c r="E628" s="55"/>
      <c r="F628" s="55" t="b">
        <v>0</v>
      </c>
      <c r="G628" s="55"/>
      <c r="H628" s="53"/>
      <c r="I628" s="53"/>
      <c r="J628" s="55"/>
      <c r="K628" s="55"/>
      <c r="L628" s="55"/>
      <c r="M628" s="55"/>
      <c r="N628" s="55"/>
      <c r="O628" s="55" t="b">
        <v>0</v>
      </c>
      <c r="P628" s="55"/>
      <c r="Q628" s="55"/>
      <c r="R628" s="55"/>
      <c r="S628" s="55"/>
      <c r="T628" s="55"/>
      <c r="U628" s="64"/>
      <c r="V628" s="55"/>
      <c r="W628" s="64"/>
      <c r="X628" s="55"/>
      <c r="Y628" s="53"/>
      <c r="Z628" s="183" t="str">
        <f>IFERROR(__xludf.DUMMYFUNCTION("QUERY('Volunteer Survey'!A627)"),"")</f>
        <v/>
      </c>
      <c r="AA628" s="183" t="str">
        <f>IFERROR(__xludf.DUMMYFUNCTION("QUERY('Volunteer Survey'!B627)"),"")</f>
        <v/>
      </c>
      <c r="AB628" s="183" t="str">
        <f>IFERROR(__xludf.DUMMYFUNCTION("QUERY('Volunteer Survey'!C627)"),"")</f>
        <v/>
      </c>
      <c r="AC628" s="183" t="str">
        <f>IFERROR(__xludf.DUMMYFUNCTION("QUERY('Volunteer Survey'!D627)"),"")</f>
        <v/>
      </c>
      <c r="AD628" s="183" t="str">
        <f>IFERROR(__xludf.DUMMYFUNCTION("QUERY('Volunteer Survey'!E627)"),"")</f>
        <v/>
      </c>
      <c r="AE628" s="183" t="str">
        <f>IFERROR(__xludf.DUMMYFUNCTION("QUERY('Volunteer Survey'!F627)"),"")</f>
        <v/>
      </c>
      <c r="AF628" s="183" t="str">
        <f>IFERROR(__xludf.DUMMYFUNCTION("QUERY('Volunteer Survey'!G627)"),"")</f>
        <v/>
      </c>
      <c r="AG628" s="183" t="str">
        <f>IFERROR(__xludf.DUMMYFUNCTION("QUERY('Volunteer Survey'!H627)"),"")</f>
        <v/>
      </c>
      <c r="AH628" s="183" t="str">
        <f>IFERROR(__xludf.DUMMYFUNCTION("QUERY('Volunteer Survey'!I627)"),"")</f>
        <v/>
      </c>
      <c r="AI628" s="183" t="str">
        <f>IFERROR(__xludf.DUMMYFUNCTION("QUERY('Volunteer Survey'!J627)"),"")</f>
        <v/>
      </c>
      <c r="AJ628" s="183" t="str">
        <f>IFERROR(__xludf.DUMMYFUNCTION("QUERY('Volunteer Survey'!K627)"),"")</f>
        <v/>
      </c>
      <c r="AK628" s="183" t="str">
        <f>IFERROR(__xludf.DUMMYFUNCTION("QUERY('Volunteer Survey'!L627)"),"")</f>
        <v/>
      </c>
      <c r="AL628" s="183" t="str">
        <f>IFERROR(__xludf.DUMMYFUNCTION("QUERY('Volunteer Survey'!M627)"),"")</f>
        <v/>
      </c>
      <c r="AM628" s="183" t="str">
        <f>IFERROR(__xludf.DUMMYFUNCTION("QUERY('Volunteer Survey'!N627)"),"")</f>
        <v/>
      </c>
      <c r="AN628" s="183" t="str">
        <f>IFERROR(__xludf.DUMMYFUNCTION("QUERY('Volunteer Survey'!O627)"),"")</f>
        <v/>
      </c>
      <c r="AO628" s="183" t="str">
        <f>IFERROR(__xludf.DUMMYFUNCTION("QUERY('Volunteer Survey'!P627)"),"")</f>
        <v/>
      </c>
    </row>
    <row r="629">
      <c r="A629" s="55"/>
      <c r="B629" s="55"/>
      <c r="C629" s="53"/>
      <c r="D629" s="55"/>
      <c r="E629" s="55"/>
      <c r="F629" s="55" t="b">
        <v>0</v>
      </c>
      <c r="G629" s="55"/>
      <c r="H629" s="53"/>
      <c r="I629" s="53"/>
      <c r="J629" s="55"/>
      <c r="K629" s="55"/>
      <c r="L629" s="55"/>
      <c r="M629" s="55"/>
      <c r="N629" s="55"/>
      <c r="O629" s="55" t="b">
        <v>0</v>
      </c>
      <c r="P629" s="55"/>
      <c r="Q629" s="55"/>
      <c r="R629" s="55"/>
      <c r="S629" s="55"/>
      <c r="T629" s="55"/>
      <c r="U629" s="64"/>
      <c r="V629" s="55"/>
      <c r="W629" s="64"/>
      <c r="X629" s="55"/>
      <c r="Y629" s="53"/>
      <c r="Z629" s="183" t="str">
        <f>IFERROR(__xludf.DUMMYFUNCTION("QUERY('Volunteer Survey'!A628)"),"")</f>
        <v/>
      </c>
      <c r="AA629" s="183" t="str">
        <f>IFERROR(__xludf.DUMMYFUNCTION("QUERY('Volunteer Survey'!B628)"),"")</f>
        <v/>
      </c>
      <c r="AB629" s="183" t="str">
        <f>IFERROR(__xludf.DUMMYFUNCTION("QUERY('Volunteer Survey'!C628)"),"")</f>
        <v/>
      </c>
      <c r="AC629" s="183" t="str">
        <f>IFERROR(__xludf.DUMMYFUNCTION("QUERY('Volunteer Survey'!D628)"),"")</f>
        <v/>
      </c>
      <c r="AD629" s="183" t="str">
        <f>IFERROR(__xludf.DUMMYFUNCTION("QUERY('Volunteer Survey'!E628)"),"")</f>
        <v/>
      </c>
      <c r="AE629" s="183" t="str">
        <f>IFERROR(__xludf.DUMMYFUNCTION("QUERY('Volunteer Survey'!F628)"),"")</f>
        <v/>
      </c>
      <c r="AF629" s="183" t="str">
        <f>IFERROR(__xludf.DUMMYFUNCTION("QUERY('Volunteer Survey'!G628)"),"")</f>
        <v/>
      </c>
      <c r="AG629" s="183" t="str">
        <f>IFERROR(__xludf.DUMMYFUNCTION("QUERY('Volunteer Survey'!H628)"),"")</f>
        <v/>
      </c>
      <c r="AH629" s="183" t="str">
        <f>IFERROR(__xludf.DUMMYFUNCTION("QUERY('Volunteer Survey'!I628)"),"")</f>
        <v/>
      </c>
      <c r="AI629" s="183" t="str">
        <f>IFERROR(__xludf.DUMMYFUNCTION("QUERY('Volunteer Survey'!J628)"),"")</f>
        <v/>
      </c>
      <c r="AJ629" s="183" t="str">
        <f>IFERROR(__xludf.DUMMYFUNCTION("QUERY('Volunteer Survey'!K628)"),"")</f>
        <v/>
      </c>
      <c r="AK629" s="183" t="str">
        <f>IFERROR(__xludf.DUMMYFUNCTION("QUERY('Volunteer Survey'!L628)"),"")</f>
        <v/>
      </c>
      <c r="AL629" s="183" t="str">
        <f>IFERROR(__xludf.DUMMYFUNCTION("QUERY('Volunteer Survey'!M628)"),"")</f>
        <v/>
      </c>
      <c r="AM629" s="183" t="str">
        <f>IFERROR(__xludf.DUMMYFUNCTION("QUERY('Volunteer Survey'!N628)"),"")</f>
        <v/>
      </c>
      <c r="AN629" s="183" t="str">
        <f>IFERROR(__xludf.DUMMYFUNCTION("QUERY('Volunteer Survey'!O628)"),"")</f>
        <v/>
      </c>
      <c r="AO629" s="183" t="str">
        <f>IFERROR(__xludf.DUMMYFUNCTION("QUERY('Volunteer Survey'!P628)"),"")</f>
        <v/>
      </c>
    </row>
    <row r="630">
      <c r="A630" s="55"/>
      <c r="B630" s="55"/>
      <c r="C630" s="53"/>
      <c r="D630" s="55"/>
      <c r="E630" s="55"/>
      <c r="F630" s="55" t="b">
        <v>0</v>
      </c>
      <c r="G630" s="55"/>
      <c r="H630" s="53"/>
      <c r="I630" s="53"/>
      <c r="J630" s="55"/>
      <c r="K630" s="55"/>
      <c r="L630" s="55"/>
      <c r="M630" s="55"/>
      <c r="N630" s="55"/>
      <c r="O630" s="55" t="b">
        <v>0</v>
      </c>
      <c r="P630" s="55"/>
      <c r="Q630" s="55"/>
      <c r="R630" s="55"/>
      <c r="S630" s="55"/>
      <c r="T630" s="55"/>
      <c r="U630" s="64"/>
      <c r="V630" s="55"/>
      <c r="W630" s="64"/>
      <c r="X630" s="55"/>
      <c r="Y630" s="53"/>
      <c r="Z630" s="183" t="str">
        <f>IFERROR(__xludf.DUMMYFUNCTION("QUERY('Volunteer Survey'!A629)"),"")</f>
        <v/>
      </c>
      <c r="AA630" s="183" t="str">
        <f>IFERROR(__xludf.DUMMYFUNCTION("QUERY('Volunteer Survey'!B629)"),"")</f>
        <v/>
      </c>
      <c r="AB630" s="183" t="str">
        <f>IFERROR(__xludf.DUMMYFUNCTION("QUERY('Volunteer Survey'!C629)"),"")</f>
        <v/>
      </c>
      <c r="AC630" s="183" t="str">
        <f>IFERROR(__xludf.DUMMYFUNCTION("QUERY('Volunteer Survey'!D629)"),"")</f>
        <v/>
      </c>
      <c r="AD630" s="183" t="str">
        <f>IFERROR(__xludf.DUMMYFUNCTION("QUERY('Volunteer Survey'!E629)"),"")</f>
        <v/>
      </c>
      <c r="AE630" s="183" t="str">
        <f>IFERROR(__xludf.DUMMYFUNCTION("QUERY('Volunteer Survey'!F629)"),"")</f>
        <v/>
      </c>
      <c r="AF630" s="183" t="str">
        <f>IFERROR(__xludf.DUMMYFUNCTION("QUERY('Volunteer Survey'!G629)"),"")</f>
        <v/>
      </c>
      <c r="AG630" s="183" t="str">
        <f>IFERROR(__xludf.DUMMYFUNCTION("QUERY('Volunteer Survey'!H629)"),"")</f>
        <v/>
      </c>
      <c r="AH630" s="183" t="str">
        <f>IFERROR(__xludf.DUMMYFUNCTION("QUERY('Volunteer Survey'!I629)"),"")</f>
        <v/>
      </c>
      <c r="AI630" s="183" t="str">
        <f>IFERROR(__xludf.DUMMYFUNCTION("QUERY('Volunteer Survey'!J629)"),"")</f>
        <v/>
      </c>
      <c r="AJ630" s="183" t="str">
        <f>IFERROR(__xludf.DUMMYFUNCTION("QUERY('Volunteer Survey'!K629)"),"")</f>
        <v/>
      </c>
      <c r="AK630" s="183" t="str">
        <f>IFERROR(__xludf.DUMMYFUNCTION("QUERY('Volunteer Survey'!L629)"),"")</f>
        <v/>
      </c>
      <c r="AL630" s="183" t="str">
        <f>IFERROR(__xludf.DUMMYFUNCTION("QUERY('Volunteer Survey'!M629)"),"")</f>
        <v/>
      </c>
      <c r="AM630" s="183" t="str">
        <f>IFERROR(__xludf.DUMMYFUNCTION("QUERY('Volunteer Survey'!N629)"),"")</f>
        <v/>
      </c>
      <c r="AN630" s="183" t="str">
        <f>IFERROR(__xludf.DUMMYFUNCTION("QUERY('Volunteer Survey'!O629)"),"")</f>
        <v/>
      </c>
      <c r="AO630" s="183" t="str">
        <f>IFERROR(__xludf.DUMMYFUNCTION("QUERY('Volunteer Survey'!P629)"),"")</f>
        <v/>
      </c>
    </row>
    <row r="631">
      <c r="A631" s="55"/>
      <c r="B631" s="55"/>
      <c r="C631" s="53"/>
      <c r="D631" s="55"/>
      <c r="E631" s="55"/>
      <c r="F631" s="55" t="b">
        <v>0</v>
      </c>
      <c r="G631" s="55"/>
      <c r="H631" s="53"/>
      <c r="I631" s="53"/>
      <c r="J631" s="55"/>
      <c r="K631" s="55"/>
      <c r="L631" s="55"/>
      <c r="M631" s="55"/>
      <c r="N631" s="55"/>
      <c r="O631" s="55" t="b">
        <v>0</v>
      </c>
      <c r="P631" s="55"/>
      <c r="Q631" s="55"/>
      <c r="R631" s="55"/>
      <c r="S631" s="55"/>
      <c r="T631" s="55"/>
      <c r="U631" s="64"/>
      <c r="V631" s="55"/>
      <c r="W631" s="64"/>
      <c r="X631" s="55"/>
      <c r="Y631" s="53"/>
      <c r="Z631" s="183" t="str">
        <f>IFERROR(__xludf.DUMMYFUNCTION("QUERY('Volunteer Survey'!A630)"),"")</f>
        <v/>
      </c>
      <c r="AA631" s="183" t="str">
        <f>IFERROR(__xludf.DUMMYFUNCTION("QUERY('Volunteer Survey'!B630)"),"")</f>
        <v/>
      </c>
      <c r="AB631" s="183" t="str">
        <f>IFERROR(__xludf.DUMMYFUNCTION("QUERY('Volunteer Survey'!C630)"),"")</f>
        <v/>
      </c>
      <c r="AC631" s="183" t="str">
        <f>IFERROR(__xludf.DUMMYFUNCTION("QUERY('Volunteer Survey'!D630)"),"")</f>
        <v/>
      </c>
      <c r="AD631" s="183" t="str">
        <f>IFERROR(__xludf.DUMMYFUNCTION("QUERY('Volunteer Survey'!E630)"),"")</f>
        <v/>
      </c>
      <c r="AE631" s="183" t="str">
        <f>IFERROR(__xludf.DUMMYFUNCTION("QUERY('Volunteer Survey'!F630)"),"")</f>
        <v/>
      </c>
      <c r="AF631" s="183" t="str">
        <f>IFERROR(__xludf.DUMMYFUNCTION("QUERY('Volunteer Survey'!G630)"),"")</f>
        <v/>
      </c>
      <c r="AG631" s="183" t="str">
        <f>IFERROR(__xludf.DUMMYFUNCTION("QUERY('Volunteer Survey'!H630)"),"")</f>
        <v/>
      </c>
      <c r="AH631" s="183" t="str">
        <f>IFERROR(__xludf.DUMMYFUNCTION("QUERY('Volunteer Survey'!I630)"),"")</f>
        <v/>
      </c>
      <c r="AI631" s="183" t="str">
        <f>IFERROR(__xludf.DUMMYFUNCTION("QUERY('Volunteer Survey'!J630)"),"")</f>
        <v/>
      </c>
      <c r="AJ631" s="183" t="str">
        <f>IFERROR(__xludf.DUMMYFUNCTION("QUERY('Volunteer Survey'!K630)"),"")</f>
        <v/>
      </c>
      <c r="AK631" s="183" t="str">
        <f>IFERROR(__xludf.DUMMYFUNCTION("QUERY('Volunteer Survey'!L630)"),"")</f>
        <v/>
      </c>
      <c r="AL631" s="183" t="str">
        <f>IFERROR(__xludf.DUMMYFUNCTION("QUERY('Volunteer Survey'!M630)"),"")</f>
        <v/>
      </c>
      <c r="AM631" s="183" t="str">
        <f>IFERROR(__xludf.DUMMYFUNCTION("QUERY('Volunteer Survey'!N630)"),"")</f>
        <v/>
      </c>
      <c r="AN631" s="183" t="str">
        <f>IFERROR(__xludf.DUMMYFUNCTION("QUERY('Volunteer Survey'!O630)"),"")</f>
        <v/>
      </c>
      <c r="AO631" s="183" t="str">
        <f>IFERROR(__xludf.DUMMYFUNCTION("QUERY('Volunteer Survey'!P630)"),"")</f>
        <v/>
      </c>
    </row>
    <row r="632">
      <c r="A632" s="55"/>
      <c r="B632" s="55"/>
      <c r="C632" s="53"/>
      <c r="D632" s="55"/>
      <c r="E632" s="55"/>
      <c r="F632" s="55" t="b">
        <v>0</v>
      </c>
      <c r="G632" s="55"/>
      <c r="H632" s="53"/>
      <c r="I632" s="53"/>
      <c r="J632" s="55"/>
      <c r="K632" s="55"/>
      <c r="L632" s="55"/>
      <c r="M632" s="55"/>
      <c r="N632" s="55"/>
      <c r="O632" s="55" t="b">
        <v>0</v>
      </c>
      <c r="P632" s="55"/>
      <c r="Q632" s="55"/>
      <c r="R632" s="55"/>
      <c r="S632" s="55"/>
      <c r="T632" s="55"/>
      <c r="U632" s="64"/>
      <c r="V632" s="55"/>
      <c r="W632" s="64"/>
      <c r="X632" s="55"/>
      <c r="Y632" s="53"/>
      <c r="Z632" s="183" t="str">
        <f>IFERROR(__xludf.DUMMYFUNCTION("QUERY('Volunteer Survey'!A631)"),"")</f>
        <v/>
      </c>
      <c r="AA632" s="183" t="str">
        <f>IFERROR(__xludf.DUMMYFUNCTION("QUERY('Volunteer Survey'!B631)"),"")</f>
        <v/>
      </c>
      <c r="AB632" s="183" t="str">
        <f>IFERROR(__xludf.DUMMYFUNCTION("QUERY('Volunteer Survey'!C631)"),"")</f>
        <v/>
      </c>
      <c r="AC632" s="183" t="str">
        <f>IFERROR(__xludf.DUMMYFUNCTION("QUERY('Volunteer Survey'!D631)"),"")</f>
        <v/>
      </c>
      <c r="AD632" s="183" t="str">
        <f>IFERROR(__xludf.DUMMYFUNCTION("QUERY('Volunteer Survey'!E631)"),"")</f>
        <v/>
      </c>
      <c r="AE632" s="183" t="str">
        <f>IFERROR(__xludf.DUMMYFUNCTION("QUERY('Volunteer Survey'!F631)"),"")</f>
        <v/>
      </c>
      <c r="AF632" s="183" t="str">
        <f>IFERROR(__xludf.DUMMYFUNCTION("QUERY('Volunteer Survey'!G631)"),"")</f>
        <v/>
      </c>
      <c r="AG632" s="183" t="str">
        <f>IFERROR(__xludf.DUMMYFUNCTION("QUERY('Volunteer Survey'!H631)"),"")</f>
        <v/>
      </c>
      <c r="AH632" s="183" t="str">
        <f>IFERROR(__xludf.DUMMYFUNCTION("QUERY('Volunteer Survey'!I631)"),"")</f>
        <v/>
      </c>
      <c r="AI632" s="183" t="str">
        <f>IFERROR(__xludf.DUMMYFUNCTION("QUERY('Volunteer Survey'!J631)"),"")</f>
        <v/>
      </c>
      <c r="AJ632" s="183" t="str">
        <f>IFERROR(__xludf.DUMMYFUNCTION("QUERY('Volunteer Survey'!K631)"),"")</f>
        <v/>
      </c>
      <c r="AK632" s="183" t="str">
        <f>IFERROR(__xludf.DUMMYFUNCTION("QUERY('Volunteer Survey'!L631)"),"")</f>
        <v/>
      </c>
      <c r="AL632" s="183" t="str">
        <f>IFERROR(__xludf.DUMMYFUNCTION("QUERY('Volunteer Survey'!M631)"),"")</f>
        <v/>
      </c>
      <c r="AM632" s="183" t="str">
        <f>IFERROR(__xludf.DUMMYFUNCTION("QUERY('Volunteer Survey'!N631)"),"")</f>
        <v/>
      </c>
      <c r="AN632" s="183" t="str">
        <f>IFERROR(__xludf.DUMMYFUNCTION("QUERY('Volunteer Survey'!O631)"),"")</f>
        <v/>
      </c>
      <c r="AO632" s="183" t="str">
        <f>IFERROR(__xludf.DUMMYFUNCTION("QUERY('Volunteer Survey'!P631)"),"")</f>
        <v/>
      </c>
    </row>
    <row r="633">
      <c r="A633" s="55"/>
      <c r="B633" s="55"/>
      <c r="C633" s="53"/>
      <c r="D633" s="55"/>
      <c r="E633" s="55"/>
      <c r="F633" s="55" t="b">
        <v>0</v>
      </c>
      <c r="G633" s="55"/>
      <c r="H633" s="53"/>
      <c r="I633" s="53"/>
      <c r="J633" s="55"/>
      <c r="K633" s="55"/>
      <c r="L633" s="55"/>
      <c r="M633" s="55"/>
      <c r="N633" s="55"/>
      <c r="O633" s="55" t="b">
        <v>0</v>
      </c>
      <c r="P633" s="55"/>
      <c r="Q633" s="55"/>
      <c r="R633" s="55"/>
      <c r="S633" s="55"/>
      <c r="T633" s="55"/>
      <c r="U633" s="64"/>
      <c r="V633" s="55"/>
      <c r="W633" s="64"/>
      <c r="X633" s="55"/>
      <c r="Y633" s="53"/>
      <c r="Z633" s="183" t="str">
        <f>IFERROR(__xludf.DUMMYFUNCTION("QUERY('Volunteer Survey'!A632)"),"")</f>
        <v/>
      </c>
      <c r="AA633" s="183" t="str">
        <f>IFERROR(__xludf.DUMMYFUNCTION("QUERY('Volunteer Survey'!B632)"),"")</f>
        <v/>
      </c>
      <c r="AB633" s="183" t="str">
        <f>IFERROR(__xludf.DUMMYFUNCTION("QUERY('Volunteer Survey'!C632)"),"")</f>
        <v/>
      </c>
      <c r="AC633" s="183" t="str">
        <f>IFERROR(__xludf.DUMMYFUNCTION("QUERY('Volunteer Survey'!D632)"),"")</f>
        <v/>
      </c>
      <c r="AD633" s="183" t="str">
        <f>IFERROR(__xludf.DUMMYFUNCTION("QUERY('Volunteer Survey'!E632)"),"")</f>
        <v/>
      </c>
      <c r="AE633" s="183" t="str">
        <f>IFERROR(__xludf.DUMMYFUNCTION("QUERY('Volunteer Survey'!F632)"),"")</f>
        <v/>
      </c>
      <c r="AF633" s="183" t="str">
        <f>IFERROR(__xludf.DUMMYFUNCTION("QUERY('Volunteer Survey'!G632)"),"")</f>
        <v/>
      </c>
      <c r="AG633" s="183" t="str">
        <f>IFERROR(__xludf.DUMMYFUNCTION("QUERY('Volunteer Survey'!H632)"),"")</f>
        <v/>
      </c>
      <c r="AH633" s="183" t="str">
        <f>IFERROR(__xludf.DUMMYFUNCTION("QUERY('Volunteer Survey'!I632)"),"")</f>
        <v/>
      </c>
      <c r="AI633" s="183" t="str">
        <f>IFERROR(__xludf.DUMMYFUNCTION("QUERY('Volunteer Survey'!J632)"),"")</f>
        <v/>
      </c>
      <c r="AJ633" s="183" t="str">
        <f>IFERROR(__xludf.DUMMYFUNCTION("QUERY('Volunteer Survey'!K632)"),"")</f>
        <v/>
      </c>
      <c r="AK633" s="183" t="str">
        <f>IFERROR(__xludf.DUMMYFUNCTION("QUERY('Volunteer Survey'!L632)"),"")</f>
        <v/>
      </c>
      <c r="AL633" s="183" t="str">
        <f>IFERROR(__xludf.DUMMYFUNCTION("QUERY('Volunteer Survey'!M632)"),"")</f>
        <v/>
      </c>
      <c r="AM633" s="183" t="str">
        <f>IFERROR(__xludf.DUMMYFUNCTION("QUERY('Volunteer Survey'!N632)"),"")</f>
        <v/>
      </c>
      <c r="AN633" s="183" t="str">
        <f>IFERROR(__xludf.DUMMYFUNCTION("QUERY('Volunteer Survey'!O632)"),"")</f>
        <v/>
      </c>
      <c r="AO633" s="183" t="str">
        <f>IFERROR(__xludf.DUMMYFUNCTION("QUERY('Volunteer Survey'!P632)"),"")</f>
        <v/>
      </c>
    </row>
    <row r="634">
      <c r="A634" s="55"/>
      <c r="B634" s="55"/>
      <c r="C634" s="53"/>
      <c r="D634" s="55"/>
      <c r="E634" s="55"/>
      <c r="F634" s="55" t="b">
        <v>0</v>
      </c>
      <c r="G634" s="55"/>
      <c r="H634" s="53"/>
      <c r="I634" s="53"/>
      <c r="J634" s="55"/>
      <c r="K634" s="55"/>
      <c r="L634" s="55"/>
      <c r="M634" s="55"/>
      <c r="N634" s="55"/>
      <c r="O634" s="55" t="b">
        <v>0</v>
      </c>
      <c r="P634" s="55"/>
      <c r="Q634" s="55"/>
      <c r="R634" s="55"/>
      <c r="S634" s="55"/>
      <c r="T634" s="55"/>
      <c r="U634" s="64"/>
      <c r="V634" s="55"/>
      <c r="W634" s="64"/>
      <c r="X634" s="55"/>
      <c r="Y634" s="53"/>
      <c r="Z634" s="183" t="str">
        <f>IFERROR(__xludf.DUMMYFUNCTION("QUERY('Volunteer Survey'!A633)"),"")</f>
        <v/>
      </c>
      <c r="AA634" s="183" t="str">
        <f>IFERROR(__xludf.DUMMYFUNCTION("QUERY('Volunteer Survey'!B633)"),"")</f>
        <v/>
      </c>
      <c r="AB634" s="183" t="str">
        <f>IFERROR(__xludf.DUMMYFUNCTION("QUERY('Volunteer Survey'!C633)"),"")</f>
        <v/>
      </c>
      <c r="AC634" s="183" t="str">
        <f>IFERROR(__xludf.DUMMYFUNCTION("QUERY('Volunteer Survey'!D633)"),"")</f>
        <v/>
      </c>
      <c r="AD634" s="183" t="str">
        <f>IFERROR(__xludf.DUMMYFUNCTION("QUERY('Volunteer Survey'!E633)"),"")</f>
        <v/>
      </c>
      <c r="AE634" s="183" t="str">
        <f>IFERROR(__xludf.DUMMYFUNCTION("QUERY('Volunteer Survey'!F633)"),"")</f>
        <v/>
      </c>
      <c r="AF634" s="183" t="str">
        <f>IFERROR(__xludf.DUMMYFUNCTION("QUERY('Volunteer Survey'!G633)"),"")</f>
        <v/>
      </c>
      <c r="AG634" s="183" t="str">
        <f>IFERROR(__xludf.DUMMYFUNCTION("QUERY('Volunteer Survey'!H633)"),"")</f>
        <v/>
      </c>
      <c r="AH634" s="183" t="str">
        <f>IFERROR(__xludf.DUMMYFUNCTION("QUERY('Volunteer Survey'!I633)"),"")</f>
        <v/>
      </c>
      <c r="AI634" s="183" t="str">
        <f>IFERROR(__xludf.DUMMYFUNCTION("QUERY('Volunteer Survey'!J633)"),"")</f>
        <v/>
      </c>
      <c r="AJ634" s="183" t="str">
        <f>IFERROR(__xludf.DUMMYFUNCTION("QUERY('Volunteer Survey'!K633)"),"")</f>
        <v/>
      </c>
      <c r="AK634" s="183" t="str">
        <f>IFERROR(__xludf.DUMMYFUNCTION("QUERY('Volunteer Survey'!L633)"),"")</f>
        <v/>
      </c>
      <c r="AL634" s="183" t="str">
        <f>IFERROR(__xludf.DUMMYFUNCTION("QUERY('Volunteer Survey'!M633)"),"")</f>
        <v/>
      </c>
      <c r="AM634" s="183" t="str">
        <f>IFERROR(__xludf.DUMMYFUNCTION("QUERY('Volunteer Survey'!N633)"),"")</f>
        <v/>
      </c>
      <c r="AN634" s="183" t="str">
        <f>IFERROR(__xludf.DUMMYFUNCTION("QUERY('Volunteer Survey'!O633)"),"")</f>
        <v/>
      </c>
      <c r="AO634" s="183" t="str">
        <f>IFERROR(__xludf.DUMMYFUNCTION("QUERY('Volunteer Survey'!P633)"),"")</f>
        <v/>
      </c>
    </row>
    <row r="635">
      <c r="A635" s="55"/>
      <c r="B635" s="55"/>
      <c r="C635" s="53"/>
      <c r="D635" s="55"/>
      <c r="E635" s="55"/>
      <c r="F635" s="55" t="b">
        <v>0</v>
      </c>
      <c r="G635" s="55"/>
      <c r="H635" s="53"/>
      <c r="I635" s="53"/>
      <c r="J635" s="55"/>
      <c r="K635" s="55"/>
      <c r="L635" s="55"/>
      <c r="M635" s="55"/>
      <c r="N635" s="55"/>
      <c r="O635" s="55" t="b">
        <v>0</v>
      </c>
      <c r="P635" s="55"/>
      <c r="Q635" s="55"/>
      <c r="R635" s="55"/>
      <c r="S635" s="55"/>
      <c r="T635" s="55"/>
      <c r="U635" s="64"/>
      <c r="V635" s="55"/>
      <c r="W635" s="64"/>
      <c r="X635" s="55"/>
      <c r="Y635" s="53"/>
      <c r="Z635" s="183" t="str">
        <f>IFERROR(__xludf.DUMMYFUNCTION("QUERY('Volunteer Survey'!A634)"),"")</f>
        <v/>
      </c>
      <c r="AA635" s="183" t="str">
        <f>IFERROR(__xludf.DUMMYFUNCTION("QUERY('Volunteer Survey'!B634)"),"")</f>
        <v/>
      </c>
      <c r="AB635" s="183" t="str">
        <f>IFERROR(__xludf.DUMMYFUNCTION("QUERY('Volunteer Survey'!C634)"),"")</f>
        <v/>
      </c>
      <c r="AC635" s="183" t="str">
        <f>IFERROR(__xludf.DUMMYFUNCTION("QUERY('Volunteer Survey'!D634)"),"")</f>
        <v/>
      </c>
      <c r="AD635" s="183" t="str">
        <f>IFERROR(__xludf.DUMMYFUNCTION("QUERY('Volunteer Survey'!E634)"),"")</f>
        <v/>
      </c>
      <c r="AE635" s="183" t="str">
        <f>IFERROR(__xludf.DUMMYFUNCTION("QUERY('Volunteer Survey'!F634)"),"")</f>
        <v/>
      </c>
      <c r="AF635" s="183" t="str">
        <f>IFERROR(__xludf.DUMMYFUNCTION("QUERY('Volunteer Survey'!G634)"),"")</f>
        <v/>
      </c>
      <c r="AG635" s="183" t="str">
        <f>IFERROR(__xludf.DUMMYFUNCTION("QUERY('Volunteer Survey'!H634)"),"")</f>
        <v/>
      </c>
      <c r="AH635" s="183" t="str">
        <f>IFERROR(__xludf.DUMMYFUNCTION("QUERY('Volunteer Survey'!I634)"),"")</f>
        <v/>
      </c>
      <c r="AI635" s="183" t="str">
        <f>IFERROR(__xludf.DUMMYFUNCTION("QUERY('Volunteer Survey'!J634)"),"")</f>
        <v/>
      </c>
      <c r="AJ635" s="183" t="str">
        <f>IFERROR(__xludf.DUMMYFUNCTION("QUERY('Volunteer Survey'!K634)"),"")</f>
        <v/>
      </c>
      <c r="AK635" s="183" t="str">
        <f>IFERROR(__xludf.DUMMYFUNCTION("QUERY('Volunteer Survey'!L634)"),"")</f>
        <v/>
      </c>
      <c r="AL635" s="183" t="str">
        <f>IFERROR(__xludf.DUMMYFUNCTION("QUERY('Volunteer Survey'!M634)"),"")</f>
        <v/>
      </c>
      <c r="AM635" s="183" t="str">
        <f>IFERROR(__xludf.DUMMYFUNCTION("QUERY('Volunteer Survey'!N634)"),"")</f>
        <v/>
      </c>
      <c r="AN635" s="183" t="str">
        <f>IFERROR(__xludf.DUMMYFUNCTION("QUERY('Volunteer Survey'!O634)"),"")</f>
        <v/>
      </c>
      <c r="AO635" s="183" t="str">
        <f>IFERROR(__xludf.DUMMYFUNCTION("QUERY('Volunteer Survey'!P634)"),"")</f>
        <v/>
      </c>
    </row>
    <row r="636">
      <c r="A636" s="55"/>
      <c r="B636" s="55"/>
      <c r="C636" s="53"/>
      <c r="D636" s="55"/>
      <c r="E636" s="55"/>
      <c r="F636" s="55" t="b">
        <v>0</v>
      </c>
      <c r="G636" s="55"/>
      <c r="H636" s="53"/>
      <c r="I636" s="53"/>
      <c r="J636" s="55"/>
      <c r="K636" s="55"/>
      <c r="L636" s="55"/>
      <c r="M636" s="55"/>
      <c r="N636" s="55"/>
      <c r="O636" s="55" t="b">
        <v>0</v>
      </c>
      <c r="P636" s="55"/>
      <c r="Q636" s="55"/>
      <c r="R636" s="55"/>
      <c r="S636" s="55"/>
      <c r="T636" s="55"/>
      <c r="U636" s="64"/>
      <c r="V636" s="55"/>
      <c r="W636" s="64"/>
      <c r="X636" s="55"/>
      <c r="Y636" s="53"/>
      <c r="Z636" s="183" t="str">
        <f>IFERROR(__xludf.DUMMYFUNCTION("QUERY('Volunteer Survey'!A635)"),"")</f>
        <v/>
      </c>
      <c r="AA636" s="183" t="str">
        <f>IFERROR(__xludf.DUMMYFUNCTION("QUERY('Volunteer Survey'!B635)"),"")</f>
        <v/>
      </c>
      <c r="AB636" s="183" t="str">
        <f>IFERROR(__xludf.DUMMYFUNCTION("QUERY('Volunteer Survey'!C635)"),"")</f>
        <v/>
      </c>
      <c r="AC636" s="183" t="str">
        <f>IFERROR(__xludf.DUMMYFUNCTION("QUERY('Volunteer Survey'!D635)"),"")</f>
        <v/>
      </c>
      <c r="AD636" s="183" t="str">
        <f>IFERROR(__xludf.DUMMYFUNCTION("QUERY('Volunteer Survey'!E635)"),"")</f>
        <v/>
      </c>
      <c r="AE636" s="183" t="str">
        <f>IFERROR(__xludf.DUMMYFUNCTION("QUERY('Volunteer Survey'!F635)"),"")</f>
        <v/>
      </c>
      <c r="AF636" s="183" t="str">
        <f>IFERROR(__xludf.DUMMYFUNCTION("QUERY('Volunteer Survey'!G635)"),"")</f>
        <v/>
      </c>
      <c r="AG636" s="183" t="str">
        <f>IFERROR(__xludf.DUMMYFUNCTION("QUERY('Volunteer Survey'!H635)"),"")</f>
        <v/>
      </c>
      <c r="AH636" s="183" t="str">
        <f>IFERROR(__xludf.DUMMYFUNCTION("QUERY('Volunteer Survey'!I635)"),"")</f>
        <v/>
      </c>
      <c r="AI636" s="183" t="str">
        <f>IFERROR(__xludf.DUMMYFUNCTION("QUERY('Volunteer Survey'!J635)"),"")</f>
        <v/>
      </c>
      <c r="AJ636" s="183" t="str">
        <f>IFERROR(__xludf.DUMMYFUNCTION("QUERY('Volunteer Survey'!K635)"),"")</f>
        <v/>
      </c>
      <c r="AK636" s="183" t="str">
        <f>IFERROR(__xludf.DUMMYFUNCTION("QUERY('Volunteer Survey'!L635)"),"")</f>
        <v/>
      </c>
      <c r="AL636" s="183" t="str">
        <f>IFERROR(__xludf.DUMMYFUNCTION("QUERY('Volunteer Survey'!M635)"),"")</f>
        <v/>
      </c>
      <c r="AM636" s="183" t="str">
        <f>IFERROR(__xludf.DUMMYFUNCTION("QUERY('Volunteer Survey'!N635)"),"")</f>
        <v/>
      </c>
      <c r="AN636" s="183" t="str">
        <f>IFERROR(__xludf.DUMMYFUNCTION("QUERY('Volunteer Survey'!O635)"),"")</f>
        <v/>
      </c>
      <c r="AO636" s="183" t="str">
        <f>IFERROR(__xludf.DUMMYFUNCTION("QUERY('Volunteer Survey'!P635)"),"")</f>
        <v/>
      </c>
    </row>
    <row r="637">
      <c r="A637" s="55"/>
      <c r="B637" s="55"/>
      <c r="C637" s="53"/>
      <c r="D637" s="55"/>
      <c r="E637" s="55"/>
      <c r="F637" s="55" t="b">
        <v>0</v>
      </c>
      <c r="G637" s="55"/>
      <c r="H637" s="53"/>
      <c r="I637" s="53"/>
      <c r="J637" s="55"/>
      <c r="K637" s="55"/>
      <c r="L637" s="55"/>
      <c r="M637" s="55"/>
      <c r="N637" s="55"/>
      <c r="O637" s="55" t="b">
        <v>0</v>
      </c>
      <c r="P637" s="55"/>
      <c r="Q637" s="55"/>
      <c r="R637" s="55"/>
      <c r="S637" s="55"/>
      <c r="T637" s="55"/>
      <c r="U637" s="64"/>
      <c r="V637" s="55"/>
      <c r="W637" s="64"/>
      <c r="X637" s="55"/>
      <c r="Y637" s="53"/>
      <c r="Z637" s="183" t="str">
        <f>IFERROR(__xludf.DUMMYFUNCTION("QUERY('Volunteer Survey'!A636)"),"")</f>
        <v/>
      </c>
      <c r="AA637" s="183" t="str">
        <f>IFERROR(__xludf.DUMMYFUNCTION("QUERY('Volunteer Survey'!B636)"),"")</f>
        <v/>
      </c>
      <c r="AB637" s="183" t="str">
        <f>IFERROR(__xludf.DUMMYFUNCTION("QUERY('Volunteer Survey'!C636)"),"")</f>
        <v/>
      </c>
      <c r="AC637" s="183" t="str">
        <f>IFERROR(__xludf.DUMMYFUNCTION("QUERY('Volunteer Survey'!D636)"),"")</f>
        <v/>
      </c>
      <c r="AD637" s="183" t="str">
        <f>IFERROR(__xludf.DUMMYFUNCTION("QUERY('Volunteer Survey'!E636)"),"")</f>
        <v/>
      </c>
      <c r="AE637" s="183" t="str">
        <f>IFERROR(__xludf.DUMMYFUNCTION("QUERY('Volunteer Survey'!F636)"),"")</f>
        <v/>
      </c>
      <c r="AF637" s="183" t="str">
        <f>IFERROR(__xludf.DUMMYFUNCTION("QUERY('Volunteer Survey'!G636)"),"")</f>
        <v/>
      </c>
      <c r="AG637" s="183" t="str">
        <f>IFERROR(__xludf.DUMMYFUNCTION("QUERY('Volunteer Survey'!H636)"),"")</f>
        <v/>
      </c>
      <c r="AH637" s="183" t="str">
        <f>IFERROR(__xludf.DUMMYFUNCTION("QUERY('Volunteer Survey'!I636)"),"")</f>
        <v/>
      </c>
      <c r="AI637" s="183" t="str">
        <f>IFERROR(__xludf.DUMMYFUNCTION("QUERY('Volunteer Survey'!J636)"),"")</f>
        <v/>
      </c>
      <c r="AJ637" s="183" t="str">
        <f>IFERROR(__xludf.DUMMYFUNCTION("QUERY('Volunteer Survey'!K636)"),"")</f>
        <v/>
      </c>
      <c r="AK637" s="183" t="str">
        <f>IFERROR(__xludf.DUMMYFUNCTION("QUERY('Volunteer Survey'!L636)"),"")</f>
        <v/>
      </c>
      <c r="AL637" s="183" t="str">
        <f>IFERROR(__xludf.DUMMYFUNCTION("QUERY('Volunteer Survey'!M636)"),"")</f>
        <v/>
      </c>
      <c r="AM637" s="183" t="str">
        <f>IFERROR(__xludf.DUMMYFUNCTION("QUERY('Volunteer Survey'!N636)"),"")</f>
        <v/>
      </c>
      <c r="AN637" s="183" t="str">
        <f>IFERROR(__xludf.DUMMYFUNCTION("QUERY('Volunteer Survey'!O636)"),"")</f>
        <v/>
      </c>
      <c r="AO637" s="183" t="str">
        <f>IFERROR(__xludf.DUMMYFUNCTION("QUERY('Volunteer Survey'!P636)"),"")</f>
        <v/>
      </c>
    </row>
    <row r="638">
      <c r="A638" s="55"/>
      <c r="B638" s="55"/>
      <c r="C638" s="53"/>
      <c r="D638" s="55"/>
      <c r="E638" s="55"/>
      <c r="F638" s="55" t="b">
        <v>0</v>
      </c>
      <c r="G638" s="55"/>
      <c r="H638" s="53"/>
      <c r="I638" s="53"/>
      <c r="J638" s="55"/>
      <c r="K638" s="55"/>
      <c r="L638" s="55"/>
      <c r="M638" s="55"/>
      <c r="N638" s="55"/>
      <c r="O638" s="55" t="b">
        <v>0</v>
      </c>
      <c r="P638" s="55"/>
      <c r="Q638" s="55"/>
      <c r="R638" s="55"/>
      <c r="S638" s="55"/>
      <c r="T638" s="55"/>
      <c r="U638" s="64"/>
      <c r="V638" s="55"/>
      <c r="W638" s="64"/>
      <c r="X638" s="55"/>
      <c r="Y638" s="53"/>
      <c r="Z638" s="183" t="str">
        <f>IFERROR(__xludf.DUMMYFUNCTION("QUERY('Volunteer Survey'!A637)"),"")</f>
        <v/>
      </c>
      <c r="AA638" s="183" t="str">
        <f>IFERROR(__xludf.DUMMYFUNCTION("QUERY('Volunteer Survey'!B637)"),"")</f>
        <v/>
      </c>
      <c r="AB638" s="183" t="str">
        <f>IFERROR(__xludf.DUMMYFUNCTION("QUERY('Volunteer Survey'!C637)"),"")</f>
        <v/>
      </c>
      <c r="AC638" s="183" t="str">
        <f>IFERROR(__xludf.DUMMYFUNCTION("QUERY('Volunteer Survey'!D637)"),"")</f>
        <v/>
      </c>
      <c r="AD638" s="183" t="str">
        <f>IFERROR(__xludf.DUMMYFUNCTION("QUERY('Volunteer Survey'!E637)"),"")</f>
        <v/>
      </c>
      <c r="AE638" s="183" t="str">
        <f>IFERROR(__xludf.DUMMYFUNCTION("QUERY('Volunteer Survey'!F637)"),"")</f>
        <v/>
      </c>
      <c r="AF638" s="183" t="str">
        <f>IFERROR(__xludf.DUMMYFUNCTION("QUERY('Volunteer Survey'!G637)"),"")</f>
        <v/>
      </c>
      <c r="AG638" s="183" t="str">
        <f>IFERROR(__xludf.DUMMYFUNCTION("QUERY('Volunteer Survey'!H637)"),"")</f>
        <v/>
      </c>
      <c r="AH638" s="183" t="str">
        <f>IFERROR(__xludf.DUMMYFUNCTION("QUERY('Volunteer Survey'!I637)"),"")</f>
        <v/>
      </c>
      <c r="AI638" s="183" t="str">
        <f>IFERROR(__xludf.DUMMYFUNCTION("QUERY('Volunteer Survey'!J637)"),"")</f>
        <v/>
      </c>
      <c r="AJ638" s="183" t="str">
        <f>IFERROR(__xludf.DUMMYFUNCTION("QUERY('Volunteer Survey'!K637)"),"")</f>
        <v/>
      </c>
      <c r="AK638" s="183" t="str">
        <f>IFERROR(__xludf.DUMMYFUNCTION("QUERY('Volunteer Survey'!L637)"),"")</f>
        <v/>
      </c>
      <c r="AL638" s="183" t="str">
        <f>IFERROR(__xludf.DUMMYFUNCTION("QUERY('Volunteer Survey'!M637)"),"")</f>
        <v/>
      </c>
      <c r="AM638" s="183" t="str">
        <f>IFERROR(__xludf.DUMMYFUNCTION("QUERY('Volunteer Survey'!N637)"),"")</f>
        <v/>
      </c>
      <c r="AN638" s="183" t="str">
        <f>IFERROR(__xludf.DUMMYFUNCTION("QUERY('Volunteer Survey'!O637)"),"")</f>
        <v/>
      </c>
      <c r="AO638" s="183" t="str">
        <f>IFERROR(__xludf.DUMMYFUNCTION("QUERY('Volunteer Survey'!P637)"),"")</f>
        <v/>
      </c>
    </row>
    <row r="639">
      <c r="A639" s="55"/>
      <c r="B639" s="55"/>
      <c r="C639" s="53"/>
      <c r="D639" s="55"/>
      <c r="E639" s="55"/>
      <c r="F639" s="55" t="b">
        <v>0</v>
      </c>
      <c r="G639" s="55"/>
      <c r="H639" s="53"/>
      <c r="I639" s="53"/>
      <c r="J639" s="55"/>
      <c r="K639" s="55"/>
      <c r="L639" s="55"/>
      <c r="M639" s="55"/>
      <c r="N639" s="55"/>
      <c r="O639" s="55" t="b">
        <v>0</v>
      </c>
      <c r="P639" s="55"/>
      <c r="Q639" s="55"/>
      <c r="R639" s="55"/>
      <c r="S639" s="55"/>
      <c r="T639" s="55"/>
      <c r="U639" s="64"/>
      <c r="V639" s="55"/>
      <c r="W639" s="64"/>
      <c r="X639" s="55"/>
      <c r="Y639" s="53"/>
      <c r="Z639" s="183" t="str">
        <f>IFERROR(__xludf.DUMMYFUNCTION("QUERY('Volunteer Survey'!A638)"),"")</f>
        <v/>
      </c>
      <c r="AA639" s="183" t="str">
        <f>IFERROR(__xludf.DUMMYFUNCTION("QUERY('Volunteer Survey'!B638)"),"")</f>
        <v/>
      </c>
      <c r="AB639" s="183" t="str">
        <f>IFERROR(__xludf.DUMMYFUNCTION("QUERY('Volunteer Survey'!C638)"),"")</f>
        <v/>
      </c>
      <c r="AC639" s="183" t="str">
        <f>IFERROR(__xludf.DUMMYFUNCTION("QUERY('Volunteer Survey'!D638)"),"")</f>
        <v/>
      </c>
      <c r="AD639" s="183" t="str">
        <f>IFERROR(__xludf.DUMMYFUNCTION("QUERY('Volunteer Survey'!E638)"),"")</f>
        <v/>
      </c>
      <c r="AE639" s="183" t="str">
        <f>IFERROR(__xludf.DUMMYFUNCTION("QUERY('Volunteer Survey'!F638)"),"")</f>
        <v/>
      </c>
      <c r="AF639" s="183" t="str">
        <f>IFERROR(__xludf.DUMMYFUNCTION("QUERY('Volunteer Survey'!G638)"),"")</f>
        <v/>
      </c>
      <c r="AG639" s="183" t="str">
        <f>IFERROR(__xludf.DUMMYFUNCTION("QUERY('Volunteer Survey'!H638)"),"")</f>
        <v/>
      </c>
      <c r="AH639" s="183" t="str">
        <f>IFERROR(__xludf.DUMMYFUNCTION("QUERY('Volunteer Survey'!I638)"),"")</f>
        <v/>
      </c>
      <c r="AI639" s="183" t="str">
        <f>IFERROR(__xludf.DUMMYFUNCTION("QUERY('Volunteer Survey'!J638)"),"")</f>
        <v/>
      </c>
      <c r="AJ639" s="183" t="str">
        <f>IFERROR(__xludf.DUMMYFUNCTION("QUERY('Volunteer Survey'!K638)"),"")</f>
        <v/>
      </c>
      <c r="AK639" s="183" t="str">
        <f>IFERROR(__xludf.DUMMYFUNCTION("QUERY('Volunteer Survey'!L638)"),"")</f>
        <v/>
      </c>
      <c r="AL639" s="183" t="str">
        <f>IFERROR(__xludf.DUMMYFUNCTION("QUERY('Volunteer Survey'!M638)"),"")</f>
        <v/>
      </c>
      <c r="AM639" s="183" t="str">
        <f>IFERROR(__xludf.DUMMYFUNCTION("QUERY('Volunteer Survey'!N638)"),"")</f>
        <v/>
      </c>
      <c r="AN639" s="183" t="str">
        <f>IFERROR(__xludf.DUMMYFUNCTION("QUERY('Volunteer Survey'!O638)"),"")</f>
        <v/>
      </c>
      <c r="AO639" s="183" t="str">
        <f>IFERROR(__xludf.DUMMYFUNCTION("QUERY('Volunteer Survey'!P638)"),"")</f>
        <v/>
      </c>
    </row>
    <row r="640">
      <c r="A640" s="55"/>
      <c r="B640" s="55"/>
      <c r="C640" s="53"/>
      <c r="D640" s="55"/>
      <c r="E640" s="55"/>
      <c r="F640" s="55" t="b">
        <v>0</v>
      </c>
      <c r="G640" s="55"/>
      <c r="H640" s="53"/>
      <c r="I640" s="53"/>
      <c r="J640" s="55"/>
      <c r="K640" s="55"/>
      <c r="L640" s="55"/>
      <c r="M640" s="55"/>
      <c r="N640" s="55"/>
      <c r="O640" s="55" t="b">
        <v>0</v>
      </c>
      <c r="P640" s="55"/>
      <c r="Q640" s="55"/>
      <c r="R640" s="55"/>
      <c r="S640" s="55"/>
      <c r="T640" s="55"/>
      <c r="U640" s="64"/>
      <c r="V640" s="55"/>
      <c r="W640" s="64"/>
      <c r="X640" s="55"/>
      <c r="Y640" s="53"/>
      <c r="Z640" s="183" t="str">
        <f>IFERROR(__xludf.DUMMYFUNCTION("QUERY('Volunteer Survey'!A639)"),"")</f>
        <v/>
      </c>
      <c r="AA640" s="183" t="str">
        <f>IFERROR(__xludf.DUMMYFUNCTION("QUERY('Volunteer Survey'!B639)"),"")</f>
        <v/>
      </c>
      <c r="AB640" s="183" t="str">
        <f>IFERROR(__xludf.DUMMYFUNCTION("QUERY('Volunteer Survey'!C639)"),"")</f>
        <v/>
      </c>
      <c r="AC640" s="183" t="str">
        <f>IFERROR(__xludf.DUMMYFUNCTION("QUERY('Volunteer Survey'!D639)"),"")</f>
        <v/>
      </c>
      <c r="AD640" s="183" t="str">
        <f>IFERROR(__xludf.DUMMYFUNCTION("QUERY('Volunteer Survey'!E639)"),"")</f>
        <v/>
      </c>
      <c r="AE640" s="183" t="str">
        <f>IFERROR(__xludf.DUMMYFUNCTION("QUERY('Volunteer Survey'!F639)"),"")</f>
        <v/>
      </c>
      <c r="AF640" s="183" t="str">
        <f>IFERROR(__xludf.DUMMYFUNCTION("QUERY('Volunteer Survey'!G639)"),"")</f>
        <v/>
      </c>
      <c r="AG640" s="183" t="str">
        <f>IFERROR(__xludf.DUMMYFUNCTION("QUERY('Volunteer Survey'!H639)"),"")</f>
        <v/>
      </c>
      <c r="AH640" s="183" t="str">
        <f>IFERROR(__xludf.DUMMYFUNCTION("QUERY('Volunteer Survey'!I639)"),"")</f>
        <v/>
      </c>
      <c r="AI640" s="183" t="str">
        <f>IFERROR(__xludf.DUMMYFUNCTION("QUERY('Volunteer Survey'!J639)"),"")</f>
        <v/>
      </c>
      <c r="AJ640" s="183" t="str">
        <f>IFERROR(__xludf.DUMMYFUNCTION("QUERY('Volunteer Survey'!K639)"),"")</f>
        <v/>
      </c>
      <c r="AK640" s="183" t="str">
        <f>IFERROR(__xludf.DUMMYFUNCTION("QUERY('Volunteer Survey'!L639)"),"")</f>
        <v/>
      </c>
      <c r="AL640" s="183" t="str">
        <f>IFERROR(__xludf.DUMMYFUNCTION("QUERY('Volunteer Survey'!M639)"),"")</f>
        <v/>
      </c>
      <c r="AM640" s="183" t="str">
        <f>IFERROR(__xludf.DUMMYFUNCTION("QUERY('Volunteer Survey'!N639)"),"")</f>
        <v/>
      </c>
      <c r="AN640" s="183" t="str">
        <f>IFERROR(__xludf.DUMMYFUNCTION("QUERY('Volunteer Survey'!O639)"),"")</f>
        <v/>
      </c>
      <c r="AO640" s="183" t="str">
        <f>IFERROR(__xludf.DUMMYFUNCTION("QUERY('Volunteer Survey'!P639)"),"")</f>
        <v/>
      </c>
    </row>
    <row r="641">
      <c r="A641" s="55"/>
      <c r="B641" s="55"/>
      <c r="C641" s="53"/>
      <c r="D641" s="55"/>
      <c r="E641" s="55"/>
      <c r="F641" s="55" t="b">
        <v>0</v>
      </c>
      <c r="G641" s="55"/>
      <c r="H641" s="53"/>
      <c r="I641" s="53"/>
      <c r="J641" s="55"/>
      <c r="K641" s="55"/>
      <c r="L641" s="55"/>
      <c r="M641" s="55"/>
      <c r="N641" s="55"/>
      <c r="O641" s="55" t="b">
        <v>0</v>
      </c>
      <c r="P641" s="55"/>
      <c r="Q641" s="55"/>
      <c r="R641" s="55"/>
      <c r="S641" s="55"/>
      <c r="T641" s="55"/>
      <c r="U641" s="64"/>
      <c r="V641" s="55"/>
      <c r="W641" s="64"/>
      <c r="X641" s="55"/>
      <c r="Y641" s="53"/>
      <c r="Z641" s="183" t="str">
        <f>IFERROR(__xludf.DUMMYFUNCTION("QUERY('Volunteer Survey'!A640)"),"")</f>
        <v/>
      </c>
      <c r="AA641" s="183" t="str">
        <f>IFERROR(__xludf.DUMMYFUNCTION("QUERY('Volunteer Survey'!B640)"),"")</f>
        <v/>
      </c>
      <c r="AB641" s="183" t="str">
        <f>IFERROR(__xludf.DUMMYFUNCTION("QUERY('Volunteer Survey'!C640)"),"")</f>
        <v/>
      </c>
      <c r="AC641" s="183" t="str">
        <f>IFERROR(__xludf.DUMMYFUNCTION("QUERY('Volunteer Survey'!D640)"),"")</f>
        <v/>
      </c>
      <c r="AD641" s="183" t="str">
        <f>IFERROR(__xludf.DUMMYFUNCTION("QUERY('Volunteer Survey'!E640)"),"")</f>
        <v/>
      </c>
      <c r="AE641" s="183" t="str">
        <f>IFERROR(__xludf.DUMMYFUNCTION("QUERY('Volunteer Survey'!F640)"),"")</f>
        <v/>
      </c>
      <c r="AF641" s="183" t="str">
        <f>IFERROR(__xludf.DUMMYFUNCTION("QUERY('Volunteer Survey'!G640)"),"")</f>
        <v/>
      </c>
      <c r="AG641" s="183" t="str">
        <f>IFERROR(__xludf.DUMMYFUNCTION("QUERY('Volunteer Survey'!H640)"),"")</f>
        <v/>
      </c>
      <c r="AH641" s="183" t="str">
        <f>IFERROR(__xludf.DUMMYFUNCTION("QUERY('Volunteer Survey'!I640)"),"")</f>
        <v/>
      </c>
      <c r="AI641" s="183" t="str">
        <f>IFERROR(__xludf.DUMMYFUNCTION("QUERY('Volunteer Survey'!J640)"),"")</f>
        <v/>
      </c>
      <c r="AJ641" s="183" t="str">
        <f>IFERROR(__xludf.DUMMYFUNCTION("QUERY('Volunteer Survey'!K640)"),"")</f>
        <v/>
      </c>
      <c r="AK641" s="183" t="str">
        <f>IFERROR(__xludf.DUMMYFUNCTION("QUERY('Volunteer Survey'!L640)"),"")</f>
        <v/>
      </c>
      <c r="AL641" s="183" t="str">
        <f>IFERROR(__xludf.DUMMYFUNCTION("QUERY('Volunteer Survey'!M640)"),"")</f>
        <v/>
      </c>
      <c r="AM641" s="183" t="str">
        <f>IFERROR(__xludf.DUMMYFUNCTION("QUERY('Volunteer Survey'!N640)"),"")</f>
        <v/>
      </c>
      <c r="AN641" s="183" t="str">
        <f>IFERROR(__xludf.DUMMYFUNCTION("QUERY('Volunteer Survey'!O640)"),"")</f>
        <v/>
      </c>
      <c r="AO641" s="183" t="str">
        <f>IFERROR(__xludf.DUMMYFUNCTION("QUERY('Volunteer Survey'!P640)"),"")</f>
        <v/>
      </c>
    </row>
    <row r="642">
      <c r="A642" s="55"/>
      <c r="B642" s="55"/>
      <c r="C642" s="53"/>
      <c r="D642" s="55"/>
      <c r="E642" s="55"/>
      <c r="F642" s="55" t="b">
        <v>0</v>
      </c>
      <c r="G642" s="55"/>
      <c r="H642" s="53"/>
      <c r="I642" s="53"/>
      <c r="J642" s="55"/>
      <c r="K642" s="55"/>
      <c r="L642" s="55"/>
      <c r="M642" s="55"/>
      <c r="N642" s="55"/>
      <c r="O642" s="55" t="b">
        <v>0</v>
      </c>
      <c r="P642" s="55"/>
      <c r="Q642" s="55"/>
      <c r="R642" s="55"/>
      <c r="S642" s="55"/>
      <c r="T642" s="55"/>
      <c r="U642" s="64"/>
      <c r="V642" s="55"/>
      <c r="W642" s="64"/>
      <c r="X642" s="55"/>
      <c r="Y642" s="53"/>
      <c r="Z642" s="183" t="str">
        <f>IFERROR(__xludf.DUMMYFUNCTION("QUERY('Volunteer Survey'!A641)"),"")</f>
        <v/>
      </c>
      <c r="AA642" s="183" t="str">
        <f>IFERROR(__xludf.DUMMYFUNCTION("QUERY('Volunteer Survey'!B641)"),"")</f>
        <v/>
      </c>
      <c r="AB642" s="183" t="str">
        <f>IFERROR(__xludf.DUMMYFUNCTION("QUERY('Volunteer Survey'!C641)"),"")</f>
        <v/>
      </c>
      <c r="AC642" s="183" t="str">
        <f>IFERROR(__xludf.DUMMYFUNCTION("QUERY('Volunteer Survey'!D641)"),"")</f>
        <v/>
      </c>
      <c r="AD642" s="183" t="str">
        <f>IFERROR(__xludf.DUMMYFUNCTION("QUERY('Volunteer Survey'!E641)"),"")</f>
        <v/>
      </c>
      <c r="AE642" s="183" t="str">
        <f>IFERROR(__xludf.DUMMYFUNCTION("QUERY('Volunteer Survey'!F641)"),"")</f>
        <v/>
      </c>
      <c r="AF642" s="183" t="str">
        <f>IFERROR(__xludf.DUMMYFUNCTION("QUERY('Volunteer Survey'!G641)"),"")</f>
        <v/>
      </c>
      <c r="AG642" s="183" t="str">
        <f>IFERROR(__xludf.DUMMYFUNCTION("QUERY('Volunteer Survey'!H641)"),"")</f>
        <v/>
      </c>
      <c r="AH642" s="183" t="str">
        <f>IFERROR(__xludf.DUMMYFUNCTION("QUERY('Volunteer Survey'!I641)"),"")</f>
        <v/>
      </c>
      <c r="AI642" s="183" t="str">
        <f>IFERROR(__xludf.DUMMYFUNCTION("QUERY('Volunteer Survey'!J641)"),"")</f>
        <v/>
      </c>
      <c r="AJ642" s="183" t="str">
        <f>IFERROR(__xludf.DUMMYFUNCTION("QUERY('Volunteer Survey'!K641)"),"")</f>
        <v/>
      </c>
      <c r="AK642" s="183" t="str">
        <f>IFERROR(__xludf.DUMMYFUNCTION("QUERY('Volunteer Survey'!L641)"),"")</f>
        <v/>
      </c>
      <c r="AL642" s="183" t="str">
        <f>IFERROR(__xludf.DUMMYFUNCTION("QUERY('Volunteer Survey'!M641)"),"")</f>
        <v/>
      </c>
      <c r="AM642" s="183" t="str">
        <f>IFERROR(__xludf.DUMMYFUNCTION("QUERY('Volunteer Survey'!N641)"),"")</f>
        <v/>
      </c>
      <c r="AN642" s="183" t="str">
        <f>IFERROR(__xludf.DUMMYFUNCTION("QUERY('Volunteer Survey'!O641)"),"")</f>
        <v/>
      </c>
      <c r="AO642" s="183" t="str">
        <f>IFERROR(__xludf.DUMMYFUNCTION("QUERY('Volunteer Survey'!P641)"),"")</f>
        <v/>
      </c>
    </row>
    <row r="643">
      <c r="A643" s="55"/>
      <c r="B643" s="55"/>
      <c r="C643" s="53"/>
      <c r="D643" s="55"/>
      <c r="E643" s="55"/>
      <c r="F643" s="55" t="b">
        <v>0</v>
      </c>
      <c r="G643" s="55"/>
      <c r="H643" s="53"/>
      <c r="I643" s="53"/>
      <c r="J643" s="55"/>
      <c r="K643" s="55"/>
      <c r="L643" s="55"/>
      <c r="M643" s="55"/>
      <c r="N643" s="55"/>
      <c r="O643" s="55" t="b">
        <v>0</v>
      </c>
      <c r="P643" s="55"/>
      <c r="Q643" s="55"/>
      <c r="R643" s="55"/>
      <c r="S643" s="55"/>
      <c r="T643" s="55"/>
      <c r="U643" s="64"/>
      <c r="V643" s="55"/>
      <c r="W643" s="64"/>
      <c r="X643" s="55"/>
      <c r="Y643" s="53"/>
      <c r="Z643" s="183" t="str">
        <f>IFERROR(__xludf.DUMMYFUNCTION("QUERY('Volunteer Survey'!A642)"),"")</f>
        <v/>
      </c>
      <c r="AA643" s="183" t="str">
        <f>IFERROR(__xludf.DUMMYFUNCTION("QUERY('Volunteer Survey'!B642)"),"")</f>
        <v/>
      </c>
      <c r="AB643" s="183" t="str">
        <f>IFERROR(__xludf.DUMMYFUNCTION("QUERY('Volunteer Survey'!C642)"),"")</f>
        <v/>
      </c>
      <c r="AC643" s="183" t="str">
        <f>IFERROR(__xludf.DUMMYFUNCTION("QUERY('Volunteer Survey'!D642)"),"")</f>
        <v/>
      </c>
      <c r="AD643" s="183" t="str">
        <f>IFERROR(__xludf.DUMMYFUNCTION("QUERY('Volunteer Survey'!E642)"),"")</f>
        <v/>
      </c>
      <c r="AE643" s="183" t="str">
        <f>IFERROR(__xludf.DUMMYFUNCTION("QUERY('Volunteer Survey'!F642)"),"")</f>
        <v/>
      </c>
      <c r="AF643" s="183" t="str">
        <f>IFERROR(__xludf.DUMMYFUNCTION("QUERY('Volunteer Survey'!G642)"),"")</f>
        <v/>
      </c>
      <c r="AG643" s="183" t="str">
        <f>IFERROR(__xludf.DUMMYFUNCTION("QUERY('Volunteer Survey'!H642)"),"")</f>
        <v/>
      </c>
      <c r="AH643" s="183" t="str">
        <f>IFERROR(__xludf.DUMMYFUNCTION("QUERY('Volunteer Survey'!I642)"),"")</f>
        <v/>
      </c>
      <c r="AI643" s="183" t="str">
        <f>IFERROR(__xludf.DUMMYFUNCTION("QUERY('Volunteer Survey'!J642)"),"")</f>
        <v/>
      </c>
      <c r="AJ643" s="183" t="str">
        <f>IFERROR(__xludf.DUMMYFUNCTION("QUERY('Volunteer Survey'!K642)"),"")</f>
        <v/>
      </c>
      <c r="AK643" s="183" t="str">
        <f>IFERROR(__xludf.DUMMYFUNCTION("QUERY('Volunteer Survey'!L642)"),"")</f>
        <v/>
      </c>
      <c r="AL643" s="183" t="str">
        <f>IFERROR(__xludf.DUMMYFUNCTION("QUERY('Volunteer Survey'!M642)"),"")</f>
        <v/>
      </c>
      <c r="AM643" s="183" t="str">
        <f>IFERROR(__xludf.DUMMYFUNCTION("QUERY('Volunteer Survey'!N642)"),"")</f>
        <v/>
      </c>
      <c r="AN643" s="183" t="str">
        <f>IFERROR(__xludf.DUMMYFUNCTION("QUERY('Volunteer Survey'!O642)"),"")</f>
        <v/>
      </c>
      <c r="AO643" s="183" t="str">
        <f>IFERROR(__xludf.DUMMYFUNCTION("QUERY('Volunteer Survey'!P642)"),"")</f>
        <v/>
      </c>
    </row>
    <row r="644">
      <c r="A644" s="55"/>
      <c r="B644" s="55"/>
      <c r="C644" s="53"/>
      <c r="D644" s="55"/>
      <c r="E644" s="55"/>
      <c r="F644" s="55" t="b">
        <v>0</v>
      </c>
      <c r="G644" s="55"/>
      <c r="H644" s="53"/>
      <c r="I644" s="53"/>
      <c r="J644" s="55"/>
      <c r="K644" s="55"/>
      <c r="L644" s="55"/>
      <c r="M644" s="55"/>
      <c r="N644" s="55"/>
      <c r="O644" s="55" t="b">
        <v>0</v>
      </c>
      <c r="P644" s="55"/>
      <c r="Q644" s="55"/>
      <c r="R644" s="55"/>
      <c r="S644" s="55"/>
      <c r="T644" s="55"/>
      <c r="U644" s="64"/>
      <c r="V644" s="55"/>
      <c r="W644" s="64"/>
      <c r="X644" s="55"/>
      <c r="Y644" s="53"/>
      <c r="Z644" s="183" t="str">
        <f>IFERROR(__xludf.DUMMYFUNCTION("QUERY('Volunteer Survey'!A643)"),"")</f>
        <v/>
      </c>
      <c r="AA644" s="183" t="str">
        <f>IFERROR(__xludf.DUMMYFUNCTION("QUERY('Volunteer Survey'!B643)"),"")</f>
        <v/>
      </c>
      <c r="AB644" s="183" t="str">
        <f>IFERROR(__xludf.DUMMYFUNCTION("QUERY('Volunteer Survey'!C643)"),"")</f>
        <v/>
      </c>
      <c r="AC644" s="183" t="str">
        <f>IFERROR(__xludf.DUMMYFUNCTION("QUERY('Volunteer Survey'!D643)"),"")</f>
        <v/>
      </c>
      <c r="AD644" s="183" t="str">
        <f>IFERROR(__xludf.DUMMYFUNCTION("QUERY('Volunteer Survey'!E643)"),"")</f>
        <v/>
      </c>
      <c r="AE644" s="183" t="str">
        <f>IFERROR(__xludf.DUMMYFUNCTION("QUERY('Volunteer Survey'!F643)"),"")</f>
        <v/>
      </c>
      <c r="AF644" s="183" t="str">
        <f>IFERROR(__xludf.DUMMYFUNCTION("QUERY('Volunteer Survey'!G643)"),"")</f>
        <v/>
      </c>
      <c r="AG644" s="183" t="str">
        <f>IFERROR(__xludf.DUMMYFUNCTION("QUERY('Volunteer Survey'!H643)"),"")</f>
        <v/>
      </c>
      <c r="AH644" s="183" t="str">
        <f>IFERROR(__xludf.DUMMYFUNCTION("QUERY('Volunteer Survey'!I643)"),"")</f>
        <v/>
      </c>
      <c r="AI644" s="183" t="str">
        <f>IFERROR(__xludf.DUMMYFUNCTION("QUERY('Volunteer Survey'!J643)"),"")</f>
        <v/>
      </c>
      <c r="AJ644" s="183" t="str">
        <f>IFERROR(__xludf.DUMMYFUNCTION("QUERY('Volunteer Survey'!K643)"),"")</f>
        <v/>
      </c>
      <c r="AK644" s="183" t="str">
        <f>IFERROR(__xludf.DUMMYFUNCTION("QUERY('Volunteer Survey'!L643)"),"")</f>
        <v/>
      </c>
      <c r="AL644" s="183" t="str">
        <f>IFERROR(__xludf.DUMMYFUNCTION("QUERY('Volunteer Survey'!M643)"),"")</f>
        <v/>
      </c>
      <c r="AM644" s="183" t="str">
        <f>IFERROR(__xludf.DUMMYFUNCTION("QUERY('Volunteer Survey'!N643)"),"")</f>
        <v/>
      </c>
      <c r="AN644" s="183" t="str">
        <f>IFERROR(__xludf.DUMMYFUNCTION("QUERY('Volunteer Survey'!O643)"),"")</f>
        <v/>
      </c>
      <c r="AO644" s="183" t="str">
        <f>IFERROR(__xludf.DUMMYFUNCTION("QUERY('Volunteer Survey'!P643)"),"")</f>
        <v/>
      </c>
    </row>
    <row r="645">
      <c r="A645" s="55"/>
      <c r="B645" s="55"/>
      <c r="C645" s="53"/>
      <c r="D645" s="55"/>
      <c r="E645" s="55"/>
      <c r="F645" s="55" t="b">
        <v>0</v>
      </c>
      <c r="G645" s="55"/>
      <c r="H645" s="53"/>
      <c r="I645" s="53"/>
      <c r="J645" s="55"/>
      <c r="K645" s="55"/>
      <c r="L645" s="55"/>
      <c r="M645" s="55"/>
      <c r="N645" s="55"/>
      <c r="O645" s="55" t="b">
        <v>0</v>
      </c>
      <c r="P645" s="55"/>
      <c r="Q645" s="55"/>
      <c r="R645" s="55"/>
      <c r="S645" s="55"/>
      <c r="T645" s="55"/>
      <c r="U645" s="64"/>
      <c r="V645" s="55"/>
      <c r="W645" s="64"/>
      <c r="X645" s="55"/>
      <c r="Y645" s="53"/>
      <c r="Z645" s="183" t="str">
        <f>IFERROR(__xludf.DUMMYFUNCTION("QUERY('Volunteer Survey'!A644)"),"")</f>
        <v/>
      </c>
      <c r="AA645" s="183" t="str">
        <f>IFERROR(__xludf.DUMMYFUNCTION("QUERY('Volunteer Survey'!B644)"),"")</f>
        <v/>
      </c>
      <c r="AB645" s="183" t="str">
        <f>IFERROR(__xludf.DUMMYFUNCTION("QUERY('Volunteer Survey'!C644)"),"")</f>
        <v/>
      </c>
      <c r="AC645" s="183" t="str">
        <f>IFERROR(__xludf.DUMMYFUNCTION("QUERY('Volunteer Survey'!D644)"),"")</f>
        <v/>
      </c>
      <c r="AD645" s="183" t="str">
        <f>IFERROR(__xludf.DUMMYFUNCTION("QUERY('Volunteer Survey'!E644)"),"")</f>
        <v/>
      </c>
      <c r="AE645" s="183" t="str">
        <f>IFERROR(__xludf.DUMMYFUNCTION("QUERY('Volunteer Survey'!F644)"),"")</f>
        <v/>
      </c>
      <c r="AF645" s="183" t="str">
        <f>IFERROR(__xludf.DUMMYFUNCTION("QUERY('Volunteer Survey'!G644)"),"")</f>
        <v/>
      </c>
      <c r="AG645" s="183" t="str">
        <f>IFERROR(__xludf.DUMMYFUNCTION("QUERY('Volunteer Survey'!H644)"),"")</f>
        <v/>
      </c>
      <c r="AH645" s="183" t="str">
        <f>IFERROR(__xludf.DUMMYFUNCTION("QUERY('Volunteer Survey'!I644)"),"")</f>
        <v/>
      </c>
      <c r="AI645" s="183" t="str">
        <f>IFERROR(__xludf.DUMMYFUNCTION("QUERY('Volunteer Survey'!J644)"),"")</f>
        <v/>
      </c>
      <c r="AJ645" s="183" t="str">
        <f>IFERROR(__xludf.DUMMYFUNCTION("QUERY('Volunteer Survey'!K644)"),"")</f>
        <v/>
      </c>
      <c r="AK645" s="183" t="str">
        <f>IFERROR(__xludf.DUMMYFUNCTION("QUERY('Volunteer Survey'!L644)"),"")</f>
        <v/>
      </c>
      <c r="AL645" s="183" t="str">
        <f>IFERROR(__xludf.DUMMYFUNCTION("QUERY('Volunteer Survey'!M644)"),"")</f>
        <v/>
      </c>
      <c r="AM645" s="183" t="str">
        <f>IFERROR(__xludf.DUMMYFUNCTION("QUERY('Volunteer Survey'!N644)"),"")</f>
        <v/>
      </c>
      <c r="AN645" s="183" t="str">
        <f>IFERROR(__xludf.DUMMYFUNCTION("QUERY('Volunteer Survey'!O644)"),"")</f>
        <v/>
      </c>
      <c r="AO645" s="183" t="str">
        <f>IFERROR(__xludf.DUMMYFUNCTION("QUERY('Volunteer Survey'!P644)"),"")</f>
        <v/>
      </c>
    </row>
    <row r="646">
      <c r="A646" s="55"/>
      <c r="B646" s="55"/>
      <c r="C646" s="53"/>
      <c r="D646" s="55"/>
      <c r="E646" s="55"/>
      <c r="F646" s="55" t="b">
        <v>0</v>
      </c>
      <c r="G646" s="55"/>
      <c r="H646" s="53"/>
      <c r="I646" s="53"/>
      <c r="J646" s="55"/>
      <c r="K646" s="55"/>
      <c r="L646" s="55"/>
      <c r="M646" s="55"/>
      <c r="N646" s="55"/>
      <c r="O646" s="55" t="b">
        <v>0</v>
      </c>
      <c r="P646" s="55"/>
      <c r="Q646" s="55"/>
      <c r="R646" s="55"/>
      <c r="S646" s="55"/>
      <c r="T646" s="55"/>
      <c r="U646" s="64"/>
      <c r="V646" s="55"/>
      <c r="W646" s="64"/>
      <c r="X646" s="55"/>
      <c r="Y646" s="53"/>
      <c r="Z646" s="183" t="str">
        <f>IFERROR(__xludf.DUMMYFUNCTION("QUERY('Volunteer Survey'!A645)"),"")</f>
        <v/>
      </c>
      <c r="AA646" s="183" t="str">
        <f>IFERROR(__xludf.DUMMYFUNCTION("QUERY('Volunteer Survey'!B645)"),"")</f>
        <v/>
      </c>
      <c r="AB646" s="183" t="str">
        <f>IFERROR(__xludf.DUMMYFUNCTION("QUERY('Volunteer Survey'!C645)"),"")</f>
        <v/>
      </c>
      <c r="AC646" s="183" t="str">
        <f>IFERROR(__xludf.DUMMYFUNCTION("QUERY('Volunteer Survey'!D645)"),"")</f>
        <v/>
      </c>
      <c r="AD646" s="183" t="str">
        <f>IFERROR(__xludf.DUMMYFUNCTION("QUERY('Volunteer Survey'!E645)"),"")</f>
        <v/>
      </c>
      <c r="AE646" s="183" t="str">
        <f>IFERROR(__xludf.DUMMYFUNCTION("QUERY('Volunteer Survey'!F645)"),"")</f>
        <v/>
      </c>
      <c r="AF646" s="183" t="str">
        <f>IFERROR(__xludf.DUMMYFUNCTION("QUERY('Volunteer Survey'!G645)"),"")</f>
        <v/>
      </c>
      <c r="AG646" s="183" t="str">
        <f>IFERROR(__xludf.DUMMYFUNCTION("QUERY('Volunteer Survey'!H645)"),"")</f>
        <v/>
      </c>
      <c r="AH646" s="183" t="str">
        <f>IFERROR(__xludf.DUMMYFUNCTION("QUERY('Volunteer Survey'!I645)"),"")</f>
        <v/>
      </c>
      <c r="AI646" s="183" t="str">
        <f>IFERROR(__xludf.DUMMYFUNCTION("QUERY('Volunteer Survey'!J645)"),"")</f>
        <v/>
      </c>
      <c r="AJ646" s="183" t="str">
        <f>IFERROR(__xludf.DUMMYFUNCTION("QUERY('Volunteer Survey'!K645)"),"")</f>
        <v/>
      </c>
      <c r="AK646" s="183" t="str">
        <f>IFERROR(__xludf.DUMMYFUNCTION("QUERY('Volunteer Survey'!L645)"),"")</f>
        <v/>
      </c>
      <c r="AL646" s="183" t="str">
        <f>IFERROR(__xludf.DUMMYFUNCTION("QUERY('Volunteer Survey'!M645)"),"")</f>
        <v/>
      </c>
      <c r="AM646" s="183" t="str">
        <f>IFERROR(__xludf.DUMMYFUNCTION("QUERY('Volunteer Survey'!N645)"),"")</f>
        <v/>
      </c>
      <c r="AN646" s="183" t="str">
        <f>IFERROR(__xludf.DUMMYFUNCTION("QUERY('Volunteer Survey'!O645)"),"")</f>
        <v/>
      </c>
      <c r="AO646" s="183" t="str">
        <f>IFERROR(__xludf.DUMMYFUNCTION("QUERY('Volunteer Survey'!P645)"),"")</f>
        <v/>
      </c>
    </row>
    <row r="647">
      <c r="A647" s="55"/>
      <c r="B647" s="55"/>
      <c r="C647" s="53"/>
      <c r="D647" s="55"/>
      <c r="E647" s="55"/>
      <c r="F647" s="55" t="b">
        <v>0</v>
      </c>
      <c r="G647" s="55"/>
      <c r="H647" s="53"/>
      <c r="I647" s="53"/>
      <c r="J647" s="55"/>
      <c r="K647" s="55"/>
      <c r="L647" s="55"/>
      <c r="M647" s="55"/>
      <c r="N647" s="55"/>
      <c r="O647" s="55" t="b">
        <v>0</v>
      </c>
      <c r="P647" s="55"/>
      <c r="Q647" s="55"/>
      <c r="R647" s="55"/>
      <c r="S647" s="55"/>
      <c r="T647" s="55"/>
      <c r="U647" s="64"/>
      <c r="V647" s="55"/>
      <c r="W647" s="64"/>
      <c r="X647" s="55"/>
      <c r="Y647" s="53"/>
      <c r="Z647" s="183" t="str">
        <f>IFERROR(__xludf.DUMMYFUNCTION("QUERY('Volunteer Survey'!A646)"),"")</f>
        <v/>
      </c>
      <c r="AA647" s="183" t="str">
        <f>IFERROR(__xludf.DUMMYFUNCTION("QUERY('Volunteer Survey'!B646)"),"")</f>
        <v/>
      </c>
      <c r="AB647" s="183" t="str">
        <f>IFERROR(__xludf.DUMMYFUNCTION("QUERY('Volunteer Survey'!C646)"),"")</f>
        <v/>
      </c>
      <c r="AC647" s="183" t="str">
        <f>IFERROR(__xludf.DUMMYFUNCTION("QUERY('Volunteer Survey'!D646)"),"")</f>
        <v/>
      </c>
      <c r="AD647" s="183" t="str">
        <f>IFERROR(__xludf.DUMMYFUNCTION("QUERY('Volunteer Survey'!E646)"),"")</f>
        <v/>
      </c>
      <c r="AE647" s="183" t="str">
        <f>IFERROR(__xludf.DUMMYFUNCTION("QUERY('Volunteer Survey'!F646)"),"")</f>
        <v/>
      </c>
      <c r="AF647" s="183" t="str">
        <f>IFERROR(__xludf.DUMMYFUNCTION("QUERY('Volunteer Survey'!G646)"),"")</f>
        <v/>
      </c>
      <c r="AG647" s="183" t="str">
        <f>IFERROR(__xludf.DUMMYFUNCTION("QUERY('Volunteer Survey'!H646)"),"")</f>
        <v/>
      </c>
      <c r="AH647" s="183" t="str">
        <f>IFERROR(__xludf.DUMMYFUNCTION("QUERY('Volunteer Survey'!I646)"),"")</f>
        <v/>
      </c>
      <c r="AI647" s="183" t="str">
        <f>IFERROR(__xludf.DUMMYFUNCTION("QUERY('Volunteer Survey'!J646)"),"")</f>
        <v/>
      </c>
      <c r="AJ647" s="183" t="str">
        <f>IFERROR(__xludf.DUMMYFUNCTION("QUERY('Volunteer Survey'!K646)"),"")</f>
        <v/>
      </c>
      <c r="AK647" s="183" t="str">
        <f>IFERROR(__xludf.DUMMYFUNCTION("QUERY('Volunteer Survey'!L646)"),"")</f>
        <v/>
      </c>
      <c r="AL647" s="183" t="str">
        <f>IFERROR(__xludf.DUMMYFUNCTION("QUERY('Volunteer Survey'!M646)"),"")</f>
        <v/>
      </c>
      <c r="AM647" s="183" t="str">
        <f>IFERROR(__xludf.DUMMYFUNCTION("QUERY('Volunteer Survey'!N646)"),"")</f>
        <v/>
      </c>
      <c r="AN647" s="183" t="str">
        <f>IFERROR(__xludf.DUMMYFUNCTION("QUERY('Volunteer Survey'!O646)"),"")</f>
        <v/>
      </c>
      <c r="AO647" s="183" t="str">
        <f>IFERROR(__xludf.DUMMYFUNCTION("QUERY('Volunteer Survey'!P646)"),"")</f>
        <v/>
      </c>
    </row>
    <row r="648">
      <c r="A648" s="55"/>
      <c r="B648" s="55"/>
      <c r="C648" s="53"/>
      <c r="D648" s="55"/>
      <c r="E648" s="55"/>
      <c r="F648" s="55" t="b">
        <v>0</v>
      </c>
      <c r="G648" s="55"/>
      <c r="H648" s="53"/>
      <c r="I648" s="53"/>
      <c r="J648" s="55"/>
      <c r="K648" s="55"/>
      <c r="L648" s="55"/>
      <c r="M648" s="55"/>
      <c r="N648" s="55"/>
      <c r="O648" s="55" t="b">
        <v>0</v>
      </c>
      <c r="P648" s="55"/>
      <c r="Q648" s="55"/>
      <c r="R648" s="55"/>
      <c r="S648" s="55"/>
      <c r="T648" s="55"/>
      <c r="U648" s="64"/>
      <c r="V648" s="55"/>
      <c r="W648" s="64"/>
      <c r="X648" s="55"/>
      <c r="Y648" s="53"/>
      <c r="Z648" s="183" t="str">
        <f>IFERROR(__xludf.DUMMYFUNCTION("QUERY('Volunteer Survey'!A647)"),"")</f>
        <v/>
      </c>
      <c r="AA648" s="183" t="str">
        <f>IFERROR(__xludf.DUMMYFUNCTION("QUERY('Volunteer Survey'!B647)"),"")</f>
        <v/>
      </c>
      <c r="AB648" s="183" t="str">
        <f>IFERROR(__xludf.DUMMYFUNCTION("QUERY('Volunteer Survey'!C647)"),"")</f>
        <v/>
      </c>
      <c r="AC648" s="183" t="str">
        <f>IFERROR(__xludf.DUMMYFUNCTION("QUERY('Volunteer Survey'!D647)"),"")</f>
        <v/>
      </c>
      <c r="AD648" s="183" t="str">
        <f>IFERROR(__xludf.DUMMYFUNCTION("QUERY('Volunteer Survey'!E647)"),"")</f>
        <v/>
      </c>
      <c r="AE648" s="183" t="str">
        <f>IFERROR(__xludf.DUMMYFUNCTION("QUERY('Volunteer Survey'!F647)"),"")</f>
        <v/>
      </c>
      <c r="AF648" s="183" t="str">
        <f>IFERROR(__xludf.DUMMYFUNCTION("QUERY('Volunteer Survey'!G647)"),"")</f>
        <v/>
      </c>
      <c r="AG648" s="183" t="str">
        <f>IFERROR(__xludf.DUMMYFUNCTION("QUERY('Volunteer Survey'!H647)"),"")</f>
        <v/>
      </c>
      <c r="AH648" s="183" t="str">
        <f>IFERROR(__xludf.DUMMYFUNCTION("QUERY('Volunteer Survey'!I647)"),"")</f>
        <v/>
      </c>
      <c r="AI648" s="183" t="str">
        <f>IFERROR(__xludf.DUMMYFUNCTION("QUERY('Volunteer Survey'!J647)"),"")</f>
        <v/>
      </c>
      <c r="AJ648" s="183" t="str">
        <f>IFERROR(__xludf.DUMMYFUNCTION("QUERY('Volunteer Survey'!K647)"),"")</f>
        <v/>
      </c>
      <c r="AK648" s="183" t="str">
        <f>IFERROR(__xludf.DUMMYFUNCTION("QUERY('Volunteer Survey'!L647)"),"")</f>
        <v/>
      </c>
      <c r="AL648" s="183" t="str">
        <f>IFERROR(__xludf.DUMMYFUNCTION("QUERY('Volunteer Survey'!M647)"),"")</f>
        <v/>
      </c>
      <c r="AM648" s="183" t="str">
        <f>IFERROR(__xludf.DUMMYFUNCTION("QUERY('Volunteer Survey'!N647)"),"")</f>
        <v/>
      </c>
      <c r="AN648" s="183" t="str">
        <f>IFERROR(__xludf.DUMMYFUNCTION("QUERY('Volunteer Survey'!O647)"),"")</f>
        <v/>
      </c>
      <c r="AO648" s="183" t="str">
        <f>IFERROR(__xludf.DUMMYFUNCTION("QUERY('Volunteer Survey'!P647)"),"")</f>
        <v/>
      </c>
    </row>
    <row r="649">
      <c r="A649" s="55"/>
      <c r="B649" s="55"/>
      <c r="C649" s="53"/>
      <c r="D649" s="55"/>
      <c r="E649" s="55"/>
      <c r="F649" s="55" t="b">
        <v>0</v>
      </c>
      <c r="G649" s="55"/>
      <c r="H649" s="53"/>
      <c r="I649" s="53"/>
      <c r="J649" s="55"/>
      <c r="K649" s="55"/>
      <c r="L649" s="55"/>
      <c r="M649" s="55"/>
      <c r="N649" s="55"/>
      <c r="O649" s="55" t="b">
        <v>0</v>
      </c>
      <c r="P649" s="55"/>
      <c r="Q649" s="55"/>
      <c r="R649" s="55"/>
      <c r="S649" s="55"/>
      <c r="T649" s="55"/>
      <c r="U649" s="64"/>
      <c r="V649" s="55"/>
      <c r="W649" s="64"/>
      <c r="X649" s="55"/>
      <c r="Y649" s="53"/>
      <c r="Z649" s="183" t="str">
        <f>IFERROR(__xludf.DUMMYFUNCTION("QUERY('Volunteer Survey'!A648)"),"")</f>
        <v/>
      </c>
      <c r="AA649" s="183" t="str">
        <f>IFERROR(__xludf.DUMMYFUNCTION("QUERY('Volunteer Survey'!B648)"),"")</f>
        <v/>
      </c>
      <c r="AB649" s="183" t="str">
        <f>IFERROR(__xludf.DUMMYFUNCTION("QUERY('Volunteer Survey'!C648)"),"")</f>
        <v/>
      </c>
      <c r="AC649" s="183" t="str">
        <f>IFERROR(__xludf.DUMMYFUNCTION("QUERY('Volunteer Survey'!D648)"),"")</f>
        <v/>
      </c>
      <c r="AD649" s="183" t="str">
        <f>IFERROR(__xludf.DUMMYFUNCTION("QUERY('Volunteer Survey'!E648)"),"")</f>
        <v/>
      </c>
      <c r="AE649" s="183" t="str">
        <f>IFERROR(__xludf.DUMMYFUNCTION("QUERY('Volunteer Survey'!F648)"),"")</f>
        <v/>
      </c>
      <c r="AF649" s="183" t="str">
        <f>IFERROR(__xludf.DUMMYFUNCTION("QUERY('Volunteer Survey'!G648)"),"")</f>
        <v/>
      </c>
      <c r="AG649" s="183" t="str">
        <f>IFERROR(__xludf.DUMMYFUNCTION("QUERY('Volunteer Survey'!H648)"),"")</f>
        <v/>
      </c>
      <c r="AH649" s="183" t="str">
        <f>IFERROR(__xludf.DUMMYFUNCTION("QUERY('Volunteer Survey'!I648)"),"")</f>
        <v/>
      </c>
      <c r="AI649" s="183" t="str">
        <f>IFERROR(__xludf.DUMMYFUNCTION("QUERY('Volunteer Survey'!J648)"),"")</f>
        <v/>
      </c>
      <c r="AJ649" s="183" t="str">
        <f>IFERROR(__xludf.DUMMYFUNCTION("QUERY('Volunteer Survey'!K648)"),"")</f>
        <v/>
      </c>
      <c r="AK649" s="183" t="str">
        <f>IFERROR(__xludf.DUMMYFUNCTION("QUERY('Volunteer Survey'!L648)"),"")</f>
        <v/>
      </c>
      <c r="AL649" s="183" t="str">
        <f>IFERROR(__xludf.DUMMYFUNCTION("QUERY('Volunteer Survey'!M648)"),"")</f>
        <v/>
      </c>
      <c r="AM649" s="183" t="str">
        <f>IFERROR(__xludf.DUMMYFUNCTION("QUERY('Volunteer Survey'!N648)"),"")</f>
        <v/>
      </c>
      <c r="AN649" s="183" t="str">
        <f>IFERROR(__xludf.DUMMYFUNCTION("QUERY('Volunteer Survey'!O648)"),"")</f>
        <v/>
      </c>
      <c r="AO649" s="183" t="str">
        <f>IFERROR(__xludf.DUMMYFUNCTION("QUERY('Volunteer Survey'!P648)"),"")</f>
        <v/>
      </c>
    </row>
    <row r="650">
      <c r="A650" s="55"/>
      <c r="B650" s="55"/>
      <c r="C650" s="53"/>
      <c r="D650" s="55"/>
      <c r="E650" s="55"/>
      <c r="F650" s="55" t="b">
        <v>0</v>
      </c>
      <c r="G650" s="55"/>
      <c r="H650" s="53"/>
      <c r="I650" s="53"/>
      <c r="J650" s="55"/>
      <c r="K650" s="55"/>
      <c r="L650" s="55"/>
      <c r="M650" s="55"/>
      <c r="N650" s="55"/>
      <c r="O650" s="55" t="b">
        <v>0</v>
      </c>
      <c r="P650" s="55"/>
      <c r="Q650" s="55"/>
      <c r="R650" s="55"/>
      <c r="S650" s="55"/>
      <c r="T650" s="55"/>
      <c r="U650" s="64"/>
      <c r="V650" s="55"/>
      <c r="W650" s="64"/>
      <c r="X650" s="55"/>
      <c r="Y650" s="53"/>
      <c r="Z650" s="183" t="str">
        <f>IFERROR(__xludf.DUMMYFUNCTION("QUERY('Volunteer Survey'!A649)"),"")</f>
        <v/>
      </c>
      <c r="AA650" s="183" t="str">
        <f>IFERROR(__xludf.DUMMYFUNCTION("QUERY('Volunteer Survey'!B649)"),"")</f>
        <v/>
      </c>
      <c r="AB650" s="183" t="str">
        <f>IFERROR(__xludf.DUMMYFUNCTION("QUERY('Volunteer Survey'!C649)"),"")</f>
        <v/>
      </c>
      <c r="AC650" s="183" t="str">
        <f>IFERROR(__xludf.DUMMYFUNCTION("QUERY('Volunteer Survey'!D649)"),"")</f>
        <v/>
      </c>
      <c r="AD650" s="183" t="str">
        <f>IFERROR(__xludf.DUMMYFUNCTION("QUERY('Volunteer Survey'!E649)"),"")</f>
        <v/>
      </c>
      <c r="AE650" s="183" t="str">
        <f>IFERROR(__xludf.DUMMYFUNCTION("QUERY('Volunteer Survey'!F649)"),"")</f>
        <v/>
      </c>
      <c r="AF650" s="183" t="str">
        <f>IFERROR(__xludf.DUMMYFUNCTION("QUERY('Volunteer Survey'!G649)"),"")</f>
        <v/>
      </c>
      <c r="AG650" s="183" t="str">
        <f>IFERROR(__xludf.DUMMYFUNCTION("QUERY('Volunteer Survey'!H649)"),"")</f>
        <v/>
      </c>
      <c r="AH650" s="183" t="str">
        <f>IFERROR(__xludf.DUMMYFUNCTION("QUERY('Volunteer Survey'!I649)"),"")</f>
        <v/>
      </c>
      <c r="AI650" s="183" t="str">
        <f>IFERROR(__xludf.DUMMYFUNCTION("QUERY('Volunteer Survey'!J649)"),"")</f>
        <v/>
      </c>
      <c r="AJ650" s="183" t="str">
        <f>IFERROR(__xludf.DUMMYFUNCTION("QUERY('Volunteer Survey'!K649)"),"")</f>
        <v/>
      </c>
      <c r="AK650" s="183" t="str">
        <f>IFERROR(__xludf.DUMMYFUNCTION("QUERY('Volunteer Survey'!L649)"),"")</f>
        <v/>
      </c>
      <c r="AL650" s="183" t="str">
        <f>IFERROR(__xludf.DUMMYFUNCTION("QUERY('Volunteer Survey'!M649)"),"")</f>
        <v/>
      </c>
      <c r="AM650" s="183" t="str">
        <f>IFERROR(__xludf.DUMMYFUNCTION("QUERY('Volunteer Survey'!N649)"),"")</f>
        <v/>
      </c>
      <c r="AN650" s="183" t="str">
        <f>IFERROR(__xludf.DUMMYFUNCTION("QUERY('Volunteer Survey'!O649)"),"")</f>
        <v/>
      </c>
      <c r="AO650" s="183" t="str">
        <f>IFERROR(__xludf.DUMMYFUNCTION("QUERY('Volunteer Survey'!P649)"),"")</f>
        <v/>
      </c>
    </row>
    <row r="651">
      <c r="A651" s="55"/>
      <c r="B651" s="55"/>
      <c r="C651" s="53"/>
      <c r="D651" s="55"/>
      <c r="E651" s="55"/>
      <c r="F651" s="55" t="b">
        <v>0</v>
      </c>
      <c r="G651" s="55"/>
      <c r="H651" s="53"/>
      <c r="I651" s="53"/>
      <c r="J651" s="55"/>
      <c r="K651" s="55"/>
      <c r="L651" s="55"/>
      <c r="M651" s="55"/>
      <c r="N651" s="55"/>
      <c r="O651" s="55" t="b">
        <v>0</v>
      </c>
      <c r="P651" s="55"/>
      <c r="Q651" s="55"/>
      <c r="R651" s="55"/>
      <c r="S651" s="55"/>
      <c r="T651" s="55"/>
      <c r="U651" s="64"/>
      <c r="V651" s="55"/>
      <c r="W651" s="64"/>
      <c r="X651" s="55"/>
      <c r="Y651" s="53"/>
      <c r="Z651" s="183" t="str">
        <f>IFERROR(__xludf.DUMMYFUNCTION("QUERY('Volunteer Survey'!A650)"),"")</f>
        <v/>
      </c>
      <c r="AA651" s="183" t="str">
        <f>IFERROR(__xludf.DUMMYFUNCTION("QUERY('Volunteer Survey'!B650)"),"")</f>
        <v/>
      </c>
      <c r="AB651" s="183" t="str">
        <f>IFERROR(__xludf.DUMMYFUNCTION("QUERY('Volunteer Survey'!C650)"),"")</f>
        <v/>
      </c>
      <c r="AC651" s="183" t="str">
        <f>IFERROR(__xludf.DUMMYFUNCTION("QUERY('Volunteer Survey'!D650)"),"")</f>
        <v/>
      </c>
      <c r="AD651" s="183" t="str">
        <f>IFERROR(__xludf.DUMMYFUNCTION("QUERY('Volunteer Survey'!E650)"),"")</f>
        <v/>
      </c>
      <c r="AE651" s="183" t="str">
        <f>IFERROR(__xludf.DUMMYFUNCTION("QUERY('Volunteer Survey'!F650)"),"")</f>
        <v/>
      </c>
      <c r="AF651" s="183" t="str">
        <f>IFERROR(__xludf.DUMMYFUNCTION("QUERY('Volunteer Survey'!G650)"),"")</f>
        <v/>
      </c>
      <c r="AG651" s="183" t="str">
        <f>IFERROR(__xludf.DUMMYFUNCTION("QUERY('Volunteer Survey'!H650)"),"")</f>
        <v/>
      </c>
      <c r="AH651" s="183" t="str">
        <f>IFERROR(__xludf.DUMMYFUNCTION("QUERY('Volunteer Survey'!I650)"),"")</f>
        <v/>
      </c>
      <c r="AI651" s="183" t="str">
        <f>IFERROR(__xludf.DUMMYFUNCTION("QUERY('Volunteer Survey'!J650)"),"")</f>
        <v/>
      </c>
      <c r="AJ651" s="183" t="str">
        <f>IFERROR(__xludf.DUMMYFUNCTION("QUERY('Volunteer Survey'!K650)"),"")</f>
        <v/>
      </c>
      <c r="AK651" s="183" t="str">
        <f>IFERROR(__xludf.DUMMYFUNCTION("QUERY('Volunteer Survey'!L650)"),"")</f>
        <v/>
      </c>
      <c r="AL651" s="183" t="str">
        <f>IFERROR(__xludf.DUMMYFUNCTION("QUERY('Volunteer Survey'!M650)"),"")</f>
        <v/>
      </c>
      <c r="AM651" s="183" t="str">
        <f>IFERROR(__xludf.DUMMYFUNCTION("QUERY('Volunteer Survey'!N650)"),"")</f>
        <v/>
      </c>
      <c r="AN651" s="183" t="str">
        <f>IFERROR(__xludf.DUMMYFUNCTION("QUERY('Volunteer Survey'!O650)"),"")</f>
        <v/>
      </c>
      <c r="AO651" s="183" t="str">
        <f>IFERROR(__xludf.DUMMYFUNCTION("QUERY('Volunteer Survey'!P650)"),"")</f>
        <v/>
      </c>
    </row>
    <row r="652">
      <c r="A652" s="55"/>
      <c r="B652" s="55"/>
      <c r="C652" s="53"/>
      <c r="D652" s="55"/>
      <c r="E652" s="55"/>
      <c r="F652" s="55" t="b">
        <v>0</v>
      </c>
      <c r="G652" s="55"/>
      <c r="H652" s="53"/>
      <c r="I652" s="53"/>
      <c r="J652" s="55"/>
      <c r="K652" s="55"/>
      <c r="L652" s="55"/>
      <c r="M652" s="55"/>
      <c r="N652" s="55"/>
      <c r="O652" s="55" t="b">
        <v>0</v>
      </c>
      <c r="P652" s="55"/>
      <c r="Q652" s="55"/>
      <c r="R652" s="55"/>
      <c r="S652" s="55"/>
      <c r="T652" s="55"/>
      <c r="U652" s="64"/>
      <c r="V652" s="55"/>
      <c r="W652" s="64"/>
      <c r="X652" s="55"/>
      <c r="Y652" s="53"/>
      <c r="Z652" s="183" t="str">
        <f>IFERROR(__xludf.DUMMYFUNCTION("QUERY('Volunteer Survey'!A651)"),"")</f>
        <v/>
      </c>
      <c r="AA652" s="183" t="str">
        <f>IFERROR(__xludf.DUMMYFUNCTION("QUERY('Volunteer Survey'!B651)"),"")</f>
        <v/>
      </c>
      <c r="AB652" s="183" t="str">
        <f>IFERROR(__xludf.DUMMYFUNCTION("QUERY('Volunteer Survey'!C651)"),"")</f>
        <v/>
      </c>
      <c r="AC652" s="183" t="str">
        <f>IFERROR(__xludf.DUMMYFUNCTION("QUERY('Volunteer Survey'!D651)"),"")</f>
        <v/>
      </c>
      <c r="AD652" s="183" t="str">
        <f>IFERROR(__xludf.DUMMYFUNCTION("QUERY('Volunteer Survey'!E651)"),"")</f>
        <v/>
      </c>
      <c r="AE652" s="183" t="str">
        <f>IFERROR(__xludf.DUMMYFUNCTION("QUERY('Volunteer Survey'!F651)"),"")</f>
        <v/>
      </c>
      <c r="AF652" s="183" t="str">
        <f>IFERROR(__xludf.DUMMYFUNCTION("QUERY('Volunteer Survey'!G651)"),"")</f>
        <v/>
      </c>
      <c r="AG652" s="183" t="str">
        <f>IFERROR(__xludf.DUMMYFUNCTION("QUERY('Volunteer Survey'!H651)"),"")</f>
        <v/>
      </c>
      <c r="AH652" s="183" t="str">
        <f>IFERROR(__xludf.DUMMYFUNCTION("QUERY('Volunteer Survey'!I651)"),"")</f>
        <v/>
      </c>
      <c r="AI652" s="183" t="str">
        <f>IFERROR(__xludf.DUMMYFUNCTION("QUERY('Volunteer Survey'!J651)"),"")</f>
        <v/>
      </c>
      <c r="AJ652" s="183" t="str">
        <f>IFERROR(__xludf.DUMMYFUNCTION("QUERY('Volunteer Survey'!K651)"),"")</f>
        <v/>
      </c>
      <c r="AK652" s="183" t="str">
        <f>IFERROR(__xludf.DUMMYFUNCTION("QUERY('Volunteer Survey'!L651)"),"")</f>
        <v/>
      </c>
      <c r="AL652" s="183" t="str">
        <f>IFERROR(__xludf.DUMMYFUNCTION("QUERY('Volunteer Survey'!M651)"),"")</f>
        <v/>
      </c>
      <c r="AM652" s="183" t="str">
        <f>IFERROR(__xludf.DUMMYFUNCTION("QUERY('Volunteer Survey'!N651)"),"")</f>
        <v/>
      </c>
      <c r="AN652" s="183" t="str">
        <f>IFERROR(__xludf.DUMMYFUNCTION("QUERY('Volunteer Survey'!O651)"),"")</f>
        <v/>
      </c>
      <c r="AO652" s="183" t="str">
        <f>IFERROR(__xludf.DUMMYFUNCTION("QUERY('Volunteer Survey'!P651)"),"")</f>
        <v/>
      </c>
    </row>
    <row r="653">
      <c r="A653" s="55"/>
      <c r="B653" s="55"/>
      <c r="C653" s="53"/>
      <c r="D653" s="55"/>
      <c r="E653" s="55"/>
      <c r="F653" s="55" t="b">
        <v>0</v>
      </c>
      <c r="G653" s="55"/>
      <c r="H653" s="53"/>
      <c r="I653" s="53"/>
      <c r="J653" s="55"/>
      <c r="K653" s="55"/>
      <c r="L653" s="55"/>
      <c r="M653" s="55"/>
      <c r="N653" s="55"/>
      <c r="O653" s="55" t="b">
        <v>0</v>
      </c>
      <c r="P653" s="55"/>
      <c r="Q653" s="55"/>
      <c r="R653" s="55"/>
      <c r="S653" s="55"/>
      <c r="T653" s="55"/>
      <c r="U653" s="64"/>
      <c r="V653" s="55"/>
      <c r="W653" s="64"/>
      <c r="X653" s="55"/>
      <c r="Y653" s="53"/>
      <c r="Z653" s="183" t="str">
        <f>IFERROR(__xludf.DUMMYFUNCTION("QUERY('Volunteer Survey'!A652)"),"")</f>
        <v/>
      </c>
      <c r="AA653" s="183" t="str">
        <f>IFERROR(__xludf.DUMMYFUNCTION("QUERY('Volunteer Survey'!B652)"),"")</f>
        <v/>
      </c>
      <c r="AB653" s="183" t="str">
        <f>IFERROR(__xludf.DUMMYFUNCTION("QUERY('Volunteer Survey'!C652)"),"")</f>
        <v/>
      </c>
      <c r="AC653" s="183" t="str">
        <f>IFERROR(__xludf.DUMMYFUNCTION("QUERY('Volunteer Survey'!D652)"),"")</f>
        <v/>
      </c>
      <c r="AD653" s="183" t="str">
        <f>IFERROR(__xludf.DUMMYFUNCTION("QUERY('Volunteer Survey'!E652)"),"")</f>
        <v/>
      </c>
      <c r="AE653" s="183" t="str">
        <f>IFERROR(__xludf.DUMMYFUNCTION("QUERY('Volunteer Survey'!F652)"),"")</f>
        <v/>
      </c>
      <c r="AF653" s="183" t="str">
        <f>IFERROR(__xludf.DUMMYFUNCTION("QUERY('Volunteer Survey'!G652)"),"")</f>
        <v/>
      </c>
      <c r="AG653" s="183" t="str">
        <f>IFERROR(__xludf.DUMMYFUNCTION("QUERY('Volunteer Survey'!H652)"),"")</f>
        <v/>
      </c>
      <c r="AH653" s="183" t="str">
        <f>IFERROR(__xludf.DUMMYFUNCTION("QUERY('Volunteer Survey'!I652)"),"")</f>
        <v/>
      </c>
      <c r="AI653" s="183" t="str">
        <f>IFERROR(__xludf.DUMMYFUNCTION("QUERY('Volunteer Survey'!J652)"),"")</f>
        <v/>
      </c>
      <c r="AJ653" s="183" t="str">
        <f>IFERROR(__xludf.DUMMYFUNCTION("QUERY('Volunteer Survey'!K652)"),"")</f>
        <v/>
      </c>
      <c r="AK653" s="183" t="str">
        <f>IFERROR(__xludf.DUMMYFUNCTION("QUERY('Volunteer Survey'!L652)"),"")</f>
        <v/>
      </c>
      <c r="AL653" s="183" t="str">
        <f>IFERROR(__xludf.DUMMYFUNCTION("QUERY('Volunteer Survey'!M652)"),"")</f>
        <v/>
      </c>
      <c r="AM653" s="183" t="str">
        <f>IFERROR(__xludf.DUMMYFUNCTION("QUERY('Volunteer Survey'!N652)"),"")</f>
        <v/>
      </c>
      <c r="AN653" s="183" t="str">
        <f>IFERROR(__xludf.DUMMYFUNCTION("QUERY('Volunteer Survey'!O652)"),"")</f>
        <v/>
      </c>
      <c r="AO653" s="183" t="str">
        <f>IFERROR(__xludf.DUMMYFUNCTION("QUERY('Volunteer Survey'!P652)"),"")</f>
        <v/>
      </c>
    </row>
    <row r="654">
      <c r="A654" s="55"/>
      <c r="B654" s="55"/>
      <c r="C654" s="53"/>
      <c r="D654" s="55"/>
      <c r="E654" s="55"/>
      <c r="F654" s="55" t="b">
        <v>0</v>
      </c>
      <c r="G654" s="55"/>
      <c r="H654" s="53"/>
      <c r="I654" s="53"/>
      <c r="J654" s="55"/>
      <c r="K654" s="55"/>
      <c r="L654" s="55"/>
      <c r="M654" s="55"/>
      <c r="N654" s="55"/>
      <c r="O654" s="55" t="b">
        <v>0</v>
      </c>
      <c r="P654" s="55"/>
      <c r="Q654" s="55"/>
      <c r="R654" s="55"/>
      <c r="S654" s="55"/>
      <c r="T654" s="55"/>
      <c r="U654" s="64"/>
      <c r="V654" s="55"/>
      <c r="W654" s="64"/>
      <c r="X654" s="55"/>
      <c r="Y654" s="53"/>
      <c r="Z654" s="183" t="str">
        <f>IFERROR(__xludf.DUMMYFUNCTION("QUERY('Volunteer Survey'!A653)"),"")</f>
        <v/>
      </c>
      <c r="AA654" s="183" t="str">
        <f>IFERROR(__xludf.DUMMYFUNCTION("QUERY('Volunteer Survey'!B653)"),"")</f>
        <v/>
      </c>
      <c r="AB654" s="183" t="str">
        <f>IFERROR(__xludf.DUMMYFUNCTION("QUERY('Volunteer Survey'!C653)"),"")</f>
        <v/>
      </c>
      <c r="AC654" s="183" t="str">
        <f>IFERROR(__xludf.DUMMYFUNCTION("QUERY('Volunteer Survey'!D653)"),"")</f>
        <v/>
      </c>
      <c r="AD654" s="183" t="str">
        <f>IFERROR(__xludf.DUMMYFUNCTION("QUERY('Volunteer Survey'!E653)"),"")</f>
        <v/>
      </c>
      <c r="AE654" s="183" t="str">
        <f>IFERROR(__xludf.DUMMYFUNCTION("QUERY('Volunteer Survey'!F653)"),"")</f>
        <v/>
      </c>
      <c r="AF654" s="183" t="str">
        <f>IFERROR(__xludf.DUMMYFUNCTION("QUERY('Volunteer Survey'!G653)"),"")</f>
        <v/>
      </c>
      <c r="AG654" s="183" t="str">
        <f>IFERROR(__xludf.DUMMYFUNCTION("QUERY('Volunteer Survey'!H653)"),"")</f>
        <v/>
      </c>
      <c r="AH654" s="183" t="str">
        <f>IFERROR(__xludf.DUMMYFUNCTION("QUERY('Volunteer Survey'!I653)"),"")</f>
        <v/>
      </c>
      <c r="AI654" s="183" t="str">
        <f>IFERROR(__xludf.DUMMYFUNCTION("QUERY('Volunteer Survey'!J653)"),"")</f>
        <v/>
      </c>
      <c r="AJ654" s="183" t="str">
        <f>IFERROR(__xludf.DUMMYFUNCTION("QUERY('Volunteer Survey'!K653)"),"")</f>
        <v/>
      </c>
      <c r="AK654" s="183" t="str">
        <f>IFERROR(__xludf.DUMMYFUNCTION("QUERY('Volunteer Survey'!L653)"),"")</f>
        <v/>
      </c>
      <c r="AL654" s="183" t="str">
        <f>IFERROR(__xludf.DUMMYFUNCTION("QUERY('Volunteer Survey'!M653)"),"")</f>
        <v/>
      </c>
      <c r="AM654" s="183" t="str">
        <f>IFERROR(__xludf.DUMMYFUNCTION("QUERY('Volunteer Survey'!N653)"),"")</f>
        <v/>
      </c>
      <c r="AN654" s="183" t="str">
        <f>IFERROR(__xludf.DUMMYFUNCTION("QUERY('Volunteer Survey'!O653)"),"")</f>
        <v/>
      </c>
      <c r="AO654" s="183" t="str">
        <f>IFERROR(__xludf.DUMMYFUNCTION("QUERY('Volunteer Survey'!P653)"),"")</f>
        <v/>
      </c>
    </row>
    <row r="655">
      <c r="A655" s="55"/>
      <c r="B655" s="55"/>
      <c r="C655" s="53"/>
      <c r="D655" s="55"/>
      <c r="E655" s="55"/>
      <c r="F655" s="55" t="b">
        <v>0</v>
      </c>
      <c r="G655" s="55"/>
      <c r="H655" s="53"/>
      <c r="I655" s="53"/>
      <c r="J655" s="55"/>
      <c r="K655" s="55"/>
      <c r="L655" s="55"/>
      <c r="M655" s="55"/>
      <c r="N655" s="55"/>
      <c r="O655" s="55" t="b">
        <v>0</v>
      </c>
      <c r="P655" s="55"/>
      <c r="Q655" s="55"/>
      <c r="R655" s="55"/>
      <c r="S655" s="55"/>
      <c r="T655" s="55"/>
      <c r="U655" s="64"/>
      <c r="V655" s="55"/>
      <c r="W655" s="64"/>
      <c r="X655" s="55"/>
      <c r="Y655" s="53"/>
      <c r="Z655" s="183" t="str">
        <f>IFERROR(__xludf.DUMMYFUNCTION("QUERY('Volunteer Survey'!A654)"),"")</f>
        <v/>
      </c>
      <c r="AA655" s="183" t="str">
        <f>IFERROR(__xludf.DUMMYFUNCTION("QUERY('Volunteer Survey'!B654)"),"")</f>
        <v/>
      </c>
      <c r="AB655" s="183" t="str">
        <f>IFERROR(__xludf.DUMMYFUNCTION("QUERY('Volunteer Survey'!C654)"),"")</f>
        <v/>
      </c>
      <c r="AC655" s="183" t="str">
        <f>IFERROR(__xludf.DUMMYFUNCTION("QUERY('Volunteer Survey'!D654)"),"")</f>
        <v/>
      </c>
      <c r="AD655" s="183" t="str">
        <f>IFERROR(__xludf.DUMMYFUNCTION("QUERY('Volunteer Survey'!E654)"),"")</f>
        <v/>
      </c>
      <c r="AE655" s="183" t="str">
        <f>IFERROR(__xludf.DUMMYFUNCTION("QUERY('Volunteer Survey'!F654)"),"")</f>
        <v/>
      </c>
      <c r="AF655" s="183" t="str">
        <f>IFERROR(__xludf.DUMMYFUNCTION("QUERY('Volunteer Survey'!G654)"),"")</f>
        <v/>
      </c>
      <c r="AG655" s="183" t="str">
        <f>IFERROR(__xludf.DUMMYFUNCTION("QUERY('Volunteer Survey'!H654)"),"")</f>
        <v/>
      </c>
      <c r="AH655" s="183" t="str">
        <f>IFERROR(__xludf.DUMMYFUNCTION("QUERY('Volunteer Survey'!I654)"),"")</f>
        <v/>
      </c>
      <c r="AI655" s="183" t="str">
        <f>IFERROR(__xludf.DUMMYFUNCTION("QUERY('Volunteer Survey'!J654)"),"")</f>
        <v/>
      </c>
      <c r="AJ655" s="183" t="str">
        <f>IFERROR(__xludf.DUMMYFUNCTION("QUERY('Volunteer Survey'!K654)"),"")</f>
        <v/>
      </c>
      <c r="AK655" s="183" t="str">
        <f>IFERROR(__xludf.DUMMYFUNCTION("QUERY('Volunteer Survey'!L654)"),"")</f>
        <v/>
      </c>
      <c r="AL655" s="183" t="str">
        <f>IFERROR(__xludf.DUMMYFUNCTION("QUERY('Volunteer Survey'!M654)"),"")</f>
        <v/>
      </c>
      <c r="AM655" s="183" t="str">
        <f>IFERROR(__xludf.DUMMYFUNCTION("QUERY('Volunteer Survey'!N654)"),"")</f>
        <v/>
      </c>
      <c r="AN655" s="183" t="str">
        <f>IFERROR(__xludf.DUMMYFUNCTION("QUERY('Volunteer Survey'!O654)"),"")</f>
        <v/>
      </c>
      <c r="AO655" s="183" t="str">
        <f>IFERROR(__xludf.DUMMYFUNCTION("QUERY('Volunteer Survey'!P654)"),"")</f>
        <v/>
      </c>
    </row>
    <row r="656">
      <c r="A656" s="55"/>
      <c r="B656" s="55"/>
      <c r="C656" s="53"/>
      <c r="D656" s="55"/>
      <c r="E656" s="55"/>
      <c r="F656" s="55" t="b">
        <v>0</v>
      </c>
      <c r="G656" s="55"/>
      <c r="H656" s="53"/>
      <c r="I656" s="53"/>
      <c r="J656" s="55"/>
      <c r="K656" s="55"/>
      <c r="L656" s="55"/>
      <c r="M656" s="55"/>
      <c r="N656" s="55"/>
      <c r="O656" s="55" t="b">
        <v>0</v>
      </c>
      <c r="P656" s="55"/>
      <c r="Q656" s="55"/>
      <c r="R656" s="55"/>
      <c r="S656" s="55"/>
      <c r="T656" s="55"/>
      <c r="U656" s="64"/>
      <c r="V656" s="55"/>
      <c r="W656" s="64"/>
      <c r="X656" s="55"/>
      <c r="Y656" s="53"/>
      <c r="Z656" s="183" t="str">
        <f>IFERROR(__xludf.DUMMYFUNCTION("QUERY('Volunteer Survey'!A655)"),"")</f>
        <v/>
      </c>
      <c r="AA656" s="183" t="str">
        <f>IFERROR(__xludf.DUMMYFUNCTION("QUERY('Volunteer Survey'!B655)"),"")</f>
        <v/>
      </c>
      <c r="AB656" s="183" t="str">
        <f>IFERROR(__xludf.DUMMYFUNCTION("QUERY('Volunteer Survey'!C655)"),"")</f>
        <v/>
      </c>
      <c r="AC656" s="183" t="str">
        <f>IFERROR(__xludf.DUMMYFUNCTION("QUERY('Volunteer Survey'!D655)"),"")</f>
        <v/>
      </c>
      <c r="AD656" s="183" t="str">
        <f>IFERROR(__xludf.DUMMYFUNCTION("QUERY('Volunteer Survey'!E655)"),"")</f>
        <v/>
      </c>
      <c r="AE656" s="183" t="str">
        <f>IFERROR(__xludf.DUMMYFUNCTION("QUERY('Volunteer Survey'!F655)"),"")</f>
        <v/>
      </c>
      <c r="AF656" s="183" t="str">
        <f>IFERROR(__xludf.DUMMYFUNCTION("QUERY('Volunteer Survey'!G655)"),"")</f>
        <v/>
      </c>
      <c r="AG656" s="183" t="str">
        <f>IFERROR(__xludf.DUMMYFUNCTION("QUERY('Volunteer Survey'!H655)"),"")</f>
        <v/>
      </c>
      <c r="AH656" s="183" t="str">
        <f>IFERROR(__xludf.DUMMYFUNCTION("QUERY('Volunteer Survey'!I655)"),"")</f>
        <v/>
      </c>
      <c r="AI656" s="183" t="str">
        <f>IFERROR(__xludf.DUMMYFUNCTION("QUERY('Volunteer Survey'!J655)"),"")</f>
        <v/>
      </c>
      <c r="AJ656" s="183" t="str">
        <f>IFERROR(__xludf.DUMMYFUNCTION("QUERY('Volunteer Survey'!K655)"),"")</f>
        <v/>
      </c>
      <c r="AK656" s="183" t="str">
        <f>IFERROR(__xludf.DUMMYFUNCTION("QUERY('Volunteer Survey'!L655)"),"")</f>
        <v/>
      </c>
      <c r="AL656" s="183" t="str">
        <f>IFERROR(__xludf.DUMMYFUNCTION("QUERY('Volunteer Survey'!M655)"),"")</f>
        <v/>
      </c>
      <c r="AM656" s="183" t="str">
        <f>IFERROR(__xludf.DUMMYFUNCTION("QUERY('Volunteer Survey'!N655)"),"")</f>
        <v/>
      </c>
      <c r="AN656" s="183" t="str">
        <f>IFERROR(__xludf.DUMMYFUNCTION("QUERY('Volunteer Survey'!O655)"),"")</f>
        <v/>
      </c>
      <c r="AO656" s="183" t="str">
        <f>IFERROR(__xludf.DUMMYFUNCTION("QUERY('Volunteer Survey'!P655)"),"")</f>
        <v/>
      </c>
    </row>
    <row r="657">
      <c r="A657" s="55"/>
      <c r="B657" s="55"/>
      <c r="C657" s="53"/>
      <c r="D657" s="55"/>
      <c r="E657" s="55"/>
      <c r="F657" s="55" t="b">
        <v>0</v>
      </c>
      <c r="G657" s="55"/>
      <c r="H657" s="53"/>
      <c r="I657" s="53"/>
      <c r="J657" s="55"/>
      <c r="K657" s="55"/>
      <c r="L657" s="55"/>
      <c r="M657" s="55"/>
      <c r="N657" s="55"/>
      <c r="O657" s="55" t="b">
        <v>0</v>
      </c>
      <c r="P657" s="55"/>
      <c r="Q657" s="55"/>
      <c r="R657" s="55"/>
      <c r="S657" s="55"/>
      <c r="T657" s="55"/>
      <c r="U657" s="64"/>
      <c r="V657" s="55"/>
      <c r="W657" s="64"/>
      <c r="X657" s="55"/>
      <c r="Y657" s="53"/>
      <c r="Z657" s="183" t="str">
        <f>IFERROR(__xludf.DUMMYFUNCTION("QUERY('Volunteer Survey'!A656)"),"")</f>
        <v/>
      </c>
      <c r="AA657" s="183" t="str">
        <f>IFERROR(__xludf.DUMMYFUNCTION("QUERY('Volunteer Survey'!B656)"),"")</f>
        <v/>
      </c>
      <c r="AB657" s="183" t="str">
        <f>IFERROR(__xludf.DUMMYFUNCTION("QUERY('Volunteer Survey'!C656)"),"")</f>
        <v/>
      </c>
      <c r="AC657" s="183" t="str">
        <f>IFERROR(__xludf.DUMMYFUNCTION("QUERY('Volunteer Survey'!D656)"),"")</f>
        <v/>
      </c>
      <c r="AD657" s="183" t="str">
        <f>IFERROR(__xludf.DUMMYFUNCTION("QUERY('Volunteer Survey'!E656)"),"")</f>
        <v/>
      </c>
      <c r="AE657" s="183" t="str">
        <f>IFERROR(__xludf.DUMMYFUNCTION("QUERY('Volunteer Survey'!F656)"),"")</f>
        <v/>
      </c>
      <c r="AF657" s="183" t="str">
        <f>IFERROR(__xludf.DUMMYFUNCTION("QUERY('Volunteer Survey'!G656)"),"")</f>
        <v/>
      </c>
      <c r="AG657" s="183" t="str">
        <f>IFERROR(__xludf.DUMMYFUNCTION("QUERY('Volunteer Survey'!H656)"),"")</f>
        <v/>
      </c>
      <c r="AH657" s="183" t="str">
        <f>IFERROR(__xludf.DUMMYFUNCTION("QUERY('Volunteer Survey'!I656)"),"")</f>
        <v/>
      </c>
      <c r="AI657" s="183" t="str">
        <f>IFERROR(__xludf.DUMMYFUNCTION("QUERY('Volunteer Survey'!J656)"),"")</f>
        <v/>
      </c>
      <c r="AJ657" s="183" t="str">
        <f>IFERROR(__xludf.DUMMYFUNCTION("QUERY('Volunteer Survey'!K656)"),"")</f>
        <v/>
      </c>
      <c r="AK657" s="183" t="str">
        <f>IFERROR(__xludf.DUMMYFUNCTION("QUERY('Volunteer Survey'!L656)"),"")</f>
        <v/>
      </c>
      <c r="AL657" s="183" t="str">
        <f>IFERROR(__xludf.DUMMYFUNCTION("QUERY('Volunteer Survey'!M656)"),"")</f>
        <v/>
      </c>
      <c r="AM657" s="183" t="str">
        <f>IFERROR(__xludf.DUMMYFUNCTION("QUERY('Volunteer Survey'!N656)"),"")</f>
        <v/>
      </c>
      <c r="AN657" s="183" t="str">
        <f>IFERROR(__xludf.DUMMYFUNCTION("QUERY('Volunteer Survey'!O656)"),"")</f>
        <v/>
      </c>
      <c r="AO657" s="183" t="str">
        <f>IFERROR(__xludf.DUMMYFUNCTION("QUERY('Volunteer Survey'!P656)"),"")</f>
        <v/>
      </c>
    </row>
    <row r="658">
      <c r="A658" s="55"/>
      <c r="B658" s="55"/>
      <c r="C658" s="53"/>
      <c r="D658" s="55"/>
      <c r="E658" s="55"/>
      <c r="F658" s="55" t="b">
        <v>0</v>
      </c>
      <c r="G658" s="55"/>
      <c r="H658" s="53"/>
      <c r="I658" s="53"/>
      <c r="J658" s="55"/>
      <c r="K658" s="55"/>
      <c r="L658" s="55"/>
      <c r="M658" s="55"/>
      <c r="N658" s="55"/>
      <c r="O658" s="55" t="b">
        <v>0</v>
      </c>
      <c r="P658" s="55"/>
      <c r="Q658" s="55"/>
      <c r="R658" s="55"/>
      <c r="S658" s="55"/>
      <c r="T658" s="55"/>
      <c r="U658" s="64"/>
      <c r="V658" s="55"/>
      <c r="W658" s="64"/>
      <c r="X658" s="55"/>
      <c r="Y658" s="53"/>
      <c r="Z658" s="183" t="str">
        <f>IFERROR(__xludf.DUMMYFUNCTION("QUERY('Volunteer Survey'!A657)"),"")</f>
        <v/>
      </c>
      <c r="AA658" s="183" t="str">
        <f>IFERROR(__xludf.DUMMYFUNCTION("QUERY('Volunteer Survey'!B657)"),"")</f>
        <v/>
      </c>
      <c r="AB658" s="183" t="str">
        <f>IFERROR(__xludf.DUMMYFUNCTION("QUERY('Volunteer Survey'!C657)"),"")</f>
        <v/>
      </c>
      <c r="AC658" s="183" t="str">
        <f>IFERROR(__xludf.DUMMYFUNCTION("QUERY('Volunteer Survey'!D657)"),"")</f>
        <v/>
      </c>
      <c r="AD658" s="183" t="str">
        <f>IFERROR(__xludf.DUMMYFUNCTION("QUERY('Volunteer Survey'!E657)"),"")</f>
        <v/>
      </c>
      <c r="AE658" s="183" t="str">
        <f>IFERROR(__xludf.DUMMYFUNCTION("QUERY('Volunteer Survey'!F657)"),"")</f>
        <v/>
      </c>
      <c r="AF658" s="183" t="str">
        <f>IFERROR(__xludf.DUMMYFUNCTION("QUERY('Volunteer Survey'!G657)"),"")</f>
        <v/>
      </c>
      <c r="AG658" s="183" t="str">
        <f>IFERROR(__xludf.DUMMYFUNCTION("QUERY('Volunteer Survey'!H657)"),"")</f>
        <v/>
      </c>
      <c r="AH658" s="183" t="str">
        <f>IFERROR(__xludf.DUMMYFUNCTION("QUERY('Volunteer Survey'!I657)"),"")</f>
        <v/>
      </c>
      <c r="AI658" s="183" t="str">
        <f>IFERROR(__xludf.DUMMYFUNCTION("QUERY('Volunteer Survey'!J657)"),"")</f>
        <v/>
      </c>
      <c r="AJ658" s="183" t="str">
        <f>IFERROR(__xludf.DUMMYFUNCTION("QUERY('Volunteer Survey'!K657)"),"")</f>
        <v/>
      </c>
      <c r="AK658" s="183" t="str">
        <f>IFERROR(__xludf.DUMMYFUNCTION("QUERY('Volunteer Survey'!L657)"),"")</f>
        <v/>
      </c>
      <c r="AL658" s="183" t="str">
        <f>IFERROR(__xludf.DUMMYFUNCTION("QUERY('Volunteer Survey'!M657)"),"")</f>
        <v/>
      </c>
      <c r="AM658" s="183" t="str">
        <f>IFERROR(__xludf.DUMMYFUNCTION("QUERY('Volunteer Survey'!N657)"),"")</f>
        <v/>
      </c>
      <c r="AN658" s="183" t="str">
        <f>IFERROR(__xludf.DUMMYFUNCTION("QUERY('Volunteer Survey'!O657)"),"")</f>
        <v/>
      </c>
      <c r="AO658" s="183" t="str">
        <f>IFERROR(__xludf.DUMMYFUNCTION("QUERY('Volunteer Survey'!P657)"),"")</f>
        <v/>
      </c>
    </row>
    <row r="659">
      <c r="A659" s="55"/>
      <c r="B659" s="55"/>
      <c r="C659" s="53"/>
      <c r="D659" s="55"/>
      <c r="E659" s="55"/>
      <c r="F659" s="55" t="b">
        <v>0</v>
      </c>
      <c r="G659" s="55"/>
      <c r="H659" s="53"/>
      <c r="I659" s="53"/>
      <c r="J659" s="55"/>
      <c r="K659" s="55"/>
      <c r="L659" s="55"/>
      <c r="M659" s="55"/>
      <c r="N659" s="55"/>
      <c r="O659" s="55" t="b">
        <v>0</v>
      </c>
      <c r="P659" s="55"/>
      <c r="Q659" s="55"/>
      <c r="R659" s="55"/>
      <c r="S659" s="55"/>
      <c r="T659" s="55"/>
      <c r="U659" s="64"/>
      <c r="V659" s="55"/>
      <c r="W659" s="64"/>
      <c r="X659" s="55"/>
      <c r="Y659" s="53"/>
      <c r="Z659" s="183" t="str">
        <f>IFERROR(__xludf.DUMMYFUNCTION("QUERY('Volunteer Survey'!A658)"),"")</f>
        <v/>
      </c>
      <c r="AA659" s="183" t="str">
        <f>IFERROR(__xludf.DUMMYFUNCTION("QUERY('Volunteer Survey'!B658)"),"")</f>
        <v/>
      </c>
      <c r="AB659" s="183" t="str">
        <f>IFERROR(__xludf.DUMMYFUNCTION("QUERY('Volunteer Survey'!C658)"),"")</f>
        <v/>
      </c>
      <c r="AC659" s="183" t="str">
        <f>IFERROR(__xludf.DUMMYFUNCTION("QUERY('Volunteer Survey'!D658)"),"")</f>
        <v/>
      </c>
      <c r="AD659" s="183" t="str">
        <f>IFERROR(__xludf.DUMMYFUNCTION("QUERY('Volunteer Survey'!E658)"),"")</f>
        <v/>
      </c>
      <c r="AE659" s="183" t="str">
        <f>IFERROR(__xludf.DUMMYFUNCTION("QUERY('Volunteer Survey'!F658)"),"")</f>
        <v/>
      </c>
      <c r="AF659" s="183" t="str">
        <f>IFERROR(__xludf.DUMMYFUNCTION("QUERY('Volunteer Survey'!G658)"),"")</f>
        <v/>
      </c>
      <c r="AG659" s="183" t="str">
        <f>IFERROR(__xludf.DUMMYFUNCTION("QUERY('Volunteer Survey'!H658)"),"")</f>
        <v/>
      </c>
      <c r="AH659" s="183" t="str">
        <f>IFERROR(__xludf.DUMMYFUNCTION("QUERY('Volunteer Survey'!I658)"),"")</f>
        <v/>
      </c>
      <c r="AI659" s="183" t="str">
        <f>IFERROR(__xludf.DUMMYFUNCTION("QUERY('Volunteer Survey'!J658)"),"")</f>
        <v/>
      </c>
      <c r="AJ659" s="183" t="str">
        <f>IFERROR(__xludf.DUMMYFUNCTION("QUERY('Volunteer Survey'!K658)"),"")</f>
        <v/>
      </c>
      <c r="AK659" s="183" t="str">
        <f>IFERROR(__xludf.DUMMYFUNCTION("QUERY('Volunteer Survey'!L658)"),"")</f>
        <v/>
      </c>
      <c r="AL659" s="183" t="str">
        <f>IFERROR(__xludf.DUMMYFUNCTION("QUERY('Volunteer Survey'!M658)"),"")</f>
        <v/>
      </c>
      <c r="AM659" s="183" t="str">
        <f>IFERROR(__xludf.DUMMYFUNCTION("QUERY('Volunteer Survey'!N658)"),"")</f>
        <v/>
      </c>
      <c r="AN659" s="183" t="str">
        <f>IFERROR(__xludf.DUMMYFUNCTION("QUERY('Volunteer Survey'!O658)"),"")</f>
        <v/>
      </c>
      <c r="AO659" s="183" t="str">
        <f>IFERROR(__xludf.DUMMYFUNCTION("QUERY('Volunteer Survey'!P658)"),"")</f>
        <v/>
      </c>
    </row>
    <row r="660">
      <c r="A660" s="55"/>
      <c r="B660" s="55"/>
      <c r="C660" s="53"/>
      <c r="D660" s="55"/>
      <c r="E660" s="55"/>
      <c r="F660" s="55" t="b">
        <v>0</v>
      </c>
      <c r="G660" s="55"/>
      <c r="H660" s="53"/>
      <c r="I660" s="53"/>
      <c r="J660" s="55"/>
      <c r="K660" s="55"/>
      <c r="L660" s="55"/>
      <c r="M660" s="55"/>
      <c r="N660" s="55"/>
      <c r="O660" s="55" t="b">
        <v>0</v>
      </c>
      <c r="P660" s="55"/>
      <c r="Q660" s="55"/>
      <c r="R660" s="55"/>
      <c r="S660" s="55"/>
      <c r="T660" s="55"/>
      <c r="U660" s="64"/>
      <c r="V660" s="55"/>
      <c r="W660" s="64"/>
      <c r="X660" s="55"/>
      <c r="Y660" s="53"/>
      <c r="Z660" s="183" t="str">
        <f>IFERROR(__xludf.DUMMYFUNCTION("QUERY('Volunteer Survey'!A659)"),"")</f>
        <v/>
      </c>
      <c r="AA660" s="183" t="str">
        <f>IFERROR(__xludf.DUMMYFUNCTION("QUERY('Volunteer Survey'!B659)"),"")</f>
        <v/>
      </c>
      <c r="AB660" s="183" t="str">
        <f>IFERROR(__xludf.DUMMYFUNCTION("QUERY('Volunteer Survey'!C659)"),"")</f>
        <v/>
      </c>
      <c r="AC660" s="183" t="str">
        <f>IFERROR(__xludf.DUMMYFUNCTION("QUERY('Volunteer Survey'!D659)"),"")</f>
        <v/>
      </c>
      <c r="AD660" s="183" t="str">
        <f>IFERROR(__xludf.DUMMYFUNCTION("QUERY('Volunteer Survey'!E659)"),"")</f>
        <v/>
      </c>
      <c r="AE660" s="183" t="str">
        <f>IFERROR(__xludf.DUMMYFUNCTION("QUERY('Volunteer Survey'!F659)"),"")</f>
        <v/>
      </c>
      <c r="AF660" s="183" t="str">
        <f>IFERROR(__xludf.DUMMYFUNCTION("QUERY('Volunteer Survey'!G659)"),"")</f>
        <v/>
      </c>
      <c r="AG660" s="183" t="str">
        <f>IFERROR(__xludf.DUMMYFUNCTION("QUERY('Volunteer Survey'!H659)"),"")</f>
        <v/>
      </c>
      <c r="AH660" s="183" t="str">
        <f>IFERROR(__xludf.DUMMYFUNCTION("QUERY('Volunteer Survey'!I659)"),"")</f>
        <v/>
      </c>
      <c r="AI660" s="183" t="str">
        <f>IFERROR(__xludf.DUMMYFUNCTION("QUERY('Volunteer Survey'!J659)"),"")</f>
        <v/>
      </c>
      <c r="AJ660" s="183" t="str">
        <f>IFERROR(__xludf.DUMMYFUNCTION("QUERY('Volunteer Survey'!K659)"),"")</f>
        <v/>
      </c>
      <c r="AK660" s="183" t="str">
        <f>IFERROR(__xludf.DUMMYFUNCTION("QUERY('Volunteer Survey'!L659)"),"")</f>
        <v/>
      </c>
      <c r="AL660" s="183" t="str">
        <f>IFERROR(__xludf.DUMMYFUNCTION("QUERY('Volunteer Survey'!M659)"),"")</f>
        <v/>
      </c>
      <c r="AM660" s="183" t="str">
        <f>IFERROR(__xludf.DUMMYFUNCTION("QUERY('Volunteer Survey'!N659)"),"")</f>
        <v/>
      </c>
      <c r="AN660" s="183" t="str">
        <f>IFERROR(__xludf.DUMMYFUNCTION("QUERY('Volunteer Survey'!O659)"),"")</f>
        <v/>
      </c>
      <c r="AO660" s="183" t="str">
        <f>IFERROR(__xludf.DUMMYFUNCTION("QUERY('Volunteer Survey'!P659)"),"")</f>
        <v/>
      </c>
    </row>
    <row r="661">
      <c r="A661" s="55"/>
      <c r="B661" s="55"/>
      <c r="C661" s="53"/>
      <c r="D661" s="55"/>
      <c r="E661" s="55"/>
      <c r="F661" s="55" t="b">
        <v>0</v>
      </c>
      <c r="G661" s="55"/>
      <c r="H661" s="53"/>
      <c r="I661" s="53"/>
      <c r="J661" s="55"/>
      <c r="K661" s="55"/>
      <c r="L661" s="55"/>
      <c r="M661" s="55"/>
      <c r="N661" s="55"/>
      <c r="O661" s="55" t="b">
        <v>0</v>
      </c>
      <c r="P661" s="55"/>
      <c r="Q661" s="55"/>
      <c r="R661" s="55"/>
      <c r="S661" s="55"/>
      <c r="T661" s="55"/>
      <c r="U661" s="64"/>
      <c r="V661" s="55"/>
      <c r="W661" s="64"/>
      <c r="X661" s="55"/>
      <c r="Y661" s="53"/>
      <c r="Z661" s="183" t="str">
        <f>IFERROR(__xludf.DUMMYFUNCTION("QUERY('Volunteer Survey'!A660)"),"")</f>
        <v/>
      </c>
      <c r="AA661" s="183" t="str">
        <f>IFERROR(__xludf.DUMMYFUNCTION("QUERY('Volunteer Survey'!B660)"),"")</f>
        <v/>
      </c>
      <c r="AB661" s="183" t="str">
        <f>IFERROR(__xludf.DUMMYFUNCTION("QUERY('Volunteer Survey'!C660)"),"")</f>
        <v/>
      </c>
      <c r="AC661" s="183" t="str">
        <f>IFERROR(__xludf.DUMMYFUNCTION("QUERY('Volunteer Survey'!D660)"),"")</f>
        <v/>
      </c>
      <c r="AD661" s="183" t="str">
        <f>IFERROR(__xludf.DUMMYFUNCTION("QUERY('Volunteer Survey'!E660)"),"")</f>
        <v/>
      </c>
      <c r="AE661" s="183" t="str">
        <f>IFERROR(__xludf.DUMMYFUNCTION("QUERY('Volunteer Survey'!F660)"),"")</f>
        <v/>
      </c>
      <c r="AF661" s="183" t="str">
        <f>IFERROR(__xludf.DUMMYFUNCTION("QUERY('Volunteer Survey'!G660)"),"")</f>
        <v/>
      </c>
      <c r="AG661" s="183" t="str">
        <f>IFERROR(__xludf.DUMMYFUNCTION("QUERY('Volunteer Survey'!H660)"),"")</f>
        <v/>
      </c>
      <c r="AH661" s="183" t="str">
        <f>IFERROR(__xludf.DUMMYFUNCTION("QUERY('Volunteer Survey'!I660)"),"")</f>
        <v/>
      </c>
      <c r="AI661" s="183" t="str">
        <f>IFERROR(__xludf.DUMMYFUNCTION("QUERY('Volunteer Survey'!J660)"),"")</f>
        <v/>
      </c>
      <c r="AJ661" s="183" t="str">
        <f>IFERROR(__xludf.DUMMYFUNCTION("QUERY('Volunteer Survey'!K660)"),"")</f>
        <v/>
      </c>
      <c r="AK661" s="183" t="str">
        <f>IFERROR(__xludf.DUMMYFUNCTION("QUERY('Volunteer Survey'!L660)"),"")</f>
        <v/>
      </c>
      <c r="AL661" s="183" t="str">
        <f>IFERROR(__xludf.DUMMYFUNCTION("QUERY('Volunteer Survey'!M660)"),"")</f>
        <v/>
      </c>
      <c r="AM661" s="183" t="str">
        <f>IFERROR(__xludf.DUMMYFUNCTION("QUERY('Volunteer Survey'!N660)"),"")</f>
        <v/>
      </c>
      <c r="AN661" s="183" t="str">
        <f>IFERROR(__xludf.DUMMYFUNCTION("QUERY('Volunteer Survey'!O660)"),"")</f>
        <v/>
      </c>
      <c r="AO661" s="183" t="str">
        <f>IFERROR(__xludf.DUMMYFUNCTION("QUERY('Volunteer Survey'!P660)"),"")</f>
        <v/>
      </c>
    </row>
    <row r="662">
      <c r="A662" s="55"/>
      <c r="B662" s="55"/>
      <c r="C662" s="53"/>
      <c r="D662" s="55"/>
      <c r="E662" s="55"/>
      <c r="F662" s="55" t="b">
        <v>0</v>
      </c>
      <c r="G662" s="55"/>
      <c r="H662" s="53"/>
      <c r="I662" s="53"/>
      <c r="J662" s="55"/>
      <c r="K662" s="55"/>
      <c r="L662" s="55"/>
      <c r="M662" s="55"/>
      <c r="N662" s="55"/>
      <c r="O662" s="55" t="b">
        <v>0</v>
      </c>
      <c r="P662" s="55"/>
      <c r="Q662" s="55"/>
      <c r="R662" s="55"/>
      <c r="S662" s="55"/>
      <c r="T662" s="55"/>
      <c r="U662" s="64"/>
      <c r="V662" s="55"/>
      <c r="W662" s="64"/>
      <c r="X662" s="55"/>
      <c r="Y662" s="53"/>
      <c r="Z662" s="183" t="str">
        <f>IFERROR(__xludf.DUMMYFUNCTION("QUERY('Volunteer Survey'!A661)"),"")</f>
        <v/>
      </c>
      <c r="AA662" s="183" t="str">
        <f>IFERROR(__xludf.DUMMYFUNCTION("QUERY('Volunteer Survey'!B661)"),"")</f>
        <v/>
      </c>
      <c r="AB662" s="183" t="str">
        <f>IFERROR(__xludf.DUMMYFUNCTION("QUERY('Volunteer Survey'!C661)"),"")</f>
        <v/>
      </c>
      <c r="AC662" s="183" t="str">
        <f>IFERROR(__xludf.DUMMYFUNCTION("QUERY('Volunteer Survey'!D661)"),"")</f>
        <v/>
      </c>
      <c r="AD662" s="183" t="str">
        <f>IFERROR(__xludf.DUMMYFUNCTION("QUERY('Volunteer Survey'!E661)"),"")</f>
        <v/>
      </c>
      <c r="AE662" s="183" t="str">
        <f>IFERROR(__xludf.DUMMYFUNCTION("QUERY('Volunteer Survey'!F661)"),"")</f>
        <v/>
      </c>
      <c r="AF662" s="183" t="str">
        <f>IFERROR(__xludf.DUMMYFUNCTION("QUERY('Volunteer Survey'!G661)"),"")</f>
        <v/>
      </c>
      <c r="AG662" s="183" t="str">
        <f>IFERROR(__xludf.DUMMYFUNCTION("QUERY('Volunteer Survey'!H661)"),"")</f>
        <v/>
      </c>
      <c r="AH662" s="183" t="str">
        <f>IFERROR(__xludf.DUMMYFUNCTION("QUERY('Volunteer Survey'!I661)"),"")</f>
        <v/>
      </c>
      <c r="AI662" s="183" t="str">
        <f>IFERROR(__xludf.DUMMYFUNCTION("QUERY('Volunteer Survey'!J661)"),"")</f>
        <v/>
      </c>
      <c r="AJ662" s="183" t="str">
        <f>IFERROR(__xludf.DUMMYFUNCTION("QUERY('Volunteer Survey'!K661)"),"")</f>
        <v/>
      </c>
      <c r="AK662" s="183" t="str">
        <f>IFERROR(__xludf.DUMMYFUNCTION("QUERY('Volunteer Survey'!L661)"),"")</f>
        <v/>
      </c>
      <c r="AL662" s="183" t="str">
        <f>IFERROR(__xludf.DUMMYFUNCTION("QUERY('Volunteer Survey'!M661)"),"")</f>
        <v/>
      </c>
      <c r="AM662" s="183" t="str">
        <f>IFERROR(__xludf.DUMMYFUNCTION("QUERY('Volunteer Survey'!N661)"),"")</f>
        <v/>
      </c>
      <c r="AN662" s="183" t="str">
        <f>IFERROR(__xludf.DUMMYFUNCTION("QUERY('Volunteer Survey'!O661)"),"")</f>
        <v/>
      </c>
      <c r="AO662" s="183" t="str">
        <f>IFERROR(__xludf.DUMMYFUNCTION("QUERY('Volunteer Survey'!P661)"),"")</f>
        <v/>
      </c>
    </row>
    <row r="663">
      <c r="A663" s="55"/>
      <c r="B663" s="55"/>
      <c r="C663" s="53"/>
      <c r="D663" s="55"/>
      <c r="E663" s="55"/>
      <c r="F663" s="55" t="b">
        <v>0</v>
      </c>
      <c r="G663" s="55"/>
      <c r="H663" s="53"/>
      <c r="I663" s="53"/>
      <c r="J663" s="55"/>
      <c r="K663" s="55"/>
      <c r="L663" s="55"/>
      <c r="M663" s="55"/>
      <c r="N663" s="55"/>
      <c r="O663" s="55" t="b">
        <v>0</v>
      </c>
      <c r="P663" s="55"/>
      <c r="Q663" s="55"/>
      <c r="R663" s="55"/>
      <c r="S663" s="55"/>
      <c r="T663" s="55"/>
      <c r="U663" s="64"/>
      <c r="V663" s="55"/>
      <c r="W663" s="64"/>
      <c r="X663" s="55"/>
      <c r="Y663" s="53"/>
      <c r="Z663" s="183" t="str">
        <f>IFERROR(__xludf.DUMMYFUNCTION("QUERY('Volunteer Survey'!A662)"),"")</f>
        <v/>
      </c>
      <c r="AA663" s="183" t="str">
        <f>IFERROR(__xludf.DUMMYFUNCTION("QUERY('Volunteer Survey'!B662)"),"")</f>
        <v/>
      </c>
      <c r="AB663" s="183" t="str">
        <f>IFERROR(__xludf.DUMMYFUNCTION("QUERY('Volunteer Survey'!C662)"),"")</f>
        <v/>
      </c>
      <c r="AC663" s="183" t="str">
        <f>IFERROR(__xludf.DUMMYFUNCTION("QUERY('Volunteer Survey'!D662)"),"")</f>
        <v/>
      </c>
      <c r="AD663" s="183" t="str">
        <f>IFERROR(__xludf.DUMMYFUNCTION("QUERY('Volunteer Survey'!E662)"),"")</f>
        <v/>
      </c>
      <c r="AE663" s="183" t="str">
        <f>IFERROR(__xludf.DUMMYFUNCTION("QUERY('Volunteer Survey'!F662)"),"")</f>
        <v/>
      </c>
      <c r="AF663" s="183" t="str">
        <f>IFERROR(__xludf.DUMMYFUNCTION("QUERY('Volunteer Survey'!G662)"),"")</f>
        <v/>
      </c>
      <c r="AG663" s="183" t="str">
        <f>IFERROR(__xludf.DUMMYFUNCTION("QUERY('Volunteer Survey'!H662)"),"")</f>
        <v/>
      </c>
      <c r="AH663" s="183" t="str">
        <f>IFERROR(__xludf.DUMMYFUNCTION("QUERY('Volunteer Survey'!I662)"),"")</f>
        <v/>
      </c>
      <c r="AI663" s="183" t="str">
        <f>IFERROR(__xludf.DUMMYFUNCTION("QUERY('Volunteer Survey'!J662)"),"")</f>
        <v/>
      </c>
      <c r="AJ663" s="183" t="str">
        <f>IFERROR(__xludf.DUMMYFUNCTION("QUERY('Volunteer Survey'!K662)"),"")</f>
        <v/>
      </c>
      <c r="AK663" s="183" t="str">
        <f>IFERROR(__xludf.DUMMYFUNCTION("QUERY('Volunteer Survey'!L662)"),"")</f>
        <v/>
      </c>
      <c r="AL663" s="183" t="str">
        <f>IFERROR(__xludf.DUMMYFUNCTION("QUERY('Volunteer Survey'!M662)"),"")</f>
        <v/>
      </c>
      <c r="AM663" s="183" t="str">
        <f>IFERROR(__xludf.DUMMYFUNCTION("QUERY('Volunteer Survey'!N662)"),"")</f>
        <v/>
      </c>
      <c r="AN663" s="183" t="str">
        <f>IFERROR(__xludf.DUMMYFUNCTION("QUERY('Volunteer Survey'!O662)"),"")</f>
        <v/>
      </c>
      <c r="AO663" s="183" t="str">
        <f>IFERROR(__xludf.DUMMYFUNCTION("QUERY('Volunteer Survey'!P662)"),"")</f>
        <v/>
      </c>
    </row>
    <row r="664">
      <c r="A664" s="55"/>
      <c r="B664" s="55"/>
      <c r="C664" s="53"/>
      <c r="D664" s="55"/>
      <c r="E664" s="55"/>
      <c r="F664" s="55" t="b">
        <v>0</v>
      </c>
      <c r="G664" s="55"/>
      <c r="H664" s="53"/>
      <c r="I664" s="53"/>
      <c r="J664" s="55"/>
      <c r="K664" s="55"/>
      <c r="L664" s="55"/>
      <c r="M664" s="55"/>
      <c r="N664" s="55"/>
      <c r="O664" s="55" t="b">
        <v>0</v>
      </c>
      <c r="P664" s="55"/>
      <c r="Q664" s="55"/>
      <c r="R664" s="55"/>
      <c r="S664" s="55"/>
      <c r="T664" s="55"/>
      <c r="U664" s="64"/>
      <c r="V664" s="55"/>
      <c r="W664" s="64"/>
      <c r="X664" s="55"/>
      <c r="Y664" s="53"/>
      <c r="Z664" s="183" t="str">
        <f>IFERROR(__xludf.DUMMYFUNCTION("QUERY('Volunteer Survey'!A663)"),"")</f>
        <v/>
      </c>
      <c r="AA664" s="183" t="str">
        <f>IFERROR(__xludf.DUMMYFUNCTION("QUERY('Volunteer Survey'!B663)"),"")</f>
        <v/>
      </c>
      <c r="AB664" s="183" t="str">
        <f>IFERROR(__xludf.DUMMYFUNCTION("QUERY('Volunteer Survey'!C663)"),"")</f>
        <v/>
      </c>
      <c r="AC664" s="183" t="str">
        <f>IFERROR(__xludf.DUMMYFUNCTION("QUERY('Volunteer Survey'!D663)"),"")</f>
        <v/>
      </c>
      <c r="AD664" s="183" t="str">
        <f>IFERROR(__xludf.DUMMYFUNCTION("QUERY('Volunteer Survey'!E663)"),"")</f>
        <v/>
      </c>
      <c r="AE664" s="183" t="str">
        <f>IFERROR(__xludf.DUMMYFUNCTION("QUERY('Volunteer Survey'!F663)"),"")</f>
        <v/>
      </c>
      <c r="AF664" s="183" t="str">
        <f>IFERROR(__xludf.DUMMYFUNCTION("QUERY('Volunteer Survey'!G663)"),"")</f>
        <v/>
      </c>
      <c r="AG664" s="183" t="str">
        <f>IFERROR(__xludf.DUMMYFUNCTION("QUERY('Volunteer Survey'!H663)"),"")</f>
        <v/>
      </c>
      <c r="AH664" s="183" t="str">
        <f>IFERROR(__xludf.DUMMYFUNCTION("QUERY('Volunteer Survey'!I663)"),"")</f>
        <v/>
      </c>
      <c r="AI664" s="183" t="str">
        <f>IFERROR(__xludf.DUMMYFUNCTION("QUERY('Volunteer Survey'!J663)"),"")</f>
        <v/>
      </c>
      <c r="AJ664" s="183" t="str">
        <f>IFERROR(__xludf.DUMMYFUNCTION("QUERY('Volunteer Survey'!K663)"),"")</f>
        <v/>
      </c>
      <c r="AK664" s="183" t="str">
        <f>IFERROR(__xludf.DUMMYFUNCTION("QUERY('Volunteer Survey'!L663)"),"")</f>
        <v/>
      </c>
      <c r="AL664" s="183" t="str">
        <f>IFERROR(__xludf.DUMMYFUNCTION("QUERY('Volunteer Survey'!M663)"),"")</f>
        <v/>
      </c>
      <c r="AM664" s="183" t="str">
        <f>IFERROR(__xludf.DUMMYFUNCTION("QUERY('Volunteer Survey'!N663)"),"")</f>
        <v/>
      </c>
      <c r="AN664" s="183" t="str">
        <f>IFERROR(__xludf.DUMMYFUNCTION("QUERY('Volunteer Survey'!O663)"),"")</f>
        <v/>
      </c>
      <c r="AO664" s="183" t="str">
        <f>IFERROR(__xludf.DUMMYFUNCTION("QUERY('Volunteer Survey'!P663)"),"")</f>
        <v/>
      </c>
    </row>
    <row r="665">
      <c r="A665" s="55"/>
      <c r="B665" s="55"/>
      <c r="C665" s="53"/>
      <c r="D665" s="55"/>
      <c r="E665" s="55"/>
      <c r="F665" s="55" t="b">
        <v>0</v>
      </c>
      <c r="G665" s="55"/>
      <c r="H665" s="53"/>
      <c r="I665" s="53"/>
      <c r="J665" s="55"/>
      <c r="K665" s="55"/>
      <c r="L665" s="55"/>
      <c r="M665" s="55"/>
      <c r="N665" s="55"/>
      <c r="O665" s="55" t="b">
        <v>0</v>
      </c>
      <c r="P665" s="55"/>
      <c r="Q665" s="55"/>
      <c r="R665" s="55"/>
      <c r="S665" s="55"/>
      <c r="T665" s="55"/>
      <c r="U665" s="64"/>
      <c r="V665" s="55"/>
      <c r="W665" s="64"/>
      <c r="X665" s="55"/>
      <c r="Y665" s="53"/>
      <c r="Z665" s="183" t="str">
        <f>IFERROR(__xludf.DUMMYFUNCTION("QUERY('Volunteer Survey'!A664)"),"")</f>
        <v/>
      </c>
      <c r="AA665" s="183" t="str">
        <f>IFERROR(__xludf.DUMMYFUNCTION("QUERY('Volunteer Survey'!B664)"),"")</f>
        <v/>
      </c>
      <c r="AB665" s="183" t="str">
        <f>IFERROR(__xludf.DUMMYFUNCTION("QUERY('Volunteer Survey'!C664)"),"")</f>
        <v/>
      </c>
      <c r="AC665" s="183" t="str">
        <f>IFERROR(__xludf.DUMMYFUNCTION("QUERY('Volunteer Survey'!D664)"),"")</f>
        <v/>
      </c>
      <c r="AD665" s="183" t="str">
        <f>IFERROR(__xludf.DUMMYFUNCTION("QUERY('Volunteer Survey'!E664)"),"")</f>
        <v/>
      </c>
      <c r="AE665" s="183" t="str">
        <f>IFERROR(__xludf.DUMMYFUNCTION("QUERY('Volunteer Survey'!F664)"),"")</f>
        <v/>
      </c>
      <c r="AF665" s="183" t="str">
        <f>IFERROR(__xludf.DUMMYFUNCTION("QUERY('Volunteer Survey'!G664)"),"")</f>
        <v/>
      </c>
      <c r="AG665" s="183" t="str">
        <f>IFERROR(__xludf.DUMMYFUNCTION("QUERY('Volunteer Survey'!H664)"),"")</f>
        <v/>
      </c>
      <c r="AH665" s="183" t="str">
        <f>IFERROR(__xludf.DUMMYFUNCTION("QUERY('Volunteer Survey'!I664)"),"")</f>
        <v/>
      </c>
      <c r="AI665" s="183" t="str">
        <f>IFERROR(__xludf.DUMMYFUNCTION("QUERY('Volunteer Survey'!J664)"),"")</f>
        <v/>
      </c>
      <c r="AJ665" s="183" t="str">
        <f>IFERROR(__xludf.DUMMYFUNCTION("QUERY('Volunteer Survey'!K664)"),"")</f>
        <v/>
      </c>
      <c r="AK665" s="183" t="str">
        <f>IFERROR(__xludf.DUMMYFUNCTION("QUERY('Volunteer Survey'!L664)"),"")</f>
        <v/>
      </c>
      <c r="AL665" s="183" t="str">
        <f>IFERROR(__xludf.DUMMYFUNCTION("QUERY('Volunteer Survey'!M664)"),"")</f>
        <v/>
      </c>
      <c r="AM665" s="183" t="str">
        <f>IFERROR(__xludf.DUMMYFUNCTION("QUERY('Volunteer Survey'!N664)"),"")</f>
        <v/>
      </c>
      <c r="AN665" s="183" t="str">
        <f>IFERROR(__xludf.DUMMYFUNCTION("QUERY('Volunteer Survey'!O664)"),"")</f>
        <v/>
      </c>
      <c r="AO665" s="183" t="str">
        <f>IFERROR(__xludf.DUMMYFUNCTION("QUERY('Volunteer Survey'!P664)"),"")</f>
        <v/>
      </c>
    </row>
    <row r="666">
      <c r="A666" s="55"/>
      <c r="B666" s="55"/>
      <c r="C666" s="53"/>
      <c r="D666" s="55"/>
      <c r="E666" s="55"/>
      <c r="F666" s="55" t="b">
        <v>0</v>
      </c>
      <c r="G666" s="55"/>
      <c r="H666" s="53"/>
      <c r="I666" s="53"/>
      <c r="J666" s="55"/>
      <c r="K666" s="55"/>
      <c r="L666" s="55"/>
      <c r="M666" s="55"/>
      <c r="N666" s="55"/>
      <c r="O666" s="55" t="b">
        <v>0</v>
      </c>
      <c r="P666" s="55"/>
      <c r="Q666" s="55"/>
      <c r="R666" s="55"/>
      <c r="S666" s="55"/>
      <c r="T666" s="55"/>
      <c r="U666" s="64"/>
      <c r="V666" s="55"/>
      <c r="W666" s="64"/>
      <c r="X666" s="55"/>
      <c r="Y666" s="53"/>
      <c r="Z666" s="183" t="str">
        <f>IFERROR(__xludf.DUMMYFUNCTION("QUERY('Volunteer Survey'!A665)"),"")</f>
        <v/>
      </c>
      <c r="AA666" s="183" t="str">
        <f>IFERROR(__xludf.DUMMYFUNCTION("QUERY('Volunteer Survey'!B665)"),"")</f>
        <v/>
      </c>
      <c r="AB666" s="183" t="str">
        <f>IFERROR(__xludf.DUMMYFUNCTION("QUERY('Volunteer Survey'!C665)"),"")</f>
        <v/>
      </c>
      <c r="AC666" s="183" t="str">
        <f>IFERROR(__xludf.DUMMYFUNCTION("QUERY('Volunteer Survey'!D665)"),"")</f>
        <v/>
      </c>
      <c r="AD666" s="183" t="str">
        <f>IFERROR(__xludf.DUMMYFUNCTION("QUERY('Volunteer Survey'!E665)"),"")</f>
        <v/>
      </c>
      <c r="AE666" s="183" t="str">
        <f>IFERROR(__xludf.DUMMYFUNCTION("QUERY('Volunteer Survey'!F665)"),"")</f>
        <v/>
      </c>
      <c r="AF666" s="183" t="str">
        <f>IFERROR(__xludf.DUMMYFUNCTION("QUERY('Volunteer Survey'!G665)"),"")</f>
        <v/>
      </c>
      <c r="AG666" s="183" t="str">
        <f>IFERROR(__xludf.DUMMYFUNCTION("QUERY('Volunteer Survey'!H665)"),"")</f>
        <v/>
      </c>
      <c r="AH666" s="183" t="str">
        <f>IFERROR(__xludf.DUMMYFUNCTION("QUERY('Volunteer Survey'!I665)"),"")</f>
        <v/>
      </c>
      <c r="AI666" s="183" t="str">
        <f>IFERROR(__xludf.DUMMYFUNCTION("QUERY('Volunteer Survey'!J665)"),"")</f>
        <v/>
      </c>
      <c r="AJ666" s="183" t="str">
        <f>IFERROR(__xludf.DUMMYFUNCTION("QUERY('Volunteer Survey'!K665)"),"")</f>
        <v/>
      </c>
      <c r="AK666" s="183" t="str">
        <f>IFERROR(__xludf.DUMMYFUNCTION("QUERY('Volunteer Survey'!L665)"),"")</f>
        <v/>
      </c>
      <c r="AL666" s="183" t="str">
        <f>IFERROR(__xludf.DUMMYFUNCTION("QUERY('Volunteer Survey'!M665)"),"")</f>
        <v/>
      </c>
      <c r="AM666" s="183" t="str">
        <f>IFERROR(__xludf.DUMMYFUNCTION("QUERY('Volunteer Survey'!N665)"),"")</f>
        <v/>
      </c>
      <c r="AN666" s="183" t="str">
        <f>IFERROR(__xludf.DUMMYFUNCTION("QUERY('Volunteer Survey'!O665)"),"")</f>
        <v/>
      </c>
      <c r="AO666" s="183" t="str">
        <f>IFERROR(__xludf.DUMMYFUNCTION("QUERY('Volunteer Survey'!P665)"),"")</f>
        <v/>
      </c>
    </row>
    <row r="667">
      <c r="A667" s="55"/>
      <c r="B667" s="55"/>
      <c r="C667" s="53"/>
      <c r="D667" s="55"/>
      <c r="E667" s="55"/>
      <c r="F667" s="55" t="b">
        <v>0</v>
      </c>
      <c r="G667" s="55"/>
      <c r="H667" s="53"/>
      <c r="I667" s="53"/>
      <c r="J667" s="55"/>
      <c r="K667" s="55"/>
      <c r="L667" s="55"/>
      <c r="M667" s="55"/>
      <c r="N667" s="55"/>
      <c r="O667" s="55" t="b">
        <v>0</v>
      </c>
      <c r="P667" s="55"/>
      <c r="Q667" s="55"/>
      <c r="R667" s="55"/>
      <c r="S667" s="55"/>
      <c r="T667" s="55"/>
      <c r="U667" s="64"/>
      <c r="V667" s="55"/>
      <c r="W667" s="64"/>
      <c r="X667" s="55"/>
      <c r="Y667" s="53"/>
      <c r="Z667" s="183" t="str">
        <f>IFERROR(__xludf.DUMMYFUNCTION("QUERY('Volunteer Survey'!A666)"),"")</f>
        <v/>
      </c>
      <c r="AA667" s="183" t="str">
        <f>IFERROR(__xludf.DUMMYFUNCTION("QUERY('Volunteer Survey'!B666)"),"")</f>
        <v/>
      </c>
      <c r="AB667" s="183" t="str">
        <f>IFERROR(__xludf.DUMMYFUNCTION("QUERY('Volunteer Survey'!C666)"),"")</f>
        <v/>
      </c>
      <c r="AC667" s="183" t="str">
        <f>IFERROR(__xludf.DUMMYFUNCTION("QUERY('Volunteer Survey'!D666)"),"")</f>
        <v/>
      </c>
      <c r="AD667" s="183" t="str">
        <f>IFERROR(__xludf.DUMMYFUNCTION("QUERY('Volunteer Survey'!E666)"),"")</f>
        <v/>
      </c>
      <c r="AE667" s="183" t="str">
        <f>IFERROR(__xludf.DUMMYFUNCTION("QUERY('Volunteer Survey'!F666)"),"")</f>
        <v/>
      </c>
      <c r="AF667" s="183" t="str">
        <f>IFERROR(__xludf.DUMMYFUNCTION("QUERY('Volunteer Survey'!G666)"),"")</f>
        <v/>
      </c>
      <c r="AG667" s="183" t="str">
        <f>IFERROR(__xludf.DUMMYFUNCTION("QUERY('Volunteer Survey'!H666)"),"")</f>
        <v/>
      </c>
      <c r="AH667" s="183" t="str">
        <f>IFERROR(__xludf.DUMMYFUNCTION("QUERY('Volunteer Survey'!I666)"),"")</f>
        <v/>
      </c>
      <c r="AI667" s="183" t="str">
        <f>IFERROR(__xludf.DUMMYFUNCTION("QUERY('Volunteer Survey'!J666)"),"")</f>
        <v/>
      </c>
      <c r="AJ667" s="183" t="str">
        <f>IFERROR(__xludf.DUMMYFUNCTION("QUERY('Volunteer Survey'!K666)"),"")</f>
        <v/>
      </c>
      <c r="AK667" s="183" t="str">
        <f>IFERROR(__xludf.DUMMYFUNCTION("QUERY('Volunteer Survey'!L666)"),"")</f>
        <v/>
      </c>
      <c r="AL667" s="183" t="str">
        <f>IFERROR(__xludf.DUMMYFUNCTION("QUERY('Volunteer Survey'!M666)"),"")</f>
        <v/>
      </c>
      <c r="AM667" s="183" t="str">
        <f>IFERROR(__xludf.DUMMYFUNCTION("QUERY('Volunteer Survey'!N666)"),"")</f>
        <v/>
      </c>
      <c r="AN667" s="183" t="str">
        <f>IFERROR(__xludf.DUMMYFUNCTION("QUERY('Volunteer Survey'!O666)"),"")</f>
        <v/>
      </c>
      <c r="AO667" s="183" t="str">
        <f>IFERROR(__xludf.DUMMYFUNCTION("QUERY('Volunteer Survey'!P666)"),"")</f>
        <v/>
      </c>
    </row>
    <row r="668">
      <c r="A668" s="55"/>
      <c r="B668" s="55"/>
      <c r="C668" s="53"/>
      <c r="D668" s="55"/>
      <c r="E668" s="55"/>
      <c r="F668" s="55" t="b">
        <v>0</v>
      </c>
      <c r="G668" s="55"/>
      <c r="H668" s="53"/>
      <c r="I668" s="53"/>
      <c r="J668" s="55"/>
      <c r="K668" s="55"/>
      <c r="L668" s="55"/>
      <c r="M668" s="55"/>
      <c r="N668" s="55"/>
      <c r="O668" s="55" t="b">
        <v>0</v>
      </c>
      <c r="P668" s="55"/>
      <c r="Q668" s="55"/>
      <c r="R668" s="55"/>
      <c r="S668" s="55"/>
      <c r="T668" s="55"/>
      <c r="U668" s="64"/>
      <c r="V668" s="55"/>
      <c r="W668" s="64"/>
      <c r="X668" s="55"/>
      <c r="Y668" s="53"/>
      <c r="Z668" s="183" t="str">
        <f>IFERROR(__xludf.DUMMYFUNCTION("QUERY('Volunteer Survey'!A667)"),"")</f>
        <v/>
      </c>
      <c r="AA668" s="183" t="str">
        <f>IFERROR(__xludf.DUMMYFUNCTION("QUERY('Volunteer Survey'!B667)"),"")</f>
        <v/>
      </c>
      <c r="AB668" s="183" t="str">
        <f>IFERROR(__xludf.DUMMYFUNCTION("QUERY('Volunteer Survey'!C667)"),"")</f>
        <v/>
      </c>
      <c r="AC668" s="183" t="str">
        <f>IFERROR(__xludf.DUMMYFUNCTION("QUERY('Volunteer Survey'!D667)"),"")</f>
        <v/>
      </c>
      <c r="AD668" s="183" t="str">
        <f>IFERROR(__xludf.DUMMYFUNCTION("QUERY('Volunteer Survey'!E667)"),"")</f>
        <v/>
      </c>
      <c r="AE668" s="183" t="str">
        <f>IFERROR(__xludf.DUMMYFUNCTION("QUERY('Volunteer Survey'!F667)"),"")</f>
        <v/>
      </c>
      <c r="AF668" s="183" t="str">
        <f>IFERROR(__xludf.DUMMYFUNCTION("QUERY('Volunteer Survey'!G667)"),"")</f>
        <v/>
      </c>
      <c r="AG668" s="183" t="str">
        <f>IFERROR(__xludf.DUMMYFUNCTION("QUERY('Volunteer Survey'!H667)"),"")</f>
        <v/>
      </c>
      <c r="AH668" s="183" t="str">
        <f>IFERROR(__xludf.DUMMYFUNCTION("QUERY('Volunteer Survey'!I667)"),"")</f>
        <v/>
      </c>
      <c r="AI668" s="183" t="str">
        <f>IFERROR(__xludf.DUMMYFUNCTION("QUERY('Volunteer Survey'!J667)"),"")</f>
        <v/>
      </c>
      <c r="AJ668" s="183" t="str">
        <f>IFERROR(__xludf.DUMMYFUNCTION("QUERY('Volunteer Survey'!K667)"),"")</f>
        <v/>
      </c>
      <c r="AK668" s="183" t="str">
        <f>IFERROR(__xludf.DUMMYFUNCTION("QUERY('Volunteer Survey'!L667)"),"")</f>
        <v/>
      </c>
      <c r="AL668" s="183" t="str">
        <f>IFERROR(__xludf.DUMMYFUNCTION("QUERY('Volunteer Survey'!M667)"),"")</f>
        <v/>
      </c>
      <c r="AM668" s="183" t="str">
        <f>IFERROR(__xludf.DUMMYFUNCTION("QUERY('Volunteer Survey'!N667)"),"")</f>
        <v/>
      </c>
      <c r="AN668" s="183" t="str">
        <f>IFERROR(__xludf.DUMMYFUNCTION("QUERY('Volunteer Survey'!O667)"),"")</f>
        <v/>
      </c>
      <c r="AO668" s="183" t="str">
        <f>IFERROR(__xludf.DUMMYFUNCTION("QUERY('Volunteer Survey'!P667)"),"")</f>
        <v/>
      </c>
    </row>
    <row r="669">
      <c r="A669" s="55"/>
      <c r="B669" s="55"/>
      <c r="C669" s="53"/>
      <c r="D669" s="55"/>
      <c r="E669" s="55"/>
      <c r="F669" s="55" t="b">
        <v>0</v>
      </c>
      <c r="G669" s="55"/>
      <c r="H669" s="53"/>
      <c r="I669" s="53"/>
      <c r="J669" s="55"/>
      <c r="K669" s="55"/>
      <c r="L669" s="55"/>
      <c r="M669" s="55"/>
      <c r="N669" s="55"/>
      <c r="O669" s="55" t="b">
        <v>0</v>
      </c>
      <c r="P669" s="55"/>
      <c r="Q669" s="55"/>
      <c r="R669" s="55"/>
      <c r="S669" s="55"/>
      <c r="T669" s="55"/>
      <c r="U669" s="64"/>
      <c r="V669" s="55"/>
      <c r="W669" s="64"/>
      <c r="X669" s="55"/>
      <c r="Y669" s="53"/>
      <c r="Z669" s="183" t="str">
        <f>IFERROR(__xludf.DUMMYFUNCTION("QUERY('Volunteer Survey'!A668)"),"")</f>
        <v/>
      </c>
      <c r="AA669" s="183" t="str">
        <f>IFERROR(__xludf.DUMMYFUNCTION("QUERY('Volunteer Survey'!B668)"),"")</f>
        <v/>
      </c>
      <c r="AB669" s="183" t="str">
        <f>IFERROR(__xludf.DUMMYFUNCTION("QUERY('Volunteer Survey'!C668)"),"")</f>
        <v/>
      </c>
      <c r="AC669" s="183" t="str">
        <f>IFERROR(__xludf.DUMMYFUNCTION("QUERY('Volunteer Survey'!D668)"),"")</f>
        <v/>
      </c>
      <c r="AD669" s="183" t="str">
        <f>IFERROR(__xludf.DUMMYFUNCTION("QUERY('Volunteer Survey'!E668)"),"")</f>
        <v/>
      </c>
      <c r="AE669" s="183" t="str">
        <f>IFERROR(__xludf.DUMMYFUNCTION("QUERY('Volunteer Survey'!F668)"),"")</f>
        <v/>
      </c>
      <c r="AF669" s="183" t="str">
        <f>IFERROR(__xludf.DUMMYFUNCTION("QUERY('Volunteer Survey'!G668)"),"")</f>
        <v/>
      </c>
      <c r="AG669" s="183" t="str">
        <f>IFERROR(__xludf.DUMMYFUNCTION("QUERY('Volunteer Survey'!H668)"),"")</f>
        <v/>
      </c>
      <c r="AH669" s="183" t="str">
        <f>IFERROR(__xludf.DUMMYFUNCTION("QUERY('Volunteer Survey'!I668)"),"")</f>
        <v/>
      </c>
      <c r="AI669" s="183" t="str">
        <f>IFERROR(__xludf.DUMMYFUNCTION("QUERY('Volunteer Survey'!J668)"),"")</f>
        <v/>
      </c>
      <c r="AJ669" s="183" t="str">
        <f>IFERROR(__xludf.DUMMYFUNCTION("QUERY('Volunteer Survey'!K668)"),"")</f>
        <v/>
      </c>
      <c r="AK669" s="183" t="str">
        <f>IFERROR(__xludf.DUMMYFUNCTION("QUERY('Volunteer Survey'!L668)"),"")</f>
        <v/>
      </c>
      <c r="AL669" s="183" t="str">
        <f>IFERROR(__xludf.DUMMYFUNCTION("QUERY('Volunteer Survey'!M668)"),"")</f>
        <v/>
      </c>
      <c r="AM669" s="183" t="str">
        <f>IFERROR(__xludf.DUMMYFUNCTION("QUERY('Volunteer Survey'!N668)"),"")</f>
        <v/>
      </c>
      <c r="AN669" s="183" t="str">
        <f>IFERROR(__xludf.DUMMYFUNCTION("QUERY('Volunteer Survey'!O668)"),"")</f>
        <v/>
      </c>
      <c r="AO669" s="183" t="str">
        <f>IFERROR(__xludf.DUMMYFUNCTION("QUERY('Volunteer Survey'!P668)"),"")</f>
        <v/>
      </c>
    </row>
    <row r="670">
      <c r="A670" s="55"/>
      <c r="B670" s="55"/>
      <c r="C670" s="53"/>
      <c r="D670" s="55"/>
      <c r="E670" s="55"/>
      <c r="F670" s="55" t="b">
        <v>0</v>
      </c>
      <c r="G670" s="55"/>
      <c r="H670" s="53"/>
      <c r="I670" s="53"/>
      <c r="J670" s="55"/>
      <c r="K670" s="55"/>
      <c r="L670" s="55"/>
      <c r="M670" s="55"/>
      <c r="N670" s="55"/>
      <c r="O670" s="55" t="b">
        <v>0</v>
      </c>
      <c r="P670" s="55"/>
      <c r="Q670" s="55"/>
      <c r="R670" s="55"/>
      <c r="S670" s="55"/>
      <c r="T670" s="55"/>
      <c r="U670" s="64"/>
      <c r="V670" s="55"/>
      <c r="W670" s="64"/>
      <c r="X670" s="55"/>
      <c r="Y670" s="53"/>
      <c r="Z670" s="183" t="str">
        <f>IFERROR(__xludf.DUMMYFUNCTION("QUERY('Volunteer Survey'!A669)"),"")</f>
        <v/>
      </c>
      <c r="AA670" s="183" t="str">
        <f>IFERROR(__xludf.DUMMYFUNCTION("QUERY('Volunteer Survey'!B669)"),"")</f>
        <v/>
      </c>
      <c r="AB670" s="183" t="str">
        <f>IFERROR(__xludf.DUMMYFUNCTION("QUERY('Volunteer Survey'!C669)"),"")</f>
        <v/>
      </c>
      <c r="AC670" s="183" t="str">
        <f>IFERROR(__xludf.DUMMYFUNCTION("QUERY('Volunteer Survey'!D669)"),"")</f>
        <v/>
      </c>
      <c r="AD670" s="183" t="str">
        <f>IFERROR(__xludf.DUMMYFUNCTION("QUERY('Volunteer Survey'!E669)"),"")</f>
        <v/>
      </c>
      <c r="AE670" s="183" t="str">
        <f>IFERROR(__xludf.DUMMYFUNCTION("QUERY('Volunteer Survey'!F669)"),"")</f>
        <v/>
      </c>
      <c r="AF670" s="183" t="str">
        <f>IFERROR(__xludf.DUMMYFUNCTION("QUERY('Volunteer Survey'!G669)"),"")</f>
        <v/>
      </c>
      <c r="AG670" s="183" t="str">
        <f>IFERROR(__xludf.DUMMYFUNCTION("QUERY('Volunteer Survey'!H669)"),"")</f>
        <v/>
      </c>
      <c r="AH670" s="183" t="str">
        <f>IFERROR(__xludf.DUMMYFUNCTION("QUERY('Volunteer Survey'!I669)"),"")</f>
        <v/>
      </c>
      <c r="AI670" s="183" t="str">
        <f>IFERROR(__xludf.DUMMYFUNCTION("QUERY('Volunteer Survey'!J669)"),"")</f>
        <v/>
      </c>
      <c r="AJ670" s="183" t="str">
        <f>IFERROR(__xludf.DUMMYFUNCTION("QUERY('Volunteer Survey'!K669)"),"")</f>
        <v/>
      </c>
      <c r="AK670" s="183" t="str">
        <f>IFERROR(__xludf.DUMMYFUNCTION("QUERY('Volunteer Survey'!L669)"),"")</f>
        <v/>
      </c>
      <c r="AL670" s="183" t="str">
        <f>IFERROR(__xludf.DUMMYFUNCTION("QUERY('Volunteer Survey'!M669)"),"")</f>
        <v/>
      </c>
      <c r="AM670" s="183" t="str">
        <f>IFERROR(__xludf.DUMMYFUNCTION("QUERY('Volunteer Survey'!N669)"),"")</f>
        <v/>
      </c>
      <c r="AN670" s="183" t="str">
        <f>IFERROR(__xludf.DUMMYFUNCTION("QUERY('Volunteer Survey'!O669)"),"")</f>
        <v/>
      </c>
      <c r="AO670" s="183" t="str">
        <f>IFERROR(__xludf.DUMMYFUNCTION("QUERY('Volunteer Survey'!P669)"),"")</f>
        <v/>
      </c>
    </row>
    <row r="671">
      <c r="A671" s="55"/>
      <c r="B671" s="55"/>
      <c r="C671" s="53"/>
      <c r="D671" s="55"/>
      <c r="E671" s="55"/>
      <c r="F671" s="55" t="b">
        <v>0</v>
      </c>
      <c r="G671" s="55"/>
      <c r="H671" s="53"/>
      <c r="I671" s="53"/>
      <c r="J671" s="55"/>
      <c r="K671" s="55"/>
      <c r="L671" s="55"/>
      <c r="M671" s="55"/>
      <c r="N671" s="55"/>
      <c r="O671" s="55" t="b">
        <v>0</v>
      </c>
      <c r="P671" s="55"/>
      <c r="Q671" s="55"/>
      <c r="R671" s="55"/>
      <c r="S671" s="55"/>
      <c r="T671" s="55"/>
      <c r="U671" s="64"/>
      <c r="V671" s="55"/>
      <c r="W671" s="64"/>
      <c r="X671" s="55"/>
      <c r="Y671" s="53"/>
      <c r="Z671" s="183" t="str">
        <f>IFERROR(__xludf.DUMMYFUNCTION("QUERY('Volunteer Survey'!A670)"),"")</f>
        <v/>
      </c>
      <c r="AA671" s="183" t="str">
        <f>IFERROR(__xludf.DUMMYFUNCTION("QUERY('Volunteer Survey'!B670)"),"")</f>
        <v/>
      </c>
      <c r="AB671" s="183" t="str">
        <f>IFERROR(__xludf.DUMMYFUNCTION("QUERY('Volunteer Survey'!C670)"),"")</f>
        <v/>
      </c>
      <c r="AC671" s="183" t="str">
        <f>IFERROR(__xludf.DUMMYFUNCTION("QUERY('Volunteer Survey'!D670)"),"")</f>
        <v/>
      </c>
      <c r="AD671" s="183" t="str">
        <f>IFERROR(__xludf.DUMMYFUNCTION("QUERY('Volunteer Survey'!E670)"),"")</f>
        <v/>
      </c>
      <c r="AE671" s="183" t="str">
        <f>IFERROR(__xludf.DUMMYFUNCTION("QUERY('Volunteer Survey'!F670)"),"")</f>
        <v/>
      </c>
      <c r="AF671" s="183" t="str">
        <f>IFERROR(__xludf.DUMMYFUNCTION("QUERY('Volunteer Survey'!G670)"),"")</f>
        <v/>
      </c>
      <c r="AG671" s="183" t="str">
        <f>IFERROR(__xludf.DUMMYFUNCTION("QUERY('Volunteer Survey'!H670)"),"")</f>
        <v/>
      </c>
      <c r="AH671" s="183" t="str">
        <f>IFERROR(__xludf.DUMMYFUNCTION("QUERY('Volunteer Survey'!I670)"),"")</f>
        <v/>
      </c>
      <c r="AI671" s="183" t="str">
        <f>IFERROR(__xludf.DUMMYFUNCTION("QUERY('Volunteer Survey'!J670)"),"")</f>
        <v/>
      </c>
      <c r="AJ671" s="183" t="str">
        <f>IFERROR(__xludf.DUMMYFUNCTION("QUERY('Volunteer Survey'!K670)"),"")</f>
        <v/>
      </c>
      <c r="AK671" s="183" t="str">
        <f>IFERROR(__xludf.DUMMYFUNCTION("QUERY('Volunteer Survey'!L670)"),"")</f>
        <v/>
      </c>
      <c r="AL671" s="183" t="str">
        <f>IFERROR(__xludf.DUMMYFUNCTION("QUERY('Volunteer Survey'!M670)"),"")</f>
        <v/>
      </c>
      <c r="AM671" s="183" t="str">
        <f>IFERROR(__xludf.DUMMYFUNCTION("QUERY('Volunteer Survey'!N670)"),"")</f>
        <v/>
      </c>
      <c r="AN671" s="183" t="str">
        <f>IFERROR(__xludf.DUMMYFUNCTION("QUERY('Volunteer Survey'!O670)"),"")</f>
        <v/>
      </c>
      <c r="AO671" s="183" t="str">
        <f>IFERROR(__xludf.DUMMYFUNCTION("QUERY('Volunteer Survey'!P670)"),"")</f>
        <v/>
      </c>
    </row>
    <row r="672">
      <c r="A672" s="55"/>
      <c r="B672" s="55"/>
      <c r="C672" s="53"/>
      <c r="D672" s="55"/>
      <c r="E672" s="55"/>
      <c r="F672" s="55" t="b">
        <v>0</v>
      </c>
      <c r="G672" s="55"/>
      <c r="H672" s="53"/>
      <c r="I672" s="53"/>
      <c r="J672" s="55"/>
      <c r="K672" s="55"/>
      <c r="L672" s="55"/>
      <c r="M672" s="55"/>
      <c r="N672" s="55"/>
      <c r="O672" s="55" t="b">
        <v>0</v>
      </c>
      <c r="P672" s="55"/>
      <c r="Q672" s="55"/>
      <c r="R672" s="55"/>
      <c r="S672" s="55"/>
      <c r="T672" s="55"/>
      <c r="U672" s="64"/>
      <c r="V672" s="55"/>
      <c r="W672" s="64"/>
      <c r="X672" s="55"/>
      <c r="Y672" s="53"/>
      <c r="Z672" s="183" t="str">
        <f>IFERROR(__xludf.DUMMYFUNCTION("QUERY('Volunteer Survey'!A671)"),"")</f>
        <v/>
      </c>
      <c r="AA672" s="183" t="str">
        <f>IFERROR(__xludf.DUMMYFUNCTION("QUERY('Volunteer Survey'!B671)"),"")</f>
        <v/>
      </c>
      <c r="AB672" s="183" t="str">
        <f>IFERROR(__xludf.DUMMYFUNCTION("QUERY('Volunteer Survey'!C671)"),"")</f>
        <v/>
      </c>
      <c r="AC672" s="183" t="str">
        <f>IFERROR(__xludf.DUMMYFUNCTION("QUERY('Volunteer Survey'!D671)"),"")</f>
        <v/>
      </c>
      <c r="AD672" s="183" t="str">
        <f>IFERROR(__xludf.DUMMYFUNCTION("QUERY('Volunteer Survey'!E671)"),"")</f>
        <v/>
      </c>
      <c r="AE672" s="183" t="str">
        <f>IFERROR(__xludf.DUMMYFUNCTION("QUERY('Volunteer Survey'!F671)"),"")</f>
        <v/>
      </c>
      <c r="AF672" s="183" t="str">
        <f>IFERROR(__xludf.DUMMYFUNCTION("QUERY('Volunteer Survey'!G671)"),"")</f>
        <v/>
      </c>
      <c r="AG672" s="183" t="str">
        <f>IFERROR(__xludf.DUMMYFUNCTION("QUERY('Volunteer Survey'!H671)"),"")</f>
        <v/>
      </c>
      <c r="AH672" s="183" t="str">
        <f>IFERROR(__xludf.DUMMYFUNCTION("QUERY('Volunteer Survey'!I671)"),"")</f>
        <v/>
      </c>
      <c r="AI672" s="183" t="str">
        <f>IFERROR(__xludf.DUMMYFUNCTION("QUERY('Volunteer Survey'!J671)"),"")</f>
        <v/>
      </c>
      <c r="AJ672" s="183" t="str">
        <f>IFERROR(__xludf.DUMMYFUNCTION("QUERY('Volunteer Survey'!K671)"),"")</f>
        <v/>
      </c>
      <c r="AK672" s="183" t="str">
        <f>IFERROR(__xludf.DUMMYFUNCTION("QUERY('Volunteer Survey'!L671)"),"")</f>
        <v/>
      </c>
      <c r="AL672" s="183" t="str">
        <f>IFERROR(__xludf.DUMMYFUNCTION("QUERY('Volunteer Survey'!M671)"),"")</f>
        <v/>
      </c>
      <c r="AM672" s="183" t="str">
        <f>IFERROR(__xludf.DUMMYFUNCTION("QUERY('Volunteer Survey'!N671)"),"")</f>
        <v/>
      </c>
      <c r="AN672" s="183" t="str">
        <f>IFERROR(__xludf.DUMMYFUNCTION("QUERY('Volunteer Survey'!O671)"),"")</f>
        <v/>
      </c>
      <c r="AO672" s="183" t="str">
        <f>IFERROR(__xludf.DUMMYFUNCTION("QUERY('Volunteer Survey'!P671)"),"")</f>
        <v/>
      </c>
    </row>
    <row r="673">
      <c r="A673" s="55"/>
      <c r="B673" s="55"/>
      <c r="C673" s="53"/>
      <c r="D673" s="55"/>
      <c r="E673" s="55"/>
      <c r="F673" s="55" t="b">
        <v>0</v>
      </c>
      <c r="G673" s="55"/>
      <c r="H673" s="53"/>
      <c r="I673" s="53"/>
      <c r="J673" s="55"/>
      <c r="K673" s="55"/>
      <c r="L673" s="55"/>
      <c r="M673" s="55"/>
      <c r="N673" s="55"/>
      <c r="O673" s="55" t="b">
        <v>0</v>
      </c>
      <c r="P673" s="55"/>
      <c r="Q673" s="55"/>
      <c r="R673" s="55"/>
      <c r="S673" s="55"/>
      <c r="T673" s="55"/>
      <c r="U673" s="64"/>
      <c r="V673" s="55"/>
      <c r="W673" s="64"/>
      <c r="X673" s="55"/>
      <c r="Y673" s="53"/>
      <c r="Z673" s="183" t="str">
        <f>IFERROR(__xludf.DUMMYFUNCTION("QUERY('Volunteer Survey'!A672)"),"")</f>
        <v/>
      </c>
      <c r="AA673" s="183" t="str">
        <f>IFERROR(__xludf.DUMMYFUNCTION("QUERY('Volunteer Survey'!B672)"),"")</f>
        <v/>
      </c>
      <c r="AB673" s="183" t="str">
        <f>IFERROR(__xludf.DUMMYFUNCTION("QUERY('Volunteer Survey'!C672)"),"")</f>
        <v/>
      </c>
      <c r="AC673" s="183" t="str">
        <f>IFERROR(__xludf.DUMMYFUNCTION("QUERY('Volunteer Survey'!D672)"),"")</f>
        <v/>
      </c>
      <c r="AD673" s="183" t="str">
        <f>IFERROR(__xludf.DUMMYFUNCTION("QUERY('Volunteer Survey'!E672)"),"")</f>
        <v/>
      </c>
      <c r="AE673" s="183" t="str">
        <f>IFERROR(__xludf.DUMMYFUNCTION("QUERY('Volunteer Survey'!F672)"),"")</f>
        <v/>
      </c>
      <c r="AF673" s="183" t="str">
        <f>IFERROR(__xludf.DUMMYFUNCTION("QUERY('Volunteer Survey'!G672)"),"")</f>
        <v/>
      </c>
      <c r="AG673" s="183" t="str">
        <f>IFERROR(__xludf.DUMMYFUNCTION("QUERY('Volunteer Survey'!H672)"),"")</f>
        <v/>
      </c>
      <c r="AH673" s="183" t="str">
        <f>IFERROR(__xludf.DUMMYFUNCTION("QUERY('Volunteer Survey'!I672)"),"")</f>
        <v/>
      </c>
      <c r="AI673" s="183" t="str">
        <f>IFERROR(__xludf.DUMMYFUNCTION("QUERY('Volunteer Survey'!J672)"),"")</f>
        <v/>
      </c>
      <c r="AJ673" s="183" t="str">
        <f>IFERROR(__xludf.DUMMYFUNCTION("QUERY('Volunteer Survey'!K672)"),"")</f>
        <v/>
      </c>
      <c r="AK673" s="183" t="str">
        <f>IFERROR(__xludf.DUMMYFUNCTION("QUERY('Volunteer Survey'!L672)"),"")</f>
        <v/>
      </c>
      <c r="AL673" s="183" t="str">
        <f>IFERROR(__xludf.DUMMYFUNCTION("QUERY('Volunteer Survey'!M672)"),"")</f>
        <v/>
      </c>
      <c r="AM673" s="183" t="str">
        <f>IFERROR(__xludf.DUMMYFUNCTION("QUERY('Volunteer Survey'!N672)"),"")</f>
        <v/>
      </c>
      <c r="AN673" s="183" t="str">
        <f>IFERROR(__xludf.DUMMYFUNCTION("QUERY('Volunteer Survey'!O672)"),"")</f>
        <v/>
      </c>
      <c r="AO673" s="183" t="str">
        <f>IFERROR(__xludf.DUMMYFUNCTION("QUERY('Volunteer Survey'!P672)"),"")</f>
        <v/>
      </c>
    </row>
    <row r="674">
      <c r="A674" s="55"/>
      <c r="B674" s="55"/>
      <c r="C674" s="53"/>
      <c r="D674" s="55"/>
      <c r="E674" s="55"/>
      <c r="F674" s="55" t="b">
        <v>0</v>
      </c>
      <c r="G674" s="55"/>
      <c r="H674" s="53"/>
      <c r="I674" s="53"/>
      <c r="J674" s="55"/>
      <c r="K674" s="55"/>
      <c r="L674" s="55"/>
      <c r="M674" s="55"/>
      <c r="N674" s="55"/>
      <c r="O674" s="55" t="b">
        <v>0</v>
      </c>
      <c r="P674" s="55"/>
      <c r="Q674" s="55"/>
      <c r="R674" s="55"/>
      <c r="S674" s="55"/>
      <c r="T674" s="55"/>
      <c r="U674" s="64"/>
      <c r="V674" s="55"/>
      <c r="W674" s="64"/>
      <c r="X674" s="55"/>
      <c r="Y674" s="53"/>
      <c r="Z674" s="183" t="str">
        <f>IFERROR(__xludf.DUMMYFUNCTION("QUERY('Volunteer Survey'!A673)"),"")</f>
        <v/>
      </c>
      <c r="AA674" s="183" t="str">
        <f>IFERROR(__xludf.DUMMYFUNCTION("QUERY('Volunteer Survey'!B673)"),"")</f>
        <v/>
      </c>
      <c r="AB674" s="183" t="str">
        <f>IFERROR(__xludf.DUMMYFUNCTION("QUERY('Volunteer Survey'!C673)"),"")</f>
        <v/>
      </c>
      <c r="AC674" s="183" t="str">
        <f>IFERROR(__xludf.DUMMYFUNCTION("QUERY('Volunteer Survey'!D673)"),"")</f>
        <v/>
      </c>
      <c r="AD674" s="183" t="str">
        <f>IFERROR(__xludf.DUMMYFUNCTION("QUERY('Volunteer Survey'!E673)"),"")</f>
        <v/>
      </c>
      <c r="AE674" s="183" t="str">
        <f>IFERROR(__xludf.DUMMYFUNCTION("QUERY('Volunteer Survey'!F673)"),"")</f>
        <v/>
      </c>
      <c r="AF674" s="183" t="str">
        <f>IFERROR(__xludf.DUMMYFUNCTION("QUERY('Volunteer Survey'!G673)"),"")</f>
        <v/>
      </c>
      <c r="AG674" s="183" t="str">
        <f>IFERROR(__xludf.DUMMYFUNCTION("QUERY('Volunteer Survey'!H673)"),"")</f>
        <v/>
      </c>
      <c r="AH674" s="183" t="str">
        <f>IFERROR(__xludf.DUMMYFUNCTION("QUERY('Volunteer Survey'!I673)"),"")</f>
        <v/>
      </c>
      <c r="AI674" s="183" t="str">
        <f>IFERROR(__xludf.DUMMYFUNCTION("QUERY('Volunteer Survey'!J673)"),"")</f>
        <v/>
      </c>
      <c r="AJ674" s="183" t="str">
        <f>IFERROR(__xludf.DUMMYFUNCTION("QUERY('Volunteer Survey'!K673)"),"")</f>
        <v/>
      </c>
      <c r="AK674" s="183" t="str">
        <f>IFERROR(__xludf.DUMMYFUNCTION("QUERY('Volunteer Survey'!L673)"),"")</f>
        <v/>
      </c>
      <c r="AL674" s="183" t="str">
        <f>IFERROR(__xludf.DUMMYFUNCTION("QUERY('Volunteer Survey'!M673)"),"")</f>
        <v/>
      </c>
      <c r="AM674" s="183" t="str">
        <f>IFERROR(__xludf.DUMMYFUNCTION("QUERY('Volunteer Survey'!N673)"),"")</f>
        <v/>
      </c>
      <c r="AN674" s="183" t="str">
        <f>IFERROR(__xludf.DUMMYFUNCTION("QUERY('Volunteer Survey'!O673)"),"")</f>
        <v/>
      </c>
      <c r="AO674" s="183" t="str">
        <f>IFERROR(__xludf.DUMMYFUNCTION("QUERY('Volunteer Survey'!P673)"),"")</f>
        <v/>
      </c>
    </row>
    <row r="675">
      <c r="A675" s="55"/>
      <c r="B675" s="55"/>
      <c r="C675" s="53"/>
      <c r="D675" s="55"/>
      <c r="E675" s="55"/>
      <c r="F675" s="55" t="b">
        <v>0</v>
      </c>
      <c r="G675" s="55"/>
      <c r="H675" s="53"/>
      <c r="I675" s="53"/>
      <c r="J675" s="55"/>
      <c r="K675" s="55"/>
      <c r="L675" s="55"/>
      <c r="M675" s="55"/>
      <c r="N675" s="55"/>
      <c r="O675" s="55" t="b">
        <v>0</v>
      </c>
      <c r="P675" s="55"/>
      <c r="Q675" s="55"/>
      <c r="R675" s="55"/>
      <c r="S675" s="55"/>
      <c r="T675" s="55"/>
      <c r="U675" s="64"/>
      <c r="V675" s="55"/>
      <c r="W675" s="64"/>
      <c r="X675" s="55"/>
      <c r="Y675" s="53"/>
      <c r="Z675" s="183" t="str">
        <f>IFERROR(__xludf.DUMMYFUNCTION("QUERY('Volunteer Survey'!A674)"),"")</f>
        <v/>
      </c>
      <c r="AA675" s="183" t="str">
        <f>IFERROR(__xludf.DUMMYFUNCTION("QUERY('Volunteer Survey'!B674)"),"")</f>
        <v/>
      </c>
      <c r="AB675" s="183" t="str">
        <f>IFERROR(__xludf.DUMMYFUNCTION("QUERY('Volunteer Survey'!C674)"),"")</f>
        <v/>
      </c>
      <c r="AC675" s="183" t="str">
        <f>IFERROR(__xludf.DUMMYFUNCTION("QUERY('Volunteer Survey'!D674)"),"")</f>
        <v/>
      </c>
      <c r="AD675" s="183" t="str">
        <f>IFERROR(__xludf.DUMMYFUNCTION("QUERY('Volunteer Survey'!E674)"),"")</f>
        <v/>
      </c>
      <c r="AE675" s="183" t="str">
        <f>IFERROR(__xludf.DUMMYFUNCTION("QUERY('Volunteer Survey'!F674)"),"")</f>
        <v/>
      </c>
      <c r="AF675" s="183" t="str">
        <f>IFERROR(__xludf.DUMMYFUNCTION("QUERY('Volunteer Survey'!G674)"),"")</f>
        <v/>
      </c>
      <c r="AG675" s="183" t="str">
        <f>IFERROR(__xludf.DUMMYFUNCTION("QUERY('Volunteer Survey'!H674)"),"")</f>
        <v/>
      </c>
      <c r="AH675" s="183" t="str">
        <f>IFERROR(__xludf.DUMMYFUNCTION("QUERY('Volunteer Survey'!I674)"),"")</f>
        <v/>
      </c>
      <c r="AI675" s="183" t="str">
        <f>IFERROR(__xludf.DUMMYFUNCTION("QUERY('Volunteer Survey'!J674)"),"")</f>
        <v/>
      </c>
      <c r="AJ675" s="183" t="str">
        <f>IFERROR(__xludf.DUMMYFUNCTION("QUERY('Volunteer Survey'!K674)"),"")</f>
        <v/>
      </c>
      <c r="AK675" s="183" t="str">
        <f>IFERROR(__xludf.DUMMYFUNCTION("QUERY('Volunteer Survey'!L674)"),"")</f>
        <v/>
      </c>
      <c r="AL675" s="183" t="str">
        <f>IFERROR(__xludf.DUMMYFUNCTION("QUERY('Volunteer Survey'!M674)"),"")</f>
        <v/>
      </c>
      <c r="AM675" s="183" t="str">
        <f>IFERROR(__xludf.DUMMYFUNCTION("QUERY('Volunteer Survey'!N674)"),"")</f>
        <v/>
      </c>
      <c r="AN675" s="183" t="str">
        <f>IFERROR(__xludf.DUMMYFUNCTION("QUERY('Volunteer Survey'!O674)"),"")</f>
        <v/>
      </c>
      <c r="AO675" s="183" t="str">
        <f>IFERROR(__xludf.DUMMYFUNCTION("QUERY('Volunteer Survey'!P674)"),"")</f>
        <v/>
      </c>
    </row>
    <row r="676">
      <c r="A676" s="55"/>
      <c r="B676" s="55"/>
      <c r="C676" s="53"/>
      <c r="D676" s="55"/>
      <c r="E676" s="55"/>
      <c r="F676" s="55" t="b">
        <v>0</v>
      </c>
      <c r="G676" s="55"/>
      <c r="H676" s="53"/>
      <c r="I676" s="53"/>
      <c r="J676" s="55"/>
      <c r="K676" s="55"/>
      <c r="L676" s="55"/>
      <c r="M676" s="55"/>
      <c r="N676" s="55"/>
      <c r="O676" s="55" t="b">
        <v>0</v>
      </c>
      <c r="P676" s="55"/>
      <c r="Q676" s="55"/>
      <c r="R676" s="55"/>
      <c r="S676" s="55"/>
      <c r="T676" s="55"/>
      <c r="U676" s="64"/>
      <c r="V676" s="55"/>
      <c r="W676" s="64"/>
      <c r="X676" s="55"/>
      <c r="Y676" s="53"/>
      <c r="Z676" s="183" t="str">
        <f>IFERROR(__xludf.DUMMYFUNCTION("QUERY('Volunteer Survey'!A675)"),"")</f>
        <v/>
      </c>
      <c r="AA676" s="183" t="str">
        <f>IFERROR(__xludf.DUMMYFUNCTION("QUERY('Volunteer Survey'!B675)"),"")</f>
        <v/>
      </c>
      <c r="AB676" s="183" t="str">
        <f>IFERROR(__xludf.DUMMYFUNCTION("QUERY('Volunteer Survey'!C675)"),"")</f>
        <v/>
      </c>
      <c r="AC676" s="183" t="str">
        <f>IFERROR(__xludf.DUMMYFUNCTION("QUERY('Volunteer Survey'!D675)"),"")</f>
        <v/>
      </c>
      <c r="AD676" s="183" t="str">
        <f>IFERROR(__xludf.DUMMYFUNCTION("QUERY('Volunteer Survey'!E675)"),"")</f>
        <v/>
      </c>
      <c r="AE676" s="183" t="str">
        <f>IFERROR(__xludf.DUMMYFUNCTION("QUERY('Volunteer Survey'!F675)"),"")</f>
        <v/>
      </c>
      <c r="AF676" s="183" t="str">
        <f>IFERROR(__xludf.DUMMYFUNCTION("QUERY('Volunteer Survey'!G675)"),"")</f>
        <v/>
      </c>
      <c r="AG676" s="183" t="str">
        <f>IFERROR(__xludf.DUMMYFUNCTION("QUERY('Volunteer Survey'!H675)"),"")</f>
        <v/>
      </c>
      <c r="AH676" s="183" t="str">
        <f>IFERROR(__xludf.DUMMYFUNCTION("QUERY('Volunteer Survey'!I675)"),"")</f>
        <v/>
      </c>
      <c r="AI676" s="183" t="str">
        <f>IFERROR(__xludf.DUMMYFUNCTION("QUERY('Volunteer Survey'!J675)"),"")</f>
        <v/>
      </c>
      <c r="AJ676" s="183" t="str">
        <f>IFERROR(__xludf.DUMMYFUNCTION("QUERY('Volunteer Survey'!K675)"),"")</f>
        <v/>
      </c>
      <c r="AK676" s="183" t="str">
        <f>IFERROR(__xludf.DUMMYFUNCTION("QUERY('Volunteer Survey'!L675)"),"")</f>
        <v/>
      </c>
      <c r="AL676" s="183" t="str">
        <f>IFERROR(__xludf.DUMMYFUNCTION("QUERY('Volunteer Survey'!M675)"),"")</f>
        <v/>
      </c>
      <c r="AM676" s="183" t="str">
        <f>IFERROR(__xludf.DUMMYFUNCTION("QUERY('Volunteer Survey'!N675)"),"")</f>
        <v/>
      </c>
      <c r="AN676" s="183" t="str">
        <f>IFERROR(__xludf.DUMMYFUNCTION("QUERY('Volunteer Survey'!O675)"),"")</f>
        <v/>
      </c>
      <c r="AO676" s="183" t="str">
        <f>IFERROR(__xludf.DUMMYFUNCTION("QUERY('Volunteer Survey'!P675)"),"")</f>
        <v/>
      </c>
    </row>
    <row r="677">
      <c r="A677" s="55"/>
      <c r="B677" s="55"/>
      <c r="C677" s="53"/>
      <c r="D677" s="55"/>
      <c r="E677" s="55"/>
      <c r="F677" s="55" t="b">
        <v>0</v>
      </c>
      <c r="G677" s="55"/>
      <c r="H677" s="53"/>
      <c r="I677" s="53"/>
      <c r="J677" s="55"/>
      <c r="K677" s="55"/>
      <c r="L677" s="55"/>
      <c r="M677" s="55"/>
      <c r="N677" s="55"/>
      <c r="O677" s="55" t="b">
        <v>0</v>
      </c>
      <c r="P677" s="55"/>
      <c r="Q677" s="55"/>
      <c r="R677" s="55"/>
      <c r="S677" s="55"/>
      <c r="T677" s="55"/>
      <c r="U677" s="64"/>
      <c r="V677" s="55"/>
      <c r="W677" s="64"/>
      <c r="X677" s="55"/>
      <c r="Y677" s="53"/>
      <c r="Z677" s="183" t="str">
        <f>IFERROR(__xludf.DUMMYFUNCTION("QUERY('Volunteer Survey'!A676)"),"")</f>
        <v/>
      </c>
      <c r="AA677" s="183" t="str">
        <f>IFERROR(__xludf.DUMMYFUNCTION("QUERY('Volunteer Survey'!B676)"),"")</f>
        <v/>
      </c>
      <c r="AB677" s="183" t="str">
        <f>IFERROR(__xludf.DUMMYFUNCTION("QUERY('Volunteer Survey'!C676)"),"")</f>
        <v/>
      </c>
      <c r="AC677" s="183" t="str">
        <f>IFERROR(__xludf.DUMMYFUNCTION("QUERY('Volunteer Survey'!D676)"),"")</f>
        <v/>
      </c>
      <c r="AD677" s="183" t="str">
        <f>IFERROR(__xludf.DUMMYFUNCTION("QUERY('Volunteer Survey'!E676)"),"")</f>
        <v/>
      </c>
      <c r="AE677" s="183" t="str">
        <f>IFERROR(__xludf.DUMMYFUNCTION("QUERY('Volunteer Survey'!F676)"),"")</f>
        <v/>
      </c>
      <c r="AF677" s="183" t="str">
        <f>IFERROR(__xludf.DUMMYFUNCTION("QUERY('Volunteer Survey'!G676)"),"")</f>
        <v/>
      </c>
      <c r="AG677" s="183" t="str">
        <f>IFERROR(__xludf.DUMMYFUNCTION("QUERY('Volunteer Survey'!H676)"),"")</f>
        <v/>
      </c>
      <c r="AH677" s="183" t="str">
        <f>IFERROR(__xludf.DUMMYFUNCTION("QUERY('Volunteer Survey'!I676)"),"")</f>
        <v/>
      </c>
      <c r="AI677" s="183" t="str">
        <f>IFERROR(__xludf.DUMMYFUNCTION("QUERY('Volunteer Survey'!J676)"),"")</f>
        <v/>
      </c>
      <c r="AJ677" s="183" t="str">
        <f>IFERROR(__xludf.DUMMYFUNCTION("QUERY('Volunteer Survey'!K676)"),"")</f>
        <v/>
      </c>
      <c r="AK677" s="183" t="str">
        <f>IFERROR(__xludf.DUMMYFUNCTION("QUERY('Volunteer Survey'!L676)"),"")</f>
        <v/>
      </c>
      <c r="AL677" s="183" t="str">
        <f>IFERROR(__xludf.DUMMYFUNCTION("QUERY('Volunteer Survey'!M676)"),"")</f>
        <v/>
      </c>
      <c r="AM677" s="183" t="str">
        <f>IFERROR(__xludf.DUMMYFUNCTION("QUERY('Volunteer Survey'!N676)"),"")</f>
        <v/>
      </c>
      <c r="AN677" s="183" t="str">
        <f>IFERROR(__xludf.DUMMYFUNCTION("QUERY('Volunteer Survey'!O676)"),"")</f>
        <v/>
      </c>
      <c r="AO677" s="183" t="str">
        <f>IFERROR(__xludf.DUMMYFUNCTION("QUERY('Volunteer Survey'!P676)"),"")</f>
        <v/>
      </c>
    </row>
    <row r="678">
      <c r="A678" s="55"/>
      <c r="B678" s="55"/>
      <c r="C678" s="53"/>
      <c r="D678" s="55"/>
      <c r="E678" s="55"/>
      <c r="F678" s="55" t="b">
        <v>0</v>
      </c>
      <c r="G678" s="55"/>
      <c r="H678" s="53"/>
      <c r="I678" s="53"/>
      <c r="J678" s="55"/>
      <c r="K678" s="55"/>
      <c r="L678" s="55"/>
      <c r="M678" s="55"/>
      <c r="N678" s="55"/>
      <c r="O678" s="55" t="b">
        <v>0</v>
      </c>
      <c r="P678" s="55"/>
      <c r="Q678" s="55"/>
      <c r="R678" s="55"/>
      <c r="S678" s="55"/>
      <c r="T678" s="55"/>
      <c r="U678" s="64"/>
      <c r="V678" s="55"/>
      <c r="W678" s="64"/>
      <c r="X678" s="55"/>
      <c r="Y678" s="53"/>
      <c r="Z678" s="183" t="str">
        <f>IFERROR(__xludf.DUMMYFUNCTION("QUERY('Volunteer Survey'!A677)"),"")</f>
        <v/>
      </c>
      <c r="AA678" s="183" t="str">
        <f>IFERROR(__xludf.DUMMYFUNCTION("QUERY('Volunteer Survey'!B677)"),"")</f>
        <v/>
      </c>
      <c r="AB678" s="183" t="str">
        <f>IFERROR(__xludf.DUMMYFUNCTION("QUERY('Volunteer Survey'!C677)"),"")</f>
        <v/>
      </c>
      <c r="AC678" s="183" t="str">
        <f>IFERROR(__xludf.DUMMYFUNCTION("QUERY('Volunteer Survey'!D677)"),"")</f>
        <v/>
      </c>
      <c r="AD678" s="183" t="str">
        <f>IFERROR(__xludf.DUMMYFUNCTION("QUERY('Volunteer Survey'!E677)"),"")</f>
        <v/>
      </c>
      <c r="AE678" s="183" t="str">
        <f>IFERROR(__xludf.DUMMYFUNCTION("QUERY('Volunteer Survey'!F677)"),"")</f>
        <v/>
      </c>
      <c r="AF678" s="183" t="str">
        <f>IFERROR(__xludf.DUMMYFUNCTION("QUERY('Volunteer Survey'!G677)"),"")</f>
        <v/>
      </c>
      <c r="AG678" s="183" t="str">
        <f>IFERROR(__xludf.DUMMYFUNCTION("QUERY('Volunteer Survey'!H677)"),"")</f>
        <v/>
      </c>
      <c r="AH678" s="183" t="str">
        <f>IFERROR(__xludf.DUMMYFUNCTION("QUERY('Volunteer Survey'!I677)"),"")</f>
        <v/>
      </c>
      <c r="AI678" s="183" t="str">
        <f>IFERROR(__xludf.DUMMYFUNCTION("QUERY('Volunteer Survey'!J677)"),"")</f>
        <v/>
      </c>
      <c r="AJ678" s="183" t="str">
        <f>IFERROR(__xludf.DUMMYFUNCTION("QUERY('Volunteer Survey'!K677)"),"")</f>
        <v/>
      </c>
      <c r="AK678" s="183" t="str">
        <f>IFERROR(__xludf.DUMMYFUNCTION("QUERY('Volunteer Survey'!L677)"),"")</f>
        <v/>
      </c>
      <c r="AL678" s="183" t="str">
        <f>IFERROR(__xludf.DUMMYFUNCTION("QUERY('Volunteer Survey'!M677)"),"")</f>
        <v/>
      </c>
      <c r="AM678" s="183" t="str">
        <f>IFERROR(__xludf.DUMMYFUNCTION("QUERY('Volunteer Survey'!N677)"),"")</f>
        <v/>
      </c>
      <c r="AN678" s="183" t="str">
        <f>IFERROR(__xludf.DUMMYFUNCTION("QUERY('Volunteer Survey'!O677)"),"")</f>
        <v/>
      </c>
      <c r="AO678" s="183" t="str">
        <f>IFERROR(__xludf.DUMMYFUNCTION("QUERY('Volunteer Survey'!P677)"),"")</f>
        <v/>
      </c>
    </row>
    <row r="679">
      <c r="A679" s="55"/>
      <c r="B679" s="55"/>
      <c r="C679" s="53"/>
      <c r="D679" s="55"/>
      <c r="E679" s="55"/>
      <c r="F679" s="55" t="b">
        <v>0</v>
      </c>
      <c r="G679" s="55"/>
      <c r="H679" s="53"/>
      <c r="I679" s="53"/>
      <c r="J679" s="55"/>
      <c r="K679" s="55"/>
      <c r="L679" s="55"/>
      <c r="M679" s="55"/>
      <c r="N679" s="55"/>
      <c r="O679" s="55" t="b">
        <v>0</v>
      </c>
      <c r="P679" s="55"/>
      <c r="Q679" s="55"/>
      <c r="R679" s="55"/>
      <c r="S679" s="55"/>
      <c r="T679" s="55"/>
      <c r="U679" s="64"/>
      <c r="V679" s="55"/>
      <c r="W679" s="64"/>
      <c r="X679" s="55"/>
      <c r="Y679" s="53"/>
      <c r="Z679" s="183" t="str">
        <f>IFERROR(__xludf.DUMMYFUNCTION("QUERY('Volunteer Survey'!A678)"),"")</f>
        <v/>
      </c>
      <c r="AA679" s="183" t="str">
        <f>IFERROR(__xludf.DUMMYFUNCTION("QUERY('Volunteer Survey'!B678)"),"")</f>
        <v/>
      </c>
      <c r="AB679" s="183" t="str">
        <f>IFERROR(__xludf.DUMMYFUNCTION("QUERY('Volunteer Survey'!C678)"),"")</f>
        <v/>
      </c>
      <c r="AC679" s="183" t="str">
        <f>IFERROR(__xludf.DUMMYFUNCTION("QUERY('Volunteer Survey'!D678)"),"")</f>
        <v/>
      </c>
      <c r="AD679" s="183" t="str">
        <f>IFERROR(__xludf.DUMMYFUNCTION("QUERY('Volunteer Survey'!E678)"),"")</f>
        <v/>
      </c>
      <c r="AE679" s="183" t="str">
        <f>IFERROR(__xludf.DUMMYFUNCTION("QUERY('Volunteer Survey'!F678)"),"")</f>
        <v/>
      </c>
      <c r="AF679" s="183" t="str">
        <f>IFERROR(__xludf.DUMMYFUNCTION("QUERY('Volunteer Survey'!G678)"),"")</f>
        <v/>
      </c>
      <c r="AG679" s="183" t="str">
        <f>IFERROR(__xludf.DUMMYFUNCTION("QUERY('Volunteer Survey'!H678)"),"")</f>
        <v/>
      </c>
      <c r="AH679" s="183" t="str">
        <f>IFERROR(__xludf.DUMMYFUNCTION("QUERY('Volunteer Survey'!I678)"),"")</f>
        <v/>
      </c>
      <c r="AI679" s="183" t="str">
        <f>IFERROR(__xludf.DUMMYFUNCTION("QUERY('Volunteer Survey'!J678)"),"")</f>
        <v/>
      </c>
      <c r="AJ679" s="183" t="str">
        <f>IFERROR(__xludf.DUMMYFUNCTION("QUERY('Volunteer Survey'!K678)"),"")</f>
        <v/>
      </c>
      <c r="AK679" s="183" t="str">
        <f>IFERROR(__xludf.DUMMYFUNCTION("QUERY('Volunteer Survey'!L678)"),"")</f>
        <v/>
      </c>
      <c r="AL679" s="183" t="str">
        <f>IFERROR(__xludf.DUMMYFUNCTION("QUERY('Volunteer Survey'!M678)"),"")</f>
        <v/>
      </c>
      <c r="AM679" s="183" t="str">
        <f>IFERROR(__xludf.DUMMYFUNCTION("QUERY('Volunteer Survey'!N678)"),"")</f>
        <v/>
      </c>
      <c r="AN679" s="183" t="str">
        <f>IFERROR(__xludf.DUMMYFUNCTION("QUERY('Volunteer Survey'!O678)"),"")</f>
        <v/>
      </c>
      <c r="AO679" s="183" t="str">
        <f>IFERROR(__xludf.DUMMYFUNCTION("QUERY('Volunteer Survey'!P678)"),"")</f>
        <v/>
      </c>
    </row>
    <row r="680">
      <c r="A680" s="55"/>
      <c r="B680" s="55"/>
      <c r="C680" s="53"/>
      <c r="D680" s="55"/>
      <c r="E680" s="55"/>
      <c r="F680" s="55" t="b">
        <v>0</v>
      </c>
      <c r="G680" s="55"/>
      <c r="H680" s="53"/>
      <c r="I680" s="53"/>
      <c r="J680" s="55"/>
      <c r="K680" s="55"/>
      <c r="L680" s="55"/>
      <c r="M680" s="55"/>
      <c r="N680" s="55"/>
      <c r="O680" s="55" t="b">
        <v>0</v>
      </c>
      <c r="P680" s="55"/>
      <c r="Q680" s="55"/>
      <c r="R680" s="55"/>
      <c r="S680" s="55"/>
      <c r="T680" s="55"/>
      <c r="U680" s="64"/>
      <c r="V680" s="55"/>
      <c r="W680" s="64"/>
      <c r="X680" s="55"/>
      <c r="Y680" s="53"/>
      <c r="Z680" s="183" t="str">
        <f>IFERROR(__xludf.DUMMYFUNCTION("QUERY('Volunteer Survey'!A679)"),"")</f>
        <v/>
      </c>
      <c r="AA680" s="183" t="str">
        <f>IFERROR(__xludf.DUMMYFUNCTION("QUERY('Volunteer Survey'!B679)"),"")</f>
        <v/>
      </c>
      <c r="AB680" s="183" t="str">
        <f>IFERROR(__xludf.DUMMYFUNCTION("QUERY('Volunteer Survey'!C679)"),"")</f>
        <v/>
      </c>
      <c r="AC680" s="183" t="str">
        <f>IFERROR(__xludf.DUMMYFUNCTION("QUERY('Volunteer Survey'!D679)"),"")</f>
        <v/>
      </c>
      <c r="AD680" s="183" t="str">
        <f>IFERROR(__xludf.DUMMYFUNCTION("QUERY('Volunteer Survey'!E679)"),"")</f>
        <v/>
      </c>
      <c r="AE680" s="183" t="str">
        <f>IFERROR(__xludf.DUMMYFUNCTION("QUERY('Volunteer Survey'!F679)"),"")</f>
        <v/>
      </c>
      <c r="AF680" s="183" t="str">
        <f>IFERROR(__xludf.DUMMYFUNCTION("QUERY('Volunteer Survey'!G679)"),"")</f>
        <v/>
      </c>
      <c r="AG680" s="183" t="str">
        <f>IFERROR(__xludf.DUMMYFUNCTION("QUERY('Volunteer Survey'!H679)"),"")</f>
        <v/>
      </c>
      <c r="AH680" s="183" t="str">
        <f>IFERROR(__xludf.DUMMYFUNCTION("QUERY('Volunteer Survey'!I679)"),"")</f>
        <v/>
      </c>
      <c r="AI680" s="183" t="str">
        <f>IFERROR(__xludf.DUMMYFUNCTION("QUERY('Volunteer Survey'!J679)"),"")</f>
        <v/>
      </c>
      <c r="AJ680" s="183" t="str">
        <f>IFERROR(__xludf.DUMMYFUNCTION("QUERY('Volunteer Survey'!K679)"),"")</f>
        <v/>
      </c>
      <c r="AK680" s="183" t="str">
        <f>IFERROR(__xludf.DUMMYFUNCTION("QUERY('Volunteer Survey'!L679)"),"")</f>
        <v/>
      </c>
      <c r="AL680" s="183" t="str">
        <f>IFERROR(__xludf.DUMMYFUNCTION("QUERY('Volunteer Survey'!M679)"),"")</f>
        <v/>
      </c>
      <c r="AM680" s="183" t="str">
        <f>IFERROR(__xludf.DUMMYFUNCTION("QUERY('Volunteer Survey'!N679)"),"")</f>
        <v/>
      </c>
      <c r="AN680" s="183" t="str">
        <f>IFERROR(__xludf.DUMMYFUNCTION("QUERY('Volunteer Survey'!O679)"),"")</f>
        <v/>
      </c>
      <c r="AO680" s="183" t="str">
        <f>IFERROR(__xludf.DUMMYFUNCTION("QUERY('Volunteer Survey'!P679)"),"")</f>
        <v/>
      </c>
    </row>
    <row r="681">
      <c r="A681" s="55"/>
      <c r="B681" s="55"/>
      <c r="C681" s="53"/>
      <c r="D681" s="55"/>
      <c r="E681" s="55"/>
      <c r="F681" s="55" t="b">
        <v>0</v>
      </c>
      <c r="G681" s="55"/>
      <c r="H681" s="53"/>
      <c r="I681" s="53"/>
      <c r="J681" s="55"/>
      <c r="K681" s="55"/>
      <c r="L681" s="55"/>
      <c r="M681" s="55"/>
      <c r="N681" s="55"/>
      <c r="O681" s="55" t="b">
        <v>0</v>
      </c>
      <c r="P681" s="55"/>
      <c r="Q681" s="55"/>
      <c r="R681" s="55"/>
      <c r="S681" s="55"/>
      <c r="T681" s="55"/>
      <c r="U681" s="64"/>
      <c r="V681" s="55"/>
      <c r="W681" s="64"/>
      <c r="X681" s="55"/>
      <c r="Y681" s="53"/>
      <c r="Z681" s="183" t="str">
        <f>IFERROR(__xludf.DUMMYFUNCTION("QUERY('Volunteer Survey'!A680)"),"")</f>
        <v/>
      </c>
      <c r="AA681" s="183" t="str">
        <f>IFERROR(__xludf.DUMMYFUNCTION("QUERY('Volunteer Survey'!B680)"),"")</f>
        <v/>
      </c>
      <c r="AB681" s="183" t="str">
        <f>IFERROR(__xludf.DUMMYFUNCTION("QUERY('Volunteer Survey'!C680)"),"")</f>
        <v/>
      </c>
      <c r="AC681" s="183" t="str">
        <f>IFERROR(__xludf.DUMMYFUNCTION("QUERY('Volunteer Survey'!D680)"),"")</f>
        <v/>
      </c>
      <c r="AD681" s="183" t="str">
        <f>IFERROR(__xludf.DUMMYFUNCTION("QUERY('Volunteer Survey'!E680)"),"")</f>
        <v/>
      </c>
      <c r="AE681" s="183" t="str">
        <f>IFERROR(__xludf.DUMMYFUNCTION("QUERY('Volunteer Survey'!F680)"),"")</f>
        <v/>
      </c>
      <c r="AF681" s="183" t="str">
        <f>IFERROR(__xludf.DUMMYFUNCTION("QUERY('Volunteer Survey'!G680)"),"")</f>
        <v/>
      </c>
      <c r="AG681" s="183" t="str">
        <f>IFERROR(__xludf.DUMMYFUNCTION("QUERY('Volunteer Survey'!H680)"),"")</f>
        <v/>
      </c>
      <c r="AH681" s="183" t="str">
        <f>IFERROR(__xludf.DUMMYFUNCTION("QUERY('Volunteer Survey'!I680)"),"")</f>
        <v/>
      </c>
      <c r="AI681" s="183" t="str">
        <f>IFERROR(__xludf.DUMMYFUNCTION("QUERY('Volunteer Survey'!J680)"),"")</f>
        <v/>
      </c>
      <c r="AJ681" s="183" t="str">
        <f>IFERROR(__xludf.DUMMYFUNCTION("QUERY('Volunteer Survey'!K680)"),"")</f>
        <v/>
      </c>
      <c r="AK681" s="183" t="str">
        <f>IFERROR(__xludf.DUMMYFUNCTION("QUERY('Volunteer Survey'!L680)"),"")</f>
        <v/>
      </c>
      <c r="AL681" s="183" t="str">
        <f>IFERROR(__xludf.DUMMYFUNCTION("QUERY('Volunteer Survey'!M680)"),"")</f>
        <v/>
      </c>
      <c r="AM681" s="183" t="str">
        <f>IFERROR(__xludf.DUMMYFUNCTION("QUERY('Volunteer Survey'!N680)"),"")</f>
        <v/>
      </c>
      <c r="AN681" s="183" t="str">
        <f>IFERROR(__xludf.DUMMYFUNCTION("QUERY('Volunteer Survey'!O680)"),"")</f>
        <v/>
      </c>
      <c r="AO681" s="183" t="str">
        <f>IFERROR(__xludf.DUMMYFUNCTION("QUERY('Volunteer Survey'!P680)"),"")</f>
        <v/>
      </c>
    </row>
    <row r="682">
      <c r="A682" s="55"/>
      <c r="B682" s="55"/>
      <c r="C682" s="53"/>
      <c r="D682" s="55"/>
      <c r="E682" s="55"/>
      <c r="F682" s="55" t="b">
        <v>0</v>
      </c>
      <c r="G682" s="55"/>
      <c r="H682" s="53"/>
      <c r="I682" s="53"/>
      <c r="J682" s="55"/>
      <c r="K682" s="55"/>
      <c r="L682" s="55"/>
      <c r="M682" s="55"/>
      <c r="N682" s="55"/>
      <c r="O682" s="55" t="b">
        <v>0</v>
      </c>
      <c r="P682" s="55"/>
      <c r="Q682" s="55"/>
      <c r="R682" s="55"/>
      <c r="S682" s="55"/>
      <c r="T682" s="55"/>
      <c r="U682" s="64"/>
      <c r="V682" s="55"/>
      <c r="W682" s="64"/>
      <c r="X682" s="55"/>
      <c r="Y682" s="53"/>
      <c r="Z682" s="183" t="str">
        <f>IFERROR(__xludf.DUMMYFUNCTION("QUERY('Volunteer Survey'!A681)"),"")</f>
        <v/>
      </c>
      <c r="AA682" s="183" t="str">
        <f>IFERROR(__xludf.DUMMYFUNCTION("QUERY('Volunteer Survey'!B681)"),"")</f>
        <v/>
      </c>
      <c r="AB682" s="183" t="str">
        <f>IFERROR(__xludf.DUMMYFUNCTION("QUERY('Volunteer Survey'!C681)"),"")</f>
        <v/>
      </c>
      <c r="AC682" s="183" t="str">
        <f>IFERROR(__xludf.DUMMYFUNCTION("QUERY('Volunteer Survey'!D681)"),"")</f>
        <v/>
      </c>
      <c r="AD682" s="183" t="str">
        <f>IFERROR(__xludf.DUMMYFUNCTION("QUERY('Volunteer Survey'!E681)"),"")</f>
        <v/>
      </c>
      <c r="AE682" s="183" t="str">
        <f>IFERROR(__xludf.DUMMYFUNCTION("QUERY('Volunteer Survey'!F681)"),"")</f>
        <v/>
      </c>
      <c r="AF682" s="183" t="str">
        <f>IFERROR(__xludf.DUMMYFUNCTION("QUERY('Volunteer Survey'!G681)"),"")</f>
        <v/>
      </c>
      <c r="AG682" s="183" t="str">
        <f>IFERROR(__xludf.DUMMYFUNCTION("QUERY('Volunteer Survey'!H681)"),"")</f>
        <v/>
      </c>
      <c r="AH682" s="183" t="str">
        <f>IFERROR(__xludf.DUMMYFUNCTION("QUERY('Volunteer Survey'!I681)"),"")</f>
        <v/>
      </c>
      <c r="AI682" s="183" t="str">
        <f>IFERROR(__xludf.DUMMYFUNCTION("QUERY('Volunteer Survey'!J681)"),"")</f>
        <v/>
      </c>
      <c r="AJ682" s="183" t="str">
        <f>IFERROR(__xludf.DUMMYFUNCTION("QUERY('Volunteer Survey'!K681)"),"")</f>
        <v/>
      </c>
      <c r="AK682" s="183" t="str">
        <f>IFERROR(__xludf.DUMMYFUNCTION("QUERY('Volunteer Survey'!L681)"),"")</f>
        <v/>
      </c>
      <c r="AL682" s="183" t="str">
        <f>IFERROR(__xludf.DUMMYFUNCTION("QUERY('Volunteer Survey'!M681)"),"")</f>
        <v/>
      </c>
      <c r="AM682" s="183" t="str">
        <f>IFERROR(__xludf.DUMMYFUNCTION("QUERY('Volunteer Survey'!N681)"),"")</f>
        <v/>
      </c>
      <c r="AN682" s="183" t="str">
        <f>IFERROR(__xludf.DUMMYFUNCTION("QUERY('Volunteer Survey'!O681)"),"")</f>
        <v/>
      </c>
      <c r="AO682" s="183" t="str">
        <f>IFERROR(__xludf.DUMMYFUNCTION("QUERY('Volunteer Survey'!P681)"),"")</f>
        <v/>
      </c>
    </row>
    <row r="683">
      <c r="A683" s="55"/>
      <c r="B683" s="55"/>
      <c r="C683" s="53"/>
      <c r="D683" s="55"/>
      <c r="E683" s="55"/>
      <c r="F683" s="55" t="b">
        <v>0</v>
      </c>
      <c r="G683" s="55"/>
      <c r="H683" s="53"/>
      <c r="I683" s="53"/>
      <c r="J683" s="55"/>
      <c r="K683" s="55"/>
      <c r="L683" s="55"/>
      <c r="M683" s="55"/>
      <c r="N683" s="55"/>
      <c r="O683" s="55" t="b">
        <v>0</v>
      </c>
      <c r="P683" s="55"/>
      <c r="Q683" s="55"/>
      <c r="R683" s="55"/>
      <c r="S683" s="55"/>
      <c r="T683" s="55"/>
      <c r="U683" s="64"/>
      <c r="V683" s="55"/>
      <c r="W683" s="64"/>
      <c r="X683" s="55"/>
      <c r="Y683" s="53"/>
      <c r="Z683" s="183" t="str">
        <f>IFERROR(__xludf.DUMMYFUNCTION("QUERY('Volunteer Survey'!A682)"),"")</f>
        <v/>
      </c>
      <c r="AA683" s="183" t="str">
        <f>IFERROR(__xludf.DUMMYFUNCTION("QUERY('Volunteer Survey'!B682)"),"")</f>
        <v/>
      </c>
      <c r="AB683" s="183" t="str">
        <f>IFERROR(__xludf.DUMMYFUNCTION("QUERY('Volunteer Survey'!C682)"),"")</f>
        <v/>
      </c>
      <c r="AC683" s="183" t="str">
        <f>IFERROR(__xludf.DUMMYFUNCTION("QUERY('Volunteer Survey'!D682)"),"")</f>
        <v/>
      </c>
      <c r="AD683" s="183" t="str">
        <f>IFERROR(__xludf.DUMMYFUNCTION("QUERY('Volunteer Survey'!E682)"),"")</f>
        <v/>
      </c>
      <c r="AE683" s="183" t="str">
        <f>IFERROR(__xludf.DUMMYFUNCTION("QUERY('Volunteer Survey'!F682)"),"")</f>
        <v/>
      </c>
      <c r="AF683" s="183" t="str">
        <f>IFERROR(__xludf.DUMMYFUNCTION("QUERY('Volunteer Survey'!G682)"),"")</f>
        <v/>
      </c>
      <c r="AG683" s="183" t="str">
        <f>IFERROR(__xludf.DUMMYFUNCTION("QUERY('Volunteer Survey'!H682)"),"")</f>
        <v/>
      </c>
      <c r="AH683" s="183" t="str">
        <f>IFERROR(__xludf.DUMMYFUNCTION("QUERY('Volunteer Survey'!I682)"),"")</f>
        <v/>
      </c>
      <c r="AI683" s="183" t="str">
        <f>IFERROR(__xludf.DUMMYFUNCTION("QUERY('Volunteer Survey'!J682)"),"")</f>
        <v/>
      </c>
      <c r="AJ683" s="183" t="str">
        <f>IFERROR(__xludf.DUMMYFUNCTION("QUERY('Volunteer Survey'!K682)"),"")</f>
        <v/>
      </c>
      <c r="AK683" s="183" t="str">
        <f>IFERROR(__xludf.DUMMYFUNCTION("QUERY('Volunteer Survey'!L682)"),"")</f>
        <v/>
      </c>
      <c r="AL683" s="183" t="str">
        <f>IFERROR(__xludf.DUMMYFUNCTION("QUERY('Volunteer Survey'!M682)"),"")</f>
        <v/>
      </c>
      <c r="AM683" s="183" t="str">
        <f>IFERROR(__xludf.DUMMYFUNCTION("QUERY('Volunteer Survey'!N682)"),"")</f>
        <v/>
      </c>
      <c r="AN683" s="183" t="str">
        <f>IFERROR(__xludf.DUMMYFUNCTION("QUERY('Volunteer Survey'!O682)"),"")</f>
        <v/>
      </c>
      <c r="AO683" s="183" t="str">
        <f>IFERROR(__xludf.DUMMYFUNCTION("QUERY('Volunteer Survey'!P682)"),"")</f>
        <v/>
      </c>
    </row>
    <row r="684">
      <c r="A684" s="55"/>
      <c r="B684" s="55"/>
      <c r="C684" s="53"/>
      <c r="D684" s="55"/>
      <c r="E684" s="55"/>
      <c r="F684" s="55" t="b">
        <v>0</v>
      </c>
      <c r="G684" s="55"/>
      <c r="H684" s="53"/>
      <c r="I684" s="53"/>
      <c r="J684" s="55"/>
      <c r="K684" s="55"/>
      <c r="L684" s="55"/>
      <c r="M684" s="55"/>
      <c r="N684" s="55"/>
      <c r="O684" s="55" t="b">
        <v>0</v>
      </c>
      <c r="P684" s="55"/>
      <c r="Q684" s="55"/>
      <c r="R684" s="55"/>
      <c r="S684" s="55"/>
      <c r="T684" s="55"/>
      <c r="U684" s="64"/>
      <c r="V684" s="55"/>
      <c r="W684" s="64"/>
      <c r="X684" s="55"/>
      <c r="Y684" s="53"/>
      <c r="Z684" s="183" t="str">
        <f>IFERROR(__xludf.DUMMYFUNCTION("QUERY('Volunteer Survey'!A683)"),"")</f>
        <v/>
      </c>
      <c r="AA684" s="183" t="str">
        <f>IFERROR(__xludf.DUMMYFUNCTION("QUERY('Volunteer Survey'!B683)"),"")</f>
        <v/>
      </c>
      <c r="AB684" s="183" t="str">
        <f>IFERROR(__xludf.DUMMYFUNCTION("QUERY('Volunteer Survey'!C683)"),"")</f>
        <v/>
      </c>
      <c r="AC684" s="183" t="str">
        <f>IFERROR(__xludf.DUMMYFUNCTION("QUERY('Volunteer Survey'!D683)"),"")</f>
        <v/>
      </c>
      <c r="AD684" s="183" t="str">
        <f>IFERROR(__xludf.DUMMYFUNCTION("QUERY('Volunteer Survey'!E683)"),"")</f>
        <v/>
      </c>
      <c r="AE684" s="183" t="str">
        <f>IFERROR(__xludf.DUMMYFUNCTION("QUERY('Volunteer Survey'!F683)"),"")</f>
        <v/>
      </c>
      <c r="AF684" s="183" t="str">
        <f>IFERROR(__xludf.DUMMYFUNCTION("QUERY('Volunteer Survey'!G683)"),"")</f>
        <v/>
      </c>
      <c r="AG684" s="183" t="str">
        <f>IFERROR(__xludf.DUMMYFUNCTION("QUERY('Volunteer Survey'!H683)"),"")</f>
        <v/>
      </c>
      <c r="AH684" s="183" t="str">
        <f>IFERROR(__xludf.DUMMYFUNCTION("QUERY('Volunteer Survey'!I683)"),"")</f>
        <v/>
      </c>
      <c r="AI684" s="183" t="str">
        <f>IFERROR(__xludf.DUMMYFUNCTION("QUERY('Volunteer Survey'!J683)"),"")</f>
        <v/>
      </c>
      <c r="AJ684" s="183" t="str">
        <f>IFERROR(__xludf.DUMMYFUNCTION("QUERY('Volunteer Survey'!K683)"),"")</f>
        <v/>
      </c>
      <c r="AK684" s="183" t="str">
        <f>IFERROR(__xludf.DUMMYFUNCTION("QUERY('Volunteer Survey'!L683)"),"")</f>
        <v/>
      </c>
      <c r="AL684" s="183" t="str">
        <f>IFERROR(__xludf.DUMMYFUNCTION("QUERY('Volunteer Survey'!M683)"),"")</f>
        <v/>
      </c>
      <c r="AM684" s="183" t="str">
        <f>IFERROR(__xludf.DUMMYFUNCTION("QUERY('Volunteer Survey'!N683)"),"")</f>
        <v/>
      </c>
      <c r="AN684" s="183" t="str">
        <f>IFERROR(__xludf.DUMMYFUNCTION("QUERY('Volunteer Survey'!O683)"),"")</f>
        <v/>
      </c>
      <c r="AO684" s="183" t="str">
        <f>IFERROR(__xludf.DUMMYFUNCTION("QUERY('Volunteer Survey'!P683)"),"")</f>
        <v/>
      </c>
    </row>
    <row r="685">
      <c r="A685" s="55"/>
      <c r="B685" s="55"/>
      <c r="C685" s="53"/>
      <c r="D685" s="55"/>
      <c r="E685" s="55"/>
      <c r="F685" s="55" t="b">
        <v>0</v>
      </c>
      <c r="G685" s="55"/>
      <c r="H685" s="53"/>
      <c r="I685" s="53"/>
      <c r="J685" s="55"/>
      <c r="K685" s="55"/>
      <c r="L685" s="55"/>
      <c r="M685" s="55"/>
      <c r="N685" s="55"/>
      <c r="O685" s="55" t="b">
        <v>0</v>
      </c>
      <c r="P685" s="55"/>
      <c r="Q685" s="55"/>
      <c r="R685" s="55"/>
      <c r="S685" s="55"/>
      <c r="T685" s="55"/>
      <c r="U685" s="64"/>
      <c r="V685" s="55"/>
      <c r="W685" s="64"/>
      <c r="X685" s="55"/>
      <c r="Y685" s="53"/>
      <c r="Z685" s="183" t="str">
        <f>IFERROR(__xludf.DUMMYFUNCTION("QUERY('Volunteer Survey'!A684)"),"")</f>
        <v/>
      </c>
      <c r="AA685" s="183" t="str">
        <f>IFERROR(__xludf.DUMMYFUNCTION("QUERY('Volunteer Survey'!B684)"),"")</f>
        <v/>
      </c>
      <c r="AB685" s="183" t="str">
        <f>IFERROR(__xludf.DUMMYFUNCTION("QUERY('Volunteer Survey'!C684)"),"")</f>
        <v/>
      </c>
      <c r="AC685" s="183" t="str">
        <f>IFERROR(__xludf.DUMMYFUNCTION("QUERY('Volunteer Survey'!D684)"),"")</f>
        <v/>
      </c>
      <c r="AD685" s="183" t="str">
        <f>IFERROR(__xludf.DUMMYFUNCTION("QUERY('Volunteer Survey'!E684)"),"")</f>
        <v/>
      </c>
      <c r="AE685" s="183" t="str">
        <f>IFERROR(__xludf.DUMMYFUNCTION("QUERY('Volunteer Survey'!F684)"),"")</f>
        <v/>
      </c>
      <c r="AF685" s="183" t="str">
        <f>IFERROR(__xludf.DUMMYFUNCTION("QUERY('Volunteer Survey'!G684)"),"")</f>
        <v/>
      </c>
      <c r="AG685" s="183" t="str">
        <f>IFERROR(__xludf.DUMMYFUNCTION("QUERY('Volunteer Survey'!H684)"),"")</f>
        <v/>
      </c>
      <c r="AH685" s="183" t="str">
        <f>IFERROR(__xludf.DUMMYFUNCTION("QUERY('Volunteer Survey'!I684)"),"")</f>
        <v/>
      </c>
      <c r="AI685" s="183" t="str">
        <f>IFERROR(__xludf.DUMMYFUNCTION("QUERY('Volunteer Survey'!J684)"),"")</f>
        <v/>
      </c>
      <c r="AJ685" s="183" t="str">
        <f>IFERROR(__xludf.DUMMYFUNCTION("QUERY('Volunteer Survey'!K684)"),"")</f>
        <v/>
      </c>
      <c r="AK685" s="183" t="str">
        <f>IFERROR(__xludf.DUMMYFUNCTION("QUERY('Volunteer Survey'!L684)"),"")</f>
        <v/>
      </c>
      <c r="AL685" s="183" t="str">
        <f>IFERROR(__xludf.DUMMYFUNCTION("QUERY('Volunteer Survey'!M684)"),"")</f>
        <v/>
      </c>
      <c r="AM685" s="183" t="str">
        <f>IFERROR(__xludf.DUMMYFUNCTION("QUERY('Volunteer Survey'!N684)"),"")</f>
        <v/>
      </c>
      <c r="AN685" s="183" t="str">
        <f>IFERROR(__xludf.DUMMYFUNCTION("QUERY('Volunteer Survey'!O684)"),"")</f>
        <v/>
      </c>
      <c r="AO685" s="183" t="str">
        <f>IFERROR(__xludf.DUMMYFUNCTION("QUERY('Volunteer Survey'!P684)"),"")</f>
        <v/>
      </c>
    </row>
    <row r="686">
      <c r="A686" s="55"/>
      <c r="B686" s="55"/>
      <c r="C686" s="53"/>
      <c r="D686" s="55"/>
      <c r="E686" s="55"/>
      <c r="F686" s="55" t="b">
        <v>0</v>
      </c>
      <c r="G686" s="55"/>
      <c r="H686" s="53"/>
      <c r="I686" s="53"/>
      <c r="J686" s="55"/>
      <c r="K686" s="55"/>
      <c r="L686" s="55"/>
      <c r="M686" s="55"/>
      <c r="N686" s="55"/>
      <c r="O686" s="55" t="b">
        <v>0</v>
      </c>
      <c r="P686" s="55"/>
      <c r="Q686" s="55"/>
      <c r="R686" s="55"/>
      <c r="S686" s="55"/>
      <c r="T686" s="55"/>
      <c r="U686" s="64"/>
      <c r="V686" s="55"/>
      <c r="W686" s="64"/>
      <c r="X686" s="55"/>
      <c r="Y686" s="53"/>
      <c r="Z686" s="183" t="str">
        <f>IFERROR(__xludf.DUMMYFUNCTION("QUERY('Volunteer Survey'!A685)"),"")</f>
        <v/>
      </c>
      <c r="AA686" s="183" t="str">
        <f>IFERROR(__xludf.DUMMYFUNCTION("QUERY('Volunteer Survey'!B685)"),"")</f>
        <v/>
      </c>
      <c r="AB686" s="183" t="str">
        <f>IFERROR(__xludf.DUMMYFUNCTION("QUERY('Volunteer Survey'!C685)"),"")</f>
        <v/>
      </c>
      <c r="AC686" s="183" t="str">
        <f>IFERROR(__xludf.DUMMYFUNCTION("QUERY('Volunteer Survey'!D685)"),"")</f>
        <v/>
      </c>
      <c r="AD686" s="183" t="str">
        <f>IFERROR(__xludf.DUMMYFUNCTION("QUERY('Volunteer Survey'!E685)"),"")</f>
        <v/>
      </c>
      <c r="AE686" s="183" t="str">
        <f>IFERROR(__xludf.DUMMYFUNCTION("QUERY('Volunteer Survey'!F685)"),"")</f>
        <v/>
      </c>
      <c r="AF686" s="183" t="str">
        <f>IFERROR(__xludf.DUMMYFUNCTION("QUERY('Volunteer Survey'!G685)"),"")</f>
        <v/>
      </c>
      <c r="AG686" s="183" t="str">
        <f>IFERROR(__xludf.DUMMYFUNCTION("QUERY('Volunteer Survey'!H685)"),"")</f>
        <v/>
      </c>
      <c r="AH686" s="183" t="str">
        <f>IFERROR(__xludf.DUMMYFUNCTION("QUERY('Volunteer Survey'!I685)"),"")</f>
        <v/>
      </c>
      <c r="AI686" s="183" t="str">
        <f>IFERROR(__xludf.DUMMYFUNCTION("QUERY('Volunteer Survey'!J685)"),"")</f>
        <v/>
      </c>
      <c r="AJ686" s="183" t="str">
        <f>IFERROR(__xludf.DUMMYFUNCTION("QUERY('Volunteer Survey'!K685)"),"")</f>
        <v/>
      </c>
      <c r="AK686" s="183" t="str">
        <f>IFERROR(__xludf.DUMMYFUNCTION("QUERY('Volunteer Survey'!L685)"),"")</f>
        <v/>
      </c>
      <c r="AL686" s="183" t="str">
        <f>IFERROR(__xludf.DUMMYFUNCTION("QUERY('Volunteer Survey'!M685)"),"")</f>
        <v/>
      </c>
      <c r="AM686" s="183" t="str">
        <f>IFERROR(__xludf.DUMMYFUNCTION("QUERY('Volunteer Survey'!N685)"),"")</f>
        <v/>
      </c>
      <c r="AN686" s="183" t="str">
        <f>IFERROR(__xludf.DUMMYFUNCTION("QUERY('Volunteer Survey'!O685)"),"")</f>
        <v/>
      </c>
      <c r="AO686" s="183" t="str">
        <f>IFERROR(__xludf.DUMMYFUNCTION("QUERY('Volunteer Survey'!P685)"),"")</f>
        <v/>
      </c>
    </row>
    <row r="687">
      <c r="A687" s="55"/>
      <c r="B687" s="55"/>
      <c r="C687" s="53"/>
      <c r="D687" s="55"/>
      <c r="E687" s="55"/>
      <c r="F687" s="55" t="b">
        <v>0</v>
      </c>
      <c r="G687" s="55"/>
      <c r="H687" s="53"/>
      <c r="I687" s="53"/>
      <c r="J687" s="55"/>
      <c r="K687" s="55"/>
      <c r="L687" s="55"/>
      <c r="M687" s="55"/>
      <c r="N687" s="55"/>
      <c r="O687" s="55" t="b">
        <v>0</v>
      </c>
      <c r="P687" s="55"/>
      <c r="Q687" s="55"/>
      <c r="R687" s="55"/>
      <c r="S687" s="55"/>
      <c r="T687" s="55"/>
      <c r="U687" s="64"/>
      <c r="V687" s="55"/>
      <c r="W687" s="64"/>
      <c r="X687" s="55"/>
      <c r="Y687" s="53"/>
      <c r="Z687" s="183" t="str">
        <f>IFERROR(__xludf.DUMMYFUNCTION("QUERY('Volunteer Survey'!A686)"),"")</f>
        <v/>
      </c>
      <c r="AA687" s="183" t="str">
        <f>IFERROR(__xludf.DUMMYFUNCTION("QUERY('Volunteer Survey'!B686)"),"")</f>
        <v/>
      </c>
      <c r="AB687" s="183" t="str">
        <f>IFERROR(__xludf.DUMMYFUNCTION("QUERY('Volunteer Survey'!C686)"),"")</f>
        <v/>
      </c>
      <c r="AC687" s="183" t="str">
        <f>IFERROR(__xludf.DUMMYFUNCTION("QUERY('Volunteer Survey'!D686)"),"")</f>
        <v/>
      </c>
      <c r="AD687" s="183" t="str">
        <f>IFERROR(__xludf.DUMMYFUNCTION("QUERY('Volunteer Survey'!E686)"),"")</f>
        <v/>
      </c>
      <c r="AE687" s="183" t="str">
        <f>IFERROR(__xludf.DUMMYFUNCTION("QUERY('Volunteer Survey'!F686)"),"")</f>
        <v/>
      </c>
      <c r="AF687" s="183" t="str">
        <f>IFERROR(__xludf.DUMMYFUNCTION("QUERY('Volunteer Survey'!G686)"),"")</f>
        <v/>
      </c>
      <c r="AG687" s="183" t="str">
        <f>IFERROR(__xludf.DUMMYFUNCTION("QUERY('Volunteer Survey'!H686)"),"")</f>
        <v/>
      </c>
      <c r="AH687" s="183" t="str">
        <f>IFERROR(__xludf.DUMMYFUNCTION("QUERY('Volunteer Survey'!I686)"),"")</f>
        <v/>
      </c>
      <c r="AI687" s="183" t="str">
        <f>IFERROR(__xludf.DUMMYFUNCTION("QUERY('Volunteer Survey'!J686)"),"")</f>
        <v/>
      </c>
      <c r="AJ687" s="183" t="str">
        <f>IFERROR(__xludf.DUMMYFUNCTION("QUERY('Volunteer Survey'!K686)"),"")</f>
        <v/>
      </c>
      <c r="AK687" s="183" t="str">
        <f>IFERROR(__xludf.DUMMYFUNCTION("QUERY('Volunteer Survey'!L686)"),"")</f>
        <v/>
      </c>
      <c r="AL687" s="183" t="str">
        <f>IFERROR(__xludf.DUMMYFUNCTION("QUERY('Volunteer Survey'!M686)"),"")</f>
        <v/>
      </c>
      <c r="AM687" s="183" t="str">
        <f>IFERROR(__xludf.DUMMYFUNCTION("QUERY('Volunteer Survey'!N686)"),"")</f>
        <v/>
      </c>
      <c r="AN687" s="183" t="str">
        <f>IFERROR(__xludf.DUMMYFUNCTION("QUERY('Volunteer Survey'!O686)"),"")</f>
        <v/>
      </c>
      <c r="AO687" s="183" t="str">
        <f>IFERROR(__xludf.DUMMYFUNCTION("QUERY('Volunteer Survey'!P686)"),"")</f>
        <v/>
      </c>
    </row>
    <row r="688">
      <c r="A688" s="55"/>
      <c r="B688" s="55"/>
      <c r="C688" s="53"/>
      <c r="D688" s="55"/>
      <c r="E688" s="55"/>
      <c r="F688" s="55" t="b">
        <v>0</v>
      </c>
      <c r="G688" s="55"/>
      <c r="H688" s="53"/>
      <c r="I688" s="53"/>
      <c r="J688" s="55"/>
      <c r="K688" s="55"/>
      <c r="L688" s="55"/>
      <c r="M688" s="55"/>
      <c r="N688" s="55"/>
      <c r="O688" s="55" t="b">
        <v>0</v>
      </c>
      <c r="P688" s="55"/>
      <c r="Q688" s="55"/>
      <c r="R688" s="55"/>
      <c r="S688" s="55"/>
      <c r="T688" s="55"/>
      <c r="U688" s="64"/>
      <c r="V688" s="55"/>
      <c r="W688" s="64"/>
      <c r="X688" s="55"/>
      <c r="Y688" s="53"/>
      <c r="Z688" s="183" t="str">
        <f>IFERROR(__xludf.DUMMYFUNCTION("QUERY('Volunteer Survey'!A687)"),"")</f>
        <v/>
      </c>
      <c r="AA688" s="183" t="str">
        <f>IFERROR(__xludf.DUMMYFUNCTION("QUERY('Volunteer Survey'!B687)"),"")</f>
        <v/>
      </c>
      <c r="AB688" s="183" t="str">
        <f>IFERROR(__xludf.DUMMYFUNCTION("QUERY('Volunteer Survey'!C687)"),"")</f>
        <v/>
      </c>
      <c r="AC688" s="183" t="str">
        <f>IFERROR(__xludf.DUMMYFUNCTION("QUERY('Volunteer Survey'!D687)"),"")</f>
        <v/>
      </c>
      <c r="AD688" s="183" t="str">
        <f>IFERROR(__xludf.DUMMYFUNCTION("QUERY('Volunteer Survey'!E687)"),"")</f>
        <v/>
      </c>
      <c r="AE688" s="183" t="str">
        <f>IFERROR(__xludf.DUMMYFUNCTION("QUERY('Volunteer Survey'!F687)"),"")</f>
        <v/>
      </c>
      <c r="AF688" s="183" t="str">
        <f>IFERROR(__xludf.DUMMYFUNCTION("QUERY('Volunteer Survey'!G687)"),"")</f>
        <v/>
      </c>
      <c r="AG688" s="183" t="str">
        <f>IFERROR(__xludf.DUMMYFUNCTION("QUERY('Volunteer Survey'!H687)"),"")</f>
        <v/>
      </c>
      <c r="AH688" s="183" t="str">
        <f>IFERROR(__xludf.DUMMYFUNCTION("QUERY('Volunteer Survey'!I687)"),"")</f>
        <v/>
      </c>
      <c r="AI688" s="183" t="str">
        <f>IFERROR(__xludf.DUMMYFUNCTION("QUERY('Volunteer Survey'!J687)"),"")</f>
        <v/>
      </c>
      <c r="AJ688" s="183" t="str">
        <f>IFERROR(__xludf.DUMMYFUNCTION("QUERY('Volunteer Survey'!K687)"),"")</f>
        <v/>
      </c>
      <c r="AK688" s="183" t="str">
        <f>IFERROR(__xludf.DUMMYFUNCTION("QUERY('Volunteer Survey'!L687)"),"")</f>
        <v/>
      </c>
      <c r="AL688" s="183" t="str">
        <f>IFERROR(__xludf.DUMMYFUNCTION("QUERY('Volunteer Survey'!M687)"),"")</f>
        <v/>
      </c>
      <c r="AM688" s="183" t="str">
        <f>IFERROR(__xludf.DUMMYFUNCTION("QUERY('Volunteer Survey'!N687)"),"")</f>
        <v/>
      </c>
      <c r="AN688" s="183" t="str">
        <f>IFERROR(__xludf.DUMMYFUNCTION("QUERY('Volunteer Survey'!O687)"),"")</f>
        <v/>
      </c>
      <c r="AO688" s="183" t="str">
        <f>IFERROR(__xludf.DUMMYFUNCTION("QUERY('Volunteer Survey'!P687)"),"")</f>
        <v/>
      </c>
    </row>
    <row r="689">
      <c r="A689" s="55"/>
      <c r="B689" s="55"/>
      <c r="C689" s="53"/>
      <c r="D689" s="55"/>
      <c r="E689" s="55"/>
      <c r="F689" s="55" t="b">
        <v>0</v>
      </c>
      <c r="G689" s="55"/>
      <c r="H689" s="53"/>
      <c r="I689" s="53"/>
      <c r="J689" s="55"/>
      <c r="K689" s="55"/>
      <c r="L689" s="55"/>
      <c r="M689" s="55"/>
      <c r="N689" s="55"/>
      <c r="O689" s="55" t="b">
        <v>0</v>
      </c>
      <c r="P689" s="55"/>
      <c r="Q689" s="55"/>
      <c r="R689" s="55"/>
      <c r="S689" s="55"/>
      <c r="T689" s="55"/>
      <c r="U689" s="64"/>
      <c r="V689" s="55"/>
      <c r="W689" s="64"/>
      <c r="X689" s="55"/>
      <c r="Y689" s="53"/>
      <c r="Z689" s="183" t="str">
        <f>IFERROR(__xludf.DUMMYFUNCTION("QUERY('Volunteer Survey'!A688)"),"")</f>
        <v/>
      </c>
      <c r="AA689" s="183" t="str">
        <f>IFERROR(__xludf.DUMMYFUNCTION("QUERY('Volunteer Survey'!B688)"),"")</f>
        <v/>
      </c>
      <c r="AB689" s="183" t="str">
        <f>IFERROR(__xludf.DUMMYFUNCTION("QUERY('Volunteer Survey'!C688)"),"")</f>
        <v/>
      </c>
      <c r="AC689" s="183" t="str">
        <f>IFERROR(__xludf.DUMMYFUNCTION("QUERY('Volunteer Survey'!D688)"),"")</f>
        <v/>
      </c>
      <c r="AD689" s="183" t="str">
        <f>IFERROR(__xludf.DUMMYFUNCTION("QUERY('Volunteer Survey'!E688)"),"")</f>
        <v/>
      </c>
      <c r="AE689" s="183" t="str">
        <f>IFERROR(__xludf.DUMMYFUNCTION("QUERY('Volunteer Survey'!F688)"),"")</f>
        <v/>
      </c>
      <c r="AF689" s="183" t="str">
        <f>IFERROR(__xludf.DUMMYFUNCTION("QUERY('Volunteer Survey'!G688)"),"")</f>
        <v/>
      </c>
      <c r="AG689" s="183" t="str">
        <f>IFERROR(__xludf.DUMMYFUNCTION("QUERY('Volunteer Survey'!H688)"),"")</f>
        <v/>
      </c>
      <c r="AH689" s="183" t="str">
        <f>IFERROR(__xludf.DUMMYFUNCTION("QUERY('Volunteer Survey'!I688)"),"")</f>
        <v/>
      </c>
      <c r="AI689" s="183" t="str">
        <f>IFERROR(__xludf.DUMMYFUNCTION("QUERY('Volunteer Survey'!J688)"),"")</f>
        <v/>
      </c>
      <c r="AJ689" s="183" t="str">
        <f>IFERROR(__xludf.DUMMYFUNCTION("QUERY('Volunteer Survey'!K688)"),"")</f>
        <v/>
      </c>
      <c r="AK689" s="183" t="str">
        <f>IFERROR(__xludf.DUMMYFUNCTION("QUERY('Volunteer Survey'!L688)"),"")</f>
        <v/>
      </c>
      <c r="AL689" s="183" t="str">
        <f>IFERROR(__xludf.DUMMYFUNCTION("QUERY('Volunteer Survey'!M688)"),"")</f>
        <v/>
      </c>
      <c r="AM689" s="183" t="str">
        <f>IFERROR(__xludf.DUMMYFUNCTION("QUERY('Volunteer Survey'!N688)"),"")</f>
        <v/>
      </c>
      <c r="AN689" s="183" t="str">
        <f>IFERROR(__xludf.DUMMYFUNCTION("QUERY('Volunteer Survey'!O688)"),"")</f>
        <v/>
      </c>
      <c r="AO689" s="183" t="str">
        <f>IFERROR(__xludf.DUMMYFUNCTION("QUERY('Volunteer Survey'!P688)"),"")</f>
        <v/>
      </c>
    </row>
    <row r="690">
      <c r="A690" s="55"/>
      <c r="B690" s="55"/>
      <c r="C690" s="53"/>
      <c r="D690" s="55"/>
      <c r="E690" s="55"/>
      <c r="F690" s="55" t="b">
        <v>0</v>
      </c>
      <c r="G690" s="55"/>
      <c r="H690" s="53"/>
      <c r="I690" s="53"/>
      <c r="J690" s="55"/>
      <c r="K690" s="55"/>
      <c r="L690" s="55"/>
      <c r="M690" s="55"/>
      <c r="N690" s="55"/>
      <c r="O690" s="55" t="b">
        <v>0</v>
      </c>
      <c r="P690" s="55"/>
      <c r="Q690" s="55"/>
      <c r="R690" s="55"/>
      <c r="S690" s="55"/>
      <c r="T690" s="55"/>
      <c r="U690" s="64"/>
      <c r="V690" s="55"/>
      <c r="W690" s="64"/>
      <c r="X690" s="55"/>
      <c r="Y690" s="53"/>
      <c r="Z690" s="183" t="str">
        <f>IFERROR(__xludf.DUMMYFUNCTION("QUERY('Volunteer Survey'!A689)"),"")</f>
        <v/>
      </c>
      <c r="AA690" s="183" t="str">
        <f>IFERROR(__xludf.DUMMYFUNCTION("QUERY('Volunteer Survey'!B689)"),"")</f>
        <v/>
      </c>
      <c r="AB690" s="183" t="str">
        <f>IFERROR(__xludf.DUMMYFUNCTION("QUERY('Volunteer Survey'!C689)"),"")</f>
        <v/>
      </c>
      <c r="AC690" s="183" t="str">
        <f>IFERROR(__xludf.DUMMYFUNCTION("QUERY('Volunteer Survey'!D689)"),"")</f>
        <v/>
      </c>
      <c r="AD690" s="183" t="str">
        <f>IFERROR(__xludf.DUMMYFUNCTION("QUERY('Volunteer Survey'!E689)"),"")</f>
        <v/>
      </c>
      <c r="AE690" s="183" t="str">
        <f>IFERROR(__xludf.DUMMYFUNCTION("QUERY('Volunteer Survey'!F689)"),"")</f>
        <v/>
      </c>
      <c r="AF690" s="183" t="str">
        <f>IFERROR(__xludf.DUMMYFUNCTION("QUERY('Volunteer Survey'!G689)"),"")</f>
        <v/>
      </c>
      <c r="AG690" s="183" t="str">
        <f>IFERROR(__xludf.DUMMYFUNCTION("QUERY('Volunteer Survey'!H689)"),"")</f>
        <v/>
      </c>
      <c r="AH690" s="183" t="str">
        <f>IFERROR(__xludf.DUMMYFUNCTION("QUERY('Volunteer Survey'!I689)"),"")</f>
        <v/>
      </c>
      <c r="AI690" s="183" t="str">
        <f>IFERROR(__xludf.DUMMYFUNCTION("QUERY('Volunteer Survey'!J689)"),"")</f>
        <v/>
      </c>
      <c r="AJ690" s="183" t="str">
        <f>IFERROR(__xludf.DUMMYFUNCTION("QUERY('Volunteer Survey'!K689)"),"")</f>
        <v/>
      </c>
      <c r="AK690" s="183" t="str">
        <f>IFERROR(__xludf.DUMMYFUNCTION("QUERY('Volunteer Survey'!L689)"),"")</f>
        <v/>
      </c>
      <c r="AL690" s="183" t="str">
        <f>IFERROR(__xludf.DUMMYFUNCTION("QUERY('Volunteer Survey'!M689)"),"")</f>
        <v/>
      </c>
      <c r="AM690" s="183" t="str">
        <f>IFERROR(__xludf.DUMMYFUNCTION("QUERY('Volunteer Survey'!N689)"),"")</f>
        <v/>
      </c>
      <c r="AN690" s="183" t="str">
        <f>IFERROR(__xludf.DUMMYFUNCTION("QUERY('Volunteer Survey'!O689)"),"")</f>
        <v/>
      </c>
      <c r="AO690" s="183" t="str">
        <f>IFERROR(__xludf.DUMMYFUNCTION("QUERY('Volunteer Survey'!P689)"),"")</f>
        <v/>
      </c>
    </row>
    <row r="691">
      <c r="A691" s="55"/>
      <c r="B691" s="55"/>
      <c r="C691" s="53"/>
      <c r="D691" s="55"/>
      <c r="E691" s="55"/>
      <c r="F691" s="55" t="b">
        <v>0</v>
      </c>
      <c r="G691" s="55"/>
      <c r="H691" s="53"/>
      <c r="I691" s="53"/>
      <c r="J691" s="55"/>
      <c r="K691" s="55"/>
      <c r="L691" s="55"/>
      <c r="M691" s="55"/>
      <c r="N691" s="55"/>
      <c r="O691" s="55" t="b">
        <v>0</v>
      </c>
      <c r="P691" s="55"/>
      <c r="Q691" s="55"/>
      <c r="R691" s="55"/>
      <c r="S691" s="55"/>
      <c r="T691" s="55"/>
      <c r="U691" s="64"/>
      <c r="V691" s="55"/>
      <c r="W691" s="64"/>
      <c r="X691" s="55"/>
      <c r="Y691" s="53"/>
      <c r="Z691" s="183" t="str">
        <f>IFERROR(__xludf.DUMMYFUNCTION("QUERY('Volunteer Survey'!A690)"),"")</f>
        <v/>
      </c>
      <c r="AA691" s="183" t="str">
        <f>IFERROR(__xludf.DUMMYFUNCTION("QUERY('Volunteer Survey'!B690)"),"")</f>
        <v/>
      </c>
      <c r="AB691" s="183" t="str">
        <f>IFERROR(__xludf.DUMMYFUNCTION("QUERY('Volunteer Survey'!C690)"),"")</f>
        <v/>
      </c>
      <c r="AC691" s="183" t="str">
        <f>IFERROR(__xludf.DUMMYFUNCTION("QUERY('Volunteer Survey'!D690)"),"")</f>
        <v/>
      </c>
      <c r="AD691" s="183" t="str">
        <f>IFERROR(__xludf.DUMMYFUNCTION("QUERY('Volunteer Survey'!E690)"),"")</f>
        <v/>
      </c>
      <c r="AE691" s="183" t="str">
        <f>IFERROR(__xludf.DUMMYFUNCTION("QUERY('Volunteer Survey'!F690)"),"")</f>
        <v/>
      </c>
      <c r="AF691" s="183" t="str">
        <f>IFERROR(__xludf.DUMMYFUNCTION("QUERY('Volunteer Survey'!G690)"),"")</f>
        <v/>
      </c>
      <c r="AG691" s="183" t="str">
        <f>IFERROR(__xludf.DUMMYFUNCTION("QUERY('Volunteer Survey'!H690)"),"")</f>
        <v/>
      </c>
      <c r="AH691" s="183" t="str">
        <f>IFERROR(__xludf.DUMMYFUNCTION("QUERY('Volunteer Survey'!I690)"),"")</f>
        <v/>
      </c>
      <c r="AI691" s="183" t="str">
        <f>IFERROR(__xludf.DUMMYFUNCTION("QUERY('Volunteer Survey'!J690)"),"")</f>
        <v/>
      </c>
      <c r="AJ691" s="183" t="str">
        <f>IFERROR(__xludf.DUMMYFUNCTION("QUERY('Volunteer Survey'!K690)"),"")</f>
        <v/>
      </c>
      <c r="AK691" s="183" t="str">
        <f>IFERROR(__xludf.DUMMYFUNCTION("QUERY('Volunteer Survey'!L690)"),"")</f>
        <v/>
      </c>
      <c r="AL691" s="183" t="str">
        <f>IFERROR(__xludf.DUMMYFUNCTION("QUERY('Volunteer Survey'!M690)"),"")</f>
        <v/>
      </c>
      <c r="AM691" s="183" t="str">
        <f>IFERROR(__xludf.DUMMYFUNCTION("QUERY('Volunteer Survey'!N690)"),"")</f>
        <v/>
      </c>
      <c r="AN691" s="183" t="str">
        <f>IFERROR(__xludf.DUMMYFUNCTION("QUERY('Volunteer Survey'!O690)"),"")</f>
        <v/>
      </c>
      <c r="AO691" s="183" t="str">
        <f>IFERROR(__xludf.DUMMYFUNCTION("QUERY('Volunteer Survey'!P690)"),"")</f>
        <v/>
      </c>
    </row>
    <row r="692">
      <c r="A692" s="55"/>
      <c r="B692" s="55"/>
      <c r="C692" s="53"/>
      <c r="D692" s="55"/>
      <c r="E692" s="55"/>
      <c r="F692" s="55" t="b">
        <v>0</v>
      </c>
      <c r="G692" s="55"/>
      <c r="H692" s="53"/>
      <c r="I692" s="53"/>
      <c r="J692" s="55"/>
      <c r="K692" s="55"/>
      <c r="L692" s="55"/>
      <c r="M692" s="55"/>
      <c r="N692" s="55"/>
      <c r="O692" s="55" t="b">
        <v>0</v>
      </c>
      <c r="P692" s="55"/>
      <c r="Q692" s="55"/>
      <c r="R692" s="55"/>
      <c r="S692" s="55"/>
      <c r="T692" s="55"/>
      <c r="U692" s="64"/>
      <c r="V692" s="55"/>
      <c r="W692" s="64"/>
      <c r="X692" s="55"/>
      <c r="Y692" s="53"/>
      <c r="Z692" s="183" t="str">
        <f>IFERROR(__xludf.DUMMYFUNCTION("QUERY('Volunteer Survey'!A691)"),"")</f>
        <v/>
      </c>
      <c r="AA692" s="183" t="str">
        <f>IFERROR(__xludf.DUMMYFUNCTION("QUERY('Volunteer Survey'!B691)"),"")</f>
        <v/>
      </c>
      <c r="AB692" s="183" t="str">
        <f>IFERROR(__xludf.DUMMYFUNCTION("QUERY('Volunteer Survey'!C691)"),"")</f>
        <v/>
      </c>
      <c r="AC692" s="183" t="str">
        <f>IFERROR(__xludf.DUMMYFUNCTION("QUERY('Volunteer Survey'!D691)"),"")</f>
        <v/>
      </c>
      <c r="AD692" s="183" t="str">
        <f>IFERROR(__xludf.DUMMYFUNCTION("QUERY('Volunteer Survey'!E691)"),"")</f>
        <v/>
      </c>
      <c r="AE692" s="183" t="str">
        <f>IFERROR(__xludf.DUMMYFUNCTION("QUERY('Volunteer Survey'!F691)"),"")</f>
        <v/>
      </c>
      <c r="AF692" s="183" t="str">
        <f>IFERROR(__xludf.DUMMYFUNCTION("QUERY('Volunteer Survey'!G691)"),"")</f>
        <v/>
      </c>
      <c r="AG692" s="183" t="str">
        <f>IFERROR(__xludf.DUMMYFUNCTION("QUERY('Volunteer Survey'!H691)"),"")</f>
        <v/>
      </c>
      <c r="AH692" s="183" t="str">
        <f>IFERROR(__xludf.DUMMYFUNCTION("QUERY('Volunteer Survey'!I691)"),"")</f>
        <v/>
      </c>
      <c r="AI692" s="183" t="str">
        <f>IFERROR(__xludf.DUMMYFUNCTION("QUERY('Volunteer Survey'!J691)"),"")</f>
        <v/>
      </c>
      <c r="AJ692" s="183" t="str">
        <f>IFERROR(__xludf.DUMMYFUNCTION("QUERY('Volunteer Survey'!K691)"),"")</f>
        <v/>
      </c>
      <c r="AK692" s="183" t="str">
        <f>IFERROR(__xludf.DUMMYFUNCTION("QUERY('Volunteer Survey'!L691)"),"")</f>
        <v/>
      </c>
      <c r="AL692" s="183" t="str">
        <f>IFERROR(__xludf.DUMMYFUNCTION("QUERY('Volunteer Survey'!M691)"),"")</f>
        <v/>
      </c>
      <c r="AM692" s="183" t="str">
        <f>IFERROR(__xludf.DUMMYFUNCTION("QUERY('Volunteer Survey'!N691)"),"")</f>
        <v/>
      </c>
      <c r="AN692" s="183" t="str">
        <f>IFERROR(__xludf.DUMMYFUNCTION("QUERY('Volunteer Survey'!O691)"),"")</f>
        <v/>
      </c>
      <c r="AO692" s="183" t="str">
        <f>IFERROR(__xludf.DUMMYFUNCTION("QUERY('Volunteer Survey'!P691)"),"")</f>
        <v/>
      </c>
    </row>
    <row r="693">
      <c r="A693" s="55"/>
      <c r="B693" s="55"/>
      <c r="C693" s="53"/>
      <c r="D693" s="55"/>
      <c r="E693" s="55"/>
      <c r="F693" s="55" t="b">
        <v>0</v>
      </c>
      <c r="G693" s="55"/>
      <c r="H693" s="53"/>
      <c r="I693" s="53"/>
      <c r="J693" s="55"/>
      <c r="K693" s="55"/>
      <c r="L693" s="55"/>
      <c r="M693" s="55"/>
      <c r="N693" s="55"/>
      <c r="O693" s="55" t="b">
        <v>0</v>
      </c>
      <c r="P693" s="55"/>
      <c r="Q693" s="55"/>
      <c r="R693" s="55"/>
      <c r="S693" s="55"/>
      <c r="T693" s="55"/>
      <c r="U693" s="64"/>
      <c r="V693" s="55"/>
      <c r="W693" s="64"/>
      <c r="X693" s="55"/>
      <c r="Y693" s="53"/>
      <c r="Z693" s="183" t="str">
        <f>IFERROR(__xludf.DUMMYFUNCTION("QUERY('Volunteer Survey'!A692)"),"")</f>
        <v/>
      </c>
      <c r="AA693" s="183" t="str">
        <f>IFERROR(__xludf.DUMMYFUNCTION("QUERY('Volunteer Survey'!B692)"),"")</f>
        <v/>
      </c>
      <c r="AB693" s="183" t="str">
        <f>IFERROR(__xludf.DUMMYFUNCTION("QUERY('Volunteer Survey'!C692)"),"")</f>
        <v/>
      </c>
      <c r="AC693" s="183" t="str">
        <f>IFERROR(__xludf.DUMMYFUNCTION("QUERY('Volunteer Survey'!D692)"),"")</f>
        <v/>
      </c>
      <c r="AD693" s="183" t="str">
        <f>IFERROR(__xludf.DUMMYFUNCTION("QUERY('Volunteer Survey'!E692)"),"")</f>
        <v/>
      </c>
      <c r="AE693" s="183" t="str">
        <f>IFERROR(__xludf.DUMMYFUNCTION("QUERY('Volunteer Survey'!F692)"),"")</f>
        <v/>
      </c>
      <c r="AF693" s="183" t="str">
        <f>IFERROR(__xludf.DUMMYFUNCTION("QUERY('Volunteer Survey'!G692)"),"")</f>
        <v/>
      </c>
      <c r="AG693" s="183" t="str">
        <f>IFERROR(__xludf.DUMMYFUNCTION("QUERY('Volunteer Survey'!H692)"),"")</f>
        <v/>
      </c>
      <c r="AH693" s="183" t="str">
        <f>IFERROR(__xludf.DUMMYFUNCTION("QUERY('Volunteer Survey'!I692)"),"")</f>
        <v/>
      </c>
      <c r="AI693" s="183" t="str">
        <f>IFERROR(__xludf.DUMMYFUNCTION("QUERY('Volunteer Survey'!J692)"),"")</f>
        <v/>
      </c>
      <c r="AJ693" s="183" t="str">
        <f>IFERROR(__xludf.DUMMYFUNCTION("QUERY('Volunteer Survey'!K692)"),"")</f>
        <v/>
      </c>
      <c r="AK693" s="183" t="str">
        <f>IFERROR(__xludf.DUMMYFUNCTION("QUERY('Volunteer Survey'!L692)"),"")</f>
        <v/>
      </c>
      <c r="AL693" s="183" t="str">
        <f>IFERROR(__xludf.DUMMYFUNCTION("QUERY('Volunteer Survey'!M692)"),"")</f>
        <v/>
      </c>
      <c r="AM693" s="183" t="str">
        <f>IFERROR(__xludf.DUMMYFUNCTION("QUERY('Volunteer Survey'!N692)"),"")</f>
        <v/>
      </c>
      <c r="AN693" s="183" t="str">
        <f>IFERROR(__xludf.DUMMYFUNCTION("QUERY('Volunteer Survey'!O692)"),"")</f>
        <v/>
      </c>
      <c r="AO693" s="183" t="str">
        <f>IFERROR(__xludf.DUMMYFUNCTION("QUERY('Volunteer Survey'!P692)"),"")</f>
        <v/>
      </c>
    </row>
    <row r="694">
      <c r="A694" s="55"/>
      <c r="B694" s="55"/>
      <c r="C694" s="53"/>
      <c r="D694" s="55"/>
      <c r="E694" s="55"/>
      <c r="F694" s="55" t="b">
        <v>0</v>
      </c>
      <c r="G694" s="55"/>
      <c r="H694" s="53"/>
      <c r="I694" s="53"/>
      <c r="J694" s="55"/>
      <c r="K694" s="55"/>
      <c r="L694" s="55"/>
      <c r="M694" s="55"/>
      <c r="N694" s="55"/>
      <c r="O694" s="55" t="b">
        <v>0</v>
      </c>
      <c r="P694" s="55"/>
      <c r="Q694" s="55"/>
      <c r="R694" s="55"/>
      <c r="S694" s="55"/>
      <c r="T694" s="55"/>
      <c r="U694" s="64"/>
      <c r="V694" s="55"/>
      <c r="W694" s="64"/>
      <c r="X694" s="55"/>
      <c r="Y694" s="53"/>
      <c r="Z694" s="183" t="str">
        <f>IFERROR(__xludf.DUMMYFUNCTION("QUERY('Volunteer Survey'!A693)"),"")</f>
        <v/>
      </c>
      <c r="AA694" s="183" t="str">
        <f>IFERROR(__xludf.DUMMYFUNCTION("QUERY('Volunteer Survey'!B693)"),"")</f>
        <v/>
      </c>
      <c r="AB694" s="183" t="str">
        <f>IFERROR(__xludf.DUMMYFUNCTION("QUERY('Volunteer Survey'!C693)"),"")</f>
        <v/>
      </c>
      <c r="AC694" s="183" t="str">
        <f>IFERROR(__xludf.DUMMYFUNCTION("QUERY('Volunteer Survey'!D693)"),"")</f>
        <v/>
      </c>
      <c r="AD694" s="183" t="str">
        <f>IFERROR(__xludf.DUMMYFUNCTION("QUERY('Volunteer Survey'!E693)"),"")</f>
        <v/>
      </c>
      <c r="AE694" s="183" t="str">
        <f>IFERROR(__xludf.DUMMYFUNCTION("QUERY('Volunteer Survey'!F693)"),"")</f>
        <v/>
      </c>
      <c r="AF694" s="183" t="str">
        <f>IFERROR(__xludf.DUMMYFUNCTION("QUERY('Volunteer Survey'!G693)"),"")</f>
        <v/>
      </c>
      <c r="AG694" s="183" t="str">
        <f>IFERROR(__xludf.DUMMYFUNCTION("QUERY('Volunteer Survey'!H693)"),"")</f>
        <v/>
      </c>
      <c r="AH694" s="183" t="str">
        <f>IFERROR(__xludf.DUMMYFUNCTION("QUERY('Volunteer Survey'!I693)"),"")</f>
        <v/>
      </c>
      <c r="AI694" s="183" t="str">
        <f>IFERROR(__xludf.DUMMYFUNCTION("QUERY('Volunteer Survey'!J693)"),"")</f>
        <v/>
      </c>
      <c r="AJ694" s="183" t="str">
        <f>IFERROR(__xludf.DUMMYFUNCTION("QUERY('Volunteer Survey'!K693)"),"")</f>
        <v/>
      </c>
      <c r="AK694" s="183" t="str">
        <f>IFERROR(__xludf.DUMMYFUNCTION("QUERY('Volunteer Survey'!L693)"),"")</f>
        <v/>
      </c>
      <c r="AL694" s="183" t="str">
        <f>IFERROR(__xludf.DUMMYFUNCTION("QUERY('Volunteer Survey'!M693)"),"")</f>
        <v/>
      </c>
      <c r="AM694" s="183" t="str">
        <f>IFERROR(__xludf.DUMMYFUNCTION("QUERY('Volunteer Survey'!N693)"),"")</f>
        <v/>
      </c>
      <c r="AN694" s="183" t="str">
        <f>IFERROR(__xludf.DUMMYFUNCTION("QUERY('Volunteer Survey'!O693)"),"")</f>
        <v/>
      </c>
      <c r="AO694" s="183" t="str">
        <f>IFERROR(__xludf.DUMMYFUNCTION("QUERY('Volunteer Survey'!P693)"),"")</f>
        <v/>
      </c>
    </row>
    <row r="695">
      <c r="A695" s="55"/>
      <c r="B695" s="55"/>
      <c r="C695" s="53"/>
      <c r="D695" s="55"/>
      <c r="E695" s="55"/>
      <c r="F695" s="55" t="b">
        <v>0</v>
      </c>
      <c r="G695" s="55"/>
      <c r="H695" s="53"/>
      <c r="I695" s="53"/>
      <c r="J695" s="55"/>
      <c r="K695" s="55"/>
      <c r="L695" s="55"/>
      <c r="M695" s="55"/>
      <c r="N695" s="55"/>
      <c r="O695" s="55" t="b">
        <v>0</v>
      </c>
      <c r="P695" s="55"/>
      <c r="Q695" s="55"/>
      <c r="R695" s="55"/>
      <c r="S695" s="55"/>
      <c r="T695" s="55"/>
      <c r="U695" s="64"/>
      <c r="V695" s="55"/>
      <c r="W695" s="64"/>
      <c r="X695" s="55"/>
      <c r="Y695" s="53"/>
      <c r="Z695" s="183" t="str">
        <f>IFERROR(__xludf.DUMMYFUNCTION("QUERY('Volunteer Survey'!A694)"),"")</f>
        <v/>
      </c>
      <c r="AA695" s="183" t="str">
        <f>IFERROR(__xludf.DUMMYFUNCTION("QUERY('Volunteer Survey'!B694)"),"")</f>
        <v/>
      </c>
      <c r="AB695" s="183" t="str">
        <f>IFERROR(__xludf.DUMMYFUNCTION("QUERY('Volunteer Survey'!C694)"),"")</f>
        <v/>
      </c>
      <c r="AC695" s="183" t="str">
        <f>IFERROR(__xludf.DUMMYFUNCTION("QUERY('Volunteer Survey'!D694)"),"")</f>
        <v/>
      </c>
      <c r="AD695" s="183" t="str">
        <f>IFERROR(__xludf.DUMMYFUNCTION("QUERY('Volunteer Survey'!E694)"),"")</f>
        <v/>
      </c>
      <c r="AE695" s="183" t="str">
        <f>IFERROR(__xludf.DUMMYFUNCTION("QUERY('Volunteer Survey'!F694)"),"")</f>
        <v/>
      </c>
      <c r="AF695" s="183" t="str">
        <f>IFERROR(__xludf.DUMMYFUNCTION("QUERY('Volunteer Survey'!G694)"),"")</f>
        <v/>
      </c>
      <c r="AG695" s="183" t="str">
        <f>IFERROR(__xludf.DUMMYFUNCTION("QUERY('Volunteer Survey'!H694)"),"")</f>
        <v/>
      </c>
      <c r="AH695" s="183" t="str">
        <f>IFERROR(__xludf.DUMMYFUNCTION("QUERY('Volunteer Survey'!I694)"),"")</f>
        <v/>
      </c>
      <c r="AI695" s="183" t="str">
        <f>IFERROR(__xludf.DUMMYFUNCTION("QUERY('Volunteer Survey'!J694)"),"")</f>
        <v/>
      </c>
      <c r="AJ695" s="183" t="str">
        <f>IFERROR(__xludf.DUMMYFUNCTION("QUERY('Volunteer Survey'!K694)"),"")</f>
        <v/>
      </c>
      <c r="AK695" s="183" t="str">
        <f>IFERROR(__xludf.DUMMYFUNCTION("QUERY('Volunteer Survey'!L694)"),"")</f>
        <v/>
      </c>
      <c r="AL695" s="183" t="str">
        <f>IFERROR(__xludf.DUMMYFUNCTION("QUERY('Volunteer Survey'!M694)"),"")</f>
        <v/>
      </c>
      <c r="AM695" s="183" t="str">
        <f>IFERROR(__xludf.DUMMYFUNCTION("QUERY('Volunteer Survey'!N694)"),"")</f>
        <v/>
      </c>
      <c r="AN695" s="183" t="str">
        <f>IFERROR(__xludf.DUMMYFUNCTION("QUERY('Volunteer Survey'!O694)"),"")</f>
        <v/>
      </c>
      <c r="AO695" s="183" t="str">
        <f>IFERROR(__xludf.DUMMYFUNCTION("QUERY('Volunteer Survey'!P694)"),"")</f>
        <v/>
      </c>
    </row>
    <row r="696">
      <c r="A696" s="55"/>
      <c r="B696" s="55"/>
      <c r="C696" s="53"/>
      <c r="D696" s="55"/>
      <c r="E696" s="55"/>
      <c r="F696" s="55" t="b">
        <v>0</v>
      </c>
      <c r="G696" s="55"/>
      <c r="H696" s="53"/>
      <c r="I696" s="53"/>
      <c r="J696" s="55"/>
      <c r="K696" s="55"/>
      <c r="L696" s="55"/>
      <c r="M696" s="55"/>
      <c r="N696" s="55"/>
      <c r="O696" s="55" t="b">
        <v>0</v>
      </c>
      <c r="P696" s="55"/>
      <c r="Q696" s="55"/>
      <c r="R696" s="55"/>
      <c r="S696" s="55"/>
      <c r="T696" s="55"/>
      <c r="U696" s="64"/>
      <c r="V696" s="55"/>
      <c r="W696" s="64"/>
      <c r="X696" s="55"/>
      <c r="Y696" s="53"/>
      <c r="Z696" s="183" t="str">
        <f>IFERROR(__xludf.DUMMYFUNCTION("QUERY('Volunteer Survey'!A695)"),"")</f>
        <v/>
      </c>
      <c r="AA696" s="183" t="str">
        <f>IFERROR(__xludf.DUMMYFUNCTION("QUERY('Volunteer Survey'!B695)"),"")</f>
        <v/>
      </c>
      <c r="AB696" s="183" t="str">
        <f>IFERROR(__xludf.DUMMYFUNCTION("QUERY('Volunteer Survey'!C695)"),"")</f>
        <v/>
      </c>
      <c r="AC696" s="183" t="str">
        <f>IFERROR(__xludf.DUMMYFUNCTION("QUERY('Volunteer Survey'!D695)"),"")</f>
        <v/>
      </c>
      <c r="AD696" s="183" t="str">
        <f>IFERROR(__xludf.DUMMYFUNCTION("QUERY('Volunteer Survey'!E695)"),"")</f>
        <v/>
      </c>
      <c r="AE696" s="183" t="str">
        <f>IFERROR(__xludf.DUMMYFUNCTION("QUERY('Volunteer Survey'!F695)"),"")</f>
        <v/>
      </c>
      <c r="AF696" s="183" t="str">
        <f>IFERROR(__xludf.DUMMYFUNCTION("QUERY('Volunteer Survey'!G695)"),"")</f>
        <v/>
      </c>
      <c r="AG696" s="183" t="str">
        <f>IFERROR(__xludf.DUMMYFUNCTION("QUERY('Volunteer Survey'!H695)"),"")</f>
        <v/>
      </c>
      <c r="AH696" s="183" t="str">
        <f>IFERROR(__xludf.DUMMYFUNCTION("QUERY('Volunteer Survey'!I695)"),"")</f>
        <v/>
      </c>
      <c r="AI696" s="183" t="str">
        <f>IFERROR(__xludf.DUMMYFUNCTION("QUERY('Volunteer Survey'!J695)"),"")</f>
        <v/>
      </c>
      <c r="AJ696" s="183" t="str">
        <f>IFERROR(__xludf.DUMMYFUNCTION("QUERY('Volunteer Survey'!K695)"),"")</f>
        <v/>
      </c>
      <c r="AK696" s="183" t="str">
        <f>IFERROR(__xludf.DUMMYFUNCTION("QUERY('Volunteer Survey'!L695)"),"")</f>
        <v/>
      </c>
      <c r="AL696" s="183" t="str">
        <f>IFERROR(__xludf.DUMMYFUNCTION("QUERY('Volunteer Survey'!M695)"),"")</f>
        <v/>
      </c>
      <c r="AM696" s="183" t="str">
        <f>IFERROR(__xludf.DUMMYFUNCTION("QUERY('Volunteer Survey'!N695)"),"")</f>
        <v/>
      </c>
      <c r="AN696" s="183" t="str">
        <f>IFERROR(__xludf.DUMMYFUNCTION("QUERY('Volunteer Survey'!O695)"),"")</f>
        <v/>
      </c>
      <c r="AO696" s="183" t="str">
        <f>IFERROR(__xludf.DUMMYFUNCTION("QUERY('Volunteer Survey'!P695)"),"")</f>
        <v/>
      </c>
    </row>
    <row r="697">
      <c r="A697" s="55"/>
      <c r="B697" s="55"/>
      <c r="C697" s="53"/>
      <c r="D697" s="55"/>
      <c r="E697" s="55"/>
      <c r="F697" s="55" t="b">
        <v>0</v>
      </c>
      <c r="G697" s="55"/>
      <c r="H697" s="53"/>
      <c r="I697" s="53"/>
      <c r="J697" s="55"/>
      <c r="K697" s="55"/>
      <c r="L697" s="55"/>
      <c r="M697" s="55"/>
      <c r="N697" s="55"/>
      <c r="O697" s="55" t="b">
        <v>0</v>
      </c>
      <c r="P697" s="55"/>
      <c r="Q697" s="55"/>
      <c r="R697" s="55"/>
      <c r="S697" s="55"/>
      <c r="T697" s="55"/>
      <c r="U697" s="64"/>
      <c r="V697" s="55"/>
      <c r="W697" s="64"/>
      <c r="X697" s="55"/>
      <c r="Y697" s="53"/>
      <c r="Z697" s="183" t="str">
        <f>IFERROR(__xludf.DUMMYFUNCTION("QUERY('Volunteer Survey'!A696)"),"")</f>
        <v/>
      </c>
      <c r="AA697" s="183" t="str">
        <f>IFERROR(__xludf.DUMMYFUNCTION("QUERY('Volunteer Survey'!B696)"),"")</f>
        <v/>
      </c>
      <c r="AB697" s="183" t="str">
        <f>IFERROR(__xludf.DUMMYFUNCTION("QUERY('Volunteer Survey'!C696)"),"")</f>
        <v/>
      </c>
      <c r="AC697" s="183" t="str">
        <f>IFERROR(__xludf.DUMMYFUNCTION("QUERY('Volunteer Survey'!D696)"),"")</f>
        <v/>
      </c>
      <c r="AD697" s="183" t="str">
        <f>IFERROR(__xludf.DUMMYFUNCTION("QUERY('Volunteer Survey'!E696)"),"")</f>
        <v/>
      </c>
      <c r="AE697" s="183" t="str">
        <f>IFERROR(__xludf.DUMMYFUNCTION("QUERY('Volunteer Survey'!F696)"),"")</f>
        <v/>
      </c>
      <c r="AF697" s="183" t="str">
        <f>IFERROR(__xludf.DUMMYFUNCTION("QUERY('Volunteer Survey'!G696)"),"")</f>
        <v/>
      </c>
      <c r="AG697" s="183" t="str">
        <f>IFERROR(__xludf.DUMMYFUNCTION("QUERY('Volunteer Survey'!H696)"),"")</f>
        <v/>
      </c>
      <c r="AH697" s="183" t="str">
        <f>IFERROR(__xludf.DUMMYFUNCTION("QUERY('Volunteer Survey'!I696)"),"")</f>
        <v/>
      </c>
      <c r="AI697" s="183" t="str">
        <f>IFERROR(__xludf.DUMMYFUNCTION("QUERY('Volunteer Survey'!J696)"),"")</f>
        <v/>
      </c>
      <c r="AJ697" s="183" t="str">
        <f>IFERROR(__xludf.DUMMYFUNCTION("QUERY('Volunteer Survey'!K696)"),"")</f>
        <v/>
      </c>
      <c r="AK697" s="183" t="str">
        <f>IFERROR(__xludf.DUMMYFUNCTION("QUERY('Volunteer Survey'!L696)"),"")</f>
        <v/>
      </c>
      <c r="AL697" s="183" t="str">
        <f>IFERROR(__xludf.DUMMYFUNCTION("QUERY('Volunteer Survey'!M696)"),"")</f>
        <v/>
      </c>
      <c r="AM697" s="183" t="str">
        <f>IFERROR(__xludf.DUMMYFUNCTION("QUERY('Volunteer Survey'!N696)"),"")</f>
        <v/>
      </c>
      <c r="AN697" s="183" t="str">
        <f>IFERROR(__xludf.DUMMYFUNCTION("QUERY('Volunteer Survey'!O696)"),"")</f>
        <v/>
      </c>
      <c r="AO697" s="183" t="str">
        <f>IFERROR(__xludf.DUMMYFUNCTION("QUERY('Volunteer Survey'!P696)"),"")</f>
        <v/>
      </c>
    </row>
    <row r="698">
      <c r="A698" s="55"/>
      <c r="B698" s="55"/>
      <c r="C698" s="53"/>
      <c r="D698" s="55"/>
      <c r="E698" s="55"/>
      <c r="F698" s="55" t="b">
        <v>0</v>
      </c>
      <c r="G698" s="55"/>
      <c r="H698" s="53"/>
      <c r="I698" s="53"/>
      <c r="J698" s="55"/>
      <c r="K698" s="55"/>
      <c r="L698" s="55"/>
      <c r="M698" s="55"/>
      <c r="N698" s="55"/>
      <c r="O698" s="55" t="b">
        <v>0</v>
      </c>
      <c r="P698" s="55"/>
      <c r="Q698" s="55"/>
      <c r="R698" s="55"/>
      <c r="S698" s="55"/>
      <c r="T698" s="55"/>
      <c r="U698" s="64"/>
      <c r="V698" s="55"/>
      <c r="W698" s="64"/>
      <c r="X698" s="55"/>
      <c r="Y698" s="53"/>
      <c r="Z698" s="183" t="str">
        <f>IFERROR(__xludf.DUMMYFUNCTION("QUERY('Volunteer Survey'!A697)"),"")</f>
        <v/>
      </c>
      <c r="AA698" s="183" t="str">
        <f>IFERROR(__xludf.DUMMYFUNCTION("QUERY('Volunteer Survey'!B697)"),"")</f>
        <v/>
      </c>
      <c r="AB698" s="183" t="str">
        <f>IFERROR(__xludf.DUMMYFUNCTION("QUERY('Volunteer Survey'!C697)"),"")</f>
        <v/>
      </c>
      <c r="AC698" s="183" t="str">
        <f>IFERROR(__xludf.DUMMYFUNCTION("QUERY('Volunteer Survey'!D697)"),"")</f>
        <v/>
      </c>
      <c r="AD698" s="183" t="str">
        <f>IFERROR(__xludf.DUMMYFUNCTION("QUERY('Volunteer Survey'!E697)"),"")</f>
        <v/>
      </c>
      <c r="AE698" s="183" t="str">
        <f>IFERROR(__xludf.DUMMYFUNCTION("QUERY('Volunteer Survey'!F697)"),"")</f>
        <v/>
      </c>
      <c r="AF698" s="183" t="str">
        <f>IFERROR(__xludf.DUMMYFUNCTION("QUERY('Volunteer Survey'!G697)"),"")</f>
        <v/>
      </c>
      <c r="AG698" s="183" t="str">
        <f>IFERROR(__xludf.DUMMYFUNCTION("QUERY('Volunteer Survey'!H697)"),"")</f>
        <v/>
      </c>
      <c r="AH698" s="183" t="str">
        <f>IFERROR(__xludf.DUMMYFUNCTION("QUERY('Volunteer Survey'!I697)"),"")</f>
        <v/>
      </c>
      <c r="AI698" s="183" t="str">
        <f>IFERROR(__xludf.DUMMYFUNCTION("QUERY('Volunteer Survey'!J697)"),"")</f>
        <v/>
      </c>
      <c r="AJ698" s="183" t="str">
        <f>IFERROR(__xludf.DUMMYFUNCTION("QUERY('Volunteer Survey'!K697)"),"")</f>
        <v/>
      </c>
      <c r="AK698" s="183" t="str">
        <f>IFERROR(__xludf.DUMMYFUNCTION("QUERY('Volunteer Survey'!L697)"),"")</f>
        <v/>
      </c>
      <c r="AL698" s="183" t="str">
        <f>IFERROR(__xludf.DUMMYFUNCTION("QUERY('Volunteer Survey'!M697)"),"")</f>
        <v/>
      </c>
      <c r="AM698" s="183" t="str">
        <f>IFERROR(__xludf.DUMMYFUNCTION("QUERY('Volunteer Survey'!N697)"),"")</f>
        <v/>
      </c>
      <c r="AN698" s="183" t="str">
        <f>IFERROR(__xludf.DUMMYFUNCTION("QUERY('Volunteer Survey'!O697)"),"")</f>
        <v/>
      </c>
      <c r="AO698" s="183" t="str">
        <f>IFERROR(__xludf.DUMMYFUNCTION("QUERY('Volunteer Survey'!P697)"),"")</f>
        <v/>
      </c>
    </row>
    <row r="699">
      <c r="A699" s="55"/>
      <c r="B699" s="55"/>
      <c r="C699" s="53"/>
      <c r="D699" s="55"/>
      <c r="E699" s="55"/>
      <c r="F699" s="55" t="b">
        <v>0</v>
      </c>
      <c r="G699" s="55"/>
      <c r="H699" s="53"/>
      <c r="I699" s="53"/>
      <c r="J699" s="55"/>
      <c r="K699" s="55"/>
      <c r="L699" s="55"/>
      <c r="M699" s="55"/>
      <c r="N699" s="55"/>
      <c r="O699" s="55" t="b">
        <v>0</v>
      </c>
      <c r="P699" s="55"/>
      <c r="Q699" s="55"/>
      <c r="R699" s="55"/>
      <c r="S699" s="55"/>
      <c r="T699" s="55"/>
      <c r="U699" s="64"/>
      <c r="V699" s="55"/>
      <c r="W699" s="64"/>
      <c r="X699" s="55"/>
      <c r="Y699" s="53"/>
      <c r="Z699" s="183" t="str">
        <f>IFERROR(__xludf.DUMMYFUNCTION("QUERY('Volunteer Survey'!A698)"),"")</f>
        <v/>
      </c>
      <c r="AA699" s="183" t="str">
        <f>IFERROR(__xludf.DUMMYFUNCTION("QUERY('Volunteer Survey'!B698)"),"")</f>
        <v/>
      </c>
      <c r="AB699" s="183" t="str">
        <f>IFERROR(__xludf.DUMMYFUNCTION("QUERY('Volunteer Survey'!C698)"),"")</f>
        <v/>
      </c>
      <c r="AC699" s="183" t="str">
        <f>IFERROR(__xludf.DUMMYFUNCTION("QUERY('Volunteer Survey'!D698)"),"")</f>
        <v/>
      </c>
      <c r="AD699" s="183" t="str">
        <f>IFERROR(__xludf.DUMMYFUNCTION("QUERY('Volunteer Survey'!E698)"),"")</f>
        <v/>
      </c>
      <c r="AE699" s="183" t="str">
        <f>IFERROR(__xludf.DUMMYFUNCTION("QUERY('Volunteer Survey'!F698)"),"")</f>
        <v/>
      </c>
      <c r="AF699" s="183" t="str">
        <f>IFERROR(__xludf.DUMMYFUNCTION("QUERY('Volunteer Survey'!G698)"),"")</f>
        <v/>
      </c>
      <c r="AG699" s="183" t="str">
        <f>IFERROR(__xludf.DUMMYFUNCTION("QUERY('Volunteer Survey'!H698)"),"")</f>
        <v/>
      </c>
      <c r="AH699" s="183" t="str">
        <f>IFERROR(__xludf.DUMMYFUNCTION("QUERY('Volunteer Survey'!I698)"),"")</f>
        <v/>
      </c>
      <c r="AI699" s="183" t="str">
        <f>IFERROR(__xludf.DUMMYFUNCTION("QUERY('Volunteer Survey'!J698)"),"")</f>
        <v/>
      </c>
      <c r="AJ699" s="183" t="str">
        <f>IFERROR(__xludf.DUMMYFUNCTION("QUERY('Volunteer Survey'!K698)"),"")</f>
        <v/>
      </c>
      <c r="AK699" s="183" t="str">
        <f>IFERROR(__xludf.DUMMYFUNCTION("QUERY('Volunteer Survey'!L698)"),"")</f>
        <v/>
      </c>
      <c r="AL699" s="183" t="str">
        <f>IFERROR(__xludf.DUMMYFUNCTION("QUERY('Volunteer Survey'!M698)"),"")</f>
        <v/>
      </c>
      <c r="AM699" s="183" t="str">
        <f>IFERROR(__xludf.DUMMYFUNCTION("QUERY('Volunteer Survey'!N698)"),"")</f>
        <v/>
      </c>
      <c r="AN699" s="183" t="str">
        <f>IFERROR(__xludf.DUMMYFUNCTION("QUERY('Volunteer Survey'!O698)"),"")</f>
        <v/>
      </c>
      <c r="AO699" s="183" t="str">
        <f>IFERROR(__xludf.DUMMYFUNCTION("QUERY('Volunteer Survey'!P698)"),"")</f>
        <v/>
      </c>
    </row>
    <row r="700">
      <c r="A700" s="55"/>
      <c r="B700" s="55"/>
      <c r="C700" s="53"/>
      <c r="D700" s="55"/>
      <c r="E700" s="55"/>
      <c r="F700" s="55" t="b">
        <v>0</v>
      </c>
      <c r="G700" s="55"/>
      <c r="H700" s="53"/>
      <c r="I700" s="53"/>
      <c r="J700" s="55"/>
      <c r="K700" s="55"/>
      <c r="L700" s="55"/>
      <c r="M700" s="55"/>
      <c r="N700" s="55"/>
      <c r="O700" s="55" t="b">
        <v>0</v>
      </c>
      <c r="P700" s="55"/>
      <c r="Q700" s="55"/>
      <c r="R700" s="55"/>
      <c r="S700" s="55"/>
      <c r="T700" s="55"/>
      <c r="U700" s="64"/>
      <c r="V700" s="55"/>
      <c r="W700" s="64"/>
      <c r="X700" s="55"/>
      <c r="Y700" s="53"/>
      <c r="Z700" s="183" t="str">
        <f>IFERROR(__xludf.DUMMYFUNCTION("QUERY('Volunteer Survey'!A699)"),"")</f>
        <v/>
      </c>
      <c r="AA700" s="183" t="str">
        <f>IFERROR(__xludf.DUMMYFUNCTION("QUERY('Volunteer Survey'!B699)"),"")</f>
        <v/>
      </c>
      <c r="AB700" s="183" t="str">
        <f>IFERROR(__xludf.DUMMYFUNCTION("QUERY('Volunteer Survey'!C699)"),"")</f>
        <v/>
      </c>
      <c r="AC700" s="183" t="str">
        <f>IFERROR(__xludf.DUMMYFUNCTION("QUERY('Volunteer Survey'!D699)"),"")</f>
        <v/>
      </c>
      <c r="AD700" s="183" t="str">
        <f>IFERROR(__xludf.DUMMYFUNCTION("QUERY('Volunteer Survey'!E699)"),"")</f>
        <v/>
      </c>
      <c r="AE700" s="183" t="str">
        <f>IFERROR(__xludf.DUMMYFUNCTION("QUERY('Volunteer Survey'!F699)"),"")</f>
        <v/>
      </c>
      <c r="AF700" s="183" t="str">
        <f>IFERROR(__xludf.DUMMYFUNCTION("QUERY('Volunteer Survey'!G699)"),"")</f>
        <v/>
      </c>
      <c r="AG700" s="183" t="str">
        <f>IFERROR(__xludf.DUMMYFUNCTION("QUERY('Volunteer Survey'!H699)"),"")</f>
        <v/>
      </c>
      <c r="AH700" s="183" t="str">
        <f>IFERROR(__xludf.DUMMYFUNCTION("QUERY('Volunteer Survey'!I699)"),"")</f>
        <v/>
      </c>
      <c r="AI700" s="183" t="str">
        <f>IFERROR(__xludf.DUMMYFUNCTION("QUERY('Volunteer Survey'!J699)"),"")</f>
        <v/>
      </c>
      <c r="AJ700" s="183" t="str">
        <f>IFERROR(__xludf.DUMMYFUNCTION("QUERY('Volunteer Survey'!K699)"),"")</f>
        <v/>
      </c>
      <c r="AK700" s="183" t="str">
        <f>IFERROR(__xludf.DUMMYFUNCTION("QUERY('Volunteer Survey'!L699)"),"")</f>
        <v/>
      </c>
      <c r="AL700" s="183" t="str">
        <f>IFERROR(__xludf.DUMMYFUNCTION("QUERY('Volunteer Survey'!M699)"),"")</f>
        <v/>
      </c>
      <c r="AM700" s="183" t="str">
        <f>IFERROR(__xludf.DUMMYFUNCTION("QUERY('Volunteer Survey'!N699)"),"")</f>
        <v/>
      </c>
      <c r="AN700" s="183" t="str">
        <f>IFERROR(__xludf.DUMMYFUNCTION("QUERY('Volunteer Survey'!O699)"),"")</f>
        <v/>
      </c>
      <c r="AO700" s="183" t="str">
        <f>IFERROR(__xludf.DUMMYFUNCTION("QUERY('Volunteer Survey'!P699)"),"")</f>
        <v/>
      </c>
    </row>
    <row r="701">
      <c r="A701" s="55"/>
      <c r="B701" s="55"/>
      <c r="C701" s="53"/>
      <c r="D701" s="55"/>
      <c r="E701" s="55"/>
      <c r="F701" s="55" t="b">
        <v>0</v>
      </c>
      <c r="G701" s="55"/>
      <c r="H701" s="53"/>
      <c r="I701" s="53"/>
      <c r="J701" s="55"/>
      <c r="K701" s="55"/>
      <c r="L701" s="55"/>
      <c r="M701" s="55"/>
      <c r="N701" s="55"/>
      <c r="O701" s="55" t="b">
        <v>0</v>
      </c>
      <c r="P701" s="55"/>
      <c r="Q701" s="55"/>
      <c r="R701" s="55"/>
      <c r="S701" s="55"/>
      <c r="T701" s="55"/>
      <c r="U701" s="64"/>
      <c r="V701" s="55"/>
      <c r="W701" s="64"/>
      <c r="X701" s="55"/>
      <c r="Y701" s="53"/>
      <c r="Z701" s="183" t="str">
        <f>IFERROR(__xludf.DUMMYFUNCTION("QUERY('Volunteer Survey'!A700)"),"")</f>
        <v/>
      </c>
      <c r="AA701" s="183" t="str">
        <f>IFERROR(__xludf.DUMMYFUNCTION("QUERY('Volunteer Survey'!B700)"),"")</f>
        <v/>
      </c>
      <c r="AB701" s="183" t="str">
        <f>IFERROR(__xludf.DUMMYFUNCTION("QUERY('Volunteer Survey'!C700)"),"")</f>
        <v/>
      </c>
      <c r="AC701" s="183" t="str">
        <f>IFERROR(__xludf.DUMMYFUNCTION("QUERY('Volunteer Survey'!D700)"),"")</f>
        <v/>
      </c>
      <c r="AD701" s="183" t="str">
        <f>IFERROR(__xludf.DUMMYFUNCTION("QUERY('Volunteer Survey'!E700)"),"")</f>
        <v/>
      </c>
      <c r="AE701" s="183" t="str">
        <f>IFERROR(__xludf.DUMMYFUNCTION("QUERY('Volunteer Survey'!F700)"),"")</f>
        <v/>
      </c>
      <c r="AF701" s="183" t="str">
        <f>IFERROR(__xludf.DUMMYFUNCTION("QUERY('Volunteer Survey'!G700)"),"")</f>
        <v/>
      </c>
      <c r="AG701" s="183" t="str">
        <f>IFERROR(__xludf.DUMMYFUNCTION("QUERY('Volunteer Survey'!H700)"),"")</f>
        <v/>
      </c>
      <c r="AH701" s="183" t="str">
        <f>IFERROR(__xludf.DUMMYFUNCTION("QUERY('Volunteer Survey'!I700)"),"")</f>
        <v/>
      </c>
      <c r="AI701" s="183" t="str">
        <f>IFERROR(__xludf.DUMMYFUNCTION("QUERY('Volunteer Survey'!J700)"),"")</f>
        <v/>
      </c>
      <c r="AJ701" s="183" t="str">
        <f>IFERROR(__xludf.DUMMYFUNCTION("QUERY('Volunteer Survey'!K700)"),"")</f>
        <v/>
      </c>
      <c r="AK701" s="183" t="str">
        <f>IFERROR(__xludf.DUMMYFUNCTION("QUERY('Volunteer Survey'!L700)"),"")</f>
        <v/>
      </c>
      <c r="AL701" s="183" t="str">
        <f>IFERROR(__xludf.DUMMYFUNCTION("QUERY('Volunteer Survey'!M700)"),"")</f>
        <v/>
      </c>
      <c r="AM701" s="183" t="str">
        <f>IFERROR(__xludf.DUMMYFUNCTION("QUERY('Volunteer Survey'!N700)"),"")</f>
        <v/>
      </c>
      <c r="AN701" s="183" t="str">
        <f>IFERROR(__xludf.DUMMYFUNCTION("QUERY('Volunteer Survey'!O700)"),"")</f>
        <v/>
      </c>
      <c r="AO701" s="183" t="str">
        <f>IFERROR(__xludf.DUMMYFUNCTION("QUERY('Volunteer Survey'!P700)"),"")</f>
        <v/>
      </c>
    </row>
    <row r="702">
      <c r="A702" s="55"/>
      <c r="B702" s="55"/>
      <c r="C702" s="53"/>
      <c r="D702" s="55"/>
      <c r="E702" s="55"/>
      <c r="F702" s="55" t="b">
        <v>0</v>
      </c>
      <c r="G702" s="55"/>
      <c r="H702" s="53"/>
      <c r="I702" s="53"/>
      <c r="J702" s="55"/>
      <c r="K702" s="55"/>
      <c r="L702" s="55"/>
      <c r="M702" s="55"/>
      <c r="N702" s="55"/>
      <c r="O702" s="55" t="b">
        <v>0</v>
      </c>
      <c r="P702" s="55"/>
      <c r="Q702" s="55"/>
      <c r="R702" s="55"/>
      <c r="S702" s="55"/>
      <c r="T702" s="55"/>
      <c r="U702" s="64"/>
      <c r="V702" s="55"/>
      <c r="W702" s="64"/>
      <c r="X702" s="55"/>
      <c r="Y702" s="53"/>
      <c r="Z702" s="183" t="str">
        <f>IFERROR(__xludf.DUMMYFUNCTION("QUERY('Volunteer Survey'!A701)"),"")</f>
        <v/>
      </c>
      <c r="AA702" s="183" t="str">
        <f>IFERROR(__xludf.DUMMYFUNCTION("QUERY('Volunteer Survey'!B701)"),"")</f>
        <v/>
      </c>
      <c r="AB702" s="183" t="str">
        <f>IFERROR(__xludf.DUMMYFUNCTION("QUERY('Volunteer Survey'!C701)"),"")</f>
        <v/>
      </c>
      <c r="AC702" s="183" t="str">
        <f>IFERROR(__xludf.DUMMYFUNCTION("QUERY('Volunteer Survey'!D701)"),"")</f>
        <v/>
      </c>
      <c r="AD702" s="183" t="str">
        <f>IFERROR(__xludf.DUMMYFUNCTION("QUERY('Volunteer Survey'!E701)"),"")</f>
        <v/>
      </c>
      <c r="AE702" s="183" t="str">
        <f>IFERROR(__xludf.DUMMYFUNCTION("QUERY('Volunteer Survey'!F701)"),"")</f>
        <v/>
      </c>
      <c r="AF702" s="183" t="str">
        <f>IFERROR(__xludf.DUMMYFUNCTION("QUERY('Volunteer Survey'!G701)"),"")</f>
        <v/>
      </c>
      <c r="AG702" s="183" t="str">
        <f>IFERROR(__xludf.DUMMYFUNCTION("QUERY('Volunteer Survey'!H701)"),"")</f>
        <v/>
      </c>
      <c r="AH702" s="183" t="str">
        <f>IFERROR(__xludf.DUMMYFUNCTION("QUERY('Volunteer Survey'!I701)"),"")</f>
        <v/>
      </c>
      <c r="AI702" s="183" t="str">
        <f>IFERROR(__xludf.DUMMYFUNCTION("QUERY('Volunteer Survey'!J701)"),"")</f>
        <v/>
      </c>
      <c r="AJ702" s="183" t="str">
        <f>IFERROR(__xludf.DUMMYFUNCTION("QUERY('Volunteer Survey'!K701)"),"")</f>
        <v/>
      </c>
      <c r="AK702" s="183" t="str">
        <f>IFERROR(__xludf.DUMMYFUNCTION("QUERY('Volunteer Survey'!L701)"),"")</f>
        <v/>
      </c>
      <c r="AL702" s="183" t="str">
        <f>IFERROR(__xludf.DUMMYFUNCTION("QUERY('Volunteer Survey'!M701)"),"")</f>
        <v/>
      </c>
      <c r="AM702" s="183" t="str">
        <f>IFERROR(__xludf.DUMMYFUNCTION("QUERY('Volunteer Survey'!N701)"),"")</f>
        <v/>
      </c>
      <c r="AN702" s="183" t="str">
        <f>IFERROR(__xludf.DUMMYFUNCTION("QUERY('Volunteer Survey'!O701)"),"")</f>
        <v/>
      </c>
      <c r="AO702" s="183" t="str">
        <f>IFERROR(__xludf.DUMMYFUNCTION("QUERY('Volunteer Survey'!P701)"),"")</f>
        <v/>
      </c>
    </row>
    <row r="703">
      <c r="A703" s="55"/>
      <c r="B703" s="55"/>
      <c r="C703" s="53"/>
      <c r="D703" s="55"/>
      <c r="E703" s="55"/>
      <c r="F703" s="55" t="b">
        <v>0</v>
      </c>
      <c r="G703" s="55"/>
      <c r="H703" s="53"/>
      <c r="I703" s="53"/>
      <c r="J703" s="55"/>
      <c r="K703" s="55"/>
      <c r="L703" s="55"/>
      <c r="M703" s="55"/>
      <c r="N703" s="55"/>
      <c r="O703" s="55" t="b">
        <v>0</v>
      </c>
      <c r="P703" s="55"/>
      <c r="Q703" s="55"/>
      <c r="R703" s="55"/>
      <c r="S703" s="55"/>
      <c r="T703" s="55"/>
      <c r="U703" s="64"/>
      <c r="V703" s="55"/>
      <c r="W703" s="64"/>
      <c r="X703" s="55"/>
      <c r="Y703" s="53"/>
      <c r="Z703" s="183" t="str">
        <f>IFERROR(__xludf.DUMMYFUNCTION("QUERY('Volunteer Survey'!A702)"),"")</f>
        <v/>
      </c>
      <c r="AA703" s="183" t="str">
        <f>IFERROR(__xludf.DUMMYFUNCTION("QUERY('Volunteer Survey'!B702)"),"")</f>
        <v/>
      </c>
      <c r="AB703" s="183" t="str">
        <f>IFERROR(__xludf.DUMMYFUNCTION("QUERY('Volunteer Survey'!C702)"),"")</f>
        <v/>
      </c>
      <c r="AC703" s="183" t="str">
        <f>IFERROR(__xludf.DUMMYFUNCTION("QUERY('Volunteer Survey'!D702)"),"")</f>
        <v/>
      </c>
      <c r="AD703" s="183" t="str">
        <f>IFERROR(__xludf.DUMMYFUNCTION("QUERY('Volunteer Survey'!E702)"),"")</f>
        <v/>
      </c>
      <c r="AE703" s="183" t="str">
        <f>IFERROR(__xludf.DUMMYFUNCTION("QUERY('Volunteer Survey'!F702)"),"")</f>
        <v/>
      </c>
      <c r="AF703" s="183" t="str">
        <f>IFERROR(__xludf.DUMMYFUNCTION("QUERY('Volunteer Survey'!G702)"),"")</f>
        <v/>
      </c>
      <c r="AG703" s="183" t="str">
        <f>IFERROR(__xludf.DUMMYFUNCTION("QUERY('Volunteer Survey'!H702)"),"")</f>
        <v/>
      </c>
      <c r="AH703" s="183" t="str">
        <f>IFERROR(__xludf.DUMMYFUNCTION("QUERY('Volunteer Survey'!I702)"),"")</f>
        <v/>
      </c>
      <c r="AI703" s="183" t="str">
        <f>IFERROR(__xludf.DUMMYFUNCTION("QUERY('Volunteer Survey'!J702)"),"")</f>
        <v/>
      </c>
      <c r="AJ703" s="183" t="str">
        <f>IFERROR(__xludf.DUMMYFUNCTION("QUERY('Volunteer Survey'!K702)"),"")</f>
        <v/>
      </c>
      <c r="AK703" s="183" t="str">
        <f>IFERROR(__xludf.DUMMYFUNCTION("QUERY('Volunteer Survey'!L702)"),"")</f>
        <v/>
      </c>
      <c r="AL703" s="183" t="str">
        <f>IFERROR(__xludf.DUMMYFUNCTION("QUERY('Volunteer Survey'!M702)"),"")</f>
        <v/>
      </c>
      <c r="AM703" s="183" t="str">
        <f>IFERROR(__xludf.DUMMYFUNCTION("QUERY('Volunteer Survey'!N702)"),"")</f>
        <v/>
      </c>
      <c r="AN703" s="183" t="str">
        <f>IFERROR(__xludf.DUMMYFUNCTION("QUERY('Volunteer Survey'!O702)"),"")</f>
        <v/>
      </c>
      <c r="AO703" s="183" t="str">
        <f>IFERROR(__xludf.DUMMYFUNCTION("QUERY('Volunteer Survey'!P702)"),"")</f>
        <v/>
      </c>
    </row>
    <row r="704">
      <c r="A704" s="55"/>
      <c r="B704" s="55"/>
      <c r="C704" s="53"/>
      <c r="D704" s="55"/>
      <c r="E704" s="55"/>
      <c r="F704" s="55" t="b">
        <v>0</v>
      </c>
      <c r="G704" s="55"/>
      <c r="H704" s="53"/>
      <c r="I704" s="53"/>
      <c r="J704" s="55"/>
      <c r="K704" s="55"/>
      <c r="L704" s="55"/>
      <c r="M704" s="55"/>
      <c r="N704" s="55"/>
      <c r="O704" s="55" t="b">
        <v>0</v>
      </c>
      <c r="P704" s="55"/>
      <c r="Q704" s="55"/>
      <c r="R704" s="55"/>
      <c r="S704" s="55"/>
      <c r="T704" s="55"/>
      <c r="U704" s="64"/>
      <c r="V704" s="55"/>
      <c r="W704" s="64"/>
      <c r="X704" s="55"/>
      <c r="Y704" s="53"/>
      <c r="Z704" s="183" t="str">
        <f>IFERROR(__xludf.DUMMYFUNCTION("QUERY('Volunteer Survey'!A703)"),"")</f>
        <v/>
      </c>
      <c r="AA704" s="183" t="str">
        <f>IFERROR(__xludf.DUMMYFUNCTION("QUERY('Volunteer Survey'!B703)"),"")</f>
        <v/>
      </c>
      <c r="AB704" s="183" t="str">
        <f>IFERROR(__xludf.DUMMYFUNCTION("QUERY('Volunteer Survey'!C703)"),"")</f>
        <v/>
      </c>
      <c r="AC704" s="183" t="str">
        <f>IFERROR(__xludf.DUMMYFUNCTION("QUERY('Volunteer Survey'!D703)"),"")</f>
        <v/>
      </c>
      <c r="AD704" s="183" t="str">
        <f>IFERROR(__xludf.DUMMYFUNCTION("QUERY('Volunteer Survey'!E703)"),"")</f>
        <v/>
      </c>
      <c r="AE704" s="183" t="str">
        <f>IFERROR(__xludf.DUMMYFUNCTION("QUERY('Volunteer Survey'!F703)"),"")</f>
        <v/>
      </c>
      <c r="AF704" s="183" t="str">
        <f>IFERROR(__xludf.DUMMYFUNCTION("QUERY('Volunteer Survey'!G703)"),"")</f>
        <v/>
      </c>
      <c r="AG704" s="183" t="str">
        <f>IFERROR(__xludf.DUMMYFUNCTION("QUERY('Volunteer Survey'!H703)"),"")</f>
        <v/>
      </c>
      <c r="AH704" s="183" t="str">
        <f>IFERROR(__xludf.DUMMYFUNCTION("QUERY('Volunteer Survey'!I703)"),"")</f>
        <v/>
      </c>
      <c r="AI704" s="183" t="str">
        <f>IFERROR(__xludf.DUMMYFUNCTION("QUERY('Volunteer Survey'!J703)"),"")</f>
        <v/>
      </c>
      <c r="AJ704" s="183" t="str">
        <f>IFERROR(__xludf.DUMMYFUNCTION("QUERY('Volunteer Survey'!K703)"),"")</f>
        <v/>
      </c>
      <c r="AK704" s="183" t="str">
        <f>IFERROR(__xludf.DUMMYFUNCTION("QUERY('Volunteer Survey'!L703)"),"")</f>
        <v/>
      </c>
      <c r="AL704" s="183" t="str">
        <f>IFERROR(__xludf.DUMMYFUNCTION("QUERY('Volunteer Survey'!M703)"),"")</f>
        <v/>
      </c>
      <c r="AM704" s="183" t="str">
        <f>IFERROR(__xludf.DUMMYFUNCTION("QUERY('Volunteer Survey'!N703)"),"")</f>
        <v/>
      </c>
      <c r="AN704" s="183" t="str">
        <f>IFERROR(__xludf.DUMMYFUNCTION("QUERY('Volunteer Survey'!O703)"),"")</f>
        <v/>
      </c>
      <c r="AO704" s="183" t="str">
        <f>IFERROR(__xludf.DUMMYFUNCTION("QUERY('Volunteer Survey'!P703)"),"")</f>
        <v/>
      </c>
    </row>
    <row r="705">
      <c r="A705" s="55"/>
      <c r="B705" s="55"/>
      <c r="C705" s="53"/>
      <c r="D705" s="55"/>
      <c r="E705" s="55"/>
      <c r="F705" s="55" t="b">
        <v>0</v>
      </c>
      <c r="G705" s="55"/>
      <c r="H705" s="53"/>
      <c r="I705" s="53"/>
      <c r="J705" s="55"/>
      <c r="K705" s="55"/>
      <c r="L705" s="55"/>
      <c r="M705" s="55"/>
      <c r="N705" s="55"/>
      <c r="O705" s="55" t="b">
        <v>0</v>
      </c>
      <c r="P705" s="55"/>
      <c r="Q705" s="55"/>
      <c r="R705" s="55"/>
      <c r="S705" s="55"/>
      <c r="T705" s="55"/>
      <c r="U705" s="64"/>
      <c r="V705" s="55"/>
      <c r="W705" s="64"/>
      <c r="X705" s="55"/>
      <c r="Y705" s="53"/>
      <c r="Z705" s="183" t="str">
        <f>IFERROR(__xludf.DUMMYFUNCTION("QUERY('Volunteer Survey'!A704)"),"")</f>
        <v/>
      </c>
      <c r="AA705" s="183" t="str">
        <f>IFERROR(__xludf.DUMMYFUNCTION("QUERY('Volunteer Survey'!B704)"),"")</f>
        <v/>
      </c>
      <c r="AB705" s="183" t="str">
        <f>IFERROR(__xludf.DUMMYFUNCTION("QUERY('Volunteer Survey'!C704)"),"")</f>
        <v/>
      </c>
      <c r="AC705" s="183" t="str">
        <f>IFERROR(__xludf.DUMMYFUNCTION("QUERY('Volunteer Survey'!D704)"),"")</f>
        <v/>
      </c>
      <c r="AD705" s="183" t="str">
        <f>IFERROR(__xludf.DUMMYFUNCTION("QUERY('Volunteer Survey'!E704)"),"")</f>
        <v/>
      </c>
      <c r="AE705" s="183" t="str">
        <f>IFERROR(__xludf.DUMMYFUNCTION("QUERY('Volunteer Survey'!F704)"),"")</f>
        <v/>
      </c>
      <c r="AF705" s="183" t="str">
        <f>IFERROR(__xludf.DUMMYFUNCTION("QUERY('Volunteer Survey'!G704)"),"")</f>
        <v/>
      </c>
      <c r="AG705" s="183" t="str">
        <f>IFERROR(__xludf.DUMMYFUNCTION("QUERY('Volunteer Survey'!H704)"),"")</f>
        <v/>
      </c>
      <c r="AH705" s="183" t="str">
        <f>IFERROR(__xludf.DUMMYFUNCTION("QUERY('Volunteer Survey'!I704)"),"")</f>
        <v/>
      </c>
      <c r="AI705" s="183" t="str">
        <f>IFERROR(__xludf.DUMMYFUNCTION("QUERY('Volunteer Survey'!J704)"),"")</f>
        <v/>
      </c>
      <c r="AJ705" s="183" t="str">
        <f>IFERROR(__xludf.DUMMYFUNCTION("QUERY('Volunteer Survey'!K704)"),"")</f>
        <v/>
      </c>
      <c r="AK705" s="183" t="str">
        <f>IFERROR(__xludf.DUMMYFUNCTION("QUERY('Volunteer Survey'!L704)"),"")</f>
        <v/>
      </c>
      <c r="AL705" s="183" t="str">
        <f>IFERROR(__xludf.DUMMYFUNCTION("QUERY('Volunteer Survey'!M704)"),"")</f>
        <v/>
      </c>
      <c r="AM705" s="183" t="str">
        <f>IFERROR(__xludf.DUMMYFUNCTION("QUERY('Volunteer Survey'!N704)"),"")</f>
        <v/>
      </c>
      <c r="AN705" s="183" t="str">
        <f>IFERROR(__xludf.DUMMYFUNCTION("QUERY('Volunteer Survey'!O704)"),"")</f>
        <v/>
      </c>
      <c r="AO705" s="183" t="str">
        <f>IFERROR(__xludf.DUMMYFUNCTION("QUERY('Volunteer Survey'!P704)"),"")</f>
        <v/>
      </c>
    </row>
    <row r="706">
      <c r="A706" s="55"/>
      <c r="B706" s="55"/>
      <c r="C706" s="53"/>
      <c r="D706" s="55"/>
      <c r="E706" s="55"/>
      <c r="F706" s="55" t="b">
        <v>0</v>
      </c>
      <c r="G706" s="55"/>
      <c r="H706" s="53"/>
      <c r="I706" s="53"/>
      <c r="J706" s="55"/>
      <c r="K706" s="55"/>
      <c r="L706" s="55"/>
      <c r="M706" s="55"/>
      <c r="N706" s="55"/>
      <c r="O706" s="55" t="b">
        <v>0</v>
      </c>
      <c r="P706" s="55"/>
      <c r="Q706" s="55"/>
      <c r="R706" s="55"/>
      <c r="S706" s="55"/>
      <c r="T706" s="55"/>
      <c r="U706" s="64"/>
      <c r="V706" s="55"/>
      <c r="W706" s="64"/>
      <c r="X706" s="55"/>
      <c r="Y706" s="53"/>
      <c r="Z706" s="183" t="str">
        <f>IFERROR(__xludf.DUMMYFUNCTION("QUERY('Volunteer Survey'!A705)"),"")</f>
        <v/>
      </c>
      <c r="AA706" s="183" t="str">
        <f>IFERROR(__xludf.DUMMYFUNCTION("QUERY('Volunteer Survey'!B705)"),"")</f>
        <v/>
      </c>
      <c r="AB706" s="183" t="str">
        <f>IFERROR(__xludf.DUMMYFUNCTION("QUERY('Volunteer Survey'!C705)"),"")</f>
        <v/>
      </c>
      <c r="AC706" s="183" t="str">
        <f>IFERROR(__xludf.DUMMYFUNCTION("QUERY('Volunteer Survey'!D705)"),"")</f>
        <v/>
      </c>
      <c r="AD706" s="183" t="str">
        <f>IFERROR(__xludf.DUMMYFUNCTION("QUERY('Volunteer Survey'!E705)"),"")</f>
        <v/>
      </c>
      <c r="AE706" s="183" t="str">
        <f>IFERROR(__xludf.DUMMYFUNCTION("QUERY('Volunteer Survey'!F705)"),"")</f>
        <v/>
      </c>
      <c r="AF706" s="183" t="str">
        <f>IFERROR(__xludf.DUMMYFUNCTION("QUERY('Volunteer Survey'!G705)"),"")</f>
        <v/>
      </c>
      <c r="AG706" s="183" t="str">
        <f>IFERROR(__xludf.DUMMYFUNCTION("QUERY('Volunteer Survey'!H705)"),"")</f>
        <v/>
      </c>
      <c r="AH706" s="183" t="str">
        <f>IFERROR(__xludf.DUMMYFUNCTION("QUERY('Volunteer Survey'!I705)"),"")</f>
        <v/>
      </c>
      <c r="AI706" s="183" t="str">
        <f>IFERROR(__xludf.DUMMYFUNCTION("QUERY('Volunteer Survey'!J705)"),"")</f>
        <v/>
      </c>
      <c r="AJ706" s="183" t="str">
        <f>IFERROR(__xludf.DUMMYFUNCTION("QUERY('Volunteer Survey'!K705)"),"")</f>
        <v/>
      </c>
      <c r="AK706" s="183" t="str">
        <f>IFERROR(__xludf.DUMMYFUNCTION("QUERY('Volunteer Survey'!L705)"),"")</f>
        <v/>
      </c>
      <c r="AL706" s="183" t="str">
        <f>IFERROR(__xludf.DUMMYFUNCTION("QUERY('Volunteer Survey'!M705)"),"")</f>
        <v/>
      </c>
      <c r="AM706" s="183" t="str">
        <f>IFERROR(__xludf.DUMMYFUNCTION("QUERY('Volunteer Survey'!N705)"),"")</f>
        <v/>
      </c>
      <c r="AN706" s="183" t="str">
        <f>IFERROR(__xludf.DUMMYFUNCTION("QUERY('Volunteer Survey'!O705)"),"")</f>
        <v/>
      </c>
      <c r="AO706" s="183" t="str">
        <f>IFERROR(__xludf.DUMMYFUNCTION("QUERY('Volunteer Survey'!P705)"),"")</f>
        <v/>
      </c>
    </row>
    <row r="707">
      <c r="A707" s="55"/>
      <c r="B707" s="55"/>
      <c r="C707" s="53"/>
      <c r="D707" s="55"/>
      <c r="E707" s="55"/>
      <c r="F707" s="55" t="b">
        <v>0</v>
      </c>
      <c r="G707" s="55"/>
      <c r="H707" s="53"/>
      <c r="I707" s="53"/>
      <c r="J707" s="55"/>
      <c r="K707" s="55"/>
      <c r="L707" s="55"/>
      <c r="M707" s="55"/>
      <c r="N707" s="55"/>
      <c r="O707" s="55" t="b">
        <v>0</v>
      </c>
      <c r="P707" s="55"/>
      <c r="Q707" s="55"/>
      <c r="R707" s="55"/>
      <c r="S707" s="55"/>
      <c r="T707" s="55"/>
      <c r="U707" s="64"/>
      <c r="V707" s="55"/>
      <c r="W707" s="64"/>
      <c r="X707" s="55"/>
      <c r="Y707" s="53"/>
      <c r="Z707" s="183" t="str">
        <f>IFERROR(__xludf.DUMMYFUNCTION("QUERY('Volunteer Survey'!A706)"),"")</f>
        <v/>
      </c>
      <c r="AA707" s="183" t="str">
        <f>IFERROR(__xludf.DUMMYFUNCTION("QUERY('Volunteer Survey'!B706)"),"")</f>
        <v/>
      </c>
      <c r="AB707" s="183" t="str">
        <f>IFERROR(__xludf.DUMMYFUNCTION("QUERY('Volunteer Survey'!C706)"),"")</f>
        <v/>
      </c>
      <c r="AC707" s="183" t="str">
        <f>IFERROR(__xludf.DUMMYFUNCTION("QUERY('Volunteer Survey'!D706)"),"")</f>
        <v/>
      </c>
      <c r="AD707" s="183" t="str">
        <f>IFERROR(__xludf.DUMMYFUNCTION("QUERY('Volunteer Survey'!E706)"),"")</f>
        <v/>
      </c>
      <c r="AE707" s="183" t="str">
        <f>IFERROR(__xludf.DUMMYFUNCTION("QUERY('Volunteer Survey'!F706)"),"")</f>
        <v/>
      </c>
      <c r="AF707" s="183" t="str">
        <f>IFERROR(__xludf.DUMMYFUNCTION("QUERY('Volunteer Survey'!G706)"),"")</f>
        <v/>
      </c>
      <c r="AG707" s="183" t="str">
        <f>IFERROR(__xludf.DUMMYFUNCTION("QUERY('Volunteer Survey'!H706)"),"")</f>
        <v/>
      </c>
      <c r="AH707" s="183" t="str">
        <f>IFERROR(__xludf.DUMMYFUNCTION("QUERY('Volunteer Survey'!I706)"),"")</f>
        <v/>
      </c>
      <c r="AI707" s="183" t="str">
        <f>IFERROR(__xludf.DUMMYFUNCTION("QUERY('Volunteer Survey'!J706)"),"")</f>
        <v/>
      </c>
      <c r="AJ707" s="183" t="str">
        <f>IFERROR(__xludf.DUMMYFUNCTION("QUERY('Volunteer Survey'!K706)"),"")</f>
        <v/>
      </c>
      <c r="AK707" s="183" t="str">
        <f>IFERROR(__xludf.DUMMYFUNCTION("QUERY('Volunteer Survey'!L706)"),"")</f>
        <v/>
      </c>
      <c r="AL707" s="183" t="str">
        <f>IFERROR(__xludf.DUMMYFUNCTION("QUERY('Volunteer Survey'!M706)"),"")</f>
        <v/>
      </c>
      <c r="AM707" s="183" t="str">
        <f>IFERROR(__xludf.DUMMYFUNCTION("QUERY('Volunteer Survey'!N706)"),"")</f>
        <v/>
      </c>
      <c r="AN707" s="183" t="str">
        <f>IFERROR(__xludf.DUMMYFUNCTION("QUERY('Volunteer Survey'!O706)"),"")</f>
        <v/>
      </c>
      <c r="AO707" s="183" t="str">
        <f>IFERROR(__xludf.DUMMYFUNCTION("QUERY('Volunteer Survey'!P706)"),"")</f>
        <v/>
      </c>
    </row>
    <row r="708">
      <c r="A708" s="55"/>
      <c r="B708" s="55"/>
      <c r="C708" s="53"/>
      <c r="D708" s="55"/>
      <c r="E708" s="55"/>
      <c r="F708" s="55" t="b">
        <v>0</v>
      </c>
      <c r="G708" s="55"/>
      <c r="H708" s="53"/>
      <c r="I708" s="53"/>
      <c r="J708" s="55"/>
      <c r="K708" s="55"/>
      <c r="L708" s="55"/>
      <c r="M708" s="55"/>
      <c r="N708" s="55"/>
      <c r="O708" s="55" t="b">
        <v>0</v>
      </c>
      <c r="P708" s="55"/>
      <c r="Q708" s="55"/>
      <c r="R708" s="55"/>
      <c r="S708" s="55"/>
      <c r="T708" s="55"/>
      <c r="U708" s="64"/>
      <c r="V708" s="55"/>
      <c r="W708" s="64"/>
      <c r="X708" s="55"/>
      <c r="Y708" s="53"/>
      <c r="Z708" s="183" t="str">
        <f>IFERROR(__xludf.DUMMYFUNCTION("QUERY('Volunteer Survey'!A707)"),"")</f>
        <v/>
      </c>
      <c r="AA708" s="183" t="str">
        <f>IFERROR(__xludf.DUMMYFUNCTION("QUERY('Volunteer Survey'!B707)"),"")</f>
        <v/>
      </c>
      <c r="AB708" s="183" t="str">
        <f>IFERROR(__xludf.DUMMYFUNCTION("QUERY('Volunteer Survey'!C707)"),"")</f>
        <v/>
      </c>
      <c r="AC708" s="183" t="str">
        <f>IFERROR(__xludf.DUMMYFUNCTION("QUERY('Volunteer Survey'!D707)"),"")</f>
        <v/>
      </c>
      <c r="AD708" s="183" t="str">
        <f>IFERROR(__xludf.DUMMYFUNCTION("QUERY('Volunteer Survey'!E707)"),"")</f>
        <v/>
      </c>
      <c r="AE708" s="183" t="str">
        <f>IFERROR(__xludf.DUMMYFUNCTION("QUERY('Volunteer Survey'!F707)"),"")</f>
        <v/>
      </c>
      <c r="AF708" s="183" t="str">
        <f>IFERROR(__xludf.DUMMYFUNCTION("QUERY('Volunteer Survey'!G707)"),"")</f>
        <v/>
      </c>
      <c r="AG708" s="183" t="str">
        <f>IFERROR(__xludf.DUMMYFUNCTION("QUERY('Volunteer Survey'!H707)"),"")</f>
        <v/>
      </c>
      <c r="AH708" s="183" t="str">
        <f>IFERROR(__xludf.DUMMYFUNCTION("QUERY('Volunteer Survey'!I707)"),"")</f>
        <v/>
      </c>
      <c r="AI708" s="183" t="str">
        <f>IFERROR(__xludf.DUMMYFUNCTION("QUERY('Volunteer Survey'!J707)"),"")</f>
        <v/>
      </c>
      <c r="AJ708" s="183" t="str">
        <f>IFERROR(__xludf.DUMMYFUNCTION("QUERY('Volunteer Survey'!K707)"),"")</f>
        <v/>
      </c>
      <c r="AK708" s="183" t="str">
        <f>IFERROR(__xludf.DUMMYFUNCTION("QUERY('Volunteer Survey'!L707)"),"")</f>
        <v/>
      </c>
      <c r="AL708" s="183" t="str">
        <f>IFERROR(__xludf.DUMMYFUNCTION("QUERY('Volunteer Survey'!M707)"),"")</f>
        <v/>
      </c>
      <c r="AM708" s="183" t="str">
        <f>IFERROR(__xludf.DUMMYFUNCTION("QUERY('Volunteer Survey'!N707)"),"")</f>
        <v/>
      </c>
      <c r="AN708" s="183" t="str">
        <f>IFERROR(__xludf.DUMMYFUNCTION("QUERY('Volunteer Survey'!O707)"),"")</f>
        <v/>
      </c>
      <c r="AO708" s="183" t="str">
        <f>IFERROR(__xludf.DUMMYFUNCTION("QUERY('Volunteer Survey'!P707)"),"")</f>
        <v/>
      </c>
    </row>
    <row r="709">
      <c r="A709" s="55"/>
      <c r="B709" s="55"/>
      <c r="C709" s="53"/>
      <c r="D709" s="55"/>
      <c r="E709" s="55"/>
      <c r="F709" s="55" t="b">
        <v>0</v>
      </c>
      <c r="G709" s="55"/>
      <c r="H709" s="53"/>
      <c r="I709" s="53"/>
      <c r="J709" s="55"/>
      <c r="K709" s="55"/>
      <c r="L709" s="55"/>
      <c r="M709" s="55"/>
      <c r="N709" s="55"/>
      <c r="O709" s="55" t="b">
        <v>0</v>
      </c>
      <c r="P709" s="55"/>
      <c r="Q709" s="55"/>
      <c r="R709" s="55"/>
      <c r="S709" s="55"/>
      <c r="T709" s="55"/>
      <c r="U709" s="64"/>
      <c r="V709" s="55"/>
      <c r="W709" s="64"/>
      <c r="X709" s="55"/>
      <c r="Y709" s="53"/>
      <c r="Z709" s="183" t="str">
        <f>IFERROR(__xludf.DUMMYFUNCTION("QUERY('Volunteer Survey'!A708)"),"")</f>
        <v/>
      </c>
      <c r="AA709" s="183" t="str">
        <f>IFERROR(__xludf.DUMMYFUNCTION("QUERY('Volunteer Survey'!B708)"),"")</f>
        <v/>
      </c>
      <c r="AB709" s="183" t="str">
        <f>IFERROR(__xludf.DUMMYFUNCTION("QUERY('Volunteer Survey'!C708)"),"")</f>
        <v/>
      </c>
      <c r="AC709" s="183" t="str">
        <f>IFERROR(__xludf.DUMMYFUNCTION("QUERY('Volunteer Survey'!D708)"),"")</f>
        <v/>
      </c>
      <c r="AD709" s="183" t="str">
        <f>IFERROR(__xludf.DUMMYFUNCTION("QUERY('Volunteer Survey'!E708)"),"")</f>
        <v/>
      </c>
      <c r="AE709" s="183" t="str">
        <f>IFERROR(__xludf.DUMMYFUNCTION("QUERY('Volunteer Survey'!F708)"),"")</f>
        <v/>
      </c>
      <c r="AF709" s="183" t="str">
        <f>IFERROR(__xludf.DUMMYFUNCTION("QUERY('Volunteer Survey'!G708)"),"")</f>
        <v/>
      </c>
      <c r="AG709" s="183" t="str">
        <f>IFERROR(__xludf.DUMMYFUNCTION("QUERY('Volunteer Survey'!H708)"),"")</f>
        <v/>
      </c>
      <c r="AH709" s="183" t="str">
        <f>IFERROR(__xludf.DUMMYFUNCTION("QUERY('Volunteer Survey'!I708)"),"")</f>
        <v/>
      </c>
      <c r="AI709" s="183" t="str">
        <f>IFERROR(__xludf.DUMMYFUNCTION("QUERY('Volunteer Survey'!J708)"),"")</f>
        <v/>
      </c>
      <c r="AJ709" s="183" t="str">
        <f>IFERROR(__xludf.DUMMYFUNCTION("QUERY('Volunteer Survey'!K708)"),"")</f>
        <v/>
      </c>
      <c r="AK709" s="183" t="str">
        <f>IFERROR(__xludf.DUMMYFUNCTION("QUERY('Volunteer Survey'!L708)"),"")</f>
        <v/>
      </c>
      <c r="AL709" s="183" t="str">
        <f>IFERROR(__xludf.DUMMYFUNCTION("QUERY('Volunteer Survey'!M708)"),"")</f>
        <v/>
      </c>
      <c r="AM709" s="183" t="str">
        <f>IFERROR(__xludf.DUMMYFUNCTION("QUERY('Volunteer Survey'!N708)"),"")</f>
        <v/>
      </c>
      <c r="AN709" s="183" t="str">
        <f>IFERROR(__xludf.DUMMYFUNCTION("QUERY('Volunteer Survey'!O708)"),"")</f>
        <v/>
      </c>
      <c r="AO709" s="183" t="str">
        <f>IFERROR(__xludf.DUMMYFUNCTION("QUERY('Volunteer Survey'!P708)"),"")</f>
        <v/>
      </c>
    </row>
    <row r="710">
      <c r="A710" s="55"/>
      <c r="B710" s="55"/>
      <c r="C710" s="53"/>
      <c r="D710" s="55"/>
      <c r="E710" s="55"/>
      <c r="F710" s="55" t="b">
        <v>0</v>
      </c>
      <c r="G710" s="55"/>
      <c r="H710" s="53"/>
      <c r="I710" s="53"/>
      <c r="J710" s="55"/>
      <c r="K710" s="55"/>
      <c r="L710" s="55"/>
      <c r="M710" s="55"/>
      <c r="N710" s="55"/>
      <c r="O710" s="55" t="b">
        <v>0</v>
      </c>
      <c r="P710" s="55"/>
      <c r="Q710" s="55"/>
      <c r="R710" s="55"/>
      <c r="S710" s="55"/>
      <c r="T710" s="55"/>
      <c r="U710" s="64"/>
      <c r="V710" s="55"/>
      <c r="W710" s="64"/>
      <c r="X710" s="55"/>
      <c r="Y710" s="53"/>
      <c r="Z710" s="183" t="str">
        <f>IFERROR(__xludf.DUMMYFUNCTION("QUERY('Volunteer Survey'!A709)"),"")</f>
        <v/>
      </c>
      <c r="AA710" s="183" t="str">
        <f>IFERROR(__xludf.DUMMYFUNCTION("QUERY('Volunteer Survey'!B709)"),"")</f>
        <v/>
      </c>
      <c r="AB710" s="183" t="str">
        <f>IFERROR(__xludf.DUMMYFUNCTION("QUERY('Volunteer Survey'!C709)"),"")</f>
        <v/>
      </c>
      <c r="AC710" s="183" t="str">
        <f>IFERROR(__xludf.DUMMYFUNCTION("QUERY('Volunteer Survey'!D709)"),"")</f>
        <v/>
      </c>
      <c r="AD710" s="183" t="str">
        <f>IFERROR(__xludf.DUMMYFUNCTION("QUERY('Volunteer Survey'!E709)"),"")</f>
        <v/>
      </c>
      <c r="AE710" s="183" t="str">
        <f>IFERROR(__xludf.DUMMYFUNCTION("QUERY('Volunteer Survey'!F709)"),"")</f>
        <v/>
      </c>
      <c r="AF710" s="183" t="str">
        <f>IFERROR(__xludf.DUMMYFUNCTION("QUERY('Volunteer Survey'!G709)"),"")</f>
        <v/>
      </c>
      <c r="AG710" s="183" t="str">
        <f>IFERROR(__xludf.DUMMYFUNCTION("QUERY('Volunteer Survey'!H709)"),"")</f>
        <v/>
      </c>
      <c r="AH710" s="183" t="str">
        <f>IFERROR(__xludf.DUMMYFUNCTION("QUERY('Volunteer Survey'!I709)"),"")</f>
        <v/>
      </c>
      <c r="AI710" s="183" t="str">
        <f>IFERROR(__xludf.DUMMYFUNCTION("QUERY('Volunteer Survey'!J709)"),"")</f>
        <v/>
      </c>
      <c r="AJ710" s="183" t="str">
        <f>IFERROR(__xludf.DUMMYFUNCTION("QUERY('Volunteer Survey'!K709)"),"")</f>
        <v/>
      </c>
      <c r="AK710" s="183" t="str">
        <f>IFERROR(__xludf.DUMMYFUNCTION("QUERY('Volunteer Survey'!L709)"),"")</f>
        <v/>
      </c>
      <c r="AL710" s="183" t="str">
        <f>IFERROR(__xludf.DUMMYFUNCTION("QUERY('Volunteer Survey'!M709)"),"")</f>
        <v/>
      </c>
      <c r="AM710" s="183" t="str">
        <f>IFERROR(__xludf.DUMMYFUNCTION("QUERY('Volunteer Survey'!N709)"),"")</f>
        <v/>
      </c>
      <c r="AN710" s="183" t="str">
        <f>IFERROR(__xludf.DUMMYFUNCTION("QUERY('Volunteer Survey'!O709)"),"")</f>
        <v/>
      </c>
      <c r="AO710" s="183" t="str">
        <f>IFERROR(__xludf.DUMMYFUNCTION("QUERY('Volunteer Survey'!P709)"),"")</f>
        <v/>
      </c>
    </row>
    <row r="711">
      <c r="A711" s="55"/>
      <c r="B711" s="55"/>
      <c r="C711" s="53"/>
      <c r="D711" s="55"/>
      <c r="E711" s="55"/>
      <c r="F711" s="55" t="b">
        <v>0</v>
      </c>
      <c r="G711" s="55"/>
      <c r="H711" s="53"/>
      <c r="I711" s="53"/>
      <c r="J711" s="55"/>
      <c r="K711" s="55"/>
      <c r="L711" s="55"/>
      <c r="M711" s="55"/>
      <c r="N711" s="55"/>
      <c r="O711" s="55" t="b">
        <v>0</v>
      </c>
      <c r="P711" s="55"/>
      <c r="Q711" s="55"/>
      <c r="R711" s="55"/>
      <c r="S711" s="55"/>
      <c r="T711" s="55"/>
      <c r="U711" s="64"/>
      <c r="V711" s="55"/>
      <c r="W711" s="64"/>
      <c r="X711" s="55"/>
      <c r="Y711" s="53"/>
      <c r="Z711" s="183" t="str">
        <f>IFERROR(__xludf.DUMMYFUNCTION("QUERY('Volunteer Survey'!A710)"),"")</f>
        <v/>
      </c>
      <c r="AA711" s="183" t="str">
        <f>IFERROR(__xludf.DUMMYFUNCTION("QUERY('Volunteer Survey'!B710)"),"")</f>
        <v/>
      </c>
      <c r="AB711" s="183" t="str">
        <f>IFERROR(__xludf.DUMMYFUNCTION("QUERY('Volunteer Survey'!C710)"),"")</f>
        <v/>
      </c>
      <c r="AC711" s="183" t="str">
        <f>IFERROR(__xludf.DUMMYFUNCTION("QUERY('Volunteer Survey'!D710)"),"")</f>
        <v/>
      </c>
      <c r="AD711" s="183" t="str">
        <f>IFERROR(__xludf.DUMMYFUNCTION("QUERY('Volunteer Survey'!E710)"),"")</f>
        <v/>
      </c>
      <c r="AE711" s="183" t="str">
        <f>IFERROR(__xludf.DUMMYFUNCTION("QUERY('Volunteer Survey'!F710)"),"")</f>
        <v/>
      </c>
      <c r="AF711" s="183" t="str">
        <f>IFERROR(__xludf.DUMMYFUNCTION("QUERY('Volunteer Survey'!G710)"),"")</f>
        <v/>
      </c>
      <c r="AG711" s="183" t="str">
        <f>IFERROR(__xludf.DUMMYFUNCTION("QUERY('Volunteer Survey'!H710)"),"")</f>
        <v/>
      </c>
      <c r="AH711" s="183" t="str">
        <f>IFERROR(__xludf.DUMMYFUNCTION("QUERY('Volunteer Survey'!I710)"),"")</f>
        <v/>
      </c>
      <c r="AI711" s="183" t="str">
        <f>IFERROR(__xludf.DUMMYFUNCTION("QUERY('Volunteer Survey'!J710)"),"")</f>
        <v/>
      </c>
      <c r="AJ711" s="183" t="str">
        <f>IFERROR(__xludf.DUMMYFUNCTION("QUERY('Volunteer Survey'!K710)"),"")</f>
        <v/>
      </c>
      <c r="AK711" s="183" t="str">
        <f>IFERROR(__xludf.DUMMYFUNCTION("QUERY('Volunteer Survey'!L710)"),"")</f>
        <v/>
      </c>
      <c r="AL711" s="183" t="str">
        <f>IFERROR(__xludf.DUMMYFUNCTION("QUERY('Volunteer Survey'!M710)"),"")</f>
        <v/>
      </c>
      <c r="AM711" s="183" t="str">
        <f>IFERROR(__xludf.DUMMYFUNCTION("QUERY('Volunteer Survey'!N710)"),"")</f>
        <v/>
      </c>
      <c r="AN711" s="183" t="str">
        <f>IFERROR(__xludf.DUMMYFUNCTION("QUERY('Volunteer Survey'!O710)"),"")</f>
        <v/>
      </c>
      <c r="AO711" s="183" t="str">
        <f>IFERROR(__xludf.DUMMYFUNCTION("QUERY('Volunteer Survey'!P710)"),"")</f>
        <v/>
      </c>
    </row>
    <row r="712">
      <c r="A712" s="55"/>
      <c r="B712" s="55"/>
      <c r="C712" s="53"/>
      <c r="D712" s="55"/>
      <c r="E712" s="55"/>
      <c r="F712" s="55" t="b">
        <v>0</v>
      </c>
      <c r="G712" s="55"/>
      <c r="H712" s="53"/>
      <c r="I712" s="53"/>
      <c r="J712" s="55"/>
      <c r="K712" s="55"/>
      <c r="L712" s="55"/>
      <c r="M712" s="55"/>
      <c r="N712" s="55"/>
      <c r="O712" s="55" t="b">
        <v>0</v>
      </c>
      <c r="P712" s="55"/>
      <c r="Q712" s="55"/>
      <c r="R712" s="55"/>
      <c r="S712" s="55"/>
      <c r="T712" s="55"/>
      <c r="U712" s="64"/>
      <c r="V712" s="55"/>
      <c r="W712" s="64"/>
      <c r="X712" s="55"/>
      <c r="Y712" s="53"/>
      <c r="Z712" s="183" t="str">
        <f>IFERROR(__xludf.DUMMYFUNCTION("QUERY('Volunteer Survey'!A711)"),"")</f>
        <v/>
      </c>
      <c r="AA712" s="183" t="str">
        <f>IFERROR(__xludf.DUMMYFUNCTION("QUERY('Volunteer Survey'!B711)"),"")</f>
        <v/>
      </c>
      <c r="AB712" s="183" t="str">
        <f>IFERROR(__xludf.DUMMYFUNCTION("QUERY('Volunteer Survey'!C711)"),"")</f>
        <v/>
      </c>
      <c r="AC712" s="183" t="str">
        <f>IFERROR(__xludf.DUMMYFUNCTION("QUERY('Volunteer Survey'!D711)"),"")</f>
        <v/>
      </c>
      <c r="AD712" s="183" t="str">
        <f>IFERROR(__xludf.DUMMYFUNCTION("QUERY('Volunteer Survey'!E711)"),"")</f>
        <v/>
      </c>
      <c r="AE712" s="183" t="str">
        <f>IFERROR(__xludf.DUMMYFUNCTION("QUERY('Volunteer Survey'!F711)"),"")</f>
        <v/>
      </c>
      <c r="AF712" s="183" t="str">
        <f>IFERROR(__xludf.DUMMYFUNCTION("QUERY('Volunteer Survey'!G711)"),"")</f>
        <v/>
      </c>
      <c r="AG712" s="183" t="str">
        <f>IFERROR(__xludf.DUMMYFUNCTION("QUERY('Volunteer Survey'!H711)"),"")</f>
        <v/>
      </c>
      <c r="AH712" s="183" t="str">
        <f>IFERROR(__xludf.DUMMYFUNCTION("QUERY('Volunteer Survey'!I711)"),"")</f>
        <v/>
      </c>
      <c r="AI712" s="183" t="str">
        <f>IFERROR(__xludf.DUMMYFUNCTION("QUERY('Volunteer Survey'!J711)"),"")</f>
        <v/>
      </c>
      <c r="AJ712" s="183" t="str">
        <f>IFERROR(__xludf.DUMMYFUNCTION("QUERY('Volunteer Survey'!K711)"),"")</f>
        <v/>
      </c>
      <c r="AK712" s="183" t="str">
        <f>IFERROR(__xludf.DUMMYFUNCTION("QUERY('Volunteer Survey'!L711)"),"")</f>
        <v/>
      </c>
      <c r="AL712" s="183" t="str">
        <f>IFERROR(__xludf.DUMMYFUNCTION("QUERY('Volunteer Survey'!M711)"),"")</f>
        <v/>
      </c>
      <c r="AM712" s="183" t="str">
        <f>IFERROR(__xludf.DUMMYFUNCTION("QUERY('Volunteer Survey'!N711)"),"")</f>
        <v/>
      </c>
      <c r="AN712" s="183" t="str">
        <f>IFERROR(__xludf.DUMMYFUNCTION("QUERY('Volunteer Survey'!O711)"),"")</f>
        <v/>
      </c>
      <c r="AO712" s="183" t="str">
        <f>IFERROR(__xludf.DUMMYFUNCTION("QUERY('Volunteer Survey'!P711)"),"")</f>
        <v/>
      </c>
    </row>
    <row r="713">
      <c r="A713" s="55"/>
      <c r="B713" s="55"/>
      <c r="C713" s="53"/>
      <c r="D713" s="55"/>
      <c r="E713" s="55"/>
      <c r="F713" s="55" t="b">
        <v>0</v>
      </c>
      <c r="G713" s="55"/>
      <c r="H713" s="53"/>
      <c r="I713" s="53"/>
      <c r="J713" s="55"/>
      <c r="K713" s="55"/>
      <c r="L713" s="55"/>
      <c r="M713" s="55"/>
      <c r="N713" s="55"/>
      <c r="O713" s="55" t="b">
        <v>0</v>
      </c>
      <c r="P713" s="55"/>
      <c r="Q713" s="55"/>
      <c r="R713" s="55"/>
      <c r="S713" s="55"/>
      <c r="T713" s="55"/>
      <c r="U713" s="64"/>
      <c r="V713" s="55"/>
      <c r="W713" s="64"/>
      <c r="X713" s="55"/>
      <c r="Y713" s="53"/>
      <c r="Z713" s="183" t="str">
        <f>IFERROR(__xludf.DUMMYFUNCTION("QUERY('Volunteer Survey'!A712)"),"")</f>
        <v/>
      </c>
      <c r="AA713" s="183" t="str">
        <f>IFERROR(__xludf.DUMMYFUNCTION("QUERY('Volunteer Survey'!B712)"),"")</f>
        <v/>
      </c>
      <c r="AB713" s="183" t="str">
        <f>IFERROR(__xludf.DUMMYFUNCTION("QUERY('Volunteer Survey'!C712)"),"")</f>
        <v/>
      </c>
      <c r="AC713" s="183" t="str">
        <f>IFERROR(__xludf.DUMMYFUNCTION("QUERY('Volunteer Survey'!D712)"),"")</f>
        <v/>
      </c>
      <c r="AD713" s="183" t="str">
        <f>IFERROR(__xludf.DUMMYFUNCTION("QUERY('Volunteer Survey'!E712)"),"")</f>
        <v/>
      </c>
      <c r="AE713" s="183" t="str">
        <f>IFERROR(__xludf.DUMMYFUNCTION("QUERY('Volunteer Survey'!F712)"),"")</f>
        <v/>
      </c>
      <c r="AF713" s="183" t="str">
        <f>IFERROR(__xludf.DUMMYFUNCTION("QUERY('Volunteer Survey'!G712)"),"")</f>
        <v/>
      </c>
      <c r="AG713" s="183" t="str">
        <f>IFERROR(__xludf.DUMMYFUNCTION("QUERY('Volunteer Survey'!H712)"),"")</f>
        <v/>
      </c>
      <c r="AH713" s="183" t="str">
        <f>IFERROR(__xludf.DUMMYFUNCTION("QUERY('Volunteer Survey'!I712)"),"")</f>
        <v/>
      </c>
      <c r="AI713" s="183" t="str">
        <f>IFERROR(__xludf.DUMMYFUNCTION("QUERY('Volunteer Survey'!J712)"),"")</f>
        <v/>
      </c>
      <c r="AJ713" s="183" t="str">
        <f>IFERROR(__xludf.DUMMYFUNCTION("QUERY('Volunteer Survey'!K712)"),"")</f>
        <v/>
      </c>
      <c r="AK713" s="183" t="str">
        <f>IFERROR(__xludf.DUMMYFUNCTION("QUERY('Volunteer Survey'!L712)"),"")</f>
        <v/>
      </c>
      <c r="AL713" s="183" t="str">
        <f>IFERROR(__xludf.DUMMYFUNCTION("QUERY('Volunteer Survey'!M712)"),"")</f>
        <v/>
      </c>
      <c r="AM713" s="183" t="str">
        <f>IFERROR(__xludf.DUMMYFUNCTION("QUERY('Volunteer Survey'!N712)"),"")</f>
        <v/>
      </c>
      <c r="AN713" s="183" t="str">
        <f>IFERROR(__xludf.DUMMYFUNCTION("QUERY('Volunteer Survey'!O712)"),"")</f>
        <v/>
      </c>
      <c r="AO713" s="183" t="str">
        <f>IFERROR(__xludf.DUMMYFUNCTION("QUERY('Volunteer Survey'!P712)"),"")</f>
        <v/>
      </c>
    </row>
    <row r="714">
      <c r="A714" s="55"/>
      <c r="B714" s="55"/>
      <c r="C714" s="53"/>
      <c r="D714" s="55"/>
      <c r="E714" s="55"/>
      <c r="F714" s="55" t="b">
        <v>0</v>
      </c>
      <c r="G714" s="55"/>
      <c r="H714" s="53"/>
      <c r="I714" s="53"/>
      <c r="J714" s="55"/>
      <c r="K714" s="55"/>
      <c r="L714" s="55"/>
      <c r="M714" s="55"/>
      <c r="N714" s="55"/>
      <c r="O714" s="55" t="b">
        <v>0</v>
      </c>
      <c r="P714" s="55"/>
      <c r="Q714" s="55"/>
      <c r="R714" s="55"/>
      <c r="S714" s="55"/>
      <c r="T714" s="55"/>
      <c r="U714" s="64"/>
      <c r="V714" s="55"/>
      <c r="W714" s="64"/>
      <c r="X714" s="55"/>
      <c r="Y714" s="53"/>
      <c r="Z714" s="183" t="str">
        <f>IFERROR(__xludf.DUMMYFUNCTION("QUERY('Volunteer Survey'!A713)"),"")</f>
        <v/>
      </c>
      <c r="AA714" s="183" t="str">
        <f>IFERROR(__xludf.DUMMYFUNCTION("QUERY('Volunteer Survey'!B713)"),"")</f>
        <v/>
      </c>
      <c r="AB714" s="183" t="str">
        <f>IFERROR(__xludf.DUMMYFUNCTION("QUERY('Volunteer Survey'!C713)"),"")</f>
        <v/>
      </c>
      <c r="AC714" s="183" t="str">
        <f>IFERROR(__xludf.DUMMYFUNCTION("QUERY('Volunteer Survey'!D713)"),"")</f>
        <v/>
      </c>
      <c r="AD714" s="183" t="str">
        <f>IFERROR(__xludf.DUMMYFUNCTION("QUERY('Volunteer Survey'!E713)"),"")</f>
        <v/>
      </c>
      <c r="AE714" s="183" t="str">
        <f>IFERROR(__xludf.DUMMYFUNCTION("QUERY('Volunteer Survey'!F713)"),"")</f>
        <v/>
      </c>
      <c r="AF714" s="183" t="str">
        <f>IFERROR(__xludf.DUMMYFUNCTION("QUERY('Volunteer Survey'!G713)"),"")</f>
        <v/>
      </c>
      <c r="AG714" s="183" t="str">
        <f>IFERROR(__xludf.DUMMYFUNCTION("QUERY('Volunteer Survey'!H713)"),"")</f>
        <v/>
      </c>
      <c r="AH714" s="183" t="str">
        <f>IFERROR(__xludf.DUMMYFUNCTION("QUERY('Volunteer Survey'!I713)"),"")</f>
        <v/>
      </c>
      <c r="AI714" s="183" t="str">
        <f>IFERROR(__xludf.DUMMYFUNCTION("QUERY('Volunteer Survey'!J713)"),"")</f>
        <v/>
      </c>
      <c r="AJ714" s="183" t="str">
        <f>IFERROR(__xludf.DUMMYFUNCTION("QUERY('Volunteer Survey'!K713)"),"")</f>
        <v/>
      </c>
      <c r="AK714" s="183" t="str">
        <f>IFERROR(__xludf.DUMMYFUNCTION("QUERY('Volunteer Survey'!L713)"),"")</f>
        <v/>
      </c>
      <c r="AL714" s="183" t="str">
        <f>IFERROR(__xludf.DUMMYFUNCTION("QUERY('Volunteer Survey'!M713)"),"")</f>
        <v/>
      </c>
      <c r="AM714" s="183" t="str">
        <f>IFERROR(__xludf.DUMMYFUNCTION("QUERY('Volunteer Survey'!N713)"),"")</f>
        <v/>
      </c>
      <c r="AN714" s="183" t="str">
        <f>IFERROR(__xludf.DUMMYFUNCTION("QUERY('Volunteer Survey'!O713)"),"")</f>
        <v/>
      </c>
      <c r="AO714" s="183" t="str">
        <f>IFERROR(__xludf.DUMMYFUNCTION("QUERY('Volunteer Survey'!P713)"),"")</f>
        <v/>
      </c>
    </row>
    <row r="715">
      <c r="A715" s="55"/>
      <c r="B715" s="55"/>
      <c r="C715" s="53"/>
      <c r="D715" s="55"/>
      <c r="E715" s="55"/>
      <c r="F715" s="55" t="b">
        <v>0</v>
      </c>
      <c r="G715" s="55"/>
      <c r="H715" s="53"/>
      <c r="I715" s="53"/>
      <c r="J715" s="55"/>
      <c r="K715" s="55"/>
      <c r="L715" s="55"/>
      <c r="M715" s="55"/>
      <c r="N715" s="55"/>
      <c r="O715" s="55" t="b">
        <v>0</v>
      </c>
      <c r="P715" s="55"/>
      <c r="Q715" s="55"/>
      <c r="R715" s="55"/>
      <c r="S715" s="55"/>
      <c r="T715" s="55"/>
      <c r="U715" s="64"/>
      <c r="V715" s="55"/>
      <c r="W715" s="64"/>
      <c r="X715" s="55"/>
      <c r="Y715" s="53"/>
      <c r="Z715" s="183" t="str">
        <f>IFERROR(__xludf.DUMMYFUNCTION("QUERY('Volunteer Survey'!A714)"),"")</f>
        <v/>
      </c>
      <c r="AA715" s="183" t="str">
        <f>IFERROR(__xludf.DUMMYFUNCTION("QUERY('Volunteer Survey'!B714)"),"")</f>
        <v/>
      </c>
      <c r="AB715" s="183" t="str">
        <f>IFERROR(__xludf.DUMMYFUNCTION("QUERY('Volunteer Survey'!C714)"),"")</f>
        <v/>
      </c>
      <c r="AC715" s="183" t="str">
        <f>IFERROR(__xludf.DUMMYFUNCTION("QUERY('Volunteer Survey'!D714)"),"")</f>
        <v/>
      </c>
      <c r="AD715" s="183" t="str">
        <f>IFERROR(__xludf.DUMMYFUNCTION("QUERY('Volunteer Survey'!E714)"),"")</f>
        <v/>
      </c>
      <c r="AE715" s="183" t="str">
        <f>IFERROR(__xludf.DUMMYFUNCTION("QUERY('Volunteer Survey'!F714)"),"")</f>
        <v/>
      </c>
      <c r="AF715" s="183" t="str">
        <f>IFERROR(__xludf.DUMMYFUNCTION("QUERY('Volunteer Survey'!G714)"),"")</f>
        <v/>
      </c>
      <c r="AG715" s="183" t="str">
        <f>IFERROR(__xludf.DUMMYFUNCTION("QUERY('Volunteer Survey'!H714)"),"")</f>
        <v/>
      </c>
      <c r="AH715" s="183" t="str">
        <f>IFERROR(__xludf.DUMMYFUNCTION("QUERY('Volunteer Survey'!I714)"),"")</f>
        <v/>
      </c>
      <c r="AI715" s="183" t="str">
        <f>IFERROR(__xludf.DUMMYFUNCTION("QUERY('Volunteer Survey'!J714)"),"")</f>
        <v/>
      </c>
      <c r="AJ715" s="183" t="str">
        <f>IFERROR(__xludf.DUMMYFUNCTION("QUERY('Volunteer Survey'!K714)"),"")</f>
        <v/>
      </c>
      <c r="AK715" s="183" t="str">
        <f>IFERROR(__xludf.DUMMYFUNCTION("QUERY('Volunteer Survey'!L714)"),"")</f>
        <v/>
      </c>
      <c r="AL715" s="183" t="str">
        <f>IFERROR(__xludf.DUMMYFUNCTION("QUERY('Volunteer Survey'!M714)"),"")</f>
        <v/>
      </c>
      <c r="AM715" s="183" t="str">
        <f>IFERROR(__xludf.DUMMYFUNCTION("QUERY('Volunteer Survey'!N714)"),"")</f>
        <v/>
      </c>
      <c r="AN715" s="183" t="str">
        <f>IFERROR(__xludf.DUMMYFUNCTION("QUERY('Volunteer Survey'!O714)"),"")</f>
        <v/>
      </c>
      <c r="AO715" s="183" t="str">
        <f>IFERROR(__xludf.DUMMYFUNCTION("QUERY('Volunteer Survey'!P714)"),"")</f>
        <v/>
      </c>
    </row>
    <row r="716">
      <c r="A716" s="55"/>
      <c r="B716" s="55"/>
      <c r="C716" s="53"/>
      <c r="D716" s="55"/>
      <c r="E716" s="55"/>
      <c r="F716" s="55" t="b">
        <v>0</v>
      </c>
      <c r="G716" s="55"/>
      <c r="H716" s="53"/>
      <c r="I716" s="53"/>
      <c r="J716" s="55"/>
      <c r="K716" s="55"/>
      <c r="L716" s="55"/>
      <c r="M716" s="55"/>
      <c r="N716" s="55"/>
      <c r="O716" s="55" t="b">
        <v>0</v>
      </c>
      <c r="P716" s="55"/>
      <c r="Q716" s="55"/>
      <c r="R716" s="55"/>
      <c r="S716" s="55"/>
      <c r="T716" s="55"/>
      <c r="U716" s="64"/>
      <c r="V716" s="55"/>
      <c r="W716" s="64"/>
      <c r="X716" s="55"/>
      <c r="Y716" s="53"/>
      <c r="Z716" s="183" t="str">
        <f>IFERROR(__xludf.DUMMYFUNCTION("QUERY('Volunteer Survey'!A715)"),"")</f>
        <v/>
      </c>
      <c r="AA716" s="183" t="str">
        <f>IFERROR(__xludf.DUMMYFUNCTION("QUERY('Volunteer Survey'!B715)"),"")</f>
        <v/>
      </c>
      <c r="AB716" s="183" t="str">
        <f>IFERROR(__xludf.DUMMYFUNCTION("QUERY('Volunteer Survey'!C715)"),"")</f>
        <v/>
      </c>
      <c r="AC716" s="183" t="str">
        <f>IFERROR(__xludf.DUMMYFUNCTION("QUERY('Volunteer Survey'!D715)"),"")</f>
        <v/>
      </c>
      <c r="AD716" s="183" t="str">
        <f>IFERROR(__xludf.DUMMYFUNCTION("QUERY('Volunteer Survey'!E715)"),"")</f>
        <v/>
      </c>
      <c r="AE716" s="183" t="str">
        <f>IFERROR(__xludf.DUMMYFUNCTION("QUERY('Volunteer Survey'!F715)"),"")</f>
        <v/>
      </c>
      <c r="AF716" s="183" t="str">
        <f>IFERROR(__xludf.DUMMYFUNCTION("QUERY('Volunteer Survey'!G715)"),"")</f>
        <v/>
      </c>
      <c r="AG716" s="183" t="str">
        <f>IFERROR(__xludf.DUMMYFUNCTION("QUERY('Volunteer Survey'!H715)"),"")</f>
        <v/>
      </c>
      <c r="AH716" s="183" t="str">
        <f>IFERROR(__xludf.DUMMYFUNCTION("QUERY('Volunteer Survey'!I715)"),"")</f>
        <v/>
      </c>
      <c r="AI716" s="183" t="str">
        <f>IFERROR(__xludf.DUMMYFUNCTION("QUERY('Volunteer Survey'!J715)"),"")</f>
        <v/>
      </c>
      <c r="AJ716" s="183" t="str">
        <f>IFERROR(__xludf.DUMMYFUNCTION("QUERY('Volunteer Survey'!K715)"),"")</f>
        <v/>
      </c>
      <c r="AK716" s="183" t="str">
        <f>IFERROR(__xludf.DUMMYFUNCTION("QUERY('Volunteer Survey'!L715)"),"")</f>
        <v/>
      </c>
      <c r="AL716" s="183" t="str">
        <f>IFERROR(__xludf.DUMMYFUNCTION("QUERY('Volunteer Survey'!M715)"),"")</f>
        <v/>
      </c>
      <c r="AM716" s="183" t="str">
        <f>IFERROR(__xludf.DUMMYFUNCTION("QUERY('Volunteer Survey'!N715)"),"")</f>
        <v/>
      </c>
      <c r="AN716" s="183" t="str">
        <f>IFERROR(__xludf.DUMMYFUNCTION("QUERY('Volunteer Survey'!O715)"),"")</f>
        <v/>
      </c>
      <c r="AO716" s="183" t="str">
        <f>IFERROR(__xludf.DUMMYFUNCTION("QUERY('Volunteer Survey'!P715)"),"")</f>
        <v/>
      </c>
    </row>
    <row r="717">
      <c r="A717" s="55"/>
      <c r="B717" s="55"/>
      <c r="C717" s="53"/>
      <c r="D717" s="55"/>
      <c r="E717" s="55"/>
      <c r="F717" s="55" t="b">
        <v>0</v>
      </c>
      <c r="G717" s="55"/>
      <c r="H717" s="53"/>
      <c r="I717" s="53"/>
      <c r="J717" s="55"/>
      <c r="K717" s="55"/>
      <c r="L717" s="55"/>
      <c r="M717" s="55"/>
      <c r="N717" s="55"/>
      <c r="O717" s="55" t="b">
        <v>0</v>
      </c>
      <c r="P717" s="55"/>
      <c r="Q717" s="55"/>
      <c r="R717" s="55"/>
      <c r="S717" s="55"/>
      <c r="T717" s="55"/>
      <c r="U717" s="64"/>
      <c r="V717" s="55"/>
      <c r="W717" s="64"/>
      <c r="X717" s="55"/>
      <c r="Y717" s="53"/>
      <c r="Z717" s="183" t="str">
        <f>IFERROR(__xludf.DUMMYFUNCTION("QUERY('Volunteer Survey'!A716)"),"")</f>
        <v/>
      </c>
      <c r="AA717" s="183" t="str">
        <f>IFERROR(__xludf.DUMMYFUNCTION("QUERY('Volunteer Survey'!B716)"),"")</f>
        <v/>
      </c>
      <c r="AB717" s="183" t="str">
        <f>IFERROR(__xludf.DUMMYFUNCTION("QUERY('Volunteer Survey'!C716)"),"")</f>
        <v/>
      </c>
      <c r="AC717" s="183" t="str">
        <f>IFERROR(__xludf.DUMMYFUNCTION("QUERY('Volunteer Survey'!D716)"),"")</f>
        <v/>
      </c>
      <c r="AD717" s="183" t="str">
        <f>IFERROR(__xludf.DUMMYFUNCTION("QUERY('Volunteer Survey'!E716)"),"")</f>
        <v/>
      </c>
      <c r="AE717" s="183" t="str">
        <f>IFERROR(__xludf.DUMMYFUNCTION("QUERY('Volunteer Survey'!F716)"),"")</f>
        <v/>
      </c>
      <c r="AF717" s="183" t="str">
        <f>IFERROR(__xludf.DUMMYFUNCTION("QUERY('Volunteer Survey'!G716)"),"")</f>
        <v/>
      </c>
      <c r="AG717" s="183" t="str">
        <f>IFERROR(__xludf.DUMMYFUNCTION("QUERY('Volunteer Survey'!H716)"),"")</f>
        <v/>
      </c>
      <c r="AH717" s="183" t="str">
        <f>IFERROR(__xludf.DUMMYFUNCTION("QUERY('Volunteer Survey'!I716)"),"")</f>
        <v/>
      </c>
      <c r="AI717" s="183" t="str">
        <f>IFERROR(__xludf.DUMMYFUNCTION("QUERY('Volunteer Survey'!J716)"),"")</f>
        <v/>
      </c>
      <c r="AJ717" s="183" t="str">
        <f>IFERROR(__xludf.DUMMYFUNCTION("QUERY('Volunteer Survey'!K716)"),"")</f>
        <v/>
      </c>
      <c r="AK717" s="183" t="str">
        <f>IFERROR(__xludf.DUMMYFUNCTION("QUERY('Volunteer Survey'!L716)"),"")</f>
        <v/>
      </c>
      <c r="AL717" s="183" t="str">
        <f>IFERROR(__xludf.DUMMYFUNCTION("QUERY('Volunteer Survey'!M716)"),"")</f>
        <v/>
      </c>
      <c r="AM717" s="183" t="str">
        <f>IFERROR(__xludf.DUMMYFUNCTION("QUERY('Volunteer Survey'!N716)"),"")</f>
        <v/>
      </c>
      <c r="AN717" s="183" t="str">
        <f>IFERROR(__xludf.DUMMYFUNCTION("QUERY('Volunteer Survey'!O716)"),"")</f>
        <v/>
      </c>
      <c r="AO717" s="183" t="str">
        <f>IFERROR(__xludf.DUMMYFUNCTION("QUERY('Volunteer Survey'!P716)"),"")</f>
        <v/>
      </c>
    </row>
    <row r="718">
      <c r="A718" s="55"/>
      <c r="B718" s="55"/>
      <c r="C718" s="53"/>
      <c r="D718" s="55"/>
      <c r="E718" s="55"/>
      <c r="F718" s="55" t="b">
        <v>0</v>
      </c>
      <c r="G718" s="55"/>
      <c r="H718" s="53"/>
      <c r="I718" s="53"/>
      <c r="J718" s="55"/>
      <c r="K718" s="55"/>
      <c r="L718" s="55"/>
      <c r="M718" s="55"/>
      <c r="N718" s="55"/>
      <c r="O718" s="55" t="b">
        <v>0</v>
      </c>
      <c r="P718" s="55"/>
      <c r="Q718" s="55"/>
      <c r="R718" s="55"/>
      <c r="S718" s="55"/>
      <c r="T718" s="55"/>
      <c r="U718" s="64"/>
      <c r="V718" s="55"/>
      <c r="W718" s="64"/>
      <c r="X718" s="55"/>
      <c r="Y718" s="53"/>
      <c r="Z718" s="183" t="str">
        <f>IFERROR(__xludf.DUMMYFUNCTION("QUERY('Volunteer Survey'!A717)"),"")</f>
        <v/>
      </c>
      <c r="AA718" s="183" t="str">
        <f>IFERROR(__xludf.DUMMYFUNCTION("QUERY('Volunteer Survey'!B717)"),"")</f>
        <v/>
      </c>
      <c r="AB718" s="183" t="str">
        <f>IFERROR(__xludf.DUMMYFUNCTION("QUERY('Volunteer Survey'!C717)"),"")</f>
        <v/>
      </c>
      <c r="AC718" s="183" t="str">
        <f>IFERROR(__xludf.DUMMYFUNCTION("QUERY('Volunteer Survey'!D717)"),"")</f>
        <v/>
      </c>
      <c r="AD718" s="183" t="str">
        <f>IFERROR(__xludf.DUMMYFUNCTION("QUERY('Volunteer Survey'!E717)"),"")</f>
        <v/>
      </c>
      <c r="AE718" s="183" t="str">
        <f>IFERROR(__xludf.DUMMYFUNCTION("QUERY('Volunteer Survey'!F717)"),"")</f>
        <v/>
      </c>
      <c r="AF718" s="183" t="str">
        <f>IFERROR(__xludf.DUMMYFUNCTION("QUERY('Volunteer Survey'!G717)"),"")</f>
        <v/>
      </c>
      <c r="AG718" s="183" t="str">
        <f>IFERROR(__xludf.DUMMYFUNCTION("QUERY('Volunteer Survey'!H717)"),"")</f>
        <v/>
      </c>
      <c r="AH718" s="183" t="str">
        <f>IFERROR(__xludf.DUMMYFUNCTION("QUERY('Volunteer Survey'!I717)"),"")</f>
        <v/>
      </c>
      <c r="AI718" s="183" t="str">
        <f>IFERROR(__xludf.DUMMYFUNCTION("QUERY('Volunteer Survey'!J717)"),"")</f>
        <v/>
      </c>
      <c r="AJ718" s="183" t="str">
        <f>IFERROR(__xludf.DUMMYFUNCTION("QUERY('Volunteer Survey'!K717)"),"")</f>
        <v/>
      </c>
      <c r="AK718" s="183" t="str">
        <f>IFERROR(__xludf.DUMMYFUNCTION("QUERY('Volunteer Survey'!L717)"),"")</f>
        <v/>
      </c>
      <c r="AL718" s="183" t="str">
        <f>IFERROR(__xludf.DUMMYFUNCTION("QUERY('Volunteer Survey'!M717)"),"")</f>
        <v/>
      </c>
      <c r="AM718" s="183" t="str">
        <f>IFERROR(__xludf.DUMMYFUNCTION("QUERY('Volunteer Survey'!N717)"),"")</f>
        <v/>
      </c>
      <c r="AN718" s="183" t="str">
        <f>IFERROR(__xludf.DUMMYFUNCTION("QUERY('Volunteer Survey'!O717)"),"")</f>
        <v/>
      </c>
      <c r="AO718" s="183" t="str">
        <f>IFERROR(__xludf.DUMMYFUNCTION("QUERY('Volunteer Survey'!P717)"),"")</f>
        <v/>
      </c>
    </row>
    <row r="719">
      <c r="A719" s="55"/>
      <c r="B719" s="55"/>
      <c r="C719" s="53"/>
      <c r="D719" s="55"/>
      <c r="E719" s="55"/>
      <c r="F719" s="55" t="b">
        <v>0</v>
      </c>
      <c r="G719" s="55"/>
      <c r="H719" s="53"/>
      <c r="I719" s="53"/>
      <c r="J719" s="55"/>
      <c r="K719" s="55"/>
      <c r="L719" s="55"/>
      <c r="M719" s="55"/>
      <c r="N719" s="55"/>
      <c r="O719" s="55" t="b">
        <v>0</v>
      </c>
      <c r="P719" s="55"/>
      <c r="Q719" s="55"/>
      <c r="R719" s="55"/>
      <c r="S719" s="55"/>
      <c r="T719" s="55"/>
      <c r="U719" s="64"/>
      <c r="V719" s="55"/>
      <c r="W719" s="64"/>
      <c r="X719" s="55"/>
      <c r="Y719" s="53"/>
      <c r="Z719" s="183" t="str">
        <f>IFERROR(__xludf.DUMMYFUNCTION("QUERY('Volunteer Survey'!A718)"),"")</f>
        <v/>
      </c>
      <c r="AA719" s="183" t="str">
        <f>IFERROR(__xludf.DUMMYFUNCTION("QUERY('Volunteer Survey'!B718)"),"")</f>
        <v/>
      </c>
      <c r="AB719" s="183" t="str">
        <f>IFERROR(__xludf.DUMMYFUNCTION("QUERY('Volunteer Survey'!C718)"),"")</f>
        <v/>
      </c>
      <c r="AC719" s="183" t="str">
        <f>IFERROR(__xludf.DUMMYFUNCTION("QUERY('Volunteer Survey'!D718)"),"")</f>
        <v/>
      </c>
      <c r="AD719" s="183" t="str">
        <f>IFERROR(__xludf.DUMMYFUNCTION("QUERY('Volunteer Survey'!E718)"),"")</f>
        <v/>
      </c>
      <c r="AE719" s="183" t="str">
        <f>IFERROR(__xludf.DUMMYFUNCTION("QUERY('Volunteer Survey'!F718)"),"")</f>
        <v/>
      </c>
      <c r="AF719" s="183" t="str">
        <f>IFERROR(__xludf.DUMMYFUNCTION("QUERY('Volunteer Survey'!G718)"),"")</f>
        <v/>
      </c>
      <c r="AG719" s="183" t="str">
        <f>IFERROR(__xludf.DUMMYFUNCTION("QUERY('Volunteer Survey'!H718)"),"")</f>
        <v/>
      </c>
      <c r="AH719" s="183" t="str">
        <f>IFERROR(__xludf.DUMMYFUNCTION("QUERY('Volunteer Survey'!I718)"),"")</f>
        <v/>
      </c>
      <c r="AI719" s="183" t="str">
        <f>IFERROR(__xludf.DUMMYFUNCTION("QUERY('Volunteer Survey'!J718)"),"")</f>
        <v/>
      </c>
      <c r="AJ719" s="183" t="str">
        <f>IFERROR(__xludf.DUMMYFUNCTION("QUERY('Volunteer Survey'!K718)"),"")</f>
        <v/>
      </c>
      <c r="AK719" s="183" t="str">
        <f>IFERROR(__xludf.DUMMYFUNCTION("QUERY('Volunteer Survey'!L718)"),"")</f>
        <v/>
      </c>
      <c r="AL719" s="183" t="str">
        <f>IFERROR(__xludf.DUMMYFUNCTION("QUERY('Volunteer Survey'!M718)"),"")</f>
        <v/>
      </c>
      <c r="AM719" s="183" t="str">
        <f>IFERROR(__xludf.DUMMYFUNCTION("QUERY('Volunteer Survey'!N718)"),"")</f>
        <v/>
      </c>
      <c r="AN719" s="183" t="str">
        <f>IFERROR(__xludf.DUMMYFUNCTION("QUERY('Volunteer Survey'!O718)"),"")</f>
        <v/>
      </c>
      <c r="AO719" s="183" t="str">
        <f>IFERROR(__xludf.DUMMYFUNCTION("QUERY('Volunteer Survey'!P718)"),"")</f>
        <v/>
      </c>
    </row>
    <row r="720">
      <c r="A720" s="55"/>
      <c r="B720" s="55"/>
      <c r="C720" s="53"/>
      <c r="D720" s="55"/>
      <c r="E720" s="55"/>
      <c r="F720" s="55" t="b">
        <v>0</v>
      </c>
      <c r="G720" s="55"/>
      <c r="H720" s="53"/>
      <c r="I720" s="53"/>
      <c r="J720" s="55"/>
      <c r="K720" s="55"/>
      <c r="L720" s="55"/>
      <c r="M720" s="55"/>
      <c r="N720" s="55"/>
      <c r="O720" s="55" t="b">
        <v>0</v>
      </c>
      <c r="P720" s="55"/>
      <c r="Q720" s="55"/>
      <c r="R720" s="55"/>
      <c r="S720" s="55"/>
      <c r="T720" s="55"/>
      <c r="U720" s="64"/>
      <c r="V720" s="55"/>
      <c r="W720" s="64"/>
      <c r="X720" s="55"/>
      <c r="Y720" s="53"/>
      <c r="Z720" s="183" t="str">
        <f>IFERROR(__xludf.DUMMYFUNCTION("QUERY('Volunteer Survey'!A719)"),"")</f>
        <v/>
      </c>
      <c r="AA720" s="183" t="str">
        <f>IFERROR(__xludf.DUMMYFUNCTION("QUERY('Volunteer Survey'!B719)"),"")</f>
        <v/>
      </c>
      <c r="AB720" s="183" t="str">
        <f>IFERROR(__xludf.DUMMYFUNCTION("QUERY('Volunteer Survey'!C719)"),"")</f>
        <v/>
      </c>
      <c r="AC720" s="183" t="str">
        <f>IFERROR(__xludf.DUMMYFUNCTION("QUERY('Volunteer Survey'!D719)"),"")</f>
        <v/>
      </c>
      <c r="AD720" s="183" t="str">
        <f>IFERROR(__xludf.DUMMYFUNCTION("QUERY('Volunteer Survey'!E719)"),"")</f>
        <v/>
      </c>
      <c r="AE720" s="183" t="str">
        <f>IFERROR(__xludf.DUMMYFUNCTION("QUERY('Volunteer Survey'!F719)"),"")</f>
        <v/>
      </c>
      <c r="AF720" s="183" t="str">
        <f>IFERROR(__xludf.DUMMYFUNCTION("QUERY('Volunteer Survey'!G719)"),"")</f>
        <v/>
      </c>
      <c r="AG720" s="183" t="str">
        <f>IFERROR(__xludf.DUMMYFUNCTION("QUERY('Volunteer Survey'!H719)"),"")</f>
        <v/>
      </c>
      <c r="AH720" s="183" t="str">
        <f>IFERROR(__xludf.DUMMYFUNCTION("QUERY('Volunteer Survey'!I719)"),"")</f>
        <v/>
      </c>
      <c r="AI720" s="183" t="str">
        <f>IFERROR(__xludf.DUMMYFUNCTION("QUERY('Volunteer Survey'!J719)"),"")</f>
        <v/>
      </c>
      <c r="AJ720" s="183" t="str">
        <f>IFERROR(__xludf.DUMMYFUNCTION("QUERY('Volunteer Survey'!K719)"),"")</f>
        <v/>
      </c>
      <c r="AK720" s="183" t="str">
        <f>IFERROR(__xludf.DUMMYFUNCTION("QUERY('Volunteer Survey'!L719)"),"")</f>
        <v/>
      </c>
      <c r="AL720" s="183" t="str">
        <f>IFERROR(__xludf.DUMMYFUNCTION("QUERY('Volunteer Survey'!M719)"),"")</f>
        <v/>
      </c>
      <c r="AM720" s="183" t="str">
        <f>IFERROR(__xludf.DUMMYFUNCTION("QUERY('Volunteer Survey'!N719)"),"")</f>
        <v/>
      </c>
      <c r="AN720" s="183" t="str">
        <f>IFERROR(__xludf.DUMMYFUNCTION("QUERY('Volunteer Survey'!O719)"),"")</f>
        <v/>
      </c>
      <c r="AO720" s="183" t="str">
        <f>IFERROR(__xludf.DUMMYFUNCTION("QUERY('Volunteer Survey'!P719)"),"")</f>
        <v/>
      </c>
    </row>
    <row r="721">
      <c r="A721" s="55"/>
      <c r="B721" s="55"/>
      <c r="C721" s="53"/>
      <c r="D721" s="55"/>
      <c r="E721" s="55"/>
      <c r="F721" s="55" t="b">
        <v>0</v>
      </c>
      <c r="G721" s="55"/>
      <c r="H721" s="53"/>
      <c r="I721" s="53"/>
      <c r="J721" s="55"/>
      <c r="K721" s="55"/>
      <c r="L721" s="55"/>
      <c r="M721" s="55"/>
      <c r="N721" s="55"/>
      <c r="O721" s="55" t="b">
        <v>0</v>
      </c>
      <c r="P721" s="55"/>
      <c r="Q721" s="55"/>
      <c r="R721" s="55"/>
      <c r="S721" s="55"/>
      <c r="T721" s="55"/>
      <c r="U721" s="64"/>
      <c r="V721" s="55"/>
      <c r="W721" s="64"/>
      <c r="X721" s="55"/>
      <c r="Y721" s="53"/>
      <c r="Z721" s="183" t="str">
        <f>IFERROR(__xludf.DUMMYFUNCTION("QUERY('Volunteer Survey'!A720)"),"")</f>
        <v/>
      </c>
      <c r="AA721" s="183" t="str">
        <f>IFERROR(__xludf.DUMMYFUNCTION("QUERY('Volunteer Survey'!B720)"),"")</f>
        <v/>
      </c>
      <c r="AB721" s="183" t="str">
        <f>IFERROR(__xludf.DUMMYFUNCTION("QUERY('Volunteer Survey'!C720)"),"")</f>
        <v/>
      </c>
      <c r="AC721" s="183" t="str">
        <f>IFERROR(__xludf.DUMMYFUNCTION("QUERY('Volunteer Survey'!D720)"),"")</f>
        <v/>
      </c>
      <c r="AD721" s="183" t="str">
        <f>IFERROR(__xludf.DUMMYFUNCTION("QUERY('Volunteer Survey'!E720)"),"")</f>
        <v/>
      </c>
      <c r="AE721" s="183" t="str">
        <f>IFERROR(__xludf.DUMMYFUNCTION("QUERY('Volunteer Survey'!F720)"),"")</f>
        <v/>
      </c>
      <c r="AF721" s="183" t="str">
        <f>IFERROR(__xludf.DUMMYFUNCTION("QUERY('Volunteer Survey'!G720)"),"")</f>
        <v/>
      </c>
      <c r="AG721" s="183" t="str">
        <f>IFERROR(__xludf.DUMMYFUNCTION("QUERY('Volunteer Survey'!H720)"),"")</f>
        <v/>
      </c>
      <c r="AH721" s="183" t="str">
        <f>IFERROR(__xludf.DUMMYFUNCTION("QUERY('Volunteer Survey'!I720)"),"")</f>
        <v/>
      </c>
      <c r="AI721" s="183" t="str">
        <f>IFERROR(__xludf.DUMMYFUNCTION("QUERY('Volunteer Survey'!J720)"),"")</f>
        <v/>
      </c>
      <c r="AJ721" s="183" t="str">
        <f>IFERROR(__xludf.DUMMYFUNCTION("QUERY('Volunteer Survey'!K720)"),"")</f>
        <v/>
      </c>
      <c r="AK721" s="183" t="str">
        <f>IFERROR(__xludf.DUMMYFUNCTION("QUERY('Volunteer Survey'!L720)"),"")</f>
        <v/>
      </c>
      <c r="AL721" s="183" t="str">
        <f>IFERROR(__xludf.DUMMYFUNCTION("QUERY('Volunteer Survey'!M720)"),"")</f>
        <v/>
      </c>
      <c r="AM721" s="183" t="str">
        <f>IFERROR(__xludf.DUMMYFUNCTION("QUERY('Volunteer Survey'!N720)"),"")</f>
        <v/>
      </c>
      <c r="AN721" s="183" t="str">
        <f>IFERROR(__xludf.DUMMYFUNCTION("QUERY('Volunteer Survey'!O720)"),"")</f>
        <v/>
      </c>
      <c r="AO721" s="183" t="str">
        <f>IFERROR(__xludf.DUMMYFUNCTION("QUERY('Volunteer Survey'!P720)"),"")</f>
        <v/>
      </c>
    </row>
    <row r="722">
      <c r="A722" s="55"/>
      <c r="B722" s="55"/>
      <c r="C722" s="53"/>
      <c r="D722" s="55"/>
      <c r="E722" s="55"/>
      <c r="F722" s="55" t="b">
        <v>0</v>
      </c>
      <c r="G722" s="55"/>
      <c r="H722" s="53"/>
      <c r="I722" s="53"/>
      <c r="J722" s="55"/>
      <c r="K722" s="55"/>
      <c r="L722" s="55"/>
      <c r="M722" s="55"/>
      <c r="N722" s="55"/>
      <c r="O722" s="55" t="b">
        <v>0</v>
      </c>
      <c r="P722" s="55"/>
      <c r="Q722" s="55"/>
      <c r="R722" s="55"/>
      <c r="S722" s="55"/>
      <c r="T722" s="55"/>
      <c r="U722" s="64"/>
      <c r="V722" s="55"/>
      <c r="W722" s="64"/>
      <c r="X722" s="55"/>
      <c r="Y722" s="53"/>
      <c r="Z722" s="183" t="str">
        <f>IFERROR(__xludf.DUMMYFUNCTION("QUERY('Volunteer Survey'!A721)"),"")</f>
        <v/>
      </c>
      <c r="AA722" s="183" t="str">
        <f>IFERROR(__xludf.DUMMYFUNCTION("QUERY('Volunteer Survey'!B721)"),"")</f>
        <v/>
      </c>
      <c r="AB722" s="183" t="str">
        <f>IFERROR(__xludf.DUMMYFUNCTION("QUERY('Volunteer Survey'!C721)"),"")</f>
        <v/>
      </c>
      <c r="AC722" s="183" t="str">
        <f>IFERROR(__xludf.DUMMYFUNCTION("QUERY('Volunteer Survey'!D721)"),"")</f>
        <v/>
      </c>
      <c r="AD722" s="183" t="str">
        <f>IFERROR(__xludf.DUMMYFUNCTION("QUERY('Volunteer Survey'!E721)"),"")</f>
        <v/>
      </c>
      <c r="AE722" s="183" t="str">
        <f>IFERROR(__xludf.DUMMYFUNCTION("QUERY('Volunteer Survey'!F721)"),"")</f>
        <v/>
      </c>
      <c r="AF722" s="183" t="str">
        <f>IFERROR(__xludf.DUMMYFUNCTION("QUERY('Volunteer Survey'!G721)"),"")</f>
        <v/>
      </c>
      <c r="AG722" s="183" t="str">
        <f>IFERROR(__xludf.DUMMYFUNCTION("QUERY('Volunteer Survey'!H721)"),"")</f>
        <v/>
      </c>
      <c r="AH722" s="183" t="str">
        <f>IFERROR(__xludf.DUMMYFUNCTION("QUERY('Volunteer Survey'!I721)"),"")</f>
        <v/>
      </c>
      <c r="AI722" s="183" t="str">
        <f>IFERROR(__xludf.DUMMYFUNCTION("QUERY('Volunteer Survey'!J721)"),"")</f>
        <v/>
      </c>
      <c r="AJ722" s="183" t="str">
        <f>IFERROR(__xludf.DUMMYFUNCTION("QUERY('Volunteer Survey'!K721)"),"")</f>
        <v/>
      </c>
      <c r="AK722" s="183" t="str">
        <f>IFERROR(__xludf.DUMMYFUNCTION("QUERY('Volunteer Survey'!L721)"),"")</f>
        <v/>
      </c>
      <c r="AL722" s="183" t="str">
        <f>IFERROR(__xludf.DUMMYFUNCTION("QUERY('Volunteer Survey'!M721)"),"")</f>
        <v/>
      </c>
      <c r="AM722" s="183" t="str">
        <f>IFERROR(__xludf.DUMMYFUNCTION("QUERY('Volunteer Survey'!N721)"),"")</f>
        <v/>
      </c>
      <c r="AN722" s="183" t="str">
        <f>IFERROR(__xludf.DUMMYFUNCTION("QUERY('Volunteer Survey'!O721)"),"")</f>
        <v/>
      </c>
      <c r="AO722" s="183" t="str">
        <f>IFERROR(__xludf.DUMMYFUNCTION("QUERY('Volunteer Survey'!P721)"),"")</f>
        <v/>
      </c>
    </row>
    <row r="723">
      <c r="A723" s="55"/>
      <c r="B723" s="55"/>
      <c r="C723" s="53"/>
      <c r="D723" s="55"/>
      <c r="E723" s="55"/>
      <c r="F723" s="55" t="b">
        <v>0</v>
      </c>
      <c r="G723" s="55"/>
      <c r="H723" s="53"/>
      <c r="I723" s="53"/>
      <c r="J723" s="55"/>
      <c r="K723" s="55"/>
      <c r="L723" s="55"/>
      <c r="M723" s="55"/>
      <c r="N723" s="55"/>
      <c r="O723" s="55" t="b">
        <v>0</v>
      </c>
      <c r="P723" s="55"/>
      <c r="Q723" s="55"/>
      <c r="R723" s="55"/>
      <c r="S723" s="55"/>
      <c r="T723" s="55"/>
      <c r="U723" s="64"/>
      <c r="V723" s="55"/>
      <c r="W723" s="64"/>
      <c r="X723" s="55"/>
      <c r="Y723" s="53"/>
      <c r="Z723" s="183" t="str">
        <f>IFERROR(__xludf.DUMMYFUNCTION("QUERY('Volunteer Survey'!A722)"),"")</f>
        <v/>
      </c>
      <c r="AA723" s="183" t="str">
        <f>IFERROR(__xludf.DUMMYFUNCTION("QUERY('Volunteer Survey'!B722)"),"")</f>
        <v/>
      </c>
      <c r="AB723" s="183" t="str">
        <f>IFERROR(__xludf.DUMMYFUNCTION("QUERY('Volunteer Survey'!C722)"),"")</f>
        <v/>
      </c>
      <c r="AC723" s="183" t="str">
        <f>IFERROR(__xludf.DUMMYFUNCTION("QUERY('Volunteer Survey'!D722)"),"")</f>
        <v/>
      </c>
      <c r="AD723" s="183" t="str">
        <f>IFERROR(__xludf.DUMMYFUNCTION("QUERY('Volunteer Survey'!E722)"),"")</f>
        <v/>
      </c>
      <c r="AE723" s="183" t="str">
        <f>IFERROR(__xludf.DUMMYFUNCTION("QUERY('Volunteer Survey'!F722)"),"")</f>
        <v/>
      </c>
      <c r="AF723" s="183" t="str">
        <f>IFERROR(__xludf.DUMMYFUNCTION("QUERY('Volunteer Survey'!G722)"),"")</f>
        <v/>
      </c>
      <c r="AG723" s="183" t="str">
        <f>IFERROR(__xludf.DUMMYFUNCTION("QUERY('Volunteer Survey'!H722)"),"")</f>
        <v/>
      </c>
      <c r="AH723" s="183" t="str">
        <f>IFERROR(__xludf.DUMMYFUNCTION("QUERY('Volunteer Survey'!I722)"),"")</f>
        <v/>
      </c>
      <c r="AI723" s="183" t="str">
        <f>IFERROR(__xludf.DUMMYFUNCTION("QUERY('Volunteer Survey'!J722)"),"")</f>
        <v/>
      </c>
      <c r="AJ723" s="183" t="str">
        <f>IFERROR(__xludf.DUMMYFUNCTION("QUERY('Volunteer Survey'!K722)"),"")</f>
        <v/>
      </c>
      <c r="AK723" s="183" t="str">
        <f>IFERROR(__xludf.DUMMYFUNCTION("QUERY('Volunteer Survey'!L722)"),"")</f>
        <v/>
      </c>
      <c r="AL723" s="183" t="str">
        <f>IFERROR(__xludf.DUMMYFUNCTION("QUERY('Volunteer Survey'!M722)"),"")</f>
        <v/>
      </c>
      <c r="AM723" s="183" t="str">
        <f>IFERROR(__xludf.DUMMYFUNCTION("QUERY('Volunteer Survey'!N722)"),"")</f>
        <v/>
      </c>
      <c r="AN723" s="183" t="str">
        <f>IFERROR(__xludf.DUMMYFUNCTION("QUERY('Volunteer Survey'!O722)"),"")</f>
        <v/>
      </c>
      <c r="AO723" s="183" t="str">
        <f>IFERROR(__xludf.DUMMYFUNCTION("QUERY('Volunteer Survey'!P722)"),"")</f>
        <v/>
      </c>
    </row>
    <row r="724">
      <c r="A724" s="55"/>
      <c r="B724" s="55"/>
      <c r="C724" s="53"/>
      <c r="D724" s="55"/>
      <c r="E724" s="55"/>
      <c r="F724" s="55" t="b">
        <v>0</v>
      </c>
      <c r="G724" s="55"/>
      <c r="H724" s="53"/>
      <c r="I724" s="53"/>
      <c r="J724" s="55"/>
      <c r="K724" s="55"/>
      <c r="L724" s="55"/>
      <c r="M724" s="55"/>
      <c r="N724" s="55"/>
      <c r="O724" s="55" t="b">
        <v>0</v>
      </c>
      <c r="P724" s="55"/>
      <c r="Q724" s="55"/>
      <c r="R724" s="55"/>
      <c r="S724" s="55"/>
      <c r="T724" s="55"/>
      <c r="U724" s="64"/>
      <c r="V724" s="55"/>
      <c r="W724" s="64"/>
      <c r="X724" s="55"/>
      <c r="Y724" s="53"/>
      <c r="Z724" s="183" t="str">
        <f>IFERROR(__xludf.DUMMYFUNCTION("QUERY('Volunteer Survey'!A723)"),"")</f>
        <v/>
      </c>
      <c r="AA724" s="183" t="str">
        <f>IFERROR(__xludf.DUMMYFUNCTION("QUERY('Volunteer Survey'!B723)"),"")</f>
        <v/>
      </c>
      <c r="AB724" s="183" t="str">
        <f>IFERROR(__xludf.DUMMYFUNCTION("QUERY('Volunteer Survey'!C723)"),"")</f>
        <v/>
      </c>
      <c r="AC724" s="183" t="str">
        <f>IFERROR(__xludf.DUMMYFUNCTION("QUERY('Volunteer Survey'!D723)"),"")</f>
        <v/>
      </c>
      <c r="AD724" s="183" t="str">
        <f>IFERROR(__xludf.DUMMYFUNCTION("QUERY('Volunteer Survey'!E723)"),"")</f>
        <v/>
      </c>
      <c r="AE724" s="183" t="str">
        <f>IFERROR(__xludf.DUMMYFUNCTION("QUERY('Volunteer Survey'!F723)"),"")</f>
        <v/>
      </c>
      <c r="AF724" s="183" t="str">
        <f>IFERROR(__xludf.DUMMYFUNCTION("QUERY('Volunteer Survey'!G723)"),"")</f>
        <v/>
      </c>
      <c r="AG724" s="183" t="str">
        <f>IFERROR(__xludf.DUMMYFUNCTION("QUERY('Volunteer Survey'!H723)"),"")</f>
        <v/>
      </c>
      <c r="AH724" s="183" t="str">
        <f>IFERROR(__xludf.DUMMYFUNCTION("QUERY('Volunteer Survey'!I723)"),"")</f>
        <v/>
      </c>
      <c r="AI724" s="183" t="str">
        <f>IFERROR(__xludf.DUMMYFUNCTION("QUERY('Volunteer Survey'!J723)"),"")</f>
        <v/>
      </c>
      <c r="AJ724" s="183" t="str">
        <f>IFERROR(__xludf.DUMMYFUNCTION("QUERY('Volunteer Survey'!K723)"),"")</f>
        <v/>
      </c>
      <c r="AK724" s="183" t="str">
        <f>IFERROR(__xludf.DUMMYFUNCTION("QUERY('Volunteer Survey'!L723)"),"")</f>
        <v/>
      </c>
      <c r="AL724" s="183" t="str">
        <f>IFERROR(__xludf.DUMMYFUNCTION("QUERY('Volunteer Survey'!M723)"),"")</f>
        <v/>
      </c>
      <c r="AM724" s="183" t="str">
        <f>IFERROR(__xludf.DUMMYFUNCTION("QUERY('Volunteer Survey'!N723)"),"")</f>
        <v/>
      </c>
      <c r="AN724" s="183" t="str">
        <f>IFERROR(__xludf.DUMMYFUNCTION("QUERY('Volunteer Survey'!O723)"),"")</f>
        <v/>
      </c>
      <c r="AO724" s="183" t="str">
        <f>IFERROR(__xludf.DUMMYFUNCTION("QUERY('Volunteer Survey'!P723)"),"")</f>
        <v/>
      </c>
    </row>
    <row r="725">
      <c r="A725" s="55"/>
      <c r="B725" s="55"/>
      <c r="C725" s="53"/>
      <c r="D725" s="55"/>
      <c r="E725" s="55"/>
      <c r="F725" s="55" t="b">
        <v>0</v>
      </c>
      <c r="G725" s="55"/>
      <c r="H725" s="53"/>
      <c r="I725" s="53"/>
      <c r="J725" s="55"/>
      <c r="K725" s="55"/>
      <c r="L725" s="55"/>
      <c r="M725" s="55"/>
      <c r="N725" s="55"/>
      <c r="O725" s="55" t="b">
        <v>0</v>
      </c>
      <c r="P725" s="55"/>
      <c r="Q725" s="55"/>
      <c r="R725" s="55"/>
      <c r="S725" s="55"/>
      <c r="T725" s="55"/>
      <c r="U725" s="64"/>
      <c r="V725" s="55"/>
      <c r="W725" s="64"/>
      <c r="X725" s="55"/>
      <c r="Y725" s="53"/>
      <c r="Z725" s="183" t="str">
        <f>IFERROR(__xludf.DUMMYFUNCTION("QUERY('Volunteer Survey'!A724)"),"")</f>
        <v/>
      </c>
      <c r="AA725" s="183" t="str">
        <f>IFERROR(__xludf.DUMMYFUNCTION("QUERY('Volunteer Survey'!B724)"),"")</f>
        <v/>
      </c>
      <c r="AB725" s="183" t="str">
        <f>IFERROR(__xludf.DUMMYFUNCTION("QUERY('Volunteer Survey'!C724)"),"")</f>
        <v/>
      </c>
      <c r="AC725" s="183" t="str">
        <f>IFERROR(__xludf.DUMMYFUNCTION("QUERY('Volunteer Survey'!D724)"),"")</f>
        <v/>
      </c>
      <c r="AD725" s="183" t="str">
        <f>IFERROR(__xludf.DUMMYFUNCTION("QUERY('Volunteer Survey'!E724)"),"")</f>
        <v/>
      </c>
      <c r="AE725" s="183" t="str">
        <f>IFERROR(__xludf.DUMMYFUNCTION("QUERY('Volunteer Survey'!F724)"),"")</f>
        <v/>
      </c>
      <c r="AF725" s="183" t="str">
        <f>IFERROR(__xludf.DUMMYFUNCTION("QUERY('Volunteer Survey'!G724)"),"")</f>
        <v/>
      </c>
      <c r="AG725" s="183" t="str">
        <f>IFERROR(__xludf.DUMMYFUNCTION("QUERY('Volunteer Survey'!H724)"),"")</f>
        <v/>
      </c>
      <c r="AH725" s="183" t="str">
        <f>IFERROR(__xludf.DUMMYFUNCTION("QUERY('Volunteer Survey'!I724)"),"")</f>
        <v/>
      </c>
      <c r="AI725" s="183" t="str">
        <f>IFERROR(__xludf.DUMMYFUNCTION("QUERY('Volunteer Survey'!J724)"),"")</f>
        <v/>
      </c>
      <c r="AJ725" s="183" t="str">
        <f>IFERROR(__xludf.DUMMYFUNCTION("QUERY('Volunteer Survey'!K724)"),"")</f>
        <v/>
      </c>
      <c r="AK725" s="183" t="str">
        <f>IFERROR(__xludf.DUMMYFUNCTION("QUERY('Volunteer Survey'!L724)"),"")</f>
        <v/>
      </c>
      <c r="AL725" s="183" t="str">
        <f>IFERROR(__xludf.DUMMYFUNCTION("QUERY('Volunteer Survey'!M724)"),"")</f>
        <v/>
      </c>
      <c r="AM725" s="183" t="str">
        <f>IFERROR(__xludf.DUMMYFUNCTION("QUERY('Volunteer Survey'!N724)"),"")</f>
        <v/>
      </c>
      <c r="AN725" s="183" t="str">
        <f>IFERROR(__xludf.DUMMYFUNCTION("QUERY('Volunteer Survey'!O724)"),"")</f>
        <v/>
      </c>
      <c r="AO725" s="183" t="str">
        <f>IFERROR(__xludf.DUMMYFUNCTION("QUERY('Volunteer Survey'!P724)"),"")</f>
        <v/>
      </c>
    </row>
    <row r="726">
      <c r="A726" s="55"/>
      <c r="B726" s="55"/>
      <c r="C726" s="53"/>
      <c r="D726" s="55"/>
      <c r="E726" s="55"/>
      <c r="F726" s="55" t="b">
        <v>0</v>
      </c>
      <c r="G726" s="55"/>
      <c r="H726" s="53"/>
      <c r="I726" s="53"/>
      <c r="J726" s="55"/>
      <c r="K726" s="55"/>
      <c r="L726" s="55"/>
      <c r="M726" s="55"/>
      <c r="N726" s="55"/>
      <c r="O726" s="55" t="b">
        <v>0</v>
      </c>
      <c r="P726" s="55"/>
      <c r="Q726" s="55"/>
      <c r="R726" s="55"/>
      <c r="S726" s="55"/>
      <c r="T726" s="55"/>
      <c r="U726" s="64"/>
      <c r="V726" s="55"/>
      <c r="W726" s="64"/>
      <c r="X726" s="55"/>
      <c r="Y726" s="53"/>
      <c r="Z726" s="183" t="str">
        <f>IFERROR(__xludf.DUMMYFUNCTION("QUERY('Volunteer Survey'!A725)"),"")</f>
        <v/>
      </c>
      <c r="AA726" s="183" t="str">
        <f>IFERROR(__xludf.DUMMYFUNCTION("QUERY('Volunteer Survey'!B725)"),"")</f>
        <v/>
      </c>
      <c r="AB726" s="183" t="str">
        <f>IFERROR(__xludf.DUMMYFUNCTION("QUERY('Volunteer Survey'!C725)"),"")</f>
        <v/>
      </c>
      <c r="AC726" s="183" t="str">
        <f>IFERROR(__xludf.DUMMYFUNCTION("QUERY('Volunteer Survey'!D725)"),"")</f>
        <v/>
      </c>
      <c r="AD726" s="183" t="str">
        <f>IFERROR(__xludf.DUMMYFUNCTION("QUERY('Volunteer Survey'!E725)"),"")</f>
        <v/>
      </c>
      <c r="AE726" s="183" t="str">
        <f>IFERROR(__xludf.DUMMYFUNCTION("QUERY('Volunteer Survey'!F725)"),"")</f>
        <v/>
      </c>
      <c r="AF726" s="183" t="str">
        <f>IFERROR(__xludf.DUMMYFUNCTION("QUERY('Volunteer Survey'!G725)"),"")</f>
        <v/>
      </c>
      <c r="AG726" s="183" t="str">
        <f>IFERROR(__xludf.DUMMYFUNCTION("QUERY('Volunteer Survey'!H725)"),"")</f>
        <v/>
      </c>
      <c r="AH726" s="183" t="str">
        <f>IFERROR(__xludf.DUMMYFUNCTION("QUERY('Volunteer Survey'!I725)"),"")</f>
        <v/>
      </c>
      <c r="AI726" s="183" t="str">
        <f>IFERROR(__xludf.DUMMYFUNCTION("QUERY('Volunteer Survey'!J725)"),"")</f>
        <v/>
      </c>
      <c r="AJ726" s="183" t="str">
        <f>IFERROR(__xludf.DUMMYFUNCTION("QUERY('Volunteer Survey'!K725)"),"")</f>
        <v/>
      </c>
      <c r="AK726" s="183" t="str">
        <f>IFERROR(__xludf.DUMMYFUNCTION("QUERY('Volunteer Survey'!L725)"),"")</f>
        <v/>
      </c>
      <c r="AL726" s="183" t="str">
        <f>IFERROR(__xludf.DUMMYFUNCTION("QUERY('Volunteer Survey'!M725)"),"")</f>
        <v/>
      </c>
      <c r="AM726" s="183" t="str">
        <f>IFERROR(__xludf.DUMMYFUNCTION("QUERY('Volunteer Survey'!N725)"),"")</f>
        <v/>
      </c>
      <c r="AN726" s="183" t="str">
        <f>IFERROR(__xludf.DUMMYFUNCTION("QUERY('Volunteer Survey'!O725)"),"")</f>
        <v/>
      </c>
      <c r="AO726" s="183" t="str">
        <f>IFERROR(__xludf.DUMMYFUNCTION("QUERY('Volunteer Survey'!P725)"),"")</f>
        <v/>
      </c>
    </row>
    <row r="727">
      <c r="A727" s="55"/>
      <c r="B727" s="55"/>
      <c r="C727" s="53"/>
      <c r="D727" s="55"/>
      <c r="E727" s="55"/>
      <c r="F727" s="55" t="b">
        <v>0</v>
      </c>
      <c r="G727" s="55"/>
      <c r="H727" s="53"/>
      <c r="I727" s="53"/>
      <c r="J727" s="55"/>
      <c r="K727" s="55"/>
      <c r="L727" s="55"/>
      <c r="M727" s="55"/>
      <c r="N727" s="55"/>
      <c r="O727" s="55" t="b">
        <v>0</v>
      </c>
      <c r="P727" s="55"/>
      <c r="Q727" s="55"/>
      <c r="R727" s="55"/>
      <c r="S727" s="55"/>
      <c r="T727" s="55"/>
      <c r="U727" s="64"/>
      <c r="V727" s="55"/>
      <c r="W727" s="64"/>
      <c r="X727" s="55"/>
      <c r="Y727" s="53"/>
      <c r="Z727" s="183" t="str">
        <f>IFERROR(__xludf.DUMMYFUNCTION("QUERY('Volunteer Survey'!A726)"),"")</f>
        <v/>
      </c>
      <c r="AA727" s="183" t="str">
        <f>IFERROR(__xludf.DUMMYFUNCTION("QUERY('Volunteer Survey'!B726)"),"")</f>
        <v/>
      </c>
      <c r="AB727" s="183" t="str">
        <f>IFERROR(__xludf.DUMMYFUNCTION("QUERY('Volunteer Survey'!C726)"),"")</f>
        <v/>
      </c>
      <c r="AC727" s="183" t="str">
        <f>IFERROR(__xludf.DUMMYFUNCTION("QUERY('Volunteer Survey'!D726)"),"")</f>
        <v/>
      </c>
      <c r="AD727" s="183" t="str">
        <f>IFERROR(__xludf.DUMMYFUNCTION("QUERY('Volunteer Survey'!E726)"),"")</f>
        <v/>
      </c>
      <c r="AE727" s="183" t="str">
        <f>IFERROR(__xludf.DUMMYFUNCTION("QUERY('Volunteer Survey'!F726)"),"")</f>
        <v/>
      </c>
      <c r="AF727" s="183" t="str">
        <f>IFERROR(__xludf.DUMMYFUNCTION("QUERY('Volunteer Survey'!G726)"),"")</f>
        <v/>
      </c>
      <c r="AG727" s="183" t="str">
        <f>IFERROR(__xludf.DUMMYFUNCTION("QUERY('Volunteer Survey'!H726)"),"")</f>
        <v/>
      </c>
      <c r="AH727" s="183" t="str">
        <f>IFERROR(__xludf.DUMMYFUNCTION("QUERY('Volunteer Survey'!I726)"),"")</f>
        <v/>
      </c>
      <c r="AI727" s="183" t="str">
        <f>IFERROR(__xludf.DUMMYFUNCTION("QUERY('Volunteer Survey'!J726)"),"")</f>
        <v/>
      </c>
      <c r="AJ727" s="183" t="str">
        <f>IFERROR(__xludf.DUMMYFUNCTION("QUERY('Volunteer Survey'!K726)"),"")</f>
        <v/>
      </c>
      <c r="AK727" s="183" t="str">
        <f>IFERROR(__xludf.DUMMYFUNCTION("QUERY('Volunteer Survey'!L726)"),"")</f>
        <v/>
      </c>
      <c r="AL727" s="183" t="str">
        <f>IFERROR(__xludf.DUMMYFUNCTION("QUERY('Volunteer Survey'!M726)"),"")</f>
        <v/>
      </c>
      <c r="AM727" s="183" t="str">
        <f>IFERROR(__xludf.DUMMYFUNCTION("QUERY('Volunteer Survey'!N726)"),"")</f>
        <v/>
      </c>
      <c r="AN727" s="183" t="str">
        <f>IFERROR(__xludf.DUMMYFUNCTION("QUERY('Volunteer Survey'!O726)"),"")</f>
        <v/>
      </c>
      <c r="AO727" s="183" t="str">
        <f>IFERROR(__xludf.DUMMYFUNCTION("QUERY('Volunteer Survey'!P726)"),"")</f>
        <v/>
      </c>
    </row>
    <row r="728">
      <c r="A728" s="55"/>
      <c r="B728" s="55"/>
      <c r="C728" s="53"/>
      <c r="D728" s="55"/>
      <c r="E728" s="55"/>
      <c r="F728" s="55" t="b">
        <v>0</v>
      </c>
      <c r="G728" s="55"/>
      <c r="H728" s="53"/>
      <c r="I728" s="53"/>
      <c r="J728" s="55"/>
      <c r="K728" s="55"/>
      <c r="L728" s="55"/>
      <c r="M728" s="55"/>
      <c r="N728" s="55"/>
      <c r="O728" s="55" t="b">
        <v>0</v>
      </c>
      <c r="P728" s="55"/>
      <c r="Q728" s="55"/>
      <c r="R728" s="55"/>
      <c r="S728" s="55"/>
      <c r="T728" s="55"/>
      <c r="U728" s="64"/>
      <c r="V728" s="55"/>
      <c r="W728" s="64"/>
      <c r="X728" s="55"/>
      <c r="Y728" s="53"/>
      <c r="Z728" s="183" t="str">
        <f>IFERROR(__xludf.DUMMYFUNCTION("QUERY('Volunteer Survey'!A727)"),"")</f>
        <v/>
      </c>
      <c r="AA728" s="183" t="str">
        <f>IFERROR(__xludf.DUMMYFUNCTION("QUERY('Volunteer Survey'!B727)"),"")</f>
        <v/>
      </c>
      <c r="AB728" s="183" t="str">
        <f>IFERROR(__xludf.DUMMYFUNCTION("QUERY('Volunteer Survey'!C727)"),"")</f>
        <v/>
      </c>
      <c r="AC728" s="183" t="str">
        <f>IFERROR(__xludf.DUMMYFUNCTION("QUERY('Volunteer Survey'!D727)"),"")</f>
        <v/>
      </c>
      <c r="AD728" s="183" t="str">
        <f>IFERROR(__xludf.DUMMYFUNCTION("QUERY('Volunteer Survey'!E727)"),"")</f>
        <v/>
      </c>
      <c r="AE728" s="183" t="str">
        <f>IFERROR(__xludf.DUMMYFUNCTION("QUERY('Volunteer Survey'!F727)"),"")</f>
        <v/>
      </c>
      <c r="AF728" s="183" t="str">
        <f>IFERROR(__xludf.DUMMYFUNCTION("QUERY('Volunteer Survey'!G727)"),"")</f>
        <v/>
      </c>
      <c r="AG728" s="183" t="str">
        <f>IFERROR(__xludf.DUMMYFUNCTION("QUERY('Volunteer Survey'!H727)"),"")</f>
        <v/>
      </c>
      <c r="AH728" s="183" t="str">
        <f>IFERROR(__xludf.DUMMYFUNCTION("QUERY('Volunteer Survey'!I727)"),"")</f>
        <v/>
      </c>
      <c r="AI728" s="183" t="str">
        <f>IFERROR(__xludf.DUMMYFUNCTION("QUERY('Volunteer Survey'!J727)"),"")</f>
        <v/>
      </c>
      <c r="AJ728" s="183" t="str">
        <f>IFERROR(__xludf.DUMMYFUNCTION("QUERY('Volunteer Survey'!K727)"),"")</f>
        <v/>
      </c>
      <c r="AK728" s="183" t="str">
        <f>IFERROR(__xludf.DUMMYFUNCTION("QUERY('Volunteer Survey'!L727)"),"")</f>
        <v/>
      </c>
      <c r="AL728" s="183" t="str">
        <f>IFERROR(__xludf.DUMMYFUNCTION("QUERY('Volunteer Survey'!M727)"),"")</f>
        <v/>
      </c>
      <c r="AM728" s="183" t="str">
        <f>IFERROR(__xludf.DUMMYFUNCTION("QUERY('Volunteer Survey'!N727)"),"")</f>
        <v/>
      </c>
      <c r="AN728" s="183" t="str">
        <f>IFERROR(__xludf.DUMMYFUNCTION("QUERY('Volunteer Survey'!O727)"),"")</f>
        <v/>
      </c>
      <c r="AO728" s="183" t="str">
        <f>IFERROR(__xludf.DUMMYFUNCTION("QUERY('Volunteer Survey'!P727)"),"")</f>
        <v/>
      </c>
    </row>
    <row r="729">
      <c r="A729" s="55"/>
      <c r="B729" s="55"/>
      <c r="C729" s="53"/>
      <c r="D729" s="55"/>
      <c r="E729" s="55"/>
      <c r="F729" s="55" t="b">
        <v>0</v>
      </c>
      <c r="G729" s="55"/>
      <c r="H729" s="53"/>
      <c r="I729" s="53"/>
      <c r="J729" s="55"/>
      <c r="K729" s="55"/>
      <c r="L729" s="55"/>
      <c r="M729" s="55"/>
      <c r="N729" s="55"/>
      <c r="O729" s="55" t="b">
        <v>0</v>
      </c>
      <c r="P729" s="55"/>
      <c r="Q729" s="55"/>
      <c r="R729" s="55"/>
      <c r="S729" s="55"/>
      <c r="T729" s="55"/>
      <c r="U729" s="64"/>
      <c r="V729" s="55"/>
      <c r="W729" s="64"/>
      <c r="X729" s="55"/>
      <c r="Y729" s="53"/>
      <c r="Z729" s="183" t="str">
        <f>IFERROR(__xludf.DUMMYFUNCTION("QUERY('Volunteer Survey'!A728)"),"")</f>
        <v/>
      </c>
      <c r="AA729" s="183" t="str">
        <f>IFERROR(__xludf.DUMMYFUNCTION("QUERY('Volunteer Survey'!B728)"),"")</f>
        <v/>
      </c>
      <c r="AB729" s="183" t="str">
        <f>IFERROR(__xludf.DUMMYFUNCTION("QUERY('Volunteer Survey'!C728)"),"")</f>
        <v/>
      </c>
      <c r="AC729" s="183" t="str">
        <f>IFERROR(__xludf.DUMMYFUNCTION("QUERY('Volunteer Survey'!D728)"),"")</f>
        <v/>
      </c>
      <c r="AD729" s="183" t="str">
        <f>IFERROR(__xludf.DUMMYFUNCTION("QUERY('Volunteer Survey'!E728)"),"")</f>
        <v/>
      </c>
      <c r="AE729" s="183" t="str">
        <f>IFERROR(__xludf.DUMMYFUNCTION("QUERY('Volunteer Survey'!F728)"),"")</f>
        <v/>
      </c>
      <c r="AF729" s="183" t="str">
        <f>IFERROR(__xludf.DUMMYFUNCTION("QUERY('Volunteer Survey'!G728)"),"")</f>
        <v/>
      </c>
      <c r="AG729" s="183" t="str">
        <f>IFERROR(__xludf.DUMMYFUNCTION("QUERY('Volunteer Survey'!H728)"),"")</f>
        <v/>
      </c>
      <c r="AH729" s="183" t="str">
        <f>IFERROR(__xludf.DUMMYFUNCTION("QUERY('Volunteer Survey'!I728)"),"")</f>
        <v/>
      </c>
      <c r="AI729" s="183" t="str">
        <f>IFERROR(__xludf.DUMMYFUNCTION("QUERY('Volunteer Survey'!J728)"),"")</f>
        <v/>
      </c>
      <c r="AJ729" s="183" t="str">
        <f>IFERROR(__xludf.DUMMYFUNCTION("QUERY('Volunteer Survey'!K728)"),"")</f>
        <v/>
      </c>
      <c r="AK729" s="183" t="str">
        <f>IFERROR(__xludf.DUMMYFUNCTION("QUERY('Volunteer Survey'!L728)"),"")</f>
        <v/>
      </c>
      <c r="AL729" s="183" t="str">
        <f>IFERROR(__xludf.DUMMYFUNCTION("QUERY('Volunteer Survey'!M728)"),"")</f>
        <v/>
      </c>
      <c r="AM729" s="183" t="str">
        <f>IFERROR(__xludf.DUMMYFUNCTION("QUERY('Volunteer Survey'!N728)"),"")</f>
        <v/>
      </c>
      <c r="AN729" s="183" t="str">
        <f>IFERROR(__xludf.DUMMYFUNCTION("QUERY('Volunteer Survey'!O728)"),"")</f>
        <v/>
      </c>
      <c r="AO729" s="183" t="str">
        <f>IFERROR(__xludf.DUMMYFUNCTION("QUERY('Volunteer Survey'!P728)"),"")</f>
        <v/>
      </c>
    </row>
    <row r="730">
      <c r="A730" s="55"/>
      <c r="B730" s="55"/>
      <c r="C730" s="53"/>
      <c r="D730" s="55"/>
      <c r="E730" s="55"/>
      <c r="F730" s="55" t="b">
        <v>0</v>
      </c>
      <c r="G730" s="55"/>
      <c r="H730" s="53"/>
      <c r="I730" s="53"/>
      <c r="J730" s="55"/>
      <c r="K730" s="55"/>
      <c r="L730" s="55"/>
      <c r="M730" s="55"/>
      <c r="N730" s="55"/>
      <c r="O730" s="55" t="b">
        <v>0</v>
      </c>
      <c r="P730" s="55"/>
      <c r="Q730" s="55"/>
      <c r="R730" s="55"/>
      <c r="S730" s="55"/>
      <c r="T730" s="55"/>
      <c r="U730" s="64"/>
      <c r="V730" s="55"/>
      <c r="W730" s="64"/>
      <c r="X730" s="55"/>
      <c r="Y730" s="53"/>
      <c r="Z730" s="183" t="str">
        <f>IFERROR(__xludf.DUMMYFUNCTION("QUERY('Volunteer Survey'!A729)"),"")</f>
        <v/>
      </c>
      <c r="AA730" s="183" t="str">
        <f>IFERROR(__xludf.DUMMYFUNCTION("QUERY('Volunteer Survey'!B729)"),"")</f>
        <v/>
      </c>
      <c r="AB730" s="183" t="str">
        <f>IFERROR(__xludf.DUMMYFUNCTION("QUERY('Volunteer Survey'!C729)"),"")</f>
        <v/>
      </c>
      <c r="AC730" s="183" t="str">
        <f>IFERROR(__xludf.DUMMYFUNCTION("QUERY('Volunteer Survey'!D729)"),"")</f>
        <v/>
      </c>
      <c r="AD730" s="183" t="str">
        <f>IFERROR(__xludf.DUMMYFUNCTION("QUERY('Volunteer Survey'!E729)"),"")</f>
        <v/>
      </c>
      <c r="AE730" s="183" t="str">
        <f>IFERROR(__xludf.DUMMYFUNCTION("QUERY('Volunteer Survey'!F729)"),"")</f>
        <v/>
      </c>
      <c r="AF730" s="183" t="str">
        <f>IFERROR(__xludf.DUMMYFUNCTION("QUERY('Volunteer Survey'!G729)"),"")</f>
        <v/>
      </c>
      <c r="AG730" s="183" t="str">
        <f>IFERROR(__xludf.DUMMYFUNCTION("QUERY('Volunteer Survey'!H729)"),"")</f>
        <v/>
      </c>
      <c r="AH730" s="183" t="str">
        <f>IFERROR(__xludf.DUMMYFUNCTION("QUERY('Volunteer Survey'!I729)"),"")</f>
        <v/>
      </c>
      <c r="AI730" s="183" t="str">
        <f>IFERROR(__xludf.DUMMYFUNCTION("QUERY('Volunteer Survey'!J729)"),"")</f>
        <v/>
      </c>
      <c r="AJ730" s="183" t="str">
        <f>IFERROR(__xludf.DUMMYFUNCTION("QUERY('Volunteer Survey'!K729)"),"")</f>
        <v/>
      </c>
      <c r="AK730" s="183" t="str">
        <f>IFERROR(__xludf.DUMMYFUNCTION("QUERY('Volunteer Survey'!L729)"),"")</f>
        <v/>
      </c>
      <c r="AL730" s="183" t="str">
        <f>IFERROR(__xludf.DUMMYFUNCTION("QUERY('Volunteer Survey'!M729)"),"")</f>
        <v/>
      </c>
      <c r="AM730" s="183" t="str">
        <f>IFERROR(__xludf.DUMMYFUNCTION("QUERY('Volunteer Survey'!N729)"),"")</f>
        <v/>
      </c>
      <c r="AN730" s="183" t="str">
        <f>IFERROR(__xludf.DUMMYFUNCTION("QUERY('Volunteer Survey'!O729)"),"")</f>
        <v/>
      </c>
      <c r="AO730" s="183" t="str">
        <f>IFERROR(__xludf.DUMMYFUNCTION("QUERY('Volunteer Survey'!P729)"),"")</f>
        <v/>
      </c>
    </row>
    <row r="731">
      <c r="A731" s="55"/>
      <c r="B731" s="55"/>
      <c r="C731" s="53"/>
      <c r="D731" s="55"/>
      <c r="E731" s="55"/>
      <c r="F731" s="55" t="b">
        <v>0</v>
      </c>
      <c r="G731" s="55"/>
      <c r="H731" s="53"/>
      <c r="I731" s="53"/>
      <c r="J731" s="55"/>
      <c r="K731" s="55"/>
      <c r="L731" s="55"/>
      <c r="M731" s="55"/>
      <c r="N731" s="55"/>
      <c r="O731" s="55" t="b">
        <v>0</v>
      </c>
      <c r="P731" s="55"/>
      <c r="Q731" s="55"/>
      <c r="R731" s="55"/>
      <c r="S731" s="55"/>
      <c r="T731" s="55"/>
      <c r="U731" s="64"/>
      <c r="V731" s="55"/>
      <c r="W731" s="64"/>
      <c r="X731" s="55"/>
      <c r="Y731" s="53"/>
      <c r="Z731" s="183" t="str">
        <f>IFERROR(__xludf.DUMMYFUNCTION("QUERY('Volunteer Survey'!A730)"),"")</f>
        <v/>
      </c>
      <c r="AA731" s="183" t="str">
        <f>IFERROR(__xludf.DUMMYFUNCTION("QUERY('Volunteer Survey'!B730)"),"")</f>
        <v/>
      </c>
      <c r="AB731" s="183" t="str">
        <f>IFERROR(__xludf.DUMMYFUNCTION("QUERY('Volunteer Survey'!C730)"),"")</f>
        <v/>
      </c>
      <c r="AC731" s="183" t="str">
        <f>IFERROR(__xludf.DUMMYFUNCTION("QUERY('Volunteer Survey'!D730)"),"")</f>
        <v/>
      </c>
      <c r="AD731" s="183" t="str">
        <f>IFERROR(__xludf.DUMMYFUNCTION("QUERY('Volunteer Survey'!E730)"),"")</f>
        <v/>
      </c>
      <c r="AE731" s="183" t="str">
        <f>IFERROR(__xludf.DUMMYFUNCTION("QUERY('Volunteer Survey'!F730)"),"")</f>
        <v/>
      </c>
      <c r="AF731" s="183" t="str">
        <f>IFERROR(__xludf.DUMMYFUNCTION("QUERY('Volunteer Survey'!G730)"),"")</f>
        <v/>
      </c>
      <c r="AG731" s="183" t="str">
        <f>IFERROR(__xludf.DUMMYFUNCTION("QUERY('Volunteer Survey'!H730)"),"")</f>
        <v/>
      </c>
      <c r="AH731" s="183" t="str">
        <f>IFERROR(__xludf.DUMMYFUNCTION("QUERY('Volunteer Survey'!I730)"),"")</f>
        <v/>
      </c>
      <c r="AI731" s="183" t="str">
        <f>IFERROR(__xludf.DUMMYFUNCTION("QUERY('Volunteer Survey'!J730)"),"")</f>
        <v/>
      </c>
      <c r="AJ731" s="183" t="str">
        <f>IFERROR(__xludf.DUMMYFUNCTION("QUERY('Volunteer Survey'!K730)"),"")</f>
        <v/>
      </c>
      <c r="AK731" s="183" t="str">
        <f>IFERROR(__xludf.DUMMYFUNCTION("QUERY('Volunteer Survey'!L730)"),"")</f>
        <v/>
      </c>
      <c r="AL731" s="183" t="str">
        <f>IFERROR(__xludf.DUMMYFUNCTION("QUERY('Volunteer Survey'!M730)"),"")</f>
        <v/>
      </c>
      <c r="AM731" s="183" t="str">
        <f>IFERROR(__xludf.DUMMYFUNCTION("QUERY('Volunteer Survey'!N730)"),"")</f>
        <v/>
      </c>
      <c r="AN731" s="183" t="str">
        <f>IFERROR(__xludf.DUMMYFUNCTION("QUERY('Volunteer Survey'!O730)"),"")</f>
        <v/>
      </c>
      <c r="AO731" s="183" t="str">
        <f>IFERROR(__xludf.DUMMYFUNCTION("QUERY('Volunteer Survey'!P730)"),"")</f>
        <v/>
      </c>
    </row>
    <row r="732">
      <c r="A732" s="55"/>
      <c r="B732" s="55"/>
      <c r="C732" s="53"/>
      <c r="D732" s="55"/>
      <c r="E732" s="55"/>
      <c r="F732" s="55" t="b">
        <v>0</v>
      </c>
      <c r="G732" s="55"/>
      <c r="H732" s="53"/>
      <c r="I732" s="53"/>
      <c r="J732" s="55"/>
      <c r="K732" s="55"/>
      <c r="L732" s="55"/>
      <c r="M732" s="55"/>
      <c r="N732" s="55"/>
      <c r="O732" s="55" t="b">
        <v>0</v>
      </c>
      <c r="P732" s="55"/>
      <c r="Q732" s="55"/>
      <c r="R732" s="55"/>
      <c r="S732" s="55"/>
      <c r="T732" s="55"/>
      <c r="U732" s="64"/>
      <c r="V732" s="55"/>
      <c r="W732" s="64"/>
      <c r="X732" s="55"/>
      <c r="Y732" s="53"/>
      <c r="Z732" s="183" t="str">
        <f>IFERROR(__xludf.DUMMYFUNCTION("QUERY('Volunteer Survey'!A731)"),"")</f>
        <v/>
      </c>
      <c r="AA732" s="183" t="str">
        <f>IFERROR(__xludf.DUMMYFUNCTION("QUERY('Volunteer Survey'!B731)"),"")</f>
        <v/>
      </c>
      <c r="AB732" s="183" t="str">
        <f>IFERROR(__xludf.DUMMYFUNCTION("QUERY('Volunteer Survey'!C731)"),"")</f>
        <v/>
      </c>
      <c r="AC732" s="183" t="str">
        <f>IFERROR(__xludf.DUMMYFUNCTION("QUERY('Volunteer Survey'!D731)"),"")</f>
        <v/>
      </c>
      <c r="AD732" s="183" t="str">
        <f>IFERROR(__xludf.DUMMYFUNCTION("QUERY('Volunteer Survey'!E731)"),"")</f>
        <v/>
      </c>
      <c r="AE732" s="183" t="str">
        <f>IFERROR(__xludf.DUMMYFUNCTION("QUERY('Volunteer Survey'!F731)"),"")</f>
        <v/>
      </c>
      <c r="AF732" s="183" t="str">
        <f>IFERROR(__xludf.DUMMYFUNCTION("QUERY('Volunteer Survey'!G731)"),"")</f>
        <v/>
      </c>
      <c r="AG732" s="183" t="str">
        <f>IFERROR(__xludf.DUMMYFUNCTION("QUERY('Volunteer Survey'!H731)"),"")</f>
        <v/>
      </c>
      <c r="AH732" s="183" t="str">
        <f>IFERROR(__xludf.DUMMYFUNCTION("QUERY('Volunteer Survey'!I731)"),"")</f>
        <v/>
      </c>
      <c r="AI732" s="183" t="str">
        <f>IFERROR(__xludf.DUMMYFUNCTION("QUERY('Volunteer Survey'!J731)"),"")</f>
        <v/>
      </c>
      <c r="AJ732" s="183" t="str">
        <f>IFERROR(__xludf.DUMMYFUNCTION("QUERY('Volunteer Survey'!K731)"),"")</f>
        <v/>
      </c>
      <c r="AK732" s="183" t="str">
        <f>IFERROR(__xludf.DUMMYFUNCTION("QUERY('Volunteer Survey'!L731)"),"")</f>
        <v/>
      </c>
      <c r="AL732" s="183" t="str">
        <f>IFERROR(__xludf.DUMMYFUNCTION("QUERY('Volunteer Survey'!M731)"),"")</f>
        <v/>
      </c>
      <c r="AM732" s="183" t="str">
        <f>IFERROR(__xludf.DUMMYFUNCTION("QUERY('Volunteer Survey'!N731)"),"")</f>
        <v/>
      </c>
      <c r="AN732" s="183" t="str">
        <f>IFERROR(__xludf.DUMMYFUNCTION("QUERY('Volunteer Survey'!O731)"),"")</f>
        <v/>
      </c>
      <c r="AO732" s="183" t="str">
        <f>IFERROR(__xludf.DUMMYFUNCTION("QUERY('Volunteer Survey'!P731)"),"")</f>
        <v/>
      </c>
    </row>
    <row r="733">
      <c r="A733" s="55"/>
      <c r="B733" s="55"/>
      <c r="C733" s="53"/>
      <c r="D733" s="55"/>
      <c r="E733" s="55"/>
      <c r="F733" s="55" t="b">
        <v>0</v>
      </c>
      <c r="G733" s="55"/>
      <c r="H733" s="53"/>
      <c r="I733" s="53"/>
      <c r="J733" s="55"/>
      <c r="K733" s="55"/>
      <c r="L733" s="55"/>
      <c r="M733" s="55"/>
      <c r="N733" s="55"/>
      <c r="O733" s="55" t="b">
        <v>0</v>
      </c>
      <c r="P733" s="55"/>
      <c r="Q733" s="55"/>
      <c r="R733" s="55"/>
      <c r="S733" s="55"/>
      <c r="T733" s="55"/>
      <c r="U733" s="64"/>
      <c r="V733" s="55"/>
      <c r="W733" s="64"/>
      <c r="X733" s="55"/>
      <c r="Y733" s="53"/>
      <c r="Z733" s="183" t="str">
        <f>IFERROR(__xludf.DUMMYFUNCTION("QUERY('Volunteer Survey'!A732)"),"")</f>
        <v/>
      </c>
      <c r="AA733" s="183" t="str">
        <f>IFERROR(__xludf.DUMMYFUNCTION("QUERY('Volunteer Survey'!B732)"),"")</f>
        <v/>
      </c>
      <c r="AB733" s="183" t="str">
        <f>IFERROR(__xludf.DUMMYFUNCTION("QUERY('Volunteer Survey'!C732)"),"")</f>
        <v/>
      </c>
      <c r="AC733" s="183" t="str">
        <f>IFERROR(__xludf.DUMMYFUNCTION("QUERY('Volunteer Survey'!D732)"),"")</f>
        <v/>
      </c>
      <c r="AD733" s="183" t="str">
        <f>IFERROR(__xludf.DUMMYFUNCTION("QUERY('Volunteer Survey'!E732)"),"")</f>
        <v/>
      </c>
      <c r="AE733" s="183" t="str">
        <f>IFERROR(__xludf.DUMMYFUNCTION("QUERY('Volunteer Survey'!F732)"),"")</f>
        <v/>
      </c>
      <c r="AF733" s="183" t="str">
        <f>IFERROR(__xludf.DUMMYFUNCTION("QUERY('Volunteer Survey'!G732)"),"")</f>
        <v/>
      </c>
      <c r="AG733" s="183" t="str">
        <f>IFERROR(__xludf.DUMMYFUNCTION("QUERY('Volunteer Survey'!H732)"),"")</f>
        <v/>
      </c>
      <c r="AH733" s="183" t="str">
        <f>IFERROR(__xludf.DUMMYFUNCTION("QUERY('Volunteer Survey'!I732)"),"")</f>
        <v/>
      </c>
      <c r="AI733" s="183" t="str">
        <f>IFERROR(__xludf.DUMMYFUNCTION("QUERY('Volunteer Survey'!J732)"),"")</f>
        <v/>
      </c>
      <c r="AJ733" s="183" t="str">
        <f>IFERROR(__xludf.DUMMYFUNCTION("QUERY('Volunteer Survey'!K732)"),"")</f>
        <v/>
      </c>
      <c r="AK733" s="183" t="str">
        <f>IFERROR(__xludf.DUMMYFUNCTION("QUERY('Volunteer Survey'!L732)"),"")</f>
        <v/>
      </c>
      <c r="AL733" s="183" t="str">
        <f>IFERROR(__xludf.DUMMYFUNCTION("QUERY('Volunteer Survey'!M732)"),"")</f>
        <v/>
      </c>
      <c r="AM733" s="183" t="str">
        <f>IFERROR(__xludf.DUMMYFUNCTION("QUERY('Volunteer Survey'!N732)"),"")</f>
        <v/>
      </c>
      <c r="AN733" s="183" t="str">
        <f>IFERROR(__xludf.DUMMYFUNCTION("QUERY('Volunteer Survey'!O732)"),"")</f>
        <v/>
      </c>
      <c r="AO733" s="183" t="str">
        <f>IFERROR(__xludf.DUMMYFUNCTION("QUERY('Volunteer Survey'!P732)"),"")</f>
        <v/>
      </c>
    </row>
    <row r="734">
      <c r="A734" s="55"/>
      <c r="B734" s="55"/>
      <c r="C734" s="53"/>
      <c r="D734" s="55"/>
      <c r="E734" s="55"/>
      <c r="F734" s="55" t="b">
        <v>0</v>
      </c>
      <c r="G734" s="55"/>
      <c r="H734" s="53"/>
      <c r="I734" s="53"/>
      <c r="J734" s="55"/>
      <c r="K734" s="55"/>
      <c r="L734" s="55"/>
      <c r="M734" s="55"/>
      <c r="N734" s="55"/>
      <c r="O734" s="55" t="b">
        <v>0</v>
      </c>
      <c r="P734" s="55"/>
      <c r="Q734" s="55"/>
      <c r="R734" s="55"/>
      <c r="S734" s="55"/>
      <c r="T734" s="55"/>
      <c r="U734" s="64"/>
      <c r="V734" s="55"/>
      <c r="W734" s="64"/>
      <c r="X734" s="55"/>
      <c r="Y734" s="53"/>
      <c r="Z734" s="183" t="str">
        <f>IFERROR(__xludf.DUMMYFUNCTION("QUERY('Volunteer Survey'!A733)"),"")</f>
        <v/>
      </c>
      <c r="AA734" s="183" t="str">
        <f>IFERROR(__xludf.DUMMYFUNCTION("QUERY('Volunteer Survey'!B733)"),"")</f>
        <v/>
      </c>
      <c r="AB734" s="183" t="str">
        <f>IFERROR(__xludf.DUMMYFUNCTION("QUERY('Volunteer Survey'!C733)"),"")</f>
        <v/>
      </c>
      <c r="AC734" s="183" t="str">
        <f>IFERROR(__xludf.DUMMYFUNCTION("QUERY('Volunteer Survey'!D733)"),"")</f>
        <v/>
      </c>
      <c r="AD734" s="183" t="str">
        <f>IFERROR(__xludf.DUMMYFUNCTION("QUERY('Volunteer Survey'!E733)"),"")</f>
        <v/>
      </c>
      <c r="AE734" s="183" t="str">
        <f>IFERROR(__xludf.DUMMYFUNCTION("QUERY('Volunteer Survey'!F733)"),"")</f>
        <v/>
      </c>
      <c r="AF734" s="183" t="str">
        <f>IFERROR(__xludf.DUMMYFUNCTION("QUERY('Volunteer Survey'!G733)"),"")</f>
        <v/>
      </c>
      <c r="AG734" s="183" t="str">
        <f>IFERROR(__xludf.DUMMYFUNCTION("QUERY('Volunteer Survey'!H733)"),"")</f>
        <v/>
      </c>
      <c r="AH734" s="183" t="str">
        <f>IFERROR(__xludf.DUMMYFUNCTION("QUERY('Volunteer Survey'!I733)"),"")</f>
        <v/>
      </c>
      <c r="AI734" s="183" t="str">
        <f>IFERROR(__xludf.DUMMYFUNCTION("QUERY('Volunteer Survey'!J733)"),"")</f>
        <v/>
      </c>
      <c r="AJ734" s="183" t="str">
        <f>IFERROR(__xludf.DUMMYFUNCTION("QUERY('Volunteer Survey'!K733)"),"")</f>
        <v/>
      </c>
      <c r="AK734" s="183" t="str">
        <f>IFERROR(__xludf.DUMMYFUNCTION("QUERY('Volunteer Survey'!L733)"),"")</f>
        <v/>
      </c>
      <c r="AL734" s="183" t="str">
        <f>IFERROR(__xludf.DUMMYFUNCTION("QUERY('Volunteer Survey'!M733)"),"")</f>
        <v/>
      </c>
      <c r="AM734" s="183" t="str">
        <f>IFERROR(__xludf.DUMMYFUNCTION("QUERY('Volunteer Survey'!N733)"),"")</f>
        <v/>
      </c>
      <c r="AN734" s="183" t="str">
        <f>IFERROR(__xludf.DUMMYFUNCTION("QUERY('Volunteer Survey'!O733)"),"")</f>
        <v/>
      </c>
      <c r="AO734" s="183" t="str">
        <f>IFERROR(__xludf.DUMMYFUNCTION("QUERY('Volunteer Survey'!P733)"),"")</f>
        <v/>
      </c>
    </row>
    <row r="735">
      <c r="A735" s="55"/>
      <c r="B735" s="55"/>
      <c r="C735" s="53"/>
      <c r="D735" s="55"/>
      <c r="E735" s="55"/>
      <c r="F735" s="55" t="b">
        <v>0</v>
      </c>
      <c r="G735" s="55"/>
      <c r="H735" s="53"/>
      <c r="I735" s="53"/>
      <c r="J735" s="55"/>
      <c r="K735" s="55"/>
      <c r="L735" s="55"/>
      <c r="M735" s="55"/>
      <c r="N735" s="55"/>
      <c r="O735" s="55" t="b">
        <v>0</v>
      </c>
      <c r="P735" s="55"/>
      <c r="Q735" s="55"/>
      <c r="R735" s="55"/>
      <c r="S735" s="55"/>
      <c r="T735" s="55"/>
      <c r="U735" s="64"/>
      <c r="V735" s="55"/>
      <c r="W735" s="64"/>
      <c r="X735" s="55"/>
      <c r="Y735" s="53"/>
      <c r="Z735" s="183" t="str">
        <f>IFERROR(__xludf.DUMMYFUNCTION("QUERY('Volunteer Survey'!A734)"),"")</f>
        <v/>
      </c>
      <c r="AA735" s="183" t="str">
        <f>IFERROR(__xludf.DUMMYFUNCTION("QUERY('Volunteer Survey'!B734)"),"")</f>
        <v/>
      </c>
      <c r="AB735" s="183" t="str">
        <f>IFERROR(__xludf.DUMMYFUNCTION("QUERY('Volunteer Survey'!C734)"),"")</f>
        <v/>
      </c>
      <c r="AC735" s="183" t="str">
        <f>IFERROR(__xludf.DUMMYFUNCTION("QUERY('Volunteer Survey'!D734)"),"")</f>
        <v/>
      </c>
      <c r="AD735" s="183" t="str">
        <f>IFERROR(__xludf.DUMMYFUNCTION("QUERY('Volunteer Survey'!E734)"),"")</f>
        <v/>
      </c>
      <c r="AE735" s="183" t="str">
        <f>IFERROR(__xludf.DUMMYFUNCTION("QUERY('Volunteer Survey'!F734)"),"")</f>
        <v/>
      </c>
      <c r="AF735" s="183" t="str">
        <f>IFERROR(__xludf.DUMMYFUNCTION("QUERY('Volunteer Survey'!G734)"),"")</f>
        <v/>
      </c>
      <c r="AG735" s="183" t="str">
        <f>IFERROR(__xludf.DUMMYFUNCTION("QUERY('Volunteer Survey'!H734)"),"")</f>
        <v/>
      </c>
      <c r="AH735" s="183" t="str">
        <f>IFERROR(__xludf.DUMMYFUNCTION("QUERY('Volunteer Survey'!I734)"),"")</f>
        <v/>
      </c>
      <c r="AI735" s="183" t="str">
        <f>IFERROR(__xludf.DUMMYFUNCTION("QUERY('Volunteer Survey'!J734)"),"")</f>
        <v/>
      </c>
      <c r="AJ735" s="183" t="str">
        <f>IFERROR(__xludf.DUMMYFUNCTION("QUERY('Volunteer Survey'!K734)"),"")</f>
        <v/>
      </c>
      <c r="AK735" s="183" t="str">
        <f>IFERROR(__xludf.DUMMYFUNCTION("QUERY('Volunteer Survey'!L734)"),"")</f>
        <v/>
      </c>
      <c r="AL735" s="183" t="str">
        <f>IFERROR(__xludf.DUMMYFUNCTION("QUERY('Volunteer Survey'!M734)"),"")</f>
        <v/>
      </c>
      <c r="AM735" s="183" t="str">
        <f>IFERROR(__xludf.DUMMYFUNCTION("QUERY('Volunteer Survey'!N734)"),"")</f>
        <v/>
      </c>
      <c r="AN735" s="183" t="str">
        <f>IFERROR(__xludf.DUMMYFUNCTION("QUERY('Volunteer Survey'!O734)"),"")</f>
        <v/>
      </c>
      <c r="AO735" s="183" t="str">
        <f>IFERROR(__xludf.DUMMYFUNCTION("QUERY('Volunteer Survey'!P734)"),"")</f>
        <v/>
      </c>
    </row>
    <row r="736">
      <c r="A736" s="55"/>
      <c r="B736" s="55"/>
      <c r="C736" s="53"/>
      <c r="D736" s="55"/>
      <c r="E736" s="55"/>
      <c r="F736" s="55" t="b">
        <v>0</v>
      </c>
      <c r="G736" s="55"/>
      <c r="H736" s="53"/>
      <c r="I736" s="53"/>
      <c r="J736" s="55"/>
      <c r="K736" s="55"/>
      <c r="L736" s="55"/>
      <c r="M736" s="55"/>
      <c r="N736" s="55"/>
      <c r="O736" s="55" t="b">
        <v>0</v>
      </c>
      <c r="P736" s="55"/>
      <c r="Q736" s="55"/>
      <c r="R736" s="55"/>
      <c r="S736" s="55"/>
      <c r="T736" s="55"/>
      <c r="U736" s="64"/>
      <c r="V736" s="55"/>
      <c r="W736" s="64"/>
      <c r="X736" s="55"/>
      <c r="Y736" s="53"/>
      <c r="Z736" s="183" t="str">
        <f>IFERROR(__xludf.DUMMYFUNCTION("QUERY('Volunteer Survey'!A735)"),"")</f>
        <v/>
      </c>
      <c r="AA736" s="183" t="str">
        <f>IFERROR(__xludf.DUMMYFUNCTION("QUERY('Volunteer Survey'!B735)"),"")</f>
        <v/>
      </c>
      <c r="AB736" s="183" t="str">
        <f>IFERROR(__xludf.DUMMYFUNCTION("QUERY('Volunteer Survey'!C735)"),"")</f>
        <v/>
      </c>
      <c r="AC736" s="183" t="str">
        <f>IFERROR(__xludf.DUMMYFUNCTION("QUERY('Volunteer Survey'!D735)"),"")</f>
        <v/>
      </c>
      <c r="AD736" s="183" t="str">
        <f>IFERROR(__xludf.DUMMYFUNCTION("QUERY('Volunteer Survey'!E735)"),"")</f>
        <v/>
      </c>
      <c r="AE736" s="183" t="str">
        <f>IFERROR(__xludf.DUMMYFUNCTION("QUERY('Volunteer Survey'!F735)"),"")</f>
        <v/>
      </c>
      <c r="AF736" s="183" t="str">
        <f>IFERROR(__xludf.DUMMYFUNCTION("QUERY('Volunteer Survey'!G735)"),"")</f>
        <v/>
      </c>
      <c r="AG736" s="183" t="str">
        <f>IFERROR(__xludf.DUMMYFUNCTION("QUERY('Volunteer Survey'!H735)"),"")</f>
        <v/>
      </c>
      <c r="AH736" s="183" t="str">
        <f>IFERROR(__xludf.DUMMYFUNCTION("QUERY('Volunteer Survey'!I735)"),"")</f>
        <v/>
      </c>
      <c r="AI736" s="183" t="str">
        <f>IFERROR(__xludf.DUMMYFUNCTION("QUERY('Volunteer Survey'!J735)"),"")</f>
        <v/>
      </c>
      <c r="AJ736" s="183" t="str">
        <f>IFERROR(__xludf.DUMMYFUNCTION("QUERY('Volunteer Survey'!K735)"),"")</f>
        <v/>
      </c>
      <c r="AK736" s="183" t="str">
        <f>IFERROR(__xludf.DUMMYFUNCTION("QUERY('Volunteer Survey'!L735)"),"")</f>
        <v/>
      </c>
      <c r="AL736" s="183" t="str">
        <f>IFERROR(__xludf.DUMMYFUNCTION("QUERY('Volunteer Survey'!M735)"),"")</f>
        <v/>
      </c>
      <c r="AM736" s="183" t="str">
        <f>IFERROR(__xludf.DUMMYFUNCTION("QUERY('Volunteer Survey'!N735)"),"")</f>
        <v/>
      </c>
      <c r="AN736" s="183" t="str">
        <f>IFERROR(__xludf.DUMMYFUNCTION("QUERY('Volunteer Survey'!O735)"),"")</f>
        <v/>
      </c>
      <c r="AO736" s="183" t="str">
        <f>IFERROR(__xludf.DUMMYFUNCTION("QUERY('Volunteer Survey'!P735)"),"")</f>
        <v/>
      </c>
    </row>
    <row r="737">
      <c r="A737" s="55"/>
      <c r="B737" s="55"/>
      <c r="C737" s="53"/>
      <c r="D737" s="55"/>
      <c r="E737" s="55"/>
      <c r="F737" s="55" t="b">
        <v>0</v>
      </c>
      <c r="G737" s="55"/>
      <c r="H737" s="53"/>
      <c r="I737" s="53"/>
      <c r="J737" s="55"/>
      <c r="K737" s="55"/>
      <c r="L737" s="55"/>
      <c r="M737" s="55"/>
      <c r="N737" s="55"/>
      <c r="O737" s="55" t="b">
        <v>0</v>
      </c>
      <c r="P737" s="55"/>
      <c r="Q737" s="55"/>
      <c r="R737" s="55"/>
      <c r="S737" s="55"/>
      <c r="T737" s="55"/>
      <c r="U737" s="64"/>
      <c r="V737" s="55"/>
      <c r="W737" s="64"/>
      <c r="X737" s="55"/>
      <c r="Y737" s="53"/>
      <c r="Z737" s="183" t="str">
        <f>IFERROR(__xludf.DUMMYFUNCTION("QUERY('Volunteer Survey'!A736)"),"")</f>
        <v/>
      </c>
      <c r="AA737" s="183" t="str">
        <f>IFERROR(__xludf.DUMMYFUNCTION("QUERY('Volunteer Survey'!B736)"),"")</f>
        <v/>
      </c>
      <c r="AB737" s="183" t="str">
        <f>IFERROR(__xludf.DUMMYFUNCTION("QUERY('Volunteer Survey'!C736)"),"")</f>
        <v/>
      </c>
      <c r="AC737" s="183" t="str">
        <f>IFERROR(__xludf.DUMMYFUNCTION("QUERY('Volunteer Survey'!D736)"),"")</f>
        <v/>
      </c>
      <c r="AD737" s="183" t="str">
        <f>IFERROR(__xludf.DUMMYFUNCTION("QUERY('Volunteer Survey'!E736)"),"")</f>
        <v/>
      </c>
      <c r="AE737" s="183" t="str">
        <f>IFERROR(__xludf.DUMMYFUNCTION("QUERY('Volunteer Survey'!F736)"),"")</f>
        <v/>
      </c>
      <c r="AF737" s="183" t="str">
        <f>IFERROR(__xludf.DUMMYFUNCTION("QUERY('Volunteer Survey'!G736)"),"")</f>
        <v/>
      </c>
      <c r="AG737" s="183" t="str">
        <f>IFERROR(__xludf.DUMMYFUNCTION("QUERY('Volunteer Survey'!H736)"),"")</f>
        <v/>
      </c>
      <c r="AH737" s="183" t="str">
        <f>IFERROR(__xludf.DUMMYFUNCTION("QUERY('Volunteer Survey'!I736)"),"")</f>
        <v/>
      </c>
      <c r="AI737" s="183" t="str">
        <f>IFERROR(__xludf.DUMMYFUNCTION("QUERY('Volunteer Survey'!J736)"),"")</f>
        <v/>
      </c>
      <c r="AJ737" s="183" t="str">
        <f>IFERROR(__xludf.DUMMYFUNCTION("QUERY('Volunteer Survey'!K736)"),"")</f>
        <v/>
      </c>
      <c r="AK737" s="183" t="str">
        <f>IFERROR(__xludf.DUMMYFUNCTION("QUERY('Volunteer Survey'!L736)"),"")</f>
        <v/>
      </c>
      <c r="AL737" s="183" t="str">
        <f>IFERROR(__xludf.DUMMYFUNCTION("QUERY('Volunteer Survey'!M736)"),"")</f>
        <v/>
      </c>
      <c r="AM737" s="183" t="str">
        <f>IFERROR(__xludf.DUMMYFUNCTION("QUERY('Volunteer Survey'!N736)"),"")</f>
        <v/>
      </c>
      <c r="AN737" s="183" t="str">
        <f>IFERROR(__xludf.DUMMYFUNCTION("QUERY('Volunteer Survey'!O736)"),"")</f>
        <v/>
      </c>
      <c r="AO737" s="183" t="str">
        <f>IFERROR(__xludf.DUMMYFUNCTION("QUERY('Volunteer Survey'!P736)"),"")</f>
        <v/>
      </c>
    </row>
    <row r="738">
      <c r="A738" s="55"/>
      <c r="B738" s="55"/>
      <c r="C738" s="53"/>
      <c r="D738" s="55"/>
      <c r="E738" s="55"/>
      <c r="F738" s="55" t="b">
        <v>0</v>
      </c>
      <c r="G738" s="55"/>
      <c r="H738" s="53"/>
      <c r="I738" s="53"/>
      <c r="J738" s="55"/>
      <c r="K738" s="55"/>
      <c r="L738" s="55"/>
      <c r="M738" s="55"/>
      <c r="N738" s="55"/>
      <c r="O738" s="55" t="b">
        <v>0</v>
      </c>
      <c r="P738" s="55"/>
      <c r="Q738" s="55"/>
      <c r="R738" s="55"/>
      <c r="S738" s="55"/>
      <c r="T738" s="55"/>
      <c r="U738" s="64"/>
      <c r="V738" s="55"/>
      <c r="W738" s="64"/>
      <c r="X738" s="55"/>
      <c r="Y738" s="53"/>
      <c r="Z738" s="183" t="str">
        <f>IFERROR(__xludf.DUMMYFUNCTION("QUERY('Volunteer Survey'!A737)"),"")</f>
        <v/>
      </c>
      <c r="AA738" s="183" t="str">
        <f>IFERROR(__xludf.DUMMYFUNCTION("QUERY('Volunteer Survey'!B737)"),"")</f>
        <v/>
      </c>
      <c r="AB738" s="183" t="str">
        <f>IFERROR(__xludf.DUMMYFUNCTION("QUERY('Volunteer Survey'!C737)"),"")</f>
        <v/>
      </c>
      <c r="AC738" s="183" t="str">
        <f>IFERROR(__xludf.DUMMYFUNCTION("QUERY('Volunteer Survey'!D737)"),"")</f>
        <v/>
      </c>
      <c r="AD738" s="183" t="str">
        <f>IFERROR(__xludf.DUMMYFUNCTION("QUERY('Volunteer Survey'!E737)"),"")</f>
        <v/>
      </c>
      <c r="AE738" s="183" t="str">
        <f>IFERROR(__xludf.DUMMYFUNCTION("QUERY('Volunteer Survey'!F737)"),"")</f>
        <v/>
      </c>
      <c r="AF738" s="183" t="str">
        <f>IFERROR(__xludf.DUMMYFUNCTION("QUERY('Volunteer Survey'!G737)"),"")</f>
        <v/>
      </c>
      <c r="AG738" s="183" t="str">
        <f>IFERROR(__xludf.DUMMYFUNCTION("QUERY('Volunteer Survey'!H737)"),"")</f>
        <v/>
      </c>
      <c r="AH738" s="183" t="str">
        <f>IFERROR(__xludf.DUMMYFUNCTION("QUERY('Volunteer Survey'!I737)"),"")</f>
        <v/>
      </c>
      <c r="AI738" s="183" t="str">
        <f>IFERROR(__xludf.DUMMYFUNCTION("QUERY('Volunteer Survey'!J737)"),"")</f>
        <v/>
      </c>
      <c r="AJ738" s="183" t="str">
        <f>IFERROR(__xludf.DUMMYFUNCTION("QUERY('Volunteer Survey'!K737)"),"")</f>
        <v/>
      </c>
      <c r="AK738" s="183" t="str">
        <f>IFERROR(__xludf.DUMMYFUNCTION("QUERY('Volunteer Survey'!L737)"),"")</f>
        <v/>
      </c>
      <c r="AL738" s="183" t="str">
        <f>IFERROR(__xludf.DUMMYFUNCTION("QUERY('Volunteer Survey'!M737)"),"")</f>
        <v/>
      </c>
      <c r="AM738" s="183" t="str">
        <f>IFERROR(__xludf.DUMMYFUNCTION("QUERY('Volunteer Survey'!N737)"),"")</f>
        <v/>
      </c>
      <c r="AN738" s="183" t="str">
        <f>IFERROR(__xludf.DUMMYFUNCTION("QUERY('Volunteer Survey'!O737)"),"")</f>
        <v/>
      </c>
      <c r="AO738" s="183" t="str">
        <f>IFERROR(__xludf.DUMMYFUNCTION("QUERY('Volunteer Survey'!P737)"),"")</f>
        <v/>
      </c>
    </row>
    <row r="739">
      <c r="A739" s="55"/>
      <c r="B739" s="55"/>
      <c r="C739" s="53"/>
      <c r="D739" s="55"/>
      <c r="E739" s="55"/>
      <c r="F739" s="55" t="b">
        <v>0</v>
      </c>
      <c r="G739" s="55"/>
      <c r="H739" s="53"/>
      <c r="I739" s="53"/>
      <c r="J739" s="55"/>
      <c r="K739" s="55"/>
      <c r="L739" s="55"/>
      <c r="M739" s="55"/>
      <c r="N739" s="55"/>
      <c r="O739" s="55" t="b">
        <v>0</v>
      </c>
      <c r="P739" s="55"/>
      <c r="Q739" s="55"/>
      <c r="R739" s="55"/>
      <c r="S739" s="55"/>
      <c r="T739" s="55"/>
      <c r="U739" s="64"/>
      <c r="V739" s="55"/>
      <c r="W739" s="64"/>
      <c r="X739" s="55"/>
      <c r="Y739" s="53"/>
      <c r="Z739" s="183" t="str">
        <f>IFERROR(__xludf.DUMMYFUNCTION("QUERY('Volunteer Survey'!A738)"),"")</f>
        <v/>
      </c>
      <c r="AA739" s="183" t="str">
        <f>IFERROR(__xludf.DUMMYFUNCTION("QUERY('Volunteer Survey'!B738)"),"")</f>
        <v/>
      </c>
      <c r="AB739" s="183" t="str">
        <f>IFERROR(__xludf.DUMMYFUNCTION("QUERY('Volunteer Survey'!C738)"),"")</f>
        <v/>
      </c>
      <c r="AC739" s="183" t="str">
        <f>IFERROR(__xludf.DUMMYFUNCTION("QUERY('Volunteer Survey'!D738)"),"")</f>
        <v/>
      </c>
      <c r="AD739" s="183" t="str">
        <f>IFERROR(__xludf.DUMMYFUNCTION("QUERY('Volunteer Survey'!E738)"),"")</f>
        <v/>
      </c>
      <c r="AE739" s="183" t="str">
        <f>IFERROR(__xludf.DUMMYFUNCTION("QUERY('Volunteer Survey'!F738)"),"")</f>
        <v/>
      </c>
      <c r="AF739" s="183" t="str">
        <f>IFERROR(__xludf.DUMMYFUNCTION("QUERY('Volunteer Survey'!G738)"),"")</f>
        <v/>
      </c>
      <c r="AG739" s="183" t="str">
        <f>IFERROR(__xludf.DUMMYFUNCTION("QUERY('Volunteer Survey'!H738)"),"")</f>
        <v/>
      </c>
      <c r="AH739" s="183" t="str">
        <f>IFERROR(__xludf.DUMMYFUNCTION("QUERY('Volunteer Survey'!I738)"),"")</f>
        <v/>
      </c>
      <c r="AI739" s="183" t="str">
        <f>IFERROR(__xludf.DUMMYFUNCTION("QUERY('Volunteer Survey'!J738)"),"")</f>
        <v/>
      </c>
      <c r="AJ739" s="183" t="str">
        <f>IFERROR(__xludf.DUMMYFUNCTION("QUERY('Volunteer Survey'!K738)"),"")</f>
        <v/>
      </c>
      <c r="AK739" s="183" t="str">
        <f>IFERROR(__xludf.DUMMYFUNCTION("QUERY('Volunteer Survey'!L738)"),"")</f>
        <v/>
      </c>
      <c r="AL739" s="183" t="str">
        <f>IFERROR(__xludf.DUMMYFUNCTION("QUERY('Volunteer Survey'!M738)"),"")</f>
        <v/>
      </c>
      <c r="AM739" s="183" t="str">
        <f>IFERROR(__xludf.DUMMYFUNCTION("QUERY('Volunteer Survey'!N738)"),"")</f>
        <v/>
      </c>
      <c r="AN739" s="183" t="str">
        <f>IFERROR(__xludf.DUMMYFUNCTION("QUERY('Volunteer Survey'!O738)"),"")</f>
        <v/>
      </c>
      <c r="AO739" s="183" t="str">
        <f>IFERROR(__xludf.DUMMYFUNCTION("QUERY('Volunteer Survey'!P738)"),"")</f>
        <v/>
      </c>
    </row>
    <row r="740">
      <c r="A740" s="55"/>
      <c r="B740" s="55"/>
      <c r="C740" s="53"/>
      <c r="D740" s="55"/>
      <c r="E740" s="55"/>
      <c r="F740" s="55" t="b">
        <v>0</v>
      </c>
      <c r="G740" s="55"/>
      <c r="H740" s="53"/>
      <c r="I740" s="53"/>
      <c r="J740" s="55"/>
      <c r="K740" s="55"/>
      <c r="L740" s="55"/>
      <c r="M740" s="55"/>
      <c r="N740" s="55"/>
      <c r="O740" s="55" t="b">
        <v>0</v>
      </c>
      <c r="P740" s="55"/>
      <c r="Q740" s="55"/>
      <c r="R740" s="55"/>
      <c r="S740" s="55"/>
      <c r="T740" s="55"/>
      <c r="U740" s="64"/>
      <c r="V740" s="55"/>
      <c r="W740" s="64"/>
      <c r="X740" s="55"/>
      <c r="Y740" s="53"/>
      <c r="Z740" s="183" t="str">
        <f>IFERROR(__xludf.DUMMYFUNCTION("QUERY('Volunteer Survey'!A739)"),"")</f>
        <v/>
      </c>
      <c r="AA740" s="183" t="str">
        <f>IFERROR(__xludf.DUMMYFUNCTION("QUERY('Volunteer Survey'!B739)"),"")</f>
        <v/>
      </c>
      <c r="AB740" s="183" t="str">
        <f>IFERROR(__xludf.DUMMYFUNCTION("QUERY('Volunteer Survey'!C739)"),"")</f>
        <v/>
      </c>
      <c r="AC740" s="183" t="str">
        <f>IFERROR(__xludf.DUMMYFUNCTION("QUERY('Volunteer Survey'!D739)"),"")</f>
        <v/>
      </c>
      <c r="AD740" s="183" t="str">
        <f>IFERROR(__xludf.DUMMYFUNCTION("QUERY('Volunteer Survey'!E739)"),"")</f>
        <v/>
      </c>
      <c r="AE740" s="183" t="str">
        <f>IFERROR(__xludf.DUMMYFUNCTION("QUERY('Volunteer Survey'!F739)"),"")</f>
        <v/>
      </c>
      <c r="AF740" s="183" t="str">
        <f>IFERROR(__xludf.DUMMYFUNCTION("QUERY('Volunteer Survey'!G739)"),"")</f>
        <v/>
      </c>
      <c r="AG740" s="183" t="str">
        <f>IFERROR(__xludf.DUMMYFUNCTION("QUERY('Volunteer Survey'!H739)"),"")</f>
        <v/>
      </c>
      <c r="AH740" s="183" t="str">
        <f>IFERROR(__xludf.DUMMYFUNCTION("QUERY('Volunteer Survey'!I739)"),"")</f>
        <v/>
      </c>
      <c r="AI740" s="183" t="str">
        <f>IFERROR(__xludf.DUMMYFUNCTION("QUERY('Volunteer Survey'!J739)"),"")</f>
        <v/>
      </c>
      <c r="AJ740" s="183" t="str">
        <f>IFERROR(__xludf.DUMMYFUNCTION("QUERY('Volunteer Survey'!K739)"),"")</f>
        <v/>
      </c>
      <c r="AK740" s="183" t="str">
        <f>IFERROR(__xludf.DUMMYFUNCTION("QUERY('Volunteer Survey'!L739)"),"")</f>
        <v/>
      </c>
      <c r="AL740" s="183" t="str">
        <f>IFERROR(__xludf.DUMMYFUNCTION("QUERY('Volunteer Survey'!M739)"),"")</f>
        <v/>
      </c>
      <c r="AM740" s="183" t="str">
        <f>IFERROR(__xludf.DUMMYFUNCTION("QUERY('Volunteer Survey'!N739)"),"")</f>
        <v/>
      </c>
      <c r="AN740" s="183" t="str">
        <f>IFERROR(__xludf.DUMMYFUNCTION("QUERY('Volunteer Survey'!O739)"),"")</f>
        <v/>
      </c>
      <c r="AO740" s="183" t="str">
        <f>IFERROR(__xludf.DUMMYFUNCTION("QUERY('Volunteer Survey'!P739)"),"")</f>
        <v/>
      </c>
    </row>
    <row r="741">
      <c r="A741" s="55"/>
      <c r="B741" s="55"/>
      <c r="C741" s="53"/>
      <c r="D741" s="55"/>
      <c r="E741" s="55"/>
      <c r="F741" s="55" t="b">
        <v>0</v>
      </c>
      <c r="G741" s="55"/>
      <c r="H741" s="53"/>
      <c r="I741" s="53"/>
      <c r="J741" s="55"/>
      <c r="K741" s="55"/>
      <c r="L741" s="55"/>
      <c r="M741" s="55"/>
      <c r="N741" s="55"/>
      <c r="O741" s="55" t="b">
        <v>0</v>
      </c>
      <c r="P741" s="55"/>
      <c r="Q741" s="55"/>
      <c r="R741" s="55"/>
      <c r="S741" s="55"/>
      <c r="T741" s="55"/>
      <c r="U741" s="64"/>
      <c r="V741" s="55"/>
      <c r="W741" s="64"/>
      <c r="X741" s="55"/>
      <c r="Y741" s="53"/>
      <c r="Z741" s="183" t="str">
        <f>IFERROR(__xludf.DUMMYFUNCTION("QUERY('Volunteer Survey'!A740)"),"")</f>
        <v/>
      </c>
      <c r="AA741" s="183" t="str">
        <f>IFERROR(__xludf.DUMMYFUNCTION("QUERY('Volunteer Survey'!B740)"),"")</f>
        <v/>
      </c>
      <c r="AB741" s="183" t="str">
        <f>IFERROR(__xludf.DUMMYFUNCTION("QUERY('Volunteer Survey'!C740)"),"")</f>
        <v/>
      </c>
      <c r="AC741" s="183" t="str">
        <f>IFERROR(__xludf.DUMMYFUNCTION("QUERY('Volunteer Survey'!D740)"),"")</f>
        <v/>
      </c>
      <c r="AD741" s="183" t="str">
        <f>IFERROR(__xludf.DUMMYFUNCTION("QUERY('Volunteer Survey'!E740)"),"")</f>
        <v/>
      </c>
      <c r="AE741" s="183" t="str">
        <f>IFERROR(__xludf.DUMMYFUNCTION("QUERY('Volunteer Survey'!F740)"),"")</f>
        <v/>
      </c>
      <c r="AF741" s="183" t="str">
        <f>IFERROR(__xludf.DUMMYFUNCTION("QUERY('Volunteer Survey'!G740)"),"")</f>
        <v/>
      </c>
      <c r="AG741" s="183" t="str">
        <f>IFERROR(__xludf.DUMMYFUNCTION("QUERY('Volunteer Survey'!H740)"),"")</f>
        <v/>
      </c>
      <c r="AH741" s="183" t="str">
        <f>IFERROR(__xludf.DUMMYFUNCTION("QUERY('Volunteer Survey'!I740)"),"")</f>
        <v/>
      </c>
      <c r="AI741" s="183" t="str">
        <f>IFERROR(__xludf.DUMMYFUNCTION("QUERY('Volunteer Survey'!J740)"),"")</f>
        <v/>
      </c>
      <c r="AJ741" s="183" t="str">
        <f>IFERROR(__xludf.DUMMYFUNCTION("QUERY('Volunteer Survey'!K740)"),"")</f>
        <v/>
      </c>
      <c r="AK741" s="183" t="str">
        <f>IFERROR(__xludf.DUMMYFUNCTION("QUERY('Volunteer Survey'!L740)"),"")</f>
        <v/>
      </c>
      <c r="AL741" s="183" t="str">
        <f>IFERROR(__xludf.DUMMYFUNCTION("QUERY('Volunteer Survey'!M740)"),"")</f>
        <v/>
      </c>
      <c r="AM741" s="183" t="str">
        <f>IFERROR(__xludf.DUMMYFUNCTION("QUERY('Volunteer Survey'!N740)"),"")</f>
        <v/>
      </c>
      <c r="AN741" s="183" t="str">
        <f>IFERROR(__xludf.DUMMYFUNCTION("QUERY('Volunteer Survey'!O740)"),"")</f>
        <v/>
      </c>
      <c r="AO741" s="183" t="str">
        <f>IFERROR(__xludf.DUMMYFUNCTION("QUERY('Volunteer Survey'!P740)"),"")</f>
        <v/>
      </c>
    </row>
    <row r="742">
      <c r="A742" s="55"/>
      <c r="B742" s="55"/>
      <c r="C742" s="53"/>
      <c r="D742" s="55"/>
      <c r="E742" s="55"/>
      <c r="F742" s="55" t="b">
        <v>0</v>
      </c>
      <c r="G742" s="55"/>
      <c r="H742" s="53"/>
      <c r="I742" s="53"/>
      <c r="J742" s="55"/>
      <c r="K742" s="55"/>
      <c r="L742" s="55"/>
      <c r="M742" s="55"/>
      <c r="N742" s="55"/>
      <c r="O742" s="55" t="b">
        <v>0</v>
      </c>
      <c r="P742" s="55"/>
      <c r="Q742" s="55"/>
      <c r="R742" s="55"/>
      <c r="S742" s="55"/>
      <c r="T742" s="55"/>
      <c r="U742" s="64"/>
      <c r="V742" s="55"/>
      <c r="W742" s="64"/>
      <c r="X742" s="55"/>
      <c r="Y742" s="53"/>
      <c r="Z742" s="183" t="str">
        <f>IFERROR(__xludf.DUMMYFUNCTION("QUERY('Volunteer Survey'!A741)"),"")</f>
        <v/>
      </c>
      <c r="AA742" s="183" t="str">
        <f>IFERROR(__xludf.DUMMYFUNCTION("QUERY('Volunteer Survey'!B741)"),"")</f>
        <v/>
      </c>
      <c r="AB742" s="183" t="str">
        <f>IFERROR(__xludf.DUMMYFUNCTION("QUERY('Volunteer Survey'!C741)"),"")</f>
        <v/>
      </c>
      <c r="AC742" s="183" t="str">
        <f>IFERROR(__xludf.DUMMYFUNCTION("QUERY('Volunteer Survey'!D741)"),"")</f>
        <v/>
      </c>
      <c r="AD742" s="183" t="str">
        <f>IFERROR(__xludf.DUMMYFUNCTION("QUERY('Volunteer Survey'!E741)"),"")</f>
        <v/>
      </c>
      <c r="AE742" s="183" t="str">
        <f>IFERROR(__xludf.DUMMYFUNCTION("QUERY('Volunteer Survey'!F741)"),"")</f>
        <v/>
      </c>
      <c r="AF742" s="183" t="str">
        <f>IFERROR(__xludf.DUMMYFUNCTION("QUERY('Volunteer Survey'!G741)"),"")</f>
        <v/>
      </c>
      <c r="AG742" s="183" t="str">
        <f>IFERROR(__xludf.DUMMYFUNCTION("QUERY('Volunteer Survey'!H741)"),"")</f>
        <v/>
      </c>
      <c r="AH742" s="183" t="str">
        <f>IFERROR(__xludf.DUMMYFUNCTION("QUERY('Volunteer Survey'!I741)"),"")</f>
        <v/>
      </c>
      <c r="AI742" s="183" t="str">
        <f>IFERROR(__xludf.DUMMYFUNCTION("QUERY('Volunteer Survey'!J741)"),"")</f>
        <v/>
      </c>
      <c r="AJ742" s="183" t="str">
        <f>IFERROR(__xludf.DUMMYFUNCTION("QUERY('Volunteer Survey'!K741)"),"")</f>
        <v/>
      </c>
      <c r="AK742" s="183" t="str">
        <f>IFERROR(__xludf.DUMMYFUNCTION("QUERY('Volunteer Survey'!L741)"),"")</f>
        <v/>
      </c>
      <c r="AL742" s="183" t="str">
        <f>IFERROR(__xludf.DUMMYFUNCTION("QUERY('Volunteer Survey'!M741)"),"")</f>
        <v/>
      </c>
      <c r="AM742" s="183" t="str">
        <f>IFERROR(__xludf.DUMMYFUNCTION("QUERY('Volunteer Survey'!N741)"),"")</f>
        <v/>
      </c>
      <c r="AN742" s="183" t="str">
        <f>IFERROR(__xludf.DUMMYFUNCTION("QUERY('Volunteer Survey'!O741)"),"")</f>
        <v/>
      </c>
      <c r="AO742" s="183" t="str">
        <f>IFERROR(__xludf.DUMMYFUNCTION("QUERY('Volunteer Survey'!P741)"),"")</f>
        <v/>
      </c>
    </row>
    <row r="743">
      <c r="A743" s="55"/>
      <c r="B743" s="55"/>
      <c r="C743" s="53"/>
      <c r="D743" s="55"/>
      <c r="E743" s="55"/>
      <c r="F743" s="55" t="b">
        <v>0</v>
      </c>
      <c r="G743" s="55"/>
      <c r="H743" s="53"/>
      <c r="I743" s="53"/>
      <c r="J743" s="55"/>
      <c r="K743" s="55"/>
      <c r="L743" s="55"/>
      <c r="M743" s="55"/>
      <c r="N743" s="55"/>
      <c r="O743" s="55" t="b">
        <v>0</v>
      </c>
      <c r="P743" s="55"/>
      <c r="Q743" s="55"/>
      <c r="R743" s="55"/>
      <c r="S743" s="55"/>
      <c r="T743" s="55"/>
      <c r="U743" s="64"/>
      <c r="V743" s="55"/>
      <c r="W743" s="64"/>
      <c r="X743" s="55"/>
      <c r="Y743" s="53"/>
      <c r="Z743" s="183" t="str">
        <f>IFERROR(__xludf.DUMMYFUNCTION("QUERY('Volunteer Survey'!A742)"),"")</f>
        <v/>
      </c>
      <c r="AA743" s="183" t="str">
        <f>IFERROR(__xludf.DUMMYFUNCTION("QUERY('Volunteer Survey'!B742)"),"")</f>
        <v/>
      </c>
      <c r="AB743" s="183" t="str">
        <f>IFERROR(__xludf.DUMMYFUNCTION("QUERY('Volunteer Survey'!C742)"),"")</f>
        <v/>
      </c>
      <c r="AC743" s="183" t="str">
        <f>IFERROR(__xludf.DUMMYFUNCTION("QUERY('Volunteer Survey'!D742)"),"")</f>
        <v/>
      </c>
      <c r="AD743" s="183" t="str">
        <f>IFERROR(__xludf.DUMMYFUNCTION("QUERY('Volunteer Survey'!E742)"),"")</f>
        <v/>
      </c>
      <c r="AE743" s="183" t="str">
        <f>IFERROR(__xludf.DUMMYFUNCTION("QUERY('Volunteer Survey'!F742)"),"")</f>
        <v/>
      </c>
      <c r="AF743" s="183" t="str">
        <f>IFERROR(__xludf.DUMMYFUNCTION("QUERY('Volunteer Survey'!G742)"),"")</f>
        <v/>
      </c>
      <c r="AG743" s="183" t="str">
        <f>IFERROR(__xludf.DUMMYFUNCTION("QUERY('Volunteer Survey'!H742)"),"")</f>
        <v/>
      </c>
      <c r="AH743" s="183" t="str">
        <f>IFERROR(__xludf.DUMMYFUNCTION("QUERY('Volunteer Survey'!I742)"),"")</f>
        <v/>
      </c>
      <c r="AI743" s="183" t="str">
        <f>IFERROR(__xludf.DUMMYFUNCTION("QUERY('Volunteer Survey'!J742)"),"")</f>
        <v/>
      </c>
      <c r="AJ743" s="183" t="str">
        <f>IFERROR(__xludf.DUMMYFUNCTION("QUERY('Volunteer Survey'!K742)"),"")</f>
        <v/>
      </c>
      <c r="AK743" s="183" t="str">
        <f>IFERROR(__xludf.DUMMYFUNCTION("QUERY('Volunteer Survey'!L742)"),"")</f>
        <v/>
      </c>
      <c r="AL743" s="183" t="str">
        <f>IFERROR(__xludf.DUMMYFUNCTION("QUERY('Volunteer Survey'!M742)"),"")</f>
        <v/>
      </c>
      <c r="AM743" s="183" t="str">
        <f>IFERROR(__xludf.DUMMYFUNCTION("QUERY('Volunteer Survey'!N742)"),"")</f>
        <v/>
      </c>
      <c r="AN743" s="183" t="str">
        <f>IFERROR(__xludf.DUMMYFUNCTION("QUERY('Volunteer Survey'!O742)"),"")</f>
        <v/>
      </c>
      <c r="AO743" s="183" t="str">
        <f>IFERROR(__xludf.DUMMYFUNCTION("QUERY('Volunteer Survey'!P742)"),"")</f>
        <v/>
      </c>
    </row>
    <row r="744">
      <c r="A744" s="55"/>
      <c r="B744" s="55"/>
      <c r="C744" s="53"/>
      <c r="D744" s="55"/>
      <c r="E744" s="55"/>
      <c r="F744" s="55" t="b">
        <v>0</v>
      </c>
      <c r="G744" s="55"/>
      <c r="H744" s="53"/>
      <c r="I744" s="53"/>
      <c r="J744" s="55"/>
      <c r="K744" s="55"/>
      <c r="L744" s="55"/>
      <c r="M744" s="55"/>
      <c r="N744" s="55"/>
      <c r="O744" s="55" t="b">
        <v>0</v>
      </c>
      <c r="P744" s="55"/>
      <c r="Q744" s="55"/>
      <c r="R744" s="55"/>
      <c r="S744" s="55"/>
      <c r="T744" s="55"/>
      <c r="U744" s="64"/>
      <c r="V744" s="55"/>
      <c r="W744" s="64"/>
      <c r="X744" s="55"/>
      <c r="Y744" s="53"/>
      <c r="Z744" s="183" t="str">
        <f>IFERROR(__xludf.DUMMYFUNCTION("QUERY('Volunteer Survey'!A743)"),"")</f>
        <v/>
      </c>
      <c r="AA744" s="183" t="str">
        <f>IFERROR(__xludf.DUMMYFUNCTION("QUERY('Volunteer Survey'!B743)"),"")</f>
        <v/>
      </c>
      <c r="AB744" s="183" t="str">
        <f>IFERROR(__xludf.DUMMYFUNCTION("QUERY('Volunteer Survey'!C743)"),"")</f>
        <v/>
      </c>
      <c r="AC744" s="183" t="str">
        <f>IFERROR(__xludf.DUMMYFUNCTION("QUERY('Volunteer Survey'!D743)"),"")</f>
        <v/>
      </c>
      <c r="AD744" s="183" t="str">
        <f>IFERROR(__xludf.DUMMYFUNCTION("QUERY('Volunteer Survey'!E743)"),"")</f>
        <v/>
      </c>
      <c r="AE744" s="183" t="str">
        <f>IFERROR(__xludf.DUMMYFUNCTION("QUERY('Volunteer Survey'!F743)"),"")</f>
        <v/>
      </c>
      <c r="AF744" s="183" t="str">
        <f>IFERROR(__xludf.DUMMYFUNCTION("QUERY('Volunteer Survey'!G743)"),"")</f>
        <v/>
      </c>
      <c r="AG744" s="183" t="str">
        <f>IFERROR(__xludf.DUMMYFUNCTION("QUERY('Volunteer Survey'!H743)"),"")</f>
        <v/>
      </c>
      <c r="AH744" s="183" t="str">
        <f>IFERROR(__xludf.DUMMYFUNCTION("QUERY('Volunteer Survey'!I743)"),"")</f>
        <v/>
      </c>
      <c r="AI744" s="183" t="str">
        <f>IFERROR(__xludf.DUMMYFUNCTION("QUERY('Volunteer Survey'!J743)"),"")</f>
        <v/>
      </c>
      <c r="AJ744" s="183" t="str">
        <f>IFERROR(__xludf.DUMMYFUNCTION("QUERY('Volunteer Survey'!K743)"),"")</f>
        <v/>
      </c>
      <c r="AK744" s="183" t="str">
        <f>IFERROR(__xludf.DUMMYFUNCTION("QUERY('Volunteer Survey'!L743)"),"")</f>
        <v/>
      </c>
      <c r="AL744" s="183" t="str">
        <f>IFERROR(__xludf.DUMMYFUNCTION("QUERY('Volunteer Survey'!M743)"),"")</f>
        <v/>
      </c>
      <c r="AM744" s="183" t="str">
        <f>IFERROR(__xludf.DUMMYFUNCTION("QUERY('Volunteer Survey'!N743)"),"")</f>
        <v/>
      </c>
      <c r="AN744" s="183" t="str">
        <f>IFERROR(__xludf.DUMMYFUNCTION("QUERY('Volunteer Survey'!O743)"),"")</f>
        <v/>
      </c>
      <c r="AO744" s="183" t="str">
        <f>IFERROR(__xludf.DUMMYFUNCTION("QUERY('Volunteer Survey'!P743)"),"")</f>
        <v/>
      </c>
    </row>
    <row r="745">
      <c r="A745" s="55"/>
      <c r="B745" s="55"/>
      <c r="C745" s="53"/>
      <c r="D745" s="55"/>
      <c r="E745" s="55"/>
      <c r="F745" s="55" t="b">
        <v>0</v>
      </c>
      <c r="G745" s="55"/>
      <c r="H745" s="53"/>
      <c r="I745" s="53"/>
      <c r="J745" s="55"/>
      <c r="K745" s="55"/>
      <c r="L745" s="55"/>
      <c r="M745" s="55"/>
      <c r="N745" s="55"/>
      <c r="O745" s="55" t="b">
        <v>0</v>
      </c>
      <c r="P745" s="55"/>
      <c r="Q745" s="55"/>
      <c r="R745" s="55"/>
      <c r="S745" s="55"/>
      <c r="T745" s="55"/>
      <c r="U745" s="64"/>
      <c r="V745" s="55"/>
      <c r="W745" s="64"/>
      <c r="X745" s="55"/>
      <c r="Y745" s="53"/>
      <c r="Z745" s="183" t="str">
        <f>IFERROR(__xludf.DUMMYFUNCTION("QUERY('Volunteer Survey'!A744)"),"")</f>
        <v/>
      </c>
      <c r="AA745" s="183" t="str">
        <f>IFERROR(__xludf.DUMMYFUNCTION("QUERY('Volunteer Survey'!B744)"),"")</f>
        <v/>
      </c>
      <c r="AB745" s="183" t="str">
        <f>IFERROR(__xludf.DUMMYFUNCTION("QUERY('Volunteer Survey'!C744)"),"")</f>
        <v/>
      </c>
      <c r="AC745" s="183" t="str">
        <f>IFERROR(__xludf.DUMMYFUNCTION("QUERY('Volunteer Survey'!D744)"),"")</f>
        <v/>
      </c>
      <c r="AD745" s="183" t="str">
        <f>IFERROR(__xludf.DUMMYFUNCTION("QUERY('Volunteer Survey'!E744)"),"")</f>
        <v/>
      </c>
      <c r="AE745" s="183" t="str">
        <f>IFERROR(__xludf.DUMMYFUNCTION("QUERY('Volunteer Survey'!F744)"),"")</f>
        <v/>
      </c>
      <c r="AF745" s="183" t="str">
        <f>IFERROR(__xludf.DUMMYFUNCTION("QUERY('Volunteer Survey'!G744)"),"")</f>
        <v/>
      </c>
      <c r="AG745" s="183" t="str">
        <f>IFERROR(__xludf.DUMMYFUNCTION("QUERY('Volunteer Survey'!H744)"),"")</f>
        <v/>
      </c>
      <c r="AH745" s="183" t="str">
        <f>IFERROR(__xludf.DUMMYFUNCTION("QUERY('Volunteer Survey'!I744)"),"")</f>
        <v/>
      </c>
      <c r="AI745" s="183" t="str">
        <f>IFERROR(__xludf.DUMMYFUNCTION("QUERY('Volunteer Survey'!J744)"),"")</f>
        <v/>
      </c>
      <c r="AJ745" s="183" t="str">
        <f>IFERROR(__xludf.DUMMYFUNCTION("QUERY('Volunteer Survey'!K744)"),"")</f>
        <v/>
      </c>
      <c r="AK745" s="183" t="str">
        <f>IFERROR(__xludf.DUMMYFUNCTION("QUERY('Volunteer Survey'!L744)"),"")</f>
        <v/>
      </c>
      <c r="AL745" s="183" t="str">
        <f>IFERROR(__xludf.DUMMYFUNCTION("QUERY('Volunteer Survey'!M744)"),"")</f>
        <v/>
      </c>
      <c r="AM745" s="183" t="str">
        <f>IFERROR(__xludf.DUMMYFUNCTION("QUERY('Volunteer Survey'!N744)"),"")</f>
        <v/>
      </c>
      <c r="AN745" s="183" t="str">
        <f>IFERROR(__xludf.DUMMYFUNCTION("QUERY('Volunteer Survey'!O744)"),"")</f>
        <v/>
      </c>
      <c r="AO745" s="183" t="str">
        <f>IFERROR(__xludf.DUMMYFUNCTION("QUERY('Volunteer Survey'!P744)"),"")</f>
        <v/>
      </c>
    </row>
    <row r="746">
      <c r="A746" s="55"/>
      <c r="B746" s="55"/>
      <c r="C746" s="53"/>
      <c r="D746" s="55"/>
      <c r="E746" s="55"/>
      <c r="F746" s="55" t="b">
        <v>0</v>
      </c>
      <c r="G746" s="55"/>
      <c r="H746" s="53"/>
      <c r="I746" s="53"/>
      <c r="J746" s="55"/>
      <c r="K746" s="55"/>
      <c r="L746" s="55"/>
      <c r="M746" s="55"/>
      <c r="N746" s="55"/>
      <c r="O746" s="55" t="b">
        <v>0</v>
      </c>
      <c r="P746" s="55"/>
      <c r="Q746" s="55"/>
      <c r="R746" s="55"/>
      <c r="S746" s="55"/>
      <c r="T746" s="55"/>
      <c r="U746" s="64"/>
      <c r="V746" s="55"/>
      <c r="W746" s="64"/>
      <c r="X746" s="55"/>
      <c r="Y746" s="53"/>
      <c r="Z746" s="183" t="str">
        <f>IFERROR(__xludf.DUMMYFUNCTION("QUERY('Volunteer Survey'!A745)"),"")</f>
        <v/>
      </c>
      <c r="AA746" s="183" t="str">
        <f>IFERROR(__xludf.DUMMYFUNCTION("QUERY('Volunteer Survey'!B745)"),"")</f>
        <v/>
      </c>
      <c r="AB746" s="183" t="str">
        <f>IFERROR(__xludf.DUMMYFUNCTION("QUERY('Volunteer Survey'!C745)"),"")</f>
        <v/>
      </c>
      <c r="AC746" s="183" t="str">
        <f>IFERROR(__xludf.DUMMYFUNCTION("QUERY('Volunteer Survey'!D745)"),"")</f>
        <v/>
      </c>
      <c r="AD746" s="183" t="str">
        <f>IFERROR(__xludf.DUMMYFUNCTION("QUERY('Volunteer Survey'!E745)"),"")</f>
        <v/>
      </c>
      <c r="AE746" s="183" t="str">
        <f>IFERROR(__xludf.DUMMYFUNCTION("QUERY('Volunteer Survey'!F745)"),"")</f>
        <v/>
      </c>
      <c r="AF746" s="183" t="str">
        <f>IFERROR(__xludf.DUMMYFUNCTION("QUERY('Volunteer Survey'!G745)"),"")</f>
        <v/>
      </c>
      <c r="AG746" s="183" t="str">
        <f>IFERROR(__xludf.DUMMYFUNCTION("QUERY('Volunteer Survey'!H745)"),"")</f>
        <v/>
      </c>
      <c r="AH746" s="183" t="str">
        <f>IFERROR(__xludf.DUMMYFUNCTION("QUERY('Volunteer Survey'!I745)"),"")</f>
        <v/>
      </c>
      <c r="AI746" s="183" t="str">
        <f>IFERROR(__xludf.DUMMYFUNCTION("QUERY('Volunteer Survey'!J745)"),"")</f>
        <v/>
      </c>
      <c r="AJ746" s="183" t="str">
        <f>IFERROR(__xludf.DUMMYFUNCTION("QUERY('Volunteer Survey'!K745)"),"")</f>
        <v/>
      </c>
      <c r="AK746" s="183" t="str">
        <f>IFERROR(__xludf.DUMMYFUNCTION("QUERY('Volunteer Survey'!L745)"),"")</f>
        <v/>
      </c>
      <c r="AL746" s="183" t="str">
        <f>IFERROR(__xludf.DUMMYFUNCTION("QUERY('Volunteer Survey'!M745)"),"")</f>
        <v/>
      </c>
      <c r="AM746" s="183" t="str">
        <f>IFERROR(__xludf.DUMMYFUNCTION("QUERY('Volunteer Survey'!N745)"),"")</f>
        <v/>
      </c>
      <c r="AN746" s="183" t="str">
        <f>IFERROR(__xludf.DUMMYFUNCTION("QUERY('Volunteer Survey'!O745)"),"")</f>
        <v/>
      </c>
      <c r="AO746" s="183" t="str">
        <f>IFERROR(__xludf.DUMMYFUNCTION("QUERY('Volunteer Survey'!P745)"),"")</f>
        <v/>
      </c>
    </row>
    <row r="747">
      <c r="A747" s="55"/>
      <c r="B747" s="55"/>
      <c r="C747" s="53"/>
      <c r="D747" s="55"/>
      <c r="E747" s="55"/>
      <c r="F747" s="55" t="b">
        <v>0</v>
      </c>
      <c r="G747" s="55"/>
      <c r="H747" s="53"/>
      <c r="I747" s="53"/>
      <c r="J747" s="55"/>
      <c r="K747" s="55"/>
      <c r="L747" s="55"/>
      <c r="M747" s="55"/>
      <c r="N747" s="55"/>
      <c r="O747" s="55" t="b">
        <v>0</v>
      </c>
      <c r="P747" s="55"/>
      <c r="Q747" s="55"/>
      <c r="R747" s="55"/>
      <c r="S747" s="55"/>
      <c r="T747" s="55"/>
      <c r="U747" s="64"/>
      <c r="V747" s="55"/>
      <c r="W747" s="64"/>
      <c r="X747" s="55"/>
      <c r="Y747" s="53"/>
      <c r="Z747" s="183" t="str">
        <f>IFERROR(__xludf.DUMMYFUNCTION("QUERY('Volunteer Survey'!A746)"),"")</f>
        <v/>
      </c>
      <c r="AA747" s="183" t="str">
        <f>IFERROR(__xludf.DUMMYFUNCTION("QUERY('Volunteer Survey'!B746)"),"")</f>
        <v/>
      </c>
      <c r="AB747" s="183" t="str">
        <f>IFERROR(__xludf.DUMMYFUNCTION("QUERY('Volunteer Survey'!C746)"),"")</f>
        <v/>
      </c>
      <c r="AC747" s="183" t="str">
        <f>IFERROR(__xludf.DUMMYFUNCTION("QUERY('Volunteer Survey'!D746)"),"")</f>
        <v/>
      </c>
      <c r="AD747" s="183" t="str">
        <f>IFERROR(__xludf.DUMMYFUNCTION("QUERY('Volunteer Survey'!E746)"),"")</f>
        <v/>
      </c>
      <c r="AE747" s="183" t="str">
        <f>IFERROR(__xludf.DUMMYFUNCTION("QUERY('Volunteer Survey'!F746)"),"")</f>
        <v/>
      </c>
      <c r="AF747" s="183" t="str">
        <f>IFERROR(__xludf.DUMMYFUNCTION("QUERY('Volunteer Survey'!G746)"),"")</f>
        <v/>
      </c>
      <c r="AG747" s="183" t="str">
        <f>IFERROR(__xludf.DUMMYFUNCTION("QUERY('Volunteer Survey'!H746)"),"")</f>
        <v/>
      </c>
      <c r="AH747" s="183" t="str">
        <f>IFERROR(__xludf.DUMMYFUNCTION("QUERY('Volunteer Survey'!I746)"),"")</f>
        <v/>
      </c>
      <c r="AI747" s="183" t="str">
        <f>IFERROR(__xludf.DUMMYFUNCTION("QUERY('Volunteer Survey'!J746)"),"")</f>
        <v/>
      </c>
      <c r="AJ747" s="183" t="str">
        <f>IFERROR(__xludf.DUMMYFUNCTION("QUERY('Volunteer Survey'!K746)"),"")</f>
        <v/>
      </c>
      <c r="AK747" s="183" t="str">
        <f>IFERROR(__xludf.DUMMYFUNCTION("QUERY('Volunteer Survey'!L746)"),"")</f>
        <v/>
      </c>
      <c r="AL747" s="183" t="str">
        <f>IFERROR(__xludf.DUMMYFUNCTION("QUERY('Volunteer Survey'!M746)"),"")</f>
        <v/>
      </c>
      <c r="AM747" s="183" t="str">
        <f>IFERROR(__xludf.DUMMYFUNCTION("QUERY('Volunteer Survey'!N746)"),"")</f>
        <v/>
      </c>
      <c r="AN747" s="183" t="str">
        <f>IFERROR(__xludf.DUMMYFUNCTION("QUERY('Volunteer Survey'!O746)"),"")</f>
        <v/>
      </c>
      <c r="AO747" s="183" t="str">
        <f>IFERROR(__xludf.DUMMYFUNCTION("QUERY('Volunteer Survey'!P746)"),"")</f>
        <v/>
      </c>
    </row>
    <row r="748">
      <c r="A748" s="55"/>
      <c r="B748" s="55"/>
      <c r="C748" s="53"/>
      <c r="D748" s="55"/>
      <c r="E748" s="55"/>
      <c r="F748" s="55" t="b">
        <v>0</v>
      </c>
      <c r="G748" s="55"/>
      <c r="H748" s="53"/>
      <c r="I748" s="53"/>
      <c r="J748" s="55"/>
      <c r="K748" s="55"/>
      <c r="L748" s="55"/>
      <c r="M748" s="55"/>
      <c r="N748" s="55"/>
      <c r="O748" s="55" t="b">
        <v>0</v>
      </c>
      <c r="P748" s="55"/>
      <c r="Q748" s="55"/>
      <c r="R748" s="55"/>
      <c r="S748" s="55"/>
      <c r="T748" s="55"/>
      <c r="U748" s="64"/>
      <c r="V748" s="55"/>
      <c r="W748" s="64"/>
      <c r="X748" s="55"/>
      <c r="Y748" s="53"/>
      <c r="Z748" s="183" t="str">
        <f>IFERROR(__xludf.DUMMYFUNCTION("QUERY('Volunteer Survey'!A747)"),"")</f>
        <v/>
      </c>
      <c r="AA748" s="183" t="str">
        <f>IFERROR(__xludf.DUMMYFUNCTION("QUERY('Volunteer Survey'!B747)"),"")</f>
        <v/>
      </c>
      <c r="AB748" s="183" t="str">
        <f>IFERROR(__xludf.DUMMYFUNCTION("QUERY('Volunteer Survey'!C747)"),"")</f>
        <v/>
      </c>
      <c r="AC748" s="183" t="str">
        <f>IFERROR(__xludf.DUMMYFUNCTION("QUERY('Volunteer Survey'!D747)"),"")</f>
        <v/>
      </c>
      <c r="AD748" s="183" t="str">
        <f>IFERROR(__xludf.DUMMYFUNCTION("QUERY('Volunteer Survey'!E747)"),"")</f>
        <v/>
      </c>
      <c r="AE748" s="183" t="str">
        <f>IFERROR(__xludf.DUMMYFUNCTION("QUERY('Volunteer Survey'!F747)"),"")</f>
        <v/>
      </c>
      <c r="AF748" s="183" t="str">
        <f>IFERROR(__xludf.DUMMYFUNCTION("QUERY('Volunteer Survey'!G747)"),"")</f>
        <v/>
      </c>
      <c r="AG748" s="183" t="str">
        <f>IFERROR(__xludf.DUMMYFUNCTION("QUERY('Volunteer Survey'!H747)"),"")</f>
        <v/>
      </c>
      <c r="AH748" s="183" t="str">
        <f>IFERROR(__xludf.DUMMYFUNCTION("QUERY('Volunteer Survey'!I747)"),"")</f>
        <v/>
      </c>
      <c r="AI748" s="183" t="str">
        <f>IFERROR(__xludf.DUMMYFUNCTION("QUERY('Volunteer Survey'!J747)"),"")</f>
        <v/>
      </c>
      <c r="AJ748" s="183" t="str">
        <f>IFERROR(__xludf.DUMMYFUNCTION("QUERY('Volunteer Survey'!K747)"),"")</f>
        <v/>
      </c>
      <c r="AK748" s="183" t="str">
        <f>IFERROR(__xludf.DUMMYFUNCTION("QUERY('Volunteer Survey'!L747)"),"")</f>
        <v/>
      </c>
      <c r="AL748" s="183" t="str">
        <f>IFERROR(__xludf.DUMMYFUNCTION("QUERY('Volunteer Survey'!M747)"),"")</f>
        <v/>
      </c>
      <c r="AM748" s="183" t="str">
        <f>IFERROR(__xludf.DUMMYFUNCTION("QUERY('Volunteer Survey'!N747)"),"")</f>
        <v/>
      </c>
      <c r="AN748" s="183" t="str">
        <f>IFERROR(__xludf.DUMMYFUNCTION("QUERY('Volunteer Survey'!O747)"),"")</f>
        <v/>
      </c>
      <c r="AO748" s="183" t="str">
        <f>IFERROR(__xludf.DUMMYFUNCTION("QUERY('Volunteer Survey'!P747)"),"")</f>
        <v/>
      </c>
    </row>
    <row r="749">
      <c r="A749" s="55"/>
      <c r="B749" s="55"/>
      <c r="C749" s="53"/>
      <c r="D749" s="55"/>
      <c r="E749" s="55"/>
      <c r="F749" s="55" t="b">
        <v>0</v>
      </c>
      <c r="G749" s="55"/>
      <c r="H749" s="53"/>
      <c r="I749" s="53"/>
      <c r="J749" s="55"/>
      <c r="K749" s="55"/>
      <c r="L749" s="55"/>
      <c r="M749" s="55"/>
      <c r="N749" s="55"/>
      <c r="O749" s="55" t="b">
        <v>0</v>
      </c>
      <c r="P749" s="55"/>
      <c r="Q749" s="55"/>
      <c r="R749" s="55"/>
      <c r="S749" s="55"/>
      <c r="T749" s="55"/>
      <c r="U749" s="64"/>
      <c r="V749" s="55"/>
      <c r="W749" s="64"/>
      <c r="X749" s="55"/>
      <c r="Y749" s="53"/>
      <c r="Z749" s="183" t="str">
        <f>IFERROR(__xludf.DUMMYFUNCTION("QUERY('Volunteer Survey'!A748)"),"")</f>
        <v/>
      </c>
      <c r="AA749" s="183" t="str">
        <f>IFERROR(__xludf.DUMMYFUNCTION("QUERY('Volunteer Survey'!B748)"),"")</f>
        <v/>
      </c>
      <c r="AB749" s="183" t="str">
        <f>IFERROR(__xludf.DUMMYFUNCTION("QUERY('Volunteer Survey'!C748)"),"")</f>
        <v/>
      </c>
      <c r="AC749" s="183" t="str">
        <f>IFERROR(__xludf.DUMMYFUNCTION("QUERY('Volunteer Survey'!D748)"),"")</f>
        <v/>
      </c>
      <c r="AD749" s="183" t="str">
        <f>IFERROR(__xludf.DUMMYFUNCTION("QUERY('Volunteer Survey'!E748)"),"")</f>
        <v/>
      </c>
      <c r="AE749" s="183" t="str">
        <f>IFERROR(__xludf.DUMMYFUNCTION("QUERY('Volunteer Survey'!F748)"),"")</f>
        <v/>
      </c>
      <c r="AF749" s="183" t="str">
        <f>IFERROR(__xludf.DUMMYFUNCTION("QUERY('Volunteer Survey'!G748)"),"")</f>
        <v/>
      </c>
      <c r="AG749" s="183" t="str">
        <f>IFERROR(__xludf.DUMMYFUNCTION("QUERY('Volunteer Survey'!H748)"),"")</f>
        <v/>
      </c>
      <c r="AH749" s="183" t="str">
        <f>IFERROR(__xludf.DUMMYFUNCTION("QUERY('Volunteer Survey'!I748)"),"")</f>
        <v/>
      </c>
      <c r="AI749" s="183" t="str">
        <f>IFERROR(__xludf.DUMMYFUNCTION("QUERY('Volunteer Survey'!J748)"),"")</f>
        <v/>
      </c>
      <c r="AJ749" s="183" t="str">
        <f>IFERROR(__xludf.DUMMYFUNCTION("QUERY('Volunteer Survey'!K748)"),"")</f>
        <v/>
      </c>
      <c r="AK749" s="183" t="str">
        <f>IFERROR(__xludf.DUMMYFUNCTION("QUERY('Volunteer Survey'!L748)"),"")</f>
        <v/>
      </c>
      <c r="AL749" s="183" t="str">
        <f>IFERROR(__xludf.DUMMYFUNCTION("QUERY('Volunteer Survey'!M748)"),"")</f>
        <v/>
      </c>
      <c r="AM749" s="183" t="str">
        <f>IFERROR(__xludf.DUMMYFUNCTION("QUERY('Volunteer Survey'!N748)"),"")</f>
        <v/>
      </c>
      <c r="AN749" s="183" t="str">
        <f>IFERROR(__xludf.DUMMYFUNCTION("QUERY('Volunteer Survey'!O748)"),"")</f>
        <v/>
      </c>
      <c r="AO749" s="183" t="str">
        <f>IFERROR(__xludf.DUMMYFUNCTION("QUERY('Volunteer Survey'!P748)"),"")</f>
        <v/>
      </c>
    </row>
    <row r="750">
      <c r="A750" s="55"/>
      <c r="B750" s="55"/>
      <c r="C750" s="53"/>
      <c r="D750" s="55"/>
      <c r="E750" s="55"/>
      <c r="F750" s="55" t="b">
        <v>0</v>
      </c>
      <c r="G750" s="55"/>
      <c r="H750" s="53"/>
      <c r="I750" s="53"/>
      <c r="J750" s="55"/>
      <c r="K750" s="55"/>
      <c r="L750" s="55"/>
      <c r="M750" s="55"/>
      <c r="N750" s="55"/>
      <c r="O750" s="55" t="b">
        <v>0</v>
      </c>
      <c r="P750" s="55"/>
      <c r="Q750" s="55"/>
      <c r="R750" s="55"/>
      <c r="S750" s="55"/>
      <c r="T750" s="55"/>
      <c r="U750" s="64"/>
      <c r="V750" s="55"/>
      <c r="W750" s="64"/>
      <c r="X750" s="55"/>
      <c r="Y750" s="53"/>
      <c r="Z750" s="183" t="str">
        <f>IFERROR(__xludf.DUMMYFUNCTION("QUERY('Volunteer Survey'!A749)"),"")</f>
        <v/>
      </c>
      <c r="AA750" s="183" t="str">
        <f>IFERROR(__xludf.DUMMYFUNCTION("QUERY('Volunteer Survey'!B749)"),"")</f>
        <v/>
      </c>
      <c r="AB750" s="183" t="str">
        <f>IFERROR(__xludf.DUMMYFUNCTION("QUERY('Volunteer Survey'!C749)"),"")</f>
        <v/>
      </c>
      <c r="AC750" s="183" t="str">
        <f>IFERROR(__xludf.DUMMYFUNCTION("QUERY('Volunteer Survey'!D749)"),"")</f>
        <v/>
      </c>
      <c r="AD750" s="183" t="str">
        <f>IFERROR(__xludf.DUMMYFUNCTION("QUERY('Volunteer Survey'!E749)"),"")</f>
        <v/>
      </c>
      <c r="AE750" s="183" t="str">
        <f>IFERROR(__xludf.DUMMYFUNCTION("QUERY('Volunteer Survey'!F749)"),"")</f>
        <v/>
      </c>
      <c r="AF750" s="183" t="str">
        <f>IFERROR(__xludf.DUMMYFUNCTION("QUERY('Volunteer Survey'!G749)"),"")</f>
        <v/>
      </c>
      <c r="AG750" s="183" t="str">
        <f>IFERROR(__xludf.DUMMYFUNCTION("QUERY('Volunteer Survey'!H749)"),"")</f>
        <v/>
      </c>
      <c r="AH750" s="183" t="str">
        <f>IFERROR(__xludf.DUMMYFUNCTION("QUERY('Volunteer Survey'!I749)"),"")</f>
        <v/>
      </c>
      <c r="AI750" s="183" t="str">
        <f>IFERROR(__xludf.DUMMYFUNCTION("QUERY('Volunteer Survey'!J749)"),"")</f>
        <v/>
      </c>
      <c r="AJ750" s="183" t="str">
        <f>IFERROR(__xludf.DUMMYFUNCTION("QUERY('Volunteer Survey'!K749)"),"")</f>
        <v/>
      </c>
      <c r="AK750" s="183" t="str">
        <f>IFERROR(__xludf.DUMMYFUNCTION("QUERY('Volunteer Survey'!L749)"),"")</f>
        <v/>
      </c>
      <c r="AL750" s="183" t="str">
        <f>IFERROR(__xludf.DUMMYFUNCTION("QUERY('Volunteer Survey'!M749)"),"")</f>
        <v/>
      </c>
      <c r="AM750" s="183" t="str">
        <f>IFERROR(__xludf.DUMMYFUNCTION("QUERY('Volunteer Survey'!N749)"),"")</f>
        <v/>
      </c>
      <c r="AN750" s="183" t="str">
        <f>IFERROR(__xludf.DUMMYFUNCTION("QUERY('Volunteer Survey'!O749)"),"")</f>
        <v/>
      </c>
      <c r="AO750" s="183" t="str">
        <f>IFERROR(__xludf.DUMMYFUNCTION("QUERY('Volunteer Survey'!P749)"),"")</f>
        <v/>
      </c>
    </row>
    <row r="751">
      <c r="A751" s="55"/>
      <c r="B751" s="55"/>
      <c r="C751" s="53"/>
      <c r="D751" s="55"/>
      <c r="E751" s="55"/>
      <c r="F751" s="55" t="b">
        <v>0</v>
      </c>
      <c r="G751" s="55"/>
      <c r="H751" s="53"/>
      <c r="I751" s="53"/>
      <c r="J751" s="55"/>
      <c r="K751" s="55"/>
      <c r="L751" s="55"/>
      <c r="M751" s="55"/>
      <c r="N751" s="55"/>
      <c r="O751" s="55" t="b">
        <v>0</v>
      </c>
      <c r="P751" s="55"/>
      <c r="Q751" s="55"/>
      <c r="R751" s="55"/>
      <c r="S751" s="55"/>
      <c r="T751" s="55"/>
      <c r="U751" s="64"/>
      <c r="V751" s="55"/>
      <c r="W751" s="64"/>
      <c r="X751" s="55"/>
      <c r="Y751" s="53"/>
      <c r="Z751" s="183" t="str">
        <f>IFERROR(__xludf.DUMMYFUNCTION("QUERY('Volunteer Survey'!A750)"),"")</f>
        <v/>
      </c>
      <c r="AA751" s="183" t="str">
        <f>IFERROR(__xludf.DUMMYFUNCTION("QUERY('Volunteer Survey'!B750)"),"")</f>
        <v/>
      </c>
      <c r="AB751" s="183" t="str">
        <f>IFERROR(__xludf.DUMMYFUNCTION("QUERY('Volunteer Survey'!C750)"),"")</f>
        <v/>
      </c>
      <c r="AC751" s="183" t="str">
        <f>IFERROR(__xludf.DUMMYFUNCTION("QUERY('Volunteer Survey'!D750)"),"")</f>
        <v/>
      </c>
      <c r="AD751" s="183" t="str">
        <f>IFERROR(__xludf.DUMMYFUNCTION("QUERY('Volunteer Survey'!E750)"),"")</f>
        <v/>
      </c>
      <c r="AE751" s="183" t="str">
        <f>IFERROR(__xludf.DUMMYFUNCTION("QUERY('Volunteer Survey'!F750)"),"")</f>
        <v/>
      </c>
      <c r="AF751" s="183" t="str">
        <f>IFERROR(__xludf.DUMMYFUNCTION("QUERY('Volunteer Survey'!G750)"),"")</f>
        <v/>
      </c>
      <c r="AG751" s="183" t="str">
        <f>IFERROR(__xludf.DUMMYFUNCTION("QUERY('Volunteer Survey'!H750)"),"")</f>
        <v/>
      </c>
      <c r="AH751" s="183" t="str">
        <f>IFERROR(__xludf.DUMMYFUNCTION("QUERY('Volunteer Survey'!I750)"),"")</f>
        <v/>
      </c>
      <c r="AI751" s="183" t="str">
        <f>IFERROR(__xludf.DUMMYFUNCTION("QUERY('Volunteer Survey'!J750)"),"")</f>
        <v/>
      </c>
      <c r="AJ751" s="183" t="str">
        <f>IFERROR(__xludf.DUMMYFUNCTION("QUERY('Volunteer Survey'!K750)"),"")</f>
        <v/>
      </c>
      <c r="AK751" s="183" t="str">
        <f>IFERROR(__xludf.DUMMYFUNCTION("QUERY('Volunteer Survey'!L750)"),"")</f>
        <v/>
      </c>
      <c r="AL751" s="183" t="str">
        <f>IFERROR(__xludf.DUMMYFUNCTION("QUERY('Volunteer Survey'!M750)"),"")</f>
        <v/>
      </c>
      <c r="AM751" s="183" t="str">
        <f>IFERROR(__xludf.DUMMYFUNCTION("QUERY('Volunteer Survey'!N750)"),"")</f>
        <v/>
      </c>
      <c r="AN751" s="183" t="str">
        <f>IFERROR(__xludf.DUMMYFUNCTION("QUERY('Volunteer Survey'!O750)"),"")</f>
        <v/>
      </c>
      <c r="AO751" s="183" t="str">
        <f>IFERROR(__xludf.DUMMYFUNCTION("QUERY('Volunteer Survey'!P750)"),"")</f>
        <v/>
      </c>
    </row>
    <row r="752">
      <c r="A752" s="55"/>
      <c r="B752" s="55"/>
      <c r="C752" s="53"/>
      <c r="D752" s="55"/>
      <c r="E752" s="55"/>
      <c r="F752" s="55" t="b">
        <v>0</v>
      </c>
      <c r="G752" s="55"/>
      <c r="H752" s="53"/>
      <c r="I752" s="53"/>
      <c r="J752" s="55"/>
      <c r="K752" s="55"/>
      <c r="L752" s="55"/>
      <c r="M752" s="55"/>
      <c r="N752" s="55"/>
      <c r="O752" s="55" t="b">
        <v>0</v>
      </c>
      <c r="P752" s="55"/>
      <c r="Q752" s="55"/>
      <c r="R752" s="55"/>
      <c r="S752" s="55"/>
      <c r="T752" s="55"/>
      <c r="U752" s="64"/>
      <c r="V752" s="55"/>
      <c r="W752" s="64"/>
      <c r="X752" s="55"/>
      <c r="Y752" s="53"/>
      <c r="Z752" s="183" t="str">
        <f>IFERROR(__xludf.DUMMYFUNCTION("QUERY('Volunteer Survey'!A751)"),"")</f>
        <v/>
      </c>
      <c r="AA752" s="183" t="str">
        <f>IFERROR(__xludf.DUMMYFUNCTION("QUERY('Volunteer Survey'!B751)"),"")</f>
        <v/>
      </c>
      <c r="AB752" s="183" t="str">
        <f>IFERROR(__xludf.DUMMYFUNCTION("QUERY('Volunteer Survey'!C751)"),"")</f>
        <v/>
      </c>
      <c r="AC752" s="183" t="str">
        <f>IFERROR(__xludf.DUMMYFUNCTION("QUERY('Volunteer Survey'!D751)"),"")</f>
        <v/>
      </c>
      <c r="AD752" s="183" t="str">
        <f>IFERROR(__xludf.DUMMYFUNCTION("QUERY('Volunteer Survey'!E751)"),"")</f>
        <v/>
      </c>
      <c r="AE752" s="183" t="str">
        <f>IFERROR(__xludf.DUMMYFUNCTION("QUERY('Volunteer Survey'!F751)"),"")</f>
        <v/>
      </c>
      <c r="AF752" s="183" t="str">
        <f>IFERROR(__xludf.DUMMYFUNCTION("QUERY('Volunteer Survey'!G751)"),"")</f>
        <v/>
      </c>
      <c r="AG752" s="183" t="str">
        <f>IFERROR(__xludf.DUMMYFUNCTION("QUERY('Volunteer Survey'!H751)"),"")</f>
        <v/>
      </c>
      <c r="AH752" s="183" t="str">
        <f>IFERROR(__xludf.DUMMYFUNCTION("QUERY('Volunteer Survey'!I751)"),"")</f>
        <v/>
      </c>
      <c r="AI752" s="183" t="str">
        <f>IFERROR(__xludf.DUMMYFUNCTION("QUERY('Volunteer Survey'!J751)"),"")</f>
        <v/>
      </c>
      <c r="AJ752" s="183" t="str">
        <f>IFERROR(__xludf.DUMMYFUNCTION("QUERY('Volunteer Survey'!K751)"),"")</f>
        <v/>
      </c>
      <c r="AK752" s="183" t="str">
        <f>IFERROR(__xludf.DUMMYFUNCTION("QUERY('Volunteer Survey'!L751)"),"")</f>
        <v/>
      </c>
      <c r="AL752" s="183" t="str">
        <f>IFERROR(__xludf.DUMMYFUNCTION("QUERY('Volunteer Survey'!M751)"),"")</f>
        <v/>
      </c>
      <c r="AM752" s="183" t="str">
        <f>IFERROR(__xludf.DUMMYFUNCTION("QUERY('Volunteer Survey'!N751)"),"")</f>
        <v/>
      </c>
      <c r="AN752" s="183" t="str">
        <f>IFERROR(__xludf.DUMMYFUNCTION("QUERY('Volunteer Survey'!O751)"),"")</f>
        <v/>
      </c>
      <c r="AO752" s="183" t="str">
        <f>IFERROR(__xludf.DUMMYFUNCTION("QUERY('Volunteer Survey'!P751)"),"")</f>
        <v/>
      </c>
    </row>
    <row r="753">
      <c r="A753" s="55"/>
      <c r="B753" s="55"/>
      <c r="C753" s="53"/>
      <c r="D753" s="55"/>
      <c r="E753" s="55"/>
      <c r="F753" s="55" t="b">
        <v>0</v>
      </c>
      <c r="G753" s="55"/>
      <c r="H753" s="53"/>
      <c r="I753" s="53"/>
      <c r="J753" s="55"/>
      <c r="K753" s="55"/>
      <c r="L753" s="55"/>
      <c r="M753" s="55"/>
      <c r="N753" s="55"/>
      <c r="O753" s="55" t="b">
        <v>0</v>
      </c>
      <c r="P753" s="55"/>
      <c r="Q753" s="55"/>
      <c r="R753" s="55"/>
      <c r="S753" s="55"/>
      <c r="T753" s="55"/>
      <c r="U753" s="64"/>
      <c r="V753" s="55"/>
      <c r="W753" s="64"/>
      <c r="X753" s="55"/>
      <c r="Y753" s="53"/>
      <c r="Z753" s="183" t="str">
        <f>IFERROR(__xludf.DUMMYFUNCTION("QUERY('Volunteer Survey'!A752)"),"")</f>
        <v/>
      </c>
      <c r="AA753" s="183" t="str">
        <f>IFERROR(__xludf.DUMMYFUNCTION("QUERY('Volunteer Survey'!B752)"),"")</f>
        <v/>
      </c>
      <c r="AB753" s="183" t="str">
        <f>IFERROR(__xludf.DUMMYFUNCTION("QUERY('Volunteer Survey'!C752)"),"")</f>
        <v/>
      </c>
      <c r="AC753" s="183" t="str">
        <f>IFERROR(__xludf.DUMMYFUNCTION("QUERY('Volunteer Survey'!D752)"),"")</f>
        <v/>
      </c>
      <c r="AD753" s="183" t="str">
        <f>IFERROR(__xludf.DUMMYFUNCTION("QUERY('Volunteer Survey'!E752)"),"")</f>
        <v/>
      </c>
      <c r="AE753" s="183" t="str">
        <f>IFERROR(__xludf.DUMMYFUNCTION("QUERY('Volunteer Survey'!F752)"),"")</f>
        <v/>
      </c>
      <c r="AF753" s="183" t="str">
        <f>IFERROR(__xludf.DUMMYFUNCTION("QUERY('Volunteer Survey'!G752)"),"")</f>
        <v/>
      </c>
      <c r="AG753" s="183" t="str">
        <f>IFERROR(__xludf.DUMMYFUNCTION("QUERY('Volunteer Survey'!H752)"),"")</f>
        <v/>
      </c>
      <c r="AH753" s="183" t="str">
        <f>IFERROR(__xludf.DUMMYFUNCTION("QUERY('Volunteer Survey'!I752)"),"")</f>
        <v/>
      </c>
      <c r="AI753" s="183" t="str">
        <f>IFERROR(__xludf.DUMMYFUNCTION("QUERY('Volunteer Survey'!J752)"),"")</f>
        <v/>
      </c>
      <c r="AJ753" s="183" t="str">
        <f>IFERROR(__xludf.DUMMYFUNCTION("QUERY('Volunteer Survey'!K752)"),"")</f>
        <v/>
      </c>
      <c r="AK753" s="183" t="str">
        <f>IFERROR(__xludf.DUMMYFUNCTION("QUERY('Volunteer Survey'!L752)"),"")</f>
        <v/>
      </c>
      <c r="AL753" s="183" t="str">
        <f>IFERROR(__xludf.DUMMYFUNCTION("QUERY('Volunteer Survey'!M752)"),"")</f>
        <v/>
      </c>
      <c r="AM753" s="183" t="str">
        <f>IFERROR(__xludf.DUMMYFUNCTION("QUERY('Volunteer Survey'!N752)"),"")</f>
        <v/>
      </c>
      <c r="AN753" s="183" t="str">
        <f>IFERROR(__xludf.DUMMYFUNCTION("QUERY('Volunteer Survey'!O752)"),"")</f>
        <v/>
      </c>
      <c r="AO753" s="183" t="str">
        <f>IFERROR(__xludf.DUMMYFUNCTION("QUERY('Volunteer Survey'!P752)"),"")</f>
        <v/>
      </c>
    </row>
    <row r="754">
      <c r="A754" s="55"/>
      <c r="B754" s="55"/>
      <c r="C754" s="53"/>
      <c r="D754" s="55"/>
      <c r="E754" s="55"/>
      <c r="F754" s="55" t="b">
        <v>0</v>
      </c>
      <c r="G754" s="55"/>
      <c r="H754" s="53"/>
      <c r="I754" s="53"/>
      <c r="J754" s="55"/>
      <c r="K754" s="55"/>
      <c r="L754" s="55"/>
      <c r="M754" s="55"/>
      <c r="N754" s="55"/>
      <c r="O754" s="55" t="b">
        <v>0</v>
      </c>
      <c r="P754" s="55"/>
      <c r="Q754" s="55"/>
      <c r="R754" s="55"/>
      <c r="S754" s="55"/>
      <c r="T754" s="55"/>
      <c r="U754" s="64"/>
      <c r="V754" s="55"/>
      <c r="W754" s="64"/>
      <c r="X754" s="55"/>
      <c r="Y754" s="53"/>
      <c r="Z754" s="183" t="str">
        <f>IFERROR(__xludf.DUMMYFUNCTION("QUERY('Volunteer Survey'!A753)"),"")</f>
        <v/>
      </c>
      <c r="AA754" s="183" t="str">
        <f>IFERROR(__xludf.DUMMYFUNCTION("QUERY('Volunteer Survey'!B753)"),"")</f>
        <v/>
      </c>
      <c r="AB754" s="183" t="str">
        <f>IFERROR(__xludf.DUMMYFUNCTION("QUERY('Volunteer Survey'!C753)"),"")</f>
        <v/>
      </c>
      <c r="AC754" s="183" t="str">
        <f>IFERROR(__xludf.DUMMYFUNCTION("QUERY('Volunteer Survey'!D753)"),"")</f>
        <v/>
      </c>
      <c r="AD754" s="183" t="str">
        <f>IFERROR(__xludf.DUMMYFUNCTION("QUERY('Volunteer Survey'!E753)"),"")</f>
        <v/>
      </c>
      <c r="AE754" s="183" t="str">
        <f>IFERROR(__xludf.DUMMYFUNCTION("QUERY('Volunteer Survey'!F753)"),"")</f>
        <v/>
      </c>
      <c r="AF754" s="183" t="str">
        <f>IFERROR(__xludf.DUMMYFUNCTION("QUERY('Volunteer Survey'!G753)"),"")</f>
        <v/>
      </c>
      <c r="AG754" s="183" t="str">
        <f>IFERROR(__xludf.DUMMYFUNCTION("QUERY('Volunteer Survey'!H753)"),"")</f>
        <v/>
      </c>
      <c r="AH754" s="183" t="str">
        <f>IFERROR(__xludf.DUMMYFUNCTION("QUERY('Volunteer Survey'!I753)"),"")</f>
        <v/>
      </c>
      <c r="AI754" s="183" t="str">
        <f>IFERROR(__xludf.DUMMYFUNCTION("QUERY('Volunteer Survey'!J753)"),"")</f>
        <v/>
      </c>
      <c r="AJ754" s="183" t="str">
        <f>IFERROR(__xludf.DUMMYFUNCTION("QUERY('Volunteer Survey'!K753)"),"")</f>
        <v/>
      </c>
      <c r="AK754" s="183" t="str">
        <f>IFERROR(__xludf.DUMMYFUNCTION("QUERY('Volunteer Survey'!L753)"),"")</f>
        <v/>
      </c>
      <c r="AL754" s="183" t="str">
        <f>IFERROR(__xludf.DUMMYFUNCTION("QUERY('Volunteer Survey'!M753)"),"")</f>
        <v/>
      </c>
      <c r="AM754" s="183" t="str">
        <f>IFERROR(__xludf.DUMMYFUNCTION("QUERY('Volunteer Survey'!N753)"),"")</f>
        <v/>
      </c>
      <c r="AN754" s="183" t="str">
        <f>IFERROR(__xludf.DUMMYFUNCTION("QUERY('Volunteer Survey'!O753)"),"")</f>
        <v/>
      </c>
      <c r="AO754" s="183" t="str">
        <f>IFERROR(__xludf.DUMMYFUNCTION("QUERY('Volunteer Survey'!P753)"),"")</f>
        <v/>
      </c>
    </row>
    <row r="755">
      <c r="A755" s="55"/>
      <c r="B755" s="55"/>
      <c r="C755" s="53"/>
      <c r="D755" s="55"/>
      <c r="E755" s="55"/>
      <c r="F755" s="55" t="b">
        <v>0</v>
      </c>
      <c r="G755" s="55"/>
      <c r="H755" s="53"/>
      <c r="I755" s="53"/>
      <c r="J755" s="55"/>
      <c r="K755" s="55"/>
      <c r="L755" s="55"/>
      <c r="M755" s="55"/>
      <c r="N755" s="55"/>
      <c r="O755" s="55" t="b">
        <v>0</v>
      </c>
      <c r="P755" s="55"/>
      <c r="Q755" s="55"/>
      <c r="R755" s="55"/>
      <c r="S755" s="55"/>
      <c r="T755" s="55"/>
      <c r="U755" s="64"/>
      <c r="V755" s="55"/>
      <c r="W755" s="64"/>
      <c r="X755" s="55"/>
      <c r="Y755" s="53"/>
      <c r="Z755" s="183" t="str">
        <f>IFERROR(__xludf.DUMMYFUNCTION("QUERY('Volunteer Survey'!A754)"),"")</f>
        <v/>
      </c>
      <c r="AA755" s="183" t="str">
        <f>IFERROR(__xludf.DUMMYFUNCTION("QUERY('Volunteer Survey'!B754)"),"")</f>
        <v/>
      </c>
      <c r="AB755" s="183" t="str">
        <f>IFERROR(__xludf.DUMMYFUNCTION("QUERY('Volunteer Survey'!C754)"),"")</f>
        <v/>
      </c>
      <c r="AC755" s="183" t="str">
        <f>IFERROR(__xludf.DUMMYFUNCTION("QUERY('Volunteer Survey'!D754)"),"")</f>
        <v/>
      </c>
      <c r="AD755" s="183" t="str">
        <f>IFERROR(__xludf.DUMMYFUNCTION("QUERY('Volunteer Survey'!E754)"),"")</f>
        <v/>
      </c>
      <c r="AE755" s="183" t="str">
        <f>IFERROR(__xludf.DUMMYFUNCTION("QUERY('Volunteer Survey'!F754)"),"")</f>
        <v/>
      </c>
      <c r="AF755" s="183" t="str">
        <f>IFERROR(__xludf.DUMMYFUNCTION("QUERY('Volunteer Survey'!G754)"),"")</f>
        <v/>
      </c>
      <c r="AG755" s="183" t="str">
        <f>IFERROR(__xludf.DUMMYFUNCTION("QUERY('Volunteer Survey'!H754)"),"")</f>
        <v/>
      </c>
      <c r="AH755" s="183" t="str">
        <f>IFERROR(__xludf.DUMMYFUNCTION("QUERY('Volunteer Survey'!I754)"),"")</f>
        <v/>
      </c>
      <c r="AI755" s="183" t="str">
        <f>IFERROR(__xludf.DUMMYFUNCTION("QUERY('Volunteer Survey'!J754)"),"")</f>
        <v/>
      </c>
      <c r="AJ755" s="183" t="str">
        <f>IFERROR(__xludf.DUMMYFUNCTION("QUERY('Volunteer Survey'!K754)"),"")</f>
        <v/>
      </c>
      <c r="AK755" s="183" t="str">
        <f>IFERROR(__xludf.DUMMYFUNCTION("QUERY('Volunteer Survey'!L754)"),"")</f>
        <v/>
      </c>
      <c r="AL755" s="183" t="str">
        <f>IFERROR(__xludf.DUMMYFUNCTION("QUERY('Volunteer Survey'!M754)"),"")</f>
        <v/>
      </c>
      <c r="AM755" s="183" t="str">
        <f>IFERROR(__xludf.DUMMYFUNCTION("QUERY('Volunteer Survey'!N754)"),"")</f>
        <v/>
      </c>
      <c r="AN755" s="183" t="str">
        <f>IFERROR(__xludf.DUMMYFUNCTION("QUERY('Volunteer Survey'!O754)"),"")</f>
        <v/>
      </c>
      <c r="AO755" s="183" t="str">
        <f>IFERROR(__xludf.DUMMYFUNCTION("QUERY('Volunteer Survey'!P754)"),"")</f>
        <v/>
      </c>
    </row>
    <row r="756">
      <c r="A756" s="55"/>
      <c r="B756" s="55"/>
      <c r="C756" s="53"/>
      <c r="D756" s="55"/>
      <c r="E756" s="55"/>
      <c r="F756" s="55" t="b">
        <v>0</v>
      </c>
      <c r="G756" s="55"/>
      <c r="H756" s="53"/>
      <c r="I756" s="53"/>
      <c r="J756" s="55"/>
      <c r="K756" s="55"/>
      <c r="L756" s="55"/>
      <c r="M756" s="55"/>
      <c r="N756" s="55"/>
      <c r="O756" s="55" t="b">
        <v>0</v>
      </c>
      <c r="P756" s="55"/>
      <c r="Q756" s="55"/>
      <c r="R756" s="55"/>
      <c r="S756" s="55"/>
      <c r="T756" s="55"/>
      <c r="U756" s="64"/>
      <c r="V756" s="55"/>
      <c r="W756" s="64"/>
      <c r="X756" s="55"/>
      <c r="Y756" s="53"/>
      <c r="Z756" s="183" t="str">
        <f>IFERROR(__xludf.DUMMYFUNCTION("QUERY('Volunteer Survey'!A755)"),"")</f>
        <v/>
      </c>
      <c r="AA756" s="183" t="str">
        <f>IFERROR(__xludf.DUMMYFUNCTION("QUERY('Volunteer Survey'!B755)"),"")</f>
        <v/>
      </c>
      <c r="AB756" s="183" t="str">
        <f>IFERROR(__xludf.DUMMYFUNCTION("QUERY('Volunteer Survey'!C755)"),"")</f>
        <v/>
      </c>
      <c r="AC756" s="183" t="str">
        <f>IFERROR(__xludf.DUMMYFUNCTION("QUERY('Volunteer Survey'!D755)"),"")</f>
        <v/>
      </c>
      <c r="AD756" s="183" t="str">
        <f>IFERROR(__xludf.DUMMYFUNCTION("QUERY('Volunteer Survey'!E755)"),"")</f>
        <v/>
      </c>
      <c r="AE756" s="183" t="str">
        <f>IFERROR(__xludf.DUMMYFUNCTION("QUERY('Volunteer Survey'!F755)"),"")</f>
        <v/>
      </c>
      <c r="AF756" s="183" t="str">
        <f>IFERROR(__xludf.DUMMYFUNCTION("QUERY('Volunteer Survey'!G755)"),"")</f>
        <v/>
      </c>
      <c r="AG756" s="183" t="str">
        <f>IFERROR(__xludf.DUMMYFUNCTION("QUERY('Volunteer Survey'!H755)"),"")</f>
        <v/>
      </c>
      <c r="AH756" s="183" t="str">
        <f>IFERROR(__xludf.DUMMYFUNCTION("QUERY('Volunteer Survey'!I755)"),"")</f>
        <v/>
      </c>
      <c r="AI756" s="183" t="str">
        <f>IFERROR(__xludf.DUMMYFUNCTION("QUERY('Volunteer Survey'!J755)"),"")</f>
        <v/>
      </c>
      <c r="AJ756" s="183" t="str">
        <f>IFERROR(__xludf.DUMMYFUNCTION("QUERY('Volunteer Survey'!K755)"),"")</f>
        <v/>
      </c>
      <c r="AK756" s="183" t="str">
        <f>IFERROR(__xludf.DUMMYFUNCTION("QUERY('Volunteer Survey'!L755)"),"")</f>
        <v/>
      </c>
      <c r="AL756" s="183" t="str">
        <f>IFERROR(__xludf.DUMMYFUNCTION("QUERY('Volunteer Survey'!M755)"),"")</f>
        <v/>
      </c>
      <c r="AM756" s="183" t="str">
        <f>IFERROR(__xludf.DUMMYFUNCTION("QUERY('Volunteer Survey'!N755)"),"")</f>
        <v/>
      </c>
      <c r="AN756" s="183" t="str">
        <f>IFERROR(__xludf.DUMMYFUNCTION("QUERY('Volunteer Survey'!O755)"),"")</f>
        <v/>
      </c>
      <c r="AO756" s="183" t="str">
        <f>IFERROR(__xludf.DUMMYFUNCTION("QUERY('Volunteer Survey'!P755)"),"")</f>
        <v/>
      </c>
    </row>
    <row r="757">
      <c r="A757" s="55"/>
      <c r="B757" s="55"/>
      <c r="C757" s="53"/>
      <c r="D757" s="55"/>
      <c r="E757" s="55"/>
      <c r="F757" s="55" t="b">
        <v>0</v>
      </c>
      <c r="G757" s="55"/>
      <c r="H757" s="53"/>
      <c r="I757" s="53"/>
      <c r="J757" s="55"/>
      <c r="K757" s="55"/>
      <c r="L757" s="55"/>
      <c r="M757" s="55"/>
      <c r="N757" s="55"/>
      <c r="O757" s="55" t="b">
        <v>0</v>
      </c>
      <c r="P757" s="55"/>
      <c r="Q757" s="55"/>
      <c r="R757" s="55"/>
      <c r="S757" s="55"/>
      <c r="T757" s="55"/>
      <c r="U757" s="64"/>
      <c r="V757" s="55"/>
      <c r="W757" s="64"/>
      <c r="X757" s="55"/>
      <c r="Y757" s="53"/>
      <c r="Z757" s="183" t="str">
        <f>IFERROR(__xludf.DUMMYFUNCTION("QUERY('Volunteer Survey'!A756)"),"")</f>
        <v/>
      </c>
      <c r="AA757" s="183" t="str">
        <f>IFERROR(__xludf.DUMMYFUNCTION("QUERY('Volunteer Survey'!B756)"),"")</f>
        <v/>
      </c>
      <c r="AB757" s="183" t="str">
        <f>IFERROR(__xludf.DUMMYFUNCTION("QUERY('Volunteer Survey'!C756)"),"")</f>
        <v/>
      </c>
      <c r="AC757" s="183" t="str">
        <f>IFERROR(__xludf.DUMMYFUNCTION("QUERY('Volunteer Survey'!D756)"),"")</f>
        <v/>
      </c>
      <c r="AD757" s="183" t="str">
        <f>IFERROR(__xludf.DUMMYFUNCTION("QUERY('Volunteer Survey'!E756)"),"")</f>
        <v/>
      </c>
      <c r="AE757" s="183" t="str">
        <f>IFERROR(__xludf.DUMMYFUNCTION("QUERY('Volunteer Survey'!F756)"),"")</f>
        <v/>
      </c>
      <c r="AF757" s="183" t="str">
        <f>IFERROR(__xludf.DUMMYFUNCTION("QUERY('Volunteer Survey'!G756)"),"")</f>
        <v/>
      </c>
      <c r="AG757" s="183" t="str">
        <f>IFERROR(__xludf.DUMMYFUNCTION("QUERY('Volunteer Survey'!H756)"),"")</f>
        <v/>
      </c>
      <c r="AH757" s="183" t="str">
        <f>IFERROR(__xludf.DUMMYFUNCTION("QUERY('Volunteer Survey'!I756)"),"")</f>
        <v/>
      </c>
      <c r="AI757" s="183" t="str">
        <f>IFERROR(__xludf.DUMMYFUNCTION("QUERY('Volunteer Survey'!J756)"),"")</f>
        <v/>
      </c>
      <c r="AJ757" s="183" t="str">
        <f>IFERROR(__xludf.DUMMYFUNCTION("QUERY('Volunteer Survey'!K756)"),"")</f>
        <v/>
      </c>
      <c r="AK757" s="183" t="str">
        <f>IFERROR(__xludf.DUMMYFUNCTION("QUERY('Volunteer Survey'!L756)"),"")</f>
        <v/>
      </c>
      <c r="AL757" s="183" t="str">
        <f>IFERROR(__xludf.DUMMYFUNCTION("QUERY('Volunteer Survey'!M756)"),"")</f>
        <v/>
      </c>
      <c r="AM757" s="183" t="str">
        <f>IFERROR(__xludf.DUMMYFUNCTION("QUERY('Volunteer Survey'!N756)"),"")</f>
        <v/>
      </c>
      <c r="AN757" s="183" t="str">
        <f>IFERROR(__xludf.DUMMYFUNCTION("QUERY('Volunteer Survey'!O756)"),"")</f>
        <v/>
      </c>
      <c r="AO757" s="183" t="str">
        <f>IFERROR(__xludf.DUMMYFUNCTION("QUERY('Volunteer Survey'!P756)"),"")</f>
        <v/>
      </c>
    </row>
    <row r="758">
      <c r="A758" s="55"/>
      <c r="B758" s="55"/>
      <c r="C758" s="53"/>
      <c r="D758" s="55"/>
      <c r="E758" s="55"/>
      <c r="F758" s="55" t="b">
        <v>0</v>
      </c>
      <c r="G758" s="55"/>
      <c r="H758" s="53"/>
      <c r="I758" s="53"/>
      <c r="J758" s="55"/>
      <c r="K758" s="55"/>
      <c r="L758" s="55"/>
      <c r="M758" s="55"/>
      <c r="N758" s="55"/>
      <c r="O758" s="55" t="b">
        <v>0</v>
      </c>
      <c r="P758" s="55"/>
      <c r="Q758" s="55"/>
      <c r="R758" s="55"/>
      <c r="S758" s="55"/>
      <c r="T758" s="55"/>
      <c r="U758" s="64"/>
      <c r="V758" s="55"/>
      <c r="W758" s="64"/>
      <c r="X758" s="55"/>
      <c r="Y758" s="53"/>
      <c r="Z758" s="183" t="str">
        <f>IFERROR(__xludf.DUMMYFUNCTION("QUERY('Volunteer Survey'!A757)"),"")</f>
        <v/>
      </c>
      <c r="AA758" s="183" t="str">
        <f>IFERROR(__xludf.DUMMYFUNCTION("QUERY('Volunteer Survey'!B757)"),"")</f>
        <v/>
      </c>
      <c r="AB758" s="183" t="str">
        <f>IFERROR(__xludf.DUMMYFUNCTION("QUERY('Volunteer Survey'!C757)"),"")</f>
        <v/>
      </c>
      <c r="AC758" s="183" t="str">
        <f>IFERROR(__xludf.DUMMYFUNCTION("QUERY('Volunteer Survey'!D757)"),"")</f>
        <v/>
      </c>
      <c r="AD758" s="183" t="str">
        <f>IFERROR(__xludf.DUMMYFUNCTION("QUERY('Volunteer Survey'!E757)"),"")</f>
        <v/>
      </c>
      <c r="AE758" s="183" t="str">
        <f>IFERROR(__xludf.DUMMYFUNCTION("QUERY('Volunteer Survey'!F757)"),"")</f>
        <v/>
      </c>
      <c r="AF758" s="183" t="str">
        <f>IFERROR(__xludf.DUMMYFUNCTION("QUERY('Volunteer Survey'!G757)"),"")</f>
        <v/>
      </c>
      <c r="AG758" s="183" t="str">
        <f>IFERROR(__xludf.DUMMYFUNCTION("QUERY('Volunteer Survey'!H757)"),"")</f>
        <v/>
      </c>
      <c r="AH758" s="183" t="str">
        <f>IFERROR(__xludf.DUMMYFUNCTION("QUERY('Volunteer Survey'!I757)"),"")</f>
        <v/>
      </c>
      <c r="AI758" s="183" t="str">
        <f>IFERROR(__xludf.DUMMYFUNCTION("QUERY('Volunteer Survey'!J757)"),"")</f>
        <v/>
      </c>
      <c r="AJ758" s="183" t="str">
        <f>IFERROR(__xludf.DUMMYFUNCTION("QUERY('Volunteer Survey'!K757)"),"")</f>
        <v/>
      </c>
      <c r="AK758" s="183" t="str">
        <f>IFERROR(__xludf.DUMMYFUNCTION("QUERY('Volunteer Survey'!L757)"),"")</f>
        <v/>
      </c>
      <c r="AL758" s="183" t="str">
        <f>IFERROR(__xludf.DUMMYFUNCTION("QUERY('Volunteer Survey'!M757)"),"")</f>
        <v/>
      </c>
      <c r="AM758" s="183" t="str">
        <f>IFERROR(__xludf.DUMMYFUNCTION("QUERY('Volunteer Survey'!N757)"),"")</f>
        <v/>
      </c>
      <c r="AN758" s="183" t="str">
        <f>IFERROR(__xludf.DUMMYFUNCTION("QUERY('Volunteer Survey'!O757)"),"")</f>
        <v/>
      </c>
      <c r="AO758" s="183" t="str">
        <f>IFERROR(__xludf.DUMMYFUNCTION("QUERY('Volunteer Survey'!P757)"),"")</f>
        <v/>
      </c>
    </row>
    <row r="759">
      <c r="A759" s="55"/>
      <c r="B759" s="55"/>
      <c r="C759" s="53"/>
      <c r="D759" s="55"/>
      <c r="E759" s="55"/>
      <c r="F759" s="55" t="b">
        <v>0</v>
      </c>
      <c r="G759" s="55"/>
      <c r="H759" s="53"/>
      <c r="I759" s="53"/>
      <c r="J759" s="55"/>
      <c r="K759" s="55"/>
      <c r="L759" s="55"/>
      <c r="M759" s="55"/>
      <c r="N759" s="55"/>
      <c r="O759" s="55" t="b">
        <v>0</v>
      </c>
      <c r="P759" s="55"/>
      <c r="Q759" s="55"/>
      <c r="R759" s="55"/>
      <c r="S759" s="55"/>
      <c r="T759" s="55"/>
      <c r="U759" s="64"/>
      <c r="V759" s="55"/>
      <c r="W759" s="64"/>
      <c r="X759" s="55"/>
      <c r="Y759" s="53"/>
      <c r="Z759" s="183" t="str">
        <f>IFERROR(__xludf.DUMMYFUNCTION("QUERY('Volunteer Survey'!A758)"),"")</f>
        <v/>
      </c>
      <c r="AA759" s="183" t="str">
        <f>IFERROR(__xludf.DUMMYFUNCTION("QUERY('Volunteer Survey'!B758)"),"")</f>
        <v/>
      </c>
      <c r="AB759" s="183" t="str">
        <f>IFERROR(__xludf.DUMMYFUNCTION("QUERY('Volunteer Survey'!C758)"),"")</f>
        <v/>
      </c>
      <c r="AC759" s="183" t="str">
        <f>IFERROR(__xludf.DUMMYFUNCTION("QUERY('Volunteer Survey'!D758)"),"")</f>
        <v/>
      </c>
      <c r="AD759" s="183" t="str">
        <f>IFERROR(__xludf.DUMMYFUNCTION("QUERY('Volunteer Survey'!E758)"),"")</f>
        <v/>
      </c>
      <c r="AE759" s="183" t="str">
        <f>IFERROR(__xludf.DUMMYFUNCTION("QUERY('Volunteer Survey'!F758)"),"")</f>
        <v/>
      </c>
      <c r="AF759" s="183" t="str">
        <f>IFERROR(__xludf.DUMMYFUNCTION("QUERY('Volunteer Survey'!G758)"),"")</f>
        <v/>
      </c>
      <c r="AG759" s="183" t="str">
        <f>IFERROR(__xludf.DUMMYFUNCTION("QUERY('Volunteer Survey'!H758)"),"")</f>
        <v/>
      </c>
      <c r="AH759" s="183" t="str">
        <f>IFERROR(__xludf.DUMMYFUNCTION("QUERY('Volunteer Survey'!I758)"),"")</f>
        <v/>
      </c>
      <c r="AI759" s="183" t="str">
        <f>IFERROR(__xludf.DUMMYFUNCTION("QUERY('Volunteer Survey'!J758)"),"")</f>
        <v/>
      </c>
      <c r="AJ759" s="183" t="str">
        <f>IFERROR(__xludf.DUMMYFUNCTION("QUERY('Volunteer Survey'!K758)"),"")</f>
        <v/>
      </c>
      <c r="AK759" s="183" t="str">
        <f>IFERROR(__xludf.DUMMYFUNCTION("QUERY('Volunteer Survey'!L758)"),"")</f>
        <v/>
      </c>
      <c r="AL759" s="183" t="str">
        <f>IFERROR(__xludf.DUMMYFUNCTION("QUERY('Volunteer Survey'!M758)"),"")</f>
        <v/>
      </c>
      <c r="AM759" s="183" t="str">
        <f>IFERROR(__xludf.DUMMYFUNCTION("QUERY('Volunteer Survey'!N758)"),"")</f>
        <v/>
      </c>
      <c r="AN759" s="183" t="str">
        <f>IFERROR(__xludf.DUMMYFUNCTION("QUERY('Volunteer Survey'!O758)"),"")</f>
        <v/>
      </c>
      <c r="AO759" s="183" t="str">
        <f>IFERROR(__xludf.DUMMYFUNCTION("QUERY('Volunteer Survey'!P758)"),"")</f>
        <v/>
      </c>
    </row>
    <row r="760">
      <c r="A760" s="55"/>
      <c r="B760" s="55"/>
      <c r="C760" s="53"/>
      <c r="D760" s="55"/>
      <c r="E760" s="55"/>
      <c r="F760" s="55" t="b">
        <v>0</v>
      </c>
      <c r="G760" s="55"/>
      <c r="H760" s="53"/>
      <c r="I760" s="53"/>
      <c r="J760" s="55"/>
      <c r="K760" s="55"/>
      <c r="L760" s="55"/>
      <c r="M760" s="55"/>
      <c r="N760" s="55"/>
      <c r="O760" s="55" t="b">
        <v>0</v>
      </c>
      <c r="P760" s="55"/>
      <c r="Q760" s="55"/>
      <c r="R760" s="55"/>
      <c r="S760" s="55"/>
      <c r="T760" s="55"/>
      <c r="U760" s="64"/>
      <c r="V760" s="55"/>
      <c r="W760" s="64"/>
      <c r="X760" s="55"/>
      <c r="Y760" s="53"/>
      <c r="Z760" s="183" t="str">
        <f>IFERROR(__xludf.DUMMYFUNCTION("QUERY('Volunteer Survey'!A759)"),"")</f>
        <v/>
      </c>
      <c r="AA760" s="183" t="str">
        <f>IFERROR(__xludf.DUMMYFUNCTION("QUERY('Volunteer Survey'!B759)"),"")</f>
        <v/>
      </c>
      <c r="AB760" s="183" t="str">
        <f>IFERROR(__xludf.DUMMYFUNCTION("QUERY('Volunteer Survey'!C759)"),"")</f>
        <v/>
      </c>
      <c r="AC760" s="183" t="str">
        <f>IFERROR(__xludf.DUMMYFUNCTION("QUERY('Volunteer Survey'!D759)"),"")</f>
        <v/>
      </c>
      <c r="AD760" s="183" t="str">
        <f>IFERROR(__xludf.DUMMYFUNCTION("QUERY('Volunteer Survey'!E759)"),"")</f>
        <v/>
      </c>
      <c r="AE760" s="183" t="str">
        <f>IFERROR(__xludf.DUMMYFUNCTION("QUERY('Volunteer Survey'!F759)"),"")</f>
        <v/>
      </c>
      <c r="AF760" s="183" t="str">
        <f>IFERROR(__xludf.DUMMYFUNCTION("QUERY('Volunteer Survey'!G759)"),"")</f>
        <v/>
      </c>
      <c r="AG760" s="183" t="str">
        <f>IFERROR(__xludf.DUMMYFUNCTION("QUERY('Volunteer Survey'!H759)"),"")</f>
        <v/>
      </c>
      <c r="AH760" s="183" t="str">
        <f>IFERROR(__xludf.DUMMYFUNCTION("QUERY('Volunteer Survey'!I759)"),"")</f>
        <v/>
      </c>
      <c r="AI760" s="183" t="str">
        <f>IFERROR(__xludf.DUMMYFUNCTION("QUERY('Volunteer Survey'!J759)"),"")</f>
        <v/>
      </c>
      <c r="AJ760" s="183" t="str">
        <f>IFERROR(__xludf.DUMMYFUNCTION("QUERY('Volunteer Survey'!K759)"),"")</f>
        <v/>
      </c>
      <c r="AK760" s="183" t="str">
        <f>IFERROR(__xludf.DUMMYFUNCTION("QUERY('Volunteer Survey'!L759)"),"")</f>
        <v/>
      </c>
      <c r="AL760" s="183" t="str">
        <f>IFERROR(__xludf.DUMMYFUNCTION("QUERY('Volunteer Survey'!M759)"),"")</f>
        <v/>
      </c>
      <c r="AM760" s="183" t="str">
        <f>IFERROR(__xludf.DUMMYFUNCTION("QUERY('Volunteer Survey'!N759)"),"")</f>
        <v/>
      </c>
      <c r="AN760" s="183" t="str">
        <f>IFERROR(__xludf.DUMMYFUNCTION("QUERY('Volunteer Survey'!O759)"),"")</f>
        <v/>
      </c>
      <c r="AO760" s="183" t="str">
        <f>IFERROR(__xludf.DUMMYFUNCTION("QUERY('Volunteer Survey'!P759)"),"")</f>
        <v/>
      </c>
    </row>
    <row r="761">
      <c r="A761" s="55"/>
      <c r="B761" s="55"/>
      <c r="C761" s="53"/>
      <c r="D761" s="55"/>
      <c r="E761" s="55"/>
      <c r="F761" s="55" t="b">
        <v>0</v>
      </c>
      <c r="G761" s="55"/>
      <c r="H761" s="53"/>
      <c r="I761" s="53"/>
      <c r="J761" s="55"/>
      <c r="K761" s="55"/>
      <c r="L761" s="55"/>
      <c r="M761" s="55"/>
      <c r="N761" s="55"/>
      <c r="O761" s="55" t="b">
        <v>0</v>
      </c>
      <c r="P761" s="55"/>
      <c r="Q761" s="55"/>
      <c r="R761" s="55"/>
      <c r="S761" s="55"/>
      <c r="T761" s="55"/>
      <c r="U761" s="64"/>
      <c r="V761" s="55"/>
      <c r="W761" s="64"/>
      <c r="X761" s="55"/>
      <c r="Y761" s="53"/>
      <c r="Z761" s="183" t="str">
        <f>IFERROR(__xludf.DUMMYFUNCTION("QUERY('Volunteer Survey'!A760)"),"")</f>
        <v/>
      </c>
      <c r="AA761" s="183" t="str">
        <f>IFERROR(__xludf.DUMMYFUNCTION("QUERY('Volunteer Survey'!B760)"),"")</f>
        <v/>
      </c>
      <c r="AB761" s="183" t="str">
        <f>IFERROR(__xludf.DUMMYFUNCTION("QUERY('Volunteer Survey'!C760)"),"")</f>
        <v/>
      </c>
      <c r="AC761" s="183" t="str">
        <f>IFERROR(__xludf.DUMMYFUNCTION("QUERY('Volunteer Survey'!D760)"),"")</f>
        <v/>
      </c>
      <c r="AD761" s="183" t="str">
        <f>IFERROR(__xludf.DUMMYFUNCTION("QUERY('Volunteer Survey'!E760)"),"")</f>
        <v/>
      </c>
      <c r="AE761" s="183" t="str">
        <f>IFERROR(__xludf.DUMMYFUNCTION("QUERY('Volunteer Survey'!F760)"),"")</f>
        <v/>
      </c>
      <c r="AF761" s="183" t="str">
        <f>IFERROR(__xludf.DUMMYFUNCTION("QUERY('Volunteer Survey'!G760)"),"")</f>
        <v/>
      </c>
      <c r="AG761" s="183" t="str">
        <f>IFERROR(__xludf.DUMMYFUNCTION("QUERY('Volunteer Survey'!H760)"),"")</f>
        <v/>
      </c>
      <c r="AH761" s="183" t="str">
        <f>IFERROR(__xludf.DUMMYFUNCTION("QUERY('Volunteer Survey'!I760)"),"")</f>
        <v/>
      </c>
      <c r="AI761" s="183" t="str">
        <f>IFERROR(__xludf.DUMMYFUNCTION("QUERY('Volunteer Survey'!J760)"),"")</f>
        <v/>
      </c>
      <c r="AJ761" s="183" t="str">
        <f>IFERROR(__xludf.DUMMYFUNCTION("QUERY('Volunteer Survey'!K760)"),"")</f>
        <v/>
      </c>
      <c r="AK761" s="183" t="str">
        <f>IFERROR(__xludf.DUMMYFUNCTION("QUERY('Volunteer Survey'!L760)"),"")</f>
        <v/>
      </c>
      <c r="AL761" s="183" t="str">
        <f>IFERROR(__xludf.DUMMYFUNCTION("QUERY('Volunteer Survey'!M760)"),"")</f>
        <v/>
      </c>
      <c r="AM761" s="183" t="str">
        <f>IFERROR(__xludf.DUMMYFUNCTION("QUERY('Volunteer Survey'!N760)"),"")</f>
        <v/>
      </c>
      <c r="AN761" s="183" t="str">
        <f>IFERROR(__xludf.DUMMYFUNCTION("QUERY('Volunteer Survey'!O760)"),"")</f>
        <v/>
      </c>
      <c r="AO761" s="183" t="str">
        <f>IFERROR(__xludf.DUMMYFUNCTION("QUERY('Volunteer Survey'!P760)"),"")</f>
        <v/>
      </c>
    </row>
    <row r="762">
      <c r="A762" s="55"/>
      <c r="B762" s="55"/>
      <c r="C762" s="53"/>
      <c r="D762" s="55"/>
      <c r="E762" s="55"/>
      <c r="F762" s="55" t="b">
        <v>0</v>
      </c>
      <c r="G762" s="55"/>
      <c r="H762" s="53"/>
      <c r="I762" s="53"/>
      <c r="J762" s="55"/>
      <c r="K762" s="55"/>
      <c r="L762" s="55"/>
      <c r="M762" s="55"/>
      <c r="N762" s="55"/>
      <c r="O762" s="55" t="b">
        <v>0</v>
      </c>
      <c r="P762" s="55"/>
      <c r="Q762" s="55"/>
      <c r="R762" s="55"/>
      <c r="S762" s="55"/>
      <c r="T762" s="55"/>
      <c r="U762" s="64"/>
      <c r="V762" s="55"/>
      <c r="W762" s="64"/>
      <c r="X762" s="55"/>
      <c r="Y762" s="53"/>
      <c r="Z762" s="183" t="str">
        <f>IFERROR(__xludf.DUMMYFUNCTION("QUERY('Volunteer Survey'!A761)"),"")</f>
        <v/>
      </c>
      <c r="AA762" s="183" t="str">
        <f>IFERROR(__xludf.DUMMYFUNCTION("QUERY('Volunteer Survey'!B761)"),"")</f>
        <v/>
      </c>
      <c r="AB762" s="183" t="str">
        <f>IFERROR(__xludf.DUMMYFUNCTION("QUERY('Volunteer Survey'!C761)"),"")</f>
        <v/>
      </c>
      <c r="AC762" s="183" t="str">
        <f>IFERROR(__xludf.DUMMYFUNCTION("QUERY('Volunteer Survey'!D761)"),"")</f>
        <v/>
      </c>
      <c r="AD762" s="183" t="str">
        <f>IFERROR(__xludf.DUMMYFUNCTION("QUERY('Volunteer Survey'!E761)"),"")</f>
        <v/>
      </c>
      <c r="AE762" s="183" t="str">
        <f>IFERROR(__xludf.DUMMYFUNCTION("QUERY('Volunteer Survey'!F761)"),"")</f>
        <v/>
      </c>
      <c r="AF762" s="183" t="str">
        <f>IFERROR(__xludf.DUMMYFUNCTION("QUERY('Volunteer Survey'!G761)"),"")</f>
        <v/>
      </c>
      <c r="AG762" s="183" t="str">
        <f>IFERROR(__xludf.DUMMYFUNCTION("QUERY('Volunteer Survey'!H761)"),"")</f>
        <v/>
      </c>
      <c r="AH762" s="183" t="str">
        <f>IFERROR(__xludf.DUMMYFUNCTION("QUERY('Volunteer Survey'!I761)"),"")</f>
        <v/>
      </c>
      <c r="AI762" s="183" t="str">
        <f>IFERROR(__xludf.DUMMYFUNCTION("QUERY('Volunteer Survey'!J761)"),"")</f>
        <v/>
      </c>
      <c r="AJ762" s="183" t="str">
        <f>IFERROR(__xludf.DUMMYFUNCTION("QUERY('Volunteer Survey'!K761)"),"")</f>
        <v/>
      </c>
      <c r="AK762" s="183" t="str">
        <f>IFERROR(__xludf.DUMMYFUNCTION("QUERY('Volunteer Survey'!L761)"),"")</f>
        <v/>
      </c>
      <c r="AL762" s="183" t="str">
        <f>IFERROR(__xludf.DUMMYFUNCTION("QUERY('Volunteer Survey'!M761)"),"")</f>
        <v/>
      </c>
      <c r="AM762" s="183" t="str">
        <f>IFERROR(__xludf.DUMMYFUNCTION("QUERY('Volunteer Survey'!N761)"),"")</f>
        <v/>
      </c>
      <c r="AN762" s="183" t="str">
        <f>IFERROR(__xludf.DUMMYFUNCTION("QUERY('Volunteer Survey'!O761)"),"")</f>
        <v/>
      </c>
      <c r="AO762" s="183" t="str">
        <f>IFERROR(__xludf.DUMMYFUNCTION("QUERY('Volunteer Survey'!P761)"),"")</f>
        <v/>
      </c>
    </row>
    <row r="763">
      <c r="A763" s="55"/>
      <c r="B763" s="55"/>
      <c r="C763" s="53"/>
      <c r="D763" s="55"/>
      <c r="E763" s="55"/>
      <c r="F763" s="55" t="b">
        <v>0</v>
      </c>
      <c r="G763" s="55"/>
      <c r="H763" s="53"/>
      <c r="I763" s="53"/>
      <c r="J763" s="55"/>
      <c r="K763" s="55"/>
      <c r="L763" s="55"/>
      <c r="M763" s="55"/>
      <c r="N763" s="55"/>
      <c r="O763" s="55" t="b">
        <v>0</v>
      </c>
      <c r="P763" s="55"/>
      <c r="Q763" s="55"/>
      <c r="R763" s="55"/>
      <c r="S763" s="55"/>
      <c r="T763" s="55"/>
      <c r="U763" s="64"/>
      <c r="V763" s="55"/>
      <c r="W763" s="64"/>
      <c r="X763" s="55"/>
      <c r="Y763" s="53"/>
      <c r="Z763" s="183" t="str">
        <f>IFERROR(__xludf.DUMMYFUNCTION("QUERY('Volunteer Survey'!A762)"),"")</f>
        <v/>
      </c>
      <c r="AA763" s="183" t="str">
        <f>IFERROR(__xludf.DUMMYFUNCTION("QUERY('Volunteer Survey'!B762)"),"")</f>
        <v/>
      </c>
      <c r="AB763" s="183" t="str">
        <f>IFERROR(__xludf.DUMMYFUNCTION("QUERY('Volunteer Survey'!C762)"),"")</f>
        <v/>
      </c>
      <c r="AC763" s="183" t="str">
        <f>IFERROR(__xludf.DUMMYFUNCTION("QUERY('Volunteer Survey'!D762)"),"")</f>
        <v/>
      </c>
      <c r="AD763" s="183" t="str">
        <f>IFERROR(__xludf.DUMMYFUNCTION("QUERY('Volunteer Survey'!E762)"),"")</f>
        <v/>
      </c>
      <c r="AE763" s="183" t="str">
        <f>IFERROR(__xludf.DUMMYFUNCTION("QUERY('Volunteer Survey'!F762)"),"")</f>
        <v/>
      </c>
      <c r="AF763" s="183" t="str">
        <f>IFERROR(__xludf.DUMMYFUNCTION("QUERY('Volunteer Survey'!G762)"),"")</f>
        <v/>
      </c>
      <c r="AG763" s="183" t="str">
        <f>IFERROR(__xludf.DUMMYFUNCTION("QUERY('Volunteer Survey'!H762)"),"")</f>
        <v/>
      </c>
      <c r="AH763" s="183" t="str">
        <f>IFERROR(__xludf.DUMMYFUNCTION("QUERY('Volunteer Survey'!I762)"),"")</f>
        <v/>
      </c>
      <c r="AI763" s="183" t="str">
        <f>IFERROR(__xludf.DUMMYFUNCTION("QUERY('Volunteer Survey'!J762)"),"")</f>
        <v/>
      </c>
      <c r="AJ763" s="183" t="str">
        <f>IFERROR(__xludf.DUMMYFUNCTION("QUERY('Volunteer Survey'!K762)"),"")</f>
        <v/>
      </c>
      <c r="AK763" s="183" t="str">
        <f>IFERROR(__xludf.DUMMYFUNCTION("QUERY('Volunteer Survey'!L762)"),"")</f>
        <v/>
      </c>
      <c r="AL763" s="183" t="str">
        <f>IFERROR(__xludf.DUMMYFUNCTION("QUERY('Volunteer Survey'!M762)"),"")</f>
        <v/>
      </c>
      <c r="AM763" s="183" t="str">
        <f>IFERROR(__xludf.DUMMYFUNCTION("QUERY('Volunteer Survey'!N762)"),"")</f>
        <v/>
      </c>
      <c r="AN763" s="183" t="str">
        <f>IFERROR(__xludf.DUMMYFUNCTION("QUERY('Volunteer Survey'!O762)"),"")</f>
        <v/>
      </c>
      <c r="AO763" s="183" t="str">
        <f>IFERROR(__xludf.DUMMYFUNCTION("QUERY('Volunteer Survey'!P762)"),"")</f>
        <v/>
      </c>
    </row>
    <row r="764">
      <c r="A764" s="55"/>
      <c r="B764" s="55"/>
      <c r="C764" s="53"/>
      <c r="D764" s="55"/>
      <c r="E764" s="55"/>
      <c r="F764" s="55" t="b">
        <v>0</v>
      </c>
      <c r="G764" s="55"/>
      <c r="H764" s="53"/>
      <c r="I764" s="53"/>
      <c r="J764" s="55"/>
      <c r="K764" s="55"/>
      <c r="L764" s="55"/>
      <c r="M764" s="55"/>
      <c r="N764" s="55"/>
      <c r="O764" s="55" t="b">
        <v>0</v>
      </c>
      <c r="P764" s="55"/>
      <c r="Q764" s="55"/>
      <c r="R764" s="55"/>
      <c r="S764" s="55"/>
      <c r="T764" s="55"/>
      <c r="U764" s="64"/>
      <c r="V764" s="55"/>
      <c r="W764" s="64"/>
      <c r="X764" s="55"/>
      <c r="Y764" s="53"/>
      <c r="Z764" s="183" t="str">
        <f>IFERROR(__xludf.DUMMYFUNCTION("QUERY('Volunteer Survey'!A763)"),"")</f>
        <v/>
      </c>
      <c r="AA764" s="183" t="str">
        <f>IFERROR(__xludf.DUMMYFUNCTION("QUERY('Volunteer Survey'!B763)"),"")</f>
        <v/>
      </c>
      <c r="AB764" s="183" t="str">
        <f>IFERROR(__xludf.DUMMYFUNCTION("QUERY('Volunteer Survey'!C763)"),"")</f>
        <v/>
      </c>
      <c r="AC764" s="183" t="str">
        <f>IFERROR(__xludf.DUMMYFUNCTION("QUERY('Volunteer Survey'!D763)"),"")</f>
        <v/>
      </c>
      <c r="AD764" s="183" t="str">
        <f>IFERROR(__xludf.DUMMYFUNCTION("QUERY('Volunteer Survey'!E763)"),"")</f>
        <v/>
      </c>
      <c r="AE764" s="183" t="str">
        <f>IFERROR(__xludf.DUMMYFUNCTION("QUERY('Volunteer Survey'!F763)"),"")</f>
        <v/>
      </c>
      <c r="AF764" s="183" t="str">
        <f>IFERROR(__xludf.DUMMYFUNCTION("QUERY('Volunteer Survey'!G763)"),"")</f>
        <v/>
      </c>
      <c r="AG764" s="183" t="str">
        <f>IFERROR(__xludf.DUMMYFUNCTION("QUERY('Volunteer Survey'!H763)"),"")</f>
        <v/>
      </c>
      <c r="AH764" s="183" t="str">
        <f>IFERROR(__xludf.DUMMYFUNCTION("QUERY('Volunteer Survey'!I763)"),"")</f>
        <v/>
      </c>
      <c r="AI764" s="183" t="str">
        <f>IFERROR(__xludf.DUMMYFUNCTION("QUERY('Volunteer Survey'!J763)"),"")</f>
        <v/>
      </c>
      <c r="AJ764" s="183" t="str">
        <f>IFERROR(__xludf.DUMMYFUNCTION("QUERY('Volunteer Survey'!K763)"),"")</f>
        <v/>
      </c>
      <c r="AK764" s="183" t="str">
        <f>IFERROR(__xludf.DUMMYFUNCTION("QUERY('Volunteer Survey'!L763)"),"")</f>
        <v/>
      </c>
      <c r="AL764" s="183" t="str">
        <f>IFERROR(__xludf.DUMMYFUNCTION("QUERY('Volunteer Survey'!M763)"),"")</f>
        <v/>
      </c>
      <c r="AM764" s="183" t="str">
        <f>IFERROR(__xludf.DUMMYFUNCTION("QUERY('Volunteer Survey'!N763)"),"")</f>
        <v/>
      </c>
      <c r="AN764" s="183" t="str">
        <f>IFERROR(__xludf.DUMMYFUNCTION("QUERY('Volunteer Survey'!O763)"),"")</f>
        <v/>
      </c>
      <c r="AO764" s="183" t="str">
        <f>IFERROR(__xludf.DUMMYFUNCTION("QUERY('Volunteer Survey'!P763)"),"")</f>
        <v/>
      </c>
    </row>
    <row r="765">
      <c r="A765" s="55"/>
      <c r="B765" s="55"/>
      <c r="C765" s="53"/>
      <c r="D765" s="55"/>
      <c r="E765" s="55"/>
      <c r="F765" s="55" t="b">
        <v>0</v>
      </c>
      <c r="G765" s="55"/>
      <c r="H765" s="53"/>
      <c r="I765" s="53"/>
      <c r="J765" s="55"/>
      <c r="K765" s="55"/>
      <c r="L765" s="55"/>
      <c r="M765" s="55"/>
      <c r="N765" s="55"/>
      <c r="O765" s="55" t="b">
        <v>0</v>
      </c>
      <c r="P765" s="55"/>
      <c r="Q765" s="55"/>
      <c r="R765" s="55"/>
      <c r="S765" s="55"/>
      <c r="T765" s="55"/>
      <c r="U765" s="64"/>
      <c r="V765" s="55"/>
      <c r="W765" s="64"/>
      <c r="X765" s="55"/>
      <c r="Y765" s="53"/>
      <c r="Z765" s="183" t="str">
        <f>IFERROR(__xludf.DUMMYFUNCTION("QUERY('Volunteer Survey'!A764)"),"")</f>
        <v/>
      </c>
      <c r="AA765" s="183" t="str">
        <f>IFERROR(__xludf.DUMMYFUNCTION("QUERY('Volunteer Survey'!B764)"),"")</f>
        <v/>
      </c>
      <c r="AB765" s="183" t="str">
        <f>IFERROR(__xludf.DUMMYFUNCTION("QUERY('Volunteer Survey'!C764)"),"")</f>
        <v/>
      </c>
      <c r="AC765" s="183" t="str">
        <f>IFERROR(__xludf.DUMMYFUNCTION("QUERY('Volunteer Survey'!D764)"),"")</f>
        <v/>
      </c>
      <c r="AD765" s="183" t="str">
        <f>IFERROR(__xludf.DUMMYFUNCTION("QUERY('Volunteer Survey'!E764)"),"")</f>
        <v/>
      </c>
      <c r="AE765" s="183" t="str">
        <f>IFERROR(__xludf.DUMMYFUNCTION("QUERY('Volunteer Survey'!F764)"),"")</f>
        <v/>
      </c>
      <c r="AF765" s="183" t="str">
        <f>IFERROR(__xludf.DUMMYFUNCTION("QUERY('Volunteer Survey'!G764)"),"")</f>
        <v/>
      </c>
      <c r="AG765" s="183" t="str">
        <f>IFERROR(__xludf.DUMMYFUNCTION("QUERY('Volunteer Survey'!H764)"),"")</f>
        <v/>
      </c>
      <c r="AH765" s="183" t="str">
        <f>IFERROR(__xludf.DUMMYFUNCTION("QUERY('Volunteer Survey'!I764)"),"")</f>
        <v/>
      </c>
      <c r="AI765" s="183" t="str">
        <f>IFERROR(__xludf.DUMMYFUNCTION("QUERY('Volunteer Survey'!J764)"),"")</f>
        <v/>
      </c>
      <c r="AJ765" s="183" t="str">
        <f>IFERROR(__xludf.DUMMYFUNCTION("QUERY('Volunteer Survey'!K764)"),"")</f>
        <v/>
      </c>
      <c r="AK765" s="183" t="str">
        <f>IFERROR(__xludf.DUMMYFUNCTION("QUERY('Volunteer Survey'!L764)"),"")</f>
        <v/>
      </c>
      <c r="AL765" s="183" t="str">
        <f>IFERROR(__xludf.DUMMYFUNCTION("QUERY('Volunteer Survey'!M764)"),"")</f>
        <v/>
      </c>
      <c r="AM765" s="183" t="str">
        <f>IFERROR(__xludf.DUMMYFUNCTION("QUERY('Volunteer Survey'!N764)"),"")</f>
        <v/>
      </c>
      <c r="AN765" s="183" t="str">
        <f>IFERROR(__xludf.DUMMYFUNCTION("QUERY('Volunteer Survey'!O764)"),"")</f>
        <v/>
      </c>
      <c r="AO765" s="183" t="str">
        <f>IFERROR(__xludf.DUMMYFUNCTION("QUERY('Volunteer Survey'!P764)"),"")</f>
        <v/>
      </c>
    </row>
    <row r="766">
      <c r="A766" s="55"/>
      <c r="B766" s="55"/>
      <c r="C766" s="53"/>
      <c r="D766" s="55"/>
      <c r="E766" s="55"/>
      <c r="F766" s="55" t="b">
        <v>0</v>
      </c>
      <c r="G766" s="55"/>
      <c r="H766" s="53"/>
      <c r="I766" s="53"/>
      <c r="J766" s="55"/>
      <c r="K766" s="55"/>
      <c r="L766" s="55"/>
      <c r="M766" s="55"/>
      <c r="N766" s="55"/>
      <c r="O766" s="55" t="b">
        <v>0</v>
      </c>
      <c r="P766" s="55"/>
      <c r="Q766" s="55"/>
      <c r="R766" s="55"/>
      <c r="S766" s="55"/>
      <c r="T766" s="55"/>
      <c r="U766" s="64"/>
      <c r="V766" s="55"/>
      <c r="W766" s="64"/>
      <c r="X766" s="55"/>
      <c r="Y766" s="53"/>
      <c r="Z766" s="183" t="str">
        <f>IFERROR(__xludf.DUMMYFUNCTION("QUERY('Volunteer Survey'!A765)"),"")</f>
        <v/>
      </c>
      <c r="AA766" s="183" t="str">
        <f>IFERROR(__xludf.DUMMYFUNCTION("QUERY('Volunteer Survey'!B765)"),"")</f>
        <v/>
      </c>
      <c r="AB766" s="183" t="str">
        <f>IFERROR(__xludf.DUMMYFUNCTION("QUERY('Volunteer Survey'!C765)"),"")</f>
        <v/>
      </c>
      <c r="AC766" s="183" t="str">
        <f>IFERROR(__xludf.DUMMYFUNCTION("QUERY('Volunteer Survey'!D765)"),"")</f>
        <v/>
      </c>
      <c r="AD766" s="183" t="str">
        <f>IFERROR(__xludf.DUMMYFUNCTION("QUERY('Volunteer Survey'!E765)"),"")</f>
        <v/>
      </c>
      <c r="AE766" s="183" t="str">
        <f>IFERROR(__xludf.DUMMYFUNCTION("QUERY('Volunteer Survey'!F765)"),"")</f>
        <v/>
      </c>
      <c r="AF766" s="183" t="str">
        <f>IFERROR(__xludf.DUMMYFUNCTION("QUERY('Volunteer Survey'!G765)"),"")</f>
        <v/>
      </c>
      <c r="AG766" s="183" t="str">
        <f>IFERROR(__xludf.DUMMYFUNCTION("QUERY('Volunteer Survey'!H765)"),"")</f>
        <v/>
      </c>
      <c r="AH766" s="183" t="str">
        <f>IFERROR(__xludf.DUMMYFUNCTION("QUERY('Volunteer Survey'!I765)"),"")</f>
        <v/>
      </c>
      <c r="AI766" s="183" t="str">
        <f>IFERROR(__xludf.DUMMYFUNCTION("QUERY('Volunteer Survey'!J765)"),"")</f>
        <v/>
      </c>
      <c r="AJ766" s="183" t="str">
        <f>IFERROR(__xludf.DUMMYFUNCTION("QUERY('Volunteer Survey'!K765)"),"")</f>
        <v/>
      </c>
      <c r="AK766" s="183" t="str">
        <f>IFERROR(__xludf.DUMMYFUNCTION("QUERY('Volunteer Survey'!L765)"),"")</f>
        <v/>
      </c>
      <c r="AL766" s="183" t="str">
        <f>IFERROR(__xludf.DUMMYFUNCTION("QUERY('Volunteer Survey'!M765)"),"")</f>
        <v/>
      </c>
      <c r="AM766" s="183" t="str">
        <f>IFERROR(__xludf.DUMMYFUNCTION("QUERY('Volunteer Survey'!N765)"),"")</f>
        <v/>
      </c>
      <c r="AN766" s="183" t="str">
        <f>IFERROR(__xludf.DUMMYFUNCTION("QUERY('Volunteer Survey'!O765)"),"")</f>
        <v/>
      </c>
      <c r="AO766" s="183" t="str">
        <f>IFERROR(__xludf.DUMMYFUNCTION("QUERY('Volunteer Survey'!P765)"),"")</f>
        <v/>
      </c>
    </row>
    <row r="767">
      <c r="A767" s="55"/>
      <c r="B767" s="55"/>
      <c r="C767" s="53"/>
      <c r="D767" s="55"/>
      <c r="E767" s="55"/>
      <c r="F767" s="55" t="b">
        <v>0</v>
      </c>
      <c r="G767" s="55"/>
      <c r="H767" s="53"/>
      <c r="I767" s="53"/>
      <c r="J767" s="55"/>
      <c r="K767" s="55"/>
      <c r="L767" s="55"/>
      <c r="M767" s="55"/>
      <c r="N767" s="55"/>
      <c r="O767" s="55" t="b">
        <v>0</v>
      </c>
      <c r="P767" s="55"/>
      <c r="Q767" s="55"/>
      <c r="R767" s="55"/>
      <c r="S767" s="55"/>
      <c r="T767" s="55"/>
      <c r="U767" s="64"/>
      <c r="V767" s="55"/>
      <c r="W767" s="64"/>
      <c r="X767" s="55"/>
      <c r="Y767" s="53"/>
      <c r="Z767" s="183" t="str">
        <f>IFERROR(__xludf.DUMMYFUNCTION("QUERY('Volunteer Survey'!A766)"),"")</f>
        <v/>
      </c>
      <c r="AA767" s="183" t="str">
        <f>IFERROR(__xludf.DUMMYFUNCTION("QUERY('Volunteer Survey'!B766)"),"")</f>
        <v/>
      </c>
      <c r="AB767" s="183" t="str">
        <f>IFERROR(__xludf.DUMMYFUNCTION("QUERY('Volunteer Survey'!C766)"),"")</f>
        <v/>
      </c>
      <c r="AC767" s="183" t="str">
        <f>IFERROR(__xludf.DUMMYFUNCTION("QUERY('Volunteer Survey'!D766)"),"")</f>
        <v/>
      </c>
      <c r="AD767" s="183" t="str">
        <f>IFERROR(__xludf.DUMMYFUNCTION("QUERY('Volunteer Survey'!E766)"),"")</f>
        <v/>
      </c>
      <c r="AE767" s="183" t="str">
        <f>IFERROR(__xludf.DUMMYFUNCTION("QUERY('Volunteer Survey'!F766)"),"")</f>
        <v/>
      </c>
      <c r="AF767" s="183" t="str">
        <f>IFERROR(__xludf.DUMMYFUNCTION("QUERY('Volunteer Survey'!G766)"),"")</f>
        <v/>
      </c>
      <c r="AG767" s="183" t="str">
        <f>IFERROR(__xludf.DUMMYFUNCTION("QUERY('Volunteer Survey'!H766)"),"")</f>
        <v/>
      </c>
      <c r="AH767" s="183" t="str">
        <f>IFERROR(__xludf.DUMMYFUNCTION("QUERY('Volunteer Survey'!I766)"),"")</f>
        <v/>
      </c>
      <c r="AI767" s="183" t="str">
        <f>IFERROR(__xludf.DUMMYFUNCTION("QUERY('Volunteer Survey'!J766)"),"")</f>
        <v/>
      </c>
      <c r="AJ767" s="183" t="str">
        <f>IFERROR(__xludf.DUMMYFUNCTION("QUERY('Volunteer Survey'!K766)"),"")</f>
        <v/>
      </c>
      <c r="AK767" s="183" t="str">
        <f>IFERROR(__xludf.DUMMYFUNCTION("QUERY('Volunteer Survey'!L766)"),"")</f>
        <v/>
      </c>
      <c r="AL767" s="183" t="str">
        <f>IFERROR(__xludf.DUMMYFUNCTION("QUERY('Volunteer Survey'!M766)"),"")</f>
        <v/>
      </c>
      <c r="AM767" s="183" t="str">
        <f>IFERROR(__xludf.DUMMYFUNCTION("QUERY('Volunteer Survey'!N766)"),"")</f>
        <v/>
      </c>
      <c r="AN767" s="183" t="str">
        <f>IFERROR(__xludf.DUMMYFUNCTION("QUERY('Volunteer Survey'!O766)"),"")</f>
        <v/>
      </c>
      <c r="AO767" s="183" t="str">
        <f>IFERROR(__xludf.DUMMYFUNCTION("QUERY('Volunteer Survey'!P766)"),"")</f>
        <v/>
      </c>
    </row>
    <row r="768">
      <c r="A768" s="55"/>
      <c r="B768" s="55"/>
      <c r="C768" s="53"/>
      <c r="D768" s="55"/>
      <c r="E768" s="55"/>
      <c r="F768" s="55" t="b">
        <v>0</v>
      </c>
      <c r="G768" s="55"/>
      <c r="H768" s="53"/>
      <c r="I768" s="53"/>
      <c r="J768" s="55"/>
      <c r="K768" s="55"/>
      <c r="L768" s="55"/>
      <c r="M768" s="55"/>
      <c r="N768" s="55"/>
      <c r="O768" s="55" t="b">
        <v>0</v>
      </c>
      <c r="P768" s="55"/>
      <c r="Q768" s="55"/>
      <c r="R768" s="55"/>
      <c r="S768" s="55"/>
      <c r="T768" s="55"/>
      <c r="U768" s="64"/>
      <c r="V768" s="55"/>
      <c r="W768" s="64"/>
      <c r="X768" s="55"/>
      <c r="Y768" s="53"/>
      <c r="Z768" s="183" t="str">
        <f>IFERROR(__xludf.DUMMYFUNCTION("QUERY('Volunteer Survey'!A767)"),"")</f>
        <v/>
      </c>
      <c r="AA768" s="183" t="str">
        <f>IFERROR(__xludf.DUMMYFUNCTION("QUERY('Volunteer Survey'!B767)"),"")</f>
        <v/>
      </c>
      <c r="AB768" s="183" t="str">
        <f>IFERROR(__xludf.DUMMYFUNCTION("QUERY('Volunteer Survey'!C767)"),"")</f>
        <v/>
      </c>
      <c r="AC768" s="183" t="str">
        <f>IFERROR(__xludf.DUMMYFUNCTION("QUERY('Volunteer Survey'!D767)"),"")</f>
        <v/>
      </c>
      <c r="AD768" s="183" t="str">
        <f>IFERROR(__xludf.DUMMYFUNCTION("QUERY('Volunteer Survey'!E767)"),"")</f>
        <v/>
      </c>
      <c r="AE768" s="183" t="str">
        <f>IFERROR(__xludf.DUMMYFUNCTION("QUERY('Volunteer Survey'!F767)"),"")</f>
        <v/>
      </c>
      <c r="AF768" s="183" t="str">
        <f>IFERROR(__xludf.DUMMYFUNCTION("QUERY('Volunteer Survey'!G767)"),"")</f>
        <v/>
      </c>
      <c r="AG768" s="183" t="str">
        <f>IFERROR(__xludf.DUMMYFUNCTION("QUERY('Volunteer Survey'!H767)"),"")</f>
        <v/>
      </c>
      <c r="AH768" s="183" t="str">
        <f>IFERROR(__xludf.DUMMYFUNCTION("QUERY('Volunteer Survey'!I767)"),"")</f>
        <v/>
      </c>
      <c r="AI768" s="183" t="str">
        <f>IFERROR(__xludf.DUMMYFUNCTION("QUERY('Volunteer Survey'!J767)"),"")</f>
        <v/>
      </c>
      <c r="AJ768" s="183" t="str">
        <f>IFERROR(__xludf.DUMMYFUNCTION("QUERY('Volunteer Survey'!K767)"),"")</f>
        <v/>
      </c>
      <c r="AK768" s="183" t="str">
        <f>IFERROR(__xludf.DUMMYFUNCTION("QUERY('Volunteer Survey'!L767)"),"")</f>
        <v/>
      </c>
      <c r="AL768" s="183" t="str">
        <f>IFERROR(__xludf.DUMMYFUNCTION("QUERY('Volunteer Survey'!M767)"),"")</f>
        <v/>
      </c>
      <c r="AM768" s="183" t="str">
        <f>IFERROR(__xludf.DUMMYFUNCTION("QUERY('Volunteer Survey'!N767)"),"")</f>
        <v/>
      </c>
      <c r="AN768" s="183" t="str">
        <f>IFERROR(__xludf.DUMMYFUNCTION("QUERY('Volunteer Survey'!O767)"),"")</f>
        <v/>
      </c>
      <c r="AO768" s="183" t="str">
        <f>IFERROR(__xludf.DUMMYFUNCTION("QUERY('Volunteer Survey'!P767)"),"")</f>
        <v/>
      </c>
    </row>
    <row r="769">
      <c r="A769" s="55"/>
      <c r="B769" s="55"/>
      <c r="C769" s="53"/>
      <c r="D769" s="55"/>
      <c r="E769" s="55"/>
      <c r="F769" s="55" t="b">
        <v>0</v>
      </c>
      <c r="G769" s="55"/>
      <c r="H769" s="53"/>
      <c r="I769" s="53"/>
      <c r="J769" s="55"/>
      <c r="K769" s="55"/>
      <c r="L769" s="55"/>
      <c r="M769" s="55"/>
      <c r="N769" s="55"/>
      <c r="O769" s="55" t="b">
        <v>0</v>
      </c>
      <c r="P769" s="55"/>
      <c r="Q769" s="55"/>
      <c r="R769" s="55"/>
      <c r="S769" s="55"/>
      <c r="T769" s="55"/>
      <c r="U769" s="64"/>
      <c r="V769" s="55"/>
      <c r="W769" s="64"/>
      <c r="X769" s="55"/>
      <c r="Y769" s="53"/>
      <c r="Z769" s="183" t="str">
        <f>IFERROR(__xludf.DUMMYFUNCTION("QUERY('Volunteer Survey'!A768)"),"")</f>
        <v/>
      </c>
      <c r="AA769" s="183" t="str">
        <f>IFERROR(__xludf.DUMMYFUNCTION("QUERY('Volunteer Survey'!B768)"),"")</f>
        <v/>
      </c>
      <c r="AB769" s="183" t="str">
        <f>IFERROR(__xludf.DUMMYFUNCTION("QUERY('Volunteer Survey'!C768)"),"")</f>
        <v/>
      </c>
      <c r="AC769" s="183" t="str">
        <f>IFERROR(__xludf.DUMMYFUNCTION("QUERY('Volunteer Survey'!D768)"),"")</f>
        <v/>
      </c>
      <c r="AD769" s="183" t="str">
        <f>IFERROR(__xludf.DUMMYFUNCTION("QUERY('Volunteer Survey'!E768)"),"")</f>
        <v/>
      </c>
      <c r="AE769" s="183" t="str">
        <f>IFERROR(__xludf.DUMMYFUNCTION("QUERY('Volunteer Survey'!F768)"),"")</f>
        <v/>
      </c>
      <c r="AF769" s="183" t="str">
        <f>IFERROR(__xludf.DUMMYFUNCTION("QUERY('Volunteer Survey'!G768)"),"")</f>
        <v/>
      </c>
      <c r="AG769" s="183" t="str">
        <f>IFERROR(__xludf.DUMMYFUNCTION("QUERY('Volunteer Survey'!H768)"),"")</f>
        <v/>
      </c>
      <c r="AH769" s="183" t="str">
        <f>IFERROR(__xludf.DUMMYFUNCTION("QUERY('Volunteer Survey'!I768)"),"")</f>
        <v/>
      </c>
      <c r="AI769" s="183" t="str">
        <f>IFERROR(__xludf.DUMMYFUNCTION("QUERY('Volunteer Survey'!J768)"),"")</f>
        <v/>
      </c>
      <c r="AJ769" s="183" t="str">
        <f>IFERROR(__xludf.DUMMYFUNCTION("QUERY('Volunteer Survey'!K768)"),"")</f>
        <v/>
      </c>
      <c r="AK769" s="183" t="str">
        <f>IFERROR(__xludf.DUMMYFUNCTION("QUERY('Volunteer Survey'!L768)"),"")</f>
        <v/>
      </c>
      <c r="AL769" s="183" t="str">
        <f>IFERROR(__xludf.DUMMYFUNCTION("QUERY('Volunteer Survey'!M768)"),"")</f>
        <v/>
      </c>
      <c r="AM769" s="183" t="str">
        <f>IFERROR(__xludf.DUMMYFUNCTION("QUERY('Volunteer Survey'!N768)"),"")</f>
        <v/>
      </c>
      <c r="AN769" s="183" t="str">
        <f>IFERROR(__xludf.DUMMYFUNCTION("QUERY('Volunteer Survey'!O768)"),"")</f>
        <v/>
      </c>
      <c r="AO769" s="183" t="str">
        <f>IFERROR(__xludf.DUMMYFUNCTION("QUERY('Volunteer Survey'!P768)"),"")</f>
        <v/>
      </c>
    </row>
    <row r="770">
      <c r="A770" s="55"/>
      <c r="B770" s="55"/>
      <c r="C770" s="53"/>
      <c r="D770" s="55"/>
      <c r="E770" s="55"/>
      <c r="F770" s="55" t="b">
        <v>0</v>
      </c>
      <c r="G770" s="55"/>
      <c r="H770" s="53"/>
      <c r="I770" s="53"/>
      <c r="J770" s="55"/>
      <c r="K770" s="55"/>
      <c r="L770" s="55"/>
      <c r="M770" s="55"/>
      <c r="N770" s="55"/>
      <c r="O770" s="55" t="b">
        <v>0</v>
      </c>
      <c r="P770" s="55"/>
      <c r="Q770" s="55"/>
      <c r="R770" s="55"/>
      <c r="S770" s="55"/>
      <c r="T770" s="55"/>
      <c r="U770" s="64"/>
      <c r="V770" s="55"/>
      <c r="W770" s="64"/>
      <c r="X770" s="55"/>
      <c r="Y770" s="53"/>
      <c r="Z770" s="183" t="str">
        <f>IFERROR(__xludf.DUMMYFUNCTION("QUERY('Volunteer Survey'!A769)"),"")</f>
        <v/>
      </c>
      <c r="AA770" s="183" t="str">
        <f>IFERROR(__xludf.DUMMYFUNCTION("QUERY('Volunteer Survey'!B769)"),"")</f>
        <v/>
      </c>
      <c r="AB770" s="183" t="str">
        <f>IFERROR(__xludf.DUMMYFUNCTION("QUERY('Volunteer Survey'!C769)"),"")</f>
        <v/>
      </c>
      <c r="AC770" s="183" t="str">
        <f>IFERROR(__xludf.DUMMYFUNCTION("QUERY('Volunteer Survey'!D769)"),"")</f>
        <v/>
      </c>
      <c r="AD770" s="183" t="str">
        <f>IFERROR(__xludf.DUMMYFUNCTION("QUERY('Volunteer Survey'!E769)"),"")</f>
        <v/>
      </c>
      <c r="AE770" s="183" t="str">
        <f>IFERROR(__xludf.DUMMYFUNCTION("QUERY('Volunteer Survey'!F769)"),"")</f>
        <v/>
      </c>
      <c r="AF770" s="183" t="str">
        <f>IFERROR(__xludf.DUMMYFUNCTION("QUERY('Volunteer Survey'!G769)"),"")</f>
        <v/>
      </c>
      <c r="AG770" s="183" t="str">
        <f>IFERROR(__xludf.DUMMYFUNCTION("QUERY('Volunteer Survey'!H769)"),"")</f>
        <v/>
      </c>
      <c r="AH770" s="183" t="str">
        <f>IFERROR(__xludf.DUMMYFUNCTION("QUERY('Volunteer Survey'!I769)"),"")</f>
        <v/>
      </c>
      <c r="AI770" s="183" t="str">
        <f>IFERROR(__xludf.DUMMYFUNCTION("QUERY('Volunteer Survey'!J769)"),"")</f>
        <v/>
      </c>
      <c r="AJ770" s="183" t="str">
        <f>IFERROR(__xludf.DUMMYFUNCTION("QUERY('Volunteer Survey'!K769)"),"")</f>
        <v/>
      </c>
      <c r="AK770" s="183" t="str">
        <f>IFERROR(__xludf.DUMMYFUNCTION("QUERY('Volunteer Survey'!L769)"),"")</f>
        <v/>
      </c>
      <c r="AL770" s="183" t="str">
        <f>IFERROR(__xludf.DUMMYFUNCTION("QUERY('Volunteer Survey'!M769)"),"")</f>
        <v/>
      </c>
      <c r="AM770" s="183" t="str">
        <f>IFERROR(__xludf.DUMMYFUNCTION("QUERY('Volunteer Survey'!N769)"),"")</f>
        <v/>
      </c>
      <c r="AN770" s="183" t="str">
        <f>IFERROR(__xludf.DUMMYFUNCTION("QUERY('Volunteer Survey'!O769)"),"")</f>
        <v/>
      </c>
      <c r="AO770" s="183" t="str">
        <f>IFERROR(__xludf.DUMMYFUNCTION("QUERY('Volunteer Survey'!P769)"),"")</f>
        <v/>
      </c>
    </row>
    <row r="771">
      <c r="A771" s="55"/>
      <c r="B771" s="55"/>
      <c r="C771" s="53"/>
      <c r="D771" s="55"/>
      <c r="E771" s="55"/>
      <c r="F771" s="55" t="b">
        <v>0</v>
      </c>
      <c r="G771" s="55"/>
      <c r="H771" s="53"/>
      <c r="I771" s="53"/>
      <c r="J771" s="55"/>
      <c r="K771" s="55"/>
      <c r="L771" s="55"/>
      <c r="M771" s="55"/>
      <c r="N771" s="55"/>
      <c r="O771" s="55" t="b">
        <v>0</v>
      </c>
      <c r="P771" s="55"/>
      <c r="Q771" s="55"/>
      <c r="R771" s="55"/>
      <c r="S771" s="55"/>
      <c r="T771" s="55"/>
      <c r="U771" s="64"/>
      <c r="V771" s="55"/>
      <c r="W771" s="64"/>
      <c r="X771" s="55"/>
      <c r="Y771" s="53"/>
      <c r="Z771" s="183" t="str">
        <f>IFERROR(__xludf.DUMMYFUNCTION("QUERY('Volunteer Survey'!A770)"),"")</f>
        <v/>
      </c>
      <c r="AA771" s="183" t="str">
        <f>IFERROR(__xludf.DUMMYFUNCTION("QUERY('Volunteer Survey'!B770)"),"")</f>
        <v/>
      </c>
      <c r="AB771" s="183" t="str">
        <f>IFERROR(__xludf.DUMMYFUNCTION("QUERY('Volunteer Survey'!C770)"),"")</f>
        <v/>
      </c>
      <c r="AC771" s="183" t="str">
        <f>IFERROR(__xludf.DUMMYFUNCTION("QUERY('Volunteer Survey'!D770)"),"")</f>
        <v/>
      </c>
      <c r="AD771" s="183" t="str">
        <f>IFERROR(__xludf.DUMMYFUNCTION("QUERY('Volunteer Survey'!E770)"),"")</f>
        <v/>
      </c>
      <c r="AE771" s="183" t="str">
        <f>IFERROR(__xludf.DUMMYFUNCTION("QUERY('Volunteer Survey'!F770)"),"")</f>
        <v/>
      </c>
      <c r="AF771" s="183" t="str">
        <f>IFERROR(__xludf.DUMMYFUNCTION("QUERY('Volunteer Survey'!G770)"),"")</f>
        <v/>
      </c>
      <c r="AG771" s="183" t="str">
        <f>IFERROR(__xludf.DUMMYFUNCTION("QUERY('Volunteer Survey'!H770)"),"")</f>
        <v/>
      </c>
      <c r="AH771" s="183" t="str">
        <f>IFERROR(__xludf.DUMMYFUNCTION("QUERY('Volunteer Survey'!I770)"),"")</f>
        <v/>
      </c>
      <c r="AI771" s="183" t="str">
        <f>IFERROR(__xludf.DUMMYFUNCTION("QUERY('Volunteer Survey'!J770)"),"")</f>
        <v/>
      </c>
      <c r="AJ771" s="183" t="str">
        <f>IFERROR(__xludf.DUMMYFUNCTION("QUERY('Volunteer Survey'!K770)"),"")</f>
        <v/>
      </c>
      <c r="AK771" s="183" t="str">
        <f>IFERROR(__xludf.DUMMYFUNCTION("QUERY('Volunteer Survey'!L770)"),"")</f>
        <v/>
      </c>
      <c r="AL771" s="183" t="str">
        <f>IFERROR(__xludf.DUMMYFUNCTION("QUERY('Volunteer Survey'!M770)"),"")</f>
        <v/>
      </c>
      <c r="AM771" s="183" t="str">
        <f>IFERROR(__xludf.DUMMYFUNCTION("QUERY('Volunteer Survey'!N770)"),"")</f>
        <v/>
      </c>
      <c r="AN771" s="183" t="str">
        <f>IFERROR(__xludf.DUMMYFUNCTION("QUERY('Volunteer Survey'!O770)"),"")</f>
        <v/>
      </c>
      <c r="AO771" s="183" t="str">
        <f>IFERROR(__xludf.DUMMYFUNCTION("QUERY('Volunteer Survey'!P770)"),"")</f>
        <v/>
      </c>
    </row>
    <row r="772">
      <c r="A772" s="55"/>
      <c r="B772" s="55"/>
      <c r="C772" s="53"/>
      <c r="D772" s="55"/>
      <c r="E772" s="55"/>
      <c r="F772" s="55" t="b">
        <v>0</v>
      </c>
      <c r="G772" s="55"/>
      <c r="H772" s="53"/>
      <c r="I772" s="53"/>
      <c r="J772" s="55"/>
      <c r="K772" s="55"/>
      <c r="L772" s="55"/>
      <c r="M772" s="55"/>
      <c r="N772" s="55"/>
      <c r="O772" s="55" t="b">
        <v>0</v>
      </c>
      <c r="P772" s="55"/>
      <c r="Q772" s="55"/>
      <c r="R772" s="55"/>
      <c r="S772" s="55"/>
      <c r="T772" s="55"/>
      <c r="U772" s="64"/>
      <c r="V772" s="55"/>
      <c r="W772" s="64"/>
      <c r="X772" s="55"/>
      <c r="Y772" s="53"/>
      <c r="Z772" s="183" t="str">
        <f>IFERROR(__xludf.DUMMYFUNCTION("QUERY('Volunteer Survey'!A771)"),"")</f>
        <v/>
      </c>
      <c r="AA772" s="183" t="str">
        <f>IFERROR(__xludf.DUMMYFUNCTION("QUERY('Volunteer Survey'!B771)"),"")</f>
        <v/>
      </c>
      <c r="AB772" s="183" t="str">
        <f>IFERROR(__xludf.DUMMYFUNCTION("QUERY('Volunteer Survey'!C771)"),"")</f>
        <v/>
      </c>
      <c r="AC772" s="183" t="str">
        <f>IFERROR(__xludf.DUMMYFUNCTION("QUERY('Volunteer Survey'!D771)"),"")</f>
        <v/>
      </c>
      <c r="AD772" s="183" t="str">
        <f>IFERROR(__xludf.DUMMYFUNCTION("QUERY('Volunteer Survey'!E771)"),"")</f>
        <v/>
      </c>
      <c r="AE772" s="183" t="str">
        <f>IFERROR(__xludf.DUMMYFUNCTION("QUERY('Volunteer Survey'!F771)"),"")</f>
        <v/>
      </c>
      <c r="AF772" s="183" t="str">
        <f>IFERROR(__xludf.DUMMYFUNCTION("QUERY('Volunteer Survey'!G771)"),"")</f>
        <v/>
      </c>
      <c r="AG772" s="183" t="str">
        <f>IFERROR(__xludf.DUMMYFUNCTION("QUERY('Volunteer Survey'!H771)"),"")</f>
        <v/>
      </c>
      <c r="AH772" s="183" t="str">
        <f>IFERROR(__xludf.DUMMYFUNCTION("QUERY('Volunteer Survey'!I771)"),"")</f>
        <v/>
      </c>
      <c r="AI772" s="183" t="str">
        <f>IFERROR(__xludf.DUMMYFUNCTION("QUERY('Volunteer Survey'!J771)"),"")</f>
        <v/>
      </c>
      <c r="AJ772" s="183" t="str">
        <f>IFERROR(__xludf.DUMMYFUNCTION("QUERY('Volunteer Survey'!K771)"),"")</f>
        <v/>
      </c>
      <c r="AK772" s="183" t="str">
        <f>IFERROR(__xludf.DUMMYFUNCTION("QUERY('Volunteer Survey'!L771)"),"")</f>
        <v/>
      </c>
      <c r="AL772" s="183" t="str">
        <f>IFERROR(__xludf.DUMMYFUNCTION("QUERY('Volunteer Survey'!M771)"),"")</f>
        <v/>
      </c>
      <c r="AM772" s="183" t="str">
        <f>IFERROR(__xludf.DUMMYFUNCTION("QUERY('Volunteer Survey'!N771)"),"")</f>
        <v/>
      </c>
      <c r="AN772" s="183" t="str">
        <f>IFERROR(__xludf.DUMMYFUNCTION("QUERY('Volunteer Survey'!O771)"),"")</f>
        <v/>
      </c>
      <c r="AO772" s="183" t="str">
        <f>IFERROR(__xludf.DUMMYFUNCTION("QUERY('Volunteer Survey'!P771)"),"")</f>
        <v/>
      </c>
    </row>
    <row r="773">
      <c r="A773" s="55"/>
      <c r="B773" s="55"/>
      <c r="C773" s="53"/>
      <c r="D773" s="55"/>
      <c r="E773" s="55"/>
      <c r="F773" s="55" t="b">
        <v>0</v>
      </c>
      <c r="G773" s="55"/>
      <c r="H773" s="53"/>
      <c r="I773" s="53"/>
      <c r="J773" s="55"/>
      <c r="K773" s="55"/>
      <c r="L773" s="55"/>
      <c r="M773" s="55"/>
      <c r="N773" s="55"/>
      <c r="O773" s="55" t="b">
        <v>0</v>
      </c>
      <c r="P773" s="55"/>
      <c r="Q773" s="55"/>
      <c r="R773" s="55"/>
      <c r="S773" s="55"/>
      <c r="T773" s="55"/>
      <c r="U773" s="64"/>
      <c r="V773" s="55"/>
      <c r="W773" s="64"/>
      <c r="X773" s="55"/>
      <c r="Y773" s="53"/>
      <c r="Z773" s="183" t="str">
        <f>IFERROR(__xludf.DUMMYFUNCTION("QUERY('Volunteer Survey'!A772)"),"")</f>
        <v/>
      </c>
      <c r="AA773" s="183" t="str">
        <f>IFERROR(__xludf.DUMMYFUNCTION("QUERY('Volunteer Survey'!B772)"),"")</f>
        <v/>
      </c>
      <c r="AB773" s="183" t="str">
        <f>IFERROR(__xludf.DUMMYFUNCTION("QUERY('Volunteer Survey'!C772)"),"")</f>
        <v/>
      </c>
      <c r="AC773" s="183" t="str">
        <f>IFERROR(__xludf.DUMMYFUNCTION("QUERY('Volunteer Survey'!D772)"),"")</f>
        <v/>
      </c>
      <c r="AD773" s="183" t="str">
        <f>IFERROR(__xludf.DUMMYFUNCTION("QUERY('Volunteer Survey'!E772)"),"")</f>
        <v/>
      </c>
      <c r="AE773" s="183" t="str">
        <f>IFERROR(__xludf.DUMMYFUNCTION("QUERY('Volunteer Survey'!F772)"),"")</f>
        <v/>
      </c>
      <c r="AF773" s="183" t="str">
        <f>IFERROR(__xludf.DUMMYFUNCTION("QUERY('Volunteer Survey'!G772)"),"")</f>
        <v/>
      </c>
      <c r="AG773" s="183" t="str">
        <f>IFERROR(__xludf.DUMMYFUNCTION("QUERY('Volunteer Survey'!H772)"),"")</f>
        <v/>
      </c>
      <c r="AH773" s="183" t="str">
        <f>IFERROR(__xludf.DUMMYFUNCTION("QUERY('Volunteer Survey'!I772)"),"")</f>
        <v/>
      </c>
      <c r="AI773" s="183" t="str">
        <f>IFERROR(__xludf.DUMMYFUNCTION("QUERY('Volunteer Survey'!J772)"),"")</f>
        <v/>
      </c>
      <c r="AJ773" s="183" t="str">
        <f>IFERROR(__xludf.DUMMYFUNCTION("QUERY('Volunteer Survey'!K772)"),"")</f>
        <v/>
      </c>
      <c r="AK773" s="183" t="str">
        <f>IFERROR(__xludf.DUMMYFUNCTION("QUERY('Volunteer Survey'!L772)"),"")</f>
        <v/>
      </c>
      <c r="AL773" s="183" t="str">
        <f>IFERROR(__xludf.DUMMYFUNCTION("QUERY('Volunteer Survey'!M772)"),"")</f>
        <v/>
      </c>
      <c r="AM773" s="183" t="str">
        <f>IFERROR(__xludf.DUMMYFUNCTION("QUERY('Volunteer Survey'!N772)"),"")</f>
        <v/>
      </c>
      <c r="AN773" s="183" t="str">
        <f>IFERROR(__xludf.DUMMYFUNCTION("QUERY('Volunteer Survey'!O772)"),"")</f>
        <v/>
      </c>
      <c r="AO773" s="183" t="str">
        <f>IFERROR(__xludf.DUMMYFUNCTION("QUERY('Volunteer Survey'!P772)"),"")</f>
        <v/>
      </c>
    </row>
    <row r="774">
      <c r="A774" s="55"/>
      <c r="B774" s="55"/>
      <c r="C774" s="53"/>
      <c r="D774" s="55"/>
      <c r="E774" s="55"/>
      <c r="F774" s="55" t="b">
        <v>0</v>
      </c>
      <c r="G774" s="55"/>
      <c r="H774" s="53"/>
      <c r="I774" s="53"/>
      <c r="J774" s="55"/>
      <c r="K774" s="55"/>
      <c r="L774" s="55"/>
      <c r="M774" s="55"/>
      <c r="N774" s="55"/>
      <c r="O774" s="55" t="b">
        <v>0</v>
      </c>
      <c r="P774" s="55"/>
      <c r="Q774" s="55"/>
      <c r="R774" s="55"/>
      <c r="S774" s="55"/>
      <c r="T774" s="55"/>
      <c r="U774" s="64"/>
      <c r="V774" s="55"/>
      <c r="W774" s="64"/>
      <c r="X774" s="55"/>
      <c r="Y774" s="53"/>
      <c r="Z774" s="183" t="str">
        <f>IFERROR(__xludf.DUMMYFUNCTION("QUERY('Volunteer Survey'!A773)"),"")</f>
        <v/>
      </c>
      <c r="AA774" s="183" t="str">
        <f>IFERROR(__xludf.DUMMYFUNCTION("QUERY('Volunteer Survey'!B773)"),"")</f>
        <v/>
      </c>
      <c r="AB774" s="183" t="str">
        <f>IFERROR(__xludf.DUMMYFUNCTION("QUERY('Volunteer Survey'!C773)"),"")</f>
        <v/>
      </c>
      <c r="AC774" s="183" t="str">
        <f>IFERROR(__xludf.DUMMYFUNCTION("QUERY('Volunteer Survey'!D773)"),"")</f>
        <v/>
      </c>
      <c r="AD774" s="183" t="str">
        <f>IFERROR(__xludf.DUMMYFUNCTION("QUERY('Volunteer Survey'!E773)"),"")</f>
        <v/>
      </c>
      <c r="AE774" s="183" t="str">
        <f>IFERROR(__xludf.DUMMYFUNCTION("QUERY('Volunteer Survey'!F773)"),"")</f>
        <v/>
      </c>
      <c r="AF774" s="183" t="str">
        <f>IFERROR(__xludf.DUMMYFUNCTION("QUERY('Volunteer Survey'!G773)"),"")</f>
        <v/>
      </c>
      <c r="AG774" s="183" t="str">
        <f>IFERROR(__xludf.DUMMYFUNCTION("QUERY('Volunteer Survey'!H773)"),"")</f>
        <v/>
      </c>
      <c r="AH774" s="183" t="str">
        <f>IFERROR(__xludf.DUMMYFUNCTION("QUERY('Volunteer Survey'!I773)"),"")</f>
        <v/>
      </c>
      <c r="AI774" s="183" t="str">
        <f>IFERROR(__xludf.DUMMYFUNCTION("QUERY('Volunteer Survey'!J773)"),"")</f>
        <v/>
      </c>
      <c r="AJ774" s="183" t="str">
        <f>IFERROR(__xludf.DUMMYFUNCTION("QUERY('Volunteer Survey'!K773)"),"")</f>
        <v/>
      </c>
      <c r="AK774" s="183" t="str">
        <f>IFERROR(__xludf.DUMMYFUNCTION("QUERY('Volunteer Survey'!L773)"),"")</f>
        <v/>
      </c>
      <c r="AL774" s="183" t="str">
        <f>IFERROR(__xludf.DUMMYFUNCTION("QUERY('Volunteer Survey'!M773)"),"")</f>
        <v/>
      </c>
      <c r="AM774" s="183" t="str">
        <f>IFERROR(__xludf.DUMMYFUNCTION("QUERY('Volunteer Survey'!N773)"),"")</f>
        <v/>
      </c>
      <c r="AN774" s="183" t="str">
        <f>IFERROR(__xludf.DUMMYFUNCTION("QUERY('Volunteer Survey'!O773)"),"")</f>
        <v/>
      </c>
      <c r="AO774" s="183" t="str">
        <f>IFERROR(__xludf.DUMMYFUNCTION("QUERY('Volunteer Survey'!P773)"),"")</f>
        <v/>
      </c>
    </row>
    <row r="775">
      <c r="A775" s="55"/>
      <c r="B775" s="55"/>
      <c r="C775" s="53"/>
      <c r="D775" s="55"/>
      <c r="E775" s="55"/>
      <c r="F775" s="55" t="b">
        <v>0</v>
      </c>
      <c r="G775" s="55"/>
      <c r="H775" s="53"/>
      <c r="I775" s="53"/>
      <c r="J775" s="55"/>
      <c r="K775" s="55"/>
      <c r="L775" s="55"/>
      <c r="M775" s="55"/>
      <c r="N775" s="55"/>
      <c r="O775" s="55" t="b">
        <v>0</v>
      </c>
      <c r="P775" s="55"/>
      <c r="Q775" s="55"/>
      <c r="R775" s="55"/>
      <c r="S775" s="55"/>
      <c r="T775" s="55"/>
      <c r="U775" s="64"/>
      <c r="V775" s="55"/>
      <c r="W775" s="64"/>
      <c r="X775" s="55"/>
      <c r="Y775" s="53"/>
      <c r="Z775" s="183" t="str">
        <f>IFERROR(__xludf.DUMMYFUNCTION("QUERY('Volunteer Survey'!A774)"),"")</f>
        <v/>
      </c>
      <c r="AA775" s="183" t="str">
        <f>IFERROR(__xludf.DUMMYFUNCTION("QUERY('Volunteer Survey'!B774)"),"")</f>
        <v/>
      </c>
      <c r="AB775" s="183" t="str">
        <f>IFERROR(__xludf.DUMMYFUNCTION("QUERY('Volunteer Survey'!C774)"),"")</f>
        <v/>
      </c>
      <c r="AC775" s="183" t="str">
        <f>IFERROR(__xludf.DUMMYFUNCTION("QUERY('Volunteer Survey'!D774)"),"")</f>
        <v/>
      </c>
      <c r="AD775" s="183" t="str">
        <f>IFERROR(__xludf.DUMMYFUNCTION("QUERY('Volunteer Survey'!E774)"),"")</f>
        <v/>
      </c>
      <c r="AE775" s="183" t="str">
        <f>IFERROR(__xludf.DUMMYFUNCTION("QUERY('Volunteer Survey'!F774)"),"")</f>
        <v/>
      </c>
      <c r="AF775" s="183" t="str">
        <f>IFERROR(__xludf.DUMMYFUNCTION("QUERY('Volunteer Survey'!G774)"),"")</f>
        <v/>
      </c>
      <c r="AG775" s="183" t="str">
        <f>IFERROR(__xludf.DUMMYFUNCTION("QUERY('Volunteer Survey'!H774)"),"")</f>
        <v/>
      </c>
      <c r="AH775" s="183" t="str">
        <f>IFERROR(__xludf.DUMMYFUNCTION("QUERY('Volunteer Survey'!I774)"),"")</f>
        <v/>
      </c>
      <c r="AI775" s="183" t="str">
        <f>IFERROR(__xludf.DUMMYFUNCTION("QUERY('Volunteer Survey'!J774)"),"")</f>
        <v/>
      </c>
      <c r="AJ775" s="183" t="str">
        <f>IFERROR(__xludf.DUMMYFUNCTION("QUERY('Volunteer Survey'!K774)"),"")</f>
        <v/>
      </c>
      <c r="AK775" s="183" t="str">
        <f>IFERROR(__xludf.DUMMYFUNCTION("QUERY('Volunteer Survey'!L774)"),"")</f>
        <v/>
      </c>
      <c r="AL775" s="183" t="str">
        <f>IFERROR(__xludf.DUMMYFUNCTION("QUERY('Volunteer Survey'!M774)"),"")</f>
        <v/>
      </c>
      <c r="AM775" s="183" t="str">
        <f>IFERROR(__xludf.DUMMYFUNCTION("QUERY('Volunteer Survey'!N774)"),"")</f>
        <v/>
      </c>
      <c r="AN775" s="183" t="str">
        <f>IFERROR(__xludf.DUMMYFUNCTION("QUERY('Volunteer Survey'!O774)"),"")</f>
        <v/>
      </c>
      <c r="AO775" s="183" t="str">
        <f>IFERROR(__xludf.DUMMYFUNCTION("QUERY('Volunteer Survey'!P774)"),"")</f>
        <v/>
      </c>
    </row>
    <row r="776">
      <c r="A776" s="55"/>
      <c r="B776" s="55"/>
      <c r="C776" s="53"/>
      <c r="D776" s="55"/>
      <c r="E776" s="55"/>
      <c r="F776" s="55" t="b">
        <v>0</v>
      </c>
      <c r="G776" s="55"/>
      <c r="H776" s="53"/>
      <c r="I776" s="53"/>
      <c r="J776" s="55"/>
      <c r="K776" s="55"/>
      <c r="L776" s="55"/>
      <c r="M776" s="55"/>
      <c r="N776" s="55"/>
      <c r="O776" s="55" t="b">
        <v>0</v>
      </c>
      <c r="P776" s="55"/>
      <c r="Q776" s="55"/>
      <c r="R776" s="55"/>
      <c r="S776" s="55"/>
      <c r="T776" s="55"/>
      <c r="U776" s="64"/>
      <c r="V776" s="55"/>
      <c r="W776" s="64"/>
      <c r="X776" s="55"/>
      <c r="Y776" s="53"/>
      <c r="Z776" s="183" t="str">
        <f>IFERROR(__xludf.DUMMYFUNCTION("QUERY('Volunteer Survey'!A775)"),"")</f>
        <v/>
      </c>
      <c r="AA776" s="183" t="str">
        <f>IFERROR(__xludf.DUMMYFUNCTION("QUERY('Volunteer Survey'!B775)"),"")</f>
        <v/>
      </c>
      <c r="AB776" s="183" t="str">
        <f>IFERROR(__xludf.DUMMYFUNCTION("QUERY('Volunteer Survey'!C775)"),"")</f>
        <v/>
      </c>
      <c r="AC776" s="183" t="str">
        <f>IFERROR(__xludf.DUMMYFUNCTION("QUERY('Volunteer Survey'!D775)"),"")</f>
        <v/>
      </c>
      <c r="AD776" s="183" t="str">
        <f>IFERROR(__xludf.DUMMYFUNCTION("QUERY('Volunteer Survey'!E775)"),"")</f>
        <v/>
      </c>
      <c r="AE776" s="183" t="str">
        <f>IFERROR(__xludf.DUMMYFUNCTION("QUERY('Volunteer Survey'!F775)"),"")</f>
        <v/>
      </c>
      <c r="AF776" s="183" t="str">
        <f>IFERROR(__xludf.DUMMYFUNCTION("QUERY('Volunteer Survey'!G775)"),"")</f>
        <v/>
      </c>
      <c r="AG776" s="183" t="str">
        <f>IFERROR(__xludf.DUMMYFUNCTION("QUERY('Volunteer Survey'!H775)"),"")</f>
        <v/>
      </c>
      <c r="AH776" s="183" t="str">
        <f>IFERROR(__xludf.DUMMYFUNCTION("QUERY('Volunteer Survey'!I775)"),"")</f>
        <v/>
      </c>
      <c r="AI776" s="183" t="str">
        <f>IFERROR(__xludf.DUMMYFUNCTION("QUERY('Volunteer Survey'!J775)"),"")</f>
        <v/>
      </c>
      <c r="AJ776" s="183" t="str">
        <f>IFERROR(__xludf.DUMMYFUNCTION("QUERY('Volunteer Survey'!K775)"),"")</f>
        <v/>
      </c>
      <c r="AK776" s="183" t="str">
        <f>IFERROR(__xludf.DUMMYFUNCTION("QUERY('Volunteer Survey'!L775)"),"")</f>
        <v/>
      </c>
      <c r="AL776" s="183" t="str">
        <f>IFERROR(__xludf.DUMMYFUNCTION("QUERY('Volunteer Survey'!M775)"),"")</f>
        <v/>
      </c>
      <c r="AM776" s="183" t="str">
        <f>IFERROR(__xludf.DUMMYFUNCTION("QUERY('Volunteer Survey'!N775)"),"")</f>
        <v/>
      </c>
      <c r="AN776" s="183" t="str">
        <f>IFERROR(__xludf.DUMMYFUNCTION("QUERY('Volunteer Survey'!O775)"),"")</f>
        <v/>
      </c>
      <c r="AO776" s="183" t="str">
        <f>IFERROR(__xludf.DUMMYFUNCTION("QUERY('Volunteer Survey'!P775)"),"")</f>
        <v/>
      </c>
    </row>
    <row r="777">
      <c r="A777" s="55"/>
      <c r="B777" s="55"/>
      <c r="C777" s="53"/>
      <c r="D777" s="55"/>
      <c r="E777" s="55"/>
      <c r="F777" s="55" t="b">
        <v>0</v>
      </c>
      <c r="G777" s="55"/>
      <c r="H777" s="53"/>
      <c r="I777" s="53"/>
      <c r="J777" s="55"/>
      <c r="K777" s="55"/>
      <c r="L777" s="55"/>
      <c r="M777" s="55"/>
      <c r="N777" s="55"/>
      <c r="O777" s="55" t="b">
        <v>0</v>
      </c>
      <c r="P777" s="55"/>
      <c r="Q777" s="55"/>
      <c r="R777" s="55"/>
      <c r="S777" s="55"/>
      <c r="T777" s="55"/>
      <c r="U777" s="64"/>
      <c r="V777" s="55"/>
      <c r="W777" s="64"/>
      <c r="X777" s="55"/>
      <c r="Y777" s="53"/>
      <c r="Z777" s="183" t="str">
        <f>IFERROR(__xludf.DUMMYFUNCTION("QUERY('Volunteer Survey'!A776)"),"")</f>
        <v/>
      </c>
      <c r="AA777" s="183" t="str">
        <f>IFERROR(__xludf.DUMMYFUNCTION("QUERY('Volunteer Survey'!B776)"),"")</f>
        <v/>
      </c>
      <c r="AB777" s="183" t="str">
        <f>IFERROR(__xludf.DUMMYFUNCTION("QUERY('Volunteer Survey'!C776)"),"")</f>
        <v/>
      </c>
      <c r="AC777" s="183" t="str">
        <f>IFERROR(__xludf.DUMMYFUNCTION("QUERY('Volunteer Survey'!D776)"),"")</f>
        <v/>
      </c>
      <c r="AD777" s="183" t="str">
        <f>IFERROR(__xludf.DUMMYFUNCTION("QUERY('Volunteer Survey'!E776)"),"")</f>
        <v/>
      </c>
      <c r="AE777" s="183" t="str">
        <f>IFERROR(__xludf.DUMMYFUNCTION("QUERY('Volunteer Survey'!F776)"),"")</f>
        <v/>
      </c>
      <c r="AF777" s="183" t="str">
        <f>IFERROR(__xludf.DUMMYFUNCTION("QUERY('Volunteer Survey'!G776)"),"")</f>
        <v/>
      </c>
      <c r="AG777" s="183" t="str">
        <f>IFERROR(__xludf.DUMMYFUNCTION("QUERY('Volunteer Survey'!H776)"),"")</f>
        <v/>
      </c>
      <c r="AH777" s="183" t="str">
        <f>IFERROR(__xludf.DUMMYFUNCTION("QUERY('Volunteer Survey'!I776)"),"")</f>
        <v/>
      </c>
      <c r="AI777" s="183" t="str">
        <f>IFERROR(__xludf.DUMMYFUNCTION("QUERY('Volunteer Survey'!J776)"),"")</f>
        <v/>
      </c>
      <c r="AJ777" s="183" t="str">
        <f>IFERROR(__xludf.DUMMYFUNCTION("QUERY('Volunteer Survey'!K776)"),"")</f>
        <v/>
      </c>
      <c r="AK777" s="183" t="str">
        <f>IFERROR(__xludf.DUMMYFUNCTION("QUERY('Volunteer Survey'!L776)"),"")</f>
        <v/>
      </c>
      <c r="AL777" s="183" t="str">
        <f>IFERROR(__xludf.DUMMYFUNCTION("QUERY('Volunteer Survey'!M776)"),"")</f>
        <v/>
      </c>
      <c r="AM777" s="183" t="str">
        <f>IFERROR(__xludf.DUMMYFUNCTION("QUERY('Volunteer Survey'!N776)"),"")</f>
        <v/>
      </c>
      <c r="AN777" s="183" t="str">
        <f>IFERROR(__xludf.DUMMYFUNCTION("QUERY('Volunteer Survey'!O776)"),"")</f>
        <v/>
      </c>
      <c r="AO777" s="183" t="str">
        <f>IFERROR(__xludf.DUMMYFUNCTION("QUERY('Volunteer Survey'!P776)"),"")</f>
        <v/>
      </c>
    </row>
    <row r="778">
      <c r="A778" s="55"/>
      <c r="B778" s="55"/>
      <c r="C778" s="53"/>
      <c r="D778" s="55"/>
      <c r="E778" s="55"/>
      <c r="F778" s="55" t="b">
        <v>0</v>
      </c>
      <c r="G778" s="55"/>
      <c r="H778" s="53"/>
      <c r="I778" s="53"/>
      <c r="J778" s="55"/>
      <c r="K778" s="55"/>
      <c r="L778" s="55"/>
      <c r="M778" s="55"/>
      <c r="N778" s="55"/>
      <c r="O778" s="55" t="b">
        <v>0</v>
      </c>
      <c r="P778" s="55"/>
      <c r="Q778" s="55"/>
      <c r="R778" s="55"/>
      <c r="S778" s="55"/>
      <c r="T778" s="55"/>
      <c r="U778" s="64"/>
      <c r="V778" s="55"/>
      <c r="W778" s="64"/>
      <c r="X778" s="55"/>
      <c r="Y778" s="53"/>
      <c r="Z778" s="183" t="str">
        <f>IFERROR(__xludf.DUMMYFUNCTION("QUERY('Volunteer Survey'!A777)"),"")</f>
        <v/>
      </c>
      <c r="AA778" s="183" t="str">
        <f>IFERROR(__xludf.DUMMYFUNCTION("QUERY('Volunteer Survey'!B777)"),"")</f>
        <v/>
      </c>
      <c r="AB778" s="183" t="str">
        <f>IFERROR(__xludf.DUMMYFUNCTION("QUERY('Volunteer Survey'!C777)"),"")</f>
        <v/>
      </c>
      <c r="AC778" s="183" t="str">
        <f>IFERROR(__xludf.DUMMYFUNCTION("QUERY('Volunteer Survey'!D777)"),"")</f>
        <v/>
      </c>
      <c r="AD778" s="183" t="str">
        <f>IFERROR(__xludf.DUMMYFUNCTION("QUERY('Volunteer Survey'!E777)"),"")</f>
        <v/>
      </c>
      <c r="AE778" s="183" t="str">
        <f>IFERROR(__xludf.DUMMYFUNCTION("QUERY('Volunteer Survey'!F777)"),"")</f>
        <v/>
      </c>
      <c r="AF778" s="183" t="str">
        <f>IFERROR(__xludf.DUMMYFUNCTION("QUERY('Volunteer Survey'!G777)"),"")</f>
        <v/>
      </c>
      <c r="AG778" s="183" t="str">
        <f>IFERROR(__xludf.DUMMYFUNCTION("QUERY('Volunteer Survey'!H777)"),"")</f>
        <v/>
      </c>
      <c r="AH778" s="183" t="str">
        <f>IFERROR(__xludf.DUMMYFUNCTION("QUERY('Volunteer Survey'!I777)"),"")</f>
        <v/>
      </c>
      <c r="AI778" s="183" t="str">
        <f>IFERROR(__xludf.DUMMYFUNCTION("QUERY('Volunteer Survey'!J777)"),"")</f>
        <v/>
      </c>
      <c r="AJ778" s="183" t="str">
        <f>IFERROR(__xludf.DUMMYFUNCTION("QUERY('Volunteer Survey'!K777)"),"")</f>
        <v/>
      </c>
      <c r="AK778" s="183" t="str">
        <f>IFERROR(__xludf.DUMMYFUNCTION("QUERY('Volunteer Survey'!L777)"),"")</f>
        <v/>
      </c>
      <c r="AL778" s="183" t="str">
        <f>IFERROR(__xludf.DUMMYFUNCTION("QUERY('Volunteer Survey'!M777)"),"")</f>
        <v/>
      </c>
      <c r="AM778" s="183" t="str">
        <f>IFERROR(__xludf.DUMMYFUNCTION("QUERY('Volunteer Survey'!N777)"),"")</f>
        <v/>
      </c>
      <c r="AN778" s="183" t="str">
        <f>IFERROR(__xludf.DUMMYFUNCTION("QUERY('Volunteer Survey'!O777)"),"")</f>
        <v/>
      </c>
      <c r="AO778" s="183" t="str">
        <f>IFERROR(__xludf.DUMMYFUNCTION("QUERY('Volunteer Survey'!P777)"),"")</f>
        <v/>
      </c>
    </row>
    <row r="779">
      <c r="A779" s="55"/>
      <c r="B779" s="55"/>
      <c r="C779" s="53"/>
      <c r="D779" s="55"/>
      <c r="E779" s="55"/>
      <c r="F779" s="55" t="b">
        <v>0</v>
      </c>
      <c r="G779" s="55"/>
      <c r="H779" s="53"/>
      <c r="I779" s="53"/>
      <c r="J779" s="55"/>
      <c r="K779" s="55"/>
      <c r="L779" s="55"/>
      <c r="M779" s="55"/>
      <c r="N779" s="55"/>
      <c r="O779" s="55" t="b">
        <v>0</v>
      </c>
      <c r="P779" s="55"/>
      <c r="Q779" s="55"/>
      <c r="R779" s="55"/>
      <c r="S779" s="55"/>
      <c r="T779" s="55"/>
      <c r="U779" s="64"/>
      <c r="V779" s="55"/>
      <c r="W779" s="64"/>
      <c r="X779" s="55"/>
      <c r="Y779" s="53"/>
      <c r="Z779" s="183" t="str">
        <f>IFERROR(__xludf.DUMMYFUNCTION("QUERY('Volunteer Survey'!A778)"),"")</f>
        <v/>
      </c>
      <c r="AA779" s="183" t="str">
        <f>IFERROR(__xludf.DUMMYFUNCTION("QUERY('Volunteer Survey'!B778)"),"")</f>
        <v/>
      </c>
      <c r="AB779" s="183" t="str">
        <f>IFERROR(__xludf.DUMMYFUNCTION("QUERY('Volunteer Survey'!C778)"),"")</f>
        <v/>
      </c>
      <c r="AC779" s="183" t="str">
        <f>IFERROR(__xludf.DUMMYFUNCTION("QUERY('Volunteer Survey'!D778)"),"")</f>
        <v/>
      </c>
      <c r="AD779" s="183" t="str">
        <f>IFERROR(__xludf.DUMMYFUNCTION("QUERY('Volunteer Survey'!E778)"),"")</f>
        <v/>
      </c>
      <c r="AE779" s="183" t="str">
        <f>IFERROR(__xludf.DUMMYFUNCTION("QUERY('Volunteer Survey'!F778)"),"")</f>
        <v/>
      </c>
      <c r="AF779" s="183" t="str">
        <f>IFERROR(__xludf.DUMMYFUNCTION("QUERY('Volunteer Survey'!G778)"),"")</f>
        <v/>
      </c>
      <c r="AG779" s="183" t="str">
        <f>IFERROR(__xludf.DUMMYFUNCTION("QUERY('Volunteer Survey'!H778)"),"")</f>
        <v/>
      </c>
      <c r="AH779" s="183" t="str">
        <f>IFERROR(__xludf.DUMMYFUNCTION("QUERY('Volunteer Survey'!I778)"),"")</f>
        <v/>
      </c>
      <c r="AI779" s="183" t="str">
        <f>IFERROR(__xludf.DUMMYFUNCTION("QUERY('Volunteer Survey'!J778)"),"")</f>
        <v/>
      </c>
      <c r="AJ779" s="183" t="str">
        <f>IFERROR(__xludf.DUMMYFUNCTION("QUERY('Volunteer Survey'!K778)"),"")</f>
        <v/>
      </c>
      <c r="AK779" s="183" t="str">
        <f>IFERROR(__xludf.DUMMYFUNCTION("QUERY('Volunteer Survey'!L778)"),"")</f>
        <v/>
      </c>
      <c r="AL779" s="183" t="str">
        <f>IFERROR(__xludf.DUMMYFUNCTION("QUERY('Volunteer Survey'!M778)"),"")</f>
        <v/>
      </c>
      <c r="AM779" s="183" t="str">
        <f>IFERROR(__xludf.DUMMYFUNCTION("QUERY('Volunteer Survey'!N778)"),"")</f>
        <v/>
      </c>
      <c r="AN779" s="183" t="str">
        <f>IFERROR(__xludf.DUMMYFUNCTION("QUERY('Volunteer Survey'!O778)"),"")</f>
        <v/>
      </c>
      <c r="AO779" s="183" t="str">
        <f>IFERROR(__xludf.DUMMYFUNCTION("QUERY('Volunteer Survey'!P778)"),"")</f>
        <v/>
      </c>
    </row>
    <row r="780">
      <c r="A780" s="55"/>
      <c r="B780" s="55"/>
      <c r="C780" s="53"/>
      <c r="D780" s="55"/>
      <c r="E780" s="55"/>
      <c r="F780" s="55" t="b">
        <v>0</v>
      </c>
      <c r="G780" s="55"/>
      <c r="H780" s="53"/>
      <c r="I780" s="53"/>
      <c r="J780" s="55"/>
      <c r="K780" s="55"/>
      <c r="L780" s="55"/>
      <c r="M780" s="55"/>
      <c r="N780" s="55"/>
      <c r="O780" s="55" t="b">
        <v>0</v>
      </c>
      <c r="P780" s="55"/>
      <c r="Q780" s="55"/>
      <c r="R780" s="55"/>
      <c r="S780" s="55"/>
      <c r="T780" s="55"/>
      <c r="U780" s="64"/>
      <c r="V780" s="55"/>
      <c r="W780" s="64"/>
      <c r="X780" s="55"/>
      <c r="Y780" s="53"/>
      <c r="Z780" s="183" t="str">
        <f>IFERROR(__xludf.DUMMYFUNCTION("QUERY('Volunteer Survey'!A779)"),"")</f>
        <v/>
      </c>
      <c r="AA780" s="183" t="str">
        <f>IFERROR(__xludf.DUMMYFUNCTION("QUERY('Volunteer Survey'!B779)"),"")</f>
        <v/>
      </c>
      <c r="AB780" s="183" t="str">
        <f>IFERROR(__xludf.DUMMYFUNCTION("QUERY('Volunteer Survey'!C779)"),"")</f>
        <v/>
      </c>
      <c r="AC780" s="183" t="str">
        <f>IFERROR(__xludf.DUMMYFUNCTION("QUERY('Volunteer Survey'!D779)"),"")</f>
        <v/>
      </c>
      <c r="AD780" s="183" t="str">
        <f>IFERROR(__xludf.DUMMYFUNCTION("QUERY('Volunteer Survey'!E779)"),"")</f>
        <v/>
      </c>
      <c r="AE780" s="183" t="str">
        <f>IFERROR(__xludf.DUMMYFUNCTION("QUERY('Volunteer Survey'!F779)"),"")</f>
        <v/>
      </c>
      <c r="AF780" s="183" t="str">
        <f>IFERROR(__xludf.DUMMYFUNCTION("QUERY('Volunteer Survey'!G779)"),"")</f>
        <v/>
      </c>
      <c r="AG780" s="183" t="str">
        <f>IFERROR(__xludf.DUMMYFUNCTION("QUERY('Volunteer Survey'!H779)"),"")</f>
        <v/>
      </c>
      <c r="AH780" s="183" t="str">
        <f>IFERROR(__xludf.DUMMYFUNCTION("QUERY('Volunteer Survey'!I779)"),"")</f>
        <v/>
      </c>
      <c r="AI780" s="183" t="str">
        <f>IFERROR(__xludf.DUMMYFUNCTION("QUERY('Volunteer Survey'!J779)"),"")</f>
        <v/>
      </c>
      <c r="AJ780" s="183" t="str">
        <f>IFERROR(__xludf.DUMMYFUNCTION("QUERY('Volunteer Survey'!K779)"),"")</f>
        <v/>
      </c>
      <c r="AK780" s="183" t="str">
        <f>IFERROR(__xludf.DUMMYFUNCTION("QUERY('Volunteer Survey'!L779)"),"")</f>
        <v/>
      </c>
      <c r="AL780" s="183" t="str">
        <f>IFERROR(__xludf.DUMMYFUNCTION("QUERY('Volunteer Survey'!M779)"),"")</f>
        <v/>
      </c>
      <c r="AM780" s="183" t="str">
        <f>IFERROR(__xludf.DUMMYFUNCTION("QUERY('Volunteer Survey'!N779)"),"")</f>
        <v/>
      </c>
      <c r="AN780" s="183" t="str">
        <f>IFERROR(__xludf.DUMMYFUNCTION("QUERY('Volunteer Survey'!O779)"),"")</f>
        <v/>
      </c>
      <c r="AO780" s="183" t="str">
        <f>IFERROR(__xludf.DUMMYFUNCTION("QUERY('Volunteer Survey'!P779)"),"")</f>
        <v/>
      </c>
    </row>
    <row r="781">
      <c r="A781" s="55"/>
      <c r="B781" s="55"/>
      <c r="C781" s="53"/>
      <c r="D781" s="55"/>
      <c r="E781" s="55"/>
      <c r="F781" s="55" t="b">
        <v>0</v>
      </c>
      <c r="G781" s="55"/>
      <c r="H781" s="53"/>
      <c r="I781" s="53"/>
      <c r="J781" s="55"/>
      <c r="K781" s="55"/>
      <c r="L781" s="55"/>
      <c r="M781" s="55"/>
      <c r="N781" s="55"/>
      <c r="O781" s="55" t="b">
        <v>0</v>
      </c>
      <c r="P781" s="55"/>
      <c r="Q781" s="55"/>
      <c r="R781" s="55"/>
      <c r="S781" s="55"/>
      <c r="T781" s="55"/>
      <c r="U781" s="64"/>
      <c r="V781" s="55"/>
      <c r="W781" s="64"/>
      <c r="X781" s="55"/>
      <c r="Y781" s="53"/>
      <c r="Z781" s="183" t="str">
        <f>IFERROR(__xludf.DUMMYFUNCTION("QUERY('Volunteer Survey'!A780)"),"")</f>
        <v/>
      </c>
      <c r="AA781" s="183" t="str">
        <f>IFERROR(__xludf.DUMMYFUNCTION("QUERY('Volunteer Survey'!B780)"),"")</f>
        <v/>
      </c>
      <c r="AB781" s="183" t="str">
        <f>IFERROR(__xludf.DUMMYFUNCTION("QUERY('Volunteer Survey'!C780)"),"")</f>
        <v/>
      </c>
      <c r="AC781" s="183" t="str">
        <f>IFERROR(__xludf.DUMMYFUNCTION("QUERY('Volunteer Survey'!D780)"),"")</f>
        <v/>
      </c>
      <c r="AD781" s="183" t="str">
        <f>IFERROR(__xludf.DUMMYFUNCTION("QUERY('Volunteer Survey'!E780)"),"")</f>
        <v/>
      </c>
      <c r="AE781" s="183" t="str">
        <f>IFERROR(__xludf.DUMMYFUNCTION("QUERY('Volunteer Survey'!F780)"),"")</f>
        <v/>
      </c>
      <c r="AF781" s="183" t="str">
        <f>IFERROR(__xludf.DUMMYFUNCTION("QUERY('Volunteer Survey'!G780)"),"")</f>
        <v/>
      </c>
      <c r="AG781" s="183" t="str">
        <f>IFERROR(__xludf.DUMMYFUNCTION("QUERY('Volunteer Survey'!H780)"),"")</f>
        <v/>
      </c>
      <c r="AH781" s="183" t="str">
        <f>IFERROR(__xludf.DUMMYFUNCTION("QUERY('Volunteer Survey'!I780)"),"")</f>
        <v/>
      </c>
      <c r="AI781" s="183" t="str">
        <f>IFERROR(__xludf.DUMMYFUNCTION("QUERY('Volunteer Survey'!J780)"),"")</f>
        <v/>
      </c>
      <c r="AJ781" s="183" t="str">
        <f>IFERROR(__xludf.DUMMYFUNCTION("QUERY('Volunteer Survey'!K780)"),"")</f>
        <v/>
      </c>
      <c r="AK781" s="183" t="str">
        <f>IFERROR(__xludf.DUMMYFUNCTION("QUERY('Volunteer Survey'!L780)"),"")</f>
        <v/>
      </c>
      <c r="AL781" s="183" t="str">
        <f>IFERROR(__xludf.DUMMYFUNCTION("QUERY('Volunteer Survey'!M780)"),"")</f>
        <v/>
      </c>
      <c r="AM781" s="183" t="str">
        <f>IFERROR(__xludf.DUMMYFUNCTION("QUERY('Volunteer Survey'!N780)"),"")</f>
        <v/>
      </c>
      <c r="AN781" s="183" t="str">
        <f>IFERROR(__xludf.DUMMYFUNCTION("QUERY('Volunteer Survey'!O780)"),"")</f>
        <v/>
      </c>
      <c r="AO781" s="183" t="str">
        <f>IFERROR(__xludf.DUMMYFUNCTION("QUERY('Volunteer Survey'!P780)"),"")</f>
        <v/>
      </c>
    </row>
    <row r="782">
      <c r="A782" s="55"/>
      <c r="B782" s="55"/>
      <c r="C782" s="53"/>
      <c r="D782" s="55"/>
      <c r="E782" s="55"/>
      <c r="F782" s="55" t="b">
        <v>0</v>
      </c>
      <c r="G782" s="55"/>
      <c r="H782" s="53"/>
      <c r="I782" s="53"/>
      <c r="J782" s="55"/>
      <c r="K782" s="55"/>
      <c r="L782" s="55"/>
      <c r="M782" s="55"/>
      <c r="N782" s="55"/>
      <c r="O782" s="55" t="b">
        <v>0</v>
      </c>
      <c r="P782" s="55"/>
      <c r="Q782" s="55"/>
      <c r="R782" s="55"/>
      <c r="S782" s="55"/>
      <c r="T782" s="55"/>
      <c r="U782" s="64"/>
      <c r="V782" s="55"/>
      <c r="W782" s="64"/>
      <c r="X782" s="55"/>
      <c r="Y782" s="53"/>
      <c r="Z782" s="183" t="str">
        <f>IFERROR(__xludf.DUMMYFUNCTION("QUERY('Volunteer Survey'!A781)"),"")</f>
        <v/>
      </c>
      <c r="AA782" s="183" t="str">
        <f>IFERROR(__xludf.DUMMYFUNCTION("QUERY('Volunteer Survey'!B781)"),"")</f>
        <v/>
      </c>
      <c r="AB782" s="183" t="str">
        <f>IFERROR(__xludf.DUMMYFUNCTION("QUERY('Volunteer Survey'!C781)"),"")</f>
        <v/>
      </c>
      <c r="AC782" s="183" t="str">
        <f>IFERROR(__xludf.DUMMYFUNCTION("QUERY('Volunteer Survey'!D781)"),"")</f>
        <v/>
      </c>
      <c r="AD782" s="183" t="str">
        <f>IFERROR(__xludf.DUMMYFUNCTION("QUERY('Volunteer Survey'!E781)"),"")</f>
        <v/>
      </c>
      <c r="AE782" s="183" t="str">
        <f>IFERROR(__xludf.DUMMYFUNCTION("QUERY('Volunteer Survey'!F781)"),"")</f>
        <v/>
      </c>
      <c r="AF782" s="183" t="str">
        <f>IFERROR(__xludf.DUMMYFUNCTION("QUERY('Volunteer Survey'!G781)"),"")</f>
        <v/>
      </c>
      <c r="AG782" s="183" t="str">
        <f>IFERROR(__xludf.DUMMYFUNCTION("QUERY('Volunteer Survey'!H781)"),"")</f>
        <v/>
      </c>
      <c r="AH782" s="183" t="str">
        <f>IFERROR(__xludf.DUMMYFUNCTION("QUERY('Volunteer Survey'!I781)"),"")</f>
        <v/>
      </c>
      <c r="AI782" s="183" t="str">
        <f>IFERROR(__xludf.DUMMYFUNCTION("QUERY('Volunteer Survey'!J781)"),"")</f>
        <v/>
      </c>
      <c r="AJ782" s="183" t="str">
        <f>IFERROR(__xludf.DUMMYFUNCTION("QUERY('Volunteer Survey'!K781)"),"")</f>
        <v/>
      </c>
      <c r="AK782" s="183" t="str">
        <f>IFERROR(__xludf.DUMMYFUNCTION("QUERY('Volunteer Survey'!L781)"),"")</f>
        <v/>
      </c>
      <c r="AL782" s="183" t="str">
        <f>IFERROR(__xludf.DUMMYFUNCTION("QUERY('Volunteer Survey'!M781)"),"")</f>
        <v/>
      </c>
      <c r="AM782" s="183" t="str">
        <f>IFERROR(__xludf.DUMMYFUNCTION("QUERY('Volunteer Survey'!N781)"),"")</f>
        <v/>
      </c>
      <c r="AN782" s="183" t="str">
        <f>IFERROR(__xludf.DUMMYFUNCTION("QUERY('Volunteer Survey'!O781)"),"")</f>
        <v/>
      </c>
      <c r="AO782" s="183" t="str">
        <f>IFERROR(__xludf.DUMMYFUNCTION("QUERY('Volunteer Survey'!P781)"),"")</f>
        <v/>
      </c>
    </row>
    <row r="783">
      <c r="A783" s="55"/>
      <c r="B783" s="55"/>
      <c r="C783" s="53"/>
      <c r="D783" s="55"/>
      <c r="E783" s="55"/>
      <c r="F783" s="55" t="b">
        <v>0</v>
      </c>
      <c r="G783" s="55"/>
      <c r="H783" s="53"/>
      <c r="I783" s="53"/>
      <c r="J783" s="55"/>
      <c r="K783" s="55"/>
      <c r="L783" s="55"/>
      <c r="M783" s="55"/>
      <c r="N783" s="55"/>
      <c r="O783" s="55" t="b">
        <v>0</v>
      </c>
      <c r="P783" s="55"/>
      <c r="Q783" s="55"/>
      <c r="R783" s="55"/>
      <c r="S783" s="55"/>
      <c r="T783" s="55"/>
      <c r="U783" s="64"/>
      <c r="V783" s="55"/>
      <c r="W783" s="64"/>
      <c r="X783" s="55"/>
      <c r="Y783" s="53"/>
      <c r="Z783" s="183" t="str">
        <f>IFERROR(__xludf.DUMMYFUNCTION("QUERY('Volunteer Survey'!A782)"),"")</f>
        <v/>
      </c>
      <c r="AA783" s="183" t="str">
        <f>IFERROR(__xludf.DUMMYFUNCTION("QUERY('Volunteer Survey'!B782)"),"")</f>
        <v/>
      </c>
      <c r="AB783" s="183" t="str">
        <f>IFERROR(__xludf.DUMMYFUNCTION("QUERY('Volunteer Survey'!C782)"),"")</f>
        <v/>
      </c>
      <c r="AC783" s="183" t="str">
        <f>IFERROR(__xludf.DUMMYFUNCTION("QUERY('Volunteer Survey'!D782)"),"")</f>
        <v/>
      </c>
      <c r="AD783" s="183" t="str">
        <f>IFERROR(__xludf.DUMMYFUNCTION("QUERY('Volunteer Survey'!E782)"),"")</f>
        <v/>
      </c>
      <c r="AE783" s="183" t="str">
        <f>IFERROR(__xludf.DUMMYFUNCTION("QUERY('Volunteer Survey'!F782)"),"")</f>
        <v/>
      </c>
      <c r="AF783" s="183" t="str">
        <f>IFERROR(__xludf.DUMMYFUNCTION("QUERY('Volunteer Survey'!G782)"),"")</f>
        <v/>
      </c>
      <c r="AG783" s="183" t="str">
        <f>IFERROR(__xludf.DUMMYFUNCTION("QUERY('Volunteer Survey'!H782)"),"")</f>
        <v/>
      </c>
      <c r="AH783" s="183" t="str">
        <f>IFERROR(__xludf.DUMMYFUNCTION("QUERY('Volunteer Survey'!I782)"),"")</f>
        <v/>
      </c>
      <c r="AI783" s="183" t="str">
        <f>IFERROR(__xludf.DUMMYFUNCTION("QUERY('Volunteer Survey'!J782)"),"")</f>
        <v/>
      </c>
      <c r="AJ783" s="183" t="str">
        <f>IFERROR(__xludf.DUMMYFUNCTION("QUERY('Volunteer Survey'!K782)"),"")</f>
        <v/>
      </c>
      <c r="AK783" s="183" t="str">
        <f>IFERROR(__xludf.DUMMYFUNCTION("QUERY('Volunteer Survey'!L782)"),"")</f>
        <v/>
      </c>
      <c r="AL783" s="183" t="str">
        <f>IFERROR(__xludf.DUMMYFUNCTION("QUERY('Volunteer Survey'!M782)"),"")</f>
        <v/>
      </c>
      <c r="AM783" s="183" t="str">
        <f>IFERROR(__xludf.DUMMYFUNCTION("QUERY('Volunteer Survey'!N782)"),"")</f>
        <v/>
      </c>
      <c r="AN783" s="183" t="str">
        <f>IFERROR(__xludf.DUMMYFUNCTION("QUERY('Volunteer Survey'!O782)"),"")</f>
        <v/>
      </c>
      <c r="AO783" s="183" t="str">
        <f>IFERROR(__xludf.DUMMYFUNCTION("QUERY('Volunteer Survey'!P782)"),"")</f>
        <v/>
      </c>
    </row>
    <row r="784">
      <c r="A784" s="55"/>
      <c r="B784" s="55"/>
      <c r="C784" s="53"/>
      <c r="D784" s="55"/>
      <c r="E784" s="55"/>
      <c r="F784" s="55" t="b">
        <v>0</v>
      </c>
      <c r="G784" s="55"/>
      <c r="H784" s="53"/>
      <c r="I784" s="53"/>
      <c r="J784" s="55"/>
      <c r="K784" s="55"/>
      <c r="L784" s="55"/>
      <c r="M784" s="55"/>
      <c r="N784" s="55"/>
      <c r="O784" s="55" t="b">
        <v>0</v>
      </c>
      <c r="P784" s="55"/>
      <c r="Q784" s="55"/>
      <c r="R784" s="55"/>
      <c r="S784" s="55"/>
      <c r="T784" s="55"/>
      <c r="U784" s="64"/>
      <c r="V784" s="55"/>
      <c r="W784" s="64"/>
      <c r="X784" s="55"/>
      <c r="Y784" s="53"/>
      <c r="Z784" s="183" t="str">
        <f>IFERROR(__xludf.DUMMYFUNCTION("QUERY('Volunteer Survey'!A783)"),"")</f>
        <v/>
      </c>
      <c r="AA784" s="183" t="str">
        <f>IFERROR(__xludf.DUMMYFUNCTION("QUERY('Volunteer Survey'!B783)"),"")</f>
        <v/>
      </c>
      <c r="AB784" s="183" t="str">
        <f>IFERROR(__xludf.DUMMYFUNCTION("QUERY('Volunteer Survey'!C783)"),"")</f>
        <v/>
      </c>
      <c r="AC784" s="183" t="str">
        <f>IFERROR(__xludf.DUMMYFUNCTION("QUERY('Volunteer Survey'!D783)"),"")</f>
        <v/>
      </c>
      <c r="AD784" s="183" t="str">
        <f>IFERROR(__xludf.DUMMYFUNCTION("QUERY('Volunteer Survey'!E783)"),"")</f>
        <v/>
      </c>
      <c r="AE784" s="183" t="str">
        <f>IFERROR(__xludf.DUMMYFUNCTION("QUERY('Volunteer Survey'!F783)"),"")</f>
        <v/>
      </c>
      <c r="AF784" s="183" t="str">
        <f>IFERROR(__xludf.DUMMYFUNCTION("QUERY('Volunteer Survey'!G783)"),"")</f>
        <v/>
      </c>
      <c r="AG784" s="183" t="str">
        <f>IFERROR(__xludf.DUMMYFUNCTION("QUERY('Volunteer Survey'!H783)"),"")</f>
        <v/>
      </c>
      <c r="AH784" s="183" t="str">
        <f>IFERROR(__xludf.DUMMYFUNCTION("QUERY('Volunteer Survey'!I783)"),"")</f>
        <v/>
      </c>
      <c r="AI784" s="183" t="str">
        <f>IFERROR(__xludf.DUMMYFUNCTION("QUERY('Volunteer Survey'!J783)"),"")</f>
        <v/>
      </c>
      <c r="AJ784" s="183" t="str">
        <f>IFERROR(__xludf.DUMMYFUNCTION("QUERY('Volunteer Survey'!K783)"),"")</f>
        <v/>
      </c>
      <c r="AK784" s="183" t="str">
        <f>IFERROR(__xludf.DUMMYFUNCTION("QUERY('Volunteer Survey'!L783)"),"")</f>
        <v/>
      </c>
      <c r="AL784" s="183" t="str">
        <f>IFERROR(__xludf.DUMMYFUNCTION("QUERY('Volunteer Survey'!M783)"),"")</f>
        <v/>
      </c>
      <c r="AM784" s="183" t="str">
        <f>IFERROR(__xludf.DUMMYFUNCTION("QUERY('Volunteer Survey'!N783)"),"")</f>
        <v/>
      </c>
      <c r="AN784" s="183" t="str">
        <f>IFERROR(__xludf.DUMMYFUNCTION("QUERY('Volunteer Survey'!O783)"),"")</f>
        <v/>
      </c>
      <c r="AO784" s="183" t="str">
        <f>IFERROR(__xludf.DUMMYFUNCTION("QUERY('Volunteer Survey'!P783)"),"")</f>
        <v/>
      </c>
    </row>
    <row r="785">
      <c r="A785" s="55"/>
      <c r="B785" s="55"/>
      <c r="C785" s="53"/>
      <c r="D785" s="55"/>
      <c r="E785" s="55"/>
      <c r="F785" s="55" t="b">
        <v>0</v>
      </c>
      <c r="G785" s="55"/>
      <c r="H785" s="53"/>
      <c r="I785" s="53"/>
      <c r="J785" s="55"/>
      <c r="K785" s="55"/>
      <c r="L785" s="55"/>
      <c r="M785" s="55"/>
      <c r="N785" s="55"/>
      <c r="O785" s="55" t="b">
        <v>0</v>
      </c>
      <c r="P785" s="55"/>
      <c r="Q785" s="55"/>
      <c r="R785" s="55"/>
      <c r="S785" s="55"/>
      <c r="T785" s="55"/>
      <c r="U785" s="64"/>
      <c r="V785" s="55"/>
      <c r="W785" s="64"/>
      <c r="X785" s="55"/>
      <c r="Y785" s="53"/>
      <c r="Z785" s="183" t="str">
        <f>IFERROR(__xludf.DUMMYFUNCTION("QUERY('Volunteer Survey'!A784)"),"")</f>
        <v/>
      </c>
      <c r="AA785" s="183" t="str">
        <f>IFERROR(__xludf.DUMMYFUNCTION("QUERY('Volunteer Survey'!B784)"),"")</f>
        <v/>
      </c>
      <c r="AB785" s="183" t="str">
        <f>IFERROR(__xludf.DUMMYFUNCTION("QUERY('Volunteer Survey'!C784)"),"")</f>
        <v/>
      </c>
      <c r="AC785" s="183" t="str">
        <f>IFERROR(__xludf.DUMMYFUNCTION("QUERY('Volunteer Survey'!D784)"),"")</f>
        <v/>
      </c>
      <c r="AD785" s="183" t="str">
        <f>IFERROR(__xludf.DUMMYFUNCTION("QUERY('Volunteer Survey'!E784)"),"")</f>
        <v/>
      </c>
      <c r="AE785" s="183" t="str">
        <f>IFERROR(__xludf.DUMMYFUNCTION("QUERY('Volunteer Survey'!F784)"),"")</f>
        <v/>
      </c>
      <c r="AF785" s="183" t="str">
        <f>IFERROR(__xludf.DUMMYFUNCTION("QUERY('Volunteer Survey'!G784)"),"")</f>
        <v/>
      </c>
      <c r="AG785" s="183" t="str">
        <f>IFERROR(__xludf.DUMMYFUNCTION("QUERY('Volunteer Survey'!H784)"),"")</f>
        <v/>
      </c>
      <c r="AH785" s="183" t="str">
        <f>IFERROR(__xludf.DUMMYFUNCTION("QUERY('Volunteer Survey'!I784)"),"")</f>
        <v/>
      </c>
      <c r="AI785" s="183" t="str">
        <f>IFERROR(__xludf.DUMMYFUNCTION("QUERY('Volunteer Survey'!J784)"),"")</f>
        <v/>
      </c>
      <c r="AJ785" s="183" t="str">
        <f>IFERROR(__xludf.DUMMYFUNCTION("QUERY('Volunteer Survey'!K784)"),"")</f>
        <v/>
      </c>
      <c r="AK785" s="183" t="str">
        <f>IFERROR(__xludf.DUMMYFUNCTION("QUERY('Volunteer Survey'!L784)"),"")</f>
        <v/>
      </c>
      <c r="AL785" s="183" t="str">
        <f>IFERROR(__xludf.DUMMYFUNCTION("QUERY('Volunteer Survey'!M784)"),"")</f>
        <v/>
      </c>
      <c r="AM785" s="183" t="str">
        <f>IFERROR(__xludf.DUMMYFUNCTION("QUERY('Volunteer Survey'!N784)"),"")</f>
        <v/>
      </c>
      <c r="AN785" s="183" t="str">
        <f>IFERROR(__xludf.DUMMYFUNCTION("QUERY('Volunteer Survey'!O784)"),"")</f>
        <v/>
      </c>
      <c r="AO785" s="183" t="str">
        <f>IFERROR(__xludf.DUMMYFUNCTION("QUERY('Volunteer Survey'!P784)"),"")</f>
        <v/>
      </c>
    </row>
    <row r="786">
      <c r="A786" s="55"/>
      <c r="B786" s="55"/>
      <c r="C786" s="53"/>
      <c r="D786" s="55"/>
      <c r="E786" s="55"/>
      <c r="F786" s="55" t="b">
        <v>0</v>
      </c>
      <c r="G786" s="55"/>
      <c r="H786" s="53"/>
      <c r="I786" s="53"/>
      <c r="J786" s="55"/>
      <c r="K786" s="55"/>
      <c r="L786" s="55"/>
      <c r="M786" s="55"/>
      <c r="N786" s="55"/>
      <c r="O786" s="55" t="b">
        <v>0</v>
      </c>
      <c r="P786" s="55"/>
      <c r="Q786" s="55"/>
      <c r="R786" s="55"/>
      <c r="S786" s="55"/>
      <c r="T786" s="55"/>
      <c r="U786" s="64"/>
      <c r="V786" s="55"/>
      <c r="W786" s="64"/>
      <c r="X786" s="55"/>
      <c r="Y786" s="53"/>
      <c r="Z786" s="183" t="str">
        <f>IFERROR(__xludf.DUMMYFUNCTION("QUERY('Volunteer Survey'!A785)"),"")</f>
        <v/>
      </c>
      <c r="AA786" s="183" t="str">
        <f>IFERROR(__xludf.DUMMYFUNCTION("QUERY('Volunteer Survey'!B785)"),"")</f>
        <v/>
      </c>
      <c r="AB786" s="183" t="str">
        <f>IFERROR(__xludf.DUMMYFUNCTION("QUERY('Volunteer Survey'!C785)"),"")</f>
        <v/>
      </c>
      <c r="AC786" s="183" t="str">
        <f>IFERROR(__xludf.DUMMYFUNCTION("QUERY('Volunteer Survey'!D785)"),"")</f>
        <v/>
      </c>
      <c r="AD786" s="183" t="str">
        <f>IFERROR(__xludf.DUMMYFUNCTION("QUERY('Volunteer Survey'!E785)"),"")</f>
        <v/>
      </c>
      <c r="AE786" s="183" t="str">
        <f>IFERROR(__xludf.DUMMYFUNCTION("QUERY('Volunteer Survey'!F785)"),"")</f>
        <v/>
      </c>
      <c r="AF786" s="183" t="str">
        <f>IFERROR(__xludf.DUMMYFUNCTION("QUERY('Volunteer Survey'!G785)"),"")</f>
        <v/>
      </c>
      <c r="AG786" s="183" t="str">
        <f>IFERROR(__xludf.DUMMYFUNCTION("QUERY('Volunteer Survey'!H785)"),"")</f>
        <v/>
      </c>
      <c r="AH786" s="183" t="str">
        <f>IFERROR(__xludf.DUMMYFUNCTION("QUERY('Volunteer Survey'!I785)"),"")</f>
        <v/>
      </c>
      <c r="AI786" s="183" t="str">
        <f>IFERROR(__xludf.DUMMYFUNCTION("QUERY('Volunteer Survey'!J785)"),"")</f>
        <v/>
      </c>
      <c r="AJ786" s="183" t="str">
        <f>IFERROR(__xludf.DUMMYFUNCTION("QUERY('Volunteer Survey'!K785)"),"")</f>
        <v/>
      </c>
      <c r="AK786" s="183" t="str">
        <f>IFERROR(__xludf.DUMMYFUNCTION("QUERY('Volunteer Survey'!L785)"),"")</f>
        <v/>
      </c>
      <c r="AL786" s="183" t="str">
        <f>IFERROR(__xludf.DUMMYFUNCTION("QUERY('Volunteer Survey'!M785)"),"")</f>
        <v/>
      </c>
      <c r="AM786" s="183" t="str">
        <f>IFERROR(__xludf.DUMMYFUNCTION("QUERY('Volunteer Survey'!N785)"),"")</f>
        <v/>
      </c>
      <c r="AN786" s="183" t="str">
        <f>IFERROR(__xludf.DUMMYFUNCTION("QUERY('Volunteer Survey'!O785)"),"")</f>
        <v/>
      </c>
      <c r="AO786" s="183" t="str">
        <f>IFERROR(__xludf.DUMMYFUNCTION("QUERY('Volunteer Survey'!P785)"),"")</f>
        <v/>
      </c>
    </row>
    <row r="787">
      <c r="A787" s="55"/>
      <c r="B787" s="55"/>
      <c r="C787" s="53"/>
      <c r="D787" s="55"/>
      <c r="E787" s="55"/>
      <c r="F787" s="55" t="b">
        <v>0</v>
      </c>
      <c r="G787" s="55"/>
      <c r="H787" s="53"/>
      <c r="I787" s="53"/>
      <c r="J787" s="55"/>
      <c r="K787" s="55"/>
      <c r="L787" s="55"/>
      <c r="M787" s="55"/>
      <c r="N787" s="55"/>
      <c r="O787" s="55" t="b">
        <v>0</v>
      </c>
      <c r="P787" s="55"/>
      <c r="Q787" s="55"/>
      <c r="R787" s="55"/>
      <c r="S787" s="55"/>
      <c r="T787" s="55"/>
      <c r="U787" s="64"/>
      <c r="V787" s="55"/>
      <c r="W787" s="64"/>
      <c r="X787" s="55"/>
      <c r="Y787" s="53"/>
      <c r="Z787" s="183" t="str">
        <f>IFERROR(__xludf.DUMMYFUNCTION("QUERY('Volunteer Survey'!A786)"),"")</f>
        <v/>
      </c>
      <c r="AA787" s="183" t="str">
        <f>IFERROR(__xludf.DUMMYFUNCTION("QUERY('Volunteer Survey'!B786)"),"")</f>
        <v/>
      </c>
      <c r="AB787" s="183" t="str">
        <f>IFERROR(__xludf.DUMMYFUNCTION("QUERY('Volunteer Survey'!C786)"),"")</f>
        <v/>
      </c>
      <c r="AC787" s="183" t="str">
        <f>IFERROR(__xludf.DUMMYFUNCTION("QUERY('Volunteer Survey'!D786)"),"")</f>
        <v/>
      </c>
      <c r="AD787" s="183" t="str">
        <f>IFERROR(__xludf.DUMMYFUNCTION("QUERY('Volunteer Survey'!E786)"),"")</f>
        <v/>
      </c>
      <c r="AE787" s="183" t="str">
        <f>IFERROR(__xludf.DUMMYFUNCTION("QUERY('Volunteer Survey'!F786)"),"")</f>
        <v/>
      </c>
      <c r="AF787" s="183" t="str">
        <f>IFERROR(__xludf.DUMMYFUNCTION("QUERY('Volunteer Survey'!G786)"),"")</f>
        <v/>
      </c>
      <c r="AG787" s="183" t="str">
        <f>IFERROR(__xludf.DUMMYFUNCTION("QUERY('Volunteer Survey'!H786)"),"")</f>
        <v/>
      </c>
      <c r="AH787" s="183" t="str">
        <f>IFERROR(__xludf.DUMMYFUNCTION("QUERY('Volunteer Survey'!I786)"),"")</f>
        <v/>
      </c>
      <c r="AI787" s="183" t="str">
        <f>IFERROR(__xludf.DUMMYFUNCTION("QUERY('Volunteer Survey'!J786)"),"")</f>
        <v/>
      </c>
      <c r="AJ787" s="183" t="str">
        <f>IFERROR(__xludf.DUMMYFUNCTION("QUERY('Volunteer Survey'!K786)"),"")</f>
        <v/>
      </c>
      <c r="AK787" s="183" t="str">
        <f>IFERROR(__xludf.DUMMYFUNCTION("QUERY('Volunteer Survey'!L786)"),"")</f>
        <v/>
      </c>
      <c r="AL787" s="183" t="str">
        <f>IFERROR(__xludf.DUMMYFUNCTION("QUERY('Volunteer Survey'!M786)"),"")</f>
        <v/>
      </c>
      <c r="AM787" s="183" t="str">
        <f>IFERROR(__xludf.DUMMYFUNCTION("QUERY('Volunteer Survey'!N786)"),"")</f>
        <v/>
      </c>
      <c r="AN787" s="183" t="str">
        <f>IFERROR(__xludf.DUMMYFUNCTION("QUERY('Volunteer Survey'!O786)"),"")</f>
        <v/>
      </c>
      <c r="AO787" s="183" t="str">
        <f>IFERROR(__xludf.DUMMYFUNCTION("QUERY('Volunteer Survey'!P786)"),"")</f>
        <v/>
      </c>
    </row>
    <row r="788">
      <c r="A788" s="55"/>
      <c r="B788" s="55"/>
      <c r="C788" s="53"/>
      <c r="D788" s="55"/>
      <c r="E788" s="55"/>
      <c r="F788" s="55" t="b">
        <v>0</v>
      </c>
      <c r="G788" s="55"/>
      <c r="H788" s="53"/>
      <c r="I788" s="53"/>
      <c r="J788" s="55"/>
      <c r="K788" s="55"/>
      <c r="L788" s="55"/>
      <c r="M788" s="55"/>
      <c r="N788" s="55"/>
      <c r="O788" s="55" t="b">
        <v>0</v>
      </c>
      <c r="P788" s="55"/>
      <c r="Q788" s="55"/>
      <c r="R788" s="55"/>
      <c r="S788" s="55"/>
      <c r="T788" s="55"/>
      <c r="U788" s="64"/>
      <c r="V788" s="55"/>
      <c r="W788" s="64"/>
      <c r="X788" s="55"/>
      <c r="Y788" s="53"/>
      <c r="Z788" s="183" t="str">
        <f>IFERROR(__xludf.DUMMYFUNCTION("QUERY('Volunteer Survey'!A787)"),"")</f>
        <v/>
      </c>
      <c r="AA788" s="183" t="str">
        <f>IFERROR(__xludf.DUMMYFUNCTION("QUERY('Volunteer Survey'!B787)"),"")</f>
        <v/>
      </c>
      <c r="AB788" s="183" t="str">
        <f>IFERROR(__xludf.DUMMYFUNCTION("QUERY('Volunteer Survey'!C787)"),"")</f>
        <v/>
      </c>
      <c r="AC788" s="183" t="str">
        <f>IFERROR(__xludf.DUMMYFUNCTION("QUERY('Volunteer Survey'!D787)"),"")</f>
        <v/>
      </c>
      <c r="AD788" s="183" t="str">
        <f>IFERROR(__xludf.DUMMYFUNCTION("QUERY('Volunteer Survey'!E787)"),"")</f>
        <v/>
      </c>
      <c r="AE788" s="183" t="str">
        <f>IFERROR(__xludf.DUMMYFUNCTION("QUERY('Volunteer Survey'!F787)"),"")</f>
        <v/>
      </c>
      <c r="AF788" s="183" t="str">
        <f>IFERROR(__xludf.DUMMYFUNCTION("QUERY('Volunteer Survey'!G787)"),"")</f>
        <v/>
      </c>
      <c r="AG788" s="183" t="str">
        <f>IFERROR(__xludf.DUMMYFUNCTION("QUERY('Volunteer Survey'!H787)"),"")</f>
        <v/>
      </c>
      <c r="AH788" s="183" t="str">
        <f>IFERROR(__xludf.DUMMYFUNCTION("QUERY('Volunteer Survey'!I787)"),"")</f>
        <v/>
      </c>
      <c r="AI788" s="183" t="str">
        <f>IFERROR(__xludf.DUMMYFUNCTION("QUERY('Volunteer Survey'!J787)"),"")</f>
        <v/>
      </c>
      <c r="AJ788" s="183" t="str">
        <f>IFERROR(__xludf.DUMMYFUNCTION("QUERY('Volunteer Survey'!K787)"),"")</f>
        <v/>
      </c>
      <c r="AK788" s="183" t="str">
        <f>IFERROR(__xludf.DUMMYFUNCTION("QUERY('Volunteer Survey'!L787)"),"")</f>
        <v/>
      </c>
      <c r="AL788" s="183" t="str">
        <f>IFERROR(__xludf.DUMMYFUNCTION("QUERY('Volunteer Survey'!M787)"),"")</f>
        <v/>
      </c>
      <c r="AM788" s="183" t="str">
        <f>IFERROR(__xludf.DUMMYFUNCTION("QUERY('Volunteer Survey'!N787)"),"")</f>
        <v/>
      </c>
      <c r="AN788" s="183" t="str">
        <f>IFERROR(__xludf.DUMMYFUNCTION("QUERY('Volunteer Survey'!O787)"),"")</f>
        <v/>
      </c>
      <c r="AO788" s="183" t="str">
        <f>IFERROR(__xludf.DUMMYFUNCTION("QUERY('Volunteer Survey'!P787)"),"")</f>
        <v/>
      </c>
    </row>
    <row r="789">
      <c r="A789" s="55"/>
      <c r="B789" s="55"/>
      <c r="C789" s="53"/>
      <c r="D789" s="55"/>
      <c r="E789" s="55"/>
      <c r="F789" s="55" t="b">
        <v>0</v>
      </c>
      <c r="G789" s="55"/>
      <c r="H789" s="53"/>
      <c r="I789" s="53"/>
      <c r="J789" s="55"/>
      <c r="K789" s="55"/>
      <c r="L789" s="55"/>
      <c r="M789" s="55"/>
      <c r="N789" s="55"/>
      <c r="O789" s="55" t="b">
        <v>0</v>
      </c>
      <c r="P789" s="55"/>
      <c r="Q789" s="55"/>
      <c r="R789" s="55"/>
      <c r="S789" s="55"/>
      <c r="T789" s="55"/>
      <c r="U789" s="64"/>
      <c r="V789" s="55"/>
      <c r="W789" s="64"/>
      <c r="X789" s="55"/>
      <c r="Y789" s="53"/>
      <c r="Z789" s="183" t="str">
        <f>IFERROR(__xludf.DUMMYFUNCTION("QUERY('Volunteer Survey'!A788)"),"")</f>
        <v/>
      </c>
      <c r="AA789" s="183" t="str">
        <f>IFERROR(__xludf.DUMMYFUNCTION("QUERY('Volunteer Survey'!B788)"),"")</f>
        <v/>
      </c>
      <c r="AB789" s="183" t="str">
        <f>IFERROR(__xludf.DUMMYFUNCTION("QUERY('Volunteer Survey'!C788)"),"")</f>
        <v/>
      </c>
      <c r="AC789" s="183" t="str">
        <f>IFERROR(__xludf.DUMMYFUNCTION("QUERY('Volunteer Survey'!D788)"),"")</f>
        <v/>
      </c>
      <c r="AD789" s="183" t="str">
        <f>IFERROR(__xludf.DUMMYFUNCTION("QUERY('Volunteer Survey'!E788)"),"")</f>
        <v/>
      </c>
      <c r="AE789" s="183" t="str">
        <f>IFERROR(__xludf.DUMMYFUNCTION("QUERY('Volunteer Survey'!F788)"),"")</f>
        <v/>
      </c>
      <c r="AF789" s="183" t="str">
        <f>IFERROR(__xludf.DUMMYFUNCTION("QUERY('Volunteer Survey'!G788)"),"")</f>
        <v/>
      </c>
      <c r="AG789" s="183" t="str">
        <f>IFERROR(__xludf.DUMMYFUNCTION("QUERY('Volunteer Survey'!H788)"),"")</f>
        <v/>
      </c>
      <c r="AH789" s="183" t="str">
        <f>IFERROR(__xludf.DUMMYFUNCTION("QUERY('Volunteer Survey'!I788)"),"")</f>
        <v/>
      </c>
      <c r="AI789" s="183" t="str">
        <f>IFERROR(__xludf.DUMMYFUNCTION("QUERY('Volunteer Survey'!J788)"),"")</f>
        <v/>
      </c>
      <c r="AJ789" s="183" t="str">
        <f>IFERROR(__xludf.DUMMYFUNCTION("QUERY('Volunteer Survey'!K788)"),"")</f>
        <v/>
      </c>
      <c r="AK789" s="183" t="str">
        <f>IFERROR(__xludf.DUMMYFUNCTION("QUERY('Volunteer Survey'!L788)"),"")</f>
        <v/>
      </c>
      <c r="AL789" s="183" t="str">
        <f>IFERROR(__xludf.DUMMYFUNCTION("QUERY('Volunteer Survey'!M788)"),"")</f>
        <v/>
      </c>
      <c r="AM789" s="183" t="str">
        <f>IFERROR(__xludf.DUMMYFUNCTION("QUERY('Volunteer Survey'!N788)"),"")</f>
        <v/>
      </c>
      <c r="AN789" s="183" t="str">
        <f>IFERROR(__xludf.DUMMYFUNCTION("QUERY('Volunteer Survey'!O788)"),"")</f>
        <v/>
      </c>
      <c r="AO789" s="183" t="str">
        <f>IFERROR(__xludf.DUMMYFUNCTION("QUERY('Volunteer Survey'!P788)"),"")</f>
        <v/>
      </c>
    </row>
    <row r="790">
      <c r="A790" s="55"/>
      <c r="B790" s="55"/>
      <c r="C790" s="53"/>
      <c r="D790" s="55"/>
      <c r="E790" s="55"/>
      <c r="F790" s="55" t="b">
        <v>0</v>
      </c>
      <c r="G790" s="55"/>
      <c r="H790" s="53"/>
      <c r="I790" s="53"/>
      <c r="J790" s="55"/>
      <c r="K790" s="55"/>
      <c r="L790" s="55"/>
      <c r="M790" s="55"/>
      <c r="N790" s="55"/>
      <c r="O790" s="55" t="b">
        <v>0</v>
      </c>
      <c r="P790" s="55"/>
      <c r="Q790" s="55"/>
      <c r="R790" s="55"/>
      <c r="S790" s="55"/>
      <c r="T790" s="55"/>
      <c r="U790" s="64"/>
      <c r="V790" s="55"/>
      <c r="W790" s="64"/>
      <c r="X790" s="55"/>
      <c r="Y790" s="53"/>
      <c r="Z790" s="183" t="str">
        <f>IFERROR(__xludf.DUMMYFUNCTION("QUERY('Volunteer Survey'!A789)"),"")</f>
        <v/>
      </c>
      <c r="AA790" s="183" t="str">
        <f>IFERROR(__xludf.DUMMYFUNCTION("QUERY('Volunteer Survey'!B789)"),"")</f>
        <v/>
      </c>
      <c r="AB790" s="183" t="str">
        <f>IFERROR(__xludf.DUMMYFUNCTION("QUERY('Volunteer Survey'!C789)"),"")</f>
        <v/>
      </c>
      <c r="AC790" s="183" t="str">
        <f>IFERROR(__xludf.DUMMYFUNCTION("QUERY('Volunteer Survey'!D789)"),"")</f>
        <v/>
      </c>
      <c r="AD790" s="183" t="str">
        <f>IFERROR(__xludf.DUMMYFUNCTION("QUERY('Volunteer Survey'!E789)"),"")</f>
        <v/>
      </c>
      <c r="AE790" s="183" t="str">
        <f>IFERROR(__xludf.DUMMYFUNCTION("QUERY('Volunteer Survey'!F789)"),"")</f>
        <v/>
      </c>
      <c r="AF790" s="183" t="str">
        <f>IFERROR(__xludf.DUMMYFUNCTION("QUERY('Volunteer Survey'!G789)"),"")</f>
        <v/>
      </c>
      <c r="AG790" s="183" t="str">
        <f>IFERROR(__xludf.DUMMYFUNCTION("QUERY('Volunteer Survey'!H789)"),"")</f>
        <v/>
      </c>
      <c r="AH790" s="183" t="str">
        <f>IFERROR(__xludf.DUMMYFUNCTION("QUERY('Volunteer Survey'!I789)"),"")</f>
        <v/>
      </c>
      <c r="AI790" s="183" t="str">
        <f>IFERROR(__xludf.DUMMYFUNCTION("QUERY('Volunteer Survey'!J789)"),"")</f>
        <v/>
      </c>
      <c r="AJ790" s="183" t="str">
        <f>IFERROR(__xludf.DUMMYFUNCTION("QUERY('Volunteer Survey'!K789)"),"")</f>
        <v/>
      </c>
      <c r="AK790" s="183" t="str">
        <f>IFERROR(__xludf.DUMMYFUNCTION("QUERY('Volunteer Survey'!L789)"),"")</f>
        <v/>
      </c>
      <c r="AL790" s="183" t="str">
        <f>IFERROR(__xludf.DUMMYFUNCTION("QUERY('Volunteer Survey'!M789)"),"")</f>
        <v/>
      </c>
      <c r="AM790" s="183" t="str">
        <f>IFERROR(__xludf.DUMMYFUNCTION("QUERY('Volunteer Survey'!N789)"),"")</f>
        <v/>
      </c>
      <c r="AN790" s="183" t="str">
        <f>IFERROR(__xludf.DUMMYFUNCTION("QUERY('Volunteer Survey'!O789)"),"")</f>
        <v/>
      </c>
      <c r="AO790" s="183" t="str">
        <f>IFERROR(__xludf.DUMMYFUNCTION("QUERY('Volunteer Survey'!P789)"),"")</f>
        <v/>
      </c>
    </row>
    <row r="791">
      <c r="A791" s="55"/>
      <c r="B791" s="55"/>
      <c r="C791" s="53"/>
      <c r="D791" s="55"/>
      <c r="E791" s="55"/>
      <c r="F791" s="55" t="b">
        <v>0</v>
      </c>
      <c r="G791" s="55"/>
      <c r="H791" s="53"/>
      <c r="I791" s="53"/>
      <c r="J791" s="55"/>
      <c r="K791" s="55"/>
      <c r="L791" s="55"/>
      <c r="M791" s="55"/>
      <c r="N791" s="55"/>
      <c r="O791" s="55" t="b">
        <v>0</v>
      </c>
      <c r="P791" s="55"/>
      <c r="Q791" s="55"/>
      <c r="R791" s="55"/>
      <c r="S791" s="55"/>
      <c r="T791" s="55"/>
      <c r="U791" s="64"/>
      <c r="V791" s="55"/>
      <c r="W791" s="64"/>
      <c r="X791" s="55"/>
      <c r="Y791" s="53"/>
      <c r="Z791" s="183" t="str">
        <f>IFERROR(__xludf.DUMMYFUNCTION("QUERY('Volunteer Survey'!A790)"),"")</f>
        <v/>
      </c>
      <c r="AA791" s="183" t="str">
        <f>IFERROR(__xludf.DUMMYFUNCTION("QUERY('Volunteer Survey'!B790)"),"")</f>
        <v/>
      </c>
      <c r="AB791" s="183" t="str">
        <f>IFERROR(__xludf.DUMMYFUNCTION("QUERY('Volunteer Survey'!C790)"),"")</f>
        <v/>
      </c>
      <c r="AC791" s="183" t="str">
        <f>IFERROR(__xludf.DUMMYFUNCTION("QUERY('Volunteer Survey'!D790)"),"")</f>
        <v/>
      </c>
      <c r="AD791" s="183" t="str">
        <f>IFERROR(__xludf.DUMMYFUNCTION("QUERY('Volunteer Survey'!E790)"),"")</f>
        <v/>
      </c>
      <c r="AE791" s="183" t="str">
        <f>IFERROR(__xludf.DUMMYFUNCTION("QUERY('Volunteer Survey'!F790)"),"")</f>
        <v/>
      </c>
      <c r="AF791" s="183" t="str">
        <f>IFERROR(__xludf.DUMMYFUNCTION("QUERY('Volunteer Survey'!G790)"),"")</f>
        <v/>
      </c>
      <c r="AG791" s="183" t="str">
        <f>IFERROR(__xludf.DUMMYFUNCTION("QUERY('Volunteer Survey'!H790)"),"")</f>
        <v/>
      </c>
      <c r="AH791" s="183" t="str">
        <f>IFERROR(__xludf.DUMMYFUNCTION("QUERY('Volunteer Survey'!I790)"),"")</f>
        <v/>
      </c>
      <c r="AI791" s="183" t="str">
        <f>IFERROR(__xludf.DUMMYFUNCTION("QUERY('Volunteer Survey'!J790)"),"")</f>
        <v/>
      </c>
      <c r="AJ791" s="183" t="str">
        <f>IFERROR(__xludf.DUMMYFUNCTION("QUERY('Volunteer Survey'!K790)"),"")</f>
        <v/>
      </c>
      <c r="AK791" s="183" t="str">
        <f>IFERROR(__xludf.DUMMYFUNCTION("QUERY('Volunteer Survey'!L790)"),"")</f>
        <v/>
      </c>
      <c r="AL791" s="183" t="str">
        <f>IFERROR(__xludf.DUMMYFUNCTION("QUERY('Volunteer Survey'!M790)"),"")</f>
        <v/>
      </c>
      <c r="AM791" s="183" t="str">
        <f>IFERROR(__xludf.DUMMYFUNCTION("QUERY('Volunteer Survey'!N790)"),"")</f>
        <v/>
      </c>
      <c r="AN791" s="183" t="str">
        <f>IFERROR(__xludf.DUMMYFUNCTION("QUERY('Volunteer Survey'!O790)"),"")</f>
        <v/>
      </c>
      <c r="AO791" s="183" t="str">
        <f>IFERROR(__xludf.DUMMYFUNCTION("QUERY('Volunteer Survey'!P790)"),"")</f>
        <v/>
      </c>
    </row>
    <row r="792">
      <c r="A792" s="55"/>
      <c r="B792" s="55"/>
      <c r="C792" s="53"/>
      <c r="D792" s="55"/>
      <c r="E792" s="55"/>
      <c r="F792" s="55" t="b">
        <v>0</v>
      </c>
      <c r="G792" s="55"/>
      <c r="H792" s="53"/>
      <c r="I792" s="53"/>
      <c r="J792" s="55"/>
      <c r="K792" s="55"/>
      <c r="L792" s="55"/>
      <c r="M792" s="55"/>
      <c r="N792" s="55"/>
      <c r="O792" s="55" t="b">
        <v>0</v>
      </c>
      <c r="P792" s="55"/>
      <c r="Q792" s="55"/>
      <c r="R792" s="55"/>
      <c r="S792" s="55"/>
      <c r="T792" s="55"/>
      <c r="U792" s="64"/>
      <c r="V792" s="55"/>
      <c r="W792" s="64"/>
      <c r="X792" s="55"/>
      <c r="Y792" s="53"/>
      <c r="Z792" s="183" t="str">
        <f>IFERROR(__xludf.DUMMYFUNCTION("QUERY('Volunteer Survey'!A791)"),"")</f>
        <v/>
      </c>
      <c r="AA792" s="183" t="str">
        <f>IFERROR(__xludf.DUMMYFUNCTION("QUERY('Volunteer Survey'!B791)"),"")</f>
        <v/>
      </c>
      <c r="AB792" s="183" t="str">
        <f>IFERROR(__xludf.DUMMYFUNCTION("QUERY('Volunteer Survey'!C791)"),"")</f>
        <v/>
      </c>
      <c r="AC792" s="183" t="str">
        <f>IFERROR(__xludf.DUMMYFUNCTION("QUERY('Volunteer Survey'!D791)"),"")</f>
        <v/>
      </c>
      <c r="AD792" s="183" t="str">
        <f>IFERROR(__xludf.DUMMYFUNCTION("QUERY('Volunteer Survey'!E791)"),"")</f>
        <v/>
      </c>
      <c r="AE792" s="183" t="str">
        <f>IFERROR(__xludf.DUMMYFUNCTION("QUERY('Volunteer Survey'!F791)"),"")</f>
        <v/>
      </c>
      <c r="AF792" s="183" t="str">
        <f>IFERROR(__xludf.DUMMYFUNCTION("QUERY('Volunteer Survey'!G791)"),"")</f>
        <v/>
      </c>
      <c r="AG792" s="183" t="str">
        <f>IFERROR(__xludf.DUMMYFUNCTION("QUERY('Volunteer Survey'!H791)"),"")</f>
        <v/>
      </c>
      <c r="AH792" s="183" t="str">
        <f>IFERROR(__xludf.DUMMYFUNCTION("QUERY('Volunteer Survey'!I791)"),"")</f>
        <v/>
      </c>
      <c r="AI792" s="183" t="str">
        <f>IFERROR(__xludf.DUMMYFUNCTION("QUERY('Volunteer Survey'!J791)"),"")</f>
        <v/>
      </c>
      <c r="AJ792" s="183" t="str">
        <f>IFERROR(__xludf.DUMMYFUNCTION("QUERY('Volunteer Survey'!K791)"),"")</f>
        <v/>
      </c>
      <c r="AK792" s="183" t="str">
        <f>IFERROR(__xludf.DUMMYFUNCTION("QUERY('Volunteer Survey'!L791)"),"")</f>
        <v/>
      </c>
      <c r="AL792" s="183" t="str">
        <f>IFERROR(__xludf.DUMMYFUNCTION("QUERY('Volunteer Survey'!M791)"),"")</f>
        <v/>
      </c>
      <c r="AM792" s="183" t="str">
        <f>IFERROR(__xludf.DUMMYFUNCTION("QUERY('Volunteer Survey'!N791)"),"")</f>
        <v/>
      </c>
      <c r="AN792" s="183" t="str">
        <f>IFERROR(__xludf.DUMMYFUNCTION("QUERY('Volunteer Survey'!O791)"),"")</f>
        <v/>
      </c>
      <c r="AO792" s="183" t="str">
        <f>IFERROR(__xludf.DUMMYFUNCTION("QUERY('Volunteer Survey'!P791)"),"")</f>
        <v/>
      </c>
    </row>
    <row r="793">
      <c r="A793" s="55"/>
      <c r="B793" s="55"/>
      <c r="C793" s="53"/>
      <c r="D793" s="55"/>
      <c r="E793" s="55"/>
      <c r="F793" s="55" t="b">
        <v>0</v>
      </c>
      <c r="G793" s="55"/>
      <c r="H793" s="53"/>
      <c r="I793" s="53"/>
      <c r="J793" s="55"/>
      <c r="K793" s="55"/>
      <c r="L793" s="55"/>
      <c r="M793" s="55"/>
      <c r="N793" s="55"/>
      <c r="O793" s="55" t="b">
        <v>0</v>
      </c>
      <c r="P793" s="55"/>
      <c r="Q793" s="55"/>
      <c r="R793" s="55"/>
      <c r="S793" s="55"/>
      <c r="T793" s="55"/>
      <c r="U793" s="64"/>
      <c r="V793" s="55"/>
      <c r="W793" s="64"/>
      <c r="X793" s="55"/>
      <c r="Y793" s="53"/>
      <c r="Z793" s="183" t="str">
        <f>IFERROR(__xludf.DUMMYFUNCTION("QUERY('Volunteer Survey'!A792)"),"")</f>
        <v/>
      </c>
      <c r="AA793" s="183" t="str">
        <f>IFERROR(__xludf.DUMMYFUNCTION("QUERY('Volunteer Survey'!B792)"),"")</f>
        <v/>
      </c>
      <c r="AB793" s="183" t="str">
        <f>IFERROR(__xludf.DUMMYFUNCTION("QUERY('Volunteer Survey'!C792)"),"")</f>
        <v/>
      </c>
      <c r="AC793" s="183" t="str">
        <f>IFERROR(__xludf.DUMMYFUNCTION("QUERY('Volunteer Survey'!D792)"),"")</f>
        <v/>
      </c>
      <c r="AD793" s="183" t="str">
        <f>IFERROR(__xludf.DUMMYFUNCTION("QUERY('Volunteer Survey'!E792)"),"")</f>
        <v/>
      </c>
      <c r="AE793" s="183" t="str">
        <f>IFERROR(__xludf.DUMMYFUNCTION("QUERY('Volunteer Survey'!F792)"),"")</f>
        <v/>
      </c>
      <c r="AF793" s="183" t="str">
        <f>IFERROR(__xludf.DUMMYFUNCTION("QUERY('Volunteer Survey'!G792)"),"")</f>
        <v/>
      </c>
      <c r="AG793" s="183" t="str">
        <f>IFERROR(__xludf.DUMMYFUNCTION("QUERY('Volunteer Survey'!H792)"),"")</f>
        <v/>
      </c>
      <c r="AH793" s="183" t="str">
        <f>IFERROR(__xludf.DUMMYFUNCTION("QUERY('Volunteer Survey'!I792)"),"")</f>
        <v/>
      </c>
      <c r="AI793" s="183" t="str">
        <f>IFERROR(__xludf.DUMMYFUNCTION("QUERY('Volunteer Survey'!J792)"),"")</f>
        <v/>
      </c>
      <c r="AJ793" s="183" t="str">
        <f>IFERROR(__xludf.DUMMYFUNCTION("QUERY('Volunteer Survey'!K792)"),"")</f>
        <v/>
      </c>
      <c r="AK793" s="183" t="str">
        <f>IFERROR(__xludf.DUMMYFUNCTION("QUERY('Volunteer Survey'!L792)"),"")</f>
        <v/>
      </c>
      <c r="AL793" s="183" t="str">
        <f>IFERROR(__xludf.DUMMYFUNCTION("QUERY('Volunteer Survey'!M792)"),"")</f>
        <v/>
      </c>
      <c r="AM793" s="183" t="str">
        <f>IFERROR(__xludf.DUMMYFUNCTION("QUERY('Volunteer Survey'!N792)"),"")</f>
        <v/>
      </c>
      <c r="AN793" s="183" t="str">
        <f>IFERROR(__xludf.DUMMYFUNCTION("QUERY('Volunteer Survey'!O792)"),"")</f>
        <v/>
      </c>
      <c r="AO793" s="183" t="str">
        <f>IFERROR(__xludf.DUMMYFUNCTION("QUERY('Volunteer Survey'!P792)"),"")</f>
        <v/>
      </c>
    </row>
    <row r="794">
      <c r="A794" s="55"/>
      <c r="B794" s="55"/>
      <c r="C794" s="53"/>
      <c r="D794" s="55"/>
      <c r="E794" s="55"/>
      <c r="F794" s="55" t="b">
        <v>0</v>
      </c>
      <c r="G794" s="55"/>
      <c r="H794" s="53"/>
      <c r="I794" s="53"/>
      <c r="J794" s="55"/>
      <c r="K794" s="55"/>
      <c r="L794" s="55"/>
      <c r="M794" s="55"/>
      <c r="N794" s="55"/>
      <c r="O794" s="55" t="b">
        <v>0</v>
      </c>
      <c r="P794" s="55"/>
      <c r="Q794" s="55"/>
      <c r="R794" s="55"/>
      <c r="S794" s="55"/>
      <c r="T794" s="55"/>
      <c r="U794" s="64"/>
      <c r="V794" s="55"/>
      <c r="W794" s="64"/>
      <c r="X794" s="55"/>
      <c r="Y794" s="53"/>
      <c r="Z794" s="183" t="str">
        <f>IFERROR(__xludf.DUMMYFUNCTION("QUERY('Volunteer Survey'!A793)"),"")</f>
        <v/>
      </c>
      <c r="AA794" s="183" t="str">
        <f>IFERROR(__xludf.DUMMYFUNCTION("QUERY('Volunteer Survey'!B793)"),"")</f>
        <v/>
      </c>
      <c r="AB794" s="183" t="str">
        <f>IFERROR(__xludf.DUMMYFUNCTION("QUERY('Volunteer Survey'!C793)"),"")</f>
        <v/>
      </c>
      <c r="AC794" s="183" t="str">
        <f>IFERROR(__xludf.DUMMYFUNCTION("QUERY('Volunteer Survey'!D793)"),"")</f>
        <v/>
      </c>
      <c r="AD794" s="183" t="str">
        <f>IFERROR(__xludf.DUMMYFUNCTION("QUERY('Volunteer Survey'!E793)"),"")</f>
        <v/>
      </c>
      <c r="AE794" s="183" t="str">
        <f>IFERROR(__xludf.DUMMYFUNCTION("QUERY('Volunteer Survey'!F793)"),"")</f>
        <v/>
      </c>
      <c r="AF794" s="183" t="str">
        <f>IFERROR(__xludf.DUMMYFUNCTION("QUERY('Volunteer Survey'!G793)"),"")</f>
        <v/>
      </c>
      <c r="AG794" s="183" t="str">
        <f>IFERROR(__xludf.DUMMYFUNCTION("QUERY('Volunteer Survey'!H793)"),"")</f>
        <v/>
      </c>
      <c r="AH794" s="183" t="str">
        <f>IFERROR(__xludf.DUMMYFUNCTION("QUERY('Volunteer Survey'!I793)"),"")</f>
        <v/>
      </c>
      <c r="AI794" s="183" t="str">
        <f>IFERROR(__xludf.DUMMYFUNCTION("QUERY('Volunteer Survey'!J793)"),"")</f>
        <v/>
      </c>
      <c r="AJ794" s="183" t="str">
        <f>IFERROR(__xludf.DUMMYFUNCTION("QUERY('Volunteer Survey'!K793)"),"")</f>
        <v/>
      </c>
      <c r="AK794" s="183" t="str">
        <f>IFERROR(__xludf.DUMMYFUNCTION("QUERY('Volunteer Survey'!L793)"),"")</f>
        <v/>
      </c>
      <c r="AL794" s="183" t="str">
        <f>IFERROR(__xludf.DUMMYFUNCTION("QUERY('Volunteer Survey'!M793)"),"")</f>
        <v/>
      </c>
      <c r="AM794" s="183" t="str">
        <f>IFERROR(__xludf.DUMMYFUNCTION("QUERY('Volunteer Survey'!N793)"),"")</f>
        <v/>
      </c>
      <c r="AN794" s="183" t="str">
        <f>IFERROR(__xludf.DUMMYFUNCTION("QUERY('Volunteer Survey'!O793)"),"")</f>
        <v/>
      </c>
      <c r="AO794" s="183" t="str">
        <f>IFERROR(__xludf.DUMMYFUNCTION("QUERY('Volunteer Survey'!P793)"),"")</f>
        <v/>
      </c>
    </row>
    <row r="795">
      <c r="A795" s="55"/>
      <c r="B795" s="55"/>
      <c r="C795" s="53"/>
      <c r="D795" s="55"/>
      <c r="E795" s="55"/>
      <c r="F795" s="55" t="b">
        <v>0</v>
      </c>
      <c r="G795" s="55"/>
      <c r="H795" s="53"/>
      <c r="I795" s="53"/>
      <c r="J795" s="55"/>
      <c r="K795" s="55"/>
      <c r="L795" s="55"/>
      <c r="M795" s="55"/>
      <c r="N795" s="55"/>
      <c r="O795" s="55" t="b">
        <v>0</v>
      </c>
      <c r="P795" s="55"/>
      <c r="Q795" s="55"/>
      <c r="R795" s="55"/>
      <c r="S795" s="55"/>
      <c r="T795" s="55"/>
      <c r="U795" s="64"/>
      <c r="V795" s="55"/>
      <c r="W795" s="64"/>
      <c r="X795" s="55"/>
      <c r="Y795" s="53"/>
      <c r="Z795" s="183" t="str">
        <f>IFERROR(__xludf.DUMMYFUNCTION("QUERY('Volunteer Survey'!A794)"),"")</f>
        <v/>
      </c>
      <c r="AA795" s="183" t="str">
        <f>IFERROR(__xludf.DUMMYFUNCTION("QUERY('Volunteer Survey'!B794)"),"")</f>
        <v/>
      </c>
      <c r="AB795" s="183" t="str">
        <f>IFERROR(__xludf.DUMMYFUNCTION("QUERY('Volunteer Survey'!C794)"),"")</f>
        <v/>
      </c>
      <c r="AC795" s="183" t="str">
        <f>IFERROR(__xludf.DUMMYFUNCTION("QUERY('Volunteer Survey'!D794)"),"")</f>
        <v/>
      </c>
      <c r="AD795" s="183" t="str">
        <f>IFERROR(__xludf.DUMMYFUNCTION("QUERY('Volunteer Survey'!E794)"),"")</f>
        <v/>
      </c>
      <c r="AE795" s="183" t="str">
        <f>IFERROR(__xludf.DUMMYFUNCTION("QUERY('Volunteer Survey'!F794)"),"")</f>
        <v/>
      </c>
      <c r="AF795" s="183" t="str">
        <f>IFERROR(__xludf.DUMMYFUNCTION("QUERY('Volunteer Survey'!G794)"),"")</f>
        <v/>
      </c>
      <c r="AG795" s="183" t="str">
        <f>IFERROR(__xludf.DUMMYFUNCTION("QUERY('Volunteer Survey'!H794)"),"")</f>
        <v/>
      </c>
      <c r="AH795" s="183" t="str">
        <f>IFERROR(__xludf.DUMMYFUNCTION("QUERY('Volunteer Survey'!I794)"),"")</f>
        <v/>
      </c>
      <c r="AI795" s="183" t="str">
        <f>IFERROR(__xludf.DUMMYFUNCTION("QUERY('Volunteer Survey'!J794)"),"")</f>
        <v/>
      </c>
      <c r="AJ795" s="183" t="str">
        <f>IFERROR(__xludf.DUMMYFUNCTION("QUERY('Volunteer Survey'!K794)"),"")</f>
        <v/>
      </c>
      <c r="AK795" s="183" t="str">
        <f>IFERROR(__xludf.DUMMYFUNCTION("QUERY('Volunteer Survey'!L794)"),"")</f>
        <v/>
      </c>
      <c r="AL795" s="183" t="str">
        <f>IFERROR(__xludf.DUMMYFUNCTION("QUERY('Volunteer Survey'!M794)"),"")</f>
        <v/>
      </c>
      <c r="AM795" s="183" t="str">
        <f>IFERROR(__xludf.DUMMYFUNCTION("QUERY('Volunteer Survey'!N794)"),"")</f>
        <v/>
      </c>
      <c r="AN795" s="183" t="str">
        <f>IFERROR(__xludf.DUMMYFUNCTION("QUERY('Volunteer Survey'!O794)"),"")</f>
        <v/>
      </c>
      <c r="AO795" s="183" t="str">
        <f>IFERROR(__xludf.DUMMYFUNCTION("QUERY('Volunteer Survey'!P794)"),"")</f>
        <v/>
      </c>
    </row>
    <row r="796">
      <c r="A796" s="55"/>
      <c r="B796" s="55"/>
      <c r="C796" s="53"/>
      <c r="D796" s="55"/>
      <c r="E796" s="55"/>
      <c r="F796" s="55" t="b">
        <v>0</v>
      </c>
      <c r="G796" s="55"/>
      <c r="H796" s="53"/>
      <c r="I796" s="53"/>
      <c r="J796" s="55"/>
      <c r="K796" s="55"/>
      <c r="L796" s="55"/>
      <c r="M796" s="55"/>
      <c r="N796" s="55"/>
      <c r="O796" s="55" t="b">
        <v>0</v>
      </c>
      <c r="P796" s="55"/>
      <c r="Q796" s="55"/>
      <c r="R796" s="55"/>
      <c r="S796" s="55"/>
      <c r="T796" s="55"/>
      <c r="U796" s="64"/>
      <c r="V796" s="55"/>
      <c r="W796" s="64"/>
      <c r="X796" s="55"/>
      <c r="Y796" s="53"/>
      <c r="Z796" s="183" t="str">
        <f>IFERROR(__xludf.DUMMYFUNCTION("QUERY('Volunteer Survey'!A795)"),"")</f>
        <v/>
      </c>
      <c r="AA796" s="183" t="str">
        <f>IFERROR(__xludf.DUMMYFUNCTION("QUERY('Volunteer Survey'!B795)"),"")</f>
        <v/>
      </c>
      <c r="AB796" s="183" t="str">
        <f>IFERROR(__xludf.DUMMYFUNCTION("QUERY('Volunteer Survey'!C795)"),"")</f>
        <v/>
      </c>
      <c r="AC796" s="183" t="str">
        <f>IFERROR(__xludf.DUMMYFUNCTION("QUERY('Volunteer Survey'!D795)"),"")</f>
        <v/>
      </c>
      <c r="AD796" s="183" t="str">
        <f>IFERROR(__xludf.DUMMYFUNCTION("QUERY('Volunteer Survey'!E795)"),"")</f>
        <v/>
      </c>
      <c r="AE796" s="183" t="str">
        <f>IFERROR(__xludf.DUMMYFUNCTION("QUERY('Volunteer Survey'!F795)"),"")</f>
        <v/>
      </c>
      <c r="AF796" s="183" t="str">
        <f>IFERROR(__xludf.DUMMYFUNCTION("QUERY('Volunteer Survey'!G795)"),"")</f>
        <v/>
      </c>
      <c r="AG796" s="183" t="str">
        <f>IFERROR(__xludf.DUMMYFUNCTION("QUERY('Volunteer Survey'!H795)"),"")</f>
        <v/>
      </c>
      <c r="AH796" s="183" t="str">
        <f>IFERROR(__xludf.DUMMYFUNCTION("QUERY('Volunteer Survey'!I795)"),"")</f>
        <v/>
      </c>
      <c r="AI796" s="183" t="str">
        <f>IFERROR(__xludf.DUMMYFUNCTION("QUERY('Volunteer Survey'!J795)"),"")</f>
        <v/>
      </c>
      <c r="AJ796" s="183" t="str">
        <f>IFERROR(__xludf.DUMMYFUNCTION("QUERY('Volunteer Survey'!K795)"),"")</f>
        <v/>
      </c>
      <c r="AK796" s="183" t="str">
        <f>IFERROR(__xludf.DUMMYFUNCTION("QUERY('Volunteer Survey'!L795)"),"")</f>
        <v/>
      </c>
      <c r="AL796" s="183" t="str">
        <f>IFERROR(__xludf.DUMMYFUNCTION("QUERY('Volunteer Survey'!M795)"),"")</f>
        <v/>
      </c>
      <c r="AM796" s="183" t="str">
        <f>IFERROR(__xludf.DUMMYFUNCTION("QUERY('Volunteer Survey'!N795)"),"")</f>
        <v/>
      </c>
      <c r="AN796" s="183" t="str">
        <f>IFERROR(__xludf.DUMMYFUNCTION("QUERY('Volunteer Survey'!O795)"),"")</f>
        <v/>
      </c>
      <c r="AO796" s="183" t="str">
        <f>IFERROR(__xludf.DUMMYFUNCTION("QUERY('Volunteer Survey'!P795)"),"")</f>
        <v/>
      </c>
    </row>
    <row r="797">
      <c r="A797" s="55"/>
      <c r="B797" s="55"/>
      <c r="C797" s="53"/>
      <c r="D797" s="55"/>
      <c r="E797" s="55"/>
      <c r="F797" s="55" t="b">
        <v>0</v>
      </c>
      <c r="G797" s="55"/>
      <c r="H797" s="53"/>
      <c r="I797" s="53"/>
      <c r="J797" s="55"/>
      <c r="K797" s="55"/>
      <c r="L797" s="55"/>
      <c r="M797" s="55"/>
      <c r="N797" s="55"/>
      <c r="O797" s="55" t="b">
        <v>0</v>
      </c>
      <c r="P797" s="55"/>
      <c r="Q797" s="55"/>
      <c r="R797" s="55"/>
      <c r="S797" s="55"/>
      <c r="T797" s="55"/>
      <c r="U797" s="64"/>
      <c r="V797" s="55"/>
      <c r="W797" s="64"/>
      <c r="X797" s="55"/>
      <c r="Y797" s="53"/>
      <c r="Z797" s="183" t="str">
        <f>IFERROR(__xludf.DUMMYFUNCTION("QUERY('Volunteer Survey'!A796)"),"")</f>
        <v/>
      </c>
      <c r="AA797" s="183" t="str">
        <f>IFERROR(__xludf.DUMMYFUNCTION("QUERY('Volunteer Survey'!B796)"),"")</f>
        <v/>
      </c>
      <c r="AB797" s="183" t="str">
        <f>IFERROR(__xludf.DUMMYFUNCTION("QUERY('Volunteer Survey'!C796)"),"")</f>
        <v/>
      </c>
      <c r="AC797" s="183" t="str">
        <f>IFERROR(__xludf.DUMMYFUNCTION("QUERY('Volunteer Survey'!D796)"),"")</f>
        <v/>
      </c>
      <c r="AD797" s="183" t="str">
        <f>IFERROR(__xludf.DUMMYFUNCTION("QUERY('Volunteer Survey'!E796)"),"")</f>
        <v/>
      </c>
      <c r="AE797" s="183" t="str">
        <f>IFERROR(__xludf.DUMMYFUNCTION("QUERY('Volunteer Survey'!F796)"),"")</f>
        <v/>
      </c>
      <c r="AF797" s="183" t="str">
        <f>IFERROR(__xludf.DUMMYFUNCTION("QUERY('Volunteer Survey'!G796)"),"")</f>
        <v/>
      </c>
      <c r="AG797" s="183" t="str">
        <f>IFERROR(__xludf.DUMMYFUNCTION("QUERY('Volunteer Survey'!H796)"),"")</f>
        <v/>
      </c>
      <c r="AH797" s="183" t="str">
        <f>IFERROR(__xludf.DUMMYFUNCTION("QUERY('Volunteer Survey'!I796)"),"")</f>
        <v/>
      </c>
      <c r="AI797" s="183" t="str">
        <f>IFERROR(__xludf.DUMMYFUNCTION("QUERY('Volunteer Survey'!J796)"),"")</f>
        <v/>
      </c>
      <c r="AJ797" s="183" t="str">
        <f>IFERROR(__xludf.DUMMYFUNCTION("QUERY('Volunteer Survey'!K796)"),"")</f>
        <v/>
      </c>
      <c r="AK797" s="183" t="str">
        <f>IFERROR(__xludf.DUMMYFUNCTION("QUERY('Volunteer Survey'!L796)"),"")</f>
        <v/>
      </c>
      <c r="AL797" s="183" t="str">
        <f>IFERROR(__xludf.DUMMYFUNCTION("QUERY('Volunteer Survey'!M796)"),"")</f>
        <v/>
      </c>
      <c r="AM797" s="183" t="str">
        <f>IFERROR(__xludf.DUMMYFUNCTION("QUERY('Volunteer Survey'!N796)"),"")</f>
        <v/>
      </c>
      <c r="AN797" s="183" t="str">
        <f>IFERROR(__xludf.DUMMYFUNCTION("QUERY('Volunteer Survey'!O796)"),"")</f>
        <v/>
      </c>
      <c r="AO797" s="183" t="str">
        <f>IFERROR(__xludf.DUMMYFUNCTION("QUERY('Volunteer Survey'!P796)"),"")</f>
        <v/>
      </c>
    </row>
    <row r="798">
      <c r="A798" s="55"/>
      <c r="B798" s="55"/>
      <c r="C798" s="53"/>
      <c r="D798" s="55"/>
      <c r="E798" s="55"/>
      <c r="F798" s="55" t="b">
        <v>0</v>
      </c>
      <c r="G798" s="55"/>
      <c r="H798" s="53"/>
      <c r="I798" s="53"/>
      <c r="J798" s="55"/>
      <c r="K798" s="55"/>
      <c r="L798" s="55"/>
      <c r="M798" s="55"/>
      <c r="N798" s="55"/>
      <c r="O798" s="55" t="b">
        <v>0</v>
      </c>
      <c r="P798" s="55"/>
      <c r="Q798" s="55"/>
      <c r="R798" s="55"/>
      <c r="S798" s="55"/>
      <c r="T798" s="55"/>
      <c r="U798" s="64"/>
      <c r="V798" s="55"/>
      <c r="W798" s="64"/>
      <c r="X798" s="55"/>
      <c r="Y798" s="53"/>
      <c r="Z798" s="183" t="str">
        <f>IFERROR(__xludf.DUMMYFUNCTION("QUERY('Volunteer Survey'!A797)"),"")</f>
        <v/>
      </c>
      <c r="AA798" s="183" t="str">
        <f>IFERROR(__xludf.DUMMYFUNCTION("QUERY('Volunteer Survey'!B797)"),"")</f>
        <v/>
      </c>
      <c r="AB798" s="183" t="str">
        <f>IFERROR(__xludf.DUMMYFUNCTION("QUERY('Volunteer Survey'!C797)"),"")</f>
        <v/>
      </c>
      <c r="AC798" s="183" t="str">
        <f>IFERROR(__xludf.DUMMYFUNCTION("QUERY('Volunteer Survey'!D797)"),"")</f>
        <v/>
      </c>
      <c r="AD798" s="183" t="str">
        <f>IFERROR(__xludf.DUMMYFUNCTION("QUERY('Volunteer Survey'!E797)"),"")</f>
        <v/>
      </c>
      <c r="AE798" s="183" t="str">
        <f>IFERROR(__xludf.DUMMYFUNCTION("QUERY('Volunteer Survey'!F797)"),"")</f>
        <v/>
      </c>
      <c r="AF798" s="183" t="str">
        <f>IFERROR(__xludf.DUMMYFUNCTION("QUERY('Volunteer Survey'!G797)"),"")</f>
        <v/>
      </c>
      <c r="AG798" s="183" t="str">
        <f>IFERROR(__xludf.DUMMYFUNCTION("QUERY('Volunteer Survey'!H797)"),"")</f>
        <v/>
      </c>
      <c r="AH798" s="183" t="str">
        <f>IFERROR(__xludf.DUMMYFUNCTION("QUERY('Volunteer Survey'!I797)"),"")</f>
        <v/>
      </c>
      <c r="AI798" s="183" t="str">
        <f>IFERROR(__xludf.DUMMYFUNCTION("QUERY('Volunteer Survey'!J797)"),"")</f>
        <v/>
      </c>
      <c r="AJ798" s="183" t="str">
        <f>IFERROR(__xludf.DUMMYFUNCTION("QUERY('Volunteer Survey'!K797)"),"")</f>
        <v/>
      </c>
      <c r="AK798" s="183" t="str">
        <f>IFERROR(__xludf.DUMMYFUNCTION("QUERY('Volunteer Survey'!L797)"),"")</f>
        <v/>
      </c>
      <c r="AL798" s="183" t="str">
        <f>IFERROR(__xludf.DUMMYFUNCTION("QUERY('Volunteer Survey'!M797)"),"")</f>
        <v/>
      </c>
      <c r="AM798" s="183" t="str">
        <f>IFERROR(__xludf.DUMMYFUNCTION("QUERY('Volunteer Survey'!N797)"),"")</f>
        <v/>
      </c>
      <c r="AN798" s="183" t="str">
        <f>IFERROR(__xludf.DUMMYFUNCTION("QUERY('Volunteer Survey'!O797)"),"")</f>
        <v/>
      </c>
      <c r="AO798" s="183" t="str">
        <f>IFERROR(__xludf.DUMMYFUNCTION("QUERY('Volunteer Survey'!P797)"),"")</f>
        <v/>
      </c>
    </row>
    <row r="799">
      <c r="A799" s="55"/>
      <c r="B799" s="55"/>
      <c r="C799" s="53"/>
      <c r="D799" s="55"/>
      <c r="E799" s="55"/>
      <c r="F799" s="55" t="b">
        <v>0</v>
      </c>
      <c r="G799" s="55"/>
      <c r="H799" s="53"/>
      <c r="I799" s="53"/>
      <c r="J799" s="55"/>
      <c r="K799" s="55"/>
      <c r="L799" s="55"/>
      <c r="M799" s="55"/>
      <c r="N799" s="55"/>
      <c r="O799" s="55" t="b">
        <v>0</v>
      </c>
      <c r="P799" s="55"/>
      <c r="Q799" s="55"/>
      <c r="R799" s="55"/>
      <c r="S799" s="55"/>
      <c r="T799" s="55"/>
      <c r="U799" s="64"/>
      <c r="V799" s="55"/>
      <c r="W799" s="64"/>
      <c r="X799" s="55"/>
      <c r="Y799" s="53"/>
      <c r="Z799" s="183" t="str">
        <f>IFERROR(__xludf.DUMMYFUNCTION("QUERY('Volunteer Survey'!A798)"),"")</f>
        <v/>
      </c>
      <c r="AA799" s="183" t="str">
        <f>IFERROR(__xludf.DUMMYFUNCTION("QUERY('Volunteer Survey'!B798)"),"")</f>
        <v/>
      </c>
      <c r="AB799" s="183" t="str">
        <f>IFERROR(__xludf.DUMMYFUNCTION("QUERY('Volunteer Survey'!C798)"),"")</f>
        <v/>
      </c>
      <c r="AC799" s="183" t="str">
        <f>IFERROR(__xludf.DUMMYFUNCTION("QUERY('Volunteer Survey'!D798)"),"")</f>
        <v/>
      </c>
      <c r="AD799" s="183" t="str">
        <f>IFERROR(__xludf.DUMMYFUNCTION("QUERY('Volunteer Survey'!E798)"),"")</f>
        <v/>
      </c>
      <c r="AE799" s="183" t="str">
        <f>IFERROR(__xludf.DUMMYFUNCTION("QUERY('Volunteer Survey'!F798)"),"")</f>
        <v/>
      </c>
      <c r="AF799" s="183" t="str">
        <f>IFERROR(__xludf.DUMMYFUNCTION("QUERY('Volunteer Survey'!G798)"),"")</f>
        <v/>
      </c>
      <c r="AG799" s="183" t="str">
        <f>IFERROR(__xludf.DUMMYFUNCTION("QUERY('Volunteer Survey'!H798)"),"")</f>
        <v/>
      </c>
      <c r="AH799" s="183" t="str">
        <f>IFERROR(__xludf.DUMMYFUNCTION("QUERY('Volunteer Survey'!I798)"),"")</f>
        <v/>
      </c>
      <c r="AI799" s="183" t="str">
        <f>IFERROR(__xludf.DUMMYFUNCTION("QUERY('Volunteer Survey'!J798)"),"")</f>
        <v/>
      </c>
      <c r="AJ799" s="183" t="str">
        <f>IFERROR(__xludf.DUMMYFUNCTION("QUERY('Volunteer Survey'!K798)"),"")</f>
        <v/>
      </c>
      <c r="AK799" s="183" t="str">
        <f>IFERROR(__xludf.DUMMYFUNCTION("QUERY('Volunteer Survey'!L798)"),"")</f>
        <v/>
      </c>
      <c r="AL799" s="183" t="str">
        <f>IFERROR(__xludf.DUMMYFUNCTION("QUERY('Volunteer Survey'!M798)"),"")</f>
        <v/>
      </c>
      <c r="AM799" s="183" t="str">
        <f>IFERROR(__xludf.DUMMYFUNCTION("QUERY('Volunteer Survey'!N798)"),"")</f>
        <v/>
      </c>
      <c r="AN799" s="183" t="str">
        <f>IFERROR(__xludf.DUMMYFUNCTION("QUERY('Volunteer Survey'!O798)"),"")</f>
        <v/>
      </c>
      <c r="AO799" s="183" t="str">
        <f>IFERROR(__xludf.DUMMYFUNCTION("QUERY('Volunteer Survey'!P798)"),"")</f>
        <v/>
      </c>
    </row>
    <row r="800">
      <c r="A800" s="55"/>
      <c r="B800" s="55"/>
      <c r="C800" s="53"/>
      <c r="D800" s="55"/>
      <c r="E800" s="55"/>
      <c r="F800" s="55" t="b">
        <v>0</v>
      </c>
      <c r="G800" s="55"/>
      <c r="H800" s="53"/>
      <c r="I800" s="53"/>
      <c r="J800" s="55"/>
      <c r="K800" s="55"/>
      <c r="L800" s="55"/>
      <c r="M800" s="55"/>
      <c r="N800" s="55"/>
      <c r="O800" s="55" t="b">
        <v>0</v>
      </c>
      <c r="P800" s="55"/>
      <c r="Q800" s="55"/>
      <c r="R800" s="55"/>
      <c r="S800" s="55"/>
      <c r="T800" s="55"/>
      <c r="U800" s="64"/>
      <c r="V800" s="55"/>
      <c r="W800" s="64"/>
      <c r="X800" s="55"/>
      <c r="Y800" s="53"/>
      <c r="Z800" s="183" t="str">
        <f>IFERROR(__xludf.DUMMYFUNCTION("QUERY('Volunteer Survey'!A799)"),"")</f>
        <v/>
      </c>
      <c r="AA800" s="183" t="str">
        <f>IFERROR(__xludf.DUMMYFUNCTION("QUERY('Volunteer Survey'!B799)"),"")</f>
        <v/>
      </c>
      <c r="AB800" s="183" t="str">
        <f>IFERROR(__xludf.DUMMYFUNCTION("QUERY('Volunteer Survey'!C799)"),"")</f>
        <v/>
      </c>
      <c r="AC800" s="183" t="str">
        <f>IFERROR(__xludf.DUMMYFUNCTION("QUERY('Volunteer Survey'!D799)"),"")</f>
        <v/>
      </c>
      <c r="AD800" s="183" t="str">
        <f>IFERROR(__xludf.DUMMYFUNCTION("QUERY('Volunteer Survey'!E799)"),"")</f>
        <v/>
      </c>
      <c r="AE800" s="183" t="str">
        <f>IFERROR(__xludf.DUMMYFUNCTION("QUERY('Volunteer Survey'!F799)"),"")</f>
        <v/>
      </c>
      <c r="AF800" s="183" t="str">
        <f>IFERROR(__xludf.DUMMYFUNCTION("QUERY('Volunteer Survey'!G799)"),"")</f>
        <v/>
      </c>
      <c r="AG800" s="183" t="str">
        <f>IFERROR(__xludf.DUMMYFUNCTION("QUERY('Volunteer Survey'!H799)"),"")</f>
        <v/>
      </c>
      <c r="AH800" s="183" t="str">
        <f>IFERROR(__xludf.DUMMYFUNCTION("QUERY('Volunteer Survey'!I799)"),"")</f>
        <v/>
      </c>
      <c r="AI800" s="183" t="str">
        <f>IFERROR(__xludf.DUMMYFUNCTION("QUERY('Volunteer Survey'!J799)"),"")</f>
        <v/>
      </c>
      <c r="AJ800" s="183" t="str">
        <f>IFERROR(__xludf.DUMMYFUNCTION("QUERY('Volunteer Survey'!K799)"),"")</f>
        <v/>
      </c>
      <c r="AK800" s="183" t="str">
        <f>IFERROR(__xludf.DUMMYFUNCTION("QUERY('Volunteer Survey'!L799)"),"")</f>
        <v/>
      </c>
      <c r="AL800" s="183" t="str">
        <f>IFERROR(__xludf.DUMMYFUNCTION("QUERY('Volunteer Survey'!M799)"),"")</f>
        <v/>
      </c>
      <c r="AM800" s="183" t="str">
        <f>IFERROR(__xludf.DUMMYFUNCTION("QUERY('Volunteer Survey'!N799)"),"")</f>
        <v/>
      </c>
      <c r="AN800" s="183" t="str">
        <f>IFERROR(__xludf.DUMMYFUNCTION("QUERY('Volunteer Survey'!O799)"),"")</f>
        <v/>
      </c>
      <c r="AO800" s="183" t="str">
        <f>IFERROR(__xludf.DUMMYFUNCTION("QUERY('Volunteer Survey'!P799)"),"")</f>
        <v/>
      </c>
    </row>
    <row r="801">
      <c r="A801" s="55"/>
      <c r="B801" s="55"/>
      <c r="C801" s="53"/>
      <c r="D801" s="55"/>
      <c r="E801" s="55"/>
      <c r="F801" s="55" t="b">
        <v>0</v>
      </c>
      <c r="G801" s="55"/>
      <c r="H801" s="53"/>
      <c r="I801" s="53"/>
      <c r="J801" s="55"/>
      <c r="K801" s="55"/>
      <c r="L801" s="55"/>
      <c r="M801" s="55"/>
      <c r="N801" s="55"/>
      <c r="O801" s="55" t="b">
        <v>0</v>
      </c>
      <c r="P801" s="55"/>
      <c r="Q801" s="55"/>
      <c r="R801" s="55"/>
      <c r="S801" s="55"/>
      <c r="T801" s="55"/>
      <c r="U801" s="64"/>
      <c r="V801" s="55"/>
      <c r="W801" s="64"/>
      <c r="X801" s="55"/>
      <c r="Y801" s="53"/>
      <c r="Z801" s="183" t="str">
        <f>IFERROR(__xludf.DUMMYFUNCTION("QUERY('Volunteer Survey'!A800)"),"")</f>
        <v/>
      </c>
      <c r="AA801" s="183" t="str">
        <f>IFERROR(__xludf.DUMMYFUNCTION("QUERY('Volunteer Survey'!B800)"),"")</f>
        <v/>
      </c>
      <c r="AB801" s="183" t="str">
        <f>IFERROR(__xludf.DUMMYFUNCTION("QUERY('Volunteer Survey'!C800)"),"")</f>
        <v/>
      </c>
      <c r="AC801" s="183" t="str">
        <f>IFERROR(__xludf.DUMMYFUNCTION("QUERY('Volunteer Survey'!D800)"),"")</f>
        <v/>
      </c>
      <c r="AD801" s="183" t="str">
        <f>IFERROR(__xludf.DUMMYFUNCTION("QUERY('Volunteer Survey'!E800)"),"")</f>
        <v/>
      </c>
      <c r="AE801" s="183" t="str">
        <f>IFERROR(__xludf.DUMMYFUNCTION("QUERY('Volunteer Survey'!F800)"),"")</f>
        <v/>
      </c>
      <c r="AF801" s="183" t="str">
        <f>IFERROR(__xludf.DUMMYFUNCTION("QUERY('Volunteer Survey'!G800)"),"")</f>
        <v/>
      </c>
      <c r="AG801" s="183" t="str">
        <f>IFERROR(__xludf.DUMMYFUNCTION("QUERY('Volunteer Survey'!H800)"),"")</f>
        <v/>
      </c>
      <c r="AH801" s="183" t="str">
        <f>IFERROR(__xludf.DUMMYFUNCTION("QUERY('Volunteer Survey'!I800)"),"")</f>
        <v/>
      </c>
      <c r="AI801" s="183" t="str">
        <f>IFERROR(__xludf.DUMMYFUNCTION("QUERY('Volunteer Survey'!J800)"),"")</f>
        <v/>
      </c>
      <c r="AJ801" s="183" t="str">
        <f>IFERROR(__xludf.DUMMYFUNCTION("QUERY('Volunteer Survey'!K800)"),"")</f>
        <v/>
      </c>
      <c r="AK801" s="183" t="str">
        <f>IFERROR(__xludf.DUMMYFUNCTION("QUERY('Volunteer Survey'!L800)"),"")</f>
        <v/>
      </c>
      <c r="AL801" s="183" t="str">
        <f>IFERROR(__xludf.DUMMYFUNCTION("QUERY('Volunteer Survey'!M800)"),"")</f>
        <v/>
      </c>
      <c r="AM801" s="183" t="str">
        <f>IFERROR(__xludf.DUMMYFUNCTION("QUERY('Volunteer Survey'!N800)"),"")</f>
        <v/>
      </c>
      <c r="AN801" s="183" t="str">
        <f>IFERROR(__xludf.DUMMYFUNCTION("QUERY('Volunteer Survey'!O800)"),"")</f>
        <v/>
      </c>
      <c r="AO801" s="183" t="str">
        <f>IFERROR(__xludf.DUMMYFUNCTION("QUERY('Volunteer Survey'!P800)"),"")</f>
        <v/>
      </c>
    </row>
    <row r="802">
      <c r="A802" s="55"/>
      <c r="B802" s="55"/>
      <c r="C802" s="53"/>
      <c r="D802" s="55"/>
      <c r="E802" s="55"/>
      <c r="F802" s="55" t="b">
        <v>0</v>
      </c>
      <c r="G802" s="55"/>
      <c r="H802" s="53"/>
      <c r="I802" s="53"/>
      <c r="J802" s="55"/>
      <c r="K802" s="55"/>
      <c r="L802" s="55"/>
      <c r="M802" s="55"/>
      <c r="N802" s="55"/>
      <c r="O802" s="55" t="b">
        <v>0</v>
      </c>
      <c r="P802" s="55"/>
      <c r="Q802" s="55"/>
      <c r="R802" s="55"/>
      <c r="S802" s="55"/>
      <c r="T802" s="55"/>
      <c r="U802" s="64"/>
      <c r="V802" s="55"/>
      <c r="W802" s="64"/>
      <c r="X802" s="55"/>
      <c r="Y802" s="53"/>
      <c r="Z802" s="183" t="str">
        <f>IFERROR(__xludf.DUMMYFUNCTION("QUERY('Volunteer Survey'!A801)"),"")</f>
        <v/>
      </c>
      <c r="AA802" s="183" t="str">
        <f>IFERROR(__xludf.DUMMYFUNCTION("QUERY('Volunteer Survey'!B801)"),"")</f>
        <v/>
      </c>
      <c r="AB802" s="183" t="str">
        <f>IFERROR(__xludf.DUMMYFUNCTION("QUERY('Volunteer Survey'!C801)"),"")</f>
        <v/>
      </c>
      <c r="AC802" s="183" t="str">
        <f>IFERROR(__xludf.DUMMYFUNCTION("QUERY('Volunteer Survey'!D801)"),"")</f>
        <v/>
      </c>
      <c r="AD802" s="183" t="str">
        <f>IFERROR(__xludf.DUMMYFUNCTION("QUERY('Volunteer Survey'!E801)"),"")</f>
        <v/>
      </c>
      <c r="AE802" s="183" t="str">
        <f>IFERROR(__xludf.DUMMYFUNCTION("QUERY('Volunteer Survey'!F801)"),"")</f>
        <v/>
      </c>
      <c r="AF802" s="183" t="str">
        <f>IFERROR(__xludf.DUMMYFUNCTION("QUERY('Volunteer Survey'!G801)"),"")</f>
        <v/>
      </c>
      <c r="AG802" s="183" t="str">
        <f>IFERROR(__xludf.DUMMYFUNCTION("QUERY('Volunteer Survey'!H801)"),"")</f>
        <v/>
      </c>
      <c r="AH802" s="183" t="str">
        <f>IFERROR(__xludf.DUMMYFUNCTION("QUERY('Volunteer Survey'!I801)"),"")</f>
        <v/>
      </c>
      <c r="AI802" s="183" t="str">
        <f>IFERROR(__xludf.DUMMYFUNCTION("QUERY('Volunteer Survey'!J801)"),"")</f>
        <v/>
      </c>
      <c r="AJ802" s="183" t="str">
        <f>IFERROR(__xludf.DUMMYFUNCTION("QUERY('Volunteer Survey'!K801)"),"")</f>
        <v/>
      </c>
      <c r="AK802" s="183" t="str">
        <f>IFERROR(__xludf.DUMMYFUNCTION("QUERY('Volunteer Survey'!L801)"),"")</f>
        <v/>
      </c>
      <c r="AL802" s="183" t="str">
        <f>IFERROR(__xludf.DUMMYFUNCTION("QUERY('Volunteer Survey'!M801)"),"")</f>
        <v/>
      </c>
      <c r="AM802" s="183" t="str">
        <f>IFERROR(__xludf.DUMMYFUNCTION("QUERY('Volunteer Survey'!N801)"),"")</f>
        <v/>
      </c>
      <c r="AN802" s="183" t="str">
        <f>IFERROR(__xludf.DUMMYFUNCTION("QUERY('Volunteer Survey'!O801)"),"")</f>
        <v/>
      </c>
      <c r="AO802" s="183" t="str">
        <f>IFERROR(__xludf.DUMMYFUNCTION("QUERY('Volunteer Survey'!P801)"),"")</f>
        <v/>
      </c>
    </row>
    <row r="803">
      <c r="A803" s="55"/>
      <c r="B803" s="55"/>
      <c r="C803" s="53"/>
      <c r="D803" s="55"/>
      <c r="E803" s="55"/>
      <c r="F803" s="55" t="b">
        <v>0</v>
      </c>
      <c r="G803" s="55"/>
      <c r="H803" s="53"/>
      <c r="I803" s="53"/>
      <c r="J803" s="55"/>
      <c r="K803" s="55"/>
      <c r="L803" s="55"/>
      <c r="M803" s="55"/>
      <c r="N803" s="55"/>
      <c r="O803" s="55" t="b">
        <v>0</v>
      </c>
      <c r="P803" s="55"/>
      <c r="Q803" s="55"/>
      <c r="R803" s="55"/>
      <c r="S803" s="55"/>
      <c r="T803" s="55"/>
      <c r="U803" s="64"/>
      <c r="V803" s="55"/>
      <c r="W803" s="64"/>
      <c r="X803" s="55"/>
      <c r="Y803" s="53"/>
      <c r="Z803" s="183" t="str">
        <f>IFERROR(__xludf.DUMMYFUNCTION("QUERY('Volunteer Survey'!A802)"),"")</f>
        <v/>
      </c>
      <c r="AA803" s="183" t="str">
        <f>IFERROR(__xludf.DUMMYFUNCTION("QUERY('Volunteer Survey'!B802)"),"")</f>
        <v/>
      </c>
      <c r="AB803" s="183" t="str">
        <f>IFERROR(__xludf.DUMMYFUNCTION("QUERY('Volunteer Survey'!C802)"),"")</f>
        <v/>
      </c>
      <c r="AC803" s="183" t="str">
        <f>IFERROR(__xludf.DUMMYFUNCTION("QUERY('Volunteer Survey'!D802)"),"")</f>
        <v/>
      </c>
      <c r="AD803" s="183" t="str">
        <f>IFERROR(__xludf.DUMMYFUNCTION("QUERY('Volunteer Survey'!E802)"),"")</f>
        <v/>
      </c>
      <c r="AE803" s="183" t="str">
        <f>IFERROR(__xludf.DUMMYFUNCTION("QUERY('Volunteer Survey'!F802)"),"")</f>
        <v/>
      </c>
      <c r="AF803" s="183" t="str">
        <f>IFERROR(__xludf.DUMMYFUNCTION("QUERY('Volunteer Survey'!G802)"),"")</f>
        <v/>
      </c>
      <c r="AG803" s="183" t="str">
        <f>IFERROR(__xludf.DUMMYFUNCTION("QUERY('Volunteer Survey'!H802)"),"")</f>
        <v/>
      </c>
      <c r="AH803" s="183" t="str">
        <f>IFERROR(__xludf.DUMMYFUNCTION("QUERY('Volunteer Survey'!I802)"),"")</f>
        <v/>
      </c>
      <c r="AI803" s="183" t="str">
        <f>IFERROR(__xludf.DUMMYFUNCTION("QUERY('Volunteer Survey'!J802)"),"")</f>
        <v/>
      </c>
      <c r="AJ803" s="183" t="str">
        <f>IFERROR(__xludf.DUMMYFUNCTION("QUERY('Volunteer Survey'!K802)"),"")</f>
        <v/>
      </c>
      <c r="AK803" s="183" t="str">
        <f>IFERROR(__xludf.DUMMYFUNCTION("QUERY('Volunteer Survey'!L802)"),"")</f>
        <v/>
      </c>
      <c r="AL803" s="183" t="str">
        <f>IFERROR(__xludf.DUMMYFUNCTION("QUERY('Volunteer Survey'!M802)"),"")</f>
        <v/>
      </c>
      <c r="AM803" s="183" t="str">
        <f>IFERROR(__xludf.DUMMYFUNCTION("QUERY('Volunteer Survey'!N802)"),"")</f>
        <v/>
      </c>
      <c r="AN803" s="183" t="str">
        <f>IFERROR(__xludf.DUMMYFUNCTION("QUERY('Volunteer Survey'!O802)"),"")</f>
        <v/>
      </c>
      <c r="AO803" s="183" t="str">
        <f>IFERROR(__xludf.DUMMYFUNCTION("QUERY('Volunteer Survey'!P802)"),"")</f>
        <v/>
      </c>
    </row>
    <row r="804">
      <c r="A804" s="55"/>
      <c r="B804" s="55"/>
      <c r="C804" s="53"/>
      <c r="D804" s="55"/>
      <c r="E804" s="55"/>
      <c r="F804" s="55" t="b">
        <v>0</v>
      </c>
      <c r="G804" s="55"/>
      <c r="H804" s="53"/>
      <c r="I804" s="53"/>
      <c r="J804" s="55"/>
      <c r="K804" s="55"/>
      <c r="L804" s="55"/>
      <c r="M804" s="55"/>
      <c r="N804" s="55"/>
      <c r="O804" s="55" t="b">
        <v>0</v>
      </c>
      <c r="P804" s="55"/>
      <c r="Q804" s="55"/>
      <c r="R804" s="55"/>
      <c r="S804" s="55"/>
      <c r="T804" s="55"/>
      <c r="U804" s="64"/>
      <c r="V804" s="55"/>
      <c r="W804" s="64"/>
      <c r="X804" s="55"/>
      <c r="Y804" s="53"/>
      <c r="Z804" s="183" t="str">
        <f>IFERROR(__xludf.DUMMYFUNCTION("QUERY('Volunteer Survey'!A803)"),"")</f>
        <v/>
      </c>
      <c r="AA804" s="183" t="str">
        <f>IFERROR(__xludf.DUMMYFUNCTION("QUERY('Volunteer Survey'!B803)"),"")</f>
        <v/>
      </c>
      <c r="AB804" s="183" t="str">
        <f>IFERROR(__xludf.DUMMYFUNCTION("QUERY('Volunteer Survey'!C803)"),"")</f>
        <v/>
      </c>
      <c r="AC804" s="183" t="str">
        <f>IFERROR(__xludf.DUMMYFUNCTION("QUERY('Volunteer Survey'!D803)"),"")</f>
        <v/>
      </c>
      <c r="AD804" s="183" t="str">
        <f>IFERROR(__xludf.DUMMYFUNCTION("QUERY('Volunteer Survey'!E803)"),"")</f>
        <v/>
      </c>
      <c r="AE804" s="183" t="str">
        <f>IFERROR(__xludf.DUMMYFUNCTION("QUERY('Volunteer Survey'!F803)"),"")</f>
        <v/>
      </c>
      <c r="AF804" s="183" t="str">
        <f>IFERROR(__xludf.DUMMYFUNCTION("QUERY('Volunteer Survey'!G803)"),"")</f>
        <v/>
      </c>
      <c r="AG804" s="183" t="str">
        <f>IFERROR(__xludf.DUMMYFUNCTION("QUERY('Volunteer Survey'!H803)"),"")</f>
        <v/>
      </c>
      <c r="AH804" s="183" t="str">
        <f>IFERROR(__xludf.DUMMYFUNCTION("QUERY('Volunteer Survey'!I803)"),"")</f>
        <v/>
      </c>
      <c r="AI804" s="183" t="str">
        <f>IFERROR(__xludf.DUMMYFUNCTION("QUERY('Volunteer Survey'!J803)"),"")</f>
        <v/>
      </c>
      <c r="AJ804" s="183" t="str">
        <f>IFERROR(__xludf.DUMMYFUNCTION("QUERY('Volunteer Survey'!K803)"),"")</f>
        <v/>
      </c>
      <c r="AK804" s="183" t="str">
        <f>IFERROR(__xludf.DUMMYFUNCTION("QUERY('Volunteer Survey'!L803)"),"")</f>
        <v/>
      </c>
      <c r="AL804" s="183" t="str">
        <f>IFERROR(__xludf.DUMMYFUNCTION("QUERY('Volunteer Survey'!M803)"),"")</f>
        <v/>
      </c>
      <c r="AM804" s="183" t="str">
        <f>IFERROR(__xludf.DUMMYFUNCTION("QUERY('Volunteer Survey'!N803)"),"")</f>
        <v/>
      </c>
      <c r="AN804" s="183" t="str">
        <f>IFERROR(__xludf.DUMMYFUNCTION("QUERY('Volunteer Survey'!O803)"),"")</f>
        <v/>
      </c>
      <c r="AO804" s="183" t="str">
        <f>IFERROR(__xludf.DUMMYFUNCTION("QUERY('Volunteer Survey'!P803)"),"")</f>
        <v/>
      </c>
    </row>
    <row r="805">
      <c r="A805" s="55"/>
      <c r="B805" s="55"/>
      <c r="C805" s="53"/>
      <c r="D805" s="55"/>
      <c r="E805" s="55"/>
      <c r="F805" s="55" t="b">
        <v>0</v>
      </c>
      <c r="G805" s="55"/>
      <c r="H805" s="53"/>
      <c r="I805" s="53"/>
      <c r="J805" s="55"/>
      <c r="K805" s="55"/>
      <c r="L805" s="55"/>
      <c r="M805" s="55"/>
      <c r="N805" s="55"/>
      <c r="O805" s="55" t="b">
        <v>0</v>
      </c>
      <c r="P805" s="55"/>
      <c r="Q805" s="55"/>
      <c r="R805" s="55"/>
      <c r="S805" s="55"/>
      <c r="T805" s="55"/>
      <c r="U805" s="64"/>
      <c r="V805" s="55"/>
      <c r="W805" s="64"/>
      <c r="X805" s="55"/>
      <c r="Y805" s="53"/>
      <c r="Z805" s="183" t="str">
        <f>IFERROR(__xludf.DUMMYFUNCTION("QUERY('Volunteer Survey'!A804)"),"")</f>
        <v/>
      </c>
      <c r="AA805" s="183" t="str">
        <f>IFERROR(__xludf.DUMMYFUNCTION("QUERY('Volunteer Survey'!B804)"),"")</f>
        <v/>
      </c>
      <c r="AB805" s="183" t="str">
        <f>IFERROR(__xludf.DUMMYFUNCTION("QUERY('Volunteer Survey'!C804)"),"")</f>
        <v/>
      </c>
      <c r="AC805" s="183" t="str">
        <f>IFERROR(__xludf.DUMMYFUNCTION("QUERY('Volunteer Survey'!D804)"),"")</f>
        <v/>
      </c>
      <c r="AD805" s="183" t="str">
        <f>IFERROR(__xludf.DUMMYFUNCTION("QUERY('Volunteer Survey'!E804)"),"")</f>
        <v/>
      </c>
      <c r="AE805" s="183" t="str">
        <f>IFERROR(__xludf.DUMMYFUNCTION("QUERY('Volunteer Survey'!F804)"),"")</f>
        <v/>
      </c>
      <c r="AF805" s="183" t="str">
        <f>IFERROR(__xludf.DUMMYFUNCTION("QUERY('Volunteer Survey'!G804)"),"")</f>
        <v/>
      </c>
      <c r="AG805" s="183" t="str">
        <f>IFERROR(__xludf.DUMMYFUNCTION("QUERY('Volunteer Survey'!H804)"),"")</f>
        <v/>
      </c>
      <c r="AH805" s="183" t="str">
        <f>IFERROR(__xludf.DUMMYFUNCTION("QUERY('Volunteer Survey'!I804)"),"")</f>
        <v/>
      </c>
      <c r="AI805" s="183" t="str">
        <f>IFERROR(__xludf.DUMMYFUNCTION("QUERY('Volunteer Survey'!J804)"),"")</f>
        <v/>
      </c>
      <c r="AJ805" s="183" t="str">
        <f>IFERROR(__xludf.DUMMYFUNCTION("QUERY('Volunteer Survey'!K804)"),"")</f>
        <v/>
      </c>
      <c r="AK805" s="183" t="str">
        <f>IFERROR(__xludf.DUMMYFUNCTION("QUERY('Volunteer Survey'!L804)"),"")</f>
        <v/>
      </c>
      <c r="AL805" s="183" t="str">
        <f>IFERROR(__xludf.DUMMYFUNCTION("QUERY('Volunteer Survey'!M804)"),"")</f>
        <v/>
      </c>
      <c r="AM805" s="183" t="str">
        <f>IFERROR(__xludf.DUMMYFUNCTION("QUERY('Volunteer Survey'!N804)"),"")</f>
        <v/>
      </c>
      <c r="AN805" s="183" t="str">
        <f>IFERROR(__xludf.DUMMYFUNCTION("QUERY('Volunteer Survey'!O804)"),"")</f>
        <v/>
      </c>
      <c r="AO805" s="183" t="str">
        <f>IFERROR(__xludf.DUMMYFUNCTION("QUERY('Volunteer Survey'!P804)"),"")</f>
        <v/>
      </c>
    </row>
    <row r="806">
      <c r="A806" s="55"/>
      <c r="B806" s="55"/>
      <c r="C806" s="53"/>
      <c r="D806" s="55"/>
      <c r="E806" s="55"/>
      <c r="F806" s="55" t="b">
        <v>0</v>
      </c>
      <c r="G806" s="55"/>
      <c r="H806" s="53"/>
      <c r="I806" s="53"/>
      <c r="J806" s="55"/>
      <c r="K806" s="55"/>
      <c r="L806" s="55"/>
      <c r="M806" s="55"/>
      <c r="N806" s="55"/>
      <c r="O806" s="55" t="b">
        <v>0</v>
      </c>
      <c r="P806" s="55"/>
      <c r="Q806" s="55"/>
      <c r="R806" s="55"/>
      <c r="S806" s="55"/>
      <c r="T806" s="55"/>
      <c r="U806" s="64"/>
      <c r="V806" s="55"/>
      <c r="W806" s="64"/>
      <c r="X806" s="55"/>
      <c r="Y806" s="53"/>
      <c r="Z806" s="183" t="str">
        <f>IFERROR(__xludf.DUMMYFUNCTION("QUERY('Volunteer Survey'!A805)"),"")</f>
        <v/>
      </c>
      <c r="AA806" s="183" t="str">
        <f>IFERROR(__xludf.DUMMYFUNCTION("QUERY('Volunteer Survey'!B805)"),"")</f>
        <v/>
      </c>
      <c r="AB806" s="183" t="str">
        <f>IFERROR(__xludf.DUMMYFUNCTION("QUERY('Volunteer Survey'!C805)"),"")</f>
        <v/>
      </c>
      <c r="AC806" s="183" t="str">
        <f>IFERROR(__xludf.DUMMYFUNCTION("QUERY('Volunteer Survey'!D805)"),"")</f>
        <v/>
      </c>
      <c r="AD806" s="183" t="str">
        <f>IFERROR(__xludf.DUMMYFUNCTION("QUERY('Volunteer Survey'!E805)"),"")</f>
        <v/>
      </c>
      <c r="AE806" s="183" t="str">
        <f>IFERROR(__xludf.DUMMYFUNCTION("QUERY('Volunteer Survey'!F805)"),"")</f>
        <v/>
      </c>
      <c r="AF806" s="183" t="str">
        <f>IFERROR(__xludf.DUMMYFUNCTION("QUERY('Volunteer Survey'!G805)"),"")</f>
        <v/>
      </c>
      <c r="AG806" s="183" t="str">
        <f>IFERROR(__xludf.DUMMYFUNCTION("QUERY('Volunteer Survey'!H805)"),"")</f>
        <v/>
      </c>
      <c r="AH806" s="183" t="str">
        <f>IFERROR(__xludf.DUMMYFUNCTION("QUERY('Volunteer Survey'!I805)"),"")</f>
        <v/>
      </c>
      <c r="AI806" s="183" t="str">
        <f>IFERROR(__xludf.DUMMYFUNCTION("QUERY('Volunteer Survey'!J805)"),"")</f>
        <v/>
      </c>
      <c r="AJ806" s="183" t="str">
        <f>IFERROR(__xludf.DUMMYFUNCTION("QUERY('Volunteer Survey'!K805)"),"")</f>
        <v/>
      </c>
      <c r="AK806" s="183" t="str">
        <f>IFERROR(__xludf.DUMMYFUNCTION("QUERY('Volunteer Survey'!L805)"),"")</f>
        <v/>
      </c>
      <c r="AL806" s="183" t="str">
        <f>IFERROR(__xludf.DUMMYFUNCTION("QUERY('Volunteer Survey'!M805)"),"")</f>
        <v/>
      </c>
      <c r="AM806" s="183" t="str">
        <f>IFERROR(__xludf.DUMMYFUNCTION("QUERY('Volunteer Survey'!N805)"),"")</f>
        <v/>
      </c>
      <c r="AN806" s="183" t="str">
        <f>IFERROR(__xludf.DUMMYFUNCTION("QUERY('Volunteer Survey'!O805)"),"")</f>
        <v/>
      </c>
      <c r="AO806" s="183" t="str">
        <f>IFERROR(__xludf.DUMMYFUNCTION("QUERY('Volunteer Survey'!P805)"),"")</f>
        <v/>
      </c>
    </row>
    <row r="807">
      <c r="A807" s="55"/>
      <c r="B807" s="55"/>
      <c r="C807" s="53"/>
      <c r="D807" s="55"/>
      <c r="E807" s="55"/>
      <c r="F807" s="55" t="b">
        <v>0</v>
      </c>
      <c r="G807" s="55"/>
      <c r="H807" s="53"/>
      <c r="I807" s="53"/>
      <c r="J807" s="55"/>
      <c r="K807" s="55"/>
      <c r="L807" s="55"/>
      <c r="M807" s="55"/>
      <c r="N807" s="55"/>
      <c r="O807" s="55" t="b">
        <v>0</v>
      </c>
      <c r="P807" s="55"/>
      <c r="Q807" s="55"/>
      <c r="R807" s="55"/>
      <c r="S807" s="55"/>
      <c r="T807" s="55"/>
      <c r="U807" s="64"/>
      <c r="V807" s="55"/>
      <c r="W807" s="64"/>
      <c r="X807" s="55"/>
      <c r="Y807" s="53"/>
      <c r="Z807" s="183" t="str">
        <f>IFERROR(__xludf.DUMMYFUNCTION("QUERY('Volunteer Survey'!A806)"),"")</f>
        <v/>
      </c>
      <c r="AA807" s="183" t="str">
        <f>IFERROR(__xludf.DUMMYFUNCTION("QUERY('Volunteer Survey'!B806)"),"")</f>
        <v/>
      </c>
      <c r="AB807" s="183" t="str">
        <f>IFERROR(__xludf.DUMMYFUNCTION("QUERY('Volunteer Survey'!C806)"),"")</f>
        <v/>
      </c>
      <c r="AC807" s="183" t="str">
        <f>IFERROR(__xludf.DUMMYFUNCTION("QUERY('Volunteer Survey'!D806)"),"")</f>
        <v/>
      </c>
      <c r="AD807" s="183" t="str">
        <f>IFERROR(__xludf.DUMMYFUNCTION("QUERY('Volunteer Survey'!E806)"),"")</f>
        <v/>
      </c>
      <c r="AE807" s="183" t="str">
        <f>IFERROR(__xludf.DUMMYFUNCTION("QUERY('Volunteer Survey'!F806)"),"")</f>
        <v/>
      </c>
      <c r="AF807" s="183" t="str">
        <f>IFERROR(__xludf.DUMMYFUNCTION("QUERY('Volunteer Survey'!G806)"),"")</f>
        <v/>
      </c>
      <c r="AG807" s="183" t="str">
        <f>IFERROR(__xludf.DUMMYFUNCTION("QUERY('Volunteer Survey'!H806)"),"")</f>
        <v/>
      </c>
      <c r="AH807" s="183" t="str">
        <f>IFERROR(__xludf.DUMMYFUNCTION("QUERY('Volunteer Survey'!I806)"),"")</f>
        <v/>
      </c>
      <c r="AI807" s="183" t="str">
        <f>IFERROR(__xludf.DUMMYFUNCTION("QUERY('Volunteer Survey'!J806)"),"")</f>
        <v/>
      </c>
      <c r="AJ807" s="183" t="str">
        <f>IFERROR(__xludf.DUMMYFUNCTION("QUERY('Volunteer Survey'!K806)"),"")</f>
        <v/>
      </c>
      <c r="AK807" s="183" t="str">
        <f>IFERROR(__xludf.DUMMYFUNCTION("QUERY('Volunteer Survey'!L806)"),"")</f>
        <v/>
      </c>
      <c r="AL807" s="183" t="str">
        <f>IFERROR(__xludf.DUMMYFUNCTION("QUERY('Volunteer Survey'!M806)"),"")</f>
        <v/>
      </c>
      <c r="AM807" s="183" t="str">
        <f>IFERROR(__xludf.DUMMYFUNCTION("QUERY('Volunteer Survey'!N806)"),"")</f>
        <v/>
      </c>
      <c r="AN807" s="183" t="str">
        <f>IFERROR(__xludf.DUMMYFUNCTION("QUERY('Volunteer Survey'!O806)"),"")</f>
        <v/>
      </c>
      <c r="AO807" s="183" t="str">
        <f>IFERROR(__xludf.DUMMYFUNCTION("QUERY('Volunteer Survey'!P806)"),"")</f>
        <v/>
      </c>
    </row>
    <row r="808">
      <c r="A808" s="55"/>
      <c r="B808" s="55"/>
      <c r="C808" s="53"/>
      <c r="D808" s="55"/>
      <c r="E808" s="55"/>
      <c r="F808" s="55" t="b">
        <v>0</v>
      </c>
      <c r="G808" s="55"/>
      <c r="H808" s="53"/>
      <c r="I808" s="53"/>
      <c r="J808" s="55"/>
      <c r="K808" s="55"/>
      <c r="L808" s="55"/>
      <c r="M808" s="55"/>
      <c r="N808" s="55"/>
      <c r="O808" s="55" t="b">
        <v>0</v>
      </c>
      <c r="P808" s="55"/>
      <c r="Q808" s="55"/>
      <c r="R808" s="55"/>
      <c r="S808" s="55"/>
      <c r="T808" s="55"/>
      <c r="U808" s="64"/>
      <c r="V808" s="55"/>
      <c r="W808" s="64"/>
      <c r="X808" s="55"/>
      <c r="Y808" s="53"/>
      <c r="Z808" s="183" t="str">
        <f>IFERROR(__xludf.DUMMYFUNCTION("QUERY('Volunteer Survey'!A807)"),"")</f>
        <v/>
      </c>
      <c r="AA808" s="183" t="str">
        <f>IFERROR(__xludf.DUMMYFUNCTION("QUERY('Volunteer Survey'!B807)"),"")</f>
        <v/>
      </c>
      <c r="AB808" s="183" t="str">
        <f>IFERROR(__xludf.DUMMYFUNCTION("QUERY('Volunteer Survey'!C807)"),"")</f>
        <v/>
      </c>
      <c r="AC808" s="183" t="str">
        <f>IFERROR(__xludf.DUMMYFUNCTION("QUERY('Volunteer Survey'!D807)"),"")</f>
        <v/>
      </c>
      <c r="AD808" s="183" t="str">
        <f>IFERROR(__xludf.DUMMYFUNCTION("QUERY('Volunteer Survey'!E807)"),"")</f>
        <v/>
      </c>
      <c r="AE808" s="183" t="str">
        <f>IFERROR(__xludf.DUMMYFUNCTION("QUERY('Volunteer Survey'!F807)"),"")</f>
        <v/>
      </c>
      <c r="AF808" s="183" t="str">
        <f>IFERROR(__xludf.DUMMYFUNCTION("QUERY('Volunteer Survey'!G807)"),"")</f>
        <v/>
      </c>
      <c r="AG808" s="183" t="str">
        <f>IFERROR(__xludf.DUMMYFUNCTION("QUERY('Volunteer Survey'!H807)"),"")</f>
        <v/>
      </c>
      <c r="AH808" s="183" t="str">
        <f>IFERROR(__xludf.DUMMYFUNCTION("QUERY('Volunteer Survey'!I807)"),"")</f>
        <v/>
      </c>
      <c r="AI808" s="183" t="str">
        <f>IFERROR(__xludf.DUMMYFUNCTION("QUERY('Volunteer Survey'!J807)"),"")</f>
        <v/>
      </c>
      <c r="AJ808" s="183" t="str">
        <f>IFERROR(__xludf.DUMMYFUNCTION("QUERY('Volunteer Survey'!K807)"),"")</f>
        <v/>
      </c>
      <c r="AK808" s="183" t="str">
        <f>IFERROR(__xludf.DUMMYFUNCTION("QUERY('Volunteer Survey'!L807)"),"")</f>
        <v/>
      </c>
      <c r="AL808" s="183" t="str">
        <f>IFERROR(__xludf.DUMMYFUNCTION("QUERY('Volunteer Survey'!M807)"),"")</f>
        <v/>
      </c>
      <c r="AM808" s="183" t="str">
        <f>IFERROR(__xludf.DUMMYFUNCTION("QUERY('Volunteer Survey'!N807)"),"")</f>
        <v/>
      </c>
      <c r="AN808" s="183" t="str">
        <f>IFERROR(__xludf.DUMMYFUNCTION("QUERY('Volunteer Survey'!O807)"),"")</f>
        <v/>
      </c>
      <c r="AO808" s="183" t="str">
        <f>IFERROR(__xludf.DUMMYFUNCTION("QUERY('Volunteer Survey'!P807)"),"")</f>
        <v/>
      </c>
    </row>
    <row r="809">
      <c r="A809" s="55"/>
      <c r="B809" s="55"/>
      <c r="C809" s="53"/>
      <c r="D809" s="55"/>
      <c r="E809" s="55"/>
      <c r="F809" s="55" t="b">
        <v>0</v>
      </c>
      <c r="G809" s="55"/>
      <c r="H809" s="53"/>
      <c r="I809" s="53"/>
      <c r="J809" s="55"/>
      <c r="K809" s="55"/>
      <c r="L809" s="55"/>
      <c r="M809" s="55"/>
      <c r="N809" s="55"/>
      <c r="O809" s="55" t="b">
        <v>0</v>
      </c>
      <c r="P809" s="55"/>
      <c r="Q809" s="55"/>
      <c r="R809" s="55"/>
      <c r="S809" s="55"/>
      <c r="T809" s="55"/>
      <c r="U809" s="64"/>
      <c r="V809" s="55"/>
      <c r="W809" s="64"/>
      <c r="X809" s="55"/>
      <c r="Y809" s="53"/>
      <c r="Z809" s="183" t="str">
        <f>IFERROR(__xludf.DUMMYFUNCTION("QUERY('Volunteer Survey'!A808)"),"")</f>
        <v/>
      </c>
      <c r="AA809" s="183" t="str">
        <f>IFERROR(__xludf.DUMMYFUNCTION("QUERY('Volunteer Survey'!B808)"),"")</f>
        <v/>
      </c>
      <c r="AB809" s="183" t="str">
        <f>IFERROR(__xludf.DUMMYFUNCTION("QUERY('Volunteer Survey'!C808)"),"")</f>
        <v/>
      </c>
      <c r="AC809" s="183" t="str">
        <f>IFERROR(__xludf.DUMMYFUNCTION("QUERY('Volunteer Survey'!D808)"),"")</f>
        <v/>
      </c>
      <c r="AD809" s="183" t="str">
        <f>IFERROR(__xludf.DUMMYFUNCTION("QUERY('Volunteer Survey'!E808)"),"")</f>
        <v/>
      </c>
      <c r="AE809" s="183" t="str">
        <f>IFERROR(__xludf.DUMMYFUNCTION("QUERY('Volunteer Survey'!F808)"),"")</f>
        <v/>
      </c>
      <c r="AF809" s="183" t="str">
        <f>IFERROR(__xludf.DUMMYFUNCTION("QUERY('Volunteer Survey'!G808)"),"")</f>
        <v/>
      </c>
      <c r="AG809" s="183" t="str">
        <f>IFERROR(__xludf.DUMMYFUNCTION("QUERY('Volunteer Survey'!H808)"),"")</f>
        <v/>
      </c>
      <c r="AH809" s="183" t="str">
        <f>IFERROR(__xludf.DUMMYFUNCTION("QUERY('Volunteer Survey'!I808)"),"")</f>
        <v/>
      </c>
      <c r="AI809" s="183" t="str">
        <f>IFERROR(__xludf.DUMMYFUNCTION("QUERY('Volunteer Survey'!J808)"),"")</f>
        <v/>
      </c>
      <c r="AJ809" s="183" t="str">
        <f>IFERROR(__xludf.DUMMYFUNCTION("QUERY('Volunteer Survey'!K808)"),"")</f>
        <v/>
      </c>
      <c r="AK809" s="183" t="str">
        <f>IFERROR(__xludf.DUMMYFUNCTION("QUERY('Volunteer Survey'!L808)"),"")</f>
        <v/>
      </c>
      <c r="AL809" s="183" t="str">
        <f>IFERROR(__xludf.DUMMYFUNCTION("QUERY('Volunteer Survey'!M808)"),"")</f>
        <v/>
      </c>
      <c r="AM809" s="183" t="str">
        <f>IFERROR(__xludf.DUMMYFUNCTION("QUERY('Volunteer Survey'!N808)"),"")</f>
        <v/>
      </c>
      <c r="AN809" s="183" t="str">
        <f>IFERROR(__xludf.DUMMYFUNCTION("QUERY('Volunteer Survey'!O808)"),"")</f>
        <v/>
      </c>
      <c r="AO809" s="183" t="str">
        <f>IFERROR(__xludf.DUMMYFUNCTION("QUERY('Volunteer Survey'!P808)"),"")</f>
        <v/>
      </c>
    </row>
    <row r="810">
      <c r="A810" s="55"/>
      <c r="B810" s="55"/>
      <c r="C810" s="53"/>
      <c r="D810" s="55"/>
      <c r="E810" s="55"/>
      <c r="F810" s="55" t="b">
        <v>0</v>
      </c>
      <c r="G810" s="55"/>
      <c r="H810" s="53"/>
      <c r="I810" s="53"/>
      <c r="J810" s="55"/>
      <c r="K810" s="55"/>
      <c r="L810" s="55"/>
      <c r="M810" s="55"/>
      <c r="N810" s="55"/>
      <c r="O810" s="55" t="b">
        <v>0</v>
      </c>
      <c r="P810" s="55"/>
      <c r="Q810" s="55"/>
      <c r="R810" s="55"/>
      <c r="S810" s="55"/>
      <c r="T810" s="55"/>
      <c r="U810" s="64"/>
      <c r="V810" s="55"/>
      <c r="W810" s="64"/>
      <c r="X810" s="55"/>
      <c r="Y810" s="53"/>
      <c r="Z810" s="183" t="str">
        <f>IFERROR(__xludf.DUMMYFUNCTION("QUERY('Volunteer Survey'!A809)"),"")</f>
        <v/>
      </c>
      <c r="AA810" s="183" t="str">
        <f>IFERROR(__xludf.DUMMYFUNCTION("QUERY('Volunteer Survey'!B809)"),"")</f>
        <v/>
      </c>
      <c r="AB810" s="183" t="str">
        <f>IFERROR(__xludf.DUMMYFUNCTION("QUERY('Volunteer Survey'!C809)"),"")</f>
        <v/>
      </c>
      <c r="AC810" s="183" t="str">
        <f>IFERROR(__xludf.DUMMYFUNCTION("QUERY('Volunteer Survey'!D809)"),"")</f>
        <v/>
      </c>
      <c r="AD810" s="183" t="str">
        <f>IFERROR(__xludf.DUMMYFUNCTION("QUERY('Volunteer Survey'!E809)"),"")</f>
        <v/>
      </c>
      <c r="AE810" s="183" t="str">
        <f>IFERROR(__xludf.DUMMYFUNCTION("QUERY('Volunteer Survey'!F809)"),"")</f>
        <v/>
      </c>
      <c r="AF810" s="183" t="str">
        <f>IFERROR(__xludf.DUMMYFUNCTION("QUERY('Volunteer Survey'!G809)"),"")</f>
        <v/>
      </c>
      <c r="AG810" s="183" t="str">
        <f>IFERROR(__xludf.DUMMYFUNCTION("QUERY('Volunteer Survey'!H809)"),"")</f>
        <v/>
      </c>
      <c r="AH810" s="183" t="str">
        <f>IFERROR(__xludf.DUMMYFUNCTION("QUERY('Volunteer Survey'!I809)"),"")</f>
        <v/>
      </c>
      <c r="AI810" s="183" t="str">
        <f>IFERROR(__xludf.DUMMYFUNCTION("QUERY('Volunteer Survey'!J809)"),"")</f>
        <v/>
      </c>
      <c r="AJ810" s="183" t="str">
        <f>IFERROR(__xludf.DUMMYFUNCTION("QUERY('Volunteer Survey'!K809)"),"")</f>
        <v/>
      </c>
      <c r="AK810" s="183" t="str">
        <f>IFERROR(__xludf.DUMMYFUNCTION("QUERY('Volunteer Survey'!L809)"),"")</f>
        <v/>
      </c>
      <c r="AL810" s="183" t="str">
        <f>IFERROR(__xludf.DUMMYFUNCTION("QUERY('Volunteer Survey'!M809)"),"")</f>
        <v/>
      </c>
      <c r="AM810" s="183" t="str">
        <f>IFERROR(__xludf.DUMMYFUNCTION("QUERY('Volunteer Survey'!N809)"),"")</f>
        <v/>
      </c>
      <c r="AN810" s="183" t="str">
        <f>IFERROR(__xludf.DUMMYFUNCTION("QUERY('Volunteer Survey'!O809)"),"")</f>
        <v/>
      </c>
      <c r="AO810" s="183" t="str">
        <f>IFERROR(__xludf.DUMMYFUNCTION("QUERY('Volunteer Survey'!P809)"),"")</f>
        <v/>
      </c>
    </row>
    <row r="811">
      <c r="A811" s="55"/>
      <c r="B811" s="55"/>
      <c r="C811" s="53"/>
      <c r="D811" s="55"/>
      <c r="E811" s="55"/>
      <c r="F811" s="55" t="b">
        <v>0</v>
      </c>
      <c r="G811" s="55"/>
      <c r="H811" s="53"/>
      <c r="I811" s="53"/>
      <c r="J811" s="55"/>
      <c r="K811" s="55"/>
      <c r="L811" s="55"/>
      <c r="M811" s="55"/>
      <c r="N811" s="55"/>
      <c r="O811" s="55" t="b">
        <v>0</v>
      </c>
      <c r="P811" s="55"/>
      <c r="Q811" s="55"/>
      <c r="R811" s="55"/>
      <c r="S811" s="55"/>
      <c r="T811" s="55"/>
      <c r="U811" s="64"/>
      <c r="V811" s="55"/>
      <c r="W811" s="64"/>
      <c r="X811" s="55"/>
      <c r="Y811" s="53"/>
      <c r="Z811" s="183" t="str">
        <f>IFERROR(__xludf.DUMMYFUNCTION("QUERY('Volunteer Survey'!A810)"),"")</f>
        <v/>
      </c>
      <c r="AA811" s="183" t="str">
        <f>IFERROR(__xludf.DUMMYFUNCTION("QUERY('Volunteer Survey'!B810)"),"")</f>
        <v/>
      </c>
      <c r="AB811" s="183" t="str">
        <f>IFERROR(__xludf.DUMMYFUNCTION("QUERY('Volunteer Survey'!C810)"),"")</f>
        <v/>
      </c>
      <c r="AC811" s="183" t="str">
        <f>IFERROR(__xludf.DUMMYFUNCTION("QUERY('Volunteer Survey'!D810)"),"")</f>
        <v/>
      </c>
      <c r="AD811" s="183" t="str">
        <f>IFERROR(__xludf.DUMMYFUNCTION("QUERY('Volunteer Survey'!E810)"),"")</f>
        <v/>
      </c>
      <c r="AE811" s="183" t="str">
        <f>IFERROR(__xludf.DUMMYFUNCTION("QUERY('Volunteer Survey'!F810)"),"")</f>
        <v/>
      </c>
      <c r="AF811" s="183" t="str">
        <f>IFERROR(__xludf.DUMMYFUNCTION("QUERY('Volunteer Survey'!G810)"),"")</f>
        <v/>
      </c>
      <c r="AG811" s="183" t="str">
        <f>IFERROR(__xludf.DUMMYFUNCTION("QUERY('Volunteer Survey'!H810)"),"")</f>
        <v/>
      </c>
      <c r="AH811" s="183" t="str">
        <f>IFERROR(__xludf.DUMMYFUNCTION("QUERY('Volunteer Survey'!I810)"),"")</f>
        <v/>
      </c>
      <c r="AI811" s="183" t="str">
        <f>IFERROR(__xludf.DUMMYFUNCTION("QUERY('Volunteer Survey'!J810)"),"")</f>
        <v/>
      </c>
      <c r="AJ811" s="183" t="str">
        <f>IFERROR(__xludf.DUMMYFUNCTION("QUERY('Volunteer Survey'!K810)"),"")</f>
        <v/>
      </c>
      <c r="AK811" s="183" t="str">
        <f>IFERROR(__xludf.DUMMYFUNCTION("QUERY('Volunteer Survey'!L810)"),"")</f>
        <v/>
      </c>
      <c r="AL811" s="183" t="str">
        <f>IFERROR(__xludf.DUMMYFUNCTION("QUERY('Volunteer Survey'!M810)"),"")</f>
        <v/>
      </c>
      <c r="AM811" s="183" t="str">
        <f>IFERROR(__xludf.DUMMYFUNCTION("QUERY('Volunteer Survey'!N810)"),"")</f>
        <v/>
      </c>
      <c r="AN811" s="183" t="str">
        <f>IFERROR(__xludf.DUMMYFUNCTION("QUERY('Volunteer Survey'!O810)"),"")</f>
        <v/>
      </c>
      <c r="AO811" s="183" t="str">
        <f>IFERROR(__xludf.DUMMYFUNCTION("QUERY('Volunteer Survey'!P810)"),"")</f>
        <v/>
      </c>
    </row>
    <row r="812">
      <c r="A812" s="55"/>
      <c r="B812" s="55"/>
      <c r="C812" s="53"/>
      <c r="D812" s="55"/>
      <c r="E812" s="55"/>
      <c r="F812" s="55" t="b">
        <v>0</v>
      </c>
      <c r="G812" s="55"/>
      <c r="H812" s="53"/>
      <c r="I812" s="53"/>
      <c r="J812" s="55"/>
      <c r="K812" s="55"/>
      <c r="L812" s="55"/>
      <c r="M812" s="55"/>
      <c r="N812" s="55"/>
      <c r="O812" s="55" t="b">
        <v>0</v>
      </c>
      <c r="P812" s="55"/>
      <c r="Q812" s="55"/>
      <c r="R812" s="55"/>
      <c r="S812" s="55"/>
      <c r="T812" s="55"/>
      <c r="U812" s="64"/>
      <c r="V812" s="55"/>
      <c r="W812" s="64"/>
      <c r="X812" s="55"/>
      <c r="Y812" s="53"/>
      <c r="Z812" s="183" t="str">
        <f>IFERROR(__xludf.DUMMYFUNCTION("QUERY('Volunteer Survey'!A811)"),"")</f>
        <v/>
      </c>
      <c r="AA812" s="183" t="str">
        <f>IFERROR(__xludf.DUMMYFUNCTION("QUERY('Volunteer Survey'!B811)"),"")</f>
        <v/>
      </c>
      <c r="AB812" s="183" t="str">
        <f>IFERROR(__xludf.DUMMYFUNCTION("QUERY('Volunteer Survey'!C811)"),"")</f>
        <v/>
      </c>
      <c r="AC812" s="183" t="str">
        <f>IFERROR(__xludf.DUMMYFUNCTION("QUERY('Volunteer Survey'!D811)"),"")</f>
        <v/>
      </c>
      <c r="AD812" s="183" t="str">
        <f>IFERROR(__xludf.DUMMYFUNCTION("QUERY('Volunteer Survey'!E811)"),"")</f>
        <v/>
      </c>
      <c r="AE812" s="183" t="str">
        <f>IFERROR(__xludf.DUMMYFUNCTION("QUERY('Volunteer Survey'!F811)"),"")</f>
        <v/>
      </c>
      <c r="AF812" s="183" t="str">
        <f>IFERROR(__xludf.DUMMYFUNCTION("QUERY('Volunteer Survey'!G811)"),"")</f>
        <v/>
      </c>
      <c r="AG812" s="183" t="str">
        <f>IFERROR(__xludf.DUMMYFUNCTION("QUERY('Volunteer Survey'!H811)"),"")</f>
        <v/>
      </c>
      <c r="AH812" s="183" t="str">
        <f>IFERROR(__xludf.DUMMYFUNCTION("QUERY('Volunteer Survey'!I811)"),"")</f>
        <v/>
      </c>
      <c r="AI812" s="183" t="str">
        <f>IFERROR(__xludf.DUMMYFUNCTION("QUERY('Volunteer Survey'!J811)"),"")</f>
        <v/>
      </c>
      <c r="AJ812" s="183" t="str">
        <f>IFERROR(__xludf.DUMMYFUNCTION("QUERY('Volunteer Survey'!K811)"),"")</f>
        <v/>
      </c>
      <c r="AK812" s="183" t="str">
        <f>IFERROR(__xludf.DUMMYFUNCTION("QUERY('Volunteer Survey'!L811)"),"")</f>
        <v/>
      </c>
      <c r="AL812" s="183" t="str">
        <f>IFERROR(__xludf.DUMMYFUNCTION("QUERY('Volunteer Survey'!M811)"),"")</f>
        <v/>
      </c>
      <c r="AM812" s="183" t="str">
        <f>IFERROR(__xludf.DUMMYFUNCTION("QUERY('Volunteer Survey'!N811)"),"")</f>
        <v/>
      </c>
      <c r="AN812" s="183" t="str">
        <f>IFERROR(__xludf.DUMMYFUNCTION("QUERY('Volunteer Survey'!O811)"),"")</f>
        <v/>
      </c>
      <c r="AO812" s="183" t="str">
        <f>IFERROR(__xludf.DUMMYFUNCTION("QUERY('Volunteer Survey'!P811)"),"")</f>
        <v/>
      </c>
    </row>
    <row r="813">
      <c r="A813" s="55"/>
      <c r="B813" s="55"/>
      <c r="C813" s="53"/>
      <c r="D813" s="55"/>
      <c r="E813" s="55"/>
      <c r="F813" s="55" t="b">
        <v>0</v>
      </c>
      <c r="G813" s="55"/>
      <c r="H813" s="53"/>
      <c r="I813" s="53"/>
      <c r="J813" s="55"/>
      <c r="K813" s="55"/>
      <c r="L813" s="55"/>
      <c r="M813" s="55"/>
      <c r="N813" s="55"/>
      <c r="O813" s="55" t="b">
        <v>0</v>
      </c>
      <c r="P813" s="55"/>
      <c r="Q813" s="55"/>
      <c r="R813" s="55"/>
      <c r="S813" s="55"/>
      <c r="T813" s="55"/>
      <c r="U813" s="64"/>
      <c r="V813" s="55"/>
      <c r="W813" s="64"/>
      <c r="X813" s="55"/>
      <c r="Y813" s="53"/>
      <c r="Z813" s="183" t="str">
        <f>IFERROR(__xludf.DUMMYFUNCTION("QUERY('Volunteer Survey'!A812)"),"")</f>
        <v/>
      </c>
      <c r="AA813" s="183" t="str">
        <f>IFERROR(__xludf.DUMMYFUNCTION("QUERY('Volunteer Survey'!B812)"),"")</f>
        <v/>
      </c>
      <c r="AB813" s="183" t="str">
        <f>IFERROR(__xludf.DUMMYFUNCTION("QUERY('Volunteer Survey'!C812)"),"")</f>
        <v/>
      </c>
      <c r="AC813" s="183" t="str">
        <f>IFERROR(__xludf.DUMMYFUNCTION("QUERY('Volunteer Survey'!D812)"),"")</f>
        <v/>
      </c>
      <c r="AD813" s="183" t="str">
        <f>IFERROR(__xludf.DUMMYFUNCTION("QUERY('Volunteer Survey'!E812)"),"")</f>
        <v/>
      </c>
      <c r="AE813" s="183" t="str">
        <f>IFERROR(__xludf.DUMMYFUNCTION("QUERY('Volunteer Survey'!F812)"),"")</f>
        <v/>
      </c>
      <c r="AF813" s="183" t="str">
        <f>IFERROR(__xludf.DUMMYFUNCTION("QUERY('Volunteer Survey'!G812)"),"")</f>
        <v/>
      </c>
      <c r="AG813" s="183" t="str">
        <f>IFERROR(__xludf.DUMMYFUNCTION("QUERY('Volunteer Survey'!H812)"),"")</f>
        <v/>
      </c>
      <c r="AH813" s="183" t="str">
        <f>IFERROR(__xludf.DUMMYFUNCTION("QUERY('Volunteer Survey'!I812)"),"")</f>
        <v/>
      </c>
      <c r="AI813" s="183" t="str">
        <f>IFERROR(__xludf.DUMMYFUNCTION("QUERY('Volunteer Survey'!J812)"),"")</f>
        <v/>
      </c>
      <c r="AJ813" s="183" t="str">
        <f>IFERROR(__xludf.DUMMYFUNCTION("QUERY('Volunteer Survey'!K812)"),"")</f>
        <v/>
      </c>
      <c r="AK813" s="183" t="str">
        <f>IFERROR(__xludf.DUMMYFUNCTION("QUERY('Volunteer Survey'!L812)"),"")</f>
        <v/>
      </c>
      <c r="AL813" s="183" t="str">
        <f>IFERROR(__xludf.DUMMYFUNCTION("QUERY('Volunteer Survey'!M812)"),"")</f>
        <v/>
      </c>
      <c r="AM813" s="183" t="str">
        <f>IFERROR(__xludf.DUMMYFUNCTION("QUERY('Volunteer Survey'!N812)"),"")</f>
        <v/>
      </c>
      <c r="AN813" s="183" t="str">
        <f>IFERROR(__xludf.DUMMYFUNCTION("QUERY('Volunteer Survey'!O812)"),"")</f>
        <v/>
      </c>
      <c r="AO813" s="183" t="str">
        <f>IFERROR(__xludf.DUMMYFUNCTION("QUERY('Volunteer Survey'!P812)"),"")</f>
        <v/>
      </c>
    </row>
    <row r="814">
      <c r="A814" s="55"/>
      <c r="B814" s="55"/>
      <c r="C814" s="53"/>
      <c r="D814" s="55"/>
      <c r="E814" s="55"/>
      <c r="F814" s="55" t="b">
        <v>0</v>
      </c>
      <c r="G814" s="55"/>
      <c r="H814" s="53"/>
      <c r="I814" s="53"/>
      <c r="J814" s="55"/>
      <c r="K814" s="55"/>
      <c r="L814" s="55"/>
      <c r="M814" s="55"/>
      <c r="N814" s="55"/>
      <c r="O814" s="55" t="b">
        <v>0</v>
      </c>
      <c r="P814" s="55"/>
      <c r="Q814" s="55"/>
      <c r="R814" s="55"/>
      <c r="S814" s="55"/>
      <c r="T814" s="55"/>
      <c r="U814" s="64"/>
      <c r="V814" s="55"/>
      <c r="W814" s="64"/>
      <c r="X814" s="55"/>
      <c r="Y814" s="53"/>
      <c r="Z814" s="183" t="str">
        <f>IFERROR(__xludf.DUMMYFUNCTION("QUERY('Volunteer Survey'!A813)"),"")</f>
        <v/>
      </c>
      <c r="AA814" s="183" t="str">
        <f>IFERROR(__xludf.DUMMYFUNCTION("QUERY('Volunteer Survey'!B813)"),"")</f>
        <v/>
      </c>
      <c r="AB814" s="183" t="str">
        <f>IFERROR(__xludf.DUMMYFUNCTION("QUERY('Volunteer Survey'!C813)"),"")</f>
        <v/>
      </c>
      <c r="AC814" s="183" t="str">
        <f>IFERROR(__xludf.DUMMYFUNCTION("QUERY('Volunteer Survey'!D813)"),"")</f>
        <v/>
      </c>
      <c r="AD814" s="183" t="str">
        <f>IFERROR(__xludf.DUMMYFUNCTION("QUERY('Volunteer Survey'!E813)"),"")</f>
        <v/>
      </c>
      <c r="AE814" s="183" t="str">
        <f>IFERROR(__xludf.DUMMYFUNCTION("QUERY('Volunteer Survey'!F813)"),"")</f>
        <v/>
      </c>
      <c r="AF814" s="183" t="str">
        <f>IFERROR(__xludf.DUMMYFUNCTION("QUERY('Volunteer Survey'!G813)"),"")</f>
        <v/>
      </c>
      <c r="AG814" s="183" t="str">
        <f>IFERROR(__xludf.DUMMYFUNCTION("QUERY('Volunteer Survey'!H813)"),"")</f>
        <v/>
      </c>
      <c r="AH814" s="183" t="str">
        <f>IFERROR(__xludf.DUMMYFUNCTION("QUERY('Volunteer Survey'!I813)"),"")</f>
        <v/>
      </c>
      <c r="AI814" s="183" t="str">
        <f>IFERROR(__xludf.DUMMYFUNCTION("QUERY('Volunteer Survey'!J813)"),"")</f>
        <v/>
      </c>
      <c r="AJ814" s="183" t="str">
        <f>IFERROR(__xludf.DUMMYFUNCTION("QUERY('Volunteer Survey'!K813)"),"")</f>
        <v/>
      </c>
      <c r="AK814" s="183" t="str">
        <f>IFERROR(__xludf.DUMMYFUNCTION("QUERY('Volunteer Survey'!L813)"),"")</f>
        <v/>
      </c>
      <c r="AL814" s="183" t="str">
        <f>IFERROR(__xludf.DUMMYFUNCTION("QUERY('Volunteer Survey'!M813)"),"")</f>
        <v/>
      </c>
      <c r="AM814" s="183" t="str">
        <f>IFERROR(__xludf.DUMMYFUNCTION("QUERY('Volunteer Survey'!N813)"),"")</f>
        <v/>
      </c>
      <c r="AN814" s="183" t="str">
        <f>IFERROR(__xludf.DUMMYFUNCTION("QUERY('Volunteer Survey'!O813)"),"")</f>
        <v/>
      </c>
      <c r="AO814" s="183" t="str">
        <f>IFERROR(__xludf.DUMMYFUNCTION("QUERY('Volunteer Survey'!P813)"),"")</f>
        <v/>
      </c>
    </row>
    <row r="815">
      <c r="A815" s="55"/>
      <c r="B815" s="55"/>
      <c r="C815" s="53"/>
      <c r="D815" s="55"/>
      <c r="E815" s="55"/>
      <c r="F815" s="55" t="b">
        <v>0</v>
      </c>
      <c r="G815" s="55"/>
      <c r="H815" s="53"/>
      <c r="I815" s="53"/>
      <c r="J815" s="55"/>
      <c r="K815" s="55"/>
      <c r="L815" s="55"/>
      <c r="M815" s="55"/>
      <c r="N815" s="55"/>
      <c r="O815" s="55" t="b">
        <v>0</v>
      </c>
      <c r="P815" s="55"/>
      <c r="Q815" s="55"/>
      <c r="R815" s="55"/>
      <c r="S815" s="55"/>
      <c r="T815" s="55"/>
      <c r="U815" s="64"/>
      <c r="V815" s="55"/>
      <c r="W815" s="64"/>
      <c r="X815" s="55"/>
      <c r="Y815" s="53"/>
      <c r="Z815" s="183" t="str">
        <f>IFERROR(__xludf.DUMMYFUNCTION("QUERY('Volunteer Survey'!A814)"),"")</f>
        <v/>
      </c>
      <c r="AA815" s="183" t="str">
        <f>IFERROR(__xludf.DUMMYFUNCTION("QUERY('Volunteer Survey'!B814)"),"")</f>
        <v/>
      </c>
      <c r="AB815" s="183" t="str">
        <f>IFERROR(__xludf.DUMMYFUNCTION("QUERY('Volunteer Survey'!C814)"),"")</f>
        <v/>
      </c>
      <c r="AC815" s="183" t="str">
        <f>IFERROR(__xludf.DUMMYFUNCTION("QUERY('Volunteer Survey'!D814)"),"")</f>
        <v/>
      </c>
      <c r="AD815" s="183" t="str">
        <f>IFERROR(__xludf.DUMMYFUNCTION("QUERY('Volunteer Survey'!E814)"),"")</f>
        <v/>
      </c>
      <c r="AE815" s="183" t="str">
        <f>IFERROR(__xludf.DUMMYFUNCTION("QUERY('Volunteer Survey'!F814)"),"")</f>
        <v/>
      </c>
      <c r="AF815" s="183" t="str">
        <f>IFERROR(__xludf.DUMMYFUNCTION("QUERY('Volunteer Survey'!G814)"),"")</f>
        <v/>
      </c>
      <c r="AG815" s="183" t="str">
        <f>IFERROR(__xludf.DUMMYFUNCTION("QUERY('Volunteer Survey'!H814)"),"")</f>
        <v/>
      </c>
      <c r="AH815" s="183" t="str">
        <f>IFERROR(__xludf.DUMMYFUNCTION("QUERY('Volunteer Survey'!I814)"),"")</f>
        <v/>
      </c>
      <c r="AI815" s="183" t="str">
        <f>IFERROR(__xludf.DUMMYFUNCTION("QUERY('Volunteer Survey'!J814)"),"")</f>
        <v/>
      </c>
      <c r="AJ815" s="183" t="str">
        <f>IFERROR(__xludf.DUMMYFUNCTION("QUERY('Volunteer Survey'!K814)"),"")</f>
        <v/>
      </c>
      <c r="AK815" s="183" t="str">
        <f>IFERROR(__xludf.DUMMYFUNCTION("QUERY('Volunteer Survey'!L814)"),"")</f>
        <v/>
      </c>
      <c r="AL815" s="183" t="str">
        <f>IFERROR(__xludf.DUMMYFUNCTION("QUERY('Volunteer Survey'!M814)"),"")</f>
        <v/>
      </c>
      <c r="AM815" s="183" t="str">
        <f>IFERROR(__xludf.DUMMYFUNCTION("QUERY('Volunteer Survey'!N814)"),"")</f>
        <v/>
      </c>
      <c r="AN815" s="183" t="str">
        <f>IFERROR(__xludf.DUMMYFUNCTION("QUERY('Volunteer Survey'!O814)"),"")</f>
        <v/>
      </c>
      <c r="AO815" s="183" t="str">
        <f>IFERROR(__xludf.DUMMYFUNCTION("QUERY('Volunteer Survey'!P814)"),"")</f>
        <v/>
      </c>
    </row>
    <row r="816">
      <c r="A816" s="55"/>
      <c r="B816" s="55"/>
      <c r="C816" s="53"/>
      <c r="D816" s="55"/>
      <c r="E816" s="55"/>
      <c r="F816" s="55" t="b">
        <v>0</v>
      </c>
      <c r="G816" s="55"/>
      <c r="H816" s="53"/>
      <c r="I816" s="53"/>
      <c r="J816" s="55"/>
      <c r="K816" s="55"/>
      <c r="L816" s="55"/>
      <c r="M816" s="55"/>
      <c r="N816" s="55"/>
      <c r="O816" s="55" t="b">
        <v>0</v>
      </c>
      <c r="P816" s="55"/>
      <c r="Q816" s="55"/>
      <c r="R816" s="55"/>
      <c r="S816" s="55"/>
      <c r="T816" s="55"/>
      <c r="U816" s="64"/>
      <c r="V816" s="55"/>
      <c r="W816" s="64"/>
      <c r="X816" s="55"/>
      <c r="Y816" s="53"/>
      <c r="Z816" s="183" t="str">
        <f>IFERROR(__xludf.DUMMYFUNCTION("QUERY('Volunteer Survey'!A815)"),"")</f>
        <v/>
      </c>
      <c r="AA816" s="183" t="str">
        <f>IFERROR(__xludf.DUMMYFUNCTION("QUERY('Volunteer Survey'!B815)"),"")</f>
        <v/>
      </c>
      <c r="AB816" s="183" t="str">
        <f>IFERROR(__xludf.DUMMYFUNCTION("QUERY('Volunteer Survey'!C815)"),"")</f>
        <v/>
      </c>
      <c r="AC816" s="183" t="str">
        <f>IFERROR(__xludf.DUMMYFUNCTION("QUERY('Volunteer Survey'!D815)"),"")</f>
        <v/>
      </c>
      <c r="AD816" s="183" t="str">
        <f>IFERROR(__xludf.DUMMYFUNCTION("QUERY('Volunteer Survey'!E815)"),"")</f>
        <v/>
      </c>
      <c r="AE816" s="183" t="str">
        <f>IFERROR(__xludf.DUMMYFUNCTION("QUERY('Volunteer Survey'!F815)"),"")</f>
        <v/>
      </c>
      <c r="AF816" s="183" t="str">
        <f>IFERROR(__xludf.DUMMYFUNCTION("QUERY('Volunteer Survey'!G815)"),"")</f>
        <v/>
      </c>
      <c r="AG816" s="183" t="str">
        <f>IFERROR(__xludf.DUMMYFUNCTION("QUERY('Volunteer Survey'!H815)"),"")</f>
        <v/>
      </c>
      <c r="AH816" s="183" t="str">
        <f>IFERROR(__xludf.DUMMYFUNCTION("QUERY('Volunteer Survey'!I815)"),"")</f>
        <v/>
      </c>
      <c r="AI816" s="183" t="str">
        <f>IFERROR(__xludf.DUMMYFUNCTION("QUERY('Volunteer Survey'!J815)"),"")</f>
        <v/>
      </c>
      <c r="AJ816" s="183" t="str">
        <f>IFERROR(__xludf.DUMMYFUNCTION("QUERY('Volunteer Survey'!K815)"),"")</f>
        <v/>
      </c>
      <c r="AK816" s="183" t="str">
        <f>IFERROR(__xludf.DUMMYFUNCTION("QUERY('Volunteer Survey'!L815)"),"")</f>
        <v/>
      </c>
      <c r="AL816" s="183" t="str">
        <f>IFERROR(__xludf.DUMMYFUNCTION("QUERY('Volunteer Survey'!M815)"),"")</f>
        <v/>
      </c>
      <c r="AM816" s="183" t="str">
        <f>IFERROR(__xludf.DUMMYFUNCTION("QUERY('Volunteer Survey'!N815)"),"")</f>
        <v/>
      </c>
      <c r="AN816" s="183" t="str">
        <f>IFERROR(__xludf.DUMMYFUNCTION("QUERY('Volunteer Survey'!O815)"),"")</f>
        <v/>
      </c>
      <c r="AO816" s="183" t="str">
        <f>IFERROR(__xludf.DUMMYFUNCTION("QUERY('Volunteer Survey'!P815)"),"")</f>
        <v/>
      </c>
    </row>
    <row r="817">
      <c r="A817" s="55"/>
      <c r="B817" s="55"/>
      <c r="C817" s="53"/>
      <c r="D817" s="55"/>
      <c r="E817" s="55"/>
      <c r="F817" s="55" t="b">
        <v>0</v>
      </c>
      <c r="G817" s="55"/>
      <c r="H817" s="53"/>
      <c r="I817" s="53"/>
      <c r="J817" s="55"/>
      <c r="K817" s="55"/>
      <c r="L817" s="55"/>
      <c r="M817" s="55"/>
      <c r="N817" s="55"/>
      <c r="O817" s="55" t="b">
        <v>0</v>
      </c>
      <c r="P817" s="55"/>
      <c r="Q817" s="55"/>
      <c r="R817" s="55"/>
      <c r="S817" s="55"/>
      <c r="T817" s="55"/>
      <c r="U817" s="64"/>
      <c r="V817" s="55"/>
      <c r="W817" s="64"/>
      <c r="X817" s="55"/>
      <c r="Y817" s="53"/>
      <c r="Z817" s="183" t="str">
        <f>IFERROR(__xludf.DUMMYFUNCTION("QUERY('Volunteer Survey'!A816)"),"")</f>
        <v/>
      </c>
      <c r="AA817" s="183" t="str">
        <f>IFERROR(__xludf.DUMMYFUNCTION("QUERY('Volunteer Survey'!B816)"),"")</f>
        <v/>
      </c>
      <c r="AB817" s="183" t="str">
        <f>IFERROR(__xludf.DUMMYFUNCTION("QUERY('Volunteer Survey'!C816)"),"")</f>
        <v/>
      </c>
      <c r="AC817" s="183" t="str">
        <f>IFERROR(__xludf.DUMMYFUNCTION("QUERY('Volunteer Survey'!D816)"),"")</f>
        <v/>
      </c>
      <c r="AD817" s="183" t="str">
        <f>IFERROR(__xludf.DUMMYFUNCTION("QUERY('Volunteer Survey'!E816)"),"")</f>
        <v/>
      </c>
      <c r="AE817" s="183" t="str">
        <f>IFERROR(__xludf.DUMMYFUNCTION("QUERY('Volunteer Survey'!F816)"),"")</f>
        <v/>
      </c>
      <c r="AF817" s="183" t="str">
        <f>IFERROR(__xludf.DUMMYFUNCTION("QUERY('Volunteer Survey'!G816)"),"")</f>
        <v/>
      </c>
      <c r="AG817" s="183" t="str">
        <f>IFERROR(__xludf.DUMMYFUNCTION("QUERY('Volunteer Survey'!H816)"),"")</f>
        <v/>
      </c>
      <c r="AH817" s="183" t="str">
        <f>IFERROR(__xludf.DUMMYFUNCTION("QUERY('Volunteer Survey'!I816)"),"")</f>
        <v/>
      </c>
      <c r="AI817" s="183" t="str">
        <f>IFERROR(__xludf.DUMMYFUNCTION("QUERY('Volunteer Survey'!J816)"),"")</f>
        <v/>
      </c>
      <c r="AJ817" s="183" t="str">
        <f>IFERROR(__xludf.DUMMYFUNCTION("QUERY('Volunteer Survey'!K816)"),"")</f>
        <v/>
      </c>
      <c r="AK817" s="183" t="str">
        <f>IFERROR(__xludf.DUMMYFUNCTION("QUERY('Volunteer Survey'!L816)"),"")</f>
        <v/>
      </c>
      <c r="AL817" s="183" t="str">
        <f>IFERROR(__xludf.DUMMYFUNCTION("QUERY('Volunteer Survey'!M816)"),"")</f>
        <v/>
      </c>
      <c r="AM817" s="183" t="str">
        <f>IFERROR(__xludf.DUMMYFUNCTION("QUERY('Volunteer Survey'!N816)"),"")</f>
        <v/>
      </c>
      <c r="AN817" s="183" t="str">
        <f>IFERROR(__xludf.DUMMYFUNCTION("QUERY('Volunteer Survey'!O816)"),"")</f>
        <v/>
      </c>
      <c r="AO817" s="183" t="str">
        <f>IFERROR(__xludf.DUMMYFUNCTION("QUERY('Volunteer Survey'!P816)"),"")</f>
        <v/>
      </c>
    </row>
    <row r="818">
      <c r="A818" s="55"/>
      <c r="B818" s="55"/>
      <c r="C818" s="53"/>
      <c r="D818" s="55"/>
      <c r="E818" s="55"/>
      <c r="F818" s="55" t="b">
        <v>0</v>
      </c>
      <c r="G818" s="55"/>
      <c r="H818" s="53"/>
      <c r="I818" s="53"/>
      <c r="J818" s="55"/>
      <c r="K818" s="55"/>
      <c r="L818" s="55"/>
      <c r="M818" s="55"/>
      <c r="N818" s="55"/>
      <c r="O818" s="55" t="b">
        <v>0</v>
      </c>
      <c r="P818" s="55"/>
      <c r="Q818" s="55"/>
      <c r="R818" s="55"/>
      <c r="S818" s="55"/>
      <c r="T818" s="55"/>
      <c r="U818" s="64"/>
      <c r="V818" s="55"/>
      <c r="W818" s="64"/>
      <c r="X818" s="55"/>
      <c r="Y818" s="53"/>
      <c r="Z818" s="183" t="str">
        <f>IFERROR(__xludf.DUMMYFUNCTION("QUERY('Volunteer Survey'!A817)"),"")</f>
        <v/>
      </c>
      <c r="AA818" s="183" t="str">
        <f>IFERROR(__xludf.DUMMYFUNCTION("QUERY('Volunteer Survey'!B817)"),"")</f>
        <v/>
      </c>
      <c r="AB818" s="183" t="str">
        <f>IFERROR(__xludf.DUMMYFUNCTION("QUERY('Volunteer Survey'!C817)"),"")</f>
        <v/>
      </c>
      <c r="AC818" s="183" t="str">
        <f>IFERROR(__xludf.DUMMYFUNCTION("QUERY('Volunteer Survey'!D817)"),"")</f>
        <v/>
      </c>
      <c r="AD818" s="183" t="str">
        <f>IFERROR(__xludf.DUMMYFUNCTION("QUERY('Volunteer Survey'!E817)"),"")</f>
        <v/>
      </c>
      <c r="AE818" s="183" t="str">
        <f>IFERROR(__xludf.DUMMYFUNCTION("QUERY('Volunteer Survey'!F817)"),"")</f>
        <v/>
      </c>
      <c r="AF818" s="183" t="str">
        <f>IFERROR(__xludf.DUMMYFUNCTION("QUERY('Volunteer Survey'!G817)"),"")</f>
        <v/>
      </c>
      <c r="AG818" s="183" t="str">
        <f>IFERROR(__xludf.DUMMYFUNCTION("QUERY('Volunteer Survey'!H817)"),"")</f>
        <v/>
      </c>
      <c r="AH818" s="183" t="str">
        <f>IFERROR(__xludf.DUMMYFUNCTION("QUERY('Volunteer Survey'!I817)"),"")</f>
        <v/>
      </c>
      <c r="AI818" s="183" t="str">
        <f>IFERROR(__xludf.DUMMYFUNCTION("QUERY('Volunteer Survey'!J817)"),"")</f>
        <v/>
      </c>
      <c r="AJ818" s="183" t="str">
        <f>IFERROR(__xludf.DUMMYFUNCTION("QUERY('Volunteer Survey'!K817)"),"")</f>
        <v/>
      </c>
      <c r="AK818" s="183" t="str">
        <f>IFERROR(__xludf.DUMMYFUNCTION("QUERY('Volunteer Survey'!L817)"),"")</f>
        <v/>
      </c>
      <c r="AL818" s="183" t="str">
        <f>IFERROR(__xludf.DUMMYFUNCTION("QUERY('Volunteer Survey'!M817)"),"")</f>
        <v/>
      </c>
      <c r="AM818" s="183" t="str">
        <f>IFERROR(__xludf.DUMMYFUNCTION("QUERY('Volunteer Survey'!N817)"),"")</f>
        <v/>
      </c>
      <c r="AN818" s="183" t="str">
        <f>IFERROR(__xludf.DUMMYFUNCTION("QUERY('Volunteer Survey'!O817)"),"")</f>
        <v/>
      </c>
      <c r="AO818" s="183" t="str">
        <f>IFERROR(__xludf.DUMMYFUNCTION("QUERY('Volunteer Survey'!P817)"),"")</f>
        <v/>
      </c>
    </row>
    <row r="819">
      <c r="A819" s="55"/>
      <c r="B819" s="55"/>
      <c r="C819" s="53"/>
      <c r="D819" s="55"/>
      <c r="E819" s="55"/>
      <c r="F819" s="55" t="b">
        <v>0</v>
      </c>
      <c r="G819" s="55"/>
      <c r="H819" s="53"/>
      <c r="I819" s="53"/>
      <c r="J819" s="55"/>
      <c r="K819" s="55"/>
      <c r="L819" s="55"/>
      <c r="M819" s="55"/>
      <c r="N819" s="55"/>
      <c r="O819" s="55" t="b">
        <v>0</v>
      </c>
      <c r="P819" s="55"/>
      <c r="Q819" s="55"/>
      <c r="R819" s="55"/>
      <c r="S819" s="55"/>
      <c r="T819" s="55"/>
      <c r="U819" s="64"/>
      <c r="V819" s="55"/>
      <c r="W819" s="64"/>
      <c r="X819" s="55"/>
      <c r="Y819" s="53"/>
      <c r="Z819" s="183" t="str">
        <f>IFERROR(__xludf.DUMMYFUNCTION("QUERY('Volunteer Survey'!A818)"),"")</f>
        <v/>
      </c>
      <c r="AA819" s="183" t="str">
        <f>IFERROR(__xludf.DUMMYFUNCTION("QUERY('Volunteer Survey'!B818)"),"")</f>
        <v/>
      </c>
      <c r="AB819" s="183" t="str">
        <f>IFERROR(__xludf.DUMMYFUNCTION("QUERY('Volunteer Survey'!C818)"),"")</f>
        <v/>
      </c>
      <c r="AC819" s="183" t="str">
        <f>IFERROR(__xludf.DUMMYFUNCTION("QUERY('Volunteer Survey'!D818)"),"")</f>
        <v/>
      </c>
      <c r="AD819" s="183" t="str">
        <f>IFERROR(__xludf.DUMMYFUNCTION("QUERY('Volunteer Survey'!E818)"),"")</f>
        <v/>
      </c>
      <c r="AE819" s="183" t="str">
        <f>IFERROR(__xludf.DUMMYFUNCTION("QUERY('Volunteer Survey'!F818)"),"")</f>
        <v/>
      </c>
      <c r="AF819" s="183" t="str">
        <f>IFERROR(__xludf.DUMMYFUNCTION("QUERY('Volunteer Survey'!G818)"),"")</f>
        <v/>
      </c>
      <c r="AG819" s="183" t="str">
        <f>IFERROR(__xludf.DUMMYFUNCTION("QUERY('Volunteer Survey'!H818)"),"")</f>
        <v/>
      </c>
      <c r="AH819" s="183" t="str">
        <f>IFERROR(__xludf.DUMMYFUNCTION("QUERY('Volunteer Survey'!I818)"),"")</f>
        <v/>
      </c>
      <c r="AI819" s="183" t="str">
        <f>IFERROR(__xludf.DUMMYFUNCTION("QUERY('Volunteer Survey'!J818)"),"")</f>
        <v/>
      </c>
      <c r="AJ819" s="183" t="str">
        <f>IFERROR(__xludf.DUMMYFUNCTION("QUERY('Volunteer Survey'!K818)"),"")</f>
        <v/>
      </c>
      <c r="AK819" s="183" t="str">
        <f>IFERROR(__xludf.DUMMYFUNCTION("QUERY('Volunteer Survey'!L818)"),"")</f>
        <v/>
      </c>
      <c r="AL819" s="183" t="str">
        <f>IFERROR(__xludf.DUMMYFUNCTION("QUERY('Volunteer Survey'!M818)"),"")</f>
        <v/>
      </c>
      <c r="AM819" s="183" t="str">
        <f>IFERROR(__xludf.DUMMYFUNCTION("QUERY('Volunteer Survey'!N818)"),"")</f>
        <v/>
      </c>
      <c r="AN819" s="183" t="str">
        <f>IFERROR(__xludf.DUMMYFUNCTION("QUERY('Volunteer Survey'!O818)"),"")</f>
        <v/>
      </c>
      <c r="AO819" s="183" t="str">
        <f>IFERROR(__xludf.DUMMYFUNCTION("QUERY('Volunteer Survey'!P818)"),"")</f>
        <v/>
      </c>
    </row>
    <row r="820">
      <c r="A820" s="55"/>
      <c r="B820" s="55"/>
      <c r="C820" s="53"/>
      <c r="D820" s="55"/>
      <c r="E820" s="55"/>
      <c r="F820" s="55" t="b">
        <v>0</v>
      </c>
      <c r="G820" s="55"/>
      <c r="H820" s="53"/>
      <c r="I820" s="53"/>
      <c r="J820" s="55"/>
      <c r="K820" s="55"/>
      <c r="L820" s="55"/>
      <c r="M820" s="55"/>
      <c r="N820" s="55"/>
      <c r="O820" s="55" t="b">
        <v>0</v>
      </c>
      <c r="P820" s="55"/>
      <c r="Q820" s="55"/>
      <c r="R820" s="55"/>
      <c r="S820" s="55"/>
      <c r="T820" s="55"/>
      <c r="U820" s="64"/>
      <c r="V820" s="55"/>
      <c r="W820" s="64"/>
      <c r="X820" s="55"/>
      <c r="Y820" s="53"/>
      <c r="Z820" s="183" t="str">
        <f>IFERROR(__xludf.DUMMYFUNCTION("QUERY('Volunteer Survey'!A819)"),"")</f>
        <v/>
      </c>
      <c r="AA820" s="183" t="str">
        <f>IFERROR(__xludf.DUMMYFUNCTION("QUERY('Volunteer Survey'!B819)"),"")</f>
        <v/>
      </c>
      <c r="AB820" s="183" t="str">
        <f>IFERROR(__xludf.DUMMYFUNCTION("QUERY('Volunteer Survey'!C819)"),"")</f>
        <v/>
      </c>
      <c r="AC820" s="183" t="str">
        <f>IFERROR(__xludf.DUMMYFUNCTION("QUERY('Volunteer Survey'!D819)"),"")</f>
        <v/>
      </c>
      <c r="AD820" s="183" t="str">
        <f>IFERROR(__xludf.DUMMYFUNCTION("QUERY('Volunteer Survey'!E819)"),"")</f>
        <v/>
      </c>
      <c r="AE820" s="183" t="str">
        <f>IFERROR(__xludf.DUMMYFUNCTION("QUERY('Volunteer Survey'!F819)"),"")</f>
        <v/>
      </c>
      <c r="AF820" s="183" t="str">
        <f>IFERROR(__xludf.DUMMYFUNCTION("QUERY('Volunteer Survey'!G819)"),"")</f>
        <v/>
      </c>
      <c r="AG820" s="183" t="str">
        <f>IFERROR(__xludf.DUMMYFUNCTION("QUERY('Volunteer Survey'!H819)"),"")</f>
        <v/>
      </c>
      <c r="AH820" s="183" t="str">
        <f>IFERROR(__xludf.DUMMYFUNCTION("QUERY('Volunteer Survey'!I819)"),"")</f>
        <v/>
      </c>
      <c r="AI820" s="183" t="str">
        <f>IFERROR(__xludf.DUMMYFUNCTION("QUERY('Volunteer Survey'!J819)"),"")</f>
        <v/>
      </c>
      <c r="AJ820" s="183" t="str">
        <f>IFERROR(__xludf.DUMMYFUNCTION("QUERY('Volunteer Survey'!K819)"),"")</f>
        <v/>
      </c>
      <c r="AK820" s="183" t="str">
        <f>IFERROR(__xludf.DUMMYFUNCTION("QUERY('Volunteer Survey'!L819)"),"")</f>
        <v/>
      </c>
      <c r="AL820" s="183" t="str">
        <f>IFERROR(__xludf.DUMMYFUNCTION("QUERY('Volunteer Survey'!M819)"),"")</f>
        <v/>
      </c>
      <c r="AM820" s="183" t="str">
        <f>IFERROR(__xludf.DUMMYFUNCTION("QUERY('Volunteer Survey'!N819)"),"")</f>
        <v/>
      </c>
      <c r="AN820" s="183" t="str">
        <f>IFERROR(__xludf.DUMMYFUNCTION("QUERY('Volunteer Survey'!O819)"),"")</f>
        <v/>
      </c>
      <c r="AO820" s="183" t="str">
        <f>IFERROR(__xludf.DUMMYFUNCTION("QUERY('Volunteer Survey'!P819)"),"")</f>
        <v/>
      </c>
    </row>
    <row r="821">
      <c r="A821" s="55"/>
      <c r="B821" s="55"/>
      <c r="C821" s="53"/>
      <c r="D821" s="55"/>
      <c r="E821" s="55"/>
      <c r="F821" s="55" t="b">
        <v>0</v>
      </c>
      <c r="G821" s="55"/>
      <c r="H821" s="53"/>
      <c r="I821" s="53"/>
      <c r="J821" s="55"/>
      <c r="K821" s="55"/>
      <c r="L821" s="55"/>
      <c r="M821" s="55"/>
      <c r="N821" s="55"/>
      <c r="O821" s="55" t="b">
        <v>0</v>
      </c>
      <c r="P821" s="55"/>
      <c r="Q821" s="55"/>
      <c r="R821" s="55"/>
      <c r="S821" s="55"/>
      <c r="T821" s="55"/>
      <c r="U821" s="64"/>
      <c r="V821" s="55"/>
      <c r="W821" s="64"/>
      <c r="X821" s="55"/>
      <c r="Y821" s="53"/>
      <c r="Z821" s="183" t="str">
        <f>IFERROR(__xludf.DUMMYFUNCTION("QUERY('Volunteer Survey'!A820)"),"")</f>
        <v/>
      </c>
      <c r="AA821" s="183" t="str">
        <f>IFERROR(__xludf.DUMMYFUNCTION("QUERY('Volunteer Survey'!B820)"),"")</f>
        <v/>
      </c>
      <c r="AB821" s="183" t="str">
        <f>IFERROR(__xludf.DUMMYFUNCTION("QUERY('Volunteer Survey'!C820)"),"")</f>
        <v/>
      </c>
      <c r="AC821" s="183" t="str">
        <f>IFERROR(__xludf.DUMMYFUNCTION("QUERY('Volunteer Survey'!D820)"),"")</f>
        <v/>
      </c>
      <c r="AD821" s="183" t="str">
        <f>IFERROR(__xludf.DUMMYFUNCTION("QUERY('Volunteer Survey'!E820)"),"")</f>
        <v/>
      </c>
      <c r="AE821" s="183" t="str">
        <f>IFERROR(__xludf.DUMMYFUNCTION("QUERY('Volunteer Survey'!F820)"),"")</f>
        <v/>
      </c>
      <c r="AF821" s="183" t="str">
        <f>IFERROR(__xludf.DUMMYFUNCTION("QUERY('Volunteer Survey'!G820)"),"")</f>
        <v/>
      </c>
      <c r="AG821" s="183" t="str">
        <f>IFERROR(__xludf.DUMMYFUNCTION("QUERY('Volunteer Survey'!H820)"),"")</f>
        <v/>
      </c>
      <c r="AH821" s="183" t="str">
        <f>IFERROR(__xludf.DUMMYFUNCTION("QUERY('Volunteer Survey'!I820)"),"")</f>
        <v/>
      </c>
      <c r="AI821" s="183" t="str">
        <f>IFERROR(__xludf.DUMMYFUNCTION("QUERY('Volunteer Survey'!J820)"),"")</f>
        <v/>
      </c>
      <c r="AJ821" s="183" t="str">
        <f>IFERROR(__xludf.DUMMYFUNCTION("QUERY('Volunteer Survey'!K820)"),"")</f>
        <v/>
      </c>
      <c r="AK821" s="183" t="str">
        <f>IFERROR(__xludf.DUMMYFUNCTION("QUERY('Volunteer Survey'!L820)"),"")</f>
        <v/>
      </c>
      <c r="AL821" s="183" t="str">
        <f>IFERROR(__xludf.DUMMYFUNCTION("QUERY('Volunteer Survey'!M820)"),"")</f>
        <v/>
      </c>
      <c r="AM821" s="183" t="str">
        <f>IFERROR(__xludf.DUMMYFUNCTION("QUERY('Volunteer Survey'!N820)"),"")</f>
        <v/>
      </c>
      <c r="AN821" s="183" t="str">
        <f>IFERROR(__xludf.DUMMYFUNCTION("QUERY('Volunteer Survey'!O820)"),"")</f>
        <v/>
      </c>
      <c r="AO821" s="183" t="str">
        <f>IFERROR(__xludf.DUMMYFUNCTION("QUERY('Volunteer Survey'!P820)"),"")</f>
        <v/>
      </c>
    </row>
    <row r="822">
      <c r="A822" s="55"/>
      <c r="B822" s="55"/>
      <c r="C822" s="53"/>
      <c r="D822" s="55"/>
      <c r="E822" s="55"/>
      <c r="F822" s="55" t="b">
        <v>0</v>
      </c>
      <c r="G822" s="55"/>
      <c r="H822" s="53"/>
      <c r="I822" s="53"/>
      <c r="J822" s="55"/>
      <c r="K822" s="55"/>
      <c r="L822" s="55"/>
      <c r="M822" s="55"/>
      <c r="N822" s="55"/>
      <c r="O822" s="55" t="b">
        <v>0</v>
      </c>
      <c r="P822" s="55"/>
      <c r="Q822" s="55"/>
      <c r="R822" s="55"/>
      <c r="S822" s="55"/>
      <c r="T822" s="55"/>
      <c r="U822" s="64"/>
      <c r="V822" s="55"/>
      <c r="W822" s="64"/>
      <c r="X822" s="55"/>
      <c r="Y822" s="53"/>
      <c r="Z822" s="183" t="str">
        <f>IFERROR(__xludf.DUMMYFUNCTION("QUERY('Volunteer Survey'!A821)"),"")</f>
        <v/>
      </c>
      <c r="AA822" s="183" t="str">
        <f>IFERROR(__xludf.DUMMYFUNCTION("QUERY('Volunteer Survey'!B821)"),"")</f>
        <v/>
      </c>
      <c r="AB822" s="183" t="str">
        <f>IFERROR(__xludf.DUMMYFUNCTION("QUERY('Volunteer Survey'!C821)"),"")</f>
        <v/>
      </c>
      <c r="AC822" s="183" t="str">
        <f>IFERROR(__xludf.DUMMYFUNCTION("QUERY('Volunteer Survey'!D821)"),"")</f>
        <v/>
      </c>
      <c r="AD822" s="183" t="str">
        <f>IFERROR(__xludf.DUMMYFUNCTION("QUERY('Volunteer Survey'!E821)"),"")</f>
        <v/>
      </c>
      <c r="AE822" s="183" t="str">
        <f>IFERROR(__xludf.DUMMYFUNCTION("QUERY('Volunteer Survey'!F821)"),"")</f>
        <v/>
      </c>
      <c r="AF822" s="183" t="str">
        <f>IFERROR(__xludf.DUMMYFUNCTION("QUERY('Volunteer Survey'!G821)"),"")</f>
        <v/>
      </c>
      <c r="AG822" s="183" t="str">
        <f>IFERROR(__xludf.DUMMYFUNCTION("QUERY('Volunteer Survey'!H821)"),"")</f>
        <v/>
      </c>
      <c r="AH822" s="183" t="str">
        <f>IFERROR(__xludf.DUMMYFUNCTION("QUERY('Volunteer Survey'!I821)"),"")</f>
        <v/>
      </c>
      <c r="AI822" s="183" t="str">
        <f>IFERROR(__xludf.DUMMYFUNCTION("QUERY('Volunteer Survey'!J821)"),"")</f>
        <v/>
      </c>
      <c r="AJ822" s="183" t="str">
        <f>IFERROR(__xludf.DUMMYFUNCTION("QUERY('Volunteer Survey'!K821)"),"")</f>
        <v/>
      </c>
      <c r="AK822" s="183" t="str">
        <f>IFERROR(__xludf.DUMMYFUNCTION("QUERY('Volunteer Survey'!L821)"),"")</f>
        <v/>
      </c>
      <c r="AL822" s="183" t="str">
        <f>IFERROR(__xludf.DUMMYFUNCTION("QUERY('Volunteer Survey'!M821)"),"")</f>
        <v/>
      </c>
      <c r="AM822" s="183" t="str">
        <f>IFERROR(__xludf.DUMMYFUNCTION("QUERY('Volunteer Survey'!N821)"),"")</f>
        <v/>
      </c>
      <c r="AN822" s="183" t="str">
        <f>IFERROR(__xludf.DUMMYFUNCTION("QUERY('Volunteer Survey'!O821)"),"")</f>
        <v/>
      </c>
      <c r="AO822" s="183" t="str">
        <f>IFERROR(__xludf.DUMMYFUNCTION("QUERY('Volunteer Survey'!P821)"),"")</f>
        <v/>
      </c>
    </row>
    <row r="823">
      <c r="A823" s="55"/>
      <c r="B823" s="55"/>
      <c r="C823" s="53"/>
      <c r="D823" s="55"/>
      <c r="E823" s="55"/>
      <c r="F823" s="55" t="b">
        <v>0</v>
      </c>
      <c r="G823" s="55"/>
      <c r="H823" s="53"/>
      <c r="I823" s="53"/>
      <c r="J823" s="55"/>
      <c r="K823" s="55"/>
      <c r="L823" s="55"/>
      <c r="M823" s="55"/>
      <c r="N823" s="55"/>
      <c r="O823" s="55" t="b">
        <v>0</v>
      </c>
      <c r="P823" s="55"/>
      <c r="Q823" s="55"/>
      <c r="R823" s="55"/>
      <c r="S823" s="55"/>
      <c r="T823" s="55"/>
      <c r="U823" s="64"/>
      <c r="V823" s="55"/>
      <c r="W823" s="64"/>
      <c r="X823" s="55"/>
      <c r="Y823" s="53"/>
      <c r="Z823" s="183" t="str">
        <f>IFERROR(__xludf.DUMMYFUNCTION("QUERY('Volunteer Survey'!A822)"),"")</f>
        <v/>
      </c>
      <c r="AA823" s="183" t="str">
        <f>IFERROR(__xludf.DUMMYFUNCTION("QUERY('Volunteer Survey'!B822)"),"")</f>
        <v/>
      </c>
      <c r="AB823" s="183" t="str">
        <f>IFERROR(__xludf.DUMMYFUNCTION("QUERY('Volunteer Survey'!C822)"),"")</f>
        <v/>
      </c>
      <c r="AC823" s="183" t="str">
        <f>IFERROR(__xludf.DUMMYFUNCTION("QUERY('Volunteer Survey'!D822)"),"")</f>
        <v/>
      </c>
      <c r="AD823" s="183" t="str">
        <f>IFERROR(__xludf.DUMMYFUNCTION("QUERY('Volunteer Survey'!E822)"),"")</f>
        <v/>
      </c>
      <c r="AE823" s="183" t="str">
        <f>IFERROR(__xludf.DUMMYFUNCTION("QUERY('Volunteer Survey'!F822)"),"")</f>
        <v/>
      </c>
      <c r="AF823" s="183" t="str">
        <f>IFERROR(__xludf.DUMMYFUNCTION("QUERY('Volunteer Survey'!G822)"),"")</f>
        <v/>
      </c>
      <c r="AG823" s="183" t="str">
        <f>IFERROR(__xludf.DUMMYFUNCTION("QUERY('Volunteer Survey'!H822)"),"")</f>
        <v/>
      </c>
      <c r="AH823" s="183" t="str">
        <f>IFERROR(__xludf.DUMMYFUNCTION("QUERY('Volunteer Survey'!I822)"),"")</f>
        <v/>
      </c>
      <c r="AI823" s="183" t="str">
        <f>IFERROR(__xludf.DUMMYFUNCTION("QUERY('Volunteer Survey'!J822)"),"")</f>
        <v/>
      </c>
      <c r="AJ823" s="183" t="str">
        <f>IFERROR(__xludf.DUMMYFUNCTION("QUERY('Volunteer Survey'!K822)"),"")</f>
        <v/>
      </c>
      <c r="AK823" s="183" t="str">
        <f>IFERROR(__xludf.DUMMYFUNCTION("QUERY('Volunteer Survey'!L822)"),"")</f>
        <v/>
      </c>
      <c r="AL823" s="183" t="str">
        <f>IFERROR(__xludf.DUMMYFUNCTION("QUERY('Volunteer Survey'!M822)"),"")</f>
        <v/>
      </c>
      <c r="AM823" s="183" t="str">
        <f>IFERROR(__xludf.DUMMYFUNCTION("QUERY('Volunteer Survey'!N822)"),"")</f>
        <v/>
      </c>
      <c r="AN823" s="183" t="str">
        <f>IFERROR(__xludf.DUMMYFUNCTION("QUERY('Volunteer Survey'!O822)"),"")</f>
        <v/>
      </c>
      <c r="AO823" s="183" t="str">
        <f>IFERROR(__xludf.DUMMYFUNCTION("QUERY('Volunteer Survey'!P822)"),"")</f>
        <v/>
      </c>
    </row>
    <row r="824">
      <c r="A824" s="55"/>
      <c r="B824" s="55"/>
      <c r="C824" s="53"/>
      <c r="D824" s="55"/>
      <c r="E824" s="55"/>
      <c r="F824" s="55" t="b">
        <v>0</v>
      </c>
      <c r="G824" s="55"/>
      <c r="H824" s="53"/>
      <c r="I824" s="53"/>
      <c r="J824" s="55"/>
      <c r="K824" s="55"/>
      <c r="L824" s="55"/>
      <c r="M824" s="55"/>
      <c r="N824" s="55"/>
      <c r="O824" s="55" t="b">
        <v>0</v>
      </c>
      <c r="P824" s="55"/>
      <c r="Q824" s="55"/>
      <c r="R824" s="55"/>
      <c r="S824" s="55"/>
      <c r="T824" s="55"/>
      <c r="U824" s="64"/>
      <c r="V824" s="55"/>
      <c r="W824" s="64"/>
      <c r="X824" s="55"/>
      <c r="Y824" s="53"/>
      <c r="Z824" s="183" t="str">
        <f>IFERROR(__xludf.DUMMYFUNCTION("QUERY('Volunteer Survey'!A823)"),"")</f>
        <v/>
      </c>
      <c r="AA824" s="183" t="str">
        <f>IFERROR(__xludf.DUMMYFUNCTION("QUERY('Volunteer Survey'!B823)"),"")</f>
        <v/>
      </c>
      <c r="AB824" s="183" t="str">
        <f>IFERROR(__xludf.DUMMYFUNCTION("QUERY('Volunteer Survey'!C823)"),"")</f>
        <v/>
      </c>
      <c r="AC824" s="183" t="str">
        <f>IFERROR(__xludf.DUMMYFUNCTION("QUERY('Volunteer Survey'!D823)"),"")</f>
        <v/>
      </c>
      <c r="AD824" s="183" t="str">
        <f>IFERROR(__xludf.DUMMYFUNCTION("QUERY('Volunteer Survey'!E823)"),"")</f>
        <v/>
      </c>
      <c r="AE824" s="183" t="str">
        <f>IFERROR(__xludf.DUMMYFUNCTION("QUERY('Volunteer Survey'!F823)"),"")</f>
        <v/>
      </c>
      <c r="AF824" s="183" t="str">
        <f>IFERROR(__xludf.DUMMYFUNCTION("QUERY('Volunteer Survey'!G823)"),"")</f>
        <v/>
      </c>
      <c r="AG824" s="183" t="str">
        <f>IFERROR(__xludf.DUMMYFUNCTION("QUERY('Volunteer Survey'!H823)"),"")</f>
        <v/>
      </c>
      <c r="AH824" s="183" t="str">
        <f>IFERROR(__xludf.DUMMYFUNCTION("QUERY('Volunteer Survey'!I823)"),"")</f>
        <v/>
      </c>
      <c r="AI824" s="183" t="str">
        <f>IFERROR(__xludf.DUMMYFUNCTION("QUERY('Volunteer Survey'!J823)"),"")</f>
        <v/>
      </c>
      <c r="AJ824" s="183" t="str">
        <f>IFERROR(__xludf.DUMMYFUNCTION("QUERY('Volunteer Survey'!K823)"),"")</f>
        <v/>
      </c>
      <c r="AK824" s="183" t="str">
        <f>IFERROR(__xludf.DUMMYFUNCTION("QUERY('Volunteer Survey'!L823)"),"")</f>
        <v/>
      </c>
      <c r="AL824" s="183" t="str">
        <f>IFERROR(__xludf.DUMMYFUNCTION("QUERY('Volunteer Survey'!M823)"),"")</f>
        <v/>
      </c>
      <c r="AM824" s="183" t="str">
        <f>IFERROR(__xludf.DUMMYFUNCTION("QUERY('Volunteer Survey'!N823)"),"")</f>
        <v/>
      </c>
      <c r="AN824" s="183" t="str">
        <f>IFERROR(__xludf.DUMMYFUNCTION("QUERY('Volunteer Survey'!O823)"),"")</f>
        <v/>
      </c>
      <c r="AO824" s="183" t="str">
        <f>IFERROR(__xludf.DUMMYFUNCTION("QUERY('Volunteer Survey'!P823)"),"")</f>
        <v/>
      </c>
    </row>
    <row r="825">
      <c r="A825" s="55"/>
      <c r="B825" s="55"/>
      <c r="C825" s="53"/>
      <c r="D825" s="55"/>
      <c r="E825" s="55"/>
      <c r="F825" s="55" t="b">
        <v>0</v>
      </c>
      <c r="G825" s="55"/>
      <c r="H825" s="53"/>
      <c r="I825" s="53"/>
      <c r="J825" s="55"/>
      <c r="K825" s="55"/>
      <c r="L825" s="55"/>
      <c r="M825" s="55"/>
      <c r="N825" s="55"/>
      <c r="O825" s="55" t="b">
        <v>0</v>
      </c>
      <c r="P825" s="55"/>
      <c r="Q825" s="55"/>
      <c r="R825" s="55"/>
      <c r="S825" s="55"/>
      <c r="T825" s="55"/>
      <c r="U825" s="64"/>
      <c r="V825" s="55"/>
      <c r="W825" s="64"/>
      <c r="X825" s="55"/>
      <c r="Y825" s="53"/>
      <c r="Z825" s="183" t="str">
        <f>IFERROR(__xludf.DUMMYFUNCTION("QUERY('Volunteer Survey'!A824)"),"")</f>
        <v/>
      </c>
      <c r="AA825" s="183" t="str">
        <f>IFERROR(__xludf.DUMMYFUNCTION("QUERY('Volunteer Survey'!B824)"),"")</f>
        <v/>
      </c>
      <c r="AB825" s="183" t="str">
        <f>IFERROR(__xludf.DUMMYFUNCTION("QUERY('Volunteer Survey'!C824)"),"")</f>
        <v/>
      </c>
      <c r="AC825" s="183" t="str">
        <f>IFERROR(__xludf.DUMMYFUNCTION("QUERY('Volunteer Survey'!D824)"),"")</f>
        <v/>
      </c>
      <c r="AD825" s="183" t="str">
        <f>IFERROR(__xludf.DUMMYFUNCTION("QUERY('Volunteer Survey'!E824)"),"")</f>
        <v/>
      </c>
      <c r="AE825" s="183" t="str">
        <f>IFERROR(__xludf.DUMMYFUNCTION("QUERY('Volunteer Survey'!F824)"),"")</f>
        <v/>
      </c>
      <c r="AF825" s="183" t="str">
        <f>IFERROR(__xludf.DUMMYFUNCTION("QUERY('Volunteer Survey'!G824)"),"")</f>
        <v/>
      </c>
      <c r="AG825" s="183" t="str">
        <f>IFERROR(__xludf.DUMMYFUNCTION("QUERY('Volunteer Survey'!H824)"),"")</f>
        <v/>
      </c>
      <c r="AH825" s="183" t="str">
        <f>IFERROR(__xludf.DUMMYFUNCTION("QUERY('Volunteer Survey'!I824)"),"")</f>
        <v/>
      </c>
      <c r="AI825" s="183" t="str">
        <f>IFERROR(__xludf.DUMMYFUNCTION("QUERY('Volunteer Survey'!J824)"),"")</f>
        <v/>
      </c>
      <c r="AJ825" s="183" t="str">
        <f>IFERROR(__xludf.DUMMYFUNCTION("QUERY('Volunteer Survey'!K824)"),"")</f>
        <v/>
      </c>
      <c r="AK825" s="183" t="str">
        <f>IFERROR(__xludf.DUMMYFUNCTION("QUERY('Volunteer Survey'!L824)"),"")</f>
        <v/>
      </c>
      <c r="AL825" s="183" t="str">
        <f>IFERROR(__xludf.DUMMYFUNCTION("QUERY('Volunteer Survey'!M824)"),"")</f>
        <v/>
      </c>
      <c r="AM825" s="183" t="str">
        <f>IFERROR(__xludf.DUMMYFUNCTION("QUERY('Volunteer Survey'!N824)"),"")</f>
        <v/>
      </c>
      <c r="AN825" s="183" t="str">
        <f>IFERROR(__xludf.DUMMYFUNCTION("QUERY('Volunteer Survey'!O824)"),"")</f>
        <v/>
      </c>
      <c r="AO825" s="183" t="str">
        <f>IFERROR(__xludf.DUMMYFUNCTION("QUERY('Volunteer Survey'!P824)"),"")</f>
        <v/>
      </c>
    </row>
    <row r="826">
      <c r="A826" s="55"/>
      <c r="B826" s="55"/>
      <c r="C826" s="53"/>
      <c r="D826" s="55"/>
      <c r="E826" s="55"/>
      <c r="F826" s="55" t="b">
        <v>0</v>
      </c>
      <c r="G826" s="55"/>
      <c r="H826" s="53"/>
      <c r="I826" s="53"/>
      <c r="J826" s="55"/>
      <c r="K826" s="55"/>
      <c r="L826" s="55"/>
      <c r="M826" s="55"/>
      <c r="N826" s="55"/>
      <c r="O826" s="55" t="b">
        <v>0</v>
      </c>
      <c r="P826" s="55"/>
      <c r="Q826" s="55"/>
      <c r="R826" s="55"/>
      <c r="S826" s="55"/>
      <c r="T826" s="55"/>
      <c r="U826" s="64"/>
      <c r="V826" s="55"/>
      <c r="W826" s="64"/>
      <c r="X826" s="55"/>
      <c r="Y826" s="53"/>
      <c r="Z826" s="183" t="str">
        <f>IFERROR(__xludf.DUMMYFUNCTION("QUERY('Volunteer Survey'!A825)"),"")</f>
        <v/>
      </c>
      <c r="AA826" s="183" t="str">
        <f>IFERROR(__xludf.DUMMYFUNCTION("QUERY('Volunteer Survey'!B825)"),"")</f>
        <v/>
      </c>
      <c r="AB826" s="183" t="str">
        <f>IFERROR(__xludf.DUMMYFUNCTION("QUERY('Volunteer Survey'!C825)"),"")</f>
        <v/>
      </c>
      <c r="AC826" s="183" t="str">
        <f>IFERROR(__xludf.DUMMYFUNCTION("QUERY('Volunteer Survey'!D825)"),"")</f>
        <v/>
      </c>
      <c r="AD826" s="183" t="str">
        <f>IFERROR(__xludf.DUMMYFUNCTION("QUERY('Volunteer Survey'!E825)"),"")</f>
        <v/>
      </c>
      <c r="AE826" s="183" t="str">
        <f>IFERROR(__xludf.DUMMYFUNCTION("QUERY('Volunteer Survey'!F825)"),"")</f>
        <v/>
      </c>
      <c r="AF826" s="183" t="str">
        <f>IFERROR(__xludf.DUMMYFUNCTION("QUERY('Volunteer Survey'!G825)"),"")</f>
        <v/>
      </c>
      <c r="AG826" s="183" t="str">
        <f>IFERROR(__xludf.DUMMYFUNCTION("QUERY('Volunteer Survey'!H825)"),"")</f>
        <v/>
      </c>
      <c r="AH826" s="183" t="str">
        <f>IFERROR(__xludf.DUMMYFUNCTION("QUERY('Volunteer Survey'!I825)"),"")</f>
        <v/>
      </c>
      <c r="AI826" s="183" t="str">
        <f>IFERROR(__xludf.DUMMYFUNCTION("QUERY('Volunteer Survey'!J825)"),"")</f>
        <v/>
      </c>
      <c r="AJ826" s="183" t="str">
        <f>IFERROR(__xludf.DUMMYFUNCTION("QUERY('Volunteer Survey'!K825)"),"")</f>
        <v/>
      </c>
      <c r="AK826" s="183" t="str">
        <f>IFERROR(__xludf.DUMMYFUNCTION("QUERY('Volunteer Survey'!L825)"),"")</f>
        <v/>
      </c>
      <c r="AL826" s="183" t="str">
        <f>IFERROR(__xludf.DUMMYFUNCTION("QUERY('Volunteer Survey'!M825)"),"")</f>
        <v/>
      </c>
      <c r="AM826" s="183" t="str">
        <f>IFERROR(__xludf.DUMMYFUNCTION("QUERY('Volunteer Survey'!N825)"),"")</f>
        <v/>
      </c>
      <c r="AN826" s="183" t="str">
        <f>IFERROR(__xludf.DUMMYFUNCTION("QUERY('Volunteer Survey'!O825)"),"")</f>
        <v/>
      </c>
      <c r="AO826" s="183" t="str">
        <f>IFERROR(__xludf.DUMMYFUNCTION("QUERY('Volunteer Survey'!P825)"),"")</f>
        <v/>
      </c>
    </row>
    <row r="827">
      <c r="A827" s="55"/>
      <c r="B827" s="55"/>
      <c r="C827" s="53"/>
      <c r="D827" s="55"/>
      <c r="E827" s="55"/>
      <c r="F827" s="55" t="b">
        <v>0</v>
      </c>
      <c r="G827" s="55"/>
      <c r="H827" s="53"/>
      <c r="I827" s="53"/>
      <c r="J827" s="55"/>
      <c r="K827" s="55"/>
      <c r="L827" s="55"/>
      <c r="M827" s="55"/>
      <c r="N827" s="55"/>
      <c r="O827" s="55" t="b">
        <v>0</v>
      </c>
      <c r="P827" s="55"/>
      <c r="Q827" s="55"/>
      <c r="R827" s="55"/>
      <c r="S827" s="55"/>
      <c r="T827" s="55"/>
      <c r="U827" s="64"/>
      <c r="V827" s="55"/>
      <c r="W827" s="64"/>
      <c r="X827" s="55"/>
      <c r="Y827" s="53"/>
      <c r="Z827" s="183" t="str">
        <f>IFERROR(__xludf.DUMMYFUNCTION("QUERY('Volunteer Survey'!A826)"),"")</f>
        <v/>
      </c>
      <c r="AA827" s="183" t="str">
        <f>IFERROR(__xludf.DUMMYFUNCTION("QUERY('Volunteer Survey'!B826)"),"")</f>
        <v/>
      </c>
      <c r="AB827" s="183" t="str">
        <f>IFERROR(__xludf.DUMMYFUNCTION("QUERY('Volunteer Survey'!C826)"),"")</f>
        <v/>
      </c>
      <c r="AC827" s="183" t="str">
        <f>IFERROR(__xludf.DUMMYFUNCTION("QUERY('Volunteer Survey'!D826)"),"")</f>
        <v/>
      </c>
      <c r="AD827" s="183" t="str">
        <f>IFERROR(__xludf.DUMMYFUNCTION("QUERY('Volunteer Survey'!E826)"),"")</f>
        <v/>
      </c>
      <c r="AE827" s="183" t="str">
        <f>IFERROR(__xludf.DUMMYFUNCTION("QUERY('Volunteer Survey'!F826)"),"")</f>
        <v/>
      </c>
      <c r="AF827" s="183" t="str">
        <f>IFERROR(__xludf.DUMMYFUNCTION("QUERY('Volunteer Survey'!G826)"),"")</f>
        <v/>
      </c>
      <c r="AG827" s="183" t="str">
        <f>IFERROR(__xludf.DUMMYFUNCTION("QUERY('Volunteer Survey'!H826)"),"")</f>
        <v/>
      </c>
      <c r="AH827" s="183" t="str">
        <f>IFERROR(__xludf.DUMMYFUNCTION("QUERY('Volunteer Survey'!I826)"),"")</f>
        <v/>
      </c>
      <c r="AI827" s="183" t="str">
        <f>IFERROR(__xludf.DUMMYFUNCTION("QUERY('Volunteer Survey'!J826)"),"")</f>
        <v/>
      </c>
      <c r="AJ827" s="183" t="str">
        <f>IFERROR(__xludf.DUMMYFUNCTION("QUERY('Volunteer Survey'!K826)"),"")</f>
        <v/>
      </c>
      <c r="AK827" s="183" t="str">
        <f>IFERROR(__xludf.DUMMYFUNCTION("QUERY('Volunteer Survey'!L826)"),"")</f>
        <v/>
      </c>
      <c r="AL827" s="183" t="str">
        <f>IFERROR(__xludf.DUMMYFUNCTION("QUERY('Volunteer Survey'!M826)"),"")</f>
        <v/>
      </c>
      <c r="AM827" s="183" t="str">
        <f>IFERROR(__xludf.DUMMYFUNCTION("QUERY('Volunteer Survey'!N826)"),"")</f>
        <v/>
      </c>
      <c r="AN827" s="183" t="str">
        <f>IFERROR(__xludf.DUMMYFUNCTION("QUERY('Volunteer Survey'!O826)"),"")</f>
        <v/>
      </c>
      <c r="AO827" s="183" t="str">
        <f>IFERROR(__xludf.DUMMYFUNCTION("QUERY('Volunteer Survey'!P826)"),"")</f>
        <v/>
      </c>
    </row>
    <row r="828">
      <c r="A828" s="55"/>
      <c r="B828" s="55"/>
      <c r="C828" s="53"/>
      <c r="D828" s="55"/>
      <c r="E828" s="55"/>
      <c r="F828" s="55" t="b">
        <v>0</v>
      </c>
      <c r="G828" s="55"/>
      <c r="H828" s="53"/>
      <c r="I828" s="53"/>
      <c r="J828" s="55"/>
      <c r="K828" s="55"/>
      <c r="L828" s="55"/>
      <c r="M828" s="55"/>
      <c r="N828" s="55"/>
      <c r="O828" s="55" t="b">
        <v>0</v>
      </c>
      <c r="P828" s="55"/>
      <c r="Q828" s="55"/>
      <c r="R828" s="55"/>
      <c r="S828" s="55"/>
      <c r="T828" s="55"/>
      <c r="U828" s="64"/>
      <c r="V828" s="55"/>
      <c r="W828" s="64"/>
      <c r="X828" s="55"/>
      <c r="Y828" s="53"/>
      <c r="Z828" s="183" t="str">
        <f>IFERROR(__xludf.DUMMYFUNCTION("QUERY('Volunteer Survey'!A827)"),"")</f>
        <v/>
      </c>
      <c r="AA828" s="183" t="str">
        <f>IFERROR(__xludf.DUMMYFUNCTION("QUERY('Volunteer Survey'!B827)"),"")</f>
        <v/>
      </c>
      <c r="AB828" s="183" t="str">
        <f>IFERROR(__xludf.DUMMYFUNCTION("QUERY('Volunteer Survey'!C827)"),"")</f>
        <v/>
      </c>
      <c r="AC828" s="183" t="str">
        <f>IFERROR(__xludf.DUMMYFUNCTION("QUERY('Volunteer Survey'!D827)"),"")</f>
        <v/>
      </c>
      <c r="AD828" s="183" t="str">
        <f>IFERROR(__xludf.DUMMYFUNCTION("QUERY('Volunteer Survey'!E827)"),"")</f>
        <v/>
      </c>
      <c r="AE828" s="183" t="str">
        <f>IFERROR(__xludf.DUMMYFUNCTION("QUERY('Volunteer Survey'!F827)"),"")</f>
        <v/>
      </c>
      <c r="AF828" s="183" t="str">
        <f>IFERROR(__xludf.DUMMYFUNCTION("QUERY('Volunteer Survey'!G827)"),"")</f>
        <v/>
      </c>
      <c r="AG828" s="183" t="str">
        <f>IFERROR(__xludf.DUMMYFUNCTION("QUERY('Volunteer Survey'!H827)"),"")</f>
        <v/>
      </c>
      <c r="AH828" s="183" t="str">
        <f>IFERROR(__xludf.DUMMYFUNCTION("QUERY('Volunteer Survey'!I827)"),"")</f>
        <v/>
      </c>
      <c r="AI828" s="183" t="str">
        <f>IFERROR(__xludf.DUMMYFUNCTION("QUERY('Volunteer Survey'!J827)"),"")</f>
        <v/>
      </c>
      <c r="AJ828" s="183" t="str">
        <f>IFERROR(__xludf.DUMMYFUNCTION("QUERY('Volunteer Survey'!K827)"),"")</f>
        <v/>
      </c>
      <c r="AK828" s="183" t="str">
        <f>IFERROR(__xludf.DUMMYFUNCTION("QUERY('Volunteer Survey'!L827)"),"")</f>
        <v/>
      </c>
      <c r="AL828" s="183" t="str">
        <f>IFERROR(__xludf.DUMMYFUNCTION("QUERY('Volunteer Survey'!M827)"),"")</f>
        <v/>
      </c>
      <c r="AM828" s="183" t="str">
        <f>IFERROR(__xludf.DUMMYFUNCTION("QUERY('Volunteer Survey'!N827)"),"")</f>
        <v/>
      </c>
      <c r="AN828" s="183" t="str">
        <f>IFERROR(__xludf.DUMMYFUNCTION("QUERY('Volunteer Survey'!O827)"),"")</f>
        <v/>
      </c>
      <c r="AO828" s="183" t="str">
        <f>IFERROR(__xludf.DUMMYFUNCTION("QUERY('Volunteer Survey'!P827)"),"")</f>
        <v/>
      </c>
    </row>
    <row r="829">
      <c r="A829" s="55"/>
      <c r="B829" s="55"/>
      <c r="C829" s="53"/>
      <c r="D829" s="55"/>
      <c r="E829" s="55"/>
      <c r="F829" s="55" t="b">
        <v>0</v>
      </c>
      <c r="G829" s="55"/>
      <c r="H829" s="53"/>
      <c r="I829" s="53"/>
      <c r="J829" s="55"/>
      <c r="K829" s="55"/>
      <c r="L829" s="55"/>
      <c r="M829" s="55"/>
      <c r="N829" s="55"/>
      <c r="O829" s="55" t="b">
        <v>0</v>
      </c>
      <c r="P829" s="55"/>
      <c r="Q829" s="55"/>
      <c r="R829" s="55"/>
      <c r="S829" s="55"/>
      <c r="T829" s="55"/>
      <c r="U829" s="64"/>
      <c r="V829" s="55"/>
      <c r="W829" s="64"/>
      <c r="X829" s="55"/>
      <c r="Y829" s="53"/>
      <c r="Z829" s="183" t="str">
        <f>IFERROR(__xludf.DUMMYFUNCTION("QUERY('Volunteer Survey'!A828)"),"")</f>
        <v/>
      </c>
      <c r="AA829" s="183" t="str">
        <f>IFERROR(__xludf.DUMMYFUNCTION("QUERY('Volunteer Survey'!B828)"),"")</f>
        <v/>
      </c>
      <c r="AB829" s="183" t="str">
        <f>IFERROR(__xludf.DUMMYFUNCTION("QUERY('Volunteer Survey'!C828)"),"")</f>
        <v/>
      </c>
      <c r="AC829" s="183" t="str">
        <f>IFERROR(__xludf.DUMMYFUNCTION("QUERY('Volunteer Survey'!D828)"),"")</f>
        <v/>
      </c>
      <c r="AD829" s="183" t="str">
        <f>IFERROR(__xludf.DUMMYFUNCTION("QUERY('Volunteer Survey'!E828)"),"")</f>
        <v/>
      </c>
      <c r="AE829" s="183" t="str">
        <f>IFERROR(__xludf.DUMMYFUNCTION("QUERY('Volunteer Survey'!F828)"),"")</f>
        <v/>
      </c>
      <c r="AF829" s="183" t="str">
        <f>IFERROR(__xludf.DUMMYFUNCTION("QUERY('Volunteer Survey'!G828)"),"")</f>
        <v/>
      </c>
      <c r="AG829" s="183" t="str">
        <f>IFERROR(__xludf.DUMMYFUNCTION("QUERY('Volunteer Survey'!H828)"),"")</f>
        <v/>
      </c>
      <c r="AH829" s="183" t="str">
        <f>IFERROR(__xludf.DUMMYFUNCTION("QUERY('Volunteer Survey'!I828)"),"")</f>
        <v/>
      </c>
      <c r="AI829" s="183" t="str">
        <f>IFERROR(__xludf.DUMMYFUNCTION("QUERY('Volunteer Survey'!J828)"),"")</f>
        <v/>
      </c>
      <c r="AJ829" s="183" t="str">
        <f>IFERROR(__xludf.DUMMYFUNCTION("QUERY('Volunteer Survey'!K828)"),"")</f>
        <v/>
      </c>
      <c r="AK829" s="183" t="str">
        <f>IFERROR(__xludf.DUMMYFUNCTION("QUERY('Volunteer Survey'!L828)"),"")</f>
        <v/>
      </c>
      <c r="AL829" s="183" t="str">
        <f>IFERROR(__xludf.DUMMYFUNCTION("QUERY('Volunteer Survey'!M828)"),"")</f>
        <v/>
      </c>
      <c r="AM829" s="183" t="str">
        <f>IFERROR(__xludf.DUMMYFUNCTION("QUERY('Volunteer Survey'!N828)"),"")</f>
        <v/>
      </c>
      <c r="AN829" s="183" t="str">
        <f>IFERROR(__xludf.DUMMYFUNCTION("QUERY('Volunteer Survey'!O828)"),"")</f>
        <v/>
      </c>
      <c r="AO829" s="183" t="str">
        <f>IFERROR(__xludf.DUMMYFUNCTION("QUERY('Volunteer Survey'!P828)"),"")</f>
        <v/>
      </c>
    </row>
    <row r="830">
      <c r="A830" s="55"/>
      <c r="B830" s="55"/>
      <c r="C830" s="53"/>
      <c r="D830" s="55"/>
      <c r="E830" s="55"/>
      <c r="F830" s="55" t="b">
        <v>0</v>
      </c>
      <c r="G830" s="55"/>
      <c r="H830" s="53"/>
      <c r="I830" s="53"/>
      <c r="J830" s="55"/>
      <c r="K830" s="55"/>
      <c r="L830" s="55"/>
      <c r="M830" s="55"/>
      <c r="N830" s="55"/>
      <c r="O830" s="55" t="b">
        <v>0</v>
      </c>
      <c r="P830" s="55"/>
      <c r="Q830" s="55"/>
      <c r="R830" s="55"/>
      <c r="S830" s="55"/>
      <c r="T830" s="55"/>
      <c r="U830" s="64"/>
      <c r="V830" s="55"/>
      <c r="W830" s="64"/>
      <c r="X830" s="55"/>
      <c r="Y830" s="53"/>
      <c r="Z830" s="183" t="str">
        <f>IFERROR(__xludf.DUMMYFUNCTION("QUERY('Volunteer Survey'!A829)"),"")</f>
        <v/>
      </c>
      <c r="AA830" s="183" t="str">
        <f>IFERROR(__xludf.DUMMYFUNCTION("QUERY('Volunteer Survey'!B829)"),"")</f>
        <v/>
      </c>
      <c r="AB830" s="183" t="str">
        <f>IFERROR(__xludf.DUMMYFUNCTION("QUERY('Volunteer Survey'!C829)"),"")</f>
        <v/>
      </c>
      <c r="AC830" s="183" t="str">
        <f>IFERROR(__xludf.DUMMYFUNCTION("QUERY('Volunteer Survey'!D829)"),"")</f>
        <v/>
      </c>
      <c r="AD830" s="183" t="str">
        <f>IFERROR(__xludf.DUMMYFUNCTION("QUERY('Volunteer Survey'!E829)"),"")</f>
        <v/>
      </c>
      <c r="AE830" s="183" t="str">
        <f>IFERROR(__xludf.DUMMYFUNCTION("QUERY('Volunteer Survey'!F829)"),"")</f>
        <v/>
      </c>
      <c r="AF830" s="183" t="str">
        <f>IFERROR(__xludf.DUMMYFUNCTION("QUERY('Volunteer Survey'!G829)"),"")</f>
        <v/>
      </c>
      <c r="AG830" s="183" t="str">
        <f>IFERROR(__xludf.DUMMYFUNCTION("QUERY('Volunteer Survey'!H829)"),"")</f>
        <v/>
      </c>
      <c r="AH830" s="183" t="str">
        <f>IFERROR(__xludf.DUMMYFUNCTION("QUERY('Volunteer Survey'!I829)"),"")</f>
        <v/>
      </c>
      <c r="AI830" s="183" t="str">
        <f>IFERROR(__xludf.DUMMYFUNCTION("QUERY('Volunteer Survey'!J829)"),"")</f>
        <v/>
      </c>
      <c r="AJ830" s="183" t="str">
        <f>IFERROR(__xludf.DUMMYFUNCTION("QUERY('Volunteer Survey'!K829)"),"")</f>
        <v/>
      </c>
      <c r="AK830" s="183" t="str">
        <f>IFERROR(__xludf.DUMMYFUNCTION("QUERY('Volunteer Survey'!L829)"),"")</f>
        <v/>
      </c>
      <c r="AL830" s="183" t="str">
        <f>IFERROR(__xludf.DUMMYFUNCTION("QUERY('Volunteer Survey'!M829)"),"")</f>
        <v/>
      </c>
      <c r="AM830" s="183" t="str">
        <f>IFERROR(__xludf.DUMMYFUNCTION("QUERY('Volunteer Survey'!N829)"),"")</f>
        <v/>
      </c>
      <c r="AN830" s="183" t="str">
        <f>IFERROR(__xludf.DUMMYFUNCTION("QUERY('Volunteer Survey'!O829)"),"")</f>
        <v/>
      </c>
      <c r="AO830" s="183" t="str">
        <f>IFERROR(__xludf.DUMMYFUNCTION("QUERY('Volunteer Survey'!P829)"),"")</f>
        <v/>
      </c>
    </row>
    <row r="831">
      <c r="A831" s="55"/>
      <c r="B831" s="55"/>
      <c r="C831" s="53"/>
      <c r="D831" s="55"/>
      <c r="E831" s="55"/>
      <c r="F831" s="55" t="b">
        <v>0</v>
      </c>
      <c r="G831" s="55"/>
      <c r="H831" s="53"/>
      <c r="I831" s="53"/>
      <c r="J831" s="55"/>
      <c r="K831" s="55"/>
      <c r="L831" s="55"/>
      <c r="M831" s="55"/>
      <c r="N831" s="55"/>
      <c r="O831" s="55" t="b">
        <v>0</v>
      </c>
      <c r="P831" s="55"/>
      <c r="Q831" s="55"/>
      <c r="R831" s="55"/>
      <c r="S831" s="55"/>
      <c r="T831" s="55"/>
      <c r="U831" s="64"/>
      <c r="V831" s="55"/>
      <c r="W831" s="64"/>
      <c r="X831" s="55"/>
      <c r="Y831" s="53"/>
      <c r="Z831" s="183" t="str">
        <f>IFERROR(__xludf.DUMMYFUNCTION("QUERY('Volunteer Survey'!A830)"),"")</f>
        <v/>
      </c>
      <c r="AA831" s="183" t="str">
        <f>IFERROR(__xludf.DUMMYFUNCTION("QUERY('Volunteer Survey'!B830)"),"")</f>
        <v/>
      </c>
      <c r="AB831" s="183" t="str">
        <f>IFERROR(__xludf.DUMMYFUNCTION("QUERY('Volunteer Survey'!C830)"),"")</f>
        <v/>
      </c>
      <c r="AC831" s="183" t="str">
        <f>IFERROR(__xludf.DUMMYFUNCTION("QUERY('Volunteer Survey'!D830)"),"")</f>
        <v/>
      </c>
      <c r="AD831" s="183" t="str">
        <f>IFERROR(__xludf.DUMMYFUNCTION("QUERY('Volunteer Survey'!E830)"),"")</f>
        <v/>
      </c>
      <c r="AE831" s="183" t="str">
        <f>IFERROR(__xludf.DUMMYFUNCTION("QUERY('Volunteer Survey'!F830)"),"")</f>
        <v/>
      </c>
      <c r="AF831" s="183" t="str">
        <f>IFERROR(__xludf.DUMMYFUNCTION("QUERY('Volunteer Survey'!G830)"),"")</f>
        <v/>
      </c>
      <c r="AG831" s="183" t="str">
        <f>IFERROR(__xludf.DUMMYFUNCTION("QUERY('Volunteer Survey'!H830)"),"")</f>
        <v/>
      </c>
      <c r="AH831" s="183" t="str">
        <f>IFERROR(__xludf.DUMMYFUNCTION("QUERY('Volunteer Survey'!I830)"),"")</f>
        <v/>
      </c>
      <c r="AI831" s="183" t="str">
        <f>IFERROR(__xludf.DUMMYFUNCTION("QUERY('Volunteer Survey'!J830)"),"")</f>
        <v/>
      </c>
      <c r="AJ831" s="183" t="str">
        <f>IFERROR(__xludf.DUMMYFUNCTION("QUERY('Volunteer Survey'!K830)"),"")</f>
        <v/>
      </c>
      <c r="AK831" s="183" t="str">
        <f>IFERROR(__xludf.DUMMYFUNCTION("QUERY('Volunteer Survey'!L830)"),"")</f>
        <v/>
      </c>
      <c r="AL831" s="183" t="str">
        <f>IFERROR(__xludf.DUMMYFUNCTION("QUERY('Volunteer Survey'!M830)"),"")</f>
        <v/>
      </c>
      <c r="AM831" s="183" t="str">
        <f>IFERROR(__xludf.DUMMYFUNCTION("QUERY('Volunteer Survey'!N830)"),"")</f>
        <v/>
      </c>
      <c r="AN831" s="183" t="str">
        <f>IFERROR(__xludf.DUMMYFUNCTION("QUERY('Volunteer Survey'!O830)"),"")</f>
        <v/>
      </c>
      <c r="AO831" s="183" t="str">
        <f>IFERROR(__xludf.DUMMYFUNCTION("QUERY('Volunteer Survey'!P830)"),"")</f>
        <v/>
      </c>
    </row>
    <row r="832">
      <c r="A832" s="55"/>
      <c r="B832" s="55"/>
      <c r="C832" s="53"/>
      <c r="D832" s="55"/>
      <c r="E832" s="55"/>
      <c r="F832" s="55" t="b">
        <v>0</v>
      </c>
      <c r="G832" s="55"/>
      <c r="H832" s="53"/>
      <c r="I832" s="53"/>
      <c r="J832" s="55"/>
      <c r="K832" s="55"/>
      <c r="L832" s="55"/>
      <c r="M832" s="55"/>
      <c r="N832" s="55"/>
      <c r="O832" s="55" t="b">
        <v>0</v>
      </c>
      <c r="P832" s="55"/>
      <c r="Q832" s="55"/>
      <c r="R832" s="55"/>
      <c r="S832" s="55"/>
      <c r="T832" s="55"/>
      <c r="U832" s="64"/>
      <c r="V832" s="55"/>
      <c r="W832" s="64"/>
      <c r="X832" s="55"/>
      <c r="Y832" s="53"/>
      <c r="Z832" s="183" t="str">
        <f>IFERROR(__xludf.DUMMYFUNCTION("QUERY('Volunteer Survey'!A831)"),"")</f>
        <v/>
      </c>
      <c r="AA832" s="183" t="str">
        <f>IFERROR(__xludf.DUMMYFUNCTION("QUERY('Volunteer Survey'!B831)"),"")</f>
        <v/>
      </c>
      <c r="AB832" s="183" t="str">
        <f>IFERROR(__xludf.DUMMYFUNCTION("QUERY('Volunteer Survey'!C831)"),"")</f>
        <v/>
      </c>
      <c r="AC832" s="183" t="str">
        <f>IFERROR(__xludf.DUMMYFUNCTION("QUERY('Volunteer Survey'!D831)"),"")</f>
        <v/>
      </c>
      <c r="AD832" s="183" t="str">
        <f>IFERROR(__xludf.DUMMYFUNCTION("QUERY('Volunteer Survey'!E831)"),"")</f>
        <v/>
      </c>
      <c r="AE832" s="183" t="str">
        <f>IFERROR(__xludf.DUMMYFUNCTION("QUERY('Volunteer Survey'!F831)"),"")</f>
        <v/>
      </c>
      <c r="AF832" s="183" t="str">
        <f>IFERROR(__xludf.DUMMYFUNCTION("QUERY('Volunteer Survey'!G831)"),"")</f>
        <v/>
      </c>
      <c r="AG832" s="183" t="str">
        <f>IFERROR(__xludf.DUMMYFUNCTION("QUERY('Volunteer Survey'!H831)"),"")</f>
        <v/>
      </c>
      <c r="AH832" s="183" t="str">
        <f>IFERROR(__xludf.DUMMYFUNCTION("QUERY('Volunteer Survey'!I831)"),"")</f>
        <v/>
      </c>
      <c r="AI832" s="183" t="str">
        <f>IFERROR(__xludf.DUMMYFUNCTION("QUERY('Volunteer Survey'!J831)"),"")</f>
        <v/>
      </c>
      <c r="AJ832" s="183" t="str">
        <f>IFERROR(__xludf.DUMMYFUNCTION("QUERY('Volunteer Survey'!K831)"),"")</f>
        <v/>
      </c>
      <c r="AK832" s="183" t="str">
        <f>IFERROR(__xludf.DUMMYFUNCTION("QUERY('Volunteer Survey'!L831)"),"")</f>
        <v/>
      </c>
      <c r="AL832" s="183" t="str">
        <f>IFERROR(__xludf.DUMMYFUNCTION("QUERY('Volunteer Survey'!M831)"),"")</f>
        <v/>
      </c>
      <c r="AM832" s="183" t="str">
        <f>IFERROR(__xludf.DUMMYFUNCTION("QUERY('Volunteer Survey'!N831)"),"")</f>
        <v/>
      </c>
      <c r="AN832" s="183" t="str">
        <f>IFERROR(__xludf.DUMMYFUNCTION("QUERY('Volunteer Survey'!O831)"),"")</f>
        <v/>
      </c>
      <c r="AO832" s="183" t="str">
        <f>IFERROR(__xludf.DUMMYFUNCTION("QUERY('Volunteer Survey'!P831)"),"")</f>
        <v/>
      </c>
    </row>
    <row r="833">
      <c r="A833" s="55"/>
      <c r="B833" s="55"/>
      <c r="C833" s="53"/>
      <c r="D833" s="55"/>
      <c r="E833" s="55"/>
      <c r="F833" s="55" t="b">
        <v>0</v>
      </c>
      <c r="G833" s="55"/>
      <c r="H833" s="53"/>
      <c r="I833" s="53"/>
      <c r="J833" s="55"/>
      <c r="K833" s="55"/>
      <c r="L833" s="55"/>
      <c r="M833" s="55"/>
      <c r="N833" s="55"/>
      <c r="O833" s="55" t="b">
        <v>0</v>
      </c>
      <c r="P833" s="55"/>
      <c r="Q833" s="55"/>
      <c r="R833" s="55"/>
      <c r="S833" s="55"/>
      <c r="T833" s="55"/>
      <c r="U833" s="64"/>
      <c r="V833" s="55"/>
      <c r="W833" s="64"/>
      <c r="X833" s="55"/>
      <c r="Y833" s="53"/>
      <c r="Z833" s="183" t="str">
        <f>IFERROR(__xludf.DUMMYFUNCTION("QUERY('Volunteer Survey'!A832)"),"")</f>
        <v/>
      </c>
      <c r="AA833" s="183" t="str">
        <f>IFERROR(__xludf.DUMMYFUNCTION("QUERY('Volunteer Survey'!B832)"),"")</f>
        <v/>
      </c>
      <c r="AB833" s="183" t="str">
        <f>IFERROR(__xludf.DUMMYFUNCTION("QUERY('Volunteer Survey'!C832)"),"")</f>
        <v/>
      </c>
      <c r="AC833" s="183" t="str">
        <f>IFERROR(__xludf.DUMMYFUNCTION("QUERY('Volunteer Survey'!D832)"),"")</f>
        <v/>
      </c>
      <c r="AD833" s="183" t="str">
        <f>IFERROR(__xludf.DUMMYFUNCTION("QUERY('Volunteer Survey'!E832)"),"")</f>
        <v/>
      </c>
      <c r="AE833" s="183" t="str">
        <f>IFERROR(__xludf.DUMMYFUNCTION("QUERY('Volunteer Survey'!F832)"),"")</f>
        <v/>
      </c>
      <c r="AF833" s="183" t="str">
        <f>IFERROR(__xludf.DUMMYFUNCTION("QUERY('Volunteer Survey'!G832)"),"")</f>
        <v/>
      </c>
      <c r="AG833" s="183" t="str">
        <f>IFERROR(__xludf.DUMMYFUNCTION("QUERY('Volunteer Survey'!H832)"),"")</f>
        <v/>
      </c>
      <c r="AH833" s="183" t="str">
        <f>IFERROR(__xludf.DUMMYFUNCTION("QUERY('Volunteer Survey'!I832)"),"")</f>
        <v/>
      </c>
      <c r="AI833" s="183" t="str">
        <f>IFERROR(__xludf.DUMMYFUNCTION("QUERY('Volunteer Survey'!J832)"),"")</f>
        <v/>
      </c>
      <c r="AJ833" s="183" t="str">
        <f>IFERROR(__xludf.DUMMYFUNCTION("QUERY('Volunteer Survey'!K832)"),"")</f>
        <v/>
      </c>
      <c r="AK833" s="183" t="str">
        <f>IFERROR(__xludf.DUMMYFUNCTION("QUERY('Volunteer Survey'!L832)"),"")</f>
        <v/>
      </c>
      <c r="AL833" s="183" t="str">
        <f>IFERROR(__xludf.DUMMYFUNCTION("QUERY('Volunteer Survey'!M832)"),"")</f>
        <v/>
      </c>
      <c r="AM833" s="183" t="str">
        <f>IFERROR(__xludf.DUMMYFUNCTION("QUERY('Volunteer Survey'!N832)"),"")</f>
        <v/>
      </c>
      <c r="AN833" s="183" t="str">
        <f>IFERROR(__xludf.DUMMYFUNCTION("QUERY('Volunteer Survey'!O832)"),"")</f>
        <v/>
      </c>
      <c r="AO833" s="183" t="str">
        <f>IFERROR(__xludf.DUMMYFUNCTION("QUERY('Volunteer Survey'!P832)"),"")</f>
        <v/>
      </c>
    </row>
    <row r="834">
      <c r="A834" s="55"/>
      <c r="B834" s="55"/>
      <c r="C834" s="53"/>
      <c r="D834" s="55"/>
      <c r="E834" s="55"/>
      <c r="F834" s="55" t="b">
        <v>0</v>
      </c>
      <c r="G834" s="55"/>
      <c r="H834" s="53"/>
      <c r="I834" s="53"/>
      <c r="J834" s="55"/>
      <c r="K834" s="55"/>
      <c r="L834" s="55"/>
      <c r="M834" s="55"/>
      <c r="N834" s="55"/>
      <c r="O834" s="55" t="b">
        <v>0</v>
      </c>
      <c r="P834" s="55"/>
      <c r="Q834" s="55"/>
      <c r="R834" s="55"/>
      <c r="S834" s="55"/>
      <c r="T834" s="55"/>
      <c r="U834" s="64"/>
      <c r="V834" s="55"/>
      <c r="W834" s="64"/>
      <c r="X834" s="55"/>
      <c r="Y834" s="53"/>
      <c r="Z834" s="183" t="str">
        <f>IFERROR(__xludf.DUMMYFUNCTION("QUERY('Volunteer Survey'!A833)"),"")</f>
        <v/>
      </c>
      <c r="AA834" s="183" t="str">
        <f>IFERROR(__xludf.DUMMYFUNCTION("QUERY('Volunteer Survey'!B833)"),"")</f>
        <v/>
      </c>
      <c r="AB834" s="183" t="str">
        <f>IFERROR(__xludf.DUMMYFUNCTION("QUERY('Volunteer Survey'!C833)"),"")</f>
        <v/>
      </c>
      <c r="AC834" s="183" t="str">
        <f>IFERROR(__xludf.DUMMYFUNCTION("QUERY('Volunteer Survey'!D833)"),"")</f>
        <v/>
      </c>
      <c r="AD834" s="183" t="str">
        <f>IFERROR(__xludf.DUMMYFUNCTION("QUERY('Volunteer Survey'!E833)"),"")</f>
        <v/>
      </c>
      <c r="AE834" s="183" t="str">
        <f>IFERROR(__xludf.DUMMYFUNCTION("QUERY('Volunteer Survey'!F833)"),"")</f>
        <v/>
      </c>
      <c r="AF834" s="183" t="str">
        <f>IFERROR(__xludf.DUMMYFUNCTION("QUERY('Volunteer Survey'!G833)"),"")</f>
        <v/>
      </c>
      <c r="AG834" s="183" t="str">
        <f>IFERROR(__xludf.DUMMYFUNCTION("QUERY('Volunteer Survey'!H833)"),"")</f>
        <v/>
      </c>
      <c r="AH834" s="183" t="str">
        <f>IFERROR(__xludf.DUMMYFUNCTION("QUERY('Volunteer Survey'!I833)"),"")</f>
        <v/>
      </c>
      <c r="AI834" s="183" t="str">
        <f>IFERROR(__xludf.DUMMYFUNCTION("QUERY('Volunteer Survey'!J833)"),"")</f>
        <v/>
      </c>
      <c r="AJ834" s="183" t="str">
        <f>IFERROR(__xludf.DUMMYFUNCTION("QUERY('Volunteer Survey'!K833)"),"")</f>
        <v/>
      </c>
      <c r="AK834" s="183" t="str">
        <f>IFERROR(__xludf.DUMMYFUNCTION("QUERY('Volunteer Survey'!L833)"),"")</f>
        <v/>
      </c>
      <c r="AL834" s="183" t="str">
        <f>IFERROR(__xludf.DUMMYFUNCTION("QUERY('Volunteer Survey'!M833)"),"")</f>
        <v/>
      </c>
      <c r="AM834" s="183" t="str">
        <f>IFERROR(__xludf.DUMMYFUNCTION("QUERY('Volunteer Survey'!N833)"),"")</f>
        <v/>
      </c>
      <c r="AN834" s="183" t="str">
        <f>IFERROR(__xludf.DUMMYFUNCTION("QUERY('Volunteer Survey'!O833)"),"")</f>
        <v/>
      </c>
      <c r="AO834" s="183" t="str">
        <f>IFERROR(__xludf.DUMMYFUNCTION("QUERY('Volunteer Survey'!P833)"),"")</f>
        <v/>
      </c>
    </row>
    <row r="835">
      <c r="A835" s="55"/>
      <c r="B835" s="55"/>
      <c r="C835" s="53"/>
      <c r="D835" s="55"/>
      <c r="E835" s="55"/>
      <c r="F835" s="55" t="b">
        <v>0</v>
      </c>
      <c r="G835" s="55"/>
      <c r="H835" s="53"/>
      <c r="I835" s="53"/>
      <c r="J835" s="55"/>
      <c r="K835" s="55"/>
      <c r="L835" s="55"/>
      <c r="M835" s="55"/>
      <c r="N835" s="55"/>
      <c r="O835" s="55" t="b">
        <v>0</v>
      </c>
      <c r="P835" s="55"/>
      <c r="Q835" s="55"/>
      <c r="R835" s="55"/>
      <c r="S835" s="55"/>
      <c r="T835" s="55"/>
      <c r="U835" s="64"/>
      <c r="V835" s="55"/>
      <c r="W835" s="64"/>
      <c r="X835" s="55"/>
      <c r="Y835" s="53"/>
      <c r="Z835" s="183" t="str">
        <f>IFERROR(__xludf.DUMMYFUNCTION("QUERY('Volunteer Survey'!A834)"),"")</f>
        <v/>
      </c>
      <c r="AA835" s="183" t="str">
        <f>IFERROR(__xludf.DUMMYFUNCTION("QUERY('Volunteer Survey'!B834)"),"")</f>
        <v/>
      </c>
      <c r="AB835" s="183" t="str">
        <f>IFERROR(__xludf.DUMMYFUNCTION("QUERY('Volunteer Survey'!C834)"),"")</f>
        <v/>
      </c>
      <c r="AC835" s="183" t="str">
        <f>IFERROR(__xludf.DUMMYFUNCTION("QUERY('Volunteer Survey'!D834)"),"")</f>
        <v/>
      </c>
      <c r="AD835" s="183" t="str">
        <f>IFERROR(__xludf.DUMMYFUNCTION("QUERY('Volunteer Survey'!E834)"),"")</f>
        <v/>
      </c>
      <c r="AE835" s="183" t="str">
        <f>IFERROR(__xludf.DUMMYFUNCTION("QUERY('Volunteer Survey'!F834)"),"")</f>
        <v/>
      </c>
      <c r="AF835" s="183" t="str">
        <f>IFERROR(__xludf.DUMMYFUNCTION("QUERY('Volunteer Survey'!G834)"),"")</f>
        <v/>
      </c>
      <c r="AG835" s="183" t="str">
        <f>IFERROR(__xludf.DUMMYFUNCTION("QUERY('Volunteer Survey'!H834)"),"")</f>
        <v/>
      </c>
      <c r="AH835" s="183" t="str">
        <f>IFERROR(__xludf.DUMMYFUNCTION("QUERY('Volunteer Survey'!I834)"),"")</f>
        <v/>
      </c>
      <c r="AI835" s="183" t="str">
        <f>IFERROR(__xludf.DUMMYFUNCTION("QUERY('Volunteer Survey'!J834)"),"")</f>
        <v/>
      </c>
      <c r="AJ835" s="183" t="str">
        <f>IFERROR(__xludf.DUMMYFUNCTION("QUERY('Volunteer Survey'!K834)"),"")</f>
        <v/>
      </c>
      <c r="AK835" s="183" t="str">
        <f>IFERROR(__xludf.DUMMYFUNCTION("QUERY('Volunteer Survey'!L834)"),"")</f>
        <v/>
      </c>
      <c r="AL835" s="183" t="str">
        <f>IFERROR(__xludf.DUMMYFUNCTION("QUERY('Volunteer Survey'!M834)"),"")</f>
        <v/>
      </c>
      <c r="AM835" s="183" t="str">
        <f>IFERROR(__xludf.DUMMYFUNCTION("QUERY('Volunteer Survey'!N834)"),"")</f>
        <v/>
      </c>
      <c r="AN835" s="183" t="str">
        <f>IFERROR(__xludf.DUMMYFUNCTION("QUERY('Volunteer Survey'!O834)"),"")</f>
        <v/>
      </c>
      <c r="AO835" s="183" t="str">
        <f>IFERROR(__xludf.DUMMYFUNCTION("QUERY('Volunteer Survey'!P834)"),"")</f>
        <v/>
      </c>
    </row>
    <row r="836">
      <c r="A836" s="55"/>
      <c r="B836" s="55"/>
      <c r="C836" s="53"/>
      <c r="D836" s="55"/>
      <c r="E836" s="55"/>
      <c r="F836" s="55" t="b">
        <v>0</v>
      </c>
      <c r="G836" s="55"/>
      <c r="H836" s="53"/>
      <c r="I836" s="53"/>
      <c r="J836" s="55"/>
      <c r="K836" s="55"/>
      <c r="L836" s="55"/>
      <c r="M836" s="55"/>
      <c r="N836" s="55"/>
      <c r="O836" s="55" t="b">
        <v>0</v>
      </c>
      <c r="P836" s="55"/>
      <c r="Q836" s="55"/>
      <c r="R836" s="55"/>
      <c r="S836" s="55"/>
      <c r="T836" s="55"/>
      <c r="U836" s="64"/>
      <c r="V836" s="55"/>
      <c r="W836" s="64"/>
      <c r="X836" s="55"/>
      <c r="Y836" s="53"/>
      <c r="Z836" s="183" t="str">
        <f>IFERROR(__xludf.DUMMYFUNCTION("QUERY('Volunteer Survey'!A835)"),"")</f>
        <v/>
      </c>
      <c r="AA836" s="183" t="str">
        <f>IFERROR(__xludf.DUMMYFUNCTION("QUERY('Volunteer Survey'!B835)"),"")</f>
        <v/>
      </c>
      <c r="AB836" s="183" t="str">
        <f>IFERROR(__xludf.DUMMYFUNCTION("QUERY('Volunteer Survey'!C835)"),"")</f>
        <v/>
      </c>
      <c r="AC836" s="183" t="str">
        <f>IFERROR(__xludf.DUMMYFUNCTION("QUERY('Volunteer Survey'!D835)"),"")</f>
        <v/>
      </c>
      <c r="AD836" s="183" t="str">
        <f>IFERROR(__xludf.DUMMYFUNCTION("QUERY('Volunteer Survey'!E835)"),"")</f>
        <v/>
      </c>
      <c r="AE836" s="183" t="str">
        <f>IFERROR(__xludf.DUMMYFUNCTION("QUERY('Volunteer Survey'!F835)"),"")</f>
        <v/>
      </c>
      <c r="AF836" s="183" t="str">
        <f>IFERROR(__xludf.DUMMYFUNCTION("QUERY('Volunteer Survey'!G835)"),"")</f>
        <v/>
      </c>
      <c r="AG836" s="183" t="str">
        <f>IFERROR(__xludf.DUMMYFUNCTION("QUERY('Volunteer Survey'!H835)"),"")</f>
        <v/>
      </c>
      <c r="AH836" s="183" t="str">
        <f>IFERROR(__xludf.DUMMYFUNCTION("QUERY('Volunteer Survey'!I835)"),"")</f>
        <v/>
      </c>
      <c r="AI836" s="183" t="str">
        <f>IFERROR(__xludf.DUMMYFUNCTION("QUERY('Volunteer Survey'!J835)"),"")</f>
        <v/>
      </c>
      <c r="AJ836" s="183" t="str">
        <f>IFERROR(__xludf.DUMMYFUNCTION("QUERY('Volunteer Survey'!K835)"),"")</f>
        <v/>
      </c>
      <c r="AK836" s="183" t="str">
        <f>IFERROR(__xludf.DUMMYFUNCTION("QUERY('Volunteer Survey'!L835)"),"")</f>
        <v/>
      </c>
      <c r="AL836" s="183" t="str">
        <f>IFERROR(__xludf.DUMMYFUNCTION("QUERY('Volunteer Survey'!M835)"),"")</f>
        <v/>
      </c>
      <c r="AM836" s="183" t="str">
        <f>IFERROR(__xludf.DUMMYFUNCTION("QUERY('Volunteer Survey'!N835)"),"")</f>
        <v/>
      </c>
      <c r="AN836" s="183" t="str">
        <f>IFERROR(__xludf.DUMMYFUNCTION("QUERY('Volunteer Survey'!O835)"),"")</f>
        <v/>
      </c>
      <c r="AO836" s="183" t="str">
        <f>IFERROR(__xludf.DUMMYFUNCTION("QUERY('Volunteer Survey'!P835)"),"")</f>
        <v/>
      </c>
    </row>
    <row r="837">
      <c r="A837" s="55"/>
      <c r="B837" s="55"/>
      <c r="C837" s="53"/>
      <c r="D837" s="55"/>
      <c r="E837" s="55"/>
      <c r="F837" s="55" t="b">
        <v>0</v>
      </c>
      <c r="G837" s="55"/>
      <c r="H837" s="53"/>
      <c r="I837" s="53"/>
      <c r="J837" s="55"/>
      <c r="K837" s="55"/>
      <c r="L837" s="55"/>
      <c r="M837" s="55"/>
      <c r="N837" s="55"/>
      <c r="O837" s="55" t="b">
        <v>0</v>
      </c>
      <c r="P837" s="55"/>
      <c r="Q837" s="55"/>
      <c r="R837" s="55"/>
      <c r="S837" s="55"/>
      <c r="T837" s="55"/>
      <c r="U837" s="64"/>
      <c r="V837" s="55"/>
      <c r="W837" s="64"/>
      <c r="X837" s="55"/>
      <c r="Y837" s="53"/>
      <c r="Z837" s="183" t="str">
        <f>IFERROR(__xludf.DUMMYFUNCTION("QUERY('Volunteer Survey'!A836)"),"")</f>
        <v/>
      </c>
      <c r="AA837" s="183" t="str">
        <f>IFERROR(__xludf.DUMMYFUNCTION("QUERY('Volunteer Survey'!B836)"),"")</f>
        <v/>
      </c>
      <c r="AB837" s="183" t="str">
        <f>IFERROR(__xludf.DUMMYFUNCTION("QUERY('Volunteer Survey'!C836)"),"")</f>
        <v/>
      </c>
      <c r="AC837" s="183" t="str">
        <f>IFERROR(__xludf.DUMMYFUNCTION("QUERY('Volunteer Survey'!D836)"),"")</f>
        <v/>
      </c>
      <c r="AD837" s="183" t="str">
        <f>IFERROR(__xludf.DUMMYFUNCTION("QUERY('Volunteer Survey'!E836)"),"")</f>
        <v/>
      </c>
      <c r="AE837" s="183" t="str">
        <f>IFERROR(__xludf.DUMMYFUNCTION("QUERY('Volunteer Survey'!F836)"),"")</f>
        <v/>
      </c>
      <c r="AF837" s="183" t="str">
        <f>IFERROR(__xludf.DUMMYFUNCTION("QUERY('Volunteer Survey'!G836)"),"")</f>
        <v/>
      </c>
      <c r="AG837" s="183" t="str">
        <f>IFERROR(__xludf.DUMMYFUNCTION("QUERY('Volunteer Survey'!H836)"),"")</f>
        <v/>
      </c>
      <c r="AH837" s="183" t="str">
        <f>IFERROR(__xludf.DUMMYFUNCTION("QUERY('Volunteer Survey'!I836)"),"")</f>
        <v/>
      </c>
      <c r="AI837" s="183" t="str">
        <f>IFERROR(__xludf.DUMMYFUNCTION("QUERY('Volunteer Survey'!J836)"),"")</f>
        <v/>
      </c>
      <c r="AJ837" s="183" t="str">
        <f>IFERROR(__xludf.DUMMYFUNCTION("QUERY('Volunteer Survey'!K836)"),"")</f>
        <v/>
      </c>
      <c r="AK837" s="183" t="str">
        <f>IFERROR(__xludf.DUMMYFUNCTION("QUERY('Volunteer Survey'!L836)"),"")</f>
        <v/>
      </c>
      <c r="AL837" s="183" t="str">
        <f>IFERROR(__xludf.DUMMYFUNCTION("QUERY('Volunteer Survey'!M836)"),"")</f>
        <v/>
      </c>
      <c r="AM837" s="183" t="str">
        <f>IFERROR(__xludf.DUMMYFUNCTION("QUERY('Volunteer Survey'!N836)"),"")</f>
        <v/>
      </c>
      <c r="AN837" s="183" t="str">
        <f>IFERROR(__xludf.DUMMYFUNCTION("QUERY('Volunteer Survey'!O836)"),"")</f>
        <v/>
      </c>
      <c r="AO837" s="183" t="str">
        <f>IFERROR(__xludf.DUMMYFUNCTION("QUERY('Volunteer Survey'!P836)"),"")</f>
        <v/>
      </c>
    </row>
    <row r="838">
      <c r="A838" s="55"/>
      <c r="B838" s="55"/>
      <c r="C838" s="53"/>
      <c r="D838" s="55"/>
      <c r="E838" s="55"/>
      <c r="F838" s="55" t="b">
        <v>0</v>
      </c>
      <c r="G838" s="55"/>
      <c r="H838" s="53"/>
      <c r="I838" s="53"/>
      <c r="J838" s="55"/>
      <c r="K838" s="55"/>
      <c r="L838" s="55"/>
      <c r="M838" s="55"/>
      <c r="N838" s="55"/>
      <c r="O838" s="55" t="b">
        <v>0</v>
      </c>
      <c r="P838" s="55"/>
      <c r="Q838" s="55"/>
      <c r="R838" s="55"/>
      <c r="S838" s="55"/>
      <c r="T838" s="55"/>
      <c r="U838" s="64"/>
      <c r="V838" s="55"/>
      <c r="W838" s="64"/>
      <c r="X838" s="55"/>
      <c r="Y838" s="53"/>
      <c r="Z838" s="183" t="str">
        <f>IFERROR(__xludf.DUMMYFUNCTION("QUERY('Volunteer Survey'!A837)"),"")</f>
        <v/>
      </c>
      <c r="AA838" s="183" t="str">
        <f>IFERROR(__xludf.DUMMYFUNCTION("QUERY('Volunteer Survey'!B837)"),"")</f>
        <v/>
      </c>
      <c r="AB838" s="183" t="str">
        <f>IFERROR(__xludf.DUMMYFUNCTION("QUERY('Volunteer Survey'!C837)"),"")</f>
        <v/>
      </c>
      <c r="AC838" s="183" t="str">
        <f>IFERROR(__xludf.DUMMYFUNCTION("QUERY('Volunteer Survey'!D837)"),"")</f>
        <v/>
      </c>
      <c r="AD838" s="183" t="str">
        <f>IFERROR(__xludf.DUMMYFUNCTION("QUERY('Volunteer Survey'!E837)"),"")</f>
        <v/>
      </c>
      <c r="AE838" s="183" t="str">
        <f>IFERROR(__xludf.DUMMYFUNCTION("QUERY('Volunteer Survey'!F837)"),"")</f>
        <v/>
      </c>
      <c r="AF838" s="183" t="str">
        <f>IFERROR(__xludf.DUMMYFUNCTION("QUERY('Volunteer Survey'!G837)"),"")</f>
        <v/>
      </c>
      <c r="AG838" s="183" t="str">
        <f>IFERROR(__xludf.DUMMYFUNCTION("QUERY('Volunteer Survey'!H837)"),"")</f>
        <v/>
      </c>
      <c r="AH838" s="183" t="str">
        <f>IFERROR(__xludf.DUMMYFUNCTION("QUERY('Volunteer Survey'!I837)"),"")</f>
        <v/>
      </c>
      <c r="AI838" s="183" t="str">
        <f>IFERROR(__xludf.DUMMYFUNCTION("QUERY('Volunteer Survey'!J837)"),"")</f>
        <v/>
      </c>
      <c r="AJ838" s="183" t="str">
        <f>IFERROR(__xludf.DUMMYFUNCTION("QUERY('Volunteer Survey'!K837)"),"")</f>
        <v/>
      </c>
      <c r="AK838" s="183" t="str">
        <f>IFERROR(__xludf.DUMMYFUNCTION("QUERY('Volunteer Survey'!L837)"),"")</f>
        <v/>
      </c>
      <c r="AL838" s="183" t="str">
        <f>IFERROR(__xludf.DUMMYFUNCTION("QUERY('Volunteer Survey'!M837)"),"")</f>
        <v/>
      </c>
      <c r="AM838" s="183" t="str">
        <f>IFERROR(__xludf.DUMMYFUNCTION("QUERY('Volunteer Survey'!N837)"),"")</f>
        <v/>
      </c>
      <c r="AN838" s="183" t="str">
        <f>IFERROR(__xludf.DUMMYFUNCTION("QUERY('Volunteer Survey'!O837)"),"")</f>
        <v/>
      </c>
      <c r="AO838" s="183" t="str">
        <f>IFERROR(__xludf.DUMMYFUNCTION("QUERY('Volunteer Survey'!P837)"),"")</f>
        <v/>
      </c>
    </row>
    <row r="839">
      <c r="A839" s="55"/>
      <c r="B839" s="55"/>
      <c r="C839" s="53"/>
      <c r="D839" s="55"/>
      <c r="E839" s="55"/>
      <c r="F839" s="55" t="b">
        <v>0</v>
      </c>
      <c r="G839" s="55"/>
      <c r="H839" s="53"/>
      <c r="I839" s="53"/>
      <c r="J839" s="55"/>
      <c r="K839" s="55"/>
      <c r="L839" s="55"/>
      <c r="M839" s="55"/>
      <c r="N839" s="55"/>
      <c r="O839" s="55" t="b">
        <v>0</v>
      </c>
      <c r="P839" s="55"/>
      <c r="Q839" s="55"/>
      <c r="R839" s="55"/>
      <c r="S839" s="55"/>
      <c r="T839" s="55"/>
      <c r="U839" s="64"/>
      <c r="V839" s="55"/>
      <c r="W839" s="64"/>
      <c r="X839" s="55"/>
      <c r="Y839" s="53"/>
      <c r="Z839" s="183" t="str">
        <f>IFERROR(__xludf.DUMMYFUNCTION("QUERY('Volunteer Survey'!A838)"),"")</f>
        <v/>
      </c>
      <c r="AA839" s="183" t="str">
        <f>IFERROR(__xludf.DUMMYFUNCTION("QUERY('Volunteer Survey'!B838)"),"")</f>
        <v/>
      </c>
      <c r="AB839" s="183" t="str">
        <f>IFERROR(__xludf.DUMMYFUNCTION("QUERY('Volunteer Survey'!C838)"),"")</f>
        <v/>
      </c>
      <c r="AC839" s="183" t="str">
        <f>IFERROR(__xludf.DUMMYFUNCTION("QUERY('Volunteer Survey'!D838)"),"")</f>
        <v/>
      </c>
      <c r="AD839" s="183" t="str">
        <f>IFERROR(__xludf.DUMMYFUNCTION("QUERY('Volunteer Survey'!E838)"),"")</f>
        <v/>
      </c>
      <c r="AE839" s="183" t="str">
        <f>IFERROR(__xludf.DUMMYFUNCTION("QUERY('Volunteer Survey'!F838)"),"")</f>
        <v/>
      </c>
      <c r="AF839" s="183" t="str">
        <f>IFERROR(__xludf.DUMMYFUNCTION("QUERY('Volunteer Survey'!G838)"),"")</f>
        <v/>
      </c>
      <c r="AG839" s="183" t="str">
        <f>IFERROR(__xludf.DUMMYFUNCTION("QUERY('Volunteer Survey'!H838)"),"")</f>
        <v/>
      </c>
      <c r="AH839" s="183" t="str">
        <f>IFERROR(__xludf.DUMMYFUNCTION("QUERY('Volunteer Survey'!I838)"),"")</f>
        <v/>
      </c>
      <c r="AI839" s="183" t="str">
        <f>IFERROR(__xludf.DUMMYFUNCTION("QUERY('Volunteer Survey'!J838)"),"")</f>
        <v/>
      </c>
      <c r="AJ839" s="183" t="str">
        <f>IFERROR(__xludf.DUMMYFUNCTION("QUERY('Volunteer Survey'!K838)"),"")</f>
        <v/>
      </c>
      <c r="AK839" s="183" t="str">
        <f>IFERROR(__xludf.DUMMYFUNCTION("QUERY('Volunteer Survey'!L838)"),"")</f>
        <v/>
      </c>
      <c r="AL839" s="183" t="str">
        <f>IFERROR(__xludf.DUMMYFUNCTION("QUERY('Volunteer Survey'!M838)"),"")</f>
        <v/>
      </c>
      <c r="AM839" s="183" t="str">
        <f>IFERROR(__xludf.DUMMYFUNCTION("QUERY('Volunteer Survey'!N838)"),"")</f>
        <v/>
      </c>
      <c r="AN839" s="183" t="str">
        <f>IFERROR(__xludf.DUMMYFUNCTION("QUERY('Volunteer Survey'!O838)"),"")</f>
        <v/>
      </c>
      <c r="AO839" s="183" t="str">
        <f>IFERROR(__xludf.DUMMYFUNCTION("QUERY('Volunteer Survey'!P838)"),"")</f>
        <v/>
      </c>
    </row>
    <row r="840">
      <c r="A840" s="55"/>
      <c r="B840" s="55"/>
      <c r="C840" s="53"/>
      <c r="D840" s="55"/>
      <c r="E840" s="55"/>
      <c r="F840" s="55" t="b">
        <v>0</v>
      </c>
      <c r="G840" s="55"/>
      <c r="H840" s="53"/>
      <c r="I840" s="53"/>
      <c r="J840" s="55"/>
      <c r="K840" s="55"/>
      <c r="L840" s="55"/>
      <c r="M840" s="55"/>
      <c r="N840" s="55"/>
      <c r="O840" s="55" t="b">
        <v>0</v>
      </c>
      <c r="P840" s="55"/>
      <c r="Q840" s="55"/>
      <c r="R840" s="55"/>
      <c r="S840" s="55"/>
      <c r="T840" s="55"/>
      <c r="U840" s="64"/>
      <c r="V840" s="55"/>
      <c r="W840" s="64"/>
      <c r="X840" s="55"/>
      <c r="Y840" s="53"/>
      <c r="Z840" s="183" t="str">
        <f>IFERROR(__xludf.DUMMYFUNCTION("QUERY('Volunteer Survey'!A839)"),"")</f>
        <v/>
      </c>
      <c r="AA840" s="183" t="str">
        <f>IFERROR(__xludf.DUMMYFUNCTION("QUERY('Volunteer Survey'!B839)"),"")</f>
        <v/>
      </c>
      <c r="AB840" s="183" t="str">
        <f>IFERROR(__xludf.DUMMYFUNCTION("QUERY('Volunteer Survey'!C839)"),"")</f>
        <v/>
      </c>
      <c r="AC840" s="183" t="str">
        <f>IFERROR(__xludf.DUMMYFUNCTION("QUERY('Volunteer Survey'!D839)"),"")</f>
        <v/>
      </c>
      <c r="AD840" s="183" t="str">
        <f>IFERROR(__xludf.DUMMYFUNCTION("QUERY('Volunteer Survey'!E839)"),"")</f>
        <v/>
      </c>
      <c r="AE840" s="183" t="str">
        <f>IFERROR(__xludf.DUMMYFUNCTION("QUERY('Volunteer Survey'!F839)"),"")</f>
        <v/>
      </c>
      <c r="AF840" s="183" t="str">
        <f>IFERROR(__xludf.DUMMYFUNCTION("QUERY('Volunteer Survey'!G839)"),"")</f>
        <v/>
      </c>
      <c r="AG840" s="183" t="str">
        <f>IFERROR(__xludf.DUMMYFUNCTION("QUERY('Volunteer Survey'!H839)"),"")</f>
        <v/>
      </c>
      <c r="AH840" s="183" t="str">
        <f>IFERROR(__xludf.DUMMYFUNCTION("QUERY('Volunteer Survey'!I839)"),"")</f>
        <v/>
      </c>
      <c r="AI840" s="183" t="str">
        <f>IFERROR(__xludf.DUMMYFUNCTION("QUERY('Volunteer Survey'!J839)"),"")</f>
        <v/>
      </c>
      <c r="AJ840" s="183" t="str">
        <f>IFERROR(__xludf.DUMMYFUNCTION("QUERY('Volunteer Survey'!K839)"),"")</f>
        <v/>
      </c>
      <c r="AK840" s="183" t="str">
        <f>IFERROR(__xludf.DUMMYFUNCTION("QUERY('Volunteer Survey'!L839)"),"")</f>
        <v/>
      </c>
      <c r="AL840" s="183" t="str">
        <f>IFERROR(__xludf.DUMMYFUNCTION("QUERY('Volunteer Survey'!M839)"),"")</f>
        <v/>
      </c>
      <c r="AM840" s="183" t="str">
        <f>IFERROR(__xludf.DUMMYFUNCTION("QUERY('Volunteer Survey'!N839)"),"")</f>
        <v/>
      </c>
      <c r="AN840" s="183" t="str">
        <f>IFERROR(__xludf.DUMMYFUNCTION("QUERY('Volunteer Survey'!O839)"),"")</f>
        <v/>
      </c>
      <c r="AO840" s="183" t="str">
        <f>IFERROR(__xludf.DUMMYFUNCTION("QUERY('Volunteer Survey'!P839)"),"")</f>
        <v/>
      </c>
    </row>
    <row r="841">
      <c r="A841" s="55"/>
      <c r="B841" s="55"/>
      <c r="C841" s="53"/>
      <c r="D841" s="55"/>
      <c r="E841" s="55"/>
      <c r="F841" s="55" t="b">
        <v>0</v>
      </c>
      <c r="G841" s="55"/>
      <c r="H841" s="53"/>
      <c r="I841" s="53"/>
      <c r="J841" s="55"/>
      <c r="K841" s="55"/>
      <c r="L841" s="55"/>
      <c r="M841" s="55"/>
      <c r="N841" s="55"/>
      <c r="O841" s="55" t="b">
        <v>0</v>
      </c>
      <c r="P841" s="55"/>
      <c r="Q841" s="55"/>
      <c r="R841" s="55"/>
      <c r="S841" s="55"/>
      <c r="T841" s="55"/>
      <c r="U841" s="64"/>
      <c r="V841" s="55"/>
      <c r="W841" s="64"/>
      <c r="X841" s="55"/>
      <c r="Y841" s="53"/>
      <c r="Z841" s="183" t="str">
        <f>IFERROR(__xludf.DUMMYFUNCTION("QUERY('Volunteer Survey'!A840)"),"")</f>
        <v/>
      </c>
      <c r="AA841" s="183" t="str">
        <f>IFERROR(__xludf.DUMMYFUNCTION("QUERY('Volunteer Survey'!B840)"),"")</f>
        <v/>
      </c>
      <c r="AB841" s="183" t="str">
        <f>IFERROR(__xludf.DUMMYFUNCTION("QUERY('Volunteer Survey'!C840)"),"")</f>
        <v/>
      </c>
      <c r="AC841" s="183" t="str">
        <f>IFERROR(__xludf.DUMMYFUNCTION("QUERY('Volunteer Survey'!D840)"),"")</f>
        <v/>
      </c>
      <c r="AD841" s="183" t="str">
        <f>IFERROR(__xludf.DUMMYFUNCTION("QUERY('Volunteer Survey'!E840)"),"")</f>
        <v/>
      </c>
      <c r="AE841" s="183" t="str">
        <f>IFERROR(__xludf.DUMMYFUNCTION("QUERY('Volunteer Survey'!F840)"),"")</f>
        <v/>
      </c>
      <c r="AF841" s="183" t="str">
        <f>IFERROR(__xludf.DUMMYFUNCTION("QUERY('Volunteer Survey'!G840)"),"")</f>
        <v/>
      </c>
      <c r="AG841" s="183" t="str">
        <f>IFERROR(__xludf.DUMMYFUNCTION("QUERY('Volunteer Survey'!H840)"),"")</f>
        <v/>
      </c>
      <c r="AH841" s="183" t="str">
        <f>IFERROR(__xludf.DUMMYFUNCTION("QUERY('Volunteer Survey'!I840)"),"")</f>
        <v/>
      </c>
      <c r="AI841" s="183" t="str">
        <f>IFERROR(__xludf.DUMMYFUNCTION("QUERY('Volunteer Survey'!J840)"),"")</f>
        <v/>
      </c>
      <c r="AJ841" s="183" t="str">
        <f>IFERROR(__xludf.DUMMYFUNCTION("QUERY('Volunteer Survey'!K840)"),"")</f>
        <v/>
      </c>
      <c r="AK841" s="183" t="str">
        <f>IFERROR(__xludf.DUMMYFUNCTION("QUERY('Volunteer Survey'!L840)"),"")</f>
        <v/>
      </c>
      <c r="AL841" s="183" t="str">
        <f>IFERROR(__xludf.DUMMYFUNCTION("QUERY('Volunteer Survey'!M840)"),"")</f>
        <v/>
      </c>
      <c r="AM841" s="183" t="str">
        <f>IFERROR(__xludf.DUMMYFUNCTION("QUERY('Volunteer Survey'!N840)"),"")</f>
        <v/>
      </c>
      <c r="AN841" s="183" t="str">
        <f>IFERROR(__xludf.DUMMYFUNCTION("QUERY('Volunteer Survey'!O840)"),"")</f>
        <v/>
      </c>
      <c r="AO841" s="183" t="str">
        <f>IFERROR(__xludf.DUMMYFUNCTION("QUERY('Volunteer Survey'!P840)"),"")</f>
        <v/>
      </c>
    </row>
    <row r="842">
      <c r="A842" s="55"/>
      <c r="B842" s="55"/>
      <c r="C842" s="53"/>
      <c r="D842" s="55"/>
      <c r="E842" s="55"/>
      <c r="F842" s="55" t="b">
        <v>0</v>
      </c>
      <c r="G842" s="55"/>
      <c r="H842" s="53"/>
      <c r="I842" s="53"/>
      <c r="J842" s="55"/>
      <c r="K842" s="55"/>
      <c r="L842" s="55"/>
      <c r="M842" s="55"/>
      <c r="N842" s="55"/>
      <c r="O842" s="55" t="b">
        <v>0</v>
      </c>
      <c r="P842" s="55"/>
      <c r="Q842" s="55"/>
      <c r="R842" s="55"/>
      <c r="S842" s="55"/>
      <c r="T842" s="55"/>
      <c r="U842" s="64"/>
      <c r="V842" s="55"/>
      <c r="W842" s="64"/>
      <c r="X842" s="55"/>
      <c r="Y842" s="53"/>
      <c r="Z842" s="183" t="str">
        <f>IFERROR(__xludf.DUMMYFUNCTION("QUERY('Volunteer Survey'!A841)"),"")</f>
        <v/>
      </c>
      <c r="AA842" s="183" t="str">
        <f>IFERROR(__xludf.DUMMYFUNCTION("QUERY('Volunteer Survey'!B841)"),"")</f>
        <v/>
      </c>
      <c r="AB842" s="183" t="str">
        <f>IFERROR(__xludf.DUMMYFUNCTION("QUERY('Volunteer Survey'!C841)"),"")</f>
        <v/>
      </c>
      <c r="AC842" s="183" t="str">
        <f>IFERROR(__xludf.DUMMYFUNCTION("QUERY('Volunteer Survey'!D841)"),"")</f>
        <v/>
      </c>
      <c r="AD842" s="183" t="str">
        <f>IFERROR(__xludf.DUMMYFUNCTION("QUERY('Volunteer Survey'!E841)"),"")</f>
        <v/>
      </c>
      <c r="AE842" s="183" t="str">
        <f>IFERROR(__xludf.DUMMYFUNCTION("QUERY('Volunteer Survey'!F841)"),"")</f>
        <v/>
      </c>
      <c r="AF842" s="183" t="str">
        <f>IFERROR(__xludf.DUMMYFUNCTION("QUERY('Volunteer Survey'!G841)"),"")</f>
        <v/>
      </c>
      <c r="AG842" s="183" t="str">
        <f>IFERROR(__xludf.DUMMYFUNCTION("QUERY('Volunteer Survey'!H841)"),"")</f>
        <v/>
      </c>
      <c r="AH842" s="183" t="str">
        <f>IFERROR(__xludf.DUMMYFUNCTION("QUERY('Volunteer Survey'!I841)"),"")</f>
        <v/>
      </c>
      <c r="AI842" s="183" t="str">
        <f>IFERROR(__xludf.DUMMYFUNCTION("QUERY('Volunteer Survey'!J841)"),"")</f>
        <v/>
      </c>
      <c r="AJ842" s="183" t="str">
        <f>IFERROR(__xludf.DUMMYFUNCTION("QUERY('Volunteer Survey'!K841)"),"")</f>
        <v/>
      </c>
      <c r="AK842" s="183" t="str">
        <f>IFERROR(__xludf.DUMMYFUNCTION("QUERY('Volunteer Survey'!L841)"),"")</f>
        <v/>
      </c>
      <c r="AL842" s="183" t="str">
        <f>IFERROR(__xludf.DUMMYFUNCTION("QUERY('Volunteer Survey'!M841)"),"")</f>
        <v/>
      </c>
      <c r="AM842" s="183" t="str">
        <f>IFERROR(__xludf.DUMMYFUNCTION("QUERY('Volunteer Survey'!N841)"),"")</f>
        <v/>
      </c>
      <c r="AN842" s="183" t="str">
        <f>IFERROR(__xludf.DUMMYFUNCTION("QUERY('Volunteer Survey'!O841)"),"")</f>
        <v/>
      </c>
      <c r="AO842" s="183" t="str">
        <f>IFERROR(__xludf.DUMMYFUNCTION("QUERY('Volunteer Survey'!P841)"),"")</f>
        <v/>
      </c>
    </row>
    <row r="843">
      <c r="A843" s="55"/>
      <c r="B843" s="55"/>
      <c r="C843" s="53"/>
      <c r="D843" s="55"/>
      <c r="E843" s="55"/>
      <c r="F843" s="55" t="b">
        <v>0</v>
      </c>
      <c r="G843" s="55"/>
      <c r="H843" s="53"/>
      <c r="I843" s="53"/>
      <c r="J843" s="55"/>
      <c r="K843" s="55"/>
      <c r="L843" s="55"/>
      <c r="M843" s="55"/>
      <c r="N843" s="55"/>
      <c r="O843" s="55" t="b">
        <v>0</v>
      </c>
      <c r="P843" s="55"/>
      <c r="Q843" s="55"/>
      <c r="R843" s="55"/>
      <c r="S843" s="55"/>
      <c r="T843" s="55"/>
      <c r="U843" s="64"/>
      <c r="V843" s="55"/>
      <c r="W843" s="64"/>
      <c r="X843" s="55"/>
      <c r="Y843" s="53"/>
      <c r="Z843" s="183" t="str">
        <f>IFERROR(__xludf.DUMMYFUNCTION("QUERY('Volunteer Survey'!A842)"),"")</f>
        <v/>
      </c>
      <c r="AA843" s="183" t="str">
        <f>IFERROR(__xludf.DUMMYFUNCTION("QUERY('Volunteer Survey'!B842)"),"")</f>
        <v/>
      </c>
      <c r="AB843" s="183" t="str">
        <f>IFERROR(__xludf.DUMMYFUNCTION("QUERY('Volunteer Survey'!C842)"),"")</f>
        <v/>
      </c>
      <c r="AC843" s="183" t="str">
        <f>IFERROR(__xludf.DUMMYFUNCTION("QUERY('Volunteer Survey'!D842)"),"")</f>
        <v/>
      </c>
      <c r="AD843" s="183" t="str">
        <f>IFERROR(__xludf.DUMMYFUNCTION("QUERY('Volunteer Survey'!E842)"),"")</f>
        <v/>
      </c>
      <c r="AE843" s="183" t="str">
        <f>IFERROR(__xludf.DUMMYFUNCTION("QUERY('Volunteer Survey'!F842)"),"")</f>
        <v/>
      </c>
      <c r="AF843" s="183" t="str">
        <f>IFERROR(__xludf.DUMMYFUNCTION("QUERY('Volunteer Survey'!G842)"),"")</f>
        <v/>
      </c>
      <c r="AG843" s="183" t="str">
        <f>IFERROR(__xludf.DUMMYFUNCTION("QUERY('Volunteer Survey'!H842)"),"")</f>
        <v/>
      </c>
      <c r="AH843" s="183" t="str">
        <f>IFERROR(__xludf.DUMMYFUNCTION("QUERY('Volunteer Survey'!I842)"),"")</f>
        <v/>
      </c>
      <c r="AI843" s="183" t="str">
        <f>IFERROR(__xludf.DUMMYFUNCTION("QUERY('Volunteer Survey'!J842)"),"")</f>
        <v/>
      </c>
      <c r="AJ843" s="183" t="str">
        <f>IFERROR(__xludf.DUMMYFUNCTION("QUERY('Volunteer Survey'!K842)"),"")</f>
        <v/>
      </c>
      <c r="AK843" s="183" t="str">
        <f>IFERROR(__xludf.DUMMYFUNCTION("QUERY('Volunteer Survey'!L842)"),"")</f>
        <v/>
      </c>
      <c r="AL843" s="183" t="str">
        <f>IFERROR(__xludf.DUMMYFUNCTION("QUERY('Volunteer Survey'!M842)"),"")</f>
        <v/>
      </c>
      <c r="AM843" s="183" t="str">
        <f>IFERROR(__xludf.DUMMYFUNCTION("QUERY('Volunteer Survey'!N842)"),"")</f>
        <v/>
      </c>
      <c r="AN843" s="183" t="str">
        <f>IFERROR(__xludf.DUMMYFUNCTION("QUERY('Volunteer Survey'!O842)"),"")</f>
        <v/>
      </c>
      <c r="AO843" s="183" t="str">
        <f>IFERROR(__xludf.DUMMYFUNCTION("QUERY('Volunteer Survey'!P842)"),"")</f>
        <v/>
      </c>
    </row>
    <row r="844">
      <c r="A844" s="55"/>
      <c r="B844" s="55"/>
      <c r="C844" s="53"/>
      <c r="D844" s="55"/>
      <c r="E844" s="55"/>
      <c r="F844" s="55" t="b">
        <v>0</v>
      </c>
      <c r="G844" s="55"/>
      <c r="H844" s="53"/>
      <c r="I844" s="53"/>
      <c r="J844" s="55"/>
      <c r="K844" s="55"/>
      <c r="L844" s="55"/>
      <c r="M844" s="55"/>
      <c r="N844" s="55"/>
      <c r="O844" s="55" t="b">
        <v>0</v>
      </c>
      <c r="P844" s="55"/>
      <c r="Q844" s="55"/>
      <c r="R844" s="55"/>
      <c r="S844" s="55"/>
      <c r="T844" s="55"/>
      <c r="U844" s="64"/>
      <c r="V844" s="55"/>
      <c r="W844" s="64"/>
      <c r="X844" s="55"/>
      <c r="Y844" s="53"/>
      <c r="Z844" s="183" t="str">
        <f>IFERROR(__xludf.DUMMYFUNCTION("QUERY('Volunteer Survey'!A843)"),"")</f>
        <v/>
      </c>
      <c r="AA844" s="183" t="str">
        <f>IFERROR(__xludf.DUMMYFUNCTION("QUERY('Volunteer Survey'!B843)"),"")</f>
        <v/>
      </c>
      <c r="AB844" s="183" t="str">
        <f>IFERROR(__xludf.DUMMYFUNCTION("QUERY('Volunteer Survey'!C843)"),"")</f>
        <v/>
      </c>
      <c r="AC844" s="183" t="str">
        <f>IFERROR(__xludf.DUMMYFUNCTION("QUERY('Volunteer Survey'!D843)"),"")</f>
        <v/>
      </c>
      <c r="AD844" s="183" t="str">
        <f>IFERROR(__xludf.DUMMYFUNCTION("QUERY('Volunteer Survey'!E843)"),"")</f>
        <v/>
      </c>
      <c r="AE844" s="183" t="str">
        <f>IFERROR(__xludf.DUMMYFUNCTION("QUERY('Volunteer Survey'!F843)"),"")</f>
        <v/>
      </c>
      <c r="AF844" s="183" t="str">
        <f>IFERROR(__xludf.DUMMYFUNCTION("QUERY('Volunteer Survey'!G843)"),"")</f>
        <v/>
      </c>
      <c r="AG844" s="183" t="str">
        <f>IFERROR(__xludf.DUMMYFUNCTION("QUERY('Volunteer Survey'!H843)"),"")</f>
        <v/>
      </c>
      <c r="AH844" s="183" t="str">
        <f>IFERROR(__xludf.DUMMYFUNCTION("QUERY('Volunteer Survey'!I843)"),"")</f>
        <v/>
      </c>
      <c r="AI844" s="183" t="str">
        <f>IFERROR(__xludf.DUMMYFUNCTION("QUERY('Volunteer Survey'!J843)"),"")</f>
        <v/>
      </c>
      <c r="AJ844" s="183" t="str">
        <f>IFERROR(__xludf.DUMMYFUNCTION("QUERY('Volunteer Survey'!K843)"),"")</f>
        <v/>
      </c>
      <c r="AK844" s="183" t="str">
        <f>IFERROR(__xludf.DUMMYFUNCTION("QUERY('Volunteer Survey'!L843)"),"")</f>
        <v/>
      </c>
      <c r="AL844" s="183" t="str">
        <f>IFERROR(__xludf.DUMMYFUNCTION("QUERY('Volunteer Survey'!M843)"),"")</f>
        <v/>
      </c>
      <c r="AM844" s="183" t="str">
        <f>IFERROR(__xludf.DUMMYFUNCTION("QUERY('Volunteer Survey'!N843)"),"")</f>
        <v/>
      </c>
      <c r="AN844" s="183" t="str">
        <f>IFERROR(__xludf.DUMMYFUNCTION("QUERY('Volunteer Survey'!O843)"),"")</f>
        <v/>
      </c>
      <c r="AO844" s="183" t="str">
        <f>IFERROR(__xludf.DUMMYFUNCTION("QUERY('Volunteer Survey'!P843)"),"")</f>
        <v/>
      </c>
    </row>
    <row r="845">
      <c r="A845" s="55"/>
      <c r="B845" s="55"/>
      <c r="C845" s="53"/>
      <c r="D845" s="55"/>
      <c r="E845" s="55"/>
      <c r="F845" s="55" t="b">
        <v>0</v>
      </c>
      <c r="G845" s="55"/>
      <c r="H845" s="53"/>
      <c r="I845" s="53"/>
      <c r="J845" s="55"/>
      <c r="K845" s="55"/>
      <c r="L845" s="55"/>
      <c r="M845" s="55"/>
      <c r="N845" s="55"/>
      <c r="O845" s="55" t="b">
        <v>0</v>
      </c>
      <c r="P845" s="55"/>
      <c r="Q845" s="55"/>
      <c r="R845" s="55"/>
      <c r="S845" s="55"/>
      <c r="T845" s="55"/>
      <c r="U845" s="64"/>
      <c r="V845" s="55"/>
      <c r="W845" s="64"/>
      <c r="X845" s="55"/>
      <c r="Y845" s="53"/>
      <c r="Z845" s="183" t="str">
        <f>IFERROR(__xludf.DUMMYFUNCTION("QUERY('Volunteer Survey'!A844)"),"")</f>
        <v/>
      </c>
      <c r="AA845" s="183" t="str">
        <f>IFERROR(__xludf.DUMMYFUNCTION("QUERY('Volunteer Survey'!B844)"),"")</f>
        <v/>
      </c>
      <c r="AB845" s="183" t="str">
        <f>IFERROR(__xludf.DUMMYFUNCTION("QUERY('Volunteer Survey'!C844)"),"")</f>
        <v/>
      </c>
      <c r="AC845" s="183" t="str">
        <f>IFERROR(__xludf.DUMMYFUNCTION("QUERY('Volunteer Survey'!D844)"),"")</f>
        <v/>
      </c>
      <c r="AD845" s="183" t="str">
        <f>IFERROR(__xludf.DUMMYFUNCTION("QUERY('Volunteer Survey'!E844)"),"")</f>
        <v/>
      </c>
      <c r="AE845" s="183" t="str">
        <f>IFERROR(__xludf.DUMMYFUNCTION("QUERY('Volunteer Survey'!F844)"),"")</f>
        <v/>
      </c>
      <c r="AF845" s="183" t="str">
        <f>IFERROR(__xludf.DUMMYFUNCTION("QUERY('Volunteer Survey'!G844)"),"")</f>
        <v/>
      </c>
      <c r="AG845" s="183" t="str">
        <f>IFERROR(__xludf.DUMMYFUNCTION("QUERY('Volunteer Survey'!H844)"),"")</f>
        <v/>
      </c>
      <c r="AH845" s="183" t="str">
        <f>IFERROR(__xludf.DUMMYFUNCTION("QUERY('Volunteer Survey'!I844)"),"")</f>
        <v/>
      </c>
      <c r="AI845" s="183" t="str">
        <f>IFERROR(__xludf.DUMMYFUNCTION("QUERY('Volunteer Survey'!J844)"),"")</f>
        <v/>
      </c>
      <c r="AJ845" s="183" t="str">
        <f>IFERROR(__xludf.DUMMYFUNCTION("QUERY('Volunteer Survey'!K844)"),"")</f>
        <v/>
      </c>
      <c r="AK845" s="183" t="str">
        <f>IFERROR(__xludf.DUMMYFUNCTION("QUERY('Volunteer Survey'!L844)"),"")</f>
        <v/>
      </c>
      <c r="AL845" s="183" t="str">
        <f>IFERROR(__xludf.DUMMYFUNCTION("QUERY('Volunteer Survey'!M844)"),"")</f>
        <v/>
      </c>
      <c r="AM845" s="183" t="str">
        <f>IFERROR(__xludf.DUMMYFUNCTION("QUERY('Volunteer Survey'!N844)"),"")</f>
        <v/>
      </c>
      <c r="AN845" s="183" t="str">
        <f>IFERROR(__xludf.DUMMYFUNCTION("QUERY('Volunteer Survey'!O844)"),"")</f>
        <v/>
      </c>
      <c r="AO845" s="183" t="str">
        <f>IFERROR(__xludf.DUMMYFUNCTION("QUERY('Volunteer Survey'!P844)"),"")</f>
        <v/>
      </c>
    </row>
    <row r="846">
      <c r="A846" s="55"/>
      <c r="B846" s="55"/>
      <c r="C846" s="53"/>
      <c r="D846" s="55"/>
      <c r="E846" s="55"/>
      <c r="F846" s="55" t="b">
        <v>0</v>
      </c>
      <c r="G846" s="55"/>
      <c r="H846" s="53"/>
      <c r="I846" s="53"/>
      <c r="J846" s="55"/>
      <c r="K846" s="55"/>
      <c r="L846" s="55"/>
      <c r="M846" s="55"/>
      <c r="N846" s="55"/>
      <c r="O846" s="55" t="b">
        <v>0</v>
      </c>
      <c r="P846" s="55"/>
      <c r="Q846" s="55"/>
      <c r="R846" s="55"/>
      <c r="S846" s="55"/>
      <c r="T846" s="55"/>
      <c r="U846" s="64"/>
      <c r="V846" s="55"/>
      <c r="W846" s="64"/>
      <c r="X846" s="55"/>
      <c r="Y846" s="53"/>
      <c r="Z846" s="183" t="str">
        <f>IFERROR(__xludf.DUMMYFUNCTION("QUERY('Volunteer Survey'!A845)"),"")</f>
        <v/>
      </c>
      <c r="AA846" s="183" t="str">
        <f>IFERROR(__xludf.DUMMYFUNCTION("QUERY('Volunteer Survey'!B845)"),"")</f>
        <v/>
      </c>
      <c r="AB846" s="183" t="str">
        <f>IFERROR(__xludf.DUMMYFUNCTION("QUERY('Volunteer Survey'!C845)"),"")</f>
        <v/>
      </c>
      <c r="AC846" s="183" t="str">
        <f>IFERROR(__xludf.DUMMYFUNCTION("QUERY('Volunteer Survey'!D845)"),"")</f>
        <v/>
      </c>
      <c r="AD846" s="183" t="str">
        <f>IFERROR(__xludf.DUMMYFUNCTION("QUERY('Volunteer Survey'!E845)"),"")</f>
        <v/>
      </c>
      <c r="AE846" s="183" t="str">
        <f>IFERROR(__xludf.DUMMYFUNCTION("QUERY('Volunteer Survey'!F845)"),"")</f>
        <v/>
      </c>
      <c r="AF846" s="183" t="str">
        <f>IFERROR(__xludf.DUMMYFUNCTION("QUERY('Volunteer Survey'!G845)"),"")</f>
        <v/>
      </c>
      <c r="AG846" s="183" t="str">
        <f>IFERROR(__xludf.DUMMYFUNCTION("QUERY('Volunteer Survey'!H845)"),"")</f>
        <v/>
      </c>
      <c r="AH846" s="183" t="str">
        <f>IFERROR(__xludf.DUMMYFUNCTION("QUERY('Volunteer Survey'!I845)"),"")</f>
        <v/>
      </c>
      <c r="AI846" s="183" t="str">
        <f>IFERROR(__xludf.DUMMYFUNCTION("QUERY('Volunteer Survey'!J845)"),"")</f>
        <v/>
      </c>
      <c r="AJ846" s="183" t="str">
        <f>IFERROR(__xludf.DUMMYFUNCTION("QUERY('Volunteer Survey'!K845)"),"")</f>
        <v/>
      </c>
      <c r="AK846" s="183" t="str">
        <f>IFERROR(__xludf.DUMMYFUNCTION("QUERY('Volunteer Survey'!L845)"),"")</f>
        <v/>
      </c>
      <c r="AL846" s="183" t="str">
        <f>IFERROR(__xludf.DUMMYFUNCTION("QUERY('Volunteer Survey'!M845)"),"")</f>
        <v/>
      </c>
      <c r="AM846" s="183" t="str">
        <f>IFERROR(__xludf.DUMMYFUNCTION("QUERY('Volunteer Survey'!N845)"),"")</f>
        <v/>
      </c>
      <c r="AN846" s="183" t="str">
        <f>IFERROR(__xludf.DUMMYFUNCTION("QUERY('Volunteer Survey'!O845)"),"")</f>
        <v/>
      </c>
      <c r="AO846" s="183" t="str">
        <f>IFERROR(__xludf.DUMMYFUNCTION("QUERY('Volunteer Survey'!P845)"),"")</f>
        <v/>
      </c>
    </row>
    <row r="847">
      <c r="A847" s="55"/>
      <c r="B847" s="55"/>
      <c r="C847" s="53"/>
      <c r="D847" s="55"/>
      <c r="E847" s="55"/>
      <c r="F847" s="55" t="b">
        <v>0</v>
      </c>
      <c r="G847" s="55"/>
      <c r="H847" s="53"/>
      <c r="I847" s="53"/>
      <c r="J847" s="55"/>
      <c r="K847" s="55"/>
      <c r="L847" s="55"/>
      <c r="M847" s="55"/>
      <c r="N847" s="55"/>
      <c r="O847" s="55" t="b">
        <v>0</v>
      </c>
      <c r="P847" s="55"/>
      <c r="Q847" s="55"/>
      <c r="R847" s="55"/>
      <c r="S847" s="55"/>
      <c r="T847" s="55"/>
      <c r="U847" s="64"/>
      <c r="V847" s="55"/>
      <c r="W847" s="64"/>
      <c r="X847" s="55"/>
      <c r="Y847" s="53"/>
      <c r="Z847" s="183" t="str">
        <f>IFERROR(__xludf.DUMMYFUNCTION("QUERY('Volunteer Survey'!A846)"),"")</f>
        <v/>
      </c>
      <c r="AA847" s="183" t="str">
        <f>IFERROR(__xludf.DUMMYFUNCTION("QUERY('Volunteer Survey'!B846)"),"")</f>
        <v/>
      </c>
      <c r="AB847" s="183" t="str">
        <f>IFERROR(__xludf.DUMMYFUNCTION("QUERY('Volunteer Survey'!C846)"),"")</f>
        <v/>
      </c>
      <c r="AC847" s="183" t="str">
        <f>IFERROR(__xludf.DUMMYFUNCTION("QUERY('Volunteer Survey'!D846)"),"")</f>
        <v/>
      </c>
      <c r="AD847" s="183" t="str">
        <f>IFERROR(__xludf.DUMMYFUNCTION("QUERY('Volunteer Survey'!E846)"),"")</f>
        <v/>
      </c>
      <c r="AE847" s="183" t="str">
        <f>IFERROR(__xludf.DUMMYFUNCTION("QUERY('Volunteer Survey'!F846)"),"")</f>
        <v/>
      </c>
      <c r="AF847" s="183" t="str">
        <f>IFERROR(__xludf.DUMMYFUNCTION("QUERY('Volunteer Survey'!G846)"),"")</f>
        <v/>
      </c>
      <c r="AG847" s="183" t="str">
        <f>IFERROR(__xludf.DUMMYFUNCTION("QUERY('Volunteer Survey'!H846)"),"")</f>
        <v/>
      </c>
      <c r="AH847" s="183" t="str">
        <f>IFERROR(__xludf.DUMMYFUNCTION("QUERY('Volunteer Survey'!I846)"),"")</f>
        <v/>
      </c>
      <c r="AI847" s="183" t="str">
        <f>IFERROR(__xludf.DUMMYFUNCTION("QUERY('Volunteer Survey'!J846)"),"")</f>
        <v/>
      </c>
      <c r="AJ847" s="183" t="str">
        <f>IFERROR(__xludf.DUMMYFUNCTION("QUERY('Volunteer Survey'!K846)"),"")</f>
        <v/>
      </c>
      <c r="AK847" s="183" t="str">
        <f>IFERROR(__xludf.DUMMYFUNCTION("QUERY('Volunteer Survey'!L846)"),"")</f>
        <v/>
      </c>
      <c r="AL847" s="183" t="str">
        <f>IFERROR(__xludf.DUMMYFUNCTION("QUERY('Volunteer Survey'!M846)"),"")</f>
        <v/>
      </c>
      <c r="AM847" s="183" t="str">
        <f>IFERROR(__xludf.DUMMYFUNCTION("QUERY('Volunteer Survey'!N846)"),"")</f>
        <v/>
      </c>
      <c r="AN847" s="183" t="str">
        <f>IFERROR(__xludf.DUMMYFUNCTION("QUERY('Volunteer Survey'!O846)"),"")</f>
        <v/>
      </c>
      <c r="AO847" s="183" t="str">
        <f>IFERROR(__xludf.DUMMYFUNCTION("QUERY('Volunteer Survey'!P846)"),"")</f>
        <v/>
      </c>
    </row>
    <row r="848">
      <c r="A848" s="55"/>
      <c r="B848" s="55"/>
      <c r="C848" s="53"/>
      <c r="D848" s="55"/>
      <c r="E848" s="55"/>
      <c r="F848" s="55" t="b">
        <v>0</v>
      </c>
      <c r="G848" s="55"/>
      <c r="H848" s="53"/>
      <c r="I848" s="53"/>
      <c r="J848" s="55"/>
      <c r="K848" s="55"/>
      <c r="L848" s="55"/>
      <c r="M848" s="55"/>
      <c r="N848" s="55"/>
      <c r="O848" s="55" t="b">
        <v>0</v>
      </c>
      <c r="P848" s="55"/>
      <c r="Q848" s="55"/>
      <c r="R848" s="55"/>
      <c r="S848" s="55"/>
      <c r="T848" s="55"/>
      <c r="U848" s="64"/>
      <c r="V848" s="55"/>
      <c r="W848" s="64"/>
      <c r="X848" s="55"/>
      <c r="Y848" s="53"/>
      <c r="Z848" s="183" t="str">
        <f>IFERROR(__xludf.DUMMYFUNCTION("QUERY('Volunteer Survey'!A847)"),"")</f>
        <v/>
      </c>
      <c r="AA848" s="183" t="str">
        <f>IFERROR(__xludf.DUMMYFUNCTION("QUERY('Volunteer Survey'!B847)"),"")</f>
        <v/>
      </c>
      <c r="AB848" s="183" t="str">
        <f>IFERROR(__xludf.DUMMYFUNCTION("QUERY('Volunteer Survey'!C847)"),"")</f>
        <v/>
      </c>
      <c r="AC848" s="183" t="str">
        <f>IFERROR(__xludf.DUMMYFUNCTION("QUERY('Volunteer Survey'!D847)"),"")</f>
        <v/>
      </c>
      <c r="AD848" s="183" t="str">
        <f>IFERROR(__xludf.DUMMYFUNCTION("QUERY('Volunteer Survey'!E847)"),"")</f>
        <v/>
      </c>
      <c r="AE848" s="183" t="str">
        <f>IFERROR(__xludf.DUMMYFUNCTION("QUERY('Volunteer Survey'!F847)"),"")</f>
        <v/>
      </c>
      <c r="AF848" s="183" t="str">
        <f>IFERROR(__xludf.DUMMYFUNCTION("QUERY('Volunteer Survey'!G847)"),"")</f>
        <v/>
      </c>
      <c r="AG848" s="183" t="str">
        <f>IFERROR(__xludf.DUMMYFUNCTION("QUERY('Volunteer Survey'!H847)"),"")</f>
        <v/>
      </c>
      <c r="AH848" s="183" t="str">
        <f>IFERROR(__xludf.DUMMYFUNCTION("QUERY('Volunteer Survey'!I847)"),"")</f>
        <v/>
      </c>
      <c r="AI848" s="183" t="str">
        <f>IFERROR(__xludf.DUMMYFUNCTION("QUERY('Volunteer Survey'!J847)"),"")</f>
        <v/>
      </c>
      <c r="AJ848" s="183" t="str">
        <f>IFERROR(__xludf.DUMMYFUNCTION("QUERY('Volunteer Survey'!K847)"),"")</f>
        <v/>
      </c>
      <c r="AK848" s="183" t="str">
        <f>IFERROR(__xludf.DUMMYFUNCTION("QUERY('Volunteer Survey'!L847)"),"")</f>
        <v/>
      </c>
      <c r="AL848" s="183" t="str">
        <f>IFERROR(__xludf.DUMMYFUNCTION("QUERY('Volunteer Survey'!M847)"),"")</f>
        <v/>
      </c>
      <c r="AM848" s="183" t="str">
        <f>IFERROR(__xludf.DUMMYFUNCTION("QUERY('Volunteer Survey'!N847)"),"")</f>
        <v/>
      </c>
      <c r="AN848" s="183" t="str">
        <f>IFERROR(__xludf.DUMMYFUNCTION("QUERY('Volunteer Survey'!O847)"),"")</f>
        <v/>
      </c>
      <c r="AO848" s="183" t="str">
        <f>IFERROR(__xludf.DUMMYFUNCTION("QUERY('Volunteer Survey'!P847)"),"")</f>
        <v/>
      </c>
    </row>
    <row r="849">
      <c r="A849" s="55"/>
      <c r="B849" s="55"/>
      <c r="C849" s="53"/>
      <c r="D849" s="55"/>
      <c r="E849" s="55"/>
      <c r="F849" s="55" t="b">
        <v>0</v>
      </c>
      <c r="G849" s="55"/>
      <c r="H849" s="53"/>
      <c r="I849" s="53"/>
      <c r="J849" s="55"/>
      <c r="K849" s="55"/>
      <c r="L849" s="55"/>
      <c r="M849" s="55"/>
      <c r="N849" s="55"/>
      <c r="O849" s="55" t="b">
        <v>0</v>
      </c>
      <c r="P849" s="55"/>
      <c r="Q849" s="55"/>
      <c r="R849" s="55"/>
      <c r="S849" s="55"/>
      <c r="T849" s="55"/>
      <c r="U849" s="64"/>
      <c r="V849" s="55"/>
      <c r="W849" s="64"/>
      <c r="X849" s="55"/>
      <c r="Y849" s="53"/>
      <c r="Z849" s="183" t="str">
        <f>IFERROR(__xludf.DUMMYFUNCTION("QUERY('Volunteer Survey'!A848)"),"")</f>
        <v/>
      </c>
      <c r="AA849" s="183" t="str">
        <f>IFERROR(__xludf.DUMMYFUNCTION("QUERY('Volunteer Survey'!B848)"),"")</f>
        <v/>
      </c>
      <c r="AB849" s="183" t="str">
        <f>IFERROR(__xludf.DUMMYFUNCTION("QUERY('Volunteer Survey'!C848)"),"")</f>
        <v/>
      </c>
      <c r="AC849" s="183" t="str">
        <f>IFERROR(__xludf.DUMMYFUNCTION("QUERY('Volunteer Survey'!D848)"),"")</f>
        <v/>
      </c>
      <c r="AD849" s="183" t="str">
        <f>IFERROR(__xludf.DUMMYFUNCTION("QUERY('Volunteer Survey'!E848)"),"")</f>
        <v/>
      </c>
      <c r="AE849" s="183" t="str">
        <f>IFERROR(__xludf.DUMMYFUNCTION("QUERY('Volunteer Survey'!F848)"),"")</f>
        <v/>
      </c>
      <c r="AF849" s="183" t="str">
        <f>IFERROR(__xludf.DUMMYFUNCTION("QUERY('Volunteer Survey'!G848)"),"")</f>
        <v/>
      </c>
      <c r="AG849" s="183" t="str">
        <f>IFERROR(__xludf.DUMMYFUNCTION("QUERY('Volunteer Survey'!H848)"),"")</f>
        <v/>
      </c>
      <c r="AH849" s="183" t="str">
        <f>IFERROR(__xludf.DUMMYFUNCTION("QUERY('Volunteer Survey'!I848)"),"")</f>
        <v/>
      </c>
      <c r="AI849" s="183" t="str">
        <f>IFERROR(__xludf.DUMMYFUNCTION("QUERY('Volunteer Survey'!J848)"),"")</f>
        <v/>
      </c>
      <c r="AJ849" s="183" t="str">
        <f>IFERROR(__xludf.DUMMYFUNCTION("QUERY('Volunteer Survey'!K848)"),"")</f>
        <v/>
      </c>
      <c r="AK849" s="183" t="str">
        <f>IFERROR(__xludf.DUMMYFUNCTION("QUERY('Volunteer Survey'!L848)"),"")</f>
        <v/>
      </c>
      <c r="AL849" s="183" t="str">
        <f>IFERROR(__xludf.DUMMYFUNCTION("QUERY('Volunteer Survey'!M848)"),"")</f>
        <v/>
      </c>
      <c r="AM849" s="183" t="str">
        <f>IFERROR(__xludf.DUMMYFUNCTION("QUERY('Volunteer Survey'!N848)"),"")</f>
        <v/>
      </c>
      <c r="AN849" s="183" t="str">
        <f>IFERROR(__xludf.DUMMYFUNCTION("QUERY('Volunteer Survey'!O848)"),"")</f>
        <v/>
      </c>
      <c r="AO849" s="183" t="str">
        <f>IFERROR(__xludf.DUMMYFUNCTION("QUERY('Volunteer Survey'!P848)"),"")</f>
        <v/>
      </c>
    </row>
    <row r="850">
      <c r="A850" s="55"/>
      <c r="B850" s="55"/>
      <c r="C850" s="53"/>
      <c r="D850" s="55"/>
      <c r="E850" s="55"/>
      <c r="F850" s="55" t="b">
        <v>0</v>
      </c>
      <c r="G850" s="55"/>
      <c r="H850" s="53"/>
      <c r="I850" s="53"/>
      <c r="J850" s="55"/>
      <c r="K850" s="55"/>
      <c r="L850" s="55"/>
      <c r="M850" s="55"/>
      <c r="N850" s="55"/>
      <c r="O850" s="55" t="b">
        <v>0</v>
      </c>
      <c r="P850" s="55"/>
      <c r="Q850" s="55"/>
      <c r="R850" s="55"/>
      <c r="S850" s="55"/>
      <c r="T850" s="55"/>
      <c r="U850" s="64"/>
      <c r="V850" s="55"/>
      <c r="W850" s="64"/>
      <c r="X850" s="55"/>
      <c r="Y850" s="53"/>
      <c r="Z850" s="183" t="str">
        <f>IFERROR(__xludf.DUMMYFUNCTION("QUERY('Volunteer Survey'!A849)"),"")</f>
        <v/>
      </c>
      <c r="AA850" s="183" t="str">
        <f>IFERROR(__xludf.DUMMYFUNCTION("QUERY('Volunteer Survey'!B849)"),"")</f>
        <v/>
      </c>
      <c r="AB850" s="183" t="str">
        <f>IFERROR(__xludf.DUMMYFUNCTION("QUERY('Volunteer Survey'!C849)"),"")</f>
        <v/>
      </c>
      <c r="AC850" s="183" t="str">
        <f>IFERROR(__xludf.DUMMYFUNCTION("QUERY('Volunteer Survey'!D849)"),"")</f>
        <v/>
      </c>
      <c r="AD850" s="183" t="str">
        <f>IFERROR(__xludf.DUMMYFUNCTION("QUERY('Volunteer Survey'!E849)"),"")</f>
        <v/>
      </c>
      <c r="AE850" s="183" t="str">
        <f>IFERROR(__xludf.DUMMYFUNCTION("QUERY('Volunteer Survey'!F849)"),"")</f>
        <v/>
      </c>
      <c r="AF850" s="183" t="str">
        <f>IFERROR(__xludf.DUMMYFUNCTION("QUERY('Volunteer Survey'!G849)"),"")</f>
        <v/>
      </c>
      <c r="AG850" s="183" t="str">
        <f>IFERROR(__xludf.DUMMYFUNCTION("QUERY('Volunteer Survey'!H849)"),"")</f>
        <v/>
      </c>
      <c r="AH850" s="183" t="str">
        <f>IFERROR(__xludf.DUMMYFUNCTION("QUERY('Volunteer Survey'!I849)"),"")</f>
        <v/>
      </c>
      <c r="AI850" s="183" t="str">
        <f>IFERROR(__xludf.DUMMYFUNCTION("QUERY('Volunteer Survey'!J849)"),"")</f>
        <v/>
      </c>
      <c r="AJ850" s="183" t="str">
        <f>IFERROR(__xludf.DUMMYFUNCTION("QUERY('Volunteer Survey'!K849)"),"")</f>
        <v/>
      </c>
      <c r="AK850" s="183" t="str">
        <f>IFERROR(__xludf.DUMMYFUNCTION("QUERY('Volunteer Survey'!L849)"),"")</f>
        <v/>
      </c>
      <c r="AL850" s="183" t="str">
        <f>IFERROR(__xludf.DUMMYFUNCTION("QUERY('Volunteer Survey'!M849)"),"")</f>
        <v/>
      </c>
      <c r="AM850" s="183" t="str">
        <f>IFERROR(__xludf.DUMMYFUNCTION("QUERY('Volunteer Survey'!N849)"),"")</f>
        <v/>
      </c>
      <c r="AN850" s="183" t="str">
        <f>IFERROR(__xludf.DUMMYFUNCTION("QUERY('Volunteer Survey'!O849)"),"")</f>
        <v/>
      </c>
      <c r="AO850" s="183" t="str">
        <f>IFERROR(__xludf.DUMMYFUNCTION("QUERY('Volunteer Survey'!P849)"),"")</f>
        <v/>
      </c>
    </row>
    <row r="851">
      <c r="A851" s="55"/>
      <c r="B851" s="55"/>
      <c r="C851" s="53"/>
      <c r="D851" s="55"/>
      <c r="E851" s="55"/>
      <c r="F851" s="55" t="b">
        <v>0</v>
      </c>
      <c r="G851" s="55"/>
      <c r="H851" s="53"/>
      <c r="I851" s="53"/>
      <c r="J851" s="55"/>
      <c r="K851" s="55"/>
      <c r="L851" s="55"/>
      <c r="M851" s="55"/>
      <c r="N851" s="55"/>
      <c r="O851" s="55" t="b">
        <v>0</v>
      </c>
      <c r="P851" s="55"/>
      <c r="Q851" s="55"/>
      <c r="R851" s="55"/>
      <c r="S851" s="55"/>
      <c r="T851" s="55"/>
      <c r="U851" s="64"/>
      <c r="V851" s="55"/>
      <c r="W851" s="64"/>
      <c r="X851" s="55"/>
      <c r="Y851" s="53"/>
      <c r="Z851" s="183" t="str">
        <f>IFERROR(__xludf.DUMMYFUNCTION("QUERY('Volunteer Survey'!A850)"),"")</f>
        <v/>
      </c>
      <c r="AA851" s="183" t="str">
        <f>IFERROR(__xludf.DUMMYFUNCTION("QUERY('Volunteer Survey'!B850)"),"")</f>
        <v/>
      </c>
      <c r="AB851" s="183" t="str">
        <f>IFERROR(__xludf.DUMMYFUNCTION("QUERY('Volunteer Survey'!C850)"),"")</f>
        <v/>
      </c>
      <c r="AC851" s="183" t="str">
        <f>IFERROR(__xludf.DUMMYFUNCTION("QUERY('Volunteer Survey'!D850)"),"")</f>
        <v/>
      </c>
      <c r="AD851" s="183" t="str">
        <f>IFERROR(__xludf.DUMMYFUNCTION("QUERY('Volunteer Survey'!E850)"),"")</f>
        <v/>
      </c>
      <c r="AE851" s="183" t="str">
        <f>IFERROR(__xludf.DUMMYFUNCTION("QUERY('Volunteer Survey'!F850)"),"")</f>
        <v/>
      </c>
      <c r="AF851" s="183" t="str">
        <f>IFERROR(__xludf.DUMMYFUNCTION("QUERY('Volunteer Survey'!G850)"),"")</f>
        <v/>
      </c>
      <c r="AG851" s="183" t="str">
        <f>IFERROR(__xludf.DUMMYFUNCTION("QUERY('Volunteer Survey'!H850)"),"")</f>
        <v/>
      </c>
      <c r="AH851" s="183" t="str">
        <f>IFERROR(__xludf.DUMMYFUNCTION("QUERY('Volunteer Survey'!I850)"),"")</f>
        <v/>
      </c>
      <c r="AI851" s="183" t="str">
        <f>IFERROR(__xludf.DUMMYFUNCTION("QUERY('Volunteer Survey'!J850)"),"")</f>
        <v/>
      </c>
      <c r="AJ851" s="183" t="str">
        <f>IFERROR(__xludf.DUMMYFUNCTION("QUERY('Volunteer Survey'!K850)"),"")</f>
        <v/>
      </c>
      <c r="AK851" s="183" t="str">
        <f>IFERROR(__xludf.DUMMYFUNCTION("QUERY('Volunteer Survey'!L850)"),"")</f>
        <v/>
      </c>
      <c r="AL851" s="183" t="str">
        <f>IFERROR(__xludf.DUMMYFUNCTION("QUERY('Volunteer Survey'!M850)"),"")</f>
        <v/>
      </c>
      <c r="AM851" s="183" t="str">
        <f>IFERROR(__xludf.DUMMYFUNCTION("QUERY('Volunteer Survey'!N850)"),"")</f>
        <v/>
      </c>
      <c r="AN851" s="183" t="str">
        <f>IFERROR(__xludf.DUMMYFUNCTION("QUERY('Volunteer Survey'!O850)"),"")</f>
        <v/>
      </c>
      <c r="AO851" s="183" t="str">
        <f>IFERROR(__xludf.DUMMYFUNCTION("QUERY('Volunteer Survey'!P850)"),"")</f>
        <v/>
      </c>
    </row>
    <row r="852">
      <c r="A852" s="55"/>
      <c r="B852" s="55"/>
      <c r="C852" s="53"/>
      <c r="D852" s="55"/>
      <c r="E852" s="55"/>
      <c r="F852" s="55" t="b">
        <v>0</v>
      </c>
      <c r="G852" s="55"/>
      <c r="H852" s="53"/>
      <c r="I852" s="53"/>
      <c r="J852" s="55"/>
      <c r="K852" s="55"/>
      <c r="L852" s="55"/>
      <c r="M852" s="55"/>
      <c r="N852" s="55"/>
      <c r="O852" s="55" t="b">
        <v>0</v>
      </c>
      <c r="P852" s="55"/>
      <c r="Q852" s="55"/>
      <c r="R852" s="55"/>
      <c r="S852" s="55"/>
      <c r="T852" s="55"/>
      <c r="U852" s="64"/>
      <c r="V852" s="55"/>
      <c r="W852" s="64"/>
      <c r="X852" s="55"/>
      <c r="Y852" s="53"/>
      <c r="Z852" s="183" t="str">
        <f>IFERROR(__xludf.DUMMYFUNCTION("QUERY('Volunteer Survey'!A851)"),"")</f>
        <v/>
      </c>
      <c r="AA852" s="183" t="str">
        <f>IFERROR(__xludf.DUMMYFUNCTION("QUERY('Volunteer Survey'!B851)"),"")</f>
        <v/>
      </c>
      <c r="AB852" s="183" t="str">
        <f>IFERROR(__xludf.DUMMYFUNCTION("QUERY('Volunteer Survey'!C851)"),"")</f>
        <v/>
      </c>
      <c r="AC852" s="183" t="str">
        <f>IFERROR(__xludf.DUMMYFUNCTION("QUERY('Volunteer Survey'!D851)"),"")</f>
        <v/>
      </c>
      <c r="AD852" s="183" t="str">
        <f>IFERROR(__xludf.DUMMYFUNCTION("QUERY('Volunteer Survey'!E851)"),"")</f>
        <v/>
      </c>
      <c r="AE852" s="183" t="str">
        <f>IFERROR(__xludf.DUMMYFUNCTION("QUERY('Volunteer Survey'!F851)"),"")</f>
        <v/>
      </c>
      <c r="AF852" s="183" t="str">
        <f>IFERROR(__xludf.DUMMYFUNCTION("QUERY('Volunteer Survey'!G851)"),"")</f>
        <v/>
      </c>
      <c r="AG852" s="183" t="str">
        <f>IFERROR(__xludf.DUMMYFUNCTION("QUERY('Volunteer Survey'!H851)"),"")</f>
        <v/>
      </c>
      <c r="AH852" s="183" t="str">
        <f>IFERROR(__xludf.DUMMYFUNCTION("QUERY('Volunteer Survey'!I851)"),"")</f>
        <v/>
      </c>
      <c r="AI852" s="183" t="str">
        <f>IFERROR(__xludf.DUMMYFUNCTION("QUERY('Volunteer Survey'!J851)"),"")</f>
        <v/>
      </c>
      <c r="AJ852" s="183" t="str">
        <f>IFERROR(__xludf.DUMMYFUNCTION("QUERY('Volunteer Survey'!K851)"),"")</f>
        <v/>
      </c>
      <c r="AK852" s="183" t="str">
        <f>IFERROR(__xludf.DUMMYFUNCTION("QUERY('Volunteer Survey'!L851)"),"")</f>
        <v/>
      </c>
      <c r="AL852" s="183" t="str">
        <f>IFERROR(__xludf.DUMMYFUNCTION("QUERY('Volunteer Survey'!M851)"),"")</f>
        <v/>
      </c>
      <c r="AM852" s="183" t="str">
        <f>IFERROR(__xludf.DUMMYFUNCTION("QUERY('Volunteer Survey'!N851)"),"")</f>
        <v/>
      </c>
      <c r="AN852" s="183" t="str">
        <f>IFERROR(__xludf.DUMMYFUNCTION("QUERY('Volunteer Survey'!O851)"),"")</f>
        <v/>
      </c>
      <c r="AO852" s="183" t="str">
        <f>IFERROR(__xludf.DUMMYFUNCTION("QUERY('Volunteer Survey'!P851)"),"")</f>
        <v/>
      </c>
    </row>
    <row r="853">
      <c r="A853" s="55"/>
      <c r="B853" s="55"/>
      <c r="C853" s="53"/>
      <c r="D853" s="55"/>
      <c r="E853" s="55"/>
      <c r="F853" s="55" t="b">
        <v>0</v>
      </c>
      <c r="G853" s="55"/>
      <c r="H853" s="53"/>
      <c r="I853" s="53"/>
      <c r="J853" s="55"/>
      <c r="K853" s="55"/>
      <c r="L853" s="55"/>
      <c r="M853" s="55"/>
      <c r="N853" s="55"/>
      <c r="O853" s="55" t="b">
        <v>0</v>
      </c>
      <c r="P853" s="55"/>
      <c r="Q853" s="55"/>
      <c r="R853" s="55"/>
      <c r="S853" s="55"/>
      <c r="T853" s="55"/>
      <c r="U853" s="64"/>
      <c r="V853" s="55"/>
      <c r="W853" s="64"/>
      <c r="X853" s="55"/>
      <c r="Y853" s="53"/>
      <c r="Z853" s="183" t="str">
        <f>IFERROR(__xludf.DUMMYFUNCTION("QUERY('Volunteer Survey'!A852)"),"")</f>
        <v/>
      </c>
      <c r="AA853" s="183" t="str">
        <f>IFERROR(__xludf.DUMMYFUNCTION("QUERY('Volunteer Survey'!B852)"),"")</f>
        <v/>
      </c>
      <c r="AB853" s="183" t="str">
        <f>IFERROR(__xludf.DUMMYFUNCTION("QUERY('Volunteer Survey'!C852)"),"")</f>
        <v/>
      </c>
      <c r="AC853" s="183" t="str">
        <f>IFERROR(__xludf.DUMMYFUNCTION("QUERY('Volunteer Survey'!D852)"),"")</f>
        <v/>
      </c>
      <c r="AD853" s="183" t="str">
        <f>IFERROR(__xludf.DUMMYFUNCTION("QUERY('Volunteer Survey'!E852)"),"")</f>
        <v/>
      </c>
      <c r="AE853" s="183" t="str">
        <f>IFERROR(__xludf.DUMMYFUNCTION("QUERY('Volunteer Survey'!F852)"),"")</f>
        <v/>
      </c>
      <c r="AF853" s="183" t="str">
        <f>IFERROR(__xludf.DUMMYFUNCTION("QUERY('Volunteer Survey'!G852)"),"")</f>
        <v/>
      </c>
      <c r="AG853" s="183" t="str">
        <f>IFERROR(__xludf.DUMMYFUNCTION("QUERY('Volunteer Survey'!H852)"),"")</f>
        <v/>
      </c>
      <c r="AH853" s="183" t="str">
        <f>IFERROR(__xludf.DUMMYFUNCTION("QUERY('Volunteer Survey'!I852)"),"")</f>
        <v/>
      </c>
      <c r="AI853" s="183" t="str">
        <f>IFERROR(__xludf.DUMMYFUNCTION("QUERY('Volunteer Survey'!J852)"),"")</f>
        <v/>
      </c>
      <c r="AJ853" s="183" t="str">
        <f>IFERROR(__xludf.DUMMYFUNCTION("QUERY('Volunteer Survey'!K852)"),"")</f>
        <v/>
      </c>
      <c r="AK853" s="183" t="str">
        <f>IFERROR(__xludf.DUMMYFUNCTION("QUERY('Volunteer Survey'!L852)"),"")</f>
        <v/>
      </c>
      <c r="AL853" s="183" t="str">
        <f>IFERROR(__xludf.DUMMYFUNCTION("QUERY('Volunteer Survey'!M852)"),"")</f>
        <v/>
      </c>
      <c r="AM853" s="183" t="str">
        <f>IFERROR(__xludf.DUMMYFUNCTION("QUERY('Volunteer Survey'!N852)"),"")</f>
        <v/>
      </c>
      <c r="AN853" s="183" t="str">
        <f>IFERROR(__xludf.DUMMYFUNCTION("QUERY('Volunteer Survey'!O852)"),"")</f>
        <v/>
      </c>
      <c r="AO853" s="183" t="str">
        <f>IFERROR(__xludf.DUMMYFUNCTION("QUERY('Volunteer Survey'!P852)"),"")</f>
        <v/>
      </c>
    </row>
    <row r="854">
      <c r="A854" s="55"/>
      <c r="B854" s="55"/>
      <c r="C854" s="53"/>
      <c r="D854" s="55"/>
      <c r="E854" s="55"/>
      <c r="F854" s="55" t="b">
        <v>0</v>
      </c>
      <c r="G854" s="55"/>
      <c r="H854" s="53"/>
      <c r="I854" s="53"/>
      <c r="J854" s="55"/>
      <c r="K854" s="55"/>
      <c r="L854" s="55"/>
      <c r="M854" s="55"/>
      <c r="N854" s="55"/>
      <c r="O854" s="55" t="b">
        <v>0</v>
      </c>
      <c r="P854" s="55"/>
      <c r="Q854" s="55"/>
      <c r="R854" s="55"/>
      <c r="S854" s="55"/>
      <c r="T854" s="55"/>
      <c r="U854" s="64"/>
      <c r="V854" s="55"/>
      <c r="W854" s="64"/>
      <c r="X854" s="55"/>
      <c r="Y854" s="53"/>
      <c r="Z854" s="183" t="str">
        <f>IFERROR(__xludf.DUMMYFUNCTION("QUERY('Volunteer Survey'!A853)"),"")</f>
        <v/>
      </c>
      <c r="AA854" s="183" t="str">
        <f>IFERROR(__xludf.DUMMYFUNCTION("QUERY('Volunteer Survey'!B853)"),"")</f>
        <v/>
      </c>
      <c r="AB854" s="183" t="str">
        <f>IFERROR(__xludf.DUMMYFUNCTION("QUERY('Volunteer Survey'!C853)"),"")</f>
        <v/>
      </c>
      <c r="AC854" s="183" t="str">
        <f>IFERROR(__xludf.DUMMYFUNCTION("QUERY('Volunteer Survey'!D853)"),"")</f>
        <v/>
      </c>
      <c r="AD854" s="183" t="str">
        <f>IFERROR(__xludf.DUMMYFUNCTION("QUERY('Volunteer Survey'!E853)"),"")</f>
        <v/>
      </c>
      <c r="AE854" s="183" t="str">
        <f>IFERROR(__xludf.DUMMYFUNCTION("QUERY('Volunteer Survey'!F853)"),"")</f>
        <v/>
      </c>
      <c r="AF854" s="183" t="str">
        <f>IFERROR(__xludf.DUMMYFUNCTION("QUERY('Volunteer Survey'!G853)"),"")</f>
        <v/>
      </c>
      <c r="AG854" s="183" t="str">
        <f>IFERROR(__xludf.DUMMYFUNCTION("QUERY('Volunteer Survey'!H853)"),"")</f>
        <v/>
      </c>
      <c r="AH854" s="183" t="str">
        <f>IFERROR(__xludf.DUMMYFUNCTION("QUERY('Volunteer Survey'!I853)"),"")</f>
        <v/>
      </c>
      <c r="AI854" s="183" t="str">
        <f>IFERROR(__xludf.DUMMYFUNCTION("QUERY('Volunteer Survey'!J853)"),"")</f>
        <v/>
      </c>
      <c r="AJ854" s="183" t="str">
        <f>IFERROR(__xludf.DUMMYFUNCTION("QUERY('Volunteer Survey'!K853)"),"")</f>
        <v/>
      </c>
      <c r="AK854" s="183" t="str">
        <f>IFERROR(__xludf.DUMMYFUNCTION("QUERY('Volunteer Survey'!L853)"),"")</f>
        <v/>
      </c>
      <c r="AL854" s="183" t="str">
        <f>IFERROR(__xludf.DUMMYFUNCTION("QUERY('Volunteer Survey'!M853)"),"")</f>
        <v/>
      </c>
      <c r="AM854" s="183" t="str">
        <f>IFERROR(__xludf.DUMMYFUNCTION("QUERY('Volunteer Survey'!N853)"),"")</f>
        <v/>
      </c>
      <c r="AN854" s="183" t="str">
        <f>IFERROR(__xludf.DUMMYFUNCTION("QUERY('Volunteer Survey'!O853)"),"")</f>
        <v/>
      </c>
      <c r="AO854" s="183" t="str">
        <f>IFERROR(__xludf.DUMMYFUNCTION("QUERY('Volunteer Survey'!P853)"),"")</f>
        <v/>
      </c>
    </row>
    <row r="855">
      <c r="A855" s="55"/>
      <c r="B855" s="55"/>
      <c r="C855" s="53"/>
      <c r="D855" s="55"/>
      <c r="E855" s="55"/>
      <c r="F855" s="55" t="b">
        <v>0</v>
      </c>
      <c r="G855" s="55"/>
      <c r="H855" s="53"/>
      <c r="I855" s="53"/>
      <c r="J855" s="55"/>
      <c r="K855" s="55"/>
      <c r="L855" s="55"/>
      <c r="M855" s="55"/>
      <c r="N855" s="55"/>
      <c r="O855" s="55" t="b">
        <v>0</v>
      </c>
      <c r="P855" s="55"/>
      <c r="Q855" s="55"/>
      <c r="R855" s="55"/>
      <c r="S855" s="55"/>
      <c r="T855" s="55"/>
      <c r="U855" s="64"/>
      <c r="V855" s="55"/>
      <c r="W855" s="64"/>
      <c r="X855" s="55"/>
      <c r="Y855" s="53"/>
      <c r="Z855" s="183" t="str">
        <f>IFERROR(__xludf.DUMMYFUNCTION("QUERY('Volunteer Survey'!A854)"),"")</f>
        <v/>
      </c>
      <c r="AA855" s="183" t="str">
        <f>IFERROR(__xludf.DUMMYFUNCTION("QUERY('Volunteer Survey'!B854)"),"")</f>
        <v/>
      </c>
      <c r="AB855" s="183" t="str">
        <f>IFERROR(__xludf.DUMMYFUNCTION("QUERY('Volunteer Survey'!C854)"),"")</f>
        <v/>
      </c>
      <c r="AC855" s="183" t="str">
        <f>IFERROR(__xludf.DUMMYFUNCTION("QUERY('Volunteer Survey'!D854)"),"")</f>
        <v/>
      </c>
      <c r="AD855" s="183" t="str">
        <f>IFERROR(__xludf.DUMMYFUNCTION("QUERY('Volunteer Survey'!E854)"),"")</f>
        <v/>
      </c>
      <c r="AE855" s="183" t="str">
        <f>IFERROR(__xludf.DUMMYFUNCTION("QUERY('Volunteer Survey'!F854)"),"")</f>
        <v/>
      </c>
      <c r="AF855" s="183" t="str">
        <f>IFERROR(__xludf.DUMMYFUNCTION("QUERY('Volunteer Survey'!G854)"),"")</f>
        <v/>
      </c>
      <c r="AG855" s="183" t="str">
        <f>IFERROR(__xludf.DUMMYFUNCTION("QUERY('Volunteer Survey'!H854)"),"")</f>
        <v/>
      </c>
      <c r="AH855" s="183" t="str">
        <f>IFERROR(__xludf.DUMMYFUNCTION("QUERY('Volunteer Survey'!I854)"),"")</f>
        <v/>
      </c>
      <c r="AI855" s="183" t="str">
        <f>IFERROR(__xludf.DUMMYFUNCTION("QUERY('Volunteer Survey'!J854)"),"")</f>
        <v/>
      </c>
      <c r="AJ855" s="183" t="str">
        <f>IFERROR(__xludf.DUMMYFUNCTION("QUERY('Volunteer Survey'!K854)"),"")</f>
        <v/>
      </c>
      <c r="AK855" s="183" t="str">
        <f>IFERROR(__xludf.DUMMYFUNCTION("QUERY('Volunteer Survey'!L854)"),"")</f>
        <v/>
      </c>
      <c r="AL855" s="183" t="str">
        <f>IFERROR(__xludf.DUMMYFUNCTION("QUERY('Volunteer Survey'!M854)"),"")</f>
        <v/>
      </c>
      <c r="AM855" s="183" t="str">
        <f>IFERROR(__xludf.DUMMYFUNCTION("QUERY('Volunteer Survey'!N854)"),"")</f>
        <v/>
      </c>
      <c r="AN855" s="183" t="str">
        <f>IFERROR(__xludf.DUMMYFUNCTION("QUERY('Volunteer Survey'!O854)"),"")</f>
        <v/>
      </c>
      <c r="AO855" s="183" t="str">
        <f>IFERROR(__xludf.DUMMYFUNCTION("QUERY('Volunteer Survey'!P854)"),"")</f>
        <v/>
      </c>
    </row>
    <row r="856">
      <c r="A856" s="55"/>
      <c r="B856" s="55"/>
      <c r="C856" s="53"/>
      <c r="D856" s="55"/>
      <c r="E856" s="55"/>
      <c r="F856" s="55" t="b">
        <v>0</v>
      </c>
      <c r="G856" s="55"/>
      <c r="H856" s="53"/>
      <c r="I856" s="53"/>
      <c r="J856" s="55"/>
      <c r="K856" s="55"/>
      <c r="L856" s="55"/>
      <c r="M856" s="55"/>
      <c r="N856" s="55"/>
      <c r="O856" s="55" t="b">
        <v>0</v>
      </c>
      <c r="P856" s="55"/>
      <c r="Q856" s="55"/>
      <c r="R856" s="55"/>
      <c r="S856" s="55"/>
      <c r="T856" s="55"/>
      <c r="U856" s="64"/>
      <c r="V856" s="55"/>
      <c r="W856" s="64"/>
      <c r="X856" s="55"/>
      <c r="Y856" s="53"/>
      <c r="Z856" s="183" t="str">
        <f>IFERROR(__xludf.DUMMYFUNCTION("QUERY('Volunteer Survey'!A855)"),"")</f>
        <v/>
      </c>
      <c r="AA856" s="183" t="str">
        <f>IFERROR(__xludf.DUMMYFUNCTION("QUERY('Volunteer Survey'!B855)"),"")</f>
        <v/>
      </c>
      <c r="AB856" s="183" t="str">
        <f>IFERROR(__xludf.DUMMYFUNCTION("QUERY('Volunteer Survey'!C855)"),"")</f>
        <v/>
      </c>
      <c r="AC856" s="183" t="str">
        <f>IFERROR(__xludf.DUMMYFUNCTION("QUERY('Volunteer Survey'!D855)"),"")</f>
        <v/>
      </c>
      <c r="AD856" s="183" t="str">
        <f>IFERROR(__xludf.DUMMYFUNCTION("QUERY('Volunteer Survey'!E855)"),"")</f>
        <v/>
      </c>
      <c r="AE856" s="183" t="str">
        <f>IFERROR(__xludf.DUMMYFUNCTION("QUERY('Volunteer Survey'!F855)"),"")</f>
        <v/>
      </c>
      <c r="AF856" s="183" t="str">
        <f>IFERROR(__xludf.DUMMYFUNCTION("QUERY('Volunteer Survey'!G855)"),"")</f>
        <v/>
      </c>
      <c r="AG856" s="183" t="str">
        <f>IFERROR(__xludf.DUMMYFUNCTION("QUERY('Volunteer Survey'!H855)"),"")</f>
        <v/>
      </c>
      <c r="AH856" s="183" t="str">
        <f>IFERROR(__xludf.DUMMYFUNCTION("QUERY('Volunteer Survey'!I855)"),"")</f>
        <v/>
      </c>
      <c r="AI856" s="183" t="str">
        <f>IFERROR(__xludf.DUMMYFUNCTION("QUERY('Volunteer Survey'!J855)"),"")</f>
        <v/>
      </c>
      <c r="AJ856" s="183" t="str">
        <f>IFERROR(__xludf.DUMMYFUNCTION("QUERY('Volunteer Survey'!K855)"),"")</f>
        <v/>
      </c>
      <c r="AK856" s="183" t="str">
        <f>IFERROR(__xludf.DUMMYFUNCTION("QUERY('Volunteer Survey'!L855)"),"")</f>
        <v/>
      </c>
      <c r="AL856" s="183" t="str">
        <f>IFERROR(__xludf.DUMMYFUNCTION("QUERY('Volunteer Survey'!M855)"),"")</f>
        <v/>
      </c>
      <c r="AM856" s="183" t="str">
        <f>IFERROR(__xludf.DUMMYFUNCTION("QUERY('Volunteer Survey'!N855)"),"")</f>
        <v/>
      </c>
      <c r="AN856" s="183" t="str">
        <f>IFERROR(__xludf.DUMMYFUNCTION("QUERY('Volunteer Survey'!O855)"),"")</f>
        <v/>
      </c>
      <c r="AO856" s="183" t="str">
        <f>IFERROR(__xludf.DUMMYFUNCTION("QUERY('Volunteer Survey'!P855)"),"")</f>
        <v/>
      </c>
    </row>
    <row r="857">
      <c r="A857" s="55"/>
      <c r="B857" s="55"/>
      <c r="C857" s="53"/>
      <c r="D857" s="55"/>
      <c r="E857" s="55"/>
      <c r="F857" s="55" t="b">
        <v>0</v>
      </c>
      <c r="G857" s="55"/>
      <c r="H857" s="53"/>
      <c r="I857" s="53"/>
      <c r="J857" s="55"/>
      <c r="K857" s="55"/>
      <c r="L857" s="55"/>
      <c r="M857" s="55"/>
      <c r="N857" s="55"/>
      <c r="O857" s="55" t="b">
        <v>0</v>
      </c>
      <c r="P857" s="55"/>
      <c r="Q857" s="55"/>
      <c r="R857" s="55"/>
      <c r="S857" s="55"/>
      <c r="T857" s="55"/>
      <c r="U857" s="64"/>
      <c r="V857" s="55"/>
      <c r="W857" s="64"/>
      <c r="X857" s="55"/>
      <c r="Y857" s="53"/>
      <c r="Z857" s="183" t="str">
        <f>IFERROR(__xludf.DUMMYFUNCTION("QUERY('Volunteer Survey'!A856)"),"")</f>
        <v/>
      </c>
      <c r="AA857" s="183" t="str">
        <f>IFERROR(__xludf.DUMMYFUNCTION("QUERY('Volunteer Survey'!B856)"),"")</f>
        <v/>
      </c>
      <c r="AB857" s="183" t="str">
        <f>IFERROR(__xludf.DUMMYFUNCTION("QUERY('Volunteer Survey'!C856)"),"")</f>
        <v/>
      </c>
      <c r="AC857" s="183" t="str">
        <f>IFERROR(__xludf.DUMMYFUNCTION("QUERY('Volunteer Survey'!D856)"),"")</f>
        <v/>
      </c>
      <c r="AD857" s="183" t="str">
        <f>IFERROR(__xludf.DUMMYFUNCTION("QUERY('Volunteer Survey'!E856)"),"")</f>
        <v/>
      </c>
      <c r="AE857" s="183" t="str">
        <f>IFERROR(__xludf.DUMMYFUNCTION("QUERY('Volunteer Survey'!F856)"),"")</f>
        <v/>
      </c>
      <c r="AF857" s="183" t="str">
        <f>IFERROR(__xludf.DUMMYFUNCTION("QUERY('Volunteer Survey'!G856)"),"")</f>
        <v/>
      </c>
      <c r="AG857" s="183" t="str">
        <f>IFERROR(__xludf.DUMMYFUNCTION("QUERY('Volunteer Survey'!H856)"),"")</f>
        <v/>
      </c>
      <c r="AH857" s="183" t="str">
        <f>IFERROR(__xludf.DUMMYFUNCTION("QUERY('Volunteer Survey'!I856)"),"")</f>
        <v/>
      </c>
      <c r="AI857" s="183" t="str">
        <f>IFERROR(__xludf.DUMMYFUNCTION("QUERY('Volunteer Survey'!J856)"),"")</f>
        <v/>
      </c>
      <c r="AJ857" s="183" t="str">
        <f>IFERROR(__xludf.DUMMYFUNCTION("QUERY('Volunteer Survey'!K856)"),"")</f>
        <v/>
      </c>
      <c r="AK857" s="183" t="str">
        <f>IFERROR(__xludf.DUMMYFUNCTION("QUERY('Volunteer Survey'!L856)"),"")</f>
        <v/>
      </c>
      <c r="AL857" s="183" t="str">
        <f>IFERROR(__xludf.DUMMYFUNCTION("QUERY('Volunteer Survey'!M856)"),"")</f>
        <v/>
      </c>
      <c r="AM857" s="183" t="str">
        <f>IFERROR(__xludf.DUMMYFUNCTION("QUERY('Volunteer Survey'!N856)"),"")</f>
        <v/>
      </c>
      <c r="AN857" s="183" t="str">
        <f>IFERROR(__xludf.DUMMYFUNCTION("QUERY('Volunteer Survey'!O856)"),"")</f>
        <v/>
      </c>
      <c r="AO857" s="183" t="str">
        <f>IFERROR(__xludf.DUMMYFUNCTION("QUERY('Volunteer Survey'!P856)"),"")</f>
        <v/>
      </c>
    </row>
    <row r="858">
      <c r="A858" s="55"/>
      <c r="B858" s="55"/>
      <c r="C858" s="53"/>
      <c r="D858" s="55"/>
      <c r="E858" s="55"/>
      <c r="F858" s="55" t="b">
        <v>0</v>
      </c>
      <c r="G858" s="55"/>
      <c r="H858" s="53"/>
      <c r="I858" s="53"/>
      <c r="J858" s="55"/>
      <c r="K858" s="55"/>
      <c r="L858" s="55"/>
      <c r="M858" s="55"/>
      <c r="N858" s="55"/>
      <c r="O858" s="55" t="b">
        <v>0</v>
      </c>
      <c r="P858" s="55"/>
      <c r="Q858" s="55"/>
      <c r="R858" s="55"/>
      <c r="S858" s="55"/>
      <c r="T858" s="55"/>
      <c r="U858" s="64"/>
      <c r="V858" s="55"/>
      <c r="W858" s="64"/>
      <c r="X858" s="55"/>
      <c r="Y858" s="53"/>
      <c r="Z858" s="183" t="str">
        <f>IFERROR(__xludf.DUMMYFUNCTION("QUERY('Volunteer Survey'!A857)"),"")</f>
        <v/>
      </c>
      <c r="AA858" s="183" t="str">
        <f>IFERROR(__xludf.DUMMYFUNCTION("QUERY('Volunteer Survey'!B857)"),"")</f>
        <v/>
      </c>
      <c r="AB858" s="183" t="str">
        <f>IFERROR(__xludf.DUMMYFUNCTION("QUERY('Volunteer Survey'!C857)"),"")</f>
        <v/>
      </c>
      <c r="AC858" s="183" t="str">
        <f>IFERROR(__xludf.DUMMYFUNCTION("QUERY('Volunteer Survey'!D857)"),"")</f>
        <v/>
      </c>
      <c r="AD858" s="183" t="str">
        <f>IFERROR(__xludf.DUMMYFUNCTION("QUERY('Volunteer Survey'!E857)"),"")</f>
        <v/>
      </c>
      <c r="AE858" s="183" t="str">
        <f>IFERROR(__xludf.DUMMYFUNCTION("QUERY('Volunteer Survey'!F857)"),"")</f>
        <v/>
      </c>
      <c r="AF858" s="183" t="str">
        <f>IFERROR(__xludf.DUMMYFUNCTION("QUERY('Volunteer Survey'!G857)"),"")</f>
        <v/>
      </c>
      <c r="AG858" s="183" t="str">
        <f>IFERROR(__xludf.DUMMYFUNCTION("QUERY('Volunteer Survey'!H857)"),"")</f>
        <v/>
      </c>
      <c r="AH858" s="183" t="str">
        <f>IFERROR(__xludf.DUMMYFUNCTION("QUERY('Volunteer Survey'!I857)"),"")</f>
        <v/>
      </c>
      <c r="AI858" s="183" t="str">
        <f>IFERROR(__xludf.DUMMYFUNCTION("QUERY('Volunteer Survey'!J857)"),"")</f>
        <v/>
      </c>
      <c r="AJ858" s="183" t="str">
        <f>IFERROR(__xludf.DUMMYFUNCTION("QUERY('Volunteer Survey'!K857)"),"")</f>
        <v/>
      </c>
      <c r="AK858" s="183" t="str">
        <f>IFERROR(__xludf.DUMMYFUNCTION("QUERY('Volunteer Survey'!L857)"),"")</f>
        <v/>
      </c>
      <c r="AL858" s="183" t="str">
        <f>IFERROR(__xludf.DUMMYFUNCTION("QUERY('Volunteer Survey'!M857)"),"")</f>
        <v/>
      </c>
      <c r="AM858" s="183" t="str">
        <f>IFERROR(__xludf.DUMMYFUNCTION("QUERY('Volunteer Survey'!N857)"),"")</f>
        <v/>
      </c>
      <c r="AN858" s="183" t="str">
        <f>IFERROR(__xludf.DUMMYFUNCTION("QUERY('Volunteer Survey'!O857)"),"")</f>
        <v/>
      </c>
      <c r="AO858" s="183" t="str">
        <f>IFERROR(__xludf.DUMMYFUNCTION("QUERY('Volunteer Survey'!P857)"),"")</f>
        <v/>
      </c>
    </row>
    <row r="859">
      <c r="A859" s="55"/>
      <c r="B859" s="55"/>
      <c r="C859" s="53"/>
      <c r="D859" s="55"/>
      <c r="E859" s="55"/>
      <c r="F859" s="55" t="b">
        <v>0</v>
      </c>
      <c r="G859" s="55"/>
      <c r="H859" s="53"/>
      <c r="I859" s="53"/>
      <c r="J859" s="55"/>
      <c r="K859" s="55"/>
      <c r="L859" s="55"/>
      <c r="M859" s="55"/>
      <c r="N859" s="55"/>
      <c r="O859" s="55" t="b">
        <v>0</v>
      </c>
      <c r="P859" s="55"/>
      <c r="Q859" s="55"/>
      <c r="R859" s="55"/>
      <c r="S859" s="55"/>
      <c r="T859" s="55"/>
      <c r="U859" s="64"/>
      <c r="V859" s="55"/>
      <c r="W859" s="64"/>
      <c r="X859" s="55"/>
      <c r="Y859" s="53"/>
      <c r="Z859" s="183" t="str">
        <f>IFERROR(__xludf.DUMMYFUNCTION("QUERY('Volunteer Survey'!A858)"),"")</f>
        <v/>
      </c>
      <c r="AA859" s="183" t="str">
        <f>IFERROR(__xludf.DUMMYFUNCTION("QUERY('Volunteer Survey'!B858)"),"")</f>
        <v/>
      </c>
      <c r="AB859" s="183" t="str">
        <f>IFERROR(__xludf.DUMMYFUNCTION("QUERY('Volunteer Survey'!C858)"),"")</f>
        <v/>
      </c>
      <c r="AC859" s="183" t="str">
        <f>IFERROR(__xludf.DUMMYFUNCTION("QUERY('Volunteer Survey'!D858)"),"")</f>
        <v/>
      </c>
      <c r="AD859" s="183" t="str">
        <f>IFERROR(__xludf.DUMMYFUNCTION("QUERY('Volunteer Survey'!E858)"),"")</f>
        <v/>
      </c>
      <c r="AE859" s="183" t="str">
        <f>IFERROR(__xludf.DUMMYFUNCTION("QUERY('Volunteer Survey'!F858)"),"")</f>
        <v/>
      </c>
      <c r="AF859" s="183" t="str">
        <f>IFERROR(__xludf.DUMMYFUNCTION("QUERY('Volunteer Survey'!G858)"),"")</f>
        <v/>
      </c>
      <c r="AG859" s="183" t="str">
        <f>IFERROR(__xludf.DUMMYFUNCTION("QUERY('Volunteer Survey'!H858)"),"")</f>
        <v/>
      </c>
      <c r="AH859" s="183" t="str">
        <f>IFERROR(__xludf.DUMMYFUNCTION("QUERY('Volunteer Survey'!I858)"),"")</f>
        <v/>
      </c>
      <c r="AI859" s="183" t="str">
        <f>IFERROR(__xludf.DUMMYFUNCTION("QUERY('Volunteer Survey'!J858)"),"")</f>
        <v/>
      </c>
      <c r="AJ859" s="183" t="str">
        <f>IFERROR(__xludf.DUMMYFUNCTION("QUERY('Volunteer Survey'!K858)"),"")</f>
        <v/>
      </c>
      <c r="AK859" s="183" t="str">
        <f>IFERROR(__xludf.DUMMYFUNCTION("QUERY('Volunteer Survey'!L858)"),"")</f>
        <v/>
      </c>
      <c r="AL859" s="183" t="str">
        <f>IFERROR(__xludf.DUMMYFUNCTION("QUERY('Volunteer Survey'!M858)"),"")</f>
        <v/>
      </c>
      <c r="AM859" s="183" t="str">
        <f>IFERROR(__xludf.DUMMYFUNCTION("QUERY('Volunteer Survey'!N858)"),"")</f>
        <v/>
      </c>
      <c r="AN859" s="183" t="str">
        <f>IFERROR(__xludf.DUMMYFUNCTION("QUERY('Volunteer Survey'!O858)"),"")</f>
        <v/>
      </c>
      <c r="AO859" s="183" t="str">
        <f>IFERROR(__xludf.DUMMYFUNCTION("QUERY('Volunteer Survey'!P858)"),"")</f>
        <v/>
      </c>
    </row>
    <row r="860">
      <c r="A860" s="55"/>
      <c r="B860" s="55"/>
      <c r="C860" s="53"/>
      <c r="D860" s="55"/>
      <c r="E860" s="55"/>
      <c r="F860" s="55" t="b">
        <v>0</v>
      </c>
      <c r="G860" s="55"/>
      <c r="H860" s="53"/>
      <c r="I860" s="53"/>
      <c r="J860" s="55"/>
      <c r="K860" s="55"/>
      <c r="L860" s="55"/>
      <c r="M860" s="55"/>
      <c r="N860" s="55"/>
      <c r="O860" s="55" t="b">
        <v>0</v>
      </c>
      <c r="P860" s="55"/>
      <c r="Q860" s="55"/>
      <c r="R860" s="55"/>
      <c r="S860" s="55"/>
      <c r="T860" s="55"/>
      <c r="U860" s="64"/>
      <c r="V860" s="55"/>
      <c r="W860" s="64"/>
      <c r="X860" s="55"/>
      <c r="Y860" s="53"/>
      <c r="Z860" s="183" t="str">
        <f>IFERROR(__xludf.DUMMYFUNCTION("QUERY('Volunteer Survey'!A859)"),"")</f>
        <v/>
      </c>
      <c r="AA860" s="183" t="str">
        <f>IFERROR(__xludf.DUMMYFUNCTION("QUERY('Volunteer Survey'!B859)"),"")</f>
        <v/>
      </c>
      <c r="AB860" s="183" t="str">
        <f>IFERROR(__xludf.DUMMYFUNCTION("QUERY('Volunteer Survey'!C859)"),"")</f>
        <v/>
      </c>
      <c r="AC860" s="183" t="str">
        <f>IFERROR(__xludf.DUMMYFUNCTION("QUERY('Volunteer Survey'!D859)"),"")</f>
        <v/>
      </c>
      <c r="AD860" s="183" t="str">
        <f>IFERROR(__xludf.DUMMYFUNCTION("QUERY('Volunteer Survey'!E859)"),"")</f>
        <v/>
      </c>
      <c r="AE860" s="183" t="str">
        <f>IFERROR(__xludf.DUMMYFUNCTION("QUERY('Volunteer Survey'!F859)"),"")</f>
        <v/>
      </c>
      <c r="AF860" s="183" t="str">
        <f>IFERROR(__xludf.DUMMYFUNCTION("QUERY('Volunteer Survey'!G859)"),"")</f>
        <v/>
      </c>
      <c r="AG860" s="183" t="str">
        <f>IFERROR(__xludf.DUMMYFUNCTION("QUERY('Volunteer Survey'!H859)"),"")</f>
        <v/>
      </c>
      <c r="AH860" s="183" t="str">
        <f>IFERROR(__xludf.DUMMYFUNCTION("QUERY('Volunteer Survey'!I859)"),"")</f>
        <v/>
      </c>
      <c r="AI860" s="183" t="str">
        <f>IFERROR(__xludf.DUMMYFUNCTION("QUERY('Volunteer Survey'!J859)"),"")</f>
        <v/>
      </c>
      <c r="AJ860" s="183" t="str">
        <f>IFERROR(__xludf.DUMMYFUNCTION("QUERY('Volunteer Survey'!K859)"),"")</f>
        <v/>
      </c>
      <c r="AK860" s="183" t="str">
        <f>IFERROR(__xludf.DUMMYFUNCTION("QUERY('Volunteer Survey'!L859)"),"")</f>
        <v/>
      </c>
      <c r="AL860" s="183" t="str">
        <f>IFERROR(__xludf.DUMMYFUNCTION("QUERY('Volunteer Survey'!M859)"),"")</f>
        <v/>
      </c>
      <c r="AM860" s="183" t="str">
        <f>IFERROR(__xludf.DUMMYFUNCTION("QUERY('Volunteer Survey'!N859)"),"")</f>
        <v/>
      </c>
      <c r="AN860" s="183" t="str">
        <f>IFERROR(__xludf.DUMMYFUNCTION("QUERY('Volunteer Survey'!O859)"),"")</f>
        <v/>
      </c>
      <c r="AO860" s="183" t="str">
        <f>IFERROR(__xludf.DUMMYFUNCTION("QUERY('Volunteer Survey'!P859)"),"")</f>
        <v/>
      </c>
    </row>
    <row r="861">
      <c r="A861" s="55"/>
      <c r="B861" s="55"/>
      <c r="C861" s="53"/>
      <c r="D861" s="55"/>
      <c r="E861" s="55"/>
      <c r="F861" s="55" t="b">
        <v>0</v>
      </c>
      <c r="G861" s="55"/>
      <c r="H861" s="53"/>
      <c r="I861" s="53"/>
      <c r="J861" s="55"/>
      <c r="K861" s="55"/>
      <c r="L861" s="55"/>
      <c r="M861" s="55"/>
      <c r="N861" s="55"/>
      <c r="O861" s="55" t="b">
        <v>0</v>
      </c>
      <c r="P861" s="55"/>
      <c r="Q861" s="55"/>
      <c r="R861" s="55"/>
      <c r="S861" s="55"/>
      <c r="T861" s="55"/>
      <c r="U861" s="64"/>
      <c r="V861" s="55"/>
      <c r="W861" s="64"/>
      <c r="X861" s="55"/>
      <c r="Y861" s="53"/>
      <c r="Z861" s="183" t="str">
        <f>IFERROR(__xludf.DUMMYFUNCTION("QUERY('Volunteer Survey'!A860)"),"")</f>
        <v/>
      </c>
      <c r="AA861" s="183" t="str">
        <f>IFERROR(__xludf.DUMMYFUNCTION("QUERY('Volunteer Survey'!B860)"),"")</f>
        <v/>
      </c>
      <c r="AB861" s="183" t="str">
        <f>IFERROR(__xludf.DUMMYFUNCTION("QUERY('Volunteer Survey'!C860)"),"")</f>
        <v/>
      </c>
      <c r="AC861" s="183" t="str">
        <f>IFERROR(__xludf.DUMMYFUNCTION("QUERY('Volunteer Survey'!D860)"),"")</f>
        <v/>
      </c>
      <c r="AD861" s="183" t="str">
        <f>IFERROR(__xludf.DUMMYFUNCTION("QUERY('Volunteer Survey'!E860)"),"")</f>
        <v/>
      </c>
      <c r="AE861" s="183" t="str">
        <f>IFERROR(__xludf.DUMMYFUNCTION("QUERY('Volunteer Survey'!F860)"),"")</f>
        <v/>
      </c>
      <c r="AF861" s="183" t="str">
        <f>IFERROR(__xludf.DUMMYFUNCTION("QUERY('Volunteer Survey'!G860)"),"")</f>
        <v/>
      </c>
      <c r="AG861" s="183" t="str">
        <f>IFERROR(__xludf.DUMMYFUNCTION("QUERY('Volunteer Survey'!H860)"),"")</f>
        <v/>
      </c>
      <c r="AH861" s="183" t="str">
        <f>IFERROR(__xludf.DUMMYFUNCTION("QUERY('Volunteer Survey'!I860)"),"")</f>
        <v/>
      </c>
      <c r="AI861" s="183" t="str">
        <f>IFERROR(__xludf.DUMMYFUNCTION("QUERY('Volunteer Survey'!J860)"),"")</f>
        <v/>
      </c>
      <c r="AJ861" s="183" t="str">
        <f>IFERROR(__xludf.DUMMYFUNCTION("QUERY('Volunteer Survey'!K860)"),"")</f>
        <v/>
      </c>
      <c r="AK861" s="183" t="str">
        <f>IFERROR(__xludf.DUMMYFUNCTION("QUERY('Volunteer Survey'!L860)"),"")</f>
        <v/>
      </c>
      <c r="AL861" s="183" t="str">
        <f>IFERROR(__xludf.DUMMYFUNCTION("QUERY('Volunteer Survey'!M860)"),"")</f>
        <v/>
      </c>
      <c r="AM861" s="183" t="str">
        <f>IFERROR(__xludf.DUMMYFUNCTION("QUERY('Volunteer Survey'!N860)"),"")</f>
        <v/>
      </c>
      <c r="AN861" s="183" t="str">
        <f>IFERROR(__xludf.DUMMYFUNCTION("QUERY('Volunteer Survey'!O860)"),"")</f>
        <v/>
      </c>
      <c r="AO861" s="183" t="str">
        <f>IFERROR(__xludf.DUMMYFUNCTION("QUERY('Volunteer Survey'!P860)"),"")</f>
        <v/>
      </c>
    </row>
    <row r="862">
      <c r="A862" s="55"/>
      <c r="B862" s="55"/>
      <c r="C862" s="53"/>
      <c r="D862" s="55"/>
      <c r="E862" s="55"/>
      <c r="F862" s="55" t="b">
        <v>0</v>
      </c>
      <c r="G862" s="55"/>
      <c r="H862" s="53"/>
      <c r="I862" s="53"/>
      <c r="J862" s="55"/>
      <c r="K862" s="55"/>
      <c r="L862" s="55"/>
      <c r="M862" s="55"/>
      <c r="N862" s="55"/>
      <c r="O862" s="55" t="b">
        <v>0</v>
      </c>
      <c r="P862" s="55"/>
      <c r="Q862" s="55"/>
      <c r="R862" s="55"/>
      <c r="S862" s="55"/>
      <c r="T862" s="55"/>
      <c r="U862" s="64"/>
      <c r="V862" s="55"/>
      <c r="W862" s="64"/>
      <c r="X862" s="55"/>
      <c r="Y862" s="53"/>
      <c r="Z862" s="183" t="str">
        <f>IFERROR(__xludf.DUMMYFUNCTION("QUERY('Volunteer Survey'!A861)"),"")</f>
        <v/>
      </c>
      <c r="AA862" s="183" t="str">
        <f>IFERROR(__xludf.DUMMYFUNCTION("QUERY('Volunteer Survey'!B861)"),"")</f>
        <v/>
      </c>
      <c r="AB862" s="183" t="str">
        <f>IFERROR(__xludf.DUMMYFUNCTION("QUERY('Volunteer Survey'!C861)"),"")</f>
        <v/>
      </c>
      <c r="AC862" s="183" t="str">
        <f>IFERROR(__xludf.DUMMYFUNCTION("QUERY('Volunteer Survey'!D861)"),"")</f>
        <v/>
      </c>
      <c r="AD862" s="183" t="str">
        <f>IFERROR(__xludf.DUMMYFUNCTION("QUERY('Volunteer Survey'!E861)"),"")</f>
        <v/>
      </c>
      <c r="AE862" s="183" t="str">
        <f>IFERROR(__xludf.DUMMYFUNCTION("QUERY('Volunteer Survey'!F861)"),"")</f>
        <v/>
      </c>
      <c r="AF862" s="183" t="str">
        <f>IFERROR(__xludf.DUMMYFUNCTION("QUERY('Volunteer Survey'!G861)"),"")</f>
        <v/>
      </c>
      <c r="AG862" s="183" t="str">
        <f>IFERROR(__xludf.DUMMYFUNCTION("QUERY('Volunteer Survey'!H861)"),"")</f>
        <v/>
      </c>
      <c r="AH862" s="183" t="str">
        <f>IFERROR(__xludf.DUMMYFUNCTION("QUERY('Volunteer Survey'!I861)"),"")</f>
        <v/>
      </c>
      <c r="AI862" s="183" t="str">
        <f>IFERROR(__xludf.DUMMYFUNCTION("QUERY('Volunteer Survey'!J861)"),"")</f>
        <v/>
      </c>
      <c r="AJ862" s="183" t="str">
        <f>IFERROR(__xludf.DUMMYFUNCTION("QUERY('Volunteer Survey'!K861)"),"")</f>
        <v/>
      </c>
      <c r="AK862" s="183" t="str">
        <f>IFERROR(__xludf.DUMMYFUNCTION("QUERY('Volunteer Survey'!L861)"),"")</f>
        <v/>
      </c>
      <c r="AL862" s="183" t="str">
        <f>IFERROR(__xludf.DUMMYFUNCTION("QUERY('Volunteer Survey'!M861)"),"")</f>
        <v/>
      </c>
      <c r="AM862" s="183" t="str">
        <f>IFERROR(__xludf.DUMMYFUNCTION("QUERY('Volunteer Survey'!N861)"),"")</f>
        <v/>
      </c>
      <c r="AN862" s="183" t="str">
        <f>IFERROR(__xludf.DUMMYFUNCTION("QUERY('Volunteer Survey'!O861)"),"")</f>
        <v/>
      </c>
      <c r="AO862" s="183" t="str">
        <f>IFERROR(__xludf.DUMMYFUNCTION("QUERY('Volunteer Survey'!P861)"),"")</f>
        <v/>
      </c>
    </row>
    <row r="863">
      <c r="A863" s="55"/>
      <c r="B863" s="55"/>
      <c r="C863" s="53"/>
      <c r="D863" s="55"/>
      <c r="E863" s="55"/>
      <c r="F863" s="55" t="b">
        <v>0</v>
      </c>
      <c r="G863" s="55"/>
      <c r="H863" s="53"/>
      <c r="I863" s="53"/>
      <c r="J863" s="55"/>
      <c r="K863" s="55"/>
      <c r="L863" s="55"/>
      <c r="M863" s="55"/>
      <c r="N863" s="55"/>
      <c r="O863" s="55" t="b">
        <v>0</v>
      </c>
      <c r="P863" s="55"/>
      <c r="Q863" s="55"/>
      <c r="R863" s="55"/>
      <c r="S863" s="55"/>
      <c r="T863" s="55"/>
      <c r="U863" s="64"/>
      <c r="V863" s="55"/>
      <c r="W863" s="64"/>
      <c r="X863" s="55"/>
      <c r="Y863" s="53"/>
      <c r="Z863" s="183" t="str">
        <f>IFERROR(__xludf.DUMMYFUNCTION("QUERY('Volunteer Survey'!A862)"),"")</f>
        <v/>
      </c>
      <c r="AA863" s="183" t="str">
        <f>IFERROR(__xludf.DUMMYFUNCTION("QUERY('Volunteer Survey'!B862)"),"")</f>
        <v/>
      </c>
      <c r="AB863" s="183" t="str">
        <f>IFERROR(__xludf.DUMMYFUNCTION("QUERY('Volunteer Survey'!C862)"),"")</f>
        <v/>
      </c>
      <c r="AC863" s="183" t="str">
        <f>IFERROR(__xludf.DUMMYFUNCTION("QUERY('Volunteer Survey'!D862)"),"")</f>
        <v/>
      </c>
      <c r="AD863" s="183" t="str">
        <f>IFERROR(__xludf.DUMMYFUNCTION("QUERY('Volunteer Survey'!E862)"),"")</f>
        <v/>
      </c>
      <c r="AE863" s="183" t="str">
        <f>IFERROR(__xludf.DUMMYFUNCTION("QUERY('Volunteer Survey'!F862)"),"")</f>
        <v/>
      </c>
      <c r="AF863" s="183" t="str">
        <f>IFERROR(__xludf.DUMMYFUNCTION("QUERY('Volunteer Survey'!G862)"),"")</f>
        <v/>
      </c>
      <c r="AG863" s="183" t="str">
        <f>IFERROR(__xludf.DUMMYFUNCTION("QUERY('Volunteer Survey'!H862)"),"")</f>
        <v/>
      </c>
      <c r="AH863" s="183" t="str">
        <f>IFERROR(__xludf.DUMMYFUNCTION("QUERY('Volunteer Survey'!I862)"),"")</f>
        <v/>
      </c>
      <c r="AI863" s="183" t="str">
        <f>IFERROR(__xludf.DUMMYFUNCTION("QUERY('Volunteer Survey'!J862)"),"")</f>
        <v/>
      </c>
      <c r="AJ863" s="183" t="str">
        <f>IFERROR(__xludf.DUMMYFUNCTION("QUERY('Volunteer Survey'!K862)"),"")</f>
        <v/>
      </c>
      <c r="AK863" s="183" t="str">
        <f>IFERROR(__xludf.DUMMYFUNCTION("QUERY('Volunteer Survey'!L862)"),"")</f>
        <v/>
      </c>
      <c r="AL863" s="183" t="str">
        <f>IFERROR(__xludf.DUMMYFUNCTION("QUERY('Volunteer Survey'!M862)"),"")</f>
        <v/>
      </c>
      <c r="AM863" s="183" t="str">
        <f>IFERROR(__xludf.DUMMYFUNCTION("QUERY('Volunteer Survey'!N862)"),"")</f>
        <v/>
      </c>
      <c r="AN863" s="183" t="str">
        <f>IFERROR(__xludf.DUMMYFUNCTION("QUERY('Volunteer Survey'!O862)"),"")</f>
        <v/>
      </c>
      <c r="AO863" s="183" t="str">
        <f>IFERROR(__xludf.DUMMYFUNCTION("QUERY('Volunteer Survey'!P862)"),"")</f>
        <v/>
      </c>
    </row>
    <row r="864">
      <c r="A864" s="55"/>
      <c r="B864" s="55"/>
      <c r="C864" s="53"/>
      <c r="D864" s="55"/>
      <c r="E864" s="55"/>
      <c r="F864" s="55" t="b">
        <v>0</v>
      </c>
      <c r="G864" s="55"/>
      <c r="H864" s="53"/>
      <c r="I864" s="53"/>
      <c r="J864" s="55"/>
      <c r="K864" s="55"/>
      <c r="L864" s="55"/>
      <c r="M864" s="55"/>
      <c r="N864" s="55"/>
      <c r="O864" s="55" t="b">
        <v>0</v>
      </c>
      <c r="P864" s="55"/>
      <c r="Q864" s="55"/>
      <c r="R864" s="55"/>
      <c r="S864" s="55"/>
      <c r="T864" s="55"/>
      <c r="U864" s="64"/>
      <c r="V864" s="55"/>
      <c r="W864" s="64"/>
      <c r="X864" s="55"/>
      <c r="Y864" s="53"/>
      <c r="Z864" s="183" t="str">
        <f>IFERROR(__xludf.DUMMYFUNCTION("QUERY('Volunteer Survey'!A863)"),"")</f>
        <v/>
      </c>
      <c r="AA864" s="183" t="str">
        <f>IFERROR(__xludf.DUMMYFUNCTION("QUERY('Volunteer Survey'!B863)"),"")</f>
        <v/>
      </c>
      <c r="AB864" s="183" t="str">
        <f>IFERROR(__xludf.DUMMYFUNCTION("QUERY('Volunteer Survey'!C863)"),"")</f>
        <v/>
      </c>
      <c r="AC864" s="183" t="str">
        <f>IFERROR(__xludf.DUMMYFUNCTION("QUERY('Volunteer Survey'!D863)"),"")</f>
        <v/>
      </c>
      <c r="AD864" s="183" t="str">
        <f>IFERROR(__xludf.DUMMYFUNCTION("QUERY('Volunteer Survey'!E863)"),"")</f>
        <v/>
      </c>
      <c r="AE864" s="183" t="str">
        <f>IFERROR(__xludf.DUMMYFUNCTION("QUERY('Volunteer Survey'!F863)"),"")</f>
        <v/>
      </c>
      <c r="AF864" s="183" t="str">
        <f>IFERROR(__xludf.DUMMYFUNCTION("QUERY('Volunteer Survey'!G863)"),"")</f>
        <v/>
      </c>
      <c r="AG864" s="183" t="str">
        <f>IFERROR(__xludf.DUMMYFUNCTION("QUERY('Volunteer Survey'!H863)"),"")</f>
        <v/>
      </c>
      <c r="AH864" s="183" t="str">
        <f>IFERROR(__xludf.DUMMYFUNCTION("QUERY('Volunteer Survey'!I863)"),"")</f>
        <v/>
      </c>
      <c r="AI864" s="183" t="str">
        <f>IFERROR(__xludf.DUMMYFUNCTION("QUERY('Volunteer Survey'!J863)"),"")</f>
        <v/>
      </c>
      <c r="AJ864" s="183" t="str">
        <f>IFERROR(__xludf.DUMMYFUNCTION("QUERY('Volunteer Survey'!K863)"),"")</f>
        <v/>
      </c>
      <c r="AK864" s="183" t="str">
        <f>IFERROR(__xludf.DUMMYFUNCTION("QUERY('Volunteer Survey'!L863)"),"")</f>
        <v/>
      </c>
      <c r="AL864" s="183" t="str">
        <f>IFERROR(__xludf.DUMMYFUNCTION("QUERY('Volunteer Survey'!M863)"),"")</f>
        <v/>
      </c>
      <c r="AM864" s="183" t="str">
        <f>IFERROR(__xludf.DUMMYFUNCTION("QUERY('Volunteer Survey'!N863)"),"")</f>
        <v/>
      </c>
      <c r="AN864" s="183" t="str">
        <f>IFERROR(__xludf.DUMMYFUNCTION("QUERY('Volunteer Survey'!O863)"),"")</f>
        <v/>
      </c>
      <c r="AO864" s="183" t="str">
        <f>IFERROR(__xludf.DUMMYFUNCTION("QUERY('Volunteer Survey'!P863)"),"")</f>
        <v/>
      </c>
    </row>
    <row r="865">
      <c r="A865" s="55"/>
      <c r="B865" s="55"/>
      <c r="C865" s="53"/>
      <c r="D865" s="55"/>
      <c r="E865" s="55"/>
      <c r="F865" s="55" t="b">
        <v>0</v>
      </c>
      <c r="G865" s="55"/>
      <c r="H865" s="53"/>
      <c r="I865" s="53"/>
      <c r="J865" s="55"/>
      <c r="K865" s="55"/>
      <c r="L865" s="55"/>
      <c r="M865" s="55"/>
      <c r="N865" s="55"/>
      <c r="O865" s="55" t="b">
        <v>0</v>
      </c>
      <c r="P865" s="55"/>
      <c r="Q865" s="55"/>
      <c r="R865" s="55"/>
      <c r="S865" s="55"/>
      <c r="T865" s="55"/>
      <c r="U865" s="64"/>
      <c r="V865" s="55"/>
      <c r="W865" s="64"/>
      <c r="X865" s="55"/>
      <c r="Y865" s="53"/>
      <c r="Z865" s="183" t="str">
        <f>IFERROR(__xludf.DUMMYFUNCTION("QUERY('Volunteer Survey'!A864)"),"")</f>
        <v/>
      </c>
      <c r="AA865" s="183" t="str">
        <f>IFERROR(__xludf.DUMMYFUNCTION("QUERY('Volunteer Survey'!B864)"),"")</f>
        <v/>
      </c>
      <c r="AB865" s="183" t="str">
        <f>IFERROR(__xludf.DUMMYFUNCTION("QUERY('Volunteer Survey'!C864)"),"")</f>
        <v/>
      </c>
      <c r="AC865" s="183" t="str">
        <f>IFERROR(__xludf.DUMMYFUNCTION("QUERY('Volunteer Survey'!D864)"),"")</f>
        <v/>
      </c>
      <c r="AD865" s="183" t="str">
        <f>IFERROR(__xludf.DUMMYFUNCTION("QUERY('Volunteer Survey'!E864)"),"")</f>
        <v/>
      </c>
      <c r="AE865" s="183" t="str">
        <f>IFERROR(__xludf.DUMMYFUNCTION("QUERY('Volunteer Survey'!F864)"),"")</f>
        <v/>
      </c>
      <c r="AF865" s="183" t="str">
        <f>IFERROR(__xludf.DUMMYFUNCTION("QUERY('Volunteer Survey'!G864)"),"")</f>
        <v/>
      </c>
      <c r="AG865" s="183" t="str">
        <f>IFERROR(__xludf.DUMMYFUNCTION("QUERY('Volunteer Survey'!H864)"),"")</f>
        <v/>
      </c>
      <c r="AH865" s="183" t="str">
        <f>IFERROR(__xludf.DUMMYFUNCTION("QUERY('Volunteer Survey'!I864)"),"")</f>
        <v/>
      </c>
      <c r="AI865" s="183" t="str">
        <f>IFERROR(__xludf.DUMMYFUNCTION("QUERY('Volunteer Survey'!J864)"),"")</f>
        <v/>
      </c>
      <c r="AJ865" s="183" t="str">
        <f>IFERROR(__xludf.DUMMYFUNCTION("QUERY('Volunteer Survey'!K864)"),"")</f>
        <v/>
      </c>
      <c r="AK865" s="183" t="str">
        <f>IFERROR(__xludf.DUMMYFUNCTION("QUERY('Volunteer Survey'!L864)"),"")</f>
        <v/>
      </c>
      <c r="AL865" s="183" t="str">
        <f>IFERROR(__xludf.DUMMYFUNCTION("QUERY('Volunteer Survey'!M864)"),"")</f>
        <v/>
      </c>
      <c r="AM865" s="183" t="str">
        <f>IFERROR(__xludf.DUMMYFUNCTION("QUERY('Volunteer Survey'!N864)"),"")</f>
        <v/>
      </c>
      <c r="AN865" s="183" t="str">
        <f>IFERROR(__xludf.DUMMYFUNCTION("QUERY('Volunteer Survey'!O864)"),"")</f>
        <v/>
      </c>
      <c r="AO865" s="183" t="str">
        <f>IFERROR(__xludf.DUMMYFUNCTION("QUERY('Volunteer Survey'!P864)"),"")</f>
        <v/>
      </c>
    </row>
    <row r="866">
      <c r="A866" s="55"/>
      <c r="B866" s="55"/>
      <c r="C866" s="53"/>
      <c r="D866" s="55"/>
      <c r="E866" s="55"/>
      <c r="F866" s="55" t="b">
        <v>0</v>
      </c>
      <c r="G866" s="55"/>
      <c r="H866" s="53"/>
      <c r="I866" s="53"/>
      <c r="J866" s="55"/>
      <c r="K866" s="55"/>
      <c r="L866" s="55"/>
      <c r="M866" s="55"/>
      <c r="N866" s="55"/>
      <c r="O866" s="55" t="b">
        <v>0</v>
      </c>
      <c r="P866" s="55"/>
      <c r="Q866" s="55"/>
      <c r="R866" s="55"/>
      <c r="S866" s="55"/>
      <c r="T866" s="55"/>
      <c r="U866" s="64"/>
      <c r="V866" s="55"/>
      <c r="W866" s="64"/>
      <c r="X866" s="55"/>
      <c r="Y866" s="53"/>
      <c r="Z866" s="183" t="str">
        <f>IFERROR(__xludf.DUMMYFUNCTION("QUERY('Volunteer Survey'!A865)"),"")</f>
        <v/>
      </c>
      <c r="AA866" s="183" t="str">
        <f>IFERROR(__xludf.DUMMYFUNCTION("QUERY('Volunteer Survey'!B865)"),"")</f>
        <v/>
      </c>
      <c r="AB866" s="183" t="str">
        <f>IFERROR(__xludf.DUMMYFUNCTION("QUERY('Volunteer Survey'!C865)"),"")</f>
        <v/>
      </c>
      <c r="AC866" s="183" t="str">
        <f>IFERROR(__xludf.DUMMYFUNCTION("QUERY('Volunteer Survey'!D865)"),"")</f>
        <v/>
      </c>
      <c r="AD866" s="183" t="str">
        <f>IFERROR(__xludf.DUMMYFUNCTION("QUERY('Volunteer Survey'!E865)"),"")</f>
        <v/>
      </c>
      <c r="AE866" s="183" t="str">
        <f>IFERROR(__xludf.DUMMYFUNCTION("QUERY('Volunteer Survey'!F865)"),"")</f>
        <v/>
      </c>
      <c r="AF866" s="183" t="str">
        <f>IFERROR(__xludf.DUMMYFUNCTION("QUERY('Volunteer Survey'!G865)"),"")</f>
        <v/>
      </c>
      <c r="AG866" s="183" t="str">
        <f>IFERROR(__xludf.DUMMYFUNCTION("QUERY('Volunteer Survey'!H865)"),"")</f>
        <v/>
      </c>
      <c r="AH866" s="183" t="str">
        <f>IFERROR(__xludf.DUMMYFUNCTION("QUERY('Volunteer Survey'!I865)"),"")</f>
        <v/>
      </c>
      <c r="AI866" s="183" t="str">
        <f>IFERROR(__xludf.DUMMYFUNCTION("QUERY('Volunteer Survey'!J865)"),"")</f>
        <v/>
      </c>
      <c r="AJ866" s="183" t="str">
        <f>IFERROR(__xludf.DUMMYFUNCTION("QUERY('Volunteer Survey'!K865)"),"")</f>
        <v/>
      </c>
      <c r="AK866" s="183" t="str">
        <f>IFERROR(__xludf.DUMMYFUNCTION("QUERY('Volunteer Survey'!L865)"),"")</f>
        <v/>
      </c>
      <c r="AL866" s="183" t="str">
        <f>IFERROR(__xludf.DUMMYFUNCTION("QUERY('Volunteer Survey'!M865)"),"")</f>
        <v/>
      </c>
      <c r="AM866" s="183" t="str">
        <f>IFERROR(__xludf.DUMMYFUNCTION("QUERY('Volunteer Survey'!N865)"),"")</f>
        <v/>
      </c>
      <c r="AN866" s="183" t="str">
        <f>IFERROR(__xludf.DUMMYFUNCTION("QUERY('Volunteer Survey'!O865)"),"")</f>
        <v/>
      </c>
      <c r="AO866" s="183" t="str">
        <f>IFERROR(__xludf.DUMMYFUNCTION("QUERY('Volunteer Survey'!P865)"),"")</f>
        <v/>
      </c>
    </row>
    <row r="867">
      <c r="A867" s="55"/>
      <c r="B867" s="55"/>
      <c r="C867" s="53"/>
      <c r="D867" s="55"/>
      <c r="E867" s="55"/>
      <c r="F867" s="55" t="b">
        <v>0</v>
      </c>
      <c r="G867" s="55"/>
      <c r="H867" s="53"/>
      <c r="I867" s="53"/>
      <c r="J867" s="55"/>
      <c r="K867" s="55"/>
      <c r="L867" s="55"/>
      <c r="M867" s="55"/>
      <c r="N867" s="55"/>
      <c r="O867" s="55" t="b">
        <v>0</v>
      </c>
      <c r="P867" s="55"/>
      <c r="Q867" s="55"/>
      <c r="R867" s="55"/>
      <c r="S867" s="55"/>
      <c r="T867" s="55"/>
      <c r="U867" s="64"/>
      <c r="V867" s="55"/>
      <c r="W867" s="64"/>
      <c r="X867" s="55"/>
      <c r="Y867" s="53"/>
      <c r="Z867" s="183" t="str">
        <f>IFERROR(__xludf.DUMMYFUNCTION("QUERY('Volunteer Survey'!A866)"),"")</f>
        <v/>
      </c>
      <c r="AA867" s="183" t="str">
        <f>IFERROR(__xludf.DUMMYFUNCTION("QUERY('Volunteer Survey'!B866)"),"")</f>
        <v/>
      </c>
      <c r="AB867" s="183" t="str">
        <f>IFERROR(__xludf.DUMMYFUNCTION("QUERY('Volunteer Survey'!C866)"),"")</f>
        <v/>
      </c>
      <c r="AC867" s="183" t="str">
        <f>IFERROR(__xludf.DUMMYFUNCTION("QUERY('Volunteer Survey'!D866)"),"")</f>
        <v/>
      </c>
      <c r="AD867" s="183" t="str">
        <f>IFERROR(__xludf.DUMMYFUNCTION("QUERY('Volunteer Survey'!E866)"),"")</f>
        <v/>
      </c>
      <c r="AE867" s="183" t="str">
        <f>IFERROR(__xludf.DUMMYFUNCTION("QUERY('Volunteer Survey'!F866)"),"")</f>
        <v/>
      </c>
      <c r="AF867" s="183" t="str">
        <f>IFERROR(__xludf.DUMMYFUNCTION("QUERY('Volunteer Survey'!G866)"),"")</f>
        <v/>
      </c>
      <c r="AG867" s="183" t="str">
        <f>IFERROR(__xludf.DUMMYFUNCTION("QUERY('Volunteer Survey'!H866)"),"")</f>
        <v/>
      </c>
      <c r="AH867" s="183" t="str">
        <f>IFERROR(__xludf.DUMMYFUNCTION("QUERY('Volunteer Survey'!I866)"),"")</f>
        <v/>
      </c>
      <c r="AI867" s="183" t="str">
        <f>IFERROR(__xludf.DUMMYFUNCTION("QUERY('Volunteer Survey'!J866)"),"")</f>
        <v/>
      </c>
      <c r="AJ867" s="183" t="str">
        <f>IFERROR(__xludf.DUMMYFUNCTION("QUERY('Volunteer Survey'!K866)"),"")</f>
        <v/>
      </c>
      <c r="AK867" s="183" t="str">
        <f>IFERROR(__xludf.DUMMYFUNCTION("QUERY('Volunteer Survey'!L866)"),"")</f>
        <v/>
      </c>
      <c r="AL867" s="183" t="str">
        <f>IFERROR(__xludf.DUMMYFUNCTION("QUERY('Volunteer Survey'!M866)"),"")</f>
        <v/>
      </c>
      <c r="AM867" s="183" t="str">
        <f>IFERROR(__xludf.DUMMYFUNCTION("QUERY('Volunteer Survey'!N866)"),"")</f>
        <v/>
      </c>
      <c r="AN867" s="183" t="str">
        <f>IFERROR(__xludf.DUMMYFUNCTION("QUERY('Volunteer Survey'!O866)"),"")</f>
        <v/>
      </c>
      <c r="AO867" s="183" t="str">
        <f>IFERROR(__xludf.DUMMYFUNCTION("QUERY('Volunteer Survey'!P866)"),"")</f>
        <v/>
      </c>
    </row>
    <row r="868">
      <c r="A868" s="55"/>
      <c r="B868" s="55"/>
      <c r="C868" s="53"/>
      <c r="D868" s="55"/>
      <c r="E868" s="55"/>
      <c r="F868" s="55" t="b">
        <v>0</v>
      </c>
      <c r="G868" s="55"/>
      <c r="H868" s="53"/>
      <c r="I868" s="53"/>
      <c r="J868" s="55"/>
      <c r="K868" s="55"/>
      <c r="L868" s="55"/>
      <c r="M868" s="55"/>
      <c r="N868" s="55"/>
      <c r="O868" s="55" t="b">
        <v>0</v>
      </c>
      <c r="P868" s="55"/>
      <c r="Q868" s="55"/>
      <c r="R868" s="55"/>
      <c r="S868" s="55"/>
      <c r="T868" s="55"/>
      <c r="U868" s="64"/>
      <c r="V868" s="55"/>
      <c r="W868" s="64"/>
      <c r="X868" s="55"/>
      <c r="Y868" s="53"/>
      <c r="Z868" s="183" t="str">
        <f>IFERROR(__xludf.DUMMYFUNCTION("QUERY('Volunteer Survey'!A867)"),"")</f>
        <v/>
      </c>
      <c r="AA868" s="183" t="str">
        <f>IFERROR(__xludf.DUMMYFUNCTION("QUERY('Volunteer Survey'!B867)"),"")</f>
        <v/>
      </c>
      <c r="AB868" s="183" t="str">
        <f>IFERROR(__xludf.DUMMYFUNCTION("QUERY('Volunteer Survey'!C867)"),"")</f>
        <v/>
      </c>
      <c r="AC868" s="183" t="str">
        <f>IFERROR(__xludf.DUMMYFUNCTION("QUERY('Volunteer Survey'!D867)"),"")</f>
        <v/>
      </c>
      <c r="AD868" s="183" t="str">
        <f>IFERROR(__xludf.DUMMYFUNCTION("QUERY('Volunteer Survey'!E867)"),"")</f>
        <v/>
      </c>
      <c r="AE868" s="183" t="str">
        <f>IFERROR(__xludf.DUMMYFUNCTION("QUERY('Volunteer Survey'!F867)"),"")</f>
        <v/>
      </c>
      <c r="AF868" s="183" t="str">
        <f>IFERROR(__xludf.DUMMYFUNCTION("QUERY('Volunteer Survey'!G867)"),"")</f>
        <v/>
      </c>
      <c r="AG868" s="183" t="str">
        <f>IFERROR(__xludf.DUMMYFUNCTION("QUERY('Volunteer Survey'!H867)"),"")</f>
        <v/>
      </c>
      <c r="AH868" s="183" t="str">
        <f>IFERROR(__xludf.DUMMYFUNCTION("QUERY('Volunteer Survey'!I867)"),"")</f>
        <v/>
      </c>
      <c r="AI868" s="183" t="str">
        <f>IFERROR(__xludf.DUMMYFUNCTION("QUERY('Volunteer Survey'!J867)"),"")</f>
        <v/>
      </c>
      <c r="AJ868" s="183" t="str">
        <f>IFERROR(__xludf.DUMMYFUNCTION("QUERY('Volunteer Survey'!K867)"),"")</f>
        <v/>
      </c>
      <c r="AK868" s="183" t="str">
        <f>IFERROR(__xludf.DUMMYFUNCTION("QUERY('Volunteer Survey'!L867)"),"")</f>
        <v/>
      </c>
      <c r="AL868" s="183" t="str">
        <f>IFERROR(__xludf.DUMMYFUNCTION("QUERY('Volunteer Survey'!M867)"),"")</f>
        <v/>
      </c>
      <c r="AM868" s="183" t="str">
        <f>IFERROR(__xludf.DUMMYFUNCTION("QUERY('Volunteer Survey'!N867)"),"")</f>
        <v/>
      </c>
      <c r="AN868" s="183" t="str">
        <f>IFERROR(__xludf.DUMMYFUNCTION("QUERY('Volunteer Survey'!O867)"),"")</f>
        <v/>
      </c>
      <c r="AO868" s="183" t="str">
        <f>IFERROR(__xludf.DUMMYFUNCTION("QUERY('Volunteer Survey'!P867)"),"")</f>
        <v/>
      </c>
    </row>
    <row r="869">
      <c r="A869" s="55"/>
      <c r="B869" s="55"/>
      <c r="C869" s="53"/>
      <c r="D869" s="55"/>
      <c r="E869" s="55"/>
      <c r="F869" s="55" t="b">
        <v>0</v>
      </c>
      <c r="G869" s="55"/>
      <c r="H869" s="53"/>
      <c r="I869" s="53"/>
      <c r="J869" s="55"/>
      <c r="K869" s="55"/>
      <c r="L869" s="55"/>
      <c r="M869" s="55"/>
      <c r="N869" s="55"/>
      <c r="O869" s="55" t="b">
        <v>0</v>
      </c>
      <c r="P869" s="55"/>
      <c r="Q869" s="55"/>
      <c r="R869" s="55"/>
      <c r="S869" s="55"/>
      <c r="T869" s="55"/>
      <c r="U869" s="64"/>
      <c r="V869" s="55"/>
      <c r="W869" s="64"/>
      <c r="X869" s="55"/>
      <c r="Y869" s="53"/>
      <c r="Z869" s="183" t="str">
        <f>IFERROR(__xludf.DUMMYFUNCTION("QUERY('Volunteer Survey'!A868)"),"")</f>
        <v/>
      </c>
      <c r="AA869" s="183" t="str">
        <f>IFERROR(__xludf.DUMMYFUNCTION("QUERY('Volunteer Survey'!B868)"),"")</f>
        <v/>
      </c>
      <c r="AB869" s="183" t="str">
        <f>IFERROR(__xludf.DUMMYFUNCTION("QUERY('Volunteer Survey'!C868)"),"")</f>
        <v/>
      </c>
      <c r="AC869" s="183" t="str">
        <f>IFERROR(__xludf.DUMMYFUNCTION("QUERY('Volunteer Survey'!D868)"),"")</f>
        <v/>
      </c>
      <c r="AD869" s="183" t="str">
        <f>IFERROR(__xludf.DUMMYFUNCTION("QUERY('Volunteer Survey'!E868)"),"")</f>
        <v/>
      </c>
      <c r="AE869" s="183" t="str">
        <f>IFERROR(__xludf.DUMMYFUNCTION("QUERY('Volunteer Survey'!F868)"),"")</f>
        <v/>
      </c>
      <c r="AF869" s="183" t="str">
        <f>IFERROR(__xludf.DUMMYFUNCTION("QUERY('Volunteer Survey'!G868)"),"")</f>
        <v/>
      </c>
      <c r="AG869" s="183" t="str">
        <f>IFERROR(__xludf.DUMMYFUNCTION("QUERY('Volunteer Survey'!H868)"),"")</f>
        <v/>
      </c>
      <c r="AH869" s="183" t="str">
        <f>IFERROR(__xludf.DUMMYFUNCTION("QUERY('Volunteer Survey'!I868)"),"")</f>
        <v/>
      </c>
      <c r="AI869" s="183" t="str">
        <f>IFERROR(__xludf.DUMMYFUNCTION("QUERY('Volunteer Survey'!J868)"),"")</f>
        <v/>
      </c>
      <c r="AJ869" s="183" t="str">
        <f>IFERROR(__xludf.DUMMYFUNCTION("QUERY('Volunteer Survey'!K868)"),"")</f>
        <v/>
      </c>
      <c r="AK869" s="183" t="str">
        <f>IFERROR(__xludf.DUMMYFUNCTION("QUERY('Volunteer Survey'!L868)"),"")</f>
        <v/>
      </c>
      <c r="AL869" s="183" t="str">
        <f>IFERROR(__xludf.DUMMYFUNCTION("QUERY('Volunteer Survey'!M868)"),"")</f>
        <v/>
      </c>
      <c r="AM869" s="183" t="str">
        <f>IFERROR(__xludf.DUMMYFUNCTION("QUERY('Volunteer Survey'!N868)"),"")</f>
        <v/>
      </c>
      <c r="AN869" s="183" t="str">
        <f>IFERROR(__xludf.DUMMYFUNCTION("QUERY('Volunteer Survey'!O868)"),"")</f>
        <v/>
      </c>
      <c r="AO869" s="183" t="str">
        <f>IFERROR(__xludf.DUMMYFUNCTION("QUERY('Volunteer Survey'!P868)"),"")</f>
        <v/>
      </c>
    </row>
    <row r="870">
      <c r="A870" s="55"/>
      <c r="B870" s="55"/>
      <c r="C870" s="53"/>
      <c r="D870" s="55"/>
      <c r="E870" s="55"/>
      <c r="F870" s="55" t="b">
        <v>0</v>
      </c>
      <c r="G870" s="55"/>
      <c r="H870" s="53"/>
      <c r="I870" s="53"/>
      <c r="J870" s="55"/>
      <c r="K870" s="55"/>
      <c r="L870" s="55"/>
      <c r="M870" s="55"/>
      <c r="N870" s="55"/>
      <c r="O870" s="55" t="b">
        <v>0</v>
      </c>
      <c r="P870" s="55"/>
      <c r="Q870" s="55"/>
      <c r="R870" s="55"/>
      <c r="S870" s="55"/>
      <c r="T870" s="55"/>
      <c r="U870" s="64"/>
      <c r="V870" s="55"/>
      <c r="W870" s="64"/>
      <c r="X870" s="55"/>
      <c r="Y870" s="53"/>
      <c r="Z870" s="183" t="str">
        <f>IFERROR(__xludf.DUMMYFUNCTION("QUERY('Volunteer Survey'!A869)"),"")</f>
        <v/>
      </c>
      <c r="AA870" s="183" t="str">
        <f>IFERROR(__xludf.DUMMYFUNCTION("QUERY('Volunteer Survey'!B869)"),"")</f>
        <v/>
      </c>
      <c r="AB870" s="183" t="str">
        <f>IFERROR(__xludf.DUMMYFUNCTION("QUERY('Volunteer Survey'!C869)"),"")</f>
        <v/>
      </c>
      <c r="AC870" s="183" t="str">
        <f>IFERROR(__xludf.DUMMYFUNCTION("QUERY('Volunteer Survey'!D869)"),"")</f>
        <v/>
      </c>
      <c r="AD870" s="183" t="str">
        <f>IFERROR(__xludf.DUMMYFUNCTION("QUERY('Volunteer Survey'!E869)"),"")</f>
        <v/>
      </c>
      <c r="AE870" s="183" t="str">
        <f>IFERROR(__xludf.DUMMYFUNCTION("QUERY('Volunteer Survey'!F869)"),"")</f>
        <v/>
      </c>
      <c r="AF870" s="183" t="str">
        <f>IFERROR(__xludf.DUMMYFUNCTION("QUERY('Volunteer Survey'!G869)"),"")</f>
        <v/>
      </c>
      <c r="AG870" s="183" t="str">
        <f>IFERROR(__xludf.DUMMYFUNCTION("QUERY('Volunteer Survey'!H869)"),"")</f>
        <v/>
      </c>
      <c r="AH870" s="183" t="str">
        <f>IFERROR(__xludf.DUMMYFUNCTION("QUERY('Volunteer Survey'!I869)"),"")</f>
        <v/>
      </c>
      <c r="AI870" s="183" t="str">
        <f>IFERROR(__xludf.DUMMYFUNCTION("QUERY('Volunteer Survey'!J869)"),"")</f>
        <v/>
      </c>
      <c r="AJ870" s="183" t="str">
        <f>IFERROR(__xludf.DUMMYFUNCTION("QUERY('Volunteer Survey'!K869)"),"")</f>
        <v/>
      </c>
      <c r="AK870" s="183" t="str">
        <f>IFERROR(__xludf.DUMMYFUNCTION("QUERY('Volunteer Survey'!L869)"),"")</f>
        <v/>
      </c>
      <c r="AL870" s="183" t="str">
        <f>IFERROR(__xludf.DUMMYFUNCTION("QUERY('Volunteer Survey'!M869)"),"")</f>
        <v/>
      </c>
      <c r="AM870" s="183" t="str">
        <f>IFERROR(__xludf.DUMMYFUNCTION("QUERY('Volunteer Survey'!N869)"),"")</f>
        <v/>
      </c>
      <c r="AN870" s="183" t="str">
        <f>IFERROR(__xludf.DUMMYFUNCTION("QUERY('Volunteer Survey'!O869)"),"")</f>
        <v/>
      </c>
      <c r="AO870" s="183" t="str">
        <f>IFERROR(__xludf.DUMMYFUNCTION("QUERY('Volunteer Survey'!P869)"),"")</f>
        <v/>
      </c>
    </row>
    <row r="871">
      <c r="A871" s="55"/>
      <c r="B871" s="55"/>
      <c r="C871" s="53"/>
      <c r="D871" s="55"/>
      <c r="E871" s="55"/>
      <c r="F871" s="55" t="b">
        <v>0</v>
      </c>
      <c r="G871" s="55"/>
      <c r="H871" s="53"/>
      <c r="I871" s="53"/>
      <c r="J871" s="55"/>
      <c r="K871" s="55"/>
      <c r="L871" s="55"/>
      <c r="M871" s="55"/>
      <c r="N871" s="55"/>
      <c r="O871" s="55" t="b">
        <v>0</v>
      </c>
      <c r="P871" s="55"/>
      <c r="Q871" s="55"/>
      <c r="R871" s="55"/>
      <c r="S871" s="55"/>
      <c r="T871" s="55"/>
      <c r="U871" s="64"/>
      <c r="V871" s="55"/>
      <c r="W871" s="64"/>
      <c r="X871" s="55"/>
      <c r="Y871" s="53"/>
      <c r="Z871" s="183" t="str">
        <f>IFERROR(__xludf.DUMMYFUNCTION("QUERY('Volunteer Survey'!A870)"),"")</f>
        <v/>
      </c>
      <c r="AA871" s="183" t="str">
        <f>IFERROR(__xludf.DUMMYFUNCTION("QUERY('Volunteer Survey'!B870)"),"")</f>
        <v/>
      </c>
      <c r="AB871" s="183" t="str">
        <f>IFERROR(__xludf.DUMMYFUNCTION("QUERY('Volunteer Survey'!C870)"),"")</f>
        <v/>
      </c>
      <c r="AC871" s="183" t="str">
        <f>IFERROR(__xludf.DUMMYFUNCTION("QUERY('Volunteer Survey'!D870)"),"")</f>
        <v/>
      </c>
      <c r="AD871" s="183" t="str">
        <f>IFERROR(__xludf.DUMMYFUNCTION("QUERY('Volunteer Survey'!E870)"),"")</f>
        <v/>
      </c>
      <c r="AE871" s="183" t="str">
        <f>IFERROR(__xludf.DUMMYFUNCTION("QUERY('Volunteer Survey'!F870)"),"")</f>
        <v/>
      </c>
      <c r="AF871" s="183" t="str">
        <f>IFERROR(__xludf.DUMMYFUNCTION("QUERY('Volunteer Survey'!G870)"),"")</f>
        <v/>
      </c>
      <c r="AG871" s="183" t="str">
        <f>IFERROR(__xludf.DUMMYFUNCTION("QUERY('Volunteer Survey'!H870)"),"")</f>
        <v/>
      </c>
      <c r="AH871" s="183" t="str">
        <f>IFERROR(__xludf.DUMMYFUNCTION("QUERY('Volunteer Survey'!I870)"),"")</f>
        <v/>
      </c>
      <c r="AI871" s="183" t="str">
        <f>IFERROR(__xludf.DUMMYFUNCTION("QUERY('Volunteer Survey'!J870)"),"")</f>
        <v/>
      </c>
      <c r="AJ871" s="183" t="str">
        <f>IFERROR(__xludf.DUMMYFUNCTION("QUERY('Volunteer Survey'!K870)"),"")</f>
        <v/>
      </c>
      <c r="AK871" s="183" t="str">
        <f>IFERROR(__xludf.DUMMYFUNCTION("QUERY('Volunteer Survey'!L870)"),"")</f>
        <v/>
      </c>
      <c r="AL871" s="183" t="str">
        <f>IFERROR(__xludf.DUMMYFUNCTION("QUERY('Volunteer Survey'!M870)"),"")</f>
        <v/>
      </c>
      <c r="AM871" s="183" t="str">
        <f>IFERROR(__xludf.DUMMYFUNCTION("QUERY('Volunteer Survey'!N870)"),"")</f>
        <v/>
      </c>
      <c r="AN871" s="183" t="str">
        <f>IFERROR(__xludf.DUMMYFUNCTION("QUERY('Volunteer Survey'!O870)"),"")</f>
        <v/>
      </c>
      <c r="AO871" s="183" t="str">
        <f>IFERROR(__xludf.DUMMYFUNCTION("QUERY('Volunteer Survey'!P870)"),"")</f>
        <v/>
      </c>
    </row>
    <row r="872">
      <c r="A872" s="55"/>
      <c r="B872" s="55"/>
      <c r="C872" s="53"/>
      <c r="D872" s="55"/>
      <c r="E872" s="55"/>
      <c r="F872" s="55" t="b">
        <v>0</v>
      </c>
      <c r="G872" s="55"/>
      <c r="H872" s="53"/>
      <c r="I872" s="53"/>
      <c r="J872" s="55"/>
      <c r="K872" s="55"/>
      <c r="L872" s="55"/>
      <c r="M872" s="55"/>
      <c r="N872" s="55"/>
      <c r="O872" s="55" t="b">
        <v>0</v>
      </c>
      <c r="P872" s="55"/>
      <c r="Q872" s="55"/>
      <c r="R872" s="55"/>
      <c r="S872" s="55"/>
      <c r="T872" s="55"/>
      <c r="U872" s="64"/>
      <c r="V872" s="55"/>
      <c r="W872" s="64"/>
      <c r="X872" s="55"/>
      <c r="Y872" s="53"/>
      <c r="Z872" s="183" t="str">
        <f>IFERROR(__xludf.DUMMYFUNCTION("QUERY('Volunteer Survey'!A871)"),"")</f>
        <v/>
      </c>
      <c r="AA872" s="183" t="str">
        <f>IFERROR(__xludf.DUMMYFUNCTION("QUERY('Volunteer Survey'!B871)"),"")</f>
        <v/>
      </c>
      <c r="AB872" s="183" t="str">
        <f>IFERROR(__xludf.DUMMYFUNCTION("QUERY('Volunteer Survey'!C871)"),"")</f>
        <v/>
      </c>
      <c r="AC872" s="183" t="str">
        <f>IFERROR(__xludf.DUMMYFUNCTION("QUERY('Volunteer Survey'!D871)"),"")</f>
        <v/>
      </c>
      <c r="AD872" s="183" t="str">
        <f>IFERROR(__xludf.DUMMYFUNCTION("QUERY('Volunteer Survey'!E871)"),"")</f>
        <v/>
      </c>
      <c r="AE872" s="183" t="str">
        <f>IFERROR(__xludf.DUMMYFUNCTION("QUERY('Volunteer Survey'!F871)"),"")</f>
        <v/>
      </c>
      <c r="AF872" s="183" t="str">
        <f>IFERROR(__xludf.DUMMYFUNCTION("QUERY('Volunteer Survey'!G871)"),"")</f>
        <v/>
      </c>
      <c r="AG872" s="183" t="str">
        <f>IFERROR(__xludf.DUMMYFUNCTION("QUERY('Volunteer Survey'!H871)"),"")</f>
        <v/>
      </c>
      <c r="AH872" s="183" t="str">
        <f>IFERROR(__xludf.DUMMYFUNCTION("QUERY('Volunteer Survey'!I871)"),"")</f>
        <v/>
      </c>
      <c r="AI872" s="183" t="str">
        <f>IFERROR(__xludf.DUMMYFUNCTION("QUERY('Volunteer Survey'!J871)"),"")</f>
        <v/>
      </c>
      <c r="AJ872" s="183" t="str">
        <f>IFERROR(__xludf.DUMMYFUNCTION("QUERY('Volunteer Survey'!K871)"),"")</f>
        <v/>
      </c>
      <c r="AK872" s="183" t="str">
        <f>IFERROR(__xludf.DUMMYFUNCTION("QUERY('Volunteer Survey'!L871)"),"")</f>
        <v/>
      </c>
      <c r="AL872" s="183" t="str">
        <f>IFERROR(__xludf.DUMMYFUNCTION("QUERY('Volunteer Survey'!M871)"),"")</f>
        <v/>
      </c>
      <c r="AM872" s="183" t="str">
        <f>IFERROR(__xludf.DUMMYFUNCTION("QUERY('Volunteer Survey'!N871)"),"")</f>
        <v/>
      </c>
      <c r="AN872" s="183" t="str">
        <f>IFERROR(__xludf.DUMMYFUNCTION("QUERY('Volunteer Survey'!O871)"),"")</f>
        <v/>
      </c>
      <c r="AO872" s="183" t="str">
        <f>IFERROR(__xludf.DUMMYFUNCTION("QUERY('Volunteer Survey'!P871)"),"")</f>
        <v/>
      </c>
    </row>
    <row r="873">
      <c r="A873" s="55"/>
      <c r="B873" s="55"/>
      <c r="C873" s="53"/>
      <c r="D873" s="55"/>
      <c r="E873" s="55"/>
      <c r="F873" s="55" t="b">
        <v>0</v>
      </c>
      <c r="G873" s="55"/>
      <c r="H873" s="53"/>
      <c r="I873" s="53"/>
      <c r="J873" s="55"/>
      <c r="K873" s="55"/>
      <c r="L873" s="55"/>
      <c r="M873" s="55"/>
      <c r="N873" s="55"/>
      <c r="O873" s="55" t="b">
        <v>0</v>
      </c>
      <c r="P873" s="55"/>
      <c r="Q873" s="55"/>
      <c r="R873" s="55"/>
      <c r="S873" s="55"/>
      <c r="T873" s="55"/>
      <c r="U873" s="64"/>
      <c r="V873" s="55"/>
      <c r="W873" s="64"/>
      <c r="X873" s="55"/>
      <c r="Y873" s="53"/>
      <c r="Z873" s="183" t="str">
        <f>IFERROR(__xludf.DUMMYFUNCTION("QUERY('Volunteer Survey'!A872)"),"")</f>
        <v/>
      </c>
      <c r="AA873" s="183" t="str">
        <f>IFERROR(__xludf.DUMMYFUNCTION("QUERY('Volunteer Survey'!B872)"),"")</f>
        <v/>
      </c>
      <c r="AB873" s="183" t="str">
        <f>IFERROR(__xludf.DUMMYFUNCTION("QUERY('Volunteer Survey'!C872)"),"")</f>
        <v/>
      </c>
      <c r="AC873" s="183" t="str">
        <f>IFERROR(__xludf.DUMMYFUNCTION("QUERY('Volunteer Survey'!D872)"),"")</f>
        <v/>
      </c>
      <c r="AD873" s="183" t="str">
        <f>IFERROR(__xludf.DUMMYFUNCTION("QUERY('Volunteer Survey'!E872)"),"")</f>
        <v/>
      </c>
      <c r="AE873" s="183" t="str">
        <f>IFERROR(__xludf.DUMMYFUNCTION("QUERY('Volunteer Survey'!F872)"),"")</f>
        <v/>
      </c>
      <c r="AF873" s="183" t="str">
        <f>IFERROR(__xludf.DUMMYFUNCTION("QUERY('Volunteer Survey'!G872)"),"")</f>
        <v/>
      </c>
      <c r="AG873" s="183" t="str">
        <f>IFERROR(__xludf.DUMMYFUNCTION("QUERY('Volunteer Survey'!H872)"),"")</f>
        <v/>
      </c>
      <c r="AH873" s="183" t="str">
        <f>IFERROR(__xludf.DUMMYFUNCTION("QUERY('Volunteer Survey'!I872)"),"")</f>
        <v/>
      </c>
      <c r="AI873" s="183" t="str">
        <f>IFERROR(__xludf.DUMMYFUNCTION("QUERY('Volunteer Survey'!J872)"),"")</f>
        <v/>
      </c>
      <c r="AJ873" s="183" t="str">
        <f>IFERROR(__xludf.DUMMYFUNCTION("QUERY('Volunteer Survey'!K872)"),"")</f>
        <v/>
      </c>
      <c r="AK873" s="183" t="str">
        <f>IFERROR(__xludf.DUMMYFUNCTION("QUERY('Volunteer Survey'!L872)"),"")</f>
        <v/>
      </c>
      <c r="AL873" s="183" t="str">
        <f>IFERROR(__xludf.DUMMYFUNCTION("QUERY('Volunteer Survey'!M872)"),"")</f>
        <v/>
      </c>
      <c r="AM873" s="183" t="str">
        <f>IFERROR(__xludf.DUMMYFUNCTION("QUERY('Volunteer Survey'!N872)"),"")</f>
        <v/>
      </c>
      <c r="AN873" s="183" t="str">
        <f>IFERROR(__xludf.DUMMYFUNCTION("QUERY('Volunteer Survey'!O872)"),"")</f>
        <v/>
      </c>
      <c r="AO873" s="183" t="str">
        <f>IFERROR(__xludf.DUMMYFUNCTION("QUERY('Volunteer Survey'!P872)"),"")</f>
        <v/>
      </c>
    </row>
    <row r="874">
      <c r="A874" s="55"/>
      <c r="B874" s="55"/>
      <c r="C874" s="53"/>
      <c r="D874" s="55"/>
      <c r="E874" s="55"/>
      <c r="F874" s="55" t="b">
        <v>0</v>
      </c>
      <c r="G874" s="55"/>
      <c r="H874" s="53"/>
      <c r="I874" s="53"/>
      <c r="J874" s="55"/>
      <c r="K874" s="55"/>
      <c r="L874" s="55"/>
      <c r="M874" s="55"/>
      <c r="N874" s="55"/>
      <c r="O874" s="55" t="b">
        <v>0</v>
      </c>
      <c r="P874" s="55"/>
      <c r="Q874" s="55"/>
      <c r="R874" s="55"/>
      <c r="S874" s="55"/>
      <c r="T874" s="55"/>
      <c r="U874" s="64"/>
      <c r="V874" s="55"/>
      <c r="W874" s="64"/>
      <c r="X874" s="55"/>
      <c r="Y874" s="53"/>
      <c r="Z874" s="183" t="str">
        <f>IFERROR(__xludf.DUMMYFUNCTION("QUERY('Volunteer Survey'!A873)"),"")</f>
        <v/>
      </c>
      <c r="AA874" s="183" t="str">
        <f>IFERROR(__xludf.DUMMYFUNCTION("QUERY('Volunteer Survey'!B873)"),"")</f>
        <v/>
      </c>
      <c r="AB874" s="183" t="str">
        <f>IFERROR(__xludf.DUMMYFUNCTION("QUERY('Volunteer Survey'!C873)"),"")</f>
        <v/>
      </c>
      <c r="AC874" s="183" t="str">
        <f>IFERROR(__xludf.DUMMYFUNCTION("QUERY('Volunteer Survey'!D873)"),"")</f>
        <v/>
      </c>
      <c r="AD874" s="183" t="str">
        <f>IFERROR(__xludf.DUMMYFUNCTION("QUERY('Volunteer Survey'!E873)"),"")</f>
        <v/>
      </c>
      <c r="AE874" s="183" t="str">
        <f>IFERROR(__xludf.DUMMYFUNCTION("QUERY('Volunteer Survey'!F873)"),"")</f>
        <v/>
      </c>
      <c r="AF874" s="183" t="str">
        <f>IFERROR(__xludf.DUMMYFUNCTION("QUERY('Volunteer Survey'!G873)"),"")</f>
        <v/>
      </c>
      <c r="AG874" s="183" t="str">
        <f>IFERROR(__xludf.DUMMYFUNCTION("QUERY('Volunteer Survey'!H873)"),"")</f>
        <v/>
      </c>
      <c r="AH874" s="183" t="str">
        <f>IFERROR(__xludf.DUMMYFUNCTION("QUERY('Volunteer Survey'!I873)"),"")</f>
        <v/>
      </c>
      <c r="AI874" s="183" t="str">
        <f>IFERROR(__xludf.DUMMYFUNCTION("QUERY('Volunteer Survey'!J873)"),"")</f>
        <v/>
      </c>
      <c r="AJ874" s="183" t="str">
        <f>IFERROR(__xludf.DUMMYFUNCTION("QUERY('Volunteer Survey'!K873)"),"")</f>
        <v/>
      </c>
      <c r="AK874" s="183" t="str">
        <f>IFERROR(__xludf.DUMMYFUNCTION("QUERY('Volunteer Survey'!L873)"),"")</f>
        <v/>
      </c>
      <c r="AL874" s="183" t="str">
        <f>IFERROR(__xludf.DUMMYFUNCTION("QUERY('Volunteer Survey'!M873)"),"")</f>
        <v/>
      </c>
      <c r="AM874" s="183" t="str">
        <f>IFERROR(__xludf.DUMMYFUNCTION("QUERY('Volunteer Survey'!N873)"),"")</f>
        <v/>
      </c>
      <c r="AN874" s="183" t="str">
        <f>IFERROR(__xludf.DUMMYFUNCTION("QUERY('Volunteer Survey'!O873)"),"")</f>
        <v/>
      </c>
      <c r="AO874" s="183" t="str">
        <f>IFERROR(__xludf.DUMMYFUNCTION("QUERY('Volunteer Survey'!P873)"),"")</f>
        <v/>
      </c>
    </row>
    <row r="875">
      <c r="A875" s="55"/>
      <c r="B875" s="55"/>
      <c r="C875" s="53"/>
      <c r="D875" s="55"/>
      <c r="E875" s="55"/>
      <c r="F875" s="55" t="b">
        <v>0</v>
      </c>
      <c r="G875" s="55"/>
      <c r="H875" s="53"/>
      <c r="I875" s="53"/>
      <c r="J875" s="55"/>
      <c r="K875" s="55"/>
      <c r="L875" s="55"/>
      <c r="M875" s="55"/>
      <c r="N875" s="55"/>
      <c r="O875" s="55" t="b">
        <v>0</v>
      </c>
      <c r="P875" s="55"/>
      <c r="Q875" s="55"/>
      <c r="R875" s="55"/>
      <c r="S875" s="55"/>
      <c r="T875" s="55"/>
      <c r="U875" s="64"/>
      <c r="V875" s="55"/>
      <c r="W875" s="64"/>
      <c r="X875" s="55"/>
      <c r="Y875" s="53"/>
      <c r="Z875" s="183" t="str">
        <f>IFERROR(__xludf.DUMMYFUNCTION("QUERY('Volunteer Survey'!A874)"),"")</f>
        <v/>
      </c>
      <c r="AA875" s="183" t="str">
        <f>IFERROR(__xludf.DUMMYFUNCTION("QUERY('Volunteer Survey'!B874)"),"")</f>
        <v/>
      </c>
      <c r="AB875" s="183" t="str">
        <f>IFERROR(__xludf.DUMMYFUNCTION("QUERY('Volunteer Survey'!C874)"),"")</f>
        <v/>
      </c>
      <c r="AC875" s="183" t="str">
        <f>IFERROR(__xludf.DUMMYFUNCTION("QUERY('Volunteer Survey'!D874)"),"")</f>
        <v/>
      </c>
      <c r="AD875" s="183" t="str">
        <f>IFERROR(__xludf.DUMMYFUNCTION("QUERY('Volunteer Survey'!E874)"),"")</f>
        <v/>
      </c>
      <c r="AE875" s="183" t="str">
        <f>IFERROR(__xludf.DUMMYFUNCTION("QUERY('Volunteer Survey'!F874)"),"")</f>
        <v/>
      </c>
      <c r="AF875" s="183" t="str">
        <f>IFERROR(__xludf.DUMMYFUNCTION("QUERY('Volunteer Survey'!G874)"),"")</f>
        <v/>
      </c>
      <c r="AG875" s="183" t="str">
        <f>IFERROR(__xludf.DUMMYFUNCTION("QUERY('Volunteer Survey'!H874)"),"")</f>
        <v/>
      </c>
      <c r="AH875" s="183" t="str">
        <f>IFERROR(__xludf.DUMMYFUNCTION("QUERY('Volunteer Survey'!I874)"),"")</f>
        <v/>
      </c>
      <c r="AI875" s="183" t="str">
        <f>IFERROR(__xludf.DUMMYFUNCTION("QUERY('Volunteer Survey'!J874)"),"")</f>
        <v/>
      </c>
      <c r="AJ875" s="183" t="str">
        <f>IFERROR(__xludf.DUMMYFUNCTION("QUERY('Volunteer Survey'!K874)"),"")</f>
        <v/>
      </c>
      <c r="AK875" s="183" t="str">
        <f>IFERROR(__xludf.DUMMYFUNCTION("QUERY('Volunteer Survey'!L874)"),"")</f>
        <v/>
      </c>
      <c r="AL875" s="183" t="str">
        <f>IFERROR(__xludf.DUMMYFUNCTION("QUERY('Volunteer Survey'!M874)"),"")</f>
        <v/>
      </c>
      <c r="AM875" s="183" t="str">
        <f>IFERROR(__xludf.DUMMYFUNCTION("QUERY('Volunteer Survey'!N874)"),"")</f>
        <v/>
      </c>
      <c r="AN875" s="183" t="str">
        <f>IFERROR(__xludf.DUMMYFUNCTION("QUERY('Volunteer Survey'!O874)"),"")</f>
        <v/>
      </c>
      <c r="AO875" s="183" t="str">
        <f>IFERROR(__xludf.DUMMYFUNCTION("QUERY('Volunteer Survey'!P874)"),"")</f>
        <v/>
      </c>
    </row>
    <row r="876">
      <c r="A876" s="55"/>
      <c r="B876" s="55"/>
      <c r="C876" s="53"/>
      <c r="D876" s="55"/>
      <c r="E876" s="55"/>
      <c r="F876" s="55" t="b">
        <v>0</v>
      </c>
      <c r="G876" s="55"/>
      <c r="H876" s="53"/>
      <c r="I876" s="53"/>
      <c r="J876" s="55"/>
      <c r="K876" s="55"/>
      <c r="L876" s="55"/>
      <c r="M876" s="55"/>
      <c r="N876" s="55"/>
      <c r="O876" s="55" t="b">
        <v>0</v>
      </c>
      <c r="P876" s="55"/>
      <c r="Q876" s="55"/>
      <c r="R876" s="55"/>
      <c r="S876" s="55"/>
      <c r="T876" s="55"/>
      <c r="U876" s="64"/>
      <c r="V876" s="55"/>
      <c r="W876" s="64"/>
      <c r="X876" s="55"/>
      <c r="Y876" s="53"/>
      <c r="Z876" s="183" t="str">
        <f>IFERROR(__xludf.DUMMYFUNCTION("QUERY('Volunteer Survey'!A875)"),"")</f>
        <v/>
      </c>
      <c r="AA876" s="183" t="str">
        <f>IFERROR(__xludf.DUMMYFUNCTION("QUERY('Volunteer Survey'!B875)"),"")</f>
        <v/>
      </c>
      <c r="AB876" s="183" t="str">
        <f>IFERROR(__xludf.DUMMYFUNCTION("QUERY('Volunteer Survey'!C875)"),"")</f>
        <v/>
      </c>
      <c r="AC876" s="183" t="str">
        <f>IFERROR(__xludf.DUMMYFUNCTION("QUERY('Volunteer Survey'!D875)"),"")</f>
        <v/>
      </c>
      <c r="AD876" s="183" t="str">
        <f>IFERROR(__xludf.DUMMYFUNCTION("QUERY('Volunteer Survey'!E875)"),"")</f>
        <v/>
      </c>
      <c r="AE876" s="183" t="str">
        <f>IFERROR(__xludf.DUMMYFUNCTION("QUERY('Volunteer Survey'!F875)"),"")</f>
        <v/>
      </c>
      <c r="AF876" s="183" t="str">
        <f>IFERROR(__xludf.DUMMYFUNCTION("QUERY('Volunteer Survey'!G875)"),"")</f>
        <v/>
      </c>
      <c r="AG876" s="183" t="str">
        <f>IFERROR(__xludf.DUMMYFUNCTION("QUERY('Volunteer Survey'!H875)"),"")</f>
        <v/>
      </c>
      <c r="AH876" s="183" t="str">
        <f>IFERROR(__xludf.DUMMYFUNCTION("QUERY('Volunteer Survey'!I875)"),"")</f>
        <v/>
      </c>
      <c r="AI876" s="183" t="str">
        <f>IFERROR(__xludf.DUMMYFUNCTION("QUERY('Volunteer Survey'!J875)"),"")</f>
        <v/>
      </c>
      <c r="AJ876" s="183" t="str">
        <f>IFERROR(__xludf.DUMMYFUNCTION("QUERY('Volunteer Survey'!K875)"),"")</f>
        <v/>
      </c>
      <c r="AK876" s="183" t="str">
        <f>IFERROR(__xludf.DUMMYFUNCTION("QUERY('Volunteer Survey'!L875)"),"")</f>
        <v/>
      </c>
      <c r="AL876" s="183" t="str">
        <f>IFERROR(__xludf.DUMMYFUNCTION("QUERY('Volunteer Survey'!M875)"),"")</f>
        <v/>
      </c>
      <c r="AM876" s="183" t="str">
        <f>IFERROR(__xludf.DUMMYFUNCTION("QUERY('Volunteer Survey'!N875)"),"")</f>
        <v/>
      </c>
      <c r="AN876" s="183" t="str">
        <f>IFERROR(__xludf.DUMMYFUNCTION("QUERY('Volunteer Survey'!O875)"),"")</f>
        <v/>
      </c>
      <c r="AO876" s="183" t="str">
        <f>IFERROR(__xludf.DUMMYFUNCTION("QUERY('Volunteer Survey'!P875)"),"")</f>
        <v/>
      </c>
    </row>
    <row r="877">
      <c r="A877" s="55"/>
      <c r="B877" s="55"/>
      <c r="C877" s="53"/>
      <c r="D877" s="55"/>
      <c r="E877" s="55"/>
      <c r="F877" s="55" t="b">
        <v>0</v>
      </c>
      <c r="G877" s="55"/>
      <c r="H877" s="53"/>
      <c r="I877" s="53"/>
      <c r="J877" s="55"/>
      <c r="K877" s="55"/>
      <c r="L877" s="55"/>
      <c r="M877" s="55"/>
      <c r="N877" s="55"/>
      <c r="O877" s="55" t="b">
        <v>0</v>
      </c>
      <c r="P877" s="55"/>
      <c r="Q877" s="55"/>
      <c r="R877" s="55"/>
      <c r="S877" s="55"/>
      <c r="T877" s="55"/>
      <c r="U877" s="64"/>
      <c r="V877" s="55"/>
      <c r="W877" s="64"/>
      <c r="X877" s="55"/>
      <c r="Y877" s="53"/>
      <c r="Z877" s="183" t="str">
        <f>IFERROR(__xludf.DUMMYFUNCTION("QUERY('Volunteer Survey'!A876)"),"")</f>
        <v/>
      </c>
      <c r="AA877" s="183" t="str">
        <f>IFERROR(__xludf.DUMMYFUNCTION("QUERY('Volunteer Survey'!B876)"),"")</f>
        <v/>
      </c>
      <c r="AB877" s="183" t="str">
        <f>IFERROR(__xludf.DUMMYFUNCTION("QUERY('Volunteer Survey'!C876)"),"")</f>
        <v/>
      </c>
      <c r="AC877" s="183" t="str">
        <f>IFERROR(__xludf.DUMMYFUNCTION("QUERY('Volunteer Survey'!D876)"),"")</f>
        <v/>
      </c>
      <c r="AD877" s="183" t="str">
        <f>IFERROR(__xludf.DUMMYFUNCTION("QUERY('Volunteer Survey'!E876)"),"")</f>
        <v/>
      </c>
      <c r="AE877" s="183" t="str">
        <f>IFERROR(__xludf.DUMMYFUNCTION("QUERY('Volunteer Survey'!F876)"),"")</f>
        <v/>
      </c>
      <c r="AF877" s="183" t="str">
        <f>IFERROR(__xludf.DUMMYFUNCTION("QUERY('Volunteer Survey'!G876)"),"")</f>
        <v/>
      </c>
      <c r="AG877" s="183" t="str">
        <f>IFERROR(__xludf.DUMMYFUNCTION("QUERY('Volunteer Survey'!H876)"),"")</f>
        <v/>
      </c>
      <c r="AH877" s="183" t="str">
        <f>IFERROR(__xludf.DUMMYFUNCTION("QUERY('Volunteer Survey'!I876)"),"")</f>
        <v/>
      </c>
      <c r="AI877" s="183" t="str">
        <f>IFERROR(__xludf.DUMMYFUNCTION("QUERY('Volunteer Survey'!J876)"),"")</f>
        <v/>
      </c>
      <c r="AJ877" s="183" t="str">
        <f>IFERROR(__xludf.DUMMYFUNCTION("QUERY('Volunteer Survey'!K876)"),"")</f>
        <v/>
      </c>
      <c r="AK877" s="183" t="str">
        <f>IFERROR(__xludf.DUMMYFUNCTION("QUERY('Volunteer Survey'!L876)"),"")</f>
        <v/>
      </c>
      <c r="AL877" s="183" t="str">
        <f>IFERROR(__xludf.DUMMYFUNCTION("QUERY('Volunteer Survey'!M876)"),"")</f>
        <v/>
      </c>
      <c r="AM877" s="183" t="str">
        <f>IFERROR(__xludf.DUMMYFUNCTION("QUERY('Volunteer Survey'!N876)"),"")</f>
        <v/>
      </c>
      <c r="AN877" s="183" t="str">
        <f>IFERROR(__xludf.DUMMYFUNCTION("QUERY('Volunteer Survey'!O876)"),"")</f>
        <v/>
      </c>
      <c r="AO877" s="183" t="str">
        <f>IFERROR(__xludf.DUMMYFUNCTION("QUERY('Volunteer Survey'!P876)"),"")</f>
        <v/>
      </c>
    </row>
    <row r="878">
      <c r="A878" s="55"/>
      <c r="B878" s="55"/>
      <c r="C878" s="53"/>
      <c r="D878" s="55"/>
      <c r="E878" s="55"/>
      <c r="F878" s="55" t="b">
        <v>0</v>
      </c>
      <c r="G878" s="55"/>
      <c r="H878" s="53"/>
      <c r="I878" s="53"/>
      <c r="J878" s="55"/>
      <c r="K878" s="55"/>
      <c r="L878" s="55"/>
      <c r="M878" s="55"/>
      <c r="N878" s="55"/>
      <c r="O878" s="55" t="b">
        <v>0</v>
      </c>
      <c r="P878" s="55"/>
      <c r="Q878" s="55"/>
      <c r="R878" s="55"/>
      <c r="S878" s="55"/>
      <c r="T878" s="55"/>
      <c r="U878" s="64"/>
      <c r="V878" s="55"/>
      <c r="W878" s="64"/>
      <c r="X878" s="55"/>
      <c r="Y878" s="53"/>
      <c r="Z878" s="183" t="str">
        <f>IFERROR(__xludf.DUMMYFUNCTION("QUERY('Volunteer Survey'!A877)"),"")</f>
        <v/>
      </c>
      <c r="AA878" s="183" t="str">
        <f>IFERROR(__xludf.DUMMYFUNCTION("QUERY('Volunteer Survey'!B877)"),"")</f>
        <v/>
      </c>
      <c r="AB878" s="183" t="str">
        <f>IFERROR(__xludf.DUMMYFUNCTION("QUERY('Volunteer Survey'!C877)"),"")</f>
        <v/>
      </c>
      <c r="AC878" s="183" t="str">
        <f>IFERROR(__xludf.DUMMYFUNCTION("QUERY('Volunteer Survey'!D877)"),"")</f>
        <v/>
      </c>
      <c r="AD878" s="183" t="str">
        <f>IFERROR(__xludf.DUMMYFUNCTION("QUERY('Volunteer Survey'!E877)"),"")</f>
        <v/>
      </c>
      <c r="AE878" s="183" t="str">
        <f>IFERROR(__xludf.DUMMYFUNCTION("QUERY('Volunteer Survey'!F877)"),"")</f>
        <v/>
      </c>
      <c r="AF878" s="183" t="str">
        <f>IFERROR(__xludf.DUMMYFUNCTION("QUERY('Volunteer Survey'!G877)"),"")</f>
        <v/>
      </c>
      <c r="AG878" s="183" t="str">
        <f>IFERROR(__xludf.DUMMYFUNCTION("QUERY('Volunteer Survey'!H877)"),"")</f>
        <v/>
      </c>
      <c r="AH878" s="183" t="str">
        <f>IFERROR(__xludf.DUMMYFUNCTION("QUERY('Volunteer Survey'!I877)"),"")</f>
        <v/>
      </c>
      <c r="AI878" s="183" t="str">
        <f>IFERROR(__xludf.DUMMYFUNCTION("QUERY('Volunteer Survey'!J877)"),"")</f>
        <v/>
      </c>
      <c r="AJ878" s="183" t="str">
        <f>IFERROR(__xludf.DUMMYFUNCTION("QUERY('Volunteer Survey'!K877)"),"")</f>
        <v/>
      </c>
      <c r="AK878" s="183" t="str">
        <f>IFERROR(__xludf.DUMMYFUNCTION("QUERY('Volunteer Survey'!L877)"),"")</f>
        <v/>
      </c>
      <c r="AL878" s="183" t="str">
        <f>IFERROR(__xludf.DUMMYFUNCTION("QUERY('Volunteer Survey'!M877)"),"")</f>
        <v/>
      </c>
      <c r="AM878" s="183" t="str">
        <f>IFERROR(__xludf.DUMMYFUNCTION("QUERY('Volunteer Survey'!N877)"),"")</f>
        <v/>
      </c>
      <c r="AN878" s="183" t="str">
        <f>IFERROR(__xludf.DUMMYFUNCTION("QUERY('Volunteer Survey'!O877)"),"")</f>
        <v/>
      </c>
      <c r="AO878" s="183" t="str">
        <f>IFERROR(__xludf.DUMMYFUNCTION("QUERY('Volunteer Survey'!P877)"),"")</f>
        <v/>
      </c>
    </row>
    <row r="879">
      <c r="A879" s="55"/>
      <c r="B879" s="55"/>
      <c r="C879" s="53"/>
      <c r="D879" s="55"/>
      <c r="E879" s="55"/>
      <c r="F879" s="55" t="b">
        <v>0</v>
      </c>
      <c r="G879" s="55"/>
      <c r="H879" s="53"/>
      <c r="I879" s="53"/>
      <c r="J879" s="55"/>
      <c r="K879" s="55"/>
      <c r="L879" s="55"/>
      <c r="M879" s="55"/>
      <c r="N879" s="55"/>
      <c r="O879" s="55" t="b">
        <v>0</v>
      </c>
      <c r="P879" s="55"/>
      <c r="Q879" s="55"/>
      <c r="R879" s="55"/>
      <c r="S879" s="55"/>
      <c r="T879" s="55"/>
      <c r="U879" s="64"/>
      <c r="V879" s="55"/>
      <c r="W879" s="64"/>
      <c r="X879" s="55"/>
      <c r="Y879" s="53"/>
      <c r="Z879" s="183" t="str">
        <f>IFERROR(__xludf.DUMMYFUNCTION("QUERY('Volunteer Survey'!A878)"),"")</f>
        <v/>
      </c>
      <c r="AA879" s="183" t="str">
        <f>IFERROR(__xludf.DUMMYFUNCTION("QUERY('Volunteer Survey'!B878)"),"")</f>
        <v/>
      </c>
      <c r="AB879" s="183" t="str">
        <f>IFERROR(__xludf.DUMMYFUNCTION("QUERY('Volunteer Survey'!C878)"),"")</f>
        <v/>
      </c>
      <c r="AC879" s="183" t="str">
        <f>IFERROR(__xludf.DUMMYFUNCTION("QUERY('Volunteer Survey'!D878)"),"")</f>
        <v/>
      </c>
      <c r="AD879" s="183" t="str">
        <f>IFERROR(__xludf.DUMMYFUNCTION("QUERY('Volunteer Survey'!E878)"),"")</f>
        <v/>
      </c>
      <c r="AE879" s="183" t="str">
        <f>IFERROR(__xludf.DUMMYFUNCTION("QUERY('Volunteer Survey'!F878)"),"")</f>
        <v/>
      </c>
      <c r="AF879" s="183" t="str">
        <f>IFERROR(__xludf.DUMMYFUNCTION("QUERY('Volunteer Survey'!G878)"),"")</f>
        <v/>
      </c>
      <c r="AG879" s="183" t="str">
        <f>IFERROR(__xludf.DUMMYFUNCTION("QUERY('Volunteer Survey'!H878)"),"")</f>
        <v/>
      </c>
      <c r="AH879" s="183" t="str">
        <f>IFERROR(__xludf.DUMMYFUNCTION("QUERY('Volunteer Survey'!I878)"),"")</f>
        <v/>
      </c>
      <c r="AI879" s="183" t="str">
        <f>IFERROR(__xludf.DUMMYFUNCTION("QUERY('Volunteer Survey'!J878)"),"")</f>
        <v/>
      </c>
      <c r="AJ879" s="183" t="str">
        <f>IFERROR(__xludf.DUMMYFUNCTION("QUERY('Volunteer Survey'!K878)"),"")</f>
        <v/>
      </c>
      <c r="AK879" s="183" t="str">
        <f>IFERROR(__xludf.DUMMYFUNCTION("QUERY('Volunteer Survey'!L878)"),"")</f>
        <v/>
      </c>
      <c r="AL879" s="183" t="str">
        <f>IFERROR(__xludf.DUMMYFUNCTION("QUERY('Volunteer Survey'!M878)"),"")</f>
        <v/>
      </c>
      <c r="AM879" s="183" t="str">
        <f>IFERROR(__xludf.DUMMYFUNCTION("QUERY('Volunteer Survey'!N878)"),"")</f>
        <v/>
      </c>
      <c r="AN879" s="183" t="str">
        <f>IFERROR(__xludf.DUMMYFUNCTION("QUERY('Volunteer Survey'!O878)"),"")</f>
        <v/>
      </c>
      <c r="AO879" s="183" t="str">
        <f>IFERROR(__xludf.DUMMYFUNCTION("QUERY('Volunteer Survey'!P878)"),"")</f>
        <v/>
      </c>
    </row>
    <row r="880">
      <c r="A880" s="55"/>
      <c r="B880" s="55"/>
      <c r="C880" s="53"/>
      <c r="D880" s="55"/>
      <c r="E880" s="55"/>
      <c r="F880" s="55" t="b">
        <v>0</v>
      </c>
      <c r="G880" s="55"/>
      <c r="H880" s="53"/>
      <c r="I880" s="53"/>
      <c r="J880" s="55"/>
      <c r="K880" s="55"/>
      <c r="L880" s="55"/>
      <c r="M880" s="55"/>
      <c r="N880" s="55"/>
      <c r="O880" s="55" t="b">
        <v>0</v>
      </c>
      <c r="P880" s="55"/>
      <c r="Q880" s="55"/>
      <c r="R880" s="55"/>
      <c r="S880" s="55"/>
      <c r="T880" s="55"/>
      <c r="U880" s="64"/>
      <c r="V880" s="55"/>
      <c r="W880" s="64"/>
      <c r="X880" s="55"/>
      <c r="Y880" s="53"/>
      <c r="Z880" s="183" t="str">
        <f>IFERROR(__xludf.DUMMYFUNCTION("QUERY('Volunteer Survey'!A879)"),"")</f>
        <v/>
      </c>
      <c r="AA880" s="183" t="str">
        <f>IFERROR(__xludf.DUMMYFUNCTION("QUERY('Volunteer Survey'!B879)"),"")</f>
        <v/>
      </c>
      <c r="AB880" s="183" t="str">
        <f>IFERROR(__xludf.DUMMYFUNCTION("QUERY('Volunteer Survey'!C879)"),"")</f>
        <v/>
      </c>
      <c r="AC880" s="183" t="str">
        <f>IFERROR(__xludf.DUMMYFUNCTION("QUERY('Volunteer Survey'!D879)"),"")</f>
        <v/>
      </c>
      <c r="AD880" s="183" t="str">
        <f>IFERROR(__xludf.DUMMYFUNCTION("QUERY('Volunteer Survey'!E879)"),"")</f>
        <v/>
      </c>
      <c r="AE880" s="183" t="str">
        <f>IFERROR(__xludf.DUMMYFUNCTION("QUERY('Volunteer Survey'!F879)"),"")</f>
        <v/>
      </c>
      <c r="AF880" s="183" t="str">
        <f>IFERROR(__xludf.DUMMYFUNCTION("QUERY('Volunteer Survey'!G879)"),"")</f>
        <v/>
      </c>
      <c r="AG880" s="183" t="str">
        <f>IFERROR(__xludf.DUMMYFUNCTION("QUERY('Volunteer Survey'!H879)"),"")</f>
        <v/>
      </c>
      <c r="AH880" s="183" t="str">
        <f>IFERROR(__xludf.DUMMYFUNCTION("QUERY('Volunteer Survey'!I879)"),"")</f>
        <v/>
      </c>
      <c r="AI880" s="183" t="str">
        <f>IFERROR(__xludf.DUMMYFUNCTION("QUERY('Volunteer Survey'!J879)"),"")</f>
        <v/>
      </c>
      <c r="AJ880" s="183" t="str">
        <f>IFERROR(__xludf.DUMMYFUNCTION("QUERY('Volunteer Survey'!K879)"),"")</f>
        <v/>
      </c>
      <c r="AK880" s="183" t="str">
        <f>IFERROR(__xludf.DUMMYFUNCTION("QUERY('Volunteer Survey'!L879)"),"")</f>
        <v/>
      </c>
      <c r="AL880" s="183" t="str">
        <f>IFERROR(__xludf.DUMMYFUNCTION("QUERY('Volunteer Survey'!M879)"),"")</f>
        <v/>
      </c>
      <c r="AM880" s="183" t="str">
        <f>IFERROR(__xludf.DUMMYFUNCTION("QUERY('Volunteer Survey'!N879)"),"")</f>
        <v/>
      </c>
      <c r="AN880" s="183" t="str">
        <f>IFERROR(__xludf.DUMMYFUNCTION("QUERY('Volunteer Survey'!O879)"),"")</f>
        <v/>
      </c>
      <c r="AO880" s="183" t="str">
        <f>IFERROR(__xludf.DUMMYFUNCTION("QUERY('Volunteer Survey'!P879)"),"")</f>
        <v/>
      </c>
    </row>
    <row r="881">
      <c r="A881" s="55"/>
      <c r="B881" s="55"/>
      <c r="C881" s="53"/>
      <c r="D881" s="55"/>
      <c r="E881" s="55"/>
      <c r="F881" s="55" t="b">
        <v>0</v>
      </c>
      <c r="G881" s="55"/>
      <c r="H881" s="53"/>
      <c r="I881" s="53"/>
      <c r="J881" s="55"/>
      <c r="K881" s="55"/>
      <c r="L881" s="55"/>
      <c r="M881" s="55"/>
      <c r="N881" s="55"/>
      <c r="O881" s="55" t="b">
        <v>0</v>
      </c>
      <c r="P881" s="55"/>
      <c r="Q881" s="55"/>
      <c r="R881" s="55"/>
      <c r="S881" s="55"/>
      <c r="T881" s="55"/>
      <c r="U881" s="64"/>
      <c r="V881" s="55"/>
      <c r="W881" s="64"/>
      <c r="X881" s="55"/>
      <c r="Y881" s="53"/>
      <c r="Z881" s="183" t="str">
        <f>IFERROR(__xludf.DUMMYFUNCTION("QUERY('Volunteer Survey'!A880)"),"")</f>
        <v/>
      </c>
      <c r="AA881" s="183" t="str">
        <f>IFERROR(__xludf.DUMMYFUNCTION("QUERY('Volunteer Survey'!B880)"),"")</f>
        <v/>
      </c>
      <c r="AB881" s="183" t="str">
        <f>IFERROR(__xludf.DUMMYFUNCTION("QUERY('Volunteer Survey'!C880)"),"")</f>
        <v/>
      </c>
      <c r="AC881" s="183" t="str">
        <f>IFERROR(__xludf.DUMMYFUNCTION("QUERY('Volunteer Survey'!D880)"),"")</f>
        <v/>
      </c>
      <c r="AD881" s="183" t="str">
        <f>IFERROR(__xludf.DUMMYFUNCTION("QUERY('Volunteer Survey'!E880)"),"")</f>
        <v/>
      </c>
      <c r="AE881" s="183" t="str">
        <f>IFERROR(__xludf.DUMMYFUNCTION("QUERY('Volunteer Survey'!F880)"),"")</f>
        <v/>
      </c>
      <c r="AF881" s="183" t="str">
        <f>IFERROR(__xludf.DUMMYFUNCTION("QUERY('Volunteer Survey'!G880)"),"")</f>
        <v/>
      </c>
      <c r="AG881" s="183" t="str">
        <f>IFERROR(__xludf.DUMMYFUNCTION("QUERY('Volunteer Survey'!H880)"),"")</f>
        <v/>
      </c>
      <c r="AH881" s="183" t="str">
        <f>IFERROR(__xludf.DUMMYFUNCTION("QUERY('Volunteer Survey'!I880)"),"")</f>
        <v/>
      </c>
      <c r="AI881" s="183" t="str">
        <f>IFERROR(__xludf.DUMMYFUNCTION("QUERY('Volunteer Survey'!J880)"),"")</f>
        <v/>
      </c>
      <c r="AJ881" s="183" t="str">
        <f>IFERROR(__xludf.DUMMYFUNCTION("QUERY('Volunteer Survey'!K880)"),"")</f>
        <v/>
      </c>
      <c r="AK881" s="183" t="str">
        <f>IFERROR(__xludf.DUMMYFUNCTION("QUERY('Volunteer Survey'!L880)"),"")</f>
        <v/>
      </c>
      <c r="AL881" s="183" t="str">
        <f>IFERROR(__xludf.DUMMYFUNCTION("QUERY('Volunteer Survey'!M880)"),"")</f>
        <v/>
      </c>
      <c r="AM881" s="183" t="str">
        <f>IFERROR(__xludf.DUMMYFUNCTION("QUERY('Volunteer Survey'!N880)"),"")</f>
        <v/>
      </c>
      <c r="AN881" s="183" t="str">
        <f>IFERROR(__xludf.DUMMYFUNCTION("QUERY('Volunteer Survey'!O880)"),"")</f>
        <v/>
      </c>
      <c r="AO881" s="183" t="str">
        <f>IFERROR(__xludf.DUMMYFUNCTION("QUERY('Volunteer Survey'!P880)"),"")</f>
        <v/>
      </c>
    </row>
    <row r="882">
      <c r="A882" s="55"/>
      <c r="B882" s="55"/>
      <c r="C882" s="53"/>
      <c r="D882" s="55"/>
      <c r="E882" s="55"/>
      <c r="F882" s="55" t="b">
        <v>0</v>
      </c>
      <c r="G882" s="55"/>
      <c r="H882" s="53"/>
      <c r="I882" s="53"/>
      <c r="J882" s="55"/>
      <c r="K882" s="55"/>
      <c r="L882" s="55"/>
      <c r="M882" s="55"/>
      <c r="N882" s="55"/>
      <c r="O882" s="55" t="b">
        <v>0</v>
      </c>
      <c r="P882" s="55"/>
      <c r="Q882" s="55"/>
      <c r="R882" s="55"/>
      <c r="S882" s="55"/>
      <c r="T882" s="55"/>
      <c r="U882" s="64"/>
      <c r="V882" s="55"/>
      <c r="W882" s="64"/>
      <c r="X882" s="55"/>
      <c r="Y882" s="53"/>
      <c r="Z882" s="183" t="str">
        <f>IFERROR(__xludf.DUMMYFUNCTION("QUERY('Volunteer Survey'!A881)"),"")</f>
        <v/>
      </c>
      <c r="AA882" s="183" t="str">
        <f>IFERROR(__xludf.DUMMYFUNCTION("QUERY('Volunteer Survey'!B881)"),"")</f>
        <v/>
      </c>
      <c r="AB882" s="183" t="str">
        <f>IFERROR(__xludf.DUMMYFUNCTION("QUERY('Volunteer Survey'!C881)"),"")</f>
        <v/>
      </c>
      <c r="AC882" s="183" t="str">
        <f>IFERROR(__xludf.DUMMYFUNCTION("QUERY('Volunteer Survey'!D881)"),"")</f>
        <v/>
      </c>
      <c r="AD882" s="183" t="str">
        <f>IFERROR(__xludf.DUMMYFUNCTION("QUERY('Volunteer Survey'!E881)"),"")</f>
        <v/>
      </c>
      <c r="AE882" s="183" t="str">
        <f>IFERROR(__xludf.DUMMYFUNCTION("QUERY('Volunteer Survey'!F881)"),"")</f>
        <v/>
      </c>
      <c r="AF882" s="183" t="str">
        <f>IFERROR(__xludf.DUMMYFUNCTION("QUERY('Volunteer Survey'!G881)"),"")</f>
        <v/>
      </c>
      <c r="AG882" s="183" t="str">
        <f>IFERROR(__xludf.DUMMYFUNCTION("QUERY('Volunteer Survey'!H881)"),"")</f>
        <v/>
      </c>
      <c r="AH882" s="183" t="str">
        <f>IFERROR(__xludf.DUMMYFUNCTION("QUERY('Volunteer Survey'!I881)"),"")</f>
        <v/>
      </c>
      <c r="AI882" s="183" t="str">
        <f>IFERROR(__xludf.DUMMYFUNCTION("QUERY('Volunteer Survey'!J881)"),"")</f>
        <v/>
      </c>
      <c r="AJ882" s="183" t="str">
        <f>IFERROR(__xludf.DUMMYFUNCTION("QUERY('Volunteer Survey'!K881)"),"")</f>
        <v/>
      </c>
      <c r="AK882" s="183" t="str">
        <f>IFERROR(__xludf.DUMMYFUNCTION("QUERY('Volunteer Survey'!L881)"),"")</f>
        <v/>
      </c>
      <c r="AL882" s="183" t="str">
        <f>IFERROR(__xludf.DUMMYFUNCTION("QUERY('Volunteer Survey'!M881)"),"")</f>
        <v/>
      </c>
      <c r="AM882" s="183" t="str">
        <f>IFERROR(__xludf.DUMMYFUNCTION("QUERY('Volunteer Survey'!N881)"),"")</f>
        <v/>
      </c>
      <c r="AN882" s="183" t="str">
        <f>IFERROR(__xludf.DUMMYFUNCTION("QUERY('Volunteer Survey'!O881)"),"")</f>
        <v/>
      </c>
      <c r="AO882" s="183" t="str">
        <f>IFERROR(__xludf.DUMMYFUNCTION("QUERY('Volunteer Survey'!P881)"),"")</f>
        <v/>
      </c>
    </row>
    <row r="883">
      <c r="A883" s="55"/>
      <c r="B883" s="55"/>
      <c r="C883" s="53"/>
      <c r="D883" s="55"/>
      <c r="E883" s="55"/>
      <c r="F883" s="55" t="b">
        <v>0</v>
      </c>
      <c r="G883" s="55"/>
      <c r="H883" s="53"/>
      <c r="I883" s="53"/>
      <c r="J883" s="55"/>
      <c r="K883" s="55"/>
      <c r="L883" s="55"/>
      <c r="M883" s="55"/>
      <c r="N883" s="55"/>
      <c r="O883" s="55" t="b">
        <v>0</v>
      </c>
      <c r="P883" s="55"/>
      <c r="Q883" s="55"/>
      <c r="R883" s="55"/>
      <c r="S883" s="55"/>
      <c r="T883" s="55"/>
      <c r="U883" s="64"/>
      <c r="V883" s="55"/>
      <c r="W883" s="64"/>
      <c r="X883" s="55"/>
      <c r="Y883" s="53"/>
      <c r="Z883" s="183" t="str">
        <f>IFERROR(__xludf.DUMMYFUNCTION("QUERY('Volunteer Survey'!A882)"),"")</f>
        <v/>
      </c>
      <c r="AA883" s="183" t="str">
        <f>IFERROR(__xludf.DUMMYFUNCTION("QUERY('Volunteer Survey'!B882)"),"")</f>
        <v/>
      </c>
      <c r="AB883" s="183" t="str">
        <f>IFERROR(__xludf.DUMMYFUNCTION("QUERY('Volunteer Survey'!C882)"),"")</f>
        <v/>
      </c>
      <c r="AC883" s="183" t="str">
        <f>IFERROR(__xludf.DUMMYFUNCTION("QUERY('Volunteer Survey'!D882)"),"")</f>
        <v/>
      </c>
      <c r="AD883" s="183" t="str">
        <f>IFERROR(__xludf.DUMMYFUNCTION("QUERY('Volunteer Survey'!E882)"),"")</f>
        <v/>
      </c>
      <c r="AE883" s="183" t="str">
        <f>IFERROR(__xludf.DUMMYFUNCTION("QUERY('Volunteer Survey'!F882)"),"")</f>
        <v/>
      </c>
      <c r="AF883" s="183" t="str">
        <f>IFERROR(__xludf.DUMMYFUNCTION("QUERY('Volunteer Survey'!G882)"),"")</f>
        <v/>
      </c>
      <c r="AG883" s="183" t="str">
        <f>IFERROR(__xludf.DUMMYFUNCTION("QUERY('Volunteer Survey'!H882)"),"")</f>
        <v/>
      </c>
      <c r="AH883" s="183" t="str">
        <f>IFERROR(__xludf.DUMMYFUNCTION("QUERY('Volunteer Survey'!I882)"),"")</f>
        <v/>
      </c>
      <c r="AI883" s="183" t="str">
        <f>IFERROR(__xludf.DUMMYFUNCTION("QUERY('Volunteer Survey'!J882)"),"")</f>
        <v/>
      </c>
      <c r="AJ883" s="183" t="str">
        <f>IFERROR(__xludf.DUMMYFUNCTION("QUERY('Volunteer Survey'!K882)"),"")</f>
        <v/>
      </c>
      <c r="AK883" s="183" t="str">
        <f>IFERROR(__xludf.DUMMYFUNCTION("QUERY('Volunteer Survey'!L882)"),"")</f>
        <v/>
      </c>
      <c r="AL883" s="183" t="str">
        <f>IFERROR(__xludf.DUMMYFUNCTION("QUERY('Volunteer Survey'!M882)"),"")</f>
        <v/>
      </c>
      <c r="AM883" s="183" t="str">
        <f>IFERROR(__xludf.DUMMYFUNCTION("QUERY('Volunteer Survey'!N882)"),"")</f>
        <v/>
      </c>
      <c r="AN883" s="183" t="str">
        <f>IFERROR(__xludf.DUMMYFUNCTION("QUERY('Volunteer Survey'!O882)"),"")</f>
        <v/>
      </c>
      <c r="AO883" s="183" t="str">
        <f>IFERROR(__xludf.DUMMYFUNCTION("QUERY('Volunteer Survey'!P882)"),"")</f>
        <v/>
      </c>
    </row>
    <row r="884">
      <c r="A884" s="55"/>
      <c r="B884" s="55"/>
      <c r="C884" s="53"/>
      <c r="D884" s="55"/>
      <c r="E884" s="55"/>
      <c r="F884" s="55" t="b">
        <v>0</v>
      </c>
      <c r="G884" s="55"/>
      <c r="H884" s="53"/>
      <c r="I884" s="53"/>
      <c r="J884" s="55"/>
      <c r="K884" s="55"/>
      <c r="L884" s="55"/>
      <c r="M884" s="55"/>
      <c r="N884" s="55"/>
      <c r="O884" s="55" t="b">
        <v>0</v>
      </c>
      <c r="P884" s="55"/>
      <c r="Q884" s="55"/>
      <c r="R884" s="55"/>
      <c r="S884" s="55"/>
      <c r="T884" s="55"/>
      <c r="U884" s="64"/>
      <c r="V884" s="55"/>
      <c r="W884" s="64"/>
      <c r="X884" s="55"/>
      <c r="Y884" s="53"/>
      <c r="Z884" s="183" t="str">
        <f>IFERROR(__xludf.DUMMYFUNCTION("QUERY('Volunteer Survey'!A883)"),"")</f>
        <v/>
      </c>
      <c r="AA884" s="183" t="str">
        <f>IFERROR(__xludf.DUMMYFUNCTION("QUERY('Volunteer Survey'!B883)"),"")</f>
        <v/>
      </c>
      <c r="AB884" s="183" t="str">
        <f>IFERROR(__xludf.DUMMYFUNCTION("QUERY('Volunteer Survey'!C883)"),"")</f>
        <v/>
      </c>
      <c r="AC884" s="183" t="str">
        <f>IFERROR(__xludf.DUMMYFUNCTION("QUERY('Volunteer Survey'!D883)"),"")</f>
        <v/>
      </c>
      <c r="AD884" s="183" t="str">
        <f>IFERROR(__xludf.DUMMYFUNCTION("QUERY('Volunteer Survey'!E883)"),"")</f>
        <v/>
      </c>
      <c r="AE884" s="183" t="str">
        <f>IFERROR(__xludf.DUMMYFUNCTION("QUERY('Volunteer Survey'!F883)"),"")</f>
        <v/>
      </c>
      <c r="AF884" s="183" t="str">
        <f>IFERROR(__xludf.DUMMYFUNCTION("QUERY('Volunteer Survey'!G883)"),"")</f>
        <v/>
      </c>
      <c r="AG884" s="183" t="str">
        <f>IFERROR(__xludf.DUMMYFUNCTION("QUERY('Volunteer Survey'!H883)"),"")</f>
        <v/>
      </c>
      <c r="AH884" s="183" t="str">
        <f>IFERROR(__xludf.DUMMYFUNCTION("QUERY('Volunteer Survey'!I883)"),"")</f>
        <v/>
      </c>
      <c r="AI884" s="183" t="str">
        <f>IFERROR(__xludf.DUMMYFUNCTION("QUERY('Volunteer Survey'!J883)"),"")</f>
        <v/>
      </c>
      <c r="AJ884" s="183" t="str">
        <f>IFERROR(__xludf.DUMMYFUNCTION("QUERY('Volunteer Survey'!K883)"),"")</f>
        <v/>
      </c>
      <c r="AK884" s="183" t="str">
        <f>IFERROR(__xludf.DUMMYFUNCTION("QUERY('Volunteer Survey'!L883)"),"")</f>
        <v/>
      </c>
      <c r="AL884" s="183" t="str">
        <f>IFERROR(__xludf.DUMMYFUNCTION("QUERY('Volunteer Survey'!M883)"),"")</f>
        <v/>
      </c>
      <c r="AM884" s="183" t="str">
        <f>IFERROR(__xludf.DUMMYFUNCTION("QUERY('Volunteer Survey'!N883)"),"")</f>
        <v/>
      </c>
      <c r="AN884" s="183" t="str">
        <f>IFERROR(__xludf.DUMMYFUNCTION("QUERY('Volunteer Survey'!O883)"),"")</f>
        <v/>
      </c>
      <c r="AO884" s="183" t="str">
        <f>IFERROR(__xludf.DUMMYFUNCTION("QUERY('Volunteer Survey'!P883)"),"")</f>
        <v/>
      </c>
    </row>
    <row r="885">
      <c r="A885" s="55"/>
      <c r="B885" s="55"/>
      <c r="C885" s="53"/>
      <c r="D885" s="55"/>
      <c r="E885" s="55"/>
      <c r="F885" s="55" t="b">
        <v>0</v>
      </c>
      <c r="G885" s="55"/>
      <c r="H885" s="53"/>
      <c r="I885" s="53"/>
      <c r="J885" s="55"/>
      <c r="K885" s="55"/>
      <c r="L885" s="55"/>
      <c r="M885" s="55"/>
      <c r="N885" s="55"/>
      <c r="O885" s="55" t="b">
        <v>0</v>
      </c>
      <c r="P885" s="55"/>
      <c r="Q885" s="55"/>
      <c r="R885" s="55"/>
      <c r="S885" s="55"/>
      <c r="T885" s="55"/>
      <c r="U885" s="64"/>
      <c r="V885" s="55"/>
      <c r="W885" s="64"/>
      <c r="X885" s="55"/>
      <c r="Y885" s="53"/>
      <c r="Z885" s="183" t="str">
        <f>IFERROR(__xludf.DUMMYFUNCTION("QUERY('Volunteer Survey'!A884)"),"")</f>
        <v/>
      </c>
      <c r="AA885" s="183" t="str">
        <f>IFERROR(__xludf.DUMMYFUNCTION("QUERY('Volunteer Survey'!B884)"),"")</f>
        <v/>
      </c>
      <c r="AB885" s="183" t="str">
        <f>IFERROR(__xludf.DUMMYFUNCTION("QUERY('Volunteer Survey'!C884)"),"")</f>
        <v/>
      </c>
      <c r="AC885" s="183" t="str">
        <f>IFERROR(__xludf.DUMMYFUNCTION("QUERY('Volunteer Survey'!D884)"),"")</f>
        <v/>
      </c>
      <c r="AD885" s="183" t="str">
        <f>IFERROR(__xludf.DUMMYFUNCTION("QUERY('Volunteer Survey'!E884)"),"")</f>
        <v/>
      </c>
      <c r="AE885" s="183" t="str">
        <f>IFERROR(__xludf.DUMMYFUNCTION("QUERY('Volunteer Survey'!F884)"),"")</f>
        <v/>
      </c>
      <c r="AF885" s="183" t="str">
        <f>IFERROR(__xludf.DUMMYFUNCTION("QUERY('Volunteer Survey'!G884)"),"")</f>
        <v/>
      </c>
      <c r="AG885" s="183" t="str">
        <f>IFERROR(__xludf.DUMMYFUNCTION("QUERY('Volunteer Survey'!H884)"),"")</f>
        <v/>
      </c>
      <c r="AH885" s="183" t="str">
        <f>IFERROR(__xludf.DUMMYFUNCTION("QUERY('Volunteer Survey'!I884)"),"")</f>
        <v/>
      </c>
      <c r="AI885" s="183" t="str">
        <f>IFERROR(__xludf.DUMMYFUNCTION("QUERY('Volunteer Survey'!J884)"),"")</f>
        <v/>
      </c>
      <c r="AJ885" s="183" t="str">
        <f>IFERROR(__xludf.DUMMYFUNCTION("QUERY('Volunteer Survey'!K884)"),"")</f>
        <v/>
      </c>
      <c r="AK885" s="183" t="str">
        <f>IFERROR(__xludf.DUMMYFUNCTION("QUERY('Volunteer Survey'!L884)"),"")</f>
        <v/>
      </c>
      <c r="AL885" s="183" t="str">
        <f>IFERROR(__xludf.DUMMYFUNCTION("QUERY('Volunteer Survey'!M884)"),"")</f>
        <v/>
      </c>
      <c r="AM885" s="183" t="str">
        <f>IFERROR(__xludf.DUMMYFUNCTION("QUERY('Volunteer Survey'!N884)"),"")</f>
        <v/>
      </c>
      <c r="AN885" s="183" t="str">
        <f>IFERROR(__xludf.DUMMYFUNCTION("QUERY('Volunteer Survey'!O884)"),"")</f>
        <v/>
      </c>
      <c r="AO885" s="183" t="str">
        <f>IFERROR(__xludf.DUMMYFUNCTION("QUERY('Volunteer Survey'!P884)"),"")</f>
        <v/>
      </c>
    </row>
    <row r="886">
      <c r="A886" s="55"/>
      <c r="B886" s="55"/>
      <c r="C886" s="53"/>
      <c r="D886" s="55"/>
      <c r="E886" s="55"/>
      <c r="F886" s="55" t="b">
        <v>0</v>
      </c>
      <c r="G886" s="55"/>
      <c r="H886" s="53"/>
      <c r="I886" s="53"/>
      <c r="J886" s="55"/>
      <c r="K886" s="55"/>
      <c r="L886" s="55"/>
      <c r="M886" s="55"/>
      <c r="N886" s="55"/>
      <c r="O886" s="55" t="b">
        <v>0</v>
      </c>
      <c r="P886" s="55"/>
      <c r="Q886" s="55"/>
      <c r="R886" s="55"/>
      <c r="S886" s="55"/>
      <c r="T886" s="55"/>
      <c r="U886" s="64"/>
      <c r="V886" s="55"/>
      <c r="W886" s="64"/>
      <c r="X886" s="55"/>
      <c r="Y886" s="53"/>
      <c r="Z886" s="183" t="str">
        <f>IFERROR(__xludf.DUMMYFUNCTION("QUERY('Volunteer Survey'!A885)"),"")</f>
        <v/>
      </c>
      <c r="AA886" s="183" t="str">
        <f>IFERROR(__xludf.DUMMYFUNCTION("QUERY('Volunteer Survey'!B885)"),"")</f>
        <v/>
      </c>
      <c r="AB886" s="183" t="str">
        <f>IFERROR(__xludf.DUMMYFUNCTION("QUERY('Volunteer Survey'!C885)"),"")</f>
        <v/>
      </c>
      <c r="AC886" s="183" t="str">
        <f>IFERROR(__xludf.DUMMYFUNCTION("QUERY('Volunteer Survey'!D885)"),"")</f>
        <v/>
      </c>
      <c r="AD886" s="183" t="str">
        <f>IFERROR(__xludf.DUMMYFUNCTION("QUERY('Volunteer Survey'!E885)"),"")</f>
        <v/>
      </c>
      <c r="AE886" s="183" t="str">
        <f>IFERROR(__xludf.DUMMYFUNCTION("QUERY('Volunteer Survey'!F885)"),"")</f>
        <v/>
      </c>
      <c r="AF886" s="183" t="str">
        <f>IFERROR(__xludf.DUMMYFUNCTION("QUERY('Volunteer Survey'!G885)"),"")</f>
        <v/>
      </c>
      <c r="AG886" s="183" t="str">
        <f>IFERROR(__xludf.DUMMYFUNCTION("QUERY('Volunteer Survey'!H885)"),"")</f>
        <v/>
      </c>
      <c r="AH886" s="183" t="str">
        <f>IFERROR(__xludf.DUMMYFUNCTION("QUERY('Volunteer Survey'!I885)"),"")</f>
        <v/>
      </c>
      <c r="AI886" s="183" t="str">
        <f>IFERROR(__xludf.DUMMYFUNCTION("QUERY('Volunteer Survey'!J885)"),"")</f>
        <v/>
      </c>
      <c r="AJ886" s="183" t="str">
        <f>IFERROR(__xludf.DUMMYFUNCTION("QUERY('Volunteer Survey'!K885)"),"")</f>
        <v/>
      </c>
      <c r="AK886" s="183" t="str">
        <f>IFERROR(__xludf.DUMMYFUNCTION("QUERY('Volunteer Survey'!L885)"),"")</f>
        <v/>
      </c>
      <c r="AL886" s="183" t="str">
        <f>IFERROR(__xludf.DUMMYFUNCTION("QUERY('Volunteer Survey'!M885)"),"")</f>
        <v/>
      </c>
      <c r="AM886" s="183" t="str">
        <f>IFERROR(__xludf.DUMMYFUNCTION("QUERY('Volunteer Survey'!N885)"),"")</f>
        <v/>
      </c>
      <c r="AN886" s="183" t="str">
        <f>IFERROR(__xludf.DUMMYFUNCTION("QUERY('Volunteer Survey'!O885)"),"")</f>
        <v/>
      </c>
      <c r="AO886" s="183" t="str">
        <f>IFERROR(__xludf.DUMMYFUNCTION("QUERY('Volunteer Survey'!P885)"),"")</f>
        <v/>
      </c>
    </row>
    <row r="887">
      <c r="A887" s="55"/>
      <c r="B887" s="55"/>
      <c r="C887" s="53"/>
      <c r="D887" s="55"/>
      <c r="E887" s="55"/>
      <c r="F887" s="55" t="b">
        <v>0</v>
      </c>
      <c r="G887" s="55"/>
      <c r="H887" s="53"/>
      <c r="I887" s="53"/>
      <c r="J887" s="55"/>
      <c r="K887" s="55"/>
      <c r="L887" s="55"/>
      <c r="M887" s="55"/>
      <c r="N887" s="55"/>
      <c r="O887" s="55" t="b">
        <v>0</v>
      </c>
      <c r="P887" s="55"/>
      <c r="Q887" s="55"/>
      <c r="R887" s="55"/>
      <c r="S887" s="55"/>
      <c r="T887" s="55"/>
      <c r="U887" s="64"/>
      <c r="V887" s="55"/>
      <c r="W887" s="64"/>
      <c r="X887" s="55"/>
      <c r="Y887" s="53"/>
      <c r="Z887" s="183" t="str">
        <f>IFERROR(__xludf.DUMMYFUNCTION("QUERY('Volunteer Survey'!A886)"),"")</f>
        <v/>
      </c>
      <c r="AA887" s="183" t="str">
        <f>IFERROR(__xludf.DUMMYFUNCTION("QUERY('Volunteer Survey'!B886)"),"")</f>
        <v/>
      </c>
      <c r="AB887" s="183" t="str">
        <f>IFERROR(__xludf.DUMMYFUNCTION("QUERY('Volunteer Survey'!C886)"),"")</f>
        <v/>
      </c>
      <c r="AC887" s="183" t="str">
        <f>IFERROR(__xludf.DUMMYFUNCTION("QUERY('Volunteer Survey'!D886)"),"")</f>
        <v/>
      </c>
      <c r="AD887" s="183" t="str">
        <f>IFERROR(__xludf.DUMMYFUNCTION("QUERY('Volunteer Survey'!E886)"),"")</f>
        <v/>
      </c>
      <c r="AE887" s="183" t="str">
        <f>IFERROR(__xludf.DUMMYFUNCTION("QUERY('Volunteer Survey'!F886)"),"")</f>
        <v/>
      </c>
      <c r="AF887" s="183" t="str">
        <f>IFERROR(__xludf.DUMMYFUNCTION("QUERY('Volunteer Survey'!G886)"),"")</f>
        <v/>
      </c>
      <c r="AG887" s="183" t="str">
        <f>IFERROR(__xludf.DUMMYFUNCTION("QUERY('Volunteer Survey'!H886)"),"")</f>
        <v/>
      </c>
      <c r="AH887" s="183" t="str">
        <f>IFERROR(__xludf.DUMMYFUNCTION("QUERY('Volunteer Survey'!I886)"),"")</f>
        <v/>
      </c>
      <c r="AI887" s="183" t="str">
        <f>IFERROR(__xludf.DUMMYFUNCTION("QUERY('Volunteer Survey'!J886)"),"")</f>
        <v/>
      </c>
      <c r="AJ887" s="183" t="str">
        <f>IFERROR(__xludf.DUMMYFUNCTION("QUERY('Volunteer Survey'!K886)"),"")</f>
        <v/>
      </c>
      <c r="AK887" s="183" t="str">
        <f>IFERROR(__xludf.DUMMYFUNCTION("QUERY('Volunteer Survey'!L886)"),"")</f>
        <v/>
      </c>
      <c r="AL887" s="183" t="str">
        <f>IFERROR(__xludf.DUMMYFUNCTION("QUERY('Volunteer Survey'!M886)"),"")</f>
        <v/>
      </c>
      <c r="AM887" s="183" t="str">
        <f>IFERROR(__xludf.DUMMYFUNCTION("QUERY('Volunteer Survey'!N886)"),"")</f>
        <v/>
      </c>
      <c r="AN887" s="183" t="str">
        <f>IFERROR(__xludf.DUMMYFUNCTION("QUERY('Volunteer Survey'!O886)"),"")</f>
        <v/>
      </c>
      <c r="AO887" s="183" t="str">
        <f>IFERROR(__xludf.DUMMYFUNCTION("QUERY('Volunteer Survey'!P886)"),"")</f>
        <v/>
      </c>
    </row>
    <row r="888">
      <c r="A888" s="55"/>
      <c r="B888" s="55"/>
      <c r="C888" s="53"/>
      <c r="D888" s="55"/>
      <c r="E888" s="55"/>
      <c r="F888" s="55" t="b">
        <v>0</v>
      </c>
      <c r="G888" s="55"/>
      <c r="H888" s="53"/>
      <c r="I888" s="53"/>
      <c r="J888" s="55"/>
      <c r="K888" s="55"/>
      <c r="L888" s="55"/>
      <c r="M888" s="55"/>
      <c r="N888" s="55"/>
      <c r="O888" s="55" t="b">
        <v>0</v>
      </c>
      <c r="P888" s="55"/>
      <c r="Q888" s="55"/>
      <c r="R888" s="55"/>
      <c r="S888" s="55"/>
      <c r="T888" s="55"/>
      <c r="U888" s="64"/>
      <c r="V888" s="55"/>
      <c r="W888" s="64"/>
      <c r="X888" s="55"/>
      <c r="Y888" s="53"/>
      <c r="Z888" s="183" t="str">
        <f>IFERROR(__xludf.DUMMYFUNCTION("QUERY('Volunteer Survey'!A887)"),"")</f>
        <v/>
      </c>
      <c r="AA888" s="183" t="str">
        <f>IFERROR(__xludf.DUMMYFUNCTION("QUERY('Volunteer Survey'!B887)"),"")</f>
        <v/>
      </c>
      <c r="AB888" s="183" t="str">
        <f>IFERROR(__xludf.DUMMYFUNCTION("QUERY('Volunteer Survey'!C887)"),"")</f>
        <v/>
      </c>
      <c r="AC888" s="183" t="str">
        <f>IFERROR(__xludf.DUMMYFUNCTION("QUERY('Volunteer Survey'!D887)"),"")</f>
        <v/>
      </c>
      <c r="AD888" s="183" t="str">
        <f>IFERROR(__xludf.DUMMYFUNCTION("QUERY('Volunteer Survey'!E887)"),"")</f>
        <v/>
      </c>
      <c r="AE888" s="183" t="str">
        <f>IFERROR(__xludf.DUMMYFUNCTION("QUERY('Volunteer Survey'!F887)"),"")</f>
        <v/>
      </c>
      <c r="AF888" s="183" t="str">
        <f>IFERROR(__xludf.DUMMYFUNCTION("QUERY('Volunteer Survey'!G887)"),"")</f>
        <v/>
      </c>
      <c r="AG888" s="183" t="str">
        <f>IFERROR(__xludf.DUMMYFUNCTION("QUERY('Volunteer Survey'!H887)"),"")</f>
        <v/>
      </c>
      <c r="AH888" s="183" t="str">
        <f>IFERROR(__xludf.DUMMYFUNCTION("QUERY('Volunteer Survey'!I887)"),"")</f>
        <v/>
      </c>
      <c r="AI888" s="183" t="str">
        <f>IFERROR(__xludf.DUMMYFUNCTION("QUERY('Volunteer Survey'!J887)"),"")</f>
        <v/>
      </c>
      <c r="AJ888" s="183" t="str">
        <f>IFERROR(__xludf.DUMMYFUNCTION("QUERY('Volunteer Survey'!K887)"),"")</f>
        <v/>
      </c>
      <c r="AK888" s="183" t="str">
        <f>IFERROR(__xludf.DUMMYFUNCTION("QUERY('Volunteer Survey'!L887)"),"")</f>
        <v/>
      </c>
      <c r="AL888" s="183" t="str">
        <f>IFERROR(__xludf.DUMMYFUNCTION("QUERY('Volunteer Survey'!M887)"),"")</f>
        <v/>
      </c>
      <c r="AM888" s="183" t="str">
        <f>IFERROR(__xludf.DUMMYFUNCTION("QUERY('Volunteer Survey'!N887)"),"")</f>
        <v/>
      </c>
      <c r="AN888" s="183" t="str">
        <f>IFERROR(__xludf.DUMMYFUNCTION("QUERY('Volunteer Survey'!O887)"),"")</f>
        <v/>
      </c>
      <c r="AO888" s="183" t="str">
        <f>IFERROR(__xludf.DUMMYFUNCTION("QUERY('Volunteer Survey'!P887)"),"")</f>
        <v/>
      </c>
    </row>
    <row r="889">
      <c r="A889" s="55"/>
      <c r="B889" s="55"/>
      <c r="C889" s="53"/>
      <c r="D889" s="55"/>
      <c r="E889" s="55"/>
      <c r="F889" s="55" t="b">
        <v>0</v>
      </c>
      <c r="G889" s="55"/>
      <c r="H889" s="53"/>
      <c r="I889" s="53"/>
      <c r="J889" s="55"/>
      <c r="K889" s="55"/>
      <c r="L889" s="55"/>
      <c r="M889" s="55"/>
      <c r="N889" s="55"/>
      <c r="O889" s="55" t="b">
        <v>0</v>
      </c>
      <c r="P889" s="55"/>
      <c r="Q889" s="55"/>
      <c r="R889" s="55"/>
      <c r="S889" s="55"/>
      <c r="T889" s="55"/>
      <c r="U889" s="64"/>
      <c r="V889" s="55"/>
      <c r="W889" s="64"/>
      <c r="X889" s="55"/>
      <c r="Y889" s="53"/>
      <c r="Z889" s="183" t="str">
        <f>IFERROR(__xludf.DUMMYFUNCTION("QUERY('Volunteer Survey'!A888)"),"")</f>
        <v/>
      </c>
      <c r="AA889" s="183" t="str">
        <f>IFERROR(__xludf.DUMMYFUNCTION("QUERY('Volunteer Survey'!B888)"),"")</f>
        <v/>
      </c>
      <c r="AB889" s="183" t="str">
        <f>IFERROR(__xludf.DUMMYFUNCTION("QUERY('Volunteer Survey'!C888)"),"")</f>
        <v/>
      </c>
      <c r="AC889" s="183" t="str">
        <f>IFERROR(__xludf.DUMMYFUNCTION("QUERY('Volunteer Survey'!D888)"),"")</f>
        <v/>
      </c>
      <c r="AD889" s="183" t="str">
        <f>IFERROR(__xludf.DUMMYFUNCTION("QUERY('Volunteer Survey'!E888)"),"")</f>
        <v/>
      </c>
      <c r="AE889" s="183" t="str">
        <f>IFERROR(__xludf.DUMMYFUNCTION("QUERY('Volunteer Survey'!F888)"),"")</f>
        <v/>
      </c>
      <c r="AF889" s="183" t="str">
        <f>IFERROR(__xludf.DUMMYFUNCTION("QUERY('Volunteer Survey'!G888)"),"")</f>
        <v/>
      </c>
      <c r="AG889" s="183" t="str">
        <f>IFERROR(__xludf.DUMMYFUNCTION("QUERY('Volunteer Survey'!H888)"),"")</f>
        <v/>
      </c>
      <c r="AH889" s="183" t="str">
        <f>IFERROR(__xludf.DUMMYFUNCTION("QUERY('Volunteer Survey'!I888)"),"")</f>
        <v/>
      </c>
      <c r="AI889" s="183" t="str">
        <f>IFERROR(__xludf.DUMMYFUNCTION("QUERY('Volunteer Survey'!J888)"),"")</f>
        <v/>
      </c>
      <c r="AJ889" s="183" t="str">
        <f>IFERROR(__xludf.DUMMYFUNCTION("QUERY('Volunteer Survey'!K888)"),"")</f>
        <v/>
      </c>
      <c r="AK889" s="183" t="str">
        <f>IFERROR(__xludf.DUMMYFUNCTION("QUERY('Volunteer Survey'!L888)"),"")</f>
        <v/>
      </c>
      <c r="AL889" s="183" t="str">
        <f>IFERROR(__xludf.DUMMYFUNCTION("QUERY('Volunteer Survey'!M888)"),"")</f>
        <v/>
      </c>
      <c r="AM889" s="183" t="str">
        <f>IFERROR(__xludf.DUMMYFUNCTION("QUERY('Volunteer Survey'!N888)"),"")</f>
        <v/>
      </c>
      <c r="AN889" s="183" t="str">
        <f>IFERROR(__xludf.DUMMYFUNCTION("QUERY('Volunteer Survey'!O888)"),"")</f>
        <v/>
      </c>
      <c r="AO889" s="183" t="str">
        <f>IFERROR(__xludf.DUMMYFUNCTION("QUERY('Volunteer Survey'!P888)"),"")</f>
        <v/>
      </c>
    </row>
    <row r="890">
      <c r="A890" s="55"/>
      <c r="B890" s="55"/>
      <c r="C890" s="53"/>
      <c r="D890" s="55"/>
      <c r="E890" s="55"/>
      <c r="F890" s="55" t="b">
        <v>0</v>
      </c>
      <c r="G890" s="55"/>
      <c r="H890" s="53"/>
      <c r="I890" s="53"/>
      <c r="J890" s="55"/>
      <c r="K890" s="55"/>
      <c r="L890" s="55"/>
      <c r="M890" s="55"/>
      <c r="N890" s="55"/>
      <c r="O890" s="55" t="b">
        <v>0</v>
      </c>
      <c r="P890" s="55"/>
      <c r="Q890" s="55"/>
      <c r="R890" s="55"/>
      <c r="S890" s="55"/>
      <c r="T890" s="55"/>
      <c r="U890" s="64"/>
      <c r="V890" s="55"/>
      <c r="W890" s="64"/>
      <c r="X890" s="55"/>
      <c r="Y890" s="53"/>
      <c r="Z890" s="183" t="str">
        <f>IFERROR(__xludf.DUMMYFUNCTION("QUERY('Volunteer Survey'!A889)"),"")</f>
        <v/>
      </c>
      <c r="AA890" s="183" t="str">
        <f>IFERROR(__xludf.DUMMYFUNCTION("QUERY('Volunteer Survey'!B889)"),"")</f>
        <v/>
      </c>
      <c r="AB890" s="183" t="str">
        <f>IFERROR(__xludf.DUMMYFUNCTION("QUERY('Volunteer Survey'!C889)"),"")</f>
        <v/>
      </c>
      <c r="AC890" s="183" t="str">
        <f>IFERROR(__xludf.DUMMYFUNCTION("QUERY('Volunteer Survey'!D889)"),"")</f>
        <v/>
      </c>
      <c r="AD890" s="183" t="str">
        <f>IFERROR(__xludf.DUMMYFUNCTION("QUERY('Volunteer Survey'!E889)"),"")</f>
        <v/>
      </c>
      <c r="AE890" s="183" t="str">
        <f>IFERROR(__xludf.DUMMYFUNCTION("QUERY('Volunteer Survey'!F889)"),"")</f>
        <v/>
      </c>
      <c r="AF890" s="183" t="str">
        <f>IFERROR(__xludf.DUMMYFUNCTION("QUERY('Volunteer Survey'!G889)"),"")</f>
        <v/>
      </c>
      <c r="AG890" s="183" t="str">
        <f>IFERROR(__xludf.DUMMYFUNCTION("QUERY('Volunteer Survey'!H889)"),"")</f>
        <v/>
      </c>
      <c r="AH890" s="183" t="str">
        <f>IFERROR(__xludf.DUMMYFUNCTION("QUERY('Volunteer Survey'!I889)"),"")</f>
        <v/>
      </c>
      <c r="AI890" s="183" t="str">
        <f>IFERROR(__xludf.DUMMYFUNCTION("QUERY('Volunteer Survey'!J889)"),"")</f>
        <v/>
      </c>
      <c r="AJ890" s="183" t="str">
        <f>IFERROR(__xludf.DUMMYFUNCTION("QUERY('Volunteer Survey'!K889)"),"")</f>
        <v/>
      </c>
      <c r="AK890" s="183" t="str">
        <f>IFERROR(__xludf.DUMMYFUNCTION("QUERY('Volunteer Survey'!L889)"),"")</f>
        <v/>
      </c>
      <c r="AL890" s="183" t="str">
        <f>IFERROR(__xludf.DUMMYFUNCTION("QUERY('Volunteer Survey'!M889)"),"")</f>
        <v/>
      </c>
      <c r="AM890" s="183" t="str">
        <f>IFERROR(__xludf.DUMMYFUNCTION("QUERY('Volunteer Survey'!N889)"),"")</f>
        <v/>
      </c>
      <c r="AN890" s="183" t="str">
        <f>IFERROR(__xludf.DUMMYFUNCTION("QUERY('Volunteer Survey'!O889)"),"")</f>
        <v/>
      </c>
      <c r="AO890" s="183" t="str">
        <f>IFERROR(__xludf.DUMMYFUNCTION("QUERY('Volunteer Survey'!P889)"),"")</f>
        <v/>
      </c>
    </row>
    <row r="891">
      <c r="A891" s="55"/>
      <c r="B891" s="55"/>
      <c r="C891" s="53"/>
      <c r="D891" s="55"/>
      <c r="E891" s="55"/>
      <c r="F891" s="55" t="b">
        <v>0</v>
      </c>
      <c r="G891" s="55"/>
      <c r="H891" s="53"/>
      <c r="I891" s="53"/>
      <c r="J891" s="55"/>
      <c r="K891" s="55"/>
      <c r="L891" s="55"/>
      <c r="M891" s="55"/>
      <c r="N891" s="55"/>
      <c r="O891" s="55" t="b">
        <v>0</v>
      </c>
      <c r="P891" s="55"/>
      <c r="Q891" s="55"/>
      <c r="R891" s="55"/>
      <c r="S891" s="55"/>
      <c r="T891" s="55"/>
      <c r="U891" s="64"/>
      <c r="V891" s="55"/>
      <c r="W891" s="64"/>
      <c r="X891" s="55"/>
      <c r="Y891" s="53"/>
      <c r="Z891" s="183" t="str">
        <f>IFERROR(__xludf.DUMMYFUNCTION("QUERY('Volunteer Survey'!A890)"),"")</f>
        <v/>
      </c>
      <c r="AA891" s="183" t="str">
        <f>IFERROR(__xludf.DUMMYFUNCTION("QUERY('Volunteer Survey'!B890)"),"")</f>
        <v/>
      </c>
      <c r="AB891" s="183" t="str">
        <f>IFERROR(__xludf.DUMMYFUNCTION("QUERY('Volunteer Survey'!C890)"),"")</f>
        <v/>
      </c>
      <c r="AC891" s="183" t="str">
        <f>IFERROR(__xludf.DUMMYFUNCTION("QUERY('Volunteer Survey'!D890)"),"")</f>
        <v/>
      </c>
      <c r="AD891" s="183" t="str">
        <f>IFERROR(__xludf.DUMMYFUNCTION("QUERY('Volunteer Survey'!E890)"),"")</f>
        <v/>
      </c>
      <c r="AE891" s="183" t="str">
        <f>IFERROR(__xludf.DUMMYFUNCTION("QUERY('Volunteer Survey'!F890)"),"")</f>
        <v/>
      </c>
      <c r="AF891" s="183" t="str">
        <f>IFERROR(__xludf.DUMMYFUNCTION("QUERY('Volunteer Survey'!G890)"),"")</f>
        <v/>
      </c>
      <c r="AG891" s="183" t="str">
        <f>IFERROR(__xludf.DUMMYFUNCTION("QUERY('Volunteer Survey'!H890)"),"")</f>
        <v/>
      </c>
      <c r="AH891" s="183" t="str">
        <f>IFERROR(__xludf.DUMMYFUNCTION("QUERY('Volunteer Survey'!I890)"),"")</f>
        <v/>
      </c>
      <c r="AI891" s="183" t="str">
        <f>IFERROR(__xludf.DUMMYFUNCTION("QUERY('Volunteer Survey'!J890)"),"")</f>
        <v/>
      </c>
      <c r="AJ891" s="183" t="str">
        <f>IFERROR(__xludf.DUMMYFUNCTION("QUERY('Volunteer Survey'!K890)"),"")</f>
        <v/>
      </c>
      <c r="AK891" s="183" t="str">
        <f>IFERROR(__xludf.DUMMYFUNCTION("QUERY('Volunteer Survey'!L890)"),"")</f>
        <v/>
      </c>
      <c r="AL891" s="183" t="str">
        <f>IFERROR(__xludf.DUMMYFUNCTION("QUERY('Volunteer Survey'!M890)"),"")</f>
        <v/>
      </c>
      <c r="AM891" s="183" t="str">
        <f>IFERROR(__xludf.DUMMYFUNCTION("QUERY('Volunteer Survey'!N890)"),"")</f>
        <v/>
      </c>
      <c r="AN891" s="183" t="str">
        <f>IFERROR(__xludf.DUMMYFUNCTION("QUERY('Volunteer Survey'!O890)"),"")</f>
        <v/>
      </c>
      <c r="AO891" s="183" t="str">
        <f>IFERROR(__xludf.DUMMYFUNCTION("QUERY('Volunteer Survey'!P890)"),"")</f>
        <v/>
      </c>
    </row>
    <row r="892">
      <c r="A892" s="55"/>
      <c r="B892" s="55"/>
      <c r="C892" s="53"/>
      <c r="D892" s="55"/>
      <c r="E892" s="55"/>
      <c r="F892" s="55" t="b">
        <v>0</v>
      </c>
      <c r="G892" s="55"/>
      <c r="H892" s="53"/>
      <c r="I892" s="53"/>
      <c r="J892" s="55"/>
      <c r="K892" s="55"/>
      <c r="L892" s="55"/>
      <c r="M892" s="55"/>
      <c r="N892" s="55"/>
      <c r="O892" s="55" t="b">
        <v>0</v>
      </c>
      <c r="P892" s="55"/>
      <c r="Q892" s="55"/>
      <c r="R892" s="55"/>
      <c r="S892" s="55"/>
      <c r="T892" s="55"/>
      <c r="U892" s="64"/>
      <c r="V892" s="55"/>
      <c r="W892" s="64"/>
      <c r="X892" s="55"/>
      <c r="Y892" s="53"/>
      <c r="Z892" s="183" t="str">
        <f>IFERROR(__xludf.DUMMYFUNCTION("QUERY('Volunteer Survey'!A891)"),"")</f>
        <v/>
      </c>
      <c r="AA892" s="183" t="str">
        <f>IFERROR(__xludf.DUMMYFUNCTION("QUERY('Volunteer Survey'!B891)"),"")</f>
        <v/>
      </c>
      <c r="AB892" s="183" t="str">
        <f>IFERROR(__xludf.DUMMYFUNCTION("QUERY('Volunteer Survey'!C891)"),"")</f>
        <v/>
      </c>
      <c r="AC892" s="183" t="str">
        <f>IFERROR(__xludf.DUMMYFUNCTION("QUERY('Volunteer Survey'!D891)"),"")</f>
        <v/>
      </c>
      <c r="AD892" s="183" t="str">
        <f>IFERROR(__xludf.DUMMYFUNCTION("QUERY('Volunteer Survey'!E891)"),"")</f>
        <v/>
      </c>
      <c r="AE892" s="183" t="str">
        <f>IFERROR(__xludf.DUMMYFUNCTION("QUERY('Volunteer Survey'!F891)"),"")</f>
        <v/>
      </c>
      <c r="AF892" s="183" t="str">
        <f>IFERROR(__xludf.DUMMYFUNCTION("QUERY('Volunteer Survey'!G891)"),"")</f>
        <v/>
      </c>
      <c r="AG892" s="183" t="str">
        <f>IFERROR(__xludf.DUMMYFUNCTION("QUERY('Volunteer Survey'!H891)"),"")</f>
        <v/>
      </c>
      <c r="AH892" s="183" t="str">
        <f>IFERROR(__xludf.DUMMYFUNCTION("QUERY('Volunteer Survey'!I891)"),"")</f>
        <v/>
      </c>
      <c r="AI892" s="183" t="str">
        <f>IFERROR(__xludf.DUMMYFUNCTION("QUERY('Volunteer Survey'!J891)"),"")</f>
        <v/>
      </c>
      <c r="AJ892" s="183" t="str">
        <f>IFERROR(__xludf.DUMMYFUNCTION("QUERY('Volunteer Survey'!K891)"),"")</f>
        <v/>
      </c>
      <c r="AK892" s="183" t="str">
        <f>IFERROR(__xludf.DUMMYFUNCTION("QUERY('Volunteer Survey'!L891)"),"")</f>
        <v/>
      </c>
      <c r="AL892" s="183" t="str">
        <f>IFERROR(__xludf.DUMMYFUNCTION("QUERY('Volunteer Survey'!M891)"),"")</f>
        <v/>
      </c>
      <c r="AM892" s="183" t="str">
        <f>IFERROR(__xludf.DUMMYFUNCTION("QUERY('Volunteer Survey'!N891)"),"")</f>
        <v/>
      </c>
      <c r="AN892" s="183" t="str">
        <f>IFERROR(__xludf.DUMMYFUNCTION("QUERY('Volunteer Survey'!O891)"),"")</f>
        <v/>
      </c>
      <c r="AO892" s="183" t="str">
        <f>IFERROR(__xludf.DUMMYFUNCTION("QUERY('Volunteer Survey'!P891)"),"")</f>
        <v/>
      </c>
    </row>
    <row r="893">
      <c r="A893" s="55"/>
      <c r="B893" s="55"/>
      <c r="C893" s="53"/>
      <c r="D893" s="55"/>
      <c r="E893" s="55"/>
      <c r="F893" s="55" t="b">
        <v>0</v>
      </c>
      <c r="G893" s="55"/>
      <c r="H893" s="53"/>
      <c r="I893" s="53"/>
      <c r="J893" s="55"/>
      <c r="K893" s="55"/>
      <c r="L893" s="55"/>
      <c r="M893" s="55"/>
      <c r="N893" s="55"/>
      <c r="O893" s="55" t="b">
        <v>0</v>
      </c>
      <c r="P893" s="55"/>
      <c r="Q893" s="55"/>
      <c r="R893" s="55"/>
      <c r="S893" s="55"/>
      <c r="T893" s="55"/>
      <c r="U893" s="64"/>
      <c r="V893" s="55"/>
      <c r="W893" s="64"/>
      <c r="X893" s="55"/>
      <c r="Y893" s="53"/>
      <c r="Z893" s="183" t="str">
        <f>IFERROR(__xludf.DUMMYFUNCTION("QUERY('Volunteer Survey'!A892)"),"")</f>
        <v/>
      </c>
      <c r="AA893" s="183" t="str">
        <f>IFERROR(__xludf.DUMMYFUNCTION("QUERY('Volunteer Survey'!B892)"),"")</f>
        <v/>
      </c>
      <c r="AB893" s="183" t="str">
        <f>IFERROR(__xludf.DUMMYFUNCTION("QUERY('Volunteer Survey'!C892)"),"")</f>
        <v/>
      </c>
      <c r="AC893" s="183" t="str">
        <f>IFERROR(__xludf.DUMMYFUNCTION("QUERY('Volunteer Survey'!D892)"),"")</f>
        <v/>
      </c>
      <c r="AD893" s="183" t="str">
        <f>IFERROR(__xludf.DUMMYFUNCTION("QUERY('Volunteer Survey'!E892)"),"")</f>
        <v/>
      </c>
      <c r="AE893" s="183" t="str">
        <f>IFERROR(__xludf.DUMMYFUNCTION("QUERY('Volunteer Survey'!F892)"),"")</f>
        <v/>
      </c>
      <c r="AF893" s="183" t="str">
        <f>IFERROR(__xludf.DUMMYFUNCTION("QUERY('Volunteer Survey'!G892)"),"")</f>
        <v/>
      </c>
      <c r="AG893" s="183" t="str">
        <f>IFERROR(__xludf.DUMMYFUNCTION("QUERY('Volunteer Survey'!H892)"),"")</f>
        <v/>
      </c>
      <c r="AH893" s="183" t="str">
        <f>IFERROR(__xludf.DUMMYFUNCTION("QUERY('Volunteer Survey'!I892)"),"")</f>
        <v/>
      </c>
      <c r="AI893" s="183" t="str">
        <f>IFERROR(__xludf.DUMMYFUNCTION("QUERY('Volunteer Survey'!J892)"),"")</f>
        <v/>
      </c>
      <c r="AJ893" s="183" t="str">
        <f>IFERROR(__xludf.DUMMYFUNCTION("QUERY('Volunteer Survey'!K892)"),"")</f>
        <v/>
      </c>
      <c r="AK893" s="183" t="str">
        <f>IFERROR(__xludf.DUMMYFUNCTION("QUERY('Volunteer Survey'!L892)"),"")</f>
        <v/>
      </c>
      <c r="AL893" s="183" t="str">
        <f>IFERROR(__xludf.DUMMYFUNCTION("QUERY('Volunteer Survey'!M892)"),"")</f>
        <v/>
      </c>
      <c r="AM893" s="183" t="str">
        <f>IFERROR(__xludf.DUMMYFUNCTION("QUERY('Volunteer Survey'!N892)"),"")</f>
        <v/>
      </c>
      <c r="AN893" s="183" t="str">
        <f>IFERROR(__xludf.DUMMYFUNCTION("QUERY('Volunteer Survey'!O892)"),"")</f>
        <v/>
      </c>
      <c r="AO893" s="183" t="str">
        <f>IFERROR(__xludf.DUMMYFUNCTION("QUERY('Volunteer Survey'!P892)"),"")</f>
        <v/>
      </c>
    </row>
    <row r="894">
      <c r="A894" s="55"/>
      <c r="B894" s="55"/>
      <c r="C894" s="53"/>
      <c r="D894" s="55"/>
      <c r="E894" s="55"/>
      <c r="F894" s="55" t="b">
        <v>0</v>
      </c>
      <c r="G894" s="55"/>
      <c r="H894" s="53"/>
      <c r="I894" s="53"/>
      <c r="J894" s="55"/>
      <c r="K894" s="55"/>
      <c r="L894" s="55"/>
      <c r="M894" s="55"/>
      <c r="N894" s="55"/>
      <c r="O894" s="55" t="b">
        <v>0</v>
      </c>
      <c r="P894" s="55"/>
      <c r="Q894" s="55"/>
      <c r="R894" s="55"/>
      <c r="S894" s="55"/>
      <c r="T894" s="55"/>
      <c r="U894" s="64"/>
      <c r="V894" s="55"/>
      <c r="W894" s="64"/>
      <c r="X894" s="55"/>
      <c r="Y894" s="53"/>
      <c r="Z894" s="183" t="str">
        <f>IFERROR(__xludf.DUMMYFUNCTION("QUERY('Volunteer Survey'!A893)"),"")</f>
        <v/>
      </c>
      <c r="AA894" s="183" t="str">
        <f>IFERROR(__xludf.DUMMYFUNCTION("QUERY('Volunteer Survey'!B893)"),"")</f>
        <v/>
      </c>
      <c r="AB894" s="183" t="str">
        <f>IFERROR(__xludf.DUMMYFUNCTION("QUERY('Volunteer Survey'!C893)"),"")</f>
        <v/>
      </c>
      <c r="AC894" s="183" t="str">
        <f>IFERROR(__xludf.DUMMYFUNCTION("QUERY('Volunteer Survey'!D893)"),"")</f>
        <v/>
      </c>
      <c r="AD894" s="183" t="str">
        <f>IFERROR(__xludf.DUMMYFUNCTION("QUERY('Volunteer Survey'!E893)"),"")</f>
        <v/>
      </c>
      <c r="AE894" s="183" t="str">
        <f>IFERROR(__xludf.DUMMYFUNCTION("QUERY('Volunteer Survey'!F893)"),"")</f>
        <v/>
      </c>
      <c r="AF894" s="183" t="str">
        <f>IFERROR(__xludf.DUMMYFUNCTION("QUERY('Volunteer Survey'!G893)"),"")</f>
        <v/>
      </c>
      <c r="AG894" s="183" t="str">
        <f>IFERROR(__xludf.DUMMYFUNCTION("QUERY('Volunteer Survey'!H893)"),"")</f>
        <v/>
      </c>
      <c r="AH894" s="183" t="str">
        <f>IFERROR(__xludf.DUMMYFUNCTION("QUERY('Volunteer Survey'!I893)"),"")</f>
        <v/>
      </c>
      <c r="AI894" s="183" t="str">
        <f>IFERROR(__xludf.DUMMYFUNCTION("QUERY('Volunteer Survey'!J893)"),"")</f>
        <v/>
      </c>
      <c r="AJ894" s="183" t="str">
        <f>IFERROR(__xludf.DUMMYFUNCTION("QUERY('Volunteer Survey'!K893)"),"")</f>
        <v/>
      </c>
      <c r="AK894" s="183" t="str">
        <f>IFERROR(__xludf.DUMMYFUNCTION("QUERY('Volunteer Survey'!L893)"),"")</f>
        <v/>
      </c>
      <c r="AL894" s="183" t="str">
        <f>IFERROR(__xludf.DUMMYFUNCTION("QUERY('Volunteer Survey'!M893)"),"")</f>
        <v/>
      </c>
      <c r="AM894" s="183" t="str">
        <f>IFERROR(__xludf.DUMMYFUNCTION("QUERY('Volunteer Survey'!N893)"),"")</f>
        <v/>
      </c>
      <c r="AN894" s="183" t="str">
        <f>IFERROR(__xludf.DUMMYFUNCTION("QUERY('Volunteer Survey'!O893)"),"")</f>
        <v/>
      </c>
      <c r="AO894" s="183" t="str">
        <f>IFERROR(__xludf.DUMMYFUNCTION("QUERY('Volunteer Survey'!P893)"),"")</f>
        <v/>
      </c>
    </row>
    <row r="895">
      <c r="A895" s="55"/>
      <c r="B895" s="55"/>
      <c r="C895" s="53"/>
      <c r="D895" s="55"/>
      <c r="E895" s="55"/>
      <c r="F895" s="55" t="b">
        <v>0</v>
      </c>
      <c r="G895" s="55"/>
      <c r="H895" s="53"/>
      <c r="I895" s="53"/>
      <c r="J895" s="55"/>
      <c r="K895" s="55"/>
      <c r="L895" s="55"/>
      <c r="M895" s="55"/>
      <c r="N895" s="55"/>
      <c r="O895" s="55" t="b">
        <v>0</v>
      </c>
      <c r="P895" s="55"/>
      <c r="Q895" s="55"/>
      <c r="R895" s="55"/>
      <c r="S895" s="55"/>
      <c r="T895" s="55"/>
      <c r="U895" s="64"/>
      <c r="V895" s="55"/>
      <c r="W895" s="64"/>
      <c r="X895" s="55"/>
      <c r="Y895" s="53"/>
      <c r="Z895" s="183" t="str">
        <f>IFERROR(__xludf.DUMMYFUNCTION("QUERY('Volunteer Survey'!A894)"),"")</f>
        <v/>
      </c>
      <c r="AA895" s="183" t="str">
        <f>IFERROR(__xludf.DUMMYFUNCTION("QUERY('Volunteer Survey'!B894)"),"")</f>
        <v/>
      </c>
      <c r="AB895" s="183" t="str">
        <f>IFERROR(__xludf.DUMMYFUNCTION("QUERY('Volunteer Survey'!C894)"),"")</f>
        <v/>
      </c>
      <c r="AC895" s="183" t="str">
        <f>IFERROR(__xludf.DUMMYFUNCTION("QUERY('Volunteer Survey'!D894)"),"")</f>
        <v/>
      </c>
      <c r="AD895" s="183" t="str">
        <f>IFERROR(__xludf.DUMMYFUNCTION("QUERY('Volunteer Survey'!E894)"),"")</f>
        <v/>
      </c>
      <c r="AE895" s="183" t="str">
        <f>IFERROR(__xludf.DUMMYFUNCTION("QUERY('Volunteer Survey'!F894)"),"")</f>
        <v/>
      </c>
      <c r="AF895" s="183" t="str">
        <f>IFERROR(__xludf.DUMMYFUNCTION("QUERY('Volunteer Survey'!G894)"),"")</f>
        <v/>
      </c>
      <c r="AG895" s="183" t="str">
        <f>IFERROR(__xludf.DUMMYFUNCTION("QUERY('Volunteer Survey'!H894)"),"")</f>
        <v/>
      </c>
      <c r="AH895" s="183" t="str">
        <f>IFERROR(__xludf.DUMMYFUNCTION("QUERY('Volunteer Survey'!I894)"),"")</f>
        <v/>
      </c>
      <c r="AI895" s="183" t="str">
        <f>IFERROR(__xludf.DUMMYFUNCTION("QUERY('Volunteer Survey'!J894)"),"")</f>
        <v/>
      </c>
      <c r="AJ895" s="183" t="str">
        <f>IFERROR(__xludf.DUMMYFUNCTION("QUERY('Volunteer Survey'!K894)"),"")</f>
        <v/>
      </c>
      <c r="AK895" s="183" t="str">
        <f>IFERROR(__xludf.DUMMYFUNCTION("QUERY('Volunteer Survey'!L894)"),"")</f>
        <v/>
      </c>
      <c r="AL895" s="183" t="str">
        <f>IFERROR(__xludf.DUMMYFUNCTION("QUERY('Volunteer Survey'!M894)"),"")</f>
        <v/>
      </c>
      <c r="AM895" s="183" t="str">
        <f>IFERROR(__xludf.DUMMYFUNCTION("QUERY('Volunteer Survey'!N894)"),"")</f>
        <v/>
      </c>
      <c r="AN895" s="183" t="str">
        <f>IFERROR(__xludf.DUMMYFUNCTION("QUERY('Volunteer Survey'!O894)"),"")</f>
        <v/>
      </c>
      <c r="AO895" s="183" t="str">
        <f>IFERROR(__xludf.DUMMYFUNCTION("QUERY('Volunteer Survey'!P894)"),"")</f>
        <v/>
      </c>
    </row>
    <row r="896">
      <c r="A896" s="55"/>
      <c r="B896" s="55"/>
      <c r="C896" s="53"/>
      <c r="D896" s="55"/>
      <c r="E896" s="55"/>
      <c r="F896" s="55" t="b">
        <v>0</v>
      </c>
      <c r="G896" s="55"/>
      <c r="H896" s="53"/>
      <c r="I896" s="53"/>
      <c r="J896" s="55"/>
      <c r="K896" s="55"/>
      <c r="L896" s="55"/>
      <c r="M896" s="55"/>
      <c r="N896" s="55"/>
      <c r="O896" s="55" t="b">
        <v>0</v>
      </c>
      <c r="P896" s="55"/>
      <c r="Q896" s="55"/>
      <c r="R896" s="55"/>
      <c r="S896" s="55"/>
      <c r="T896" s="55"/>
      <c r="U896" s="64"/>
      <c r="V896" s="55"/>
      <c r="W896" s="64"/>
      <c r="X896" s="55"/>
      <c r="Y896" s="53"/>
      <c r="Z896" s="183" t="str">
        <f>IFERROR(__xludf.DUMMYFUNCTION("QUERY('Volunteer Survey'!A895)"),"")</f>
        <v/>
      </c>
      <c r="AA896" s="183" t="str">
        <f>IFERROR(__xludf.DUMMYFUNCTION("QUERY('Volunteer Survey'!B895)"),"")</f>
        <v/>
      </c>
      <c r="AB896" s="183" t="str">
        <f>IFERROR(__xludf.DUMMYFUNCTION("QUERY('Volunteer Survey'!C895)"),"")</f>
        <v/>
      </c>
      <c r="AC896" s="183" t="str">
        <f>IFERROR(__xludf.DUMMYFUNCTION("QUERY('Volunteer Survey'!D895)"),"")</f>
        <v/>
      </c>
      <c r="AD896" s="183" t="str">
        <f>IFERROR(__xludf.DUMMYFUNCTION("QUERY('Volunteer Survey'!E895)"),"")</f>
        <v/>
      </c>
      <c r="AE896" s="183" t="str">
        <f>IFERROR(__xludf.DUMMYFUNCTION("QUERY('Volunteer Survey'!F895)"),"")</f>
        <v/>
      </c>
      <c r="AF896" s="183" t="str">
        <f>IFERROR(__xludf.DUMMYFUNCTION("QUERY('Volunteer Survey'!G895)"),"")</f>
        <v/>
      </c>
      <c r="AG896" s="183" t="str">
        <f>IFERROR(__xludf.DUMMYFUNCTION("QUERY('Volunteer Survey'!H895)"),"")</f>
        <v/>
      </c>
      <c r="AH896" s="183" t="str">
        <f>IFERROR(__xludf.DUMMYFUNCTION("QUERY('Volunteer Survey'!I895)"),"")</f>
        <v/>
      </c>
      <c r="AI896" s="183" t="str">
        <f>IFERROR(__xludf.DUMMYFUNCTION("QUERY('Volunteer Survey'!J895)"),"")</f>
        <v/>
      </c>
      <c r="AJ896" s="183" t="str">
        <f>IFERROR(__xludf.DUMMYFUNCTION("QUERY('Volunteer Survey'!K895)"),"")</f>
        <v/>
      </c>
      <c r="AK896" s="183" t="str">
        <f>IFERROR(__xludf.DUMMYFUNCTION("QUERY('Volunteer Survey'!L895)"),"")</f>
        <v/>
      </c>
      <c r="AL896" s="183" t="str">
        <f>IFERROR(__xludf.DUMMYFUNCTION("QUERY('Volunteer Survey'!M895)"),"")</f>
        <v/>
      </c>
      <c r="AM896" s="183" t="str">
        <f>IFERROR(__xludf.DUMMYFUNCTION("QUERY('Volunteer Survey'!N895)"),"")</f>
        <v/>
      </c>
      <c r="AN896" s="183" t="str">
        <f>IFERROR(__xludf.DUMMYFUNCTION("QUERY('Volunteer Survey'!O895)"),"")</f>
        <v/>
      </c>
      <c r="AO896" s="183" t="str">
        <f>IFERROR(__xludf.DUMMYFUNCTION("QUERY('Volunteer Survey'!P895)"),"")</f>
        <v/>
      </c>
    </row>
    <row r="897">
      <c r="A897" s="55"/>
      <c r="B897" s="55"/>
      <c r="C897" s="53"/>
      <c r="D897" s="55"/>
      <c r="E897" s="55"/>
      <c r="F897" s="55" t="b">
        <v>0</v>
      </c>
      <c r="G897" s="55"/>
      <c r="H897" s="53"/>
      <c r="I897" s="53"/>
      <c r="J897" s="55"/>
      <c r="K897" s="55"/>
      <c r="L897" s="55"/>
      <c r="M897" s="55"/>
      <c r="N897" s="55"/>
      <c r="O897" s="55" t="b">
        <v>0</v>
      </c>
      <c r="P897" s="55"/>
      <c r="Q897" s="55"/>
      <c r="R897" s="55"/>
      <c r="S897" s="55"/>
      <c r="T897" s="55"/>
      <c r="U897" s="64"/>
      <c r="V897" s="55"/>
      <c r="W897" s="64"/>
      <c r="X897" s="55"/>
      <c r="Y897" s="53"/>
      <c r="Z897" s="183" t="str">
        <f>IFERROR(__xludf.DUMMYFUNCTION("QUERY('Volunteer Survey'!A896)"),"")</f>
        <v/>
      </c>
      <c r="AA897" s="183" t="str">
        <f>IFERROR(__xludf.DUMMYFUNCTION("QUERY('Volunteer Survey'!B896)"),"")</f>
        <v/>
      </c>
      <c r="AB897" s="183" t="str">
        <f>IFERROR(__xludf.DUMMYFUNCTION("QUERY('Volunteer Survey'!C896)"),"")</f>
        <v/>
      </c>
      <c r="AC897" s="183" t="str">
        <f>IFERROR(__xludf.DUMMYFUNCTION("QUERY('Volunteer Survey'!D896)"),"")</f>
        <v/>
      </c>
      <c r="AD897" s="183" t="str">
        <f>IFERROR(__xludf.DUMMYFUNCTION("QUERY('Volunteer Survey'!E896)"),"")</f>
        <v/>
      </c>
      <c r="AE897" s="183" t="str">
        <f>IFERROR(__xludf.DUMMYFUNCTION("QUERY('Volunteer Survey'!F896)"),"")</f>
        <v/>
      </c>
      <c r="AF897" s="183" t="str">
        <f>IFERROR(__xludf.DUMMYFUNCTION("QUERY('Volunteer Survey'!G896)"),"")</f>
        <v/>
      </c>
      <c r="AG897" s="183" t="str">
        <f>IFERROR(__xludf.DUMMYFUNCTION("QUERY('Volunteer Survey'!H896)"),"")</f>
        <v/>
      </c>
      <c r="AH897" s="183" t="str">
        <f>IFERROR(__xludf.DUMMYFUNCTION("QUERY('Volunteer Survey'!I896)"),"")</f>
        <v/>
      </c>
      <c r="AI897" s="183" t="str">
        <f>IFERROR(__xludf.DUMMYFUNCTION("QUERY('Volunteer Survey'!J896)"),"")</f>
        <v/>
      </c>
      <c r="AJ897" s="183" t="str">
        <f>IFERROR(__xludf.DUMMYFUNCTION("QUERY('Volunteer Survey'!K896)"),"")</f>
        <v/>
      </c>
      <c r="AK897" s="183" t="str">
        <f>IFERROR(__xludf.DUMMYFUNCTION("QUERY('Volunteer Survey'!L896)"),"")</f>
        <v/>
      </c>
      <c r="AL897" s="183" t="str">
        <f>IFERROR(__xludf.DUMMYFUNCTION("QUERY('Volunteer Survey'!M896)"),"")</f>
        <v/>
      </c>
      <c r="AM897" s="183" t="str">
        <f>IFERROR(__xludf.DUMMYFUNCTION("QUERY('Volunteer Survey'!N896)"),"")</f>
        <v/>
      </c>
      <c r="AN897" s="183" t="str">
        <f>IFERROR(__xludf.DUMMYFUNCTION("QUERY('Volunteer Survey'!O896)"),"")</f>
        <v/>
      </c>
      <c r="AO897" s="183" t="str">
        <f>IFERROR(__xludf.DUMMYFUNCTION("QUERY('Volunteer Survey'!P896)"),"")</f>
        <v/>
      </c>
    </row>
    <row r="898">
      <c r="A898" s="55"/>
      <c r="B898" s="55"/>
      <c r="C898" s="53"/>
      <c r="D898" s="55"/>
      <c r="E898" s="55"/>
      <c r="F898" s="55" t="b">
        <v>0</v>
      </c>
      <c r="G898" s="55"/>
      <c r="H898" s="53"/>
      <c r="I898" s="53"/>
      <c r="J898" s="55"/>
      <c r="K898" s="55"/>
      <c r="L898" s="55"/>
      <c r="M898" s="55"/>
      <c r="N898" s="55"/>
      <c r="O898" s="55" t="b">
        <v>0</v>
      </c>
      <c r="P898" s="55"/>
      <c r="Q898" s="55"/>
      <c r="R898" s="55"/>
      <c r="S898" s="55"/>
      <c r="T898" s="55"/>
      <c r="U898" s="64"/>
      <c r="V898" s="55"/>
      <c r="W898" s="64"/>
      <c r="X898" s="55"/>
      <c r="Y898" s="53"/>
      <c r="Z898" s="183" t="str">
        <f>IFERROR(__xludf.DUMMYFUNCTION("QUERY('Volunteer Survey'!A897)"),"")</f>
        <v/>
      </c>
      <c r="AA898" s="183" t="str">
        <f>IFERROR(__xludf.DUMMYFUNCTION("QUERY('Volunteer Survey'!B897)"),"")</f>
        <v/>
      </c>
      <c r="AB898" s="183" t="str">
        <f>IFERROR(__xludf.DUMMYFUNCTION("QUERY('Volunteer Survey'!C897)"),"")</f>
        <v/>
      </c>
      <c r="AC898" s="183" t="str">
        <f>IFERROR(__xludf.DUMMYFUNCTION("QUERY('Volunteer Survey'!D897)"),"")</f>
        <v/>
      </c>
      <c r="AD898" s="183" t="str">
        <f>IFERROR(__xludf.DUMMYFUNCTION("QUERY('Volunteer Survey'!E897)"),"")</f>
        <v/>
      </c>
      <c r="AE898" s="183" t="str">
        <f>IFERROR(__xludf.DUMMYFUNCTION("QUERY('Volunteer Survey'!F897)"),"")</f>
        <v/>
      </c>
      <c r="AF898" s="183" t="str">
        <f>IFERROR(__xludf.DUMMYFUNCTION("QUERY('Volunteer Survey'!G897)"),"")</f>
        <v/>
      </c>
      <c r="AG898" s="183" t="str">
        <f>IFERROR(__xludf.DUMMYFUNCTION("QUERY('Volunteer Survey'!H897)"),"")</f>
        <v/>
      </c>
      <c r="AH898" s="183" t="str">
        <f>IFERROR(__xludf.DUMMYFUNCTION("QUERY('Volunteer Survey'!I897)"),"")</f>
        <v/>
      </c>
      <c r="AI898" s="183" t="str">
        <f>IFERROR(__xludf.DUMMYFUNCTION("QUERY('Volunteer Survey'!J897)"),"")</f>
        <v/>
      </c>
      <c r="AJ898" s="183" t="str">
        <f>IFERROR(__xludf.DUMMYFUNCTION("QUERY('Volunteer Survey'!K897)"),"")</f>
        <v/>
      </c>
      <c r="AK898" s="183" t="str">
        <f>IFERROR(__xludf.DUMMYFUNCTION("QUERY('Volunteer Survey'!L897)"),"")</f>
        <v/>
      </c>
      <c r="AL898" s="183" t="str">
        <f>IFERROR(__xludf.DUMMYFUNCTION("QUERY('Volunteer Survey'!M897)"),"")</f>
        <v/>
      </c>
      <c r="AM898" s="183" t="str">
        <f>IFERROR(__xludf.DUMMYFUNCTION("QUERY('Volunteer Survey'!N897)"),"")</f>
        <v/>
      </c>
      <c r="AN898" s="183" t="str">
        <f>IFERROR(__xludf.DUMMYFUNCTION("QUERY('Volunteer Survey'!O897)"),"")</f>
        <v/>
      </c>
      <c r="AO898" s="183" t="str">
        <f>IFERROR(__xludf.DUMMYFUNCTION("QUERY('Volunteer Survey'!P897)"),"")</f>
        <v/>
      </c>
    </row>
    <row r="899">
      <c r="A899" s="55"/>
      <c r="B899" s="55"/>
      <c r="C899" s="53"/>
      <c r="D899" s="55"/>
      <c r="E899" s="55"/>
      <c r="F899" s="55" t="b">
        <v>0</v>
      </c>
      <c r="G899" s="55"/>
      <c r="H899" s="53"/>
      <c r="I899" s="53"/>
      <c r="J899" s="55"/>
      <c r="K899" s="55"/>
      <c r="L899" s="55"/>
      <c r="M899" s="55"/>
      <c r="N899" s="55"/>
      <c r="O899" s="55" t="b">
        <v>0</v>
      </c>
      <c r="P899" s="55"/>
      <c r="Q899" s="55"/>
      <c r="R899" s="55"/>
      <c r="S899" s="55"/>
      <c r="T899" s="55"/>
      <c r="U899" s="64"/>
      <c r="V899" s="55"/>
      <c r="W899" s="64"/>
      <c r="X899" s="55"/>
      <c r="Y899" s="53"/>
      <c r="Z899" s="183" t="str">
        <f>IFERROR(__xludf.DUMMYFUNCTION("QUERY('Volunteer Survey'!A898)"),"")</f>
        <v/>
      </c>
      <c r="AA899" s="183" t="str">
        <f>IFERROR(__xludf.DUMMYFUNCTION("QUERY('Volunteer Survey'!B898)"),"")</f>
        <v/>
      </c>
      <c r="AB899" s="183" t="str">
        <f>IFERROR(__xludf.DUMMYFUNCTION("QUERY('Volunteer Survey'!C898)"),"")</f>
        <v/>
      </c>
      <c r="AC899" s="183" t="str">
        <f>IFERROR(__xludf.DUMMYFUNCTION("QUERY('Volunteer Survey'!D898)"),"")</f>
        <v/>
      </c>
      <c r="AD899" s="183" t="str">
        <f>IFERROR(__xludf.DUMMYFUNCTION("QUERY('Volunteer Survey'!E898)"),"")</f>
        <v/>
      </c>
      <c r="AE899" s="183" t="str">
        <f>IFERROR(__xludf.DUMMYFUNCTION("QUERY('Volunteer Survey'!F898)"),"")</f>
        <v/>
      </c>
      <c r="AF899" s="183" t="str">
        <f>IFERROR(__xludf.DUMMYFUNCTION("QUERY('Volunteer Survey'!G898)"),"")</f>
        <v/>
      </c>
      <c r="AG899" s="183" t="str">
        <f>IFERROR(__xludf.DUMMYFUNCTION("QUERY('Volunteer Survey'!H898)"),"")</f>
        <v/>
      </c>
      <c r="AH899" s="183" t="str">
        <f>IFERROR(__xludf.DUMMYFUNCTION("QUERY('Volunteer Survey'!I898)"),"")</f>
        <v/>
      </c>
      <c r="AI899" s="183" t="str">
        <f>IFERROR(__xludf.DUMMYFUNCTION("QUERY('Volunteer Survey'!J898)"),"")</f>
        <v/>
      </c>
      <c r="AJ899" s="183" t="str">
        <f>IFERROR(__xludf.DUMMYFUNCTION("QUERY('Volunteer Survey'!K898)"),"")</f>
        <v/>
      </c>
      <c r="AK899" s="183" t="str">
        <f>IFERROR(__xludf.DUMMYFUNCTION("QUERY('Volunteer Survey'!L898)"),"")</f>
        <v/>
      </c>
      <c r="AL899" s="183" t="str">
        <f>IFERROR(__xludf.DUMMYFUNCTION("QUERY('Volunteer Survey'!M898)"),"")</f>
        <v/>
      </c>
      <c r="AM899" s="183" t="str">
        <f>IFERROR(__xludf.DUMMYFUNCTION("QUERY('Volunteer Survey'!N898)"),"")</f>
        <v/>
      </c>
      <c r="AN899" s="183" t="str">
        <f>IFERROR(__xludf.DUMMYFUNCTION("QUERY('Volunteer Survey'!O898)"),"")</f>
        <v/>
      </c>
      <c r="AO899" s="183" t="str">
        <f>IFERROR(__xludf.DUMMYFUNCTION("QUERY('Volunteer Survey'!P898)"),"")</f>
        <v/>
      </c>
    </row>
    <row r="900">
      <c r="A900" s="55"/>
      <c r="B900" s="55"/>
      <c r="C900" s="53"/>
      <c r="D900" s="55"/>
      <c r="E900" s="55"/>
      <c r="F900" s="55" t="b">
        <v>0</v>
      </c>
      <c r="G900" s="55"/>
      <c r="H900" s="53"/>
      <c r="I900" s="53"/>
      <c r="J900" s="55"/>
      <c r="K900" s="55"/>
      <c r="L900" s="55"/>
      <c r="M900" s="55"/>
      <c r="N900" s="55"/>
      <c r="O900" s="55" t="b">
        <v>0</v>
      </c>
      <c r="P900" s="55"/>
      <c r="Q900" s="55"/>
      <c r="R900" s="55"/>
      <c r="S900" s="55"/>
      <c r="T900" s="55"/>
      <c r="U900" s="64"/>
      <c r="V900" s="55"/>
      <c r="W900" s="64"/>
      <c r="X900" s="55"/>
      <c r="Y900" s="53"/>
      <c r="Z900" s="183" t="str">
        <f>IFERROR(__xludf.DUMMYFUNCTION("QUERY('Volunteer Survey'!A899)"),"")</f>
        <v/>
      </c>
      <c r="AA900" s="183" t="str">
        <f>IFERROR(__xludf.DUMMYFUNCTION("QUERY('Volunteer Survey'!B899)"),"")</f>
        <v/>
      </c>
      <c r="AB900" s="183" t="str">
        <f>IFERROR(__xludf.DUMMYFUNCTION("QUERY('Volunteer Survey'!C899)"),"")</f>
        <v/>
      </c>
      <c r="AC900" s="183" t="str">
        <f>IFERROR(__xludf.DUMMYFUNCTION("QUERY('Volunteer Survey'!D899)"),"")</f>
        <v/>
      </c>
      <c r="AD900" s="183" t="str">
        <f>IFERROR(__xludf.DUMMYFUNCTION("QUERY('Volunteer Survey'!E899)"),"")</f>
        <v/>
      </c>
      <c r="AE900" s="183" t="str">
        <f>IFERROR(__xludf.DUMMYFUNCTION("QUERY('Volunteer Survey'!F899)"),"")</f>
        <v/>
      </c>
      <c r="AF900" s="183" t="str">
        <f>IFERROR(__xludf.DUMMYFUNCTION("QUERY('Volunteer Survey'!G899)"),"")</f>
        <v/>
      </c>
      <c r="AG900" s="183" t="str">
        <f>IFERROR(__xludf.DUMMYFUNCTION("QUERY('Volunteer Survey'!H899)"),"")</f>
        <v/>
      </c>
      <c r="AH900" s="183" t="str">
        <f>IFERROR(__xludf.DUMMYFUNCTION("QUERY('Volunteer Survey'!I899)"),"")</f>
        <v/>
      </c>
      <c r="AI900" s="183" t="str">
        <f>IFERROR(__xludf.DUMMYFUNCTION("QUERY('Volunteer Survey'!J899)"),"")</f>
        <v/>
      </c>
      <c r="AJ900" s="183" t="str">
        <f>IFERROR(__xludf.DUMMYFUNCTION("QUERY('Volunteer Survey'!K899)"),"")</f>
        <v/>
      </c>
      <c r="AK900" s="183" t="str">
        <f>IFERROR(__xludf.DUMMYFUNCTION("QUERY('Volunteer Survey'!L899)"),"")</f>
        <v/>
      </c>
      <c r="AL900" s="183" t="str">
        <f>IFERROR(__xludf.DUMMYFUNCTION("QUERY('Volunteer Survey'!M899)"),"")</f>
        <v/>
      </c>
      <c r="AM900" s="183" t="str">
        <f>IFERROR(__xludf.DUMMYFUNCTION("QUERY('Volunteer Survey'!N899)"),"")</f>
        <v/>
      </c>
      <c r="AN900" s="183" t="str">
        <f>IFERROR(__xludf.DUMMYFUNCTION("QUERY('Volunteer Survey'!O899)"),"")</f>
        <v/>
      </c>
      <c r="AO900" s="183" t="str">
        <f>IFERROR(__xludf.DUMMYFUNCTION("QUERY('Volunteer Survey'!P899)"),"")</f>
        <v/>
      </c>
    </row>
    <row r="901">
      <c r="A901" s="55"/>
      <c r="B901" s="55"/>
      <c r="C901" s="53"/>
      <c r="D901" s="55"/>
      <c r="E901" s="55"/>
      <c r="F901" s="55" t="b">
        <v>0</v>
      </c>
      <c r="G901" s="55"/>
      <c r="H901" s="53"/>
      <c r="I901" s="53"/>
      <c r="J901" s="55"/>
      <c r="K901" s="55"/>
      <c r="L901" s="55"/>
      <c r="M901" s="55"/>
      <c r="N901" s="55"/>
      <c r="O901" s="55" t="b">
        <v>0</v>
      </c>
      <c r="P901" s="55"/>
      <c r="Q901" s="55"/>
      <c r="R901" s="55"/>
      <c r="S901" s="55"/>
      <c r="T901" s="55"/>
      <c r="U901" s="64"/>
      <c r="V901" s="55"/>
      <c r="W901" s="64"/>
      <c r="X901" s="55"/>
      <c r="Y901" s="53"/>
      <c r="Z901" s="183" t="str">
        <f>IFERROR(__xludf.DUMMYFUNCTION("QUERY('Volunteer Survey'!A900)"),"")</f>
        <v/>
      </c>
      <c r="AA901" s="183" t="str">
        <f>IFERROR(__xludf.DUMMYFUNCTION("QUERY('Volunteer Survey'!B900)"),"")</f>
        <v/>
      </c>
      <c r="AB901" s="183" t="str">
        <f>IFERROR(__xludf.DUMMYFUNCTION("QUERY('Volunteer Survey'!C900)"),"")</f>
        <v/>
      </c>
      <c r="AC901" s="183" t="str">
        <f>IFERROR(__xludf.DUMMYFUNCTION("QUERY('Volunteer Survey'!D900)"),"")</f>
        <v/>
      </c>
      <c r="AD901" s="183" t="str">
        <f>IFERROR(__xludf.DUMMYFUNCTION("QUERY('Volunteer Survey'!E900)"),"")</f>
        <v/>
      </c>
      <c r="AE901" s="183" t="str">
        <f>IFERROR(__xludf.DUMMYFUNCTION("QUERY('Volunteer Survey'!F900)"),"")</f>
        <v/>
      </c>
      <c r="AF901" s="183" t="str">
        <f>IFERROR(__xludf.DUMMYFUNCTION("QUERY('Volunteer Survey'!G900)"),"")</f>
        <v/>
      </c>
      <c r="AG901" s="183" t="str">
        <f>IFERROR(__xludf.DUMMYFUNCTION("QUERY('Volunteer Survey'!H900)"),"")</f>
        <v/>
      </c>
      <c r="AH901" s="183" t="str">
        <f>IFERROR(__xludf.DUMMYFUNCTION("QUERY('Volunteer Survey'!I900)"),"")</f>
        <v/>
      </c>
      <c r="AI901" s="183" t="str">
        <f>IFERROR(__xludf.DUMMYFUNCTION("QUERY('Volunteer Survey'!J900)"),"")</f>
        <v/>
      </c>
      <c r="AJ901" s="183" t="str">
        <f>IFERROR(__xludf.DUMMYFUNCTION("QUERY('Volunteer Survey'!K900)"),"")</f>
        <v/>
      </c>
      <c r="AK901" s="183" t="str">
        <f>IFERROR(__xludf.DUMMYFUNCTION("QUERY('Volunteer Survey'!L900)"),"")</f>
        <v/>
      </c>
      <c r="AL901" s="183" t="str">
        <f>IFERROR(__xludf.DUMMYFUNCTION("QUERY('Volunteer Survey'!M900)"),"")</f>
        <v/>
      </c>
      <c r="AM901" s="183" t="str">
        <f>IFERROR(__xludf.DUMMYFUNCTION("QUERY('Volunteer Survey'!N900)"),"")</f>
        <v/>
      </c>
      <c r="AN901" s="183" t="str">
        <f>IFERROR(__xludf.DUMMYFUNCTION("QUERY('Volunteer Survey'!O900)"),"")</f>
        <v/>
      </c>
      <c r="AO901" s="183" t="str">
        <f>IFERROR(__xludf.DUMMYFUNCTION("QUERY('Volunteer Survey'!P900)"),"")</f>
        <v/>
      </c>
    </row>
    <row r="902">
      <c r="A902" s="55"/>
      <c r="B902" s="55"/>
      <c r="C902" s="53"/>
      <c r="D902" s="55"/>
      <c r="E902" s="55"/>
      <c r="F902" s="55" t="b">
        <v>0</v>
      </c>
      <c r="G902" s="55"/>
      <c r="H902" s="53"/>
      <c r="I902" s="53"/>
      <c r="J902" s="55"/>
      <c r="K902" s="55"/>
      <c r="L902" s="55"/>
      <c r="M902" s="55"/>
      <c r="N902" s="55"/>
      <c r="O902" s="55" t="b">
        <v>0</v>
      </c>
      <c r="P902" s="55"/>
      <c r="Q902" s="55"/>
      <c r="R902" s="55"/>
      <c r="S902" s="55"/>
      <c r="T902" s="55"/>
      <c r="U902" s="64"/>
      <c r="V902" s="55"/>
      <c r="W902" s="64"/>
      <c r="X902" s="55"/>
      <c r="Y902" s="53"/>
      <c r="Z902" s="183" t="str">
        <f>IFERROR(__xludf.DUMMYFUNCTION("QUERY('Volunteer Survey'!A901)"),"")</f>
        <v/>
      </c>
      <c r="AA902" s="183" t="str">
        <f>IFERROR(__xludf.DUMMYFUNCTION("QUERY('Volunteer Survey'!B901)"),"")</f>
        <v/>
      </c>
      <c r="AB902" s="183" t="str">
        <f>IFERROR(__xludf.DUMMYFUNCTION("QUERY('Volunteer Survey'!C901)"),"")</f>
        <v/>
      </c>
      <c r="AC902" s="183" t="str">
        <f>IFERROR(__xludf.DUMMYFUNCTION("QUERY('Volunteer Survey'!D901)"),"")</f>
        <v/>
      </c>
      <c r="AD902" s="183" t="str">
        <f>IFERROR(__xludf.DUMMYFUNCTION("QUERY('Volunteer Survey'!E901)"),"")</f>
        <v/>
      </c>
      <c r="AE902" s="183" t="str">
        <f>IFERROR(__xludf.DUMMYFUNCTION("QUERY('Volunteer Survey'!F901)"),"")</f>
        <v/>
      </c>
      <c r="AF902" s="183" t="str">
        <f>IFERROR(__xludf.DUMMYFUNCTION("QUERY('Volunteer Survey'!G901)"),"")</f>
        <v/>
      </c>
      <c r="AG902" s="183" t="str">
        <f>IFERROR(__xludf.DUMMYFUNCTION("QUERY('Volunteer Survey'!H901)"),"")</f>
        <v/>
      </c>
      <c r="AH902" s="183" t="str">
        <f>IFERROR(__xludf.DUMMYFUNCTION("QUERY('Volunteer Survey'!I901)"),"")</f>
        <v/>
      </c>
      <c r="AI902" s="183" t="str">
        <f>IFERROR(__xludf.DUMMYFUNCTION("QUERY('Volunteer Survey'!J901)"),"")</f>
        <v/>
      </c>
      <c r="AJ902" s="183" t="str">
        <f>IFERROR(__xludf.DUMMYFUNCTION("QUERY('Volunteer Survey'!K901)"),"")</f>
        <v/>
      </c>
      <c r="AK902" s="183" t="str">
        <f>IFERROR(__xludf.DUMMYFUNCTION("QUERY('Volunteer Survey'!L901)"),"")</f>
        <v/>
      </c>
      <c r="AL902" s="183" t="str">
        <f>IFERROR(__xludf.DUMMYFUNCTION("QUERY('Volunteer Survey'!M901)"),"")</f>
        <v/>
      </c>
      <c r="AM902" s="183" t="str">
        <f>IFERROR(__xludf.DUMMYFUNCTION("QUERY('Volunteer Survey'!N901)"),"")</f>
        <v/>
      </c>
      <c r="AN902" s="183" t="str">
        <f>IFERROR(__xludf.DUMMYFUNCTION("QUERY('Volunteer Survey'!O901)"),"")</f>
        <v/>
      </c>
      <c r="AO902" s="183" t="str">
        <f>IFERROR(__xludf.DUMMYFUNCTION("QUERY('Volunteer Survey'!P901)"),"")</f>
        <v/>
      </c>
    </row>
    <row r="903">
      <c r="A903" s="55"/>
      <c r="B903" s="55"/>
      <c r="C903" s="53"/>
      <c r="D903" s="55"/>
      <c r="E903" s="55"/>
      <c r="F903" s="55" t="b">
        <v>0</v>
      </c>
      <c r="G903" s="55"/>
      <c r="H903" s="53"/>
      <c r="I903" s="53"/>
      <c r="J903" s="55"/>
      <c r="K903" s="55"/>
      <c r="L903" s="55"/>
      <c r="M903" s="55"/>
      <c r="N903" s="55"/>
      <c r="O903" s="55" t="b">
        <v>0</v>
      </c>
      <c r="P903" s="55"/>
      <c r="Q903" s="55"/>
      <c r="R903" s="55"/>
      <c r="S903" s="55"/>
      <c r="T903" s="55"/>
      <c r="U903" s="64"/>
      <c r="V903" s="55"/>
      <c r="W903" s="64"/>
      <c r="X903" s="55"/>
      <c r="Y903" s="53"/>
      <c r="Z903" s="183" t="str">
        <f>IFERROR(__xludf.DUMMYFUNCTION("QUERY('Volunteer Survey'!A902)"),"")</f>
        <v/>
      </c>
      <c r="AA903" s="183" t="str">
        <f>IFERROR(__xludf.DUMMYFUNCTION("QUERY('Volunteer Survey'!B902)"),"")</f>
        <v/>
      </c>
      <c r="AB903" s="183" t="str">
        <f>IFERROR(__xludf.DUMMYFUNCTION("QUERY('Volunteer Survey'!C902)"),"")</f>
        <v/>
      </c>
      <c r="AC903" s="183" t="str">
        <f>IFERROR(__xludf.DUMMYFUNCTION("QUERY('Volunteer Survey'!D902)"),"")</f>
        <v/>
      </c>
      <c r="AD903" s="183" t="str">
        <f>IFERROR(__xludf.DUMMYFUNCTION("QUERY('Volunteer Survey'!E902)"),"")</f>
        <v/>
      </c>
      <c r="AE903" s="183" t="str">
        <f>IFERROR(__xludf.DUMMYFUNCTION("QUERY('Volunteer Survey'!F902)"),"")</f>
        <v/>
      </c>
      <c r="AF903" s="183" t="str">
        <f>IFERROR(__xludf.DUMMYFUNCTION("QUERY('Volunteer Survey'!G902)"),"")</f>
        <v/>
      </c>
      <c r="AG903" s="183" t="str">
        <f>IFERROR(__xludf.DUMMYFUNCTION("QUERY('Volunteer Survey'!H902)"),"")</f>
        <v/>
      </c>
      <c r="AH903" s="183" t="str">
        <f>IFERROR(__xludf.DUMMYFUNCTION("QUERY('Volunteer Survey'!I902)"),"")</f>
        <v/>
      </c>
      <c r="AI903" s="183" t="str">
        <f>IFERROR(__xludf.DUMMYFUNCTION("QUERY('Volunteer Survey'!J902)"),"")</f>
        <v/>
      </c>
      <c r="AJ903" s="183" t="str">
        <f>IFERROR(__xludf.DUMMYFUNCTION("QUERY('Volunteer Survey'!K902)"),"")</f>
        <v/>
      </c>
      <c r="AK903" s="183" t="str">
        <f>IFERROR(__xludf.DUMMYFUNCTION("QUERY('Volunteer Survey'!L902)"),"")</f>
        <v/>
      </c>
      <c r="AL903" s="183" t="str">
        <f>IFERROR(__xludf.DUMMYFUNCTION("QUERY('Volunteer Survey'!M902)"),"")</f>
        <v/>
      </c>
      <c r="AM903" s="183" t="str">
        <f>IFERROR(__xludf.DUMMYFUNCTION("QUERY('Volunteer Survey'!N902)"),"")</f>
        <v/>
      </c>
      <c r="AN903" s="183" t="str">
        <f>IFERROR(__xludf.DUMMYFUNCTION("QUERY('Volunteer Survey'!O902)"),"")</f>
        <v/>
      </c>
      <c r="AO903" s="183" t="str">
        <f>IFERROR(__xludf.DUMMYFUNCTION("QUERY('Volunteer Survey'!P902)"),"")</f>
        <v/>
      </c>
    </row>
    <row r="904">
      <c r="A904" s="55"/>
      <c r="B904" s="55"/>
      <c r="C904" s="53"/>
      <c r="D904" s="55"/>
      <c r="E904" s="55"/>
      <c r="F904" s="55" t="b">
        <v>0</v>
      </c>
      <c r="G904" s="55"/>
      <c r="H904" s="53"/>
      <c r="I904" s="53"/>
      <c r="J904" s="55"/>
      <c r="K904" s="55"/>
      <c r="L904" s="55"/>
      <c r="M904" s="55"/>
      <c r="N904" s="55"/>
      <c r="O904" s="55" t="b">
        <v>0</v>
      </c>
      <c r="P904" s="55"/>
      <c r="Q904" s="55"/>
      <c r="R904" s="55"/>
      <c r="S904" s="55"/>
      <c r="T904" s="55"/>
      <c r="U904" s="64"/>
      <c r="V904" s="55"/>
      <c r="W904" s="64"/>
      <c r="X904" s="55"/>
      <c r="Y904" s="53"/>
      <c r="Z904" s="183" t="str">
        <f>IFERROR(__xludf.DUMMYFUNCTION("QUERY('Volunteer Survey'!A903)"),"")</f>
        <v/>
      </c>
      <c r="AA904" s="183" t="str">
        <f>IFERROR(__xludf.DUMMYFUNCTION("QUERY('Volunteer Survey'!B903)"),"")</f>
        <v/>
      </c>
      <c r="AB904" s="183" t="str">
        <f>IFERROR(__xludf.DUMMYFUNCTION("QUERY('Volunteer Survey'!C903)"),"")</f>
        <v/>
      </c>
      <c r="AC904" s="183" t="str">
        <f>IFERROR(__xludf.DUMMYFUNCTION("QUERY('Volunteer Survey'!D903)"),"")</f>
        <v/>
      </c>
      <c r="AD904" s="183" t="str">
        <f>IFERROR(__xludf.DUMMYFUNCTION("QUERY('Volunteer Survey'!E903)"),"")</f>
        <v/>
      </c>
      <c r="AE904" s="183" t="str">
        <f>IFERROR(__xludf.DUMMYFUNCTION("QUERY('Volunteer Survey'!F903)"),"")</f>
        <v/>
      </c>
      <c r="AF904" s="183" t="str">
        <f>IFERROR(__xludf.DUMMYFUNCTION("QUERY('Volunteer Survey'!G903)"),"")</f>
        <v/>
      </c>
      <c r="AG904" s="183" t="str">
        <f>IFERROR(__xludf.DUMMYFUNCTION("QUERY('Volunteer Survey'!H903)"),"")</f>
        <v/>
      </c>
      <c r="AH904" s="183" t="str">
        <f>IFERROR(__xludf.DUMMYFUNCTION("QUERY('Volunteer Survey'!I903)"),"")</f>
        <v/>
      </c>
      <c r="AI904" s="183" t="str">
        <f>IFERROR(__xludf.DUMMYFUNCTION("QUERY('Volunteer Survey'!J903)"),"")</f>
        <v/>
      </c>
      <c r="AJ904" s="183" t="str">
        <f>IFERROR(__xludf.DUMMYFUNCTION("QUERY('Volunteer Survey'!K903)"),"")</f>
        <v/>
      </c>
      <c r="AK904" s="183" t="str">
        <f>IFERROR(__xludf.DUMMYFUNCTION("QUERY('Volunteer Survey'!L903)"),"")</f>
        <v/>
      </c>
      <c r="AL904" s="183" t="str">
        <f>IFERROR(__xludf.DUMMYFUNCTION("QUERY('Volunteer Survey'!M903)"),"")</f>
        <v/>
      </c>
      <c r="AM904" s="183" t="str">
        <f>IFERROR(__xludf.DUMMYFUNCTION("QUERY('Volunteer Survey'!N903)"),"")</f>
        <v/>
      </c>
      <c r="AN904" s="183" t="str">
        <f>IFERROR(__xludf.DUMMYFUNCTION("QUERY('Volunteer Survey'!O903)"),"")</f>
        <v/>
      </c>
      <c r="AO904" s="183" t="str">
        <f>IFERROR(__xludf.DUMMYFUNCTION("QUERY('Volunteer Survey'!P903)"),"")</f>
        <v/>
      </c>
    </row>
    <row r="905">
      <c r="A905" s="55"/>
      <c r="B905" s="55"/>
      <c r="C905" s="53"/>
      <c r="D905" s="55"/>
      <c r="E905" s="55"/>
      <c r="F905" s="55" t="b">
        <v>0</v>
      </c>
      <c r="G905" s="55"/>
      <c r="H905" s="53"/>
      <c r="I905" s="53"/>
      <c r="J905" s="55"/>
      <c r="K905" s="55"/>
      <c r="L905" s="55"/>
      <c r="M905" s="55"/>
      <c r="N905" s="55"/>
      <c r="O905" s="55" t="b">
        <v>0</v>
      </c>
      <c r="P905" s="55"/>
      <c r="Q905" s="55"/>
      <c r="R905" s="55"/>
      <c r="S905" s="55"/>
      <c r="T905" s="55"/>
      <c r="U905" s="64"/>
      <c r="V905" s="55"/>
      <c r="W905" s="64"/>
      <c r="X905" s="55"/>
      <c r="Y905" s="53"/>
      <c r="Z905" s="183" t="str">
        <f>IFERROR(__xludf.DUMMYFUNCTION("QUERY('Volunteer Survey'!A904)"),"")</f>
        <v/>
      </c>
      <c r="AA905" s="183" t="str">
        <f>IFERROR(__xludf.DUMMYFUNCTION("QUERY('Volunteer Survey'!B904)"),"")</f>
        <v/>
      </c>
      <c r="AB905" s="183" t="str">
        <f>IFERROR(__xludf.DUMMYFUNCTION("QUERY('Volunteer Survey'!C904)"),"")</f>
        <v/>
      </c>
      <c r="AC905" s="183" t="str">
        <f>IFERROR(__xludf.DUMMYFUNCTION("QUERY('Volunteer Survey'!D904)"),"")</f>
        <v/>
      </c>
      <c r="AD905" s="183" t="str">
        <f>IFERROR(__xludf.DUMMYFUNCTION("QUERY('Volunteer Survey'!E904)"),"")</f>
        <v/>
      </c>
      <c r="AE905" s="183" t="str">
        <f>IFERROR(__xludf.DUMMYFUNCTION("QUERY('Volunteer Survey'!F904)"),"")</f>
        <v/>
      </c>
      <c r="AF905" s="183" t="str">
        <f>IFERROR(__xludf.DUMMYFUNCTION("QUERY('Volunteer Survey'!G904)"),"")</f>
        <v/>
      </c>
      <c r="AG905" s="183" t="str">
        <f>IFERROR(__xludf.DUMMYFUNCTION("QUERY('Volunteer Survey'!H904)"),"")</f>
        <v/>
      </c>
      <c r="AH905" s="183" t="str">
        <f>IFERROR(__xludf.DUMMYFUNCTION("QUERY('Volunteer Survey'!I904)"),"")</f>
        <v/>
      </c>
      <c r="AI905" s="183" t="str">
        <f>IFERROR(__xludf.DUMMYFUNCTION("QUERY('Volunteer Survey'!J904)"),"")</f>
        <v/>
      </c>
      <c r="AJ905" s="183" t="str">
        <f>IFERROR(__xludf.DUMMYFUNCTION("QUERY('Volunteer Survey'!K904)"),"")</f>
        <v/>
      </c>
      <c r="AK905" s="183" t="str">
        <f>IFERROR(__xludf.DUMMYFUNCTION("QUERY('Volunteer Survey'!L904)"),"")</f>
        <v/>
      </c>
      <c r="AL905" s="183" t="str">
        <f>IFERROR(__xludf.DUMMYFUNCTION("QUERY('Volunteer Survey'!M904)"),"")</f>
        <v/>
      </c>
      <c r="AM905" s="183" t="str">
        <f>IFERROR(__xludf.DUMMYFUNCTION("QUERY('Volunteer Survey'!N904)"),"")</f>
        <v/>
      </c>
      <c r="AN905" s="183" t="str">
        <f>IFERROR(__xludf.DUMMYFUNCTION("QUERY('Volunteer Survey'!O904)"),"")</f>
        <v/>
      </c>
      <c r="AO905" s="183" t="str">
        <f>IFERROR(__xludf.DUMMYFUNCTION("QUERY('Volunteer Survey'!P904)"),"")</f>
        <v/>
      </c>
    </row>
    <row r="906">
      <c r="A906" s="55"/>
      <c r="B906" s="55"/>
      <c r="C906" s="53"/>
      <c r="D906" s="55"/>
      <c r="E906" s="55"/>
      <c r="F906" s="55" t="b">
        <v>0</v>
      </c>
      <c r="G906" s="55"/>
      <c r="H906" s="53"/>
      <c r="I906" s="53"/>
      <c r="J906" s="55"/>
      <c r="K906" s="55"/>
      <c r="L906" s="55"/>
      <c r="M906" s="55"/>
      <c r="N906" s="55"/>
      <c r="O906" s="55" t="b">
        <v>0</v>
      </c>
      <c r="P906" s="55"/>
      <c r="Q906" s="55"/>
      <c r="R906" s="55"/>
      <c r="S906" s="55"/>
      <c r="T906" s="55"/>
      <c r="U906" s="64"/>
      <c r="V906" s="55"/>
      <c r="W906" s="64"/>
      <c r="X906" s="55"/>
      <c r="Y906" s="53"/>
      <c r="Z906" s="183" t="str">
        <f>IFERROR(__xludf.DUMMYFUNCTION("QUERY('Volunteer Survey'!A905)"),"")</f>
        <v/>
      </c>
      <c r="AA906" s="183" t="str">
        <f>IFERROR(__xludf.DUMMYFUNCTION("QUERY('Volunteer Survey'!B905)"),"")</f>
        <v/>
      </c>
      <c r="AB906" s="183" t="str">
        <f>IFERROR(__xludf.DUMMYFUNCTION("QUERY('Volunteer Survey'!C905)"),"")</f>
        <v/>
      </c>
      <c r="AC906" s="183" t="str">
        <f>IFERROR(__xludf.DUMMYFUNCTION("QUERY('Volunteer Survey'!D905)"),"")</f>
        <v/>
      </c>
      <c r="AD906" s="183" t="str">
        <f>IFERROR(__xludf.DUMMYFUNCTION("QUERY('Volunteer Survey'!E905)"),"")</f>
        <v/>
      </c>
      <c r="AE906" s="183" t="str">
        <f>IFERROR(__xludf.DUMMYFUNCTION("QUERY('Volunteer Survey'!F905)"),"")</f>
        <v/>
      </c>
      <c r="AF906" s="183" t="str">
        <f>IFERROR(__xludf.DUMMYFUNCTION("QUERY('Volunteer Survey'!G905)"),"")</f>
        <v/>
      </c>
      <c r="AG906" s="183" t="str">
        <f>IFERROR(__xludf.DUMMYFUNCTION("QUERY('Volunteer Survey'!H905)"),"")</f>
        <v/>
      </c>
      <c r="AH906" s="183" t="str">
        <f>IFERROR(__xludf.DUMMYFUNCTION("QUERY('Volunteer Survey'!I905)"),"")</f>
        <v/>
      </c>
      <c r="AI906" s="183" t="str">
        <f>IFERROR(__xludf.DUMMYFUNCTION("QUERY('Volunteer Survey'!J905)"),"")</f>
        <v/>
      </c>
      <c r="AJ906" s="183" t="str">
        <f>IFERROR(__xludf.DUMMYFUNCTION("QUERY('Volunteer Survey'!K905)"),"")</f>
        <v/>
      </c>
      <c r="AK906" s="183" t="str">
        <f>IFERROR(__xludf.DUMMYFUNCTION("QUERY('Volunteer Survey'!L905)"),"")</f>
        <v/>
      </c>
      <c r="AL906" s="183" t="str">
        <f>IFERROR(__xludf.DUMMYFUNCTION("QUERY('Volunteer Survey'!M905)"),"")</f>
        <v/>
      </c>
      <c r="AM906" s="183" t="str">
        <f>IFERROR(__xludf.DUMMYFUNCTION("QUERY('Volunteer Survey'!N905)"),"")</f>
        <v/>
      </c>
      <c r="AN906" s="183" t="str">
        <f>IFERROR(__xludf.DUMMYFUNCTION("QUERY('Volunteer Survey'!O905)"),"")</f>
        <v/>
      </c>
      <c r="AO906" s="183" t="str">
        <f>IFERROR(__xludf.DUMMYFUNCTION("QUERY('Volunteer Survey'!P905)"),"")</f>
        <v/>
      </c>
    </row>
    <row r="907">
      <c r="A907" s="55"/>
      <c r="B907" s="55"/>
      <c r="C907" s="53"/>
      <c r="D907" s="55"/>
      <c r="E907" s="55"/>
      <c r="F907" s="55" t="b">
        <v>0</v>
      </c>
      <c r="G907" s="55"/>
      <c r="H907" s="53"/>
      <c r="I907" s="53"/>
      <c r="J907" s="55"/>
      <c r="K907" s="55"/>
      <c r="L907" s="55"/>
      <c r="M907" s="55"/>
      <c r="N907" s="55"/>
      <c r="O907" s="55" t="b">
        <v>0</v>
      </c>
      <c r="P907" s="55"/>
      <c r="Q907" s="55"/>
      <c r="R907" s="55"/>
      <c r="S907" s="55"/>
      <c r="T907" s="55"/>
      <c r="U907" s="64"/>
      <c r="V907" s="55"/>
      <c r="W907" s="64"/>
      <c r="X907" s="55"/>
      <c r="Y907" s="53"/>
      <c r="Z907" s="183" t="str">
        <f>IFERROR(__xludf.DUMMYFUNCTION("QUERY('Volunteer Survey'!A906)"),"")</f>
        <v/>
      </c>
      <c r="AA907" s="183" t="str">
        <f>IFERROR(__xludf.DUMMYFUNCTION("QUERY('Volunteer Survey'!B906)"),"")</f>
        <v/>
      </c>
      <c r="AB907" s="183" t="str">
        <f>IFERROR(__xludf.DUMMYFUNCTION("QUERY('Volunteer Survey'!C906)"),"")</f>
        <v/>
      </c>
      <c r="AC907" s="183" t="str">
        <f>IFERROR(__xludf.DUMMYFUNCTION("QUERY('Volunteer Survey'!D906)"),"")</f>
        <v/>
      </c>
      <c r="AD907" s="183" t="str">
        <f>IFERROR(__xludf.DUMMYFUNCTION("QUERY('Volunteer Survey'!E906)"),"")</f>
        <v/>
      </c>
      <c r="AE907" s="183" t="str">
        <f>IFERROR(__xludf.DUMMYFUNCTION("QUERY('Volunteer Survey'!F906)"),"")</f>
        <v/>
      </c>
      <c r="AF907" s="183" t="str">
        <f>IFERROR(__xludf.DUMMYFUNCTION("QUERY('Volunteer Survey'!G906)"),"")</f>
        <v/>
      </c>
      <c r="AG907" s="183" t="str">
        <f>IFERROR(__xludf.DUMMYFUNCTION("QUERY('Volunteer Survey'!H906)"),"")</f>
        <v/>
      </c>
      <c r="AH907" s="183" t="str">
        <f>IFERROR(__xludf.DUMMYFUNCTION("QUERY('Volunteer Survey'!I906)"),"")</f>
        <v/>
      </c>
      <c r="AI907" s="183" t="str">
        <f>IFERROR(__xludf.DUMMYFUNCTION("QUERY('Volunteer Survey'!J906)"),"")</f>
        <v/>
      </c>
      <c r="AJ907" s="183" t="str">
        <f>IFERROR(__xludf.DUMMYFUNCTION("QUERY('Volunteer Survey'!K906)"),"")</f>
        <v/>
      </c>
      <c r="AK907" s="183" t="str">
        <f>IFERROR(__xludf.DUMMYFUNCTION("QUERY('Volunteer Survey'!L906)"),"")</f>
        <v/>
      </c>
      <c r="AL907" s="183" t="str">
        <f>IFERROR(__xludf.DUMMYFUNCTION("QUERY('Volunteer Survey'!M906)"),"")</f>
        <v/>
      </c>
      <c r="AM907" s="183" t="str">
        <f>IFERROR(__xludf.DUMMYFUNCTION("QUERY('Volunteer Survey'!N906)"),"")</f>
        <v/>
      </c>
      <c r="AN907" s="183" t="str">
        <f>IFERROR(__xludf.DUMMYFUNCTION("QUERY('Volunteer Survey'!O906)"),"")</f>
        <v/>
      </c>
      <c r="AO907" s="183" t="str">
        <f>IFERROR(__xludf.DUMMYFUNCTION("QUERY('Volunteer Survey'!P906)"),"")</f>
        <v/>
      </c>
    </row>
    <row r="908">
      <c r="A908" s="55"/>
      <c r="B908" s="55"/>
      <c r="C908" s="53"/>
      <c r="D908" s="55"/>
      <c r="E908" s="55"/>
      <c r="F908" s="55" t="b">
        <v>0</v>
      </c>
      <c r="G908" s="55"/>
      <c r="H908" s="53"/>
      <c r="I908" s="53"/>
      <c r="J908" s="55"/>
      <c r="K908" s="55"/>
      <c r="L908" s="55"/>
      <c r="M908" s="55"/>
      <c r="N908" s="55"/>
      <c r="O908" s="55" t="b">
        <v>0</v>
      </c>
      <c r="P908" s="55"/>
      <c r="Q908" s="55"/>
      <c r="R908" s="55"/>
      <c r="S908" s="55"/>
      <c r="T908" s="55"/>
      <c r="U908" s="64"/>
      <c r="V908" s="55"/>
      <c r="W908" s="64"/>
      <c r="X908" s="55"/>
      <c r="Y908" s="53"/>
      <c r="Z908" s="183" t="str">
        <f>IFERROR(__xludf.DUMMYFUNCTION("QUERY('Volunteer Survey'!A907)"),"")</f>
        <v/>
      </c>
      <c r="AA908" s="183" t="str">
        <f>IFERROR(__xludf.DUMMYFUNCTION("QUERY('Volunteer Survey'!B907)"),"")</f>
        <v/>
      </c>
      <c r="AB908" s="183" t="str">
        <f>IFERROR(__xludf.DUMMYFUNCTION("QUERY('Volunteer Survey'!C907)"),"")</f>
        <v/>
      </c>
      <c r="AC908" s="183" t="str">
        <f>IFERROR(__xludf.DUMMYFUNCTION("QUERY('Volunteer Survey'!D907)"),"")</f>
        <v/>
      </c>
      <c r="AD908" s="183" t="str">
        <f>IFERROR(__xludf.DUMMYFUNCTION("QUERY('Volunteer Survey'!E907)"),"")</f>
        <v/>
      </c>
      <c r="AE908" s="183" t="str">
        <f>IFERROR(__xludf.DUMMYFUNCTION("QUERY('Volunteer Survey'!F907)"),"")</f>
        <v/>
      </c>
      <c r="AF908" s="183" t="str">
        <f>IFERROR(__xludf.DUMMYFUNCTION("QUERY('Volunteer Survey'!G907)"),"")</f>
        <v/>
      </c>
      <c r="AG908" s="183" t="str">
        <f>IFERROR(__xludf.DUMMYFUNCTION("QUERY('Volunteer Survey'!H907)"),"")</f>
        <v/>
      </c>
      <c r="AH908" s="183" t="str">
        <f>IFERROR(__xludf.DUMMYFUNCTION("QUERY('Volunteer Survey'!I907)"),"")</f>
        <v/>
      </c>
      <c r="AI908" s="183" t="str">
        <f>IFERROR(__xludf.DUMMYFUNCTION("QUERY('Volunteer Survey'!J907)"),"")</f>
        <v/>
      </c>
      <c r="AJ908" s="183" t="str">
        <f>IFERROR(__xludf.DUMMYFUNCTION("QUERY('Volunteer Survey'!K907)"),"")</f>
        <v/>
      </c>
      <c r="AK908" s="183" t="str">
        <f>IFERROR(__xludf.DUMMYFUNCTION("QUERY('Volunteer Survey'!L907)"),"")</f>
        <v/>
      </c>
      <c r="AL908" s="183" t="str">
        <f>IFERROR(__xludf.DUMMYFUNCTION("QUERY('Volunteer Survey'!M907)"),"")</f>
        <v/>
      </c>
      <c r="AM908" s="183" t="str">
        <f>IFERROR(__xludf.DUMMYFUNCTION("QUERY('Volunteer Survey'!N907)"),"")</f>
        <v/>
      </c>
      <c r="AN908" s="183" t="str">
        <f>IFERROR(__xludf.DUMMYFUNCTION("QUERY('Volunteer Survey'!O907)"),"")</f>
        <v/>
      </c>
      <c r="AO908" s="183" t="str">
        <f>IFERROR(__xludf.DUMMYFUNCTION("QUERY('Volunteer Survey'!P907)"),"")</f>
        <v/>
      </c>
    </row>
    <row r="909">
      <c r="A909" s="55"/>
      <c r="B909" s="55"/>
      <c r="C909" s="53"/>
      <c r="D909" s="55"/>
      <c r="E909" s="55"/>
      <c r="F909" s="55" t="b">
        <v>0</v>
      </c>
      <c r="G909" s="55"/>
      <c r="H909" s="53"/>
      <c r="I909" s="53"/>
      <c r="J909" s="55"/>
      <c r="K909" s="55"/>
      <c r="L909" s="55"/>
      <c r="M909" s="55"/>
      <c r="N909" s="55"/>
      <c r="O909" s="55" t="b">
        <v>0</v>
      </c>
      <c r="P909" s="55"/>
      <c r="Q909" s="55"/>
      <c r="R909" s="55"/>
      <c r="S909" s="55"/>
      <c r="T909" s="55"/>
      <c r="U909" s="64"/>
      <c r="V909" s="55"/>
      <c r="W909" s="64"/>
      <c r="X909" s="55"/>
      <c r="Y909" s="53"/>
      <c r="Z909" s="183" t="str">
        <f>IFERROR(__xludf.DUMMYFUNCTION("QUERY('Volunteer Survey'!A908)"),"")</f>
        <v/>
      </c>
      <c r="AA909" s="183" t="str">
        <f>IFERROR(__xludf.DUMMYFUNCTION("QUERY('Volunteer Survey'!B908)"),"")</f>
        <v/>
      </c>
      <c r="AB909" s="183" t="str">
        <f>IFERROR(__xludf.DUMMYFUNCTION("QUERY('Volunteer Survey'!C908)"),"")</f>
        <v/>
      </c>
      <c r="AC909" s="183" t="str">
        <f>IFERROR(__xludf.DUMMYFUNCTION("QUERY('Volunteer Survey'!D908)"),"")</f>
        <v/>
      </c>
      <c r="AD909" s="183" t="str">
        <f>IFERROR(__xludf.DUMMYFUNCTION("QUERY('Volunteer Survey'!E908)"),"")</f>
        <v/>
      </c>
      <c r="AE909" s="183" t="str">
        <f>IFERROR(__xludf.DUMMYFUNCTION("QUERY('Volunteer Survey'!F908)"),"")</f>
        <v/>
      </c>
      <c r="AF909" s="183" t="str">
        <f>IFERROR(__xludf.DUMMYFUNCTION("QUERY('Volunteer Survey'!G908)"),"")</f>
        <v/>
      </c>
      <c r="AG909" s="183" t="str">
        <f>IFERROR(__xludf.DUMMYFUNCTION("QUERY('Volunteer Survey'!H908)"),"")</f>
        <v/>
      </c>
      <c r="AH909" s="183" t="str">
        <f>IFERROR(__xludf.DUMMYFUNCTION("QUERY('Volunteer Survey'!I908)"),"")</f>
        <v/>
      </c>
      <c r="AI909" s="183" t="str">
        <f>IFERROR(__xludf.DUMMYFUNCTION("QUERY('Volunteer Survey'!J908)"),"")</f>
        <v/>
      </c>
      <c r="AJ909" s="183" t="str">
        <f>IFERROR(__xludf.DUMMYFUNCTION("QUERY('Volunteer Survey'!K908)"),"")</f>
        <v/>
      </c>
      <c r="AK909" s="183" t="str">
        <f>IFERROR(__xludf.DUMMYFUNCTION("QUERY('Volunteer Survey'!L908)"),"")</f>
        <v/>
      </c>
      <c r="AL909" s="183" t="str">
        <f>IFERROR(__xludf.DUMMYFUNCTION("QUERY('Volunteer Survey'!M908)"),"")</f>
        <v/>
      </c>
      <c r="AM909" s="183" t="str">
        <f>IFERROR(__xludf.DUMMYFUNCTION("QUERY('Volunteer Survey'!N908)"),"")</f>
        <v/>
      </c>
      <c r="AN909" s="183" t="str">
        <f>IFERROR(__xludf.DUMMYFUNCTION("QUERY('Volunteer Survey'!O908)"),"")</f>
        <v/>
      </c>
      <c r="AO909" s="183" t="str">
        <f>IFERROR(__xludf.DUMMYFUNCTION("QUERY('Volunteer Survey'!P908)"),"")</f>
        <v/>
      </c>
    </row>
    <row r="910">
      <c r="A910" s="55"/>
      <c r="B910" s="55"/>
      <c r="C910" s="53"/>
      <c r="D910" s="55"/>
      <c r="E910" s="55"/>
      <c r="F910" s="55" t="b">
        <v>0</v>
      </c>
      <c r="G910" s="55"/>
      <c r="H910" s="53"/>
      <c r="I910" s="53"/>
      <c r="J910" s="55"/>
      <c r="K910" s="55"/>
      <c r="L910" s="55"/>
      <c r="M910" s="55"/>
      <c r="N910" s="55"/>
      <c r="O910" s="55" t="b">
        <v>0</v>
      </c>
      <c r="P910" s="55"/>
      <c r="Q910" s="55"/>
      <c r="R910" s="55"/>
      <c r="S910" s="55"/>
      <c r="T910" s="55"/>
      <c r="U910" s="64"/>
      <c r="V910" s="55"/>
      <c r="W910" s="64"/>
      <c r="X910" s="55"/>
      <c r="Y910" s="53"/>
      <c r="Z910" s="183" t="str">
        <f>IFERROR(__xludf.DUMMYFUNCTION("QUERY('Volunteer Survey'!A909)"),"")</f>
        <v/>
      </c>
      <c r="AA910" s="183" t="str">
        <f>IFERROR(__xludf.DUMMYFUNCTION("QUERY('Volunteer Survey'!B909)"),"")</f>
        <v/>
      </c>
      <c r="AB910" s="183" t="str">
        <f>IFERROR(__xludf.DUMMYFUNCTION("QUERY('Volunteer Survey'!C909)"),"")</f>
        <v/>
      </c>
      <c r="AC910" s="183" t="str">
        <f>IFERROR(__xludf.DUMMYFUNCTION("QUERY('Volunteer Survey'!D909)"),"")</f>
        <v/>
      </c>
      <c r="AD910" s="183" t="str">
        <f>IFERROR(__xludf.DUMMYFUNCTION("QUERY('Volunteer Survey'!E909)"),"")</f>
        <v/>
      </c>
      <c r="AE910" s="183" t="str">
        <f>IFERROR(__xludf.DUMMYFUNCTION("QUERY('Volunteer Survey'!F909)"),"")</f>
        <v/>
      </c>
      <c r="AF910" s="183" t="str">
        <f>IFERROR(__xludf.DUMMYFUNCTION("QUERY('Volunteer Survey'!G909)"),"")</f>
        <v/>
      </c>
      <c r="AG910" s="183" t="str">
        <f>IFERROR(__xludf.DUMMYFUNCTION("QUERY('Volunteer Survey'!H909)"),"")</f>
        <v/>
      </c>
      <c r="AH910" s="183" t="str">
        <f>IFERROR(__xludf.DUMMYFUNCTION("QUERY('Volunteer Survey'!I909)"),"")</f>
        <v/>
      </c>
      <c r="AI910" s="183" t="str">
        <f>IFERROR(__xludf.DUMMYFUNCTION("QUERY('Volunteer Survey'!J909)"),"")</f>
        <v/>
      </c>
      <c r="AJ910" s="183" t="str">
        <f>IFERROR(__xludf.DUMMYFUNCTION("QUERY('Volunteer Survey'!K909)"),"")</f>
        <v/>
      </c>
      <c r="AK910" s="183" t="str">
        <f>IFERROR(__xludf.DUMMYFUNCTION("QUERY('Volunteer Survey'!L909)"),"")</f>
        <v/>
      </c>
      <c r="AL910" s="183" t="str">
        <f>IFERROR(__xludf.DUMMYFUNCTION("QUERY('Volunteer Survey'!M909)"),"")</f>
        <v/>
      </c>
      <c r="AM910" s="183" t="str">
        <f>IFERROR(__xludf.DUMMYFUNCTION("QUERY('Volunteer Survey'!N909)"),"")</f>
        <v/>
      </c>
      <c r="AN910" s="183" t="str">
        <f>IFERROR(__xludf.DUMMYFUNCTION("QUERY('Volunteer Survey'!O909)"),"")</f>
        <v/>
      </c>
      <c r="AO910" s="183" t="str">
        <f>IFERROR(__xludf.DUMMYFUNCTION("QUERY('Volunteer Survey'!P909)"),"")</f>
        <v/>
      </c>
    </row>
    <row r="911">
      <c r="A911" s="55"/>
      <c r="B911" s="55"/>
      <c r="C911" s="53"/>
      <c r="D911" s="55"/>
      <c r="E911" s="55"/>
      <c r="F911" s="55" t="b">
        <v>0</v>
      </c>
      <c r="G911" s="55"/>
      <c r="H911" s="53"/>
      <c r="I911" s="53"/>
      <c r="J911" s="55"/>
      <c r="K911" s="55"/>
      <c r="L911" s="55"/>
      <c r="M911" s="55"/>
      <c r="N911" s="55"/>
      <c r="O911" s="55" t="b">
        <v>0</v>
      </c>
      <c r="P911" s="55"/>
      <c r="Q911" s="55"/>
      <c r="R911" s="55"/>
      <c r="S911" s="55"/>
      <c r="T911" s="55"/>
      <c r="U911" s="64"/>
      <c r="V911" s="55"/>
      <c r="W911" s="64"/>
      <c r="X911" s="55"/>
      <c r="Y911" s="53"/>
      <c r="Z911" s="183" t="str">
        <f>IFERROR(__xludf.DUMMYFUNCTION("QUERY('Volunteer Survey'!A910)"),"")</f>
        <v/>
      </c>
      <c r="AA911" s="183" t="str">
        <f>IFERROR(__xludf.DUMMYFUNCTION("QUERY('Volunteer Survey'!B910)"),"")</f>
        <v/>
      </c>
      <c r="AB911" s="183" t="str">
        <f>IFERROR(__xludf.DUMMYFUNCTION("QUERY('Volunteer Survey'!C910)"),"")</f>
        <v/>
      </c>
      <c r="AC911" s="183" t="str">
        <f>IFERROR(__xludf.DUMMYFUNCTION("QUERY('Volunteer Survey'!D910)"),"")</f>
        <v/>
      </c>
      <c r="AD911" s="183" t="str">
        <f>IFERROR(__xludf.DUMMYFUNCTION("QUERY('Volunteer Survey'!E910)"),"")</f>
        <v/>
      </c>
      <c r="AE911" s="183" t="str">
        <f>IFERROR(__xludf.DUMMYFUNCTION("QUERY('Volunteer Survey'!F910)"),"")</f>
        <v/>
      </c>
      <c r="AF911" s="183" t="str">
        <f>IFERROR(__xludf.DUMMYFUNCTION("QUERY('Volunteer Survey'!G910)"),"")</f>
        <v/>
      </c>
      <c r="AG911" s="183" t="str">
        <f>IFERROR(__xludf.DUMMYFUNCTION("QUERY('Volunteer Survey'!H910)"),"")</f>
        <v/>
      </c>
      <c r="AH911" s="183" t="str">
        <f>IFERROR(__xludf.DUMMYFUNCTION("QUERY('Volunteer Survey'!I910)"),"")</f>
        <v/>
      </c>
      <c r="AI911" s="183" t="str">
        <f>IFERROR(__xludf.DUMMYFUNCTION("QUERY('Volunteer Survey'!J910)"),"")</f>
        <v/>
      </c>
      <c r="AJ911" s="183" t="str">
        <f>IFERROR(__xludf.DUMMYFUNCTION("QUERY('Volunteer Survey'!K910)"),"")</f>
        <v/>
      </c>
      <c r="AK911" s="183" t="str">
        <f>IFERROR(__xludf.DUMMYFUNCTION("QUERY('Volunteer Survey'!L910)"),"")</f>
        <v/>
      </c>
      <c r="AL911" s="183" t="str">
        <f>IFERROR(__xludf.DUMMYFUNCTION("QUERY('Volunteer Survey'!M910)"),"")</f>
        <v/>
      </c>
      <c r="AM911" s="183" t="str">
        <f>IFERROR(__xludf.DUMMYFUNCTION("QUERY('Volunteer Survey'!N910)"),"")</f>
        <v/>
      </c>
      <c r="AN911" s="183" t="str">
        <f>IFERROR(__xludf.DUMMYFUNCTION("QUERY('Volunteer Survey'!O910)"),"")</f>
        <v/>
      </c>
      <c r="AO911" s="183" t="str">
        <f>IFERROR(__xludf.DUMMYFUNCTION("QUERY('Volunteer Survey'!P910)"),"")</f>
        <v/>
      </c>
    </row>
    <row r="912">
      <c r="A912" s="55"/>
      <c r="B912" s="55"/>
      <c r="C912" s="53"/>
      <c r="D912" s="55"/>
      <c r="E912" s="55"/>
      <c r="F912" s="55" t="b">
        <v>0</v>
      </c>
      <c r="G912" s="55"/>
      <c r="H912" s="53"/>
      <c r="I912" s="53"/>
      <c r="J912" s="55"/>
      <c r="K912" s="55"/>
      <c r="L912" s="55"/>
      <c r="M912" s="55"/>
      <c r="N912" s="55"/>
      <c r="O912" s="55" t="b">
        <v>0</v>
      </c>
      <c r="P912" s="55"/>
      <c r="Q912" s="55"/>
      <c r="R912" s="55"/>
      <c r="S912" s="55"/>
      <c r="T912" s="55"/>
      <c r="U912" s="64"/>
      <c r="V912" s="55"/>
      <c r="W912" s="64"/>
      <c r="X912" s="55"/>
      <c r="Y912" s="53"/>
      <c r="Z912" s="183" t="str">
        <f>IFERROR(__xludf.DUMMYFUNCTION("QUERY('Volunteer Survey'!A911)"),"")</f>
        <v/>
      </c>
      <c r="AA912" s="183" t="str">
        <f>IFERROR(__xludf.DUMMYFUNCTION("QUERY('Volunteer Survey'!B911)"),"")</f>
        <v/>
      </c>
      <c r="AB912" s="183" t="str">
        <f>IFERROR(__xludf.DUMMYFUNCTION("QUERY('Volunteer Survey'!C911)"),"")</f>
        <v/>
      </c>
      <c r="AC912" s="183" t="str">
        <f>IFERROR(__xludf.DUMMYFUNCTION("QUERY('Volunteer Survey'!D911)"),"")</f>
        <v/>
      </c>
      <c r="AD912" s="183" t="str">
        <f>IFERROR(__xludf.DUMMYFUNCTION("QUERY('Volunteer Survey'!E911)"),"")</f>
        <v/>
      </c>
      <c r="AE912" s="183" t="str">
        <f>IFERROR(__xludf.DUMMYFUNCTION("QUERY('Volunteer Survey'!F911)"),"")</f>
        <v/>
      </c>
      <c r="AF912" s="183" t="str">
        <f>IFERROR(__xludf.DUMMYFUNCTION("QUERY('Volunteer Survey'!G911)"),"")</f>
        <v/>
      </c>
      <c r="AG912" s="183" t="str">
        <f>IFERROR(__xludf.DUMMYFUNCTION("QUERY('Volunteer Survey'!H911)"),"")</f>
        <v/>
      </c>
      <c r="AH912" s="183" t="str">
        <f>IFERROR(__xludf.DUMMYFUNCTION("QUERY('Volunteer Survey'!I911)"),"")</f>
        <v/>
      </c>
      <c r="AI912" s="183" t="str">
        <f>IFERROR(__xludf.DUMMYFUNCTION("QUERY('Volunteer Survey'!J911)"),"")</f>
        <v/>
      </c>
      <c r="AJ912" s="183" t="str">
        <f>IFERROR(__xludf.DUMMYFUNCTION("QUERY('Volunteer Survey'!K911)"),"")</f>
        <v/>
      </c>
      <c r="AK912" s="183" t="str">
        <f>IFERROR(__xludf.DUMMYFUNCTION("QUERY('Volunteer Survey'!L911)"),"")</f>
        <v/>
      </c>
      <c r="AL912" s="183" t="str">
        <f>IFERROR(__xludf.DUMMYFUNCTION("QUERY('Volunteer Survey'!M911)"),"")</f>
        <v/>
      </c>
      <c r="AM912" s="183" t="str">
        <f>IFERROR(__xludf.DUMMYFUNCTION("QUERY('Volunteer Survey'!N911)"),"")</f>
        <v/>
      </c>
      <c r="AN912" s="183" t="str">
        <f>IFERROR(__xludf.DUMMYFUNCTION("QUERY('Volunteer Survey'!O911)"),"")</f>
        <v/>
      </c>
      <c r="AO912" s="183" t="str">
        <f>IFERROR(__xludf.DUMMYFUNCTION("QUERY('Volunteer Survey'!P911)"),"")</f>
        <v/>
      </c>
    </row>
    <row r="913">
      <c r="A913" s="55"/>
      <c r="B913" s="55"/>
      <c r="C913" s="53"/>
      <c r="D913" s="55"/>
      <c r="E913" s="55"/>
      <c r="F913" s="55" t="b">
        <v>0</v>
      </c>
      <c r="G913" s="55"/>
      <c r="H913" s="53"/>
      <c r="I913" s="53"/>
      <c r="J913" s="55"/>
      <c r="K913" s="55"/>
      <c r="L913" s="55"/>
      <c r="M913" s="55"/>
      <c r="N913" s="55"/>
      <c r="O913" s="55" t="b">
        <v>0</v>
      </c>
      <c r="P913" s="55"/>
      <c r="Q913" s="55"/>
      <c r="R913" s="55"/>
      <c r="S913" s="55"/>
      <c r="T913" s="55"/>
      <c r="U913" s="64"/>
      <c r="V913" s="55"/>
      <c r="W913" s="64"/>
      <c r="X913" s="55"/>
      <c r="Y913" s="53"/>
      <c r="Z913" s="183" t="str">
        <f>IFERROR(__xludf.DUMMYFUNCTION("QUERY('Volunteer Survey'!A912)"),"")</f>
        <v/>
      </c>
      <c r="AA913" s="183" t="str">
        <f>IFERROR(__xludf.DUMMYFUNCTION("QUERY('Volunteer Survey'!B912)"),"")</f>
        <v/>
      </c>
      <c r="AB913" s="183" t="str">
        <f>IFERROR(__xludf.DUMMYFUNCTION("QUERY('Volunteer Survey'!C912)"),"")</f>
        <v/>
      </c>
      <c r="AC913" s="183" t="str">
        <f>IFERROR(__xludf.DUMMYFUNCTION("QUERY('Volunteer Survey'!D912)"),"")</f>
        <v/>
      </c>
      <c r="AD913" s="183" t="str">
        <f>IFERROR(__xludf.DUMMYFUNCTION("QUERY('Volunteer Survey'!E912)"),"")</f>
        <v/>
      </c>
      <c r="AE913" s="183" t="str">
        <f>IFERROR(__xludf.DUMMYFUNCTION("QUERY('Volunteer Survey'!F912)"),"")</f>
        <v/>
      </c>
      <c r="AF913" s="183" t="str">
        <f>IFERROR(__xludf.DUMMYFUNCTION("QUERY('Volunteer Survey'!G912)"),"")</f>
        <v/>
      </c>
      <c r="AG913" s="183" t="str">
        <f>IFERROR(__xludf.DUMMYFUNCTION("QUERY('Volunteer Survey'!H912)"),"")</f>
        <v/>
      </c>
      <c r="AH913" s="183" t="str">
        <f>IFERROR(__xludf.DUMMYFUNCTION("QUERY('Volunteer Survey'!I912)"),"")</f>
        <v/>
      </c>
      <c r="AI913" s="183" t="str">
        <f>IFERROR(__xludf.DUMMYFUNCTION("QUERY('Volunteer Survey'!J912)"),"")</f>
        <v/>
      </c>
      <c r="AJ913" s="183" t="str">
        <f>IFERROR(__xludf.DUMMYFUNCTION("QUERY('Volunteer Survey'!K912)"),"")</f>
        <v/>
      </c>
      <c r="AK913" s="183" t="str">
        <f>IFERROR(__xludf.DUMMYFUNCTION("QUERY('Volunteer Survey'!L912)"),"")</f>
        <v/>
      </c>
      <c r="AL913" s="183" t="str">
        <f>IFERROR(__xludf.DUMMYFUNCTION("QUERY('Volunteer Survey'!M912)"),"")</f>
        <v/>
      </c>
      <c r="AM913" s="183" t="str">
        <f>IFERROR(__xludf.DUMMYFUNCTION("QUERY('Volunteer Survey'!N912)"),"")</f>
        <v/>
      </c>
      <c r="AN913" s="183" t="str">
        <f>IFERROR(__xludf.DUMMYFUNCTION("QUERY('Volunteer Survey'!O912)"),"")</f>
        <v/>
      </c>
      <c r="AO913" s="183" t="str">
        <f>IFERROR(__xludf.DUMMYFUNCTION("QUERY('Volunteer Survey'!P912)"),"")</f>
        <v/>
      </c>
    </row>
    <row r="914">
      <c r="A914" s="55"/>
      <c r="B914" s="55"/>
      <c r="C914" s="53"/>
      <c r="D914" s="55"/>
      <c r="E914" s="55"/>
      <c r="F914" s="55" t="b">
        <v>0</v>
      </c>
      <c r="G914" s="55"/>
      <c r="H914" s="53"/>
      <c r="I914" s="53"/>
      <c r="J914" s="55"/>
      <c r="K914" s="55"/>
      <c r="L914" s="55"/>
      <c r="M914" s="55"/>
      <c r="N914" s="55"/>
      <c r="O914" s="55" t="b">
        <v>0</v>
      </c>
      <c r="P914" s="55"/>
      <c r="Q914" s="55"/>
      <c r="R914" s="55"/>
      <c r="S914" s="55"/>
      <c r="T914" s="55"/>
      <c r="U914" s="64"/>
      <c r="V914" s="55"/>
      <c r="W914" s="64"/>
      <c r="X914" s="55"/>
      <c r="Y914" s="53"/>
      <c r="Z914" s="183" t="str">
        <f>IFERROR(__xludf.DUMMYFUNCTION("QUERY('Volunteer Survey'!A913)"),"")</f>
        <v/>
      </c>
      <c r="AA914" s="183" t="str">
        <f>IFERROR(__xludf.DUMMYFUNCTION("QUERY('Volunteer Survey'!B913)"),"")</f>
        <v/>
      </c>
      <c r="AB914" s="183" t="str">
        <f>IFERROR(__xludf.DUMMYFUNCTION("QUERY('Volunteer Survey'!C913)"),"")</f>
        <v/>
      </c>
      <c r="AC914" s="183" t="str">
        <f>IFERROR(__xludf.DUMMYFUNCTION("QUERY('Volunteer Survey'!D913)"),"")</f>
        <v/>
      </c>
      <c r="AD914" s="183" t="str">
        <f>IFERROR(__xludf.DUMMYFUNCTION("QUERY('Volunteer Survey'!E913)"),"")</f>
        <v/>
      </c>
      <c r="AE914" s="183" t="str">
        <f>IFERROR(__xludf.DUMMYFUNCTION("QUERY('Volunteer Survey'!F913)"),"")</f>
        <v/>
      </c>
      <c r="AF914" s="183" t="str">
        <f>IFERROR(__xludf.DUMMYFUNCTION("QUERY('Volunteer Survey'!G913)"),"")</f>
        <v/>
      </c>
      <c r="AG914" s="183" t="str">
        <f>IFERROR(__xludf.DUMMYFUNCTION("QUERY('Volunteer Survey'!H913)"),"")</f>
        <v/>
      </c>
      <c r="AH914" s="183" t="str">
        <f>IFERROR(__xludf.DUMMYFUNCTION("QUERY('Volunteer Survey'!I913)"),"")</f>
        <v/>
      </c>
      <c r="AI914" s="183" t="str">
        <f>IFERROR(__xludf.DUMMYFUNCTION("QUERY('Volunteer Survey'!J913)"),"")</f>
        <v/>
      </c>
      <c r="AJ914" s="183" t="str">
        <f>IFERROR(__xludf.DUMMYFUNCTION("QUERY('Volunteer Survey'!K913)"),"")</f>
        <v/>
      </c>
      <c r="AK914" s="183" t="str">
        <f>IFERROR(__xludf.DUMMYFUNCTION("QUERY('Volunteer Survey'!L913)"),"")</f>
        <v/>
      </c>
      <c r="AL914" s="183" t="str">
        <f>IFERROR(__xludf.DUMMYFUNCTION("QUERY('Volunteer Survey'!M913)"),"")</f>
        <v/>
      </c>
      <c r="AM914" s="183" t="str">
        <f>IFERROR(__xludf.DUMMYFUNCTION("QUERY('Volunteer Survey'!N913)"),"")</f>
        <v/>
      </c>
      <c r="AN914" s="183" t="str">
        <f>IFERROR(__xludf.DUMMYFUNCTION("QUERY('Volunteer Survey'!O913)"),"")</f>
        <v/>
      </c>
      <c r="AO914" s="183" t="str">
        <f>IFERROR(__xludf.DUMMYFUNCTION("QUERY('Volunteer Survey'!P913)"),"")</f>
        <v/>
      </c>
    </row>
    <row r="915">
      <c r="A915" s="55"/>
      <c r="B915" s="55"/>
      <c r="C915" s="53"/>
      <c r="D915" s="55"/>
      <c r="E915" s="55"/>
      <c r="F915" s="55" t="b">
        <v>0</v>
      </c>
      <c r="G915" s="55"/>
      <c r="H915" s="53"/>
      <c r="I915" s="53"/>
      <c r="J915" s="55"/>
      <c r="K915" s="55"/>
      <c r="L915" s="55"/>
      <c r="M915" s="55"/>
      <c r="N915" s="55"/>
      <c r="O915" s="55" t="b">
        <v>0</v>
      </c>
      <c r="P915" s="55"/>
      <c r="Q915" s="55"/>
      <c r="R915" s="55"/>
      <c r="S915" s="55"/>
      <c r="T915" s="55"/>
      <c r="U915" s="64"/>
      <c r="V915" s="55"/>
      <c r="W915" s="64"/>
      <c r="X915" s="55"/>
      <c r="Y915" s="53"/>
      <c r="Z915" s="183" t="str">
        <f>IFERROR(__xludf.DUMMYFUNCTION("QUERY('Volunteer Survey'!A914)"),"")</f>
        <v/>
      </c>
      <c r="AA915" s="183" t="str">
        <f>IFERROR(__xludf.DUMMYFUNCTION("QUERY('Volunteer Survey'!B914)"),"")</f>
        <v/>
      </c>
      <c r="AB915" s="183" t="str">
        <f>IFERROR(__xludf.DUMMYFUNCTION("QUERY('Volunteer Survey'!C914)"),"")</f>
        <v/>
      </c>
      <c r="AC915" s="183" t="str">
        <f>IFERROR(__xludf.DUMMYFUNCTION("QUERY('Volunteer Survey'!D914)"),"")</f>
        <v/>
      </c>
      <c r="AD915" s="183" t="str">
        <f>IFERROR(__xludf.DUMMYFUNCTION("QUERY('Volunteer Survey'!E914)"),"")</f>
        <v/>
      </c>
      <c r="AE915" s="183" t="str">
        <f>IFERROR(__xludf.DUMMYFUNCTION("QUERY('Volunteer Survey'!F914)"),"")</f>
        <v/>
      </c>
      <c r="AF915" s="183" t="str">
        <f>IFERROR(__xludf.DUMMYFUNCTION("QUERY('Volunteer Survey'!G914)"),"")</f>
        <v/>
      </c>
      <c r="AG915" s="183" t="str">
        <f>IFERROR(__xludf.DUMMYFUNCTION("QUERY('Volunteer Survey'!H914)"),"")</f>
        <v/>
      </c>
      <c r="AH915" s="183" t="str">
        <f>IFERROR(__xludf.DUMMYFUNCTION("QUERY('Volunteer Survey'!I914)"),"")</f>
        <v/>
      </c>
      <c r="AI915" s="183" t="str">
        <f>IFERROR(__xludf.DUMMYFUNCTION("QUERY('Volunteer Survey'!J914)"),"")</f>
        <v/>
      </c>
      <c r="AJ915" s="183" t="str">
        <f>IFERROR(__xludf.DUMMYFUNCTION("QUERY('Volunteer Survey'!K914)"),"")</f>
        <v/>
      </c>
      <c r="AK915" s="183" t="str">
        <f>IFERROR(__xludf.DUMMYFUNCTION("QUERY('Volunteer Survey'!L914)"),"")</f>
        <v/>
      </c>
      <c r="AL915" s="183" t="str">
        <f>IFERROR(__xludf.DUMMYFUNCTION("QUERY('Volunteer Survey'!M914)"),"")</f>
        <v/>
      </c>
      <c r="AM915" s="183" t="str">
        <f>IFERROR(__xludf.DUMMYFUNCTION("QUERY('Volunteer Survey'!N914)"),"")</f>
        <v/>
      </c>
      <c r="AN915" s="183" t="str">
        <f>IFERROR(__xludf.DUMMYFUNCTION("QUERY('Volunteer Survey'!O914)"),"")</f>
        <v/>
      </c>
      <c r="AO915" s="183" t="str">
        <f>IFERROR(__xludf.DUMMYFUNCTION("QUERY('Volunteer Survey'!P914)"),"")</f>
        <v/>
      </c>
    </row>
    <row r="916">
      <c r="A916" s="55"/>
      <c r="B916" s="55"/>
      <c r="C916" s="53"/>
      <c r="D916" s="55"/>
      <c r="E916" s="55"/>
      <c r="F916" s="55" t="b">
        <v>0</v>
      </c>
      <c r="G916" s="55"/>
      <c r="H916" s="53"/>
      <c r="I916" s="53"/>
      <c r="J916" s="55"/>
      <c r="K916" s="55"/>
      <c r="L916" s="55"/>
      <c r="M916" s="55"/>
      <c r="N916" s="55"/>
      <c r="O916" s="55" t="b">
        <v>0</v>
      </c>
      <c r="P916" s="55"/>
      <c r="Q916" s="55"/>
      <c r="R916" s="55"/>
      <c r="S916" s="55"/>
      <c r="T916" s="55"/>
      <c r="U916" s="64"/>
      <c r="V916" s="55"/>
      <c r="W916" s="64"/>
      <c r="X916" s="55"/>
      <c r="Y916" s="53"/>
      <c r="Z916" s="183" t="str">
        <f>IFERROR(__xludf.DUMMYFUNCTION("QUERY('Volunteer Survey'!A915)"),"")</f>
        <v/>
      </c>
      <c r="AA916" s="183" t="str">
        <f>IFERROR(__xludf.DUMMYFUNCTION("QUERY('Volunteer Survey'!B915)"),"")</f>
        <v/>
      </c>
      <c r="AB916" s="183" t="str">
        <f>IFERROR(__xludf.DUMMYFUNCTION("QUERY('Volunteer Survey'!C915)"),"")</f>
        <v/>
      </c>
      <c r="AC916" s="183" t="str">
        <f>IFERROR(__xludf.DUMMYFUNCTION("QUERY('Volunteer Survey'!D915)"),"")</f>
        <v/>
      </c>
      <c r="AD916" s="183" t="str">
        <f>IFERROR(__xludf.DUMMYFUNCTION("QUERY('Volunteer Survey'!E915)"),"")</f>
        <v/>
      </c>
      <c r="AE916" s="183" t="str">
        <f>IFERROR(__xludf.DUMMYFUNCTION("QUERY('Volunteer Survey'!F915)"),"")</f>
        <v/>
      </c>
      <c r="AF916" s="183" t="str">
        <f>IFERROR(__xludf.DUMMYFUNCTION("QUERY('Volunteer Survey'!G915)"),"")</f>
        <v/>
      </c>
      <c r="AG916" s="183" t="str">
        <f>IFERROR(__xludf.DUMMYFUNCTION("QUERY('Volunteer Survey'!H915)"),"")</f>
        <v/>
      </c>
      <c r="AH916" s="183" t="str">
        <f>IFERROR(__xludf.DUMMYFUNCTION("QUERY('Volunteer Survey'!I915)"),"")</f>
        <v/>
      </c>
      <c r="AI916" s="183" t="str">
        <f>IFERROR(__xludf.DUMMYFUNCTION("QUERY('Volunteer Survey'!J915)"),"")</f>
        <v/>
      </c>
      <c r="AJ916" s="183" t="str">
        <f>IFERROR(__xludf.DUMMYFUNCTION("QUERY('Volunteer Survey'!K915)"),"")</f>
        <v/>
      </c>
      <c r="AK916" s="183" t="str">
        <f>IFERROR(__xludf.DUMMYFUNCTION("QUERY('Volunteer Survey'!L915)"),"")</f>
        <v/>
      </c>
      <c r="AL916" s="183" t="str">
        <f>IFERROR(__xludf.DUMMYFUNCTION("QUERY('Volunteer Survey'!M915)"),"")</f>
        <v/>
      </c>
      <c r="AM916" s="183" t="str">
        <f>IFERROR(__xludf.DUMMYFUNCTION("QUERY('Volunteer Survey'!N915)"),"")</f>
        <v/>
      </c>
      <c r="AN916" s="183" t="str">
        <f>IFERROR(__xludf.DUMMYFUNCTION("QUERY('Volunteer Survey'!O915)"),"")</f>
        <v/>
      </c>
      <c r="AO916" s="183" t="str">
        <f>IFERROR(__xludf.DUMMYFUNCTION("QUERY('Volunteer Survey'!P915)"),"")</f>
        <v/>
      </c>
    </row>
    <row r="917">
      <c r="A917" s="55"/>
      <c r="B917" s="55"/>
      <c r="C917" s="53"/>
      <c r="D917" s="55"/>
      <c r="E917" s="55"/>
      <c r="F917" s="55" t="b">
        <v>0</v>
      </c>
      <c r="G917" s="55"/>
      <c r="H917" s="53"/>
      <c r="I917" s="53"/>
      <c r="J917" s="55"/>
      <c r="K917" s="55"/>
      <c r="L917" s="55"/>
      <c r="M917" s="55"/>
      <c r="N917" s="55"/>
      <c r="O917" s="55" t="b">
        <v>0</v>
      </c>
      <c r="P917" s="55"/>
      <c r="Q917" s="55"/>
      <c r="R917" s="55"/>
      <c r="S917" s="55"/>
      <c r="T917" s="55"/>
      <c r="U917" s="64"/>
      <c r="V917" s="55"/>
      <c r="W917" s="64"/>
      <c r="X917" s="55"/>
      <c r="Y917" s="53"/>
      <c r="Z917" s="183" t="str">
        <f>IFERROR(__xludf.DUMMYFUNCTION("QUERY('Volunteer Survey'!A916)"),"")</f>
        <v/>
      </c>
      <c r="AA917" s="183" t="str">
        <f>IFERROR(__xludf.DUMMYFUNCTION("QUERY('Volunteer Survey'!B916)"),"")</f>
        <v/>
      </c>
      <c r="AB917" s="183" t="str">
        <f>IFERROR(__xludf.DUMMYFUNCTION("QUERY('Volunteer Survey'!C916)"),"")</f>
        <v/>
      </c>
      <c r="AC917" s="183" t="str">
        <f>IFERROR(__xludf.DUMMYFUNCTION("QUERY('Volunteer Survey'!D916)"),"")</f>
        <v/>
      </c>
      <c r="AD917" s="183" t="str">
        <f>IFERROR(__xludf.DUMMYFUNCTION("QUERY('Volunteer Survey'!E916)"),"")</f>
        <v/>
      </c>
      <c r="AE917" s="183" t="str">
        <f>IFERROR(__xludf.DUMMYFUNCTION("QUERY('Volunteer Survey'!F916)"),"")</f>
        <v/>
      </c>
      <c r="AF917" s="183" t="str">
        <f>IFERROR(__xludf.DUMMYFUNCTION("QUERY('Volunteer Survey'!G916)"),"")</f>
        <v/>
      </c>
      <c r="AG917" s="183" t="str">
        <f>IFERROR(__xludf.DUMMYFUNCTION("QUERY('Volunteer Survey'!H916)"),"")</f>
        <v/>
      </c>
      <c r="AH917" s="183" t="str">
        <f>IFERROR(__xludf.DUMMYFUNCTION("QUERY('Volunteer Survey'!I916)"),"")</f>
        <v/>
      </c>
      <c r="AI917" s="183" t="str">
        <f>IFERROR(__xludf.DUMMYFUNCTION("QUERY('Volunteer Survey'!J916)"),"")</f>
        <v/>
      </c>
      <c r="AJ917" s="183" t="str">
        <f>IFERROR(__xludf.DUMMYFUNCTION("QUERY('Volunteer Survey'!K916)"),"")</f>
        <v/>
      </c>
      <c r="AK917" s="183" t="str">
        <f>IFERROR(__xludf.DUMMYFUNCTION("QUERY('Volunteer Survey'!L916)"),"")</f>
        <v/>
      </c>
      <c r="AL917" s="183" t="str">
        <f>IFERROR(__xludf.DUMMYFUNCTION("QUERY('Volunteer Survey'!M916)"),"")</f>
        <v/>
      </c>
      <c r="AM917" s="183" t="str">
        <f>IFERROR(__xludf.DUMMYFUNCTION("QUERY('Volunteer Survey'!N916)"),"")</f>
        <v/>
      </c>
      <c r="AN917" s="183" t="str">
        <f>IFERROR(__xludf.DUMMYFUNCTION("QUERY('Volunteer Survey'!O916)"),"")</f>
        <v/>
      </c>
      <c r="AO917" s="183" t="str">
        <f>IFERROR(__xludf.DUMMYFUNCTION("QUERY('Volunteer Survey'!P916)"),"")</f>
        <v/>
      </c>
    </row>
    <row r="918">
      <c r="A918" s="55"/>
      <c r="B918" s="55"/>
      <c r="C918" s="53"/>
      <c r="D918" s="55"/>
      <c r="E918" s="55"/>
      <c r="F918" s="55" t="b">
        <v>0</v>
      </c>
      <c r="G918" s="55"/>
      <c r="H918" s="53"/>
      <c r="I918" s="53"/>
      <c r="J918" s="55"/>
      <c r="K918" s="55"/>
      <c r="L918" s="55"/>
      <c r="M918" s="55"/>
      <c r="N918" s="55"/>
      <c r="O918" s="55" t="b">
        <v>0</v>
      </c>
      <c r="P918" s="55"/>
      <c r="Q918" s="55"/>
      <c r="R918" s="55"/>
      <c r="S918" s="55"/>
      <c r="T918" s="55"/>
      <c r="U918" s="64"/>
      <c r="V918" s="55"/>
      <c r="W918" s="64"/>
      <c r="X918" s="55"/>
      <c r="Y918" s="53"/>
      <c r="Z918" s="183" t="str">
        <f>IFERROR(__xludf.DUMMYFUNCTION("QUERY('Volunteer Survey'!A917)"),"")</f>
        <v/>
      </c>
      <c r="AA918" s="183" t="str">
        <f>IFERROR(__xludf.DUMMYFUNCTION("QUERY('Volunteer Survey'!B917)"),"")</f>
        <v/>
      </c>
      <c r="AB918" s="183" t="str">
        <f>IFERROR(__xludf.DUMMYFUNCTION("QUERY('Volunteer Survey'!C917)"),"")</f>
        <v/>
      </c>
      <c r="AC918" s="183" t="str">
        <f>IFERROR(__xludf.DUMMYFUNCTION("QUERY('Volunteer Survey'!D917)"),"")</f>
        <v/>
      </c>
      <c r="AD918" s="183" t="str">
        <f>IFERROR(__xludf.DUMMYFUNCTION("QUERY('Volunteer Survey'!E917)"),"")</f>
        <v/>
      </c>
      <c r="AE918" s="183" t="str">
        <f>IFERROR(__xludf.DUMMYFUNCTION("QUERY('Volunteer Survey'!F917)"),"")</f>
        <v/>
      </c>
      <c r="AF918" s="183" t="str">
        <f>IFERROR(__xludf.DUMMYFUNCTION("QUERY('Volunteer Survey'!G917)"),"")</f>
        <v/>
      </c>
      <c r="AG918" s="183" t="str">
        <f>IFERROR(__xludf.DUMMYFUNCTION("QUERY('Volunteer Survey'!H917)"),"")</f>
        <v/>
      </c>
      <c r="AH918" s="183" t="str">
        <f>IFERROR(__xludf.DUMMYFUNCTION("QUERY('Volunteer Survey'!I917)"),"")</f>
        <v/>
      </c>
      <c r="AI918" s="183" t="str">
        <f>IFERROR(__xludf.DUMMYFUNCTION("QUERY('Volunteer Survey'!J917)"),"")</f>
        <v/>
      </c>
      <c r="AJ918" s="183" t="str">
        <f>IFERROR(__xludf.DUMMYFUNCTION("QUERY('Volunteer Survey'!K917)"),"")</f>
        <v/>
      </c>
      <c r="AK918" s="183" t="str">
        <f>IFERROR(__xludf.DUMMYFUNCTION("QUERY('Volunteer Survey'!L917)"),"")</f>
        <v/>
      </c>
      <c r="AL918" s="183" t="str">
        <f>IFERROR(__xludf.DUMMYFUNCTION("QUERY('Volunteer Survey'!M917)"),"")</f>
        <v/>
      </c>
      <c r="AM918" s="183" t="str">
        <f>IFERROR(__xludf.DUMMYFUNCTION("QUERY('Volunteer Survey'!N917)"),"")</f>
        <v/>
      </c>
      <c r="AN918" s="183" t="str">
        <f>IFERROR(__xludf.DUMMYFUNCTION("QUERY('Volunteer Survey'!O917)"),"")</f>
        <v/>
      </c>
      <c r="AO918" s="183" t="str">
        <f>IFERROR(__xludf.DUMMYFUNCTION("QUERY('Volunteer Survey'!P917)"),"")</f>
        <v/>
      </c>
    </row>
    <row r="919">
      <c r="A919" s="55"/>
      <c r="B919" s="55"/>
      <c r="C919" s="53"/>
      <c r="D919" s="55"/>
      <c r="E919" s="55"/>
      <c r="F919" s="55" t="b">
        <v>0</v>
      </c>
      <c r="G919" s="55"/>
      <c r="H919" s="53"/>
      <c r="I919" s="53"/>
      <c r="J919" s="55"/>
      <c r="K919" s="55"/>
      <c r="L919" s="55"/>
      <c r="M919" s="55"/>
      <c r="N919" s="55"/>
      <c r="O919" s="55" t="b">
        <v>0</v>
      </c>
      <c r="P919" s="55"/>
      <c r="Q919" s="55"/>
      <c r="R919" s="55"/>
      <c r="S919" s="55"/>
      <c r="T919" s="55"/>
      <c r="U919" s="64"/>
      <c r="V919" s="55"/>
      <c r="W919" s="64"/>
      <c r="X919" s="55"/>
      <c r="Y919" s="53"/>
      <c r="Z919" s="183" t="str">
        <f>IFERROR(__xludf.DUMMYFUNCTION("QUERY('Volunteer Survey'!A918)"),"")</f>
        <v/>
      </c>
      <c r="AA919" s="183" t="str">
        <f>IFERROR(__xludf.DUMMYFUNCTION("QUERY('Volunteer Survey'!B918)"),"")</f>
        <v/>
      </c>
      <c r="AB919" s="183" t="str">
        <f>IFERROR(__xludf.DUMMYFUNCTION("QUERY('Volunteer Survey'!C918)"),"")</f>
        <v/>
      </c>
      <c r="AC919" s="183" t="str">
        <f>IFERROR(__xludf.DUMMYFUNCTION("QUERY('Volunteer Survey'!D918)"),"")</f>
        <v/>
      </c>
      <c r="AD919" s="183" t="str">
        <f>IFERROR(__xludf.DUMMYFUNCTION("QUERY('Volunteer Survey'!E918)"),"")</f>
        <v/>
      </c>
      <c r="AE919" s="183" t="str">
        <f>IFERROR(__xludf.DUMMYFUNCTION("QUERY('Volunteer Survey'!F918)"),"")</f>
        <v/>
      </c>
      <c r="AF919" s="183" t="str">
        <f>IFERROR(__xludf.DUMMYFUNCTION("QUERY('Volunteer Survey'!G918)"),"")</f>
        <v/>
      </c>
      <c r="AG919" s="183" t="str">
        <f>IFERROR(__xludf.DUMMYFUNCTION("QUERY('Volunteer Survey'!H918)"),"")</f>
        <v/>
      </c>
      <c r="AH919" s="183" t="str">
        <f>IFERROR(__xludf.DUMMYFUNCTION("QUERY('Volunteer Survey'!I918)"),"")</f>
        <v/>
      </c>
      <c r="AI919" s="183" t="str">
        <f>IFERROR(__xludf.DUMMYFUNCTION("QUERY('Volunteer Survey'!J918)"),"")</f>
        <v/>
      </c>
      <c r="AJ919" s="183" t="str">
        <f>IFERROR(__xludf.DUMMYFUNCTION("QUERY('Volunteer Survey'!K918)"),"")</f>
        <v/>
      </c>
      <c r="AK919" s="183" t="str">
        <f>IFERROR(__xludf.DUMMYFUNCTION("QUERY('Volunteer Survey'!L918)"),"")</f>
        <v/>
      </c>
      <c r="AL919" s="183" t="str">
        <f>IFERROR(__xludf.DUMMYFUNCTION("QUERY('Volunteer Survey'!M918)"),"")</f>
        <v/>
      </c>
      <c r="AM919" s="183" t="str">
        <f>IFERROR(__xludf.DUMMYFUNCTION("QUERY('Volunteer Survey'!N918)"),"")</f>
        <v/>
      </c>
      <c r="AN919" s="183" t="str">
        <f>IFERROR(__xludf.DUMMYFUNCTION("QUERY('Volunteer Survey'!O918)"),"")</f>
        <v/>
      </c>
      <c r="AO919" s="183" t="str">
        <f>IFERROR(__xludf.DUMMYFUNCTION("QUERY('Volunteer Survey'!P918)"),"")</f>
        <v/>
      </c>
    </row>
    <row r="920">
      <c r="A920" s="55"/>
      <c r="B920" s="55"/>
      <c r="C920" s="53"/>
      <c r="D920" s="55"/>
      <c r="E920" s="55"/>
      <c r="F920" s="55" t="b">
        <v>0</v>
      </c>
      <c r="G920" s="55"/>
      <c r="H920" s="53"/>
      <c r="I920" s="53"/>
      <c r="J920" s="55"/>
      <c r="K920" s="55"/>
      <c r="L920" s="55"/>
      <c r="M920" s="55"/>
      <c r="N920" s="55"/>
      <c r="O920" s="55" t="b">
        <v>0</v>
      </c>
      <c r="P920" s="55"/>
      <c r="Q920" s="55"/>
      <c r="R920" s="55"/>
      <c r="S920" s="55"/>
      <c r="T920" s="55"/>
      <c r="U920" s="64"/>
      <c r="V920" s="55"/>
      <c r="W920" s="64"/>
      <c r="X920" s="55"/>
      <c r="Y920" s="53"/>
      <c r="Z920" s="183" t="str">
        <f>IFERROR(__xludf.DUMMYFUNCTION("QUERY('Volunteer Survey'!A919)"),"")</f>
        <v/>
      </c>
      <c r="AA920" s="183" t="str">
        <f>IFERROR(__xludf.DUMMYFUNCTION("QUERY('Volunteer Survey'!B919)"),"")</f>
        <v/>
      </c>
      <c r="AB920" s="183" t="str">
        <f>IFERROR(__xludf.DUMMYFUNCTION("QUERY('Volunteer Survey'!C919)"),"")</f>
        <v/>
      </c>
      <c r="AC920" s="183" t="str">
        <f>IFERROR(__xludf.DUMMYFUNCTION("QUERY('Volunteer Survey'!D919)"),"")</f>
        <v/>
      </c>
      <c r="AD920" s="183" t="str">
        <f>IFERROR(__xludf.DUMMYFUNCTION("QUERY('Volunteer Survey'!E919)"),"")</f>
        <v/>
      </c>
      <c r="AE920" s="183" t="str">
        <f>IFERROR(__xludf.DUMMYFUNCTION("QUERY('Volunteer Survey'!F919)"),"")</f>
        <v/>
      </c>
      <c r="AF920" s="183" t="str">
        <f>IFERROR(__xludf.DUMMYFUNCTION("QUERY('Volunteer Survey'!G919)"),"")</f>
        <v/>
      </c>
      <c r="AG920" s="183" t="str">
        <f>IFERROR(__xludf.DUMMYFUNCTION("QUERY('Volunteer Survey'!H919)"),"")</f>
        <v/>
      </c>
      <c r="AH920" s="183" t="str">
        <f>IFERROR(__xludf.DUMMYFUNCTION("QUERY('Volunteer Survey'!I919)"),"")</f>
        <v/>
      </c>
      <c r="AI920" s="183" t="str">
        <f>IFERROR(__xludf.DUMMYFUNCTION("QUERY('Volunteer Survey'!J919)"),"")</f>
        <v/>
      </c>
      <c r="AJ920" s="183" t="str">
        <f>IFERROR(__xludf.DUMMYFUNCTION("QUERY('Volunteer Survey'!K919)"),"")</f>
        <v/>
      </c>
      <c r="AK920" s="183" t="str">
        <f>IFERROR(__xludf.DUMMYFUNCTION("QUERY('Volunteer Survey'!L919)"),"")</f>
        <v/>
      </c>
      <c r="AL920" s="183" t="str">
        <f>IFERROR(__xludf.DUMMYFUNCTION("QUERY('Volunteer Survey'!M919)"),"")</f>
        <v/>
      </c>
      <c r="AM920" s="183" t="str">
        <f>IFERROR(__xludf.DUMMYFUNCTION("QUERY('Volunteer Survey'!N919)"),"")</f>
        <v/>
      </c>
      <c r="AN920" s="183" t="str">
        <f>IFERROR(__xludf.DUMMYFUNCTION("QUERY('Volunteer Survey'!O919)"),"")</f>
        <v/>
      </c>
      <c r="AO920" s="183" t="str">
        <f>IFERROR(__xludf.DUMMYFUNCTION("QUERY('Volunteer Survey'!P919)"),"")</f>
        <v/>
      </c>
    </row>
    <row r="921">
      <c r="A921" s="55"/>
      <c r="B921" s="55"/>
      <c r="C921" s="53"/>
      <c r="D921" s="55"/>
      <c r="E921" s="55"/>
      <c r="F921" s="55" t="b">
        <v>0</v>
      </c>
      <c r="G921" s="55"/>
      <c r="H921" s="53"/>
      <c r="I921" s="53"/>
      <c r="J921" s="55"/>
      <c r="K921" s="55"/>
      <c r="L921" s="55"/>
      <c r="M921" s="55"/>
      <c r="N921" s="55"/>
      <c r="O921" s="55" t="b">
        <v>0</v>
      </c>
      <c r="P921" s="55"/>
      <c r="Q921" s="55"/>
      <c r="R921" s="55"/>
      <c r="S921" s="55"/>
      <c r="T921" s="55"/>
      <c r="U921" s="64"/>
      <c r="V921" s="55"/>
      <c r="W921" s="64"/>
      <c r="X921" s="55"/>
      <c r="Y921" s="53"/>
      <c r="Z921" s="183" t="str">
        <f>IFERROR(__xludf.DUMMYFUNCTION("QUERY('Volunteer Survey'!A920)"),"")</f>
        <v/>
      </c>
      <c r="AA921" s="183" t="str">
        <f>IFERROR(__xludf.DUMMYFUNCTION("QUERY('Volunteer Survey'!B920)"),"")</f>
        <v/>
      </c>
      <c r="AB921" s="183" t="str">
        <f>IFERROR(__xludf.DUMMYFUNCTION("QUERY('Volunteer Survey'!C920)"),"")</f>
        <v/>
      </c>
      <c r="AC921" s="183" t="str">
        <f>IFERROR(__xludf.DUMMYFUNCTION("QUERY('Volunteer Survey'!D920)"),"")</f>
        <v/>
      </c>
      <c r="AD921" s="183" t="str">
        <f>IFERROR(__xludf.DUMMYFUNCTION("QUERY('Volunteer Survey'!E920)"),"")</f>
        <v/>
      </c>
      <c r="AE921" s="183" t="str">
        <f>IFERROR(__xludf.DUMMYFUNCTION("QUERY('Volunteer Survey'!F920)"),"")</f>
        <v/>
      </c>
      <c r="AF921" s="183" t="str">
        <f>IFERROR(__xludf.DUMMYFUNCTION("QUERY('Volunteer Survey'!G920)"),"")</f>
        <v/>
      </c>
      <c r="AG921" s="183" t="str">
        <f>IFERROR(__xludf.DUMMYFUNCTION("QUERY('Volunteer Survey'!H920)"),"")</f>
        <v/>
      </c>
      <c r="AH921" s="183" t="str">
        <f>IFERROR(__xludf.DUMMYFUNCTION("QUERY('Volunteer Survey'!I920)"),"")</f>
        <v/>
      </c>
      <c r="AI921" s="183" t="str">
        <f>IFERROR(__xludf.DUMMYFUNCTION("QUERY('Volunteer Survey'!J920)"),"")</f>
        <v/>
      </c>
      <c r="AJ921" s="183" t="str">
        <f>IFERROR(__xludf.DUMMYFUNCTION("QUERY('Volunteer Survey'!K920)"),"")</f>
        <v/>
      </c>
      <c r="AK921" s="183" t="str">
        <f>IFERROR(__xludf.DUMMYFUNCTION("QUERY('Volunteer Survey'!L920)"),"")</f>
        <v/>
      </c>
      <c r="AL921" s="183" t="str">
        <f>IFERROR(__xludf.DUMMYFUNCTION("QUERY('Volunteer Survey'!M920)"),"")</f>
        <v/>
      </c>
      <c r="AM921" s="183" t="str">
        <f>IFERROR(__xludf.DUMMYFUNCTION("QUERY('Volunteer Survey'!N920)"),"")</f>
        <v/>
      </c>
      <c r="AN921" s="183" t="str">
        <f>IFERROR(__xludf.DUMMYFUNCTION("QUERY('Volunteer Survey'!O920)"),"")</f>
        <v/>
      </c>
      <c r="AO921" s="183" t="str">
        <f>IFERROR(__xludf.DUMMYFUNCTION("QUERY('Volunteer Survey'!P920)"),"")</f>
        <v/>
      </c>
    </row>
    <row r="922">
      <c r="A922" s="55"/>
      <c r="B922" s="55"/>
      <c r="C922" s="53"/>
      <c r="D922" s="55"/>
      <c r="E922" s="55"/>
      <c r="F922" s="55" t="b">
        <v>0</v>
      </c>
      <c r="G922" s="55"/>
      <c r="H922" s="53"/>
      <c r="I922" s="53"/>
      <c r="J922" s="55"/>
      <c r="K922" s="55"/>
      <c r="L922" s="55"/>
      <c r="M922" s="55"/>
      <c r="N922" s="55"/>
      <c r="O922" s="55" t="b">
        <v>0</v>
      </c>
      <c r="P922" s="55"/>
      <c r="Q922" s="55"/>
      <c r="R922" s="55"/>
      <c r="S922" s="55"/>
      <c r="T922" s="55"/>
      <c r="U922" s="64"/>
      <c r="V922" s="55"/>
      <c r="W922" s="64"/>
      <c r="X922" s="55"/>
      <c r="Y922" s="53"/>
      <c r="Z922" s="183" t="str">
        <f>IFERROR(__xludf.DUMMYFUNCTION("QUERY('Volunteer Survey'!A921)"),"")</f>
        <v/>
      </c>
      <c r="AA922" s="183" t="str">
        <f>IFERROR(__xludf.DUMMYFUNCTION("QUERY('Volunteer Survey'!B921)"),"")</f>
        <v/>
      </c>
      <c r="AB922" s="183" t="str">
        <f>IFERROR(__xludf.DUMMYFUNCTION("QUERY('Volunteer Survey'!C921)"),"")</f>
        <v/>
      </c>
      <c r="AC922" s="183" t="str">
        <f>IFERROR(__xludf.DUMMYFUNCTION("QUERY('Volunteer Survey'!D921)"),"")</f>
        <v/>
      </c>
      <c r="AD922" s="183" t="str">
        <f>IFERROR(__xludf.DUMMYFUNCTION("QUERY('Volunteer Survey'!E921)"),"")</f>
        <v/>
      </c>
      <c r="AE922" s="183" t="str">
        <f>IFERROR(__xludf.DUMMYFUNCTION("QUERY('Volunteer Survey'!F921)"),"")</f>
        <v/>
      </c>
      <c r="AF922" s="183" t="str">
        <f>IFERROR(__xludf.DUMMYFUNCTION("QUERY('Volunteer Survey'!G921)"),"")</f>
        <v/>
      </c>
      <c r="AG922" s="183" t="str">
        <f>IFERROR(__xludf.DUMMYFUNCTION("QUERY('Volunteer Survey'!H921)"),"")</f>
        <v/>
      </c>
      <c r="AH922" s="183" t="str">
        <f>IFERROR(__xludf.DUMMYFUNCTION("QUERY('Volunteer Survey'!I921)"),"")</f>
        <v/>
      </c>
      <c r="AI922" s="183" t="str">
        <f>IFERROR(__xludf.DUMMYFUNCTION("QUERY('Volunteer Survey'!J921)"),"")</f>
        <v/>
      </c>
      <c r="AJ922" s="183" t="str">
        <f>IFERROR(__xludf.DUMMYFUNCTION("QUERY('Volunteer Survey'!K921)"),"")</f>
        <v/>
      </c>
      <c r="AK922" s="183" t="str">
        <f>IFERROR(__xludf.DUMMYFUNCTION("QUERY('Volunteer Survey'!L921)"),"")</f>
        <v/>
      </c>
      <c r="AL922" s="183" t="str">
        <f>IFERROR(__xludf.DUMMYFUNCTION("QUERY('Volunteer Survey'!M921)"),"")</f>
        <v/>
      </c>
      <c r="AM922" s="183" t="str">
        <f>IFERROR(__xludf.DUMMYFUNCTION("QUERY('Volunteer Survey'!N921)"),"")</f>
        <v/>
      </c>
      <c r="AN922" s="183" t="str">
        <f>IFERROR(__xludf.DUMMYFUNCTION("QUERY('Volunteer Survey'!O921)"),"")</f>
        <v/>
      </c>
      <c r="AO922" s="183" t="str">
        <f>IFERROR(__xludf.DUMMYFUNCTION("QUERY('Volunteer Survey'!P921)"),"")</f>
        <v/>
      </c>
    </row>
    <row r="923">
      <c r="A923" s="55"/>
      <c r="B923" s="55"/>
      <c r="C923" s="53"/>
      <c r="D923" s="55"/>
      <c r="E923" s="55"/>
      <c r="F923" s="55" t="b">
        <v>0</v>
      </c>
      <c r="G923" s="55"/>
      <c r="H923" s="53"/>
      <c r="I923" s="53"/>
      <c r="J923" s="55"/>
      <c r="K923" s="55"/>
      <c r="L923" s="55"/>
      <c r="M923" s="55"/>
      <c r="N923" s="55"/>
      <c r="O923" s="55" t="b">
        <v>0</v>
      </c>
      <c r="P923" s="55"/>
      <c r="Q923" s="55"/>
      <c r="R923" s="55"/>
      <c r="S923" s="55"/>
      <c r="T923" s="55"/>
      <c r="U923" s="64"/>
      <c r="V923" s="55"/>
      <c r="W923" s="64"/>
      <c r="X923" s="55"/>
      <c r="Y923" s="53"/>
      <c r="Z923" s="183" t="str">
        <f>IFERROR(__xludf.DUMMYFUNCTION("QUERY('Volunteer Survey'!A922)"),"")</f>
        <v/>
      </c>
      <c r="AA923" s="183" t="str">
        <f>IFERROR(__xludf.DUMMYFUNCTION("QUERY('Volunteer Survey'!B922)"),"")</f>
        <v/>
      </c>
      <c r="AB923" s="183" t="str">
        <f>IFERROR(__xludf.DUMMYFUNCTION("QUERY('Volunteer Survey'!C922)"),"")</f>
        <v/>
      </c>
      <c r="AC923" s="183" t="str">
        <f>IFERROR(__xludf.DUMMYFUNCTION("QUERY('Volunteer Survey'!D922)"),"")</f>
        <v/>
      </c>
      <c r="AD923" s="183" t="str">
        <f>IFERROR(__xludf.DUMMYFUNCTION("QUERY('Volunteer Survey'!E922)"),"")</f>
        <v/>
      </c>
      <c r="AE923" s="183" t="str">
        <f>IFERROR(__xludf.DUMMYFUNCTION("QUERY('Volunteer Survey'!F922)"),"")</f>
        <v/>
      </c>
      <c r="AF923" s="183" t="str">
        <f>IFERROR(__xludf.DUMMYFUNCTION("QUERY('Volunteer Survey'!G922)"),"")</f>
        <v/>
      </c>
      <c r="AG923" s="183" t="str">
        <f>IFERROR(__xludf.DUMMYFUNCTION("QUERY('Volunteer Survey'!H922)"),"")</f>
        <v/>
      </c>
      <c r="AH923" s="183" t="str">
        <f>IFERROR(__xludf.DUMMYFUNCTION("QUERY('Volunteer Survey'!I922)"),"")</f>
        <v/>
      </c>
      <c r="AI923" s="183" t="str">
        <f>IFERROR(__xludf.DUMMYFUNCTION("QUERY('Volunteer Survey'!J922)"),"")</f>
        <v/>
      </c>
      <c r="AJ923" s="183" t="str">
        <f>IFERROR(__xludf.DUMMYFUNCTION("QUERY('Volunteer Survey'!K922)"),"")</f>
        <v/>
      </c>
      <c r="AK923" s="183" t="str">
        <f>IFERROR(__xludf.DUMMYFUNCTION("QUERY('Volunteer Survey'!L922)"),"")</f>
        <v/>
      </c>
      <c r="AL923" s="183" t="str">
        <f>IFERROR(__xludf.DUMMYFUNCTION("QUERY('Volunteer Survey'!M922)"),"")</f>
        <v/>
      </c>
      <c r="AM923" s="183" t="str">
        <f>IFERROR(__xludf.DUMMYFUNCTION("QUERY('Volunteer Survey'!N922)"),"")</f>
        <v/>
      </c>
      <c r="AN923" s="183" t="str">
        <f>IFERROR(__xludf.DUMMYFUNCTION("QUERY('Volunteer Survey'!O922)"),"")</f>
        <v/>
      </c>
      <c r="AO923" s="183" t="str">
        <f>IFERROR(__xludf.DUMMYFUNCTION("QUERY('Volunteer Survey'!P922)"),"")</f>
        <v/>
      </c>
    </row>
    <row r="924">
      <c r="A924" s="55"/>
      <c r="B924" s="55"/>
      <c r="C924" s="53"/>
      <c r="D924" s="55"/>
      <c r="E924" s="55"/>
      <c r="F924" s="55" t="b">
        <v>0</v>
      </c>
      <c r="G924" s="55"/>
      <c r="H924" s="53"/>
      <c r="I924" s="53"/>
      <c r="J924" s="55"/>
      <c r="K924" s="55"/>
      <c r="L924" s="55"/>
      <c r="M924" s="55"/>
      <c r="N924" s="55"/>
      <c r="O924" s="55" t="b">
        <v>0</v>
      </c>
      <c r="P924" s="55"/>
      <c r="Q924" s="55"/>
      <c r="R924" s="55"/>
      <c r="S924" s="55"/>
      <c r="T924" s="55"/>
      <c r="U924" s="64"/>
      <c r="V924" s="55"/>
      <c r="W924" s="64"/>
      <c r="X924" s="55"/>
      <c r="Y924" s="53"/>
      <c r="Z924" s="183" t="str">
        <f>IFERROR(__xludf.DUMMYFUNCTION("QUERY('Volunteer Survey'!A923)"),"")</f>
        <v/>
      </c>
      <c r="AA924" s="183" t="str">
        <f>IFERROR(__xludf.DUMMYFUNCTION("QUERY('Volunteer Survey'!B923)"),"")</f>
        <v/>
      </c>
      <c r="AB924" s="183" t="str">
        <f>IFERROR(__xludf.DUMMYFUNCTION("QUERY('Volunteer Survey'!C923)"),"")</f>
        <v/>
      </c>
      <c r="AC924" s="183" t="str">
        <f>IFERROR(__xludf.DUMMYFUNCTION("QUERY('Volunteer Survey'!D923)"),"")</f>
        <v/>
      </c>
      <c r="AD924" s="183" t="str">
        <f>IFERROR(__xludf.DUMMYFUNCTION("QUERY('Volunteer Survey'!E923)"),"")</f>
        <v/>
      </c>
      <c r="AE924" s="183" t="str">
        <f>IFERROR(__xludf.DUMMYFUNCTION("QUERY('Volunteer Survey'!F923)"),"")</f>
        <v/>
      </c>
      <c r="AF924" s="183" t="str">
        <f>IFERROR(__xludf.DUMMYFUNCTION("QUERY('Volunteer Survey'!G923)"),"")</f>
        <v/>
      </c>
      <c r="AG924" s="183" t="str">
        <f>IFERROR(__xludf.DUMMYFUNCTION("QUERY('Volunteer Survey'!H923)"),"")</f>
        <v/>
      </c>
      <c r="AH924" s="183" t="str">
        <f>IFERROR(__xludf.DUMMYFUNCTION("QUERY('Volunteer Survey'!I923)"),"")</f>
        <v/>
      </c>
      <c r="AI924" s="183" t="str">
        <f>IFERROR(__xludf.DUMMYFUNCTION("QUERY('Volunteer Survey'!J923)"),"")</f>
        <v/>
      </c>
      <c r="AJ924" s="183" t="str">
        <f>IFERROR(__xludf.DUMMYFUNCTION("QUERY('Volunteer Survey'!K923)"),"")</f>
        <v/>
      </c>
      <c r="AK924" s="183" t="str">
        <f>IFERROR(__xludf.DUMMYFUNCTION("QUERY('Volunteer Survey'!L923)"),"")</f>
        <v/>
      </c>
      <c r="AL924" s="183" t="str">
        <f>IFERROR(__xludf.DUMMYFUNCTION("QUERY('Volunteer Survey'!M923)"),"")</f>
        <v/>
      </c>
      <c r="AM924" s="183" t="str">
        <f>IFERROR(__xludf.DUMMYFUNCTION("QUERY('Volunteer Survey'!N923)"),"")</f>
        <v/>
      </c>
      <c r="AN924" s="183" t="str">
        <f>IFERROR(__xludf.DUMMYFUNCTION("QUERY('Volunteer Survey'!O923)"),"")</f>
        <v/>
      </c>
      <c r="AO924" s="183" t="str">
        <f>IFERROR(__xludf.DUMMYFUNCTION("QUERY('Volunteer Survey'!P923)"),"")</f>
        <v/>
      </c>
    </row>
    <row r="925">
      <c r="A925" s="55"/>
      <c r="B925" s="55"/>
      <c r="C925" s="53"/>
      <c r="D925" s="55"/>
      <c r="E925" s="55"/>
      <c r="F925" s="55" t="b">
        <v>0</v>
      </c>
      <c r="G925" s="55"/>
      <c r="H925" s="53"/>
      <c r="I925" s="53"/>
      <c r="J925" s="55"/>
      <c r="K925" s="55"/>
      <c r="L925" s="55"/>
      <c r="M925" s="55"/>
      <c r="N925" s="55"/>
      <c r="O925" s="55" t="b">
        <v>0</v>
      </c>
      <c r="P925" s="55"/>
      <c r="Q925" s="55"/>
      <c r="R925" s="55"/>
      <c r="S925" s="55"/>
      <c r="T925" s="55"/>
      <c r="U925" s="64"/>
      <c r="V925" s="55"/>
      <c r="W925" s="64"/>
      <c r="X925" s="55"/>
      <c r="Y925" s="53"/>
      <c r="Z925" s="183" t="str">
        <f>IFERROR(__xludf.DUMMYFUNCTION("QUERY('Volunteer Survey'!A924)"),"")</f>
        <v/>
      </c>
      <c r="AA925" s="183" t="str">
        <f>IFERROR(__xludf.DUMMYFUNCTION("QUERY('Volunteer Survey'!B924)"),"")</f>
        <v/>
      </c>
      <c r="AB925" s="183" t="str">
        <f>IFERROR(__xludf.DUMMYFUNCTION("QUERY('Volunteer Survey'!C924)"),"")</f>
        <v/>
      </c>
      <c r="AC925" s="183" t="str">
        <f>IFERROR(__xludf.DUMMYFUNCTION("QUERY('Volunteer Survey'!D924)"),"")</f>
        <v/>
      </c>
      <c r="AD925" s="183" t="str">
        <f>IFERROR(__xludf.DUMMYFUNCTION("QUERY('Volunteer Survey'!E924)"),"")</f>
        <v/>
      </c>
      <c r="AE925" s="183" t="str">
        <f>IFERROR(__xludf.DUMMYFUNCTION("QUERY('Volunteer Survey'!F924)"),"")</f>
        <v/>
      </c>
      <c r="AF925" s="183" t="str">
        <f>IFERROR(__xludf.DUMMYFUNCTION("QUERY('Volunteer Survey'!G924)"),"")</f>
        <v/>
      </c>
      <c r="AG925" s="183" t="str">
        <f>IFERROR(__xludf.DUMMYFUNCTION("QUERY('Volunteer Survey'!H924)"),"")</f>
        <v/>
      </c>
      <c r="AH925" s="183" t="str">
        <f>IFERROR(__xludf.DUMMYFUNCTION("QUERY('Volunteer Survey'!I924)"),"")</f>
        <v/>
      </c>
      <c r="AI925" s="183" t="str">
        <f>IFERROR(__xludf.DUMMYFUNCTION("QUERY('Volunteer Survey'!J924)"),"")</f>
        <v/>
      </c>
      <c r="AJ925" s="183" t="str">
        <f>IFERROR(__xludf.DUMMYFUNCTION("QUERY('Volunteer Survey'!K924)"),"")</f>
        <v/>
      </c>
      <c r="AK925" s="183" t="str">
        <f>IFERROR(__xludf.DUMMYFUNCTION("QUERY('Volunteer Survey'!L924)"),"")</f>
        <v/>
      </c>
      <c r="AL925" s="183" t="str">
        <f>IFERROR(__xludf.DUMMYFUNCTION("QUERY('Volunteer Survey'!M924)"),"")</f>
        <v/>
      </c>
      <c r="AM925" s="183" t="str">
        <f>IFERROR(__xludf.DUMMYFUNCTION("QUERY('Volunteer Survey'!N924)"),"")</f>
        <v/>
      </c>
      <c r="AN925" s="183" t="str">
        <f>IFERROR(__xludf.DUMMYFUNCTION("QUERY('Volunteer Survey'!O924)"),"")</f>
        <v/>
      </c>
      <c r="AO925" s="183" t="str">
        <f>IFERROR(__xludf.DUMMYFUNCTION("QUERY('Volunteer Survey'!P924)"),"")</f>
        <v/>
      </c>
    </row>
    <row r="926">
      <c r="A926" s="55"/>
      <c r="B926" s="55"/>
      <c r="C926" s="53"/>
      <c r="D926" s="55"/>
      <c r="E926" s="55"/>
      <c r="F926" s="55" t="b">
        <v>0</v>
      </c>
      <c r="G926" s="55"/>
      <c r="H926" s="53"/>
      <c r="I926" s="53"/>
      <c r="J926" s="55"/>
      <c r="K926" s="55"/>
      <c r="L926" s="55"/>
      <c r="M926" s="55"/>
      <c r="N926" s="55"/>
      <c r="O926" s="55" t="b">
        <v>0</v>
      </c>
      <c r="P926" s="55"/>
      <c r="Q926" s="55"/>
      <c r="R926" s="55"/>
      <c r="S926" s="55"/>
      <c r="T926" s="55"/>
      <c r="U926" s="64"/>
      <c r="V926" s="55"/>
      <c r="W926" s="64"/>
      <c r="X926" s="55"/>
      <c r="Y926" s="53"/>
      <c r="Z926" s="183" t="str">
        <f>IFERROR(__xludf.DUMMYFUNCTION("QUERY('Volunteer Survey'!A925)"),"")</f>
        <v/>
      </c>
      <c r="AA926" s="183" t="str">
        <f>IFERROR(__xludf.DUMMYFUNCTION("QUERY('Volunteer Survey'!B925)"),"")</f>
        <v/>
      </c>
      <c r="AB926" s="183" t="str">
        <f>IFERROR(__xludf.DUMMYFUNCTION("QUERY('Volunteer Survey'!C925)"),"")</f>
        <v/>
      </c>
      <c r="AC926" s="183" t="str">
        <f>IFERROR(__xludf.DUMMYFUNCTION("QUERY('Volunteer Survey'!D925)"),"")</f>
        <v/>
      </c>
      <c r="AD926" s="183" t="str">
        <f>IFERROR(__xludf.DUMMYFUNCTION("QUERY('Volunteer Survey'!E925)"),"")</f>
        <v/>
      </c>
      <c r="AE926" s="183" t="str">
        <f>IFERROR(__xludf.DUMMYFUNCTION("QUERY('Volunteer Survey'!F925)"),"")</f>
        <v/>
      </c>
      <c r="AF926" s="183" t="str">
        <f>IFERROR(__xludf.DUMMYFUNCTION("QUERY('Volunteer Survey'!G925)"),"")</f>
        <v/>
      </c>
      <c r="AG926" s="183" t="str">
        <f>IFERROR(__xludf.DUMMYFUNCTION("QUERY('Volunteer Survey'!H925)"),"")</f>
        <v/>
      </c>
      <c r="AH926" s="183" t="str">
        <f>IFERROR(__xludf.DUMMYFUNCTION("QUERY('Volunteer Survey'!I925)"),"")</f>
        <v/>
      </c>
      <c r="AI926" s="183" t="str">
        <f>IFERROR(__xludf.DUMMYFUNCTION("QUERY('Volunteer Survey'!J925)"),"")</f>
        <v/>
      </c>
      <c r="AJ926" s="183" t="str">
        <f>IFERROR(__xludf.DUMMYFUNCTION("QUERY('Volunteer Survey'!K925)"),"")</f>
        <v/>
      </c>
      <c r="AK926" s="183" t="str">
        <f>IFERROR(__xludf.DUMMYFUNCTION("QUERY('Volunteer Survey'!L925)"),"")</f>
        <v/>
      </c>
      <c r="AL926" s="183" t="str">
        <f>IFERROR(__xludf.DUMMYFUNCTION("QUERY('Volunteer Survey'!M925)"),"")</f>
        <v/>
      </c>
      <c r="AM926" s="183" t="str">
        <f>IFERROR(__xludf.DUMMYFUNCTION("QUERY('Volunteer Survey'!N925)"),"")</f>
        <v/>
      </c>
      <c r="AN926" s="183" t="str">
        <f>IFERROR(__xludf.DUMMYFUNCTION("QUERY('Volunteer Survey'!O925)"),"")</f>
        <v/>
      </c>
      <c r="AO926" s="183" t="str">
        <f>IFERROR(__xludf.DUMMYFUNCTION("QUERY('Volunteer Survey'!P925)"),"")</f>
        <v/>
      </c>
    </row>
    <row r="927">
      <c r="A927" s="55"/>
      <c r="B927" s="55"/>
      <c r="C927" s="53"/>
      <c r="D927" s="55"/>
      <c r="E927" s="55"/>
      <c r="F927" s="55" t="b">
        <v>0</v>
      </c>
      <c r="G927" s="55"/>
      <c r="H927" s="53"/>
      <c r="I927" s="53"/>
      <c r="J927" s="55"/>
      <c r="K927" s="55"/>
      <c r="L927" s="55"/>
      <c r="M927" s="55"/>
      <c r="N927" s="55"/>
      <c r="O927" s="55" t="b">
        <v>0</v>
      </c>
      <c r="P927" s="55"/>
      <c r="Q927" s="55"/>
      <c r="R927" s="55"/>
      <c r="S927" s="55"/>
      <c r="T927" s="55"/>
      <c r="U927" s="64"/>
      <c r="V927" s="55"/>
      <c r="W927" s="64"/>
      <c r="X927" s="55"/>
      <c r="Y927" s="53"/>
      <c r="Z927" s="183" t="str">
        <f>IFERROR(__xludf.DUMMYFUNCTION("QUERY('Volunteer Survey'!A926)"),"")</f>
        <v/>
      </c>
      <c r="AA927" s="183" t="str">
        <f>IFERROR(__xludf.DUMMYFUNCTION("QUERY('Volunteer Survey'!B926)"),"")</f>
        <v/>
      </c>
      <c r="AB927" s="183" t="str">
        <f>IFERROR(__xludf.DUMMYFUNCTION("QUERY('Volunteer Survey'!C926)"),"")</f>
        <v/>
      </c>
      <c r="AC927" s="183" t="str">
        <f>IFERROR(__xludf.DUMMYFUNCTION("QUERY('Volunteer Survey'!D926)"),"")</f>
        <v/>
      </c>
      <c r="AD927" s="183" t="str">
        <f>IFERROR(__xludf.DUMMYFUNCTION("QUERY('Volunteer Survey'!E926)"),"")</f>
        <v/>
      </c>
      <c r="AE927" s="183" t="str">
        <f>IFERROR(__xludf.DUMMYFUNCTION("QUERY('Volunteer Survey'!F926)"),"")</f>
        <v/>
      </c>
      <c r="AF927" s="183" t="str">
        <f>IFERROR(__xludf.DUMMYFUNCTION("QUERY('Volunteer Survey'!G926)"),"")</f>
        <v/>
      </c>
      <c r="AG927" s="183" t="str">
        <f>IFERROR(__xludf.DUMMYFUNCTION("QUERY('Volunteer Survey'!H926)"),"")</f>
        <v/>
      </c>
      <c r="AH927" s="183" t="str">
        <f>IFERROR(__xludf.DUMMYFUNCTION("QUERY('Volunteer Survey'!I926)"),"")</f>
        <v/>
      </c>
      <c r="AI927" s="183" t="str">
        <f>IFERROR(__xludf.DUMMYFUNCTION("QUERY('Volunteer Survey'!J926)"),"")</f>
        <v/>
      </c>
      <c r="AJ927" s="183" t="str">
        <f>IFERROR(__xludf.DUMMYFUNCTION("QUERY('Volunteer Survey'!K926)"),"")</f>
        <v/>
      </c>
      <c r="AK927" s="183" t="str">
        <f>IFERROR(__xludf.DUMMYFUNCTION("QUERY('Volunteer Survey'!L926)"),"")</f>
        <v/>
      </c>
      <c r="AL927" s="183" t="str">
        <f>IFERROR(__xludf.DUMMYFUNCTION("QUERY('Volunteer Survey'!M926)"),"")</f>
        <v/>
      </c>
      <c r="AM927" s="183" t="str">
        <f>IFERROR(__xludf.DUMMYFUNCTION("QUERY('Volunteer Survey'!N926)"),"")</f>
        <v/>
      </c>
      <c r="AN927" s="183" t="str">
        <f>IFERROR(__xludf.DUMMYFUNCTION("QUERY('Volunteer Survey'!O926)"),"")</f>
        <v/>
      </c>
      <c r="AO927" s="183" t="str">
        <f>IFERROR(__xludf.DUMMYFUNCTION("QUERY('Volunteer Survey'!P926)"),"")</f>
        <v/>
      </c>
    </row>
    <row r="928">
      <c r="A928" s="55"/>
      <c r="B928" s="55"/>
      <c r="C928" s="53"/>
      <c r="D928" s="55"/>
      <c r="E928" s="55"/>
      <c r="F928" s="55" t="b">
        <v>0</v>
      </c>
      <c r="G928" s="55"/>
      <c r="H928" s="53"/>
      <c r="I928" s="53"/>
      <c r="J928" s="55"/>
      <c r="K928" s="55"/>
      <c r="L928" s="55"/>
      <c r="M928" s="55"/>
      <c r="N928" s="55"/>
      <c r="O928" s="55" t="b">
        <v>0</v>
      </c>
      <c r="P928" s="55"/>
      <c r="Q928" s="55"/>
      <c r="R928" s="55"/>
      <c r="S928" s="55"/>
      <c r="T928" s="55"/>
      <c r="U928" s="64"/>
      <c r="V928" s="55"/>
      <c r="W928" s="64"/>
      <c r="X928" s="55"/>
      <c r="Y928" s="53"/>
      <c r="Z928" s="183" t="str">
        <f>IFERROR(__xludf.DUMMYFUNCTION("QUERY('Volunteer Survey'!A927)"),"")</f>
        <v/>
      </c>
      <c r="AA928" s="183" t="str">
        <f>IFERROR(__xludf.DUMMYFUNCTION("QUERY('Volunteer Survey'!B927)"),"")</f>
        <v/>
      </c>
      <c r="AB928" s="183" t="str">
        <f>IFERROR(__xludf.DUMMYFUNCTION("QUERY('Volunteer Survey'!C927)"),"")</f>
        <v/>
      </c>
      <c r="AC928" s="183" t="str">
        <f>IFERROR(__xludf.DUMMYFUNCTION("QUERY('Volunteer Survey'!D927)"),"")</f>
        <v/>
      </c>
      <c r="AD928" s="183" t="str">
        <f>IFERROR(__xludf.DUMMYFUNCTION("QUERY('Volunteer Survey'!E927)"),"")</f>
        <v/>
      </c>
      <c r="AE928" s="183" t="str">
        <f>IFERROR(__xludf.DUMMYFUNCTION("QUERY('Volunteer Survey'!F927)"),"")</f>
        <v/>
      </c>
      <c r="AF928" s="183" t="str">
        <f>IFERROR(__xludf.DUMMYFUNCTION("QUERY('Volunteer Survey'!G927)"),"")</f>
        <v/>
      </c>
      <c r="AG928" s="183" t="str">
        <f>IFERROR(__xludf.DUMMYFUNCTION("QUERY('Volunteer Survey'!H927)"),"")</f>
        <v/>
      </c>
      <c r="AH928" s="183" t="str">
        <f>IFERROR(__xludf.DUMMYFUNCTION("QUERY('Volunteer Survey'!I927)"),"")</f>
        <v/>
      </c>
      <c r="AI928" s="183" t="str">
        <f>IFERROR(__xludf.DUMMYFUNCTION("QUERY('Volunteer Survey'!J927)"),"")</f>
        <v/>
      </c>
      <c r="AJ928" s="183" t="str">
        <f>IFERROR(__xludf.DUMMYFUNCTION("QUERY('Volunteer Survey'!K927)"),"")</f>
        <v/>
      </c>
      <c r="AK928" s="183" t="str">
        <f>IFERROR(__xludf.DUMMYFUNCTION("QUERY('Volunteer Survey'!L927)"),"")</f>
        <v/>
      </c>
      <c r="AL928" s="183" t="str">
        <f>IFERROR(__xludf.DUMMYFUNCTION("QUERY('Volunteer Survey'!M927)"),"")</f>
        <v/>
      </c>
      <c r="AM928" s="183" t="str">
        <f>IFERROR(__xludf.DUMMYFUNCTION("QUERY('Volunteer Survey'!N927)"),"")</f>
        <v/>
      </c>
      <c r="AN928" s="183" t="str">
        <f>IFERROR(__xludf.DUMMYFUNCTION("QUERY('Volunteer Survey'!O927)"),"")</f>
        <v/>
      </c>
      <c r="AO928" s="183" t="str">
        <f>IFERROR(__xludf.DUMMYFUNCTION("QUERY('Volunteer Survey'!P927)"),"")</f>
        <v/>
      </c>
    </row>
    <row r="929">
      <c r="A929" s="55"/>
      <c r="B929" s="55"/>
      <c r="C929" s="53"/>
      <c r="D929" s="55"/>
      <c r="E929" s="55"/>
      <c r="F929" s="55" t="b">
        <v>0</v>
      </c>
      <c r="G929" s="55"/>
      <c r="H929" s="53"/>
      <c r="I929" s="53"/>
      <c r="J929" s="55"/>
      <c r="K929" s="55"/>
      <c r="L929" s="55"/>
      <c r="M929" s="55"/>
      <c r="N929" s="55"/>
      <c r="O929" s="55" t="b">
        <v>0</v>
      </c>
      <c r="P929" s="55"/>
      <c r="Q929" s="55"/>
      <c r="R929" s="55"/>
      <c r="S929" s="55"/>
      <c r="T929" s="55"/>
      <c r="U929" s="64"/>
      <c r="V929" s="55"/>
      <c r="W929" s="64"/>
      <c r="X929" s="55"/>
      <c r="Y929" s="53"/>
      <c r="Z929" s="183" t="str">
        <f>IFERROR(__xludf.DUMMYFUNCTION("QUERY('Volunteer Survey'!A928)"),"")</f>
        <v/>
      </c>
      <c r="AA929" s="183" t="str">
        <f>IFERROR(__xludf.DUMMYFUNCTION("QUERY('Volunteer Survey'!B928)"),"")</f>
        <v/>
      </c>
      <c r="AB929" s="183" t="str">
        <f>IFERROR(__xludf.DUMMYFUNCTION("QUERY('Volunteer Survey'!C928)"),"")</f>
        <v/>
      </c>
      <c r="AC929" s="183" t="str">
        <f>IFERROR(__xludf.DUMMYFUNCTION("QUERY('Volunteer Survey'!D928)"),"")</f>
        <v/>
      </c>
      <c r="AD929" s="183" t="str">
        <f>IFERROR(__xludf.DUMMYFUNCTION("QUERY('Volunteer Survey'!E928)"),"")</f>
        <v/>
      </c>
      <c r="AE929" s="183" t="str">
        <f>IFERROR(__xludf.DUMMYFUNCTION("QUERY('Volunteer Survey'!F928)"),"")</f>
        <v/>
      </c>
      <c r="AF929" s="183" t="str">
        <f>IFERROR(__xludf.DUMMYFUNCTION("QUERY('Volunteer Survey'!G928)"),"")</f>
        <v/>
      </c>
      <c r="AG929" s="183" t="str">
        <f>IFERROR(__xludf.DUMMYFUNCTION("QUERY('Volunteer Survey'!H928)"),"")</f>
        <v/>
      </c>
      <c r="AH929" s="183" t="str">
        <f>IFERROR(__xludf.DUMMYFUNCTION("QUERY('Volunteer Survey'!I928)"),"")</f>
        <v/>
      </c>
      <c r="AI929" s="183" t="str">
        <f>IFERROR(__xludf.DUMMYFUNCTION("QUERY('Volunteer Survey'!J928)"),"")</f>
        <v/>
      </c>
      <c r="AJ929" s="183" t="str">
        <f>IFERROR(__xludf.DUMMYFUNCTION("QUERY('Volunteer Survey'!K928)"),"")</f>
        <v/>
      </c>
      <c r="AK929" s="183" t="str">
        <f>IFERROR(__xludf.DUMMYFUNCTION("QUERY('Volunteer Survey'!L928)"),"")</f>
        <v/>
      </c>
      <c r="AL929" s="183" t="str">
        <f>IFERROR(__xludf.DUMMYFUNCTION("QUERY('Volunteer Survey'!M928)"),"")</f>
        <v/>
      </c>
      <c r="AM929" s="183" t="str">
        <f>IFERROR(__xludf.DUMMYFUNCTION("QUERY('Volunteer Survey'!N928)"),"")</f>
        <v/>
      </c>
      <c r="AN929" s="183" t="str">
        <f>IFERROR(__xludf.DUMMYFUNCTION("QUERY('Volunteer Survey'!O928)"),"")</f>
        <v/>
      </c>
      <c r="AO929" s="183" t="str">
        <f>IFERROR(__xludf.DUMMYFUNCTION("QUERY('Volunteer Survey'!P928)"),"")</f>
        <v/>
      </c>
    </row>
    <row r="930">
      <c r="A930" s="55"/>
      <c r="B930" s="55"/>
      <c r="C930" s="53"/>
      <c r="D930" s="55"/>
      <c r="E930" s="55"/>
      <c r="F930" s="55" t="b">
        <v>0</v>
      </c>
      <c r="G930" s="55"/>
      <c r="H930" s="53"/>
      <c r="I930" s="53"/>
      <c r="J930" s="55"/>
      <c r="K930" s="55"/>
      <c r="L930" s="55"/>
      <c r="M930" s="55"/>
      <c r="N930" s="55"/>
      <c r="O930" s="55" t="b">
        <v>0</v>
      </c>
      <c r="P930" s="55"/>
      <c r="Q930" s="55"/>
      <c r="R930" s="55"/>
      <c r="S930" s="55"/>
      <c r="T930" s="55"/>
      <c r="U930" s="64"/>
      <c r="V930" s="55"/>
      <c r="W930" s="64"/>
      <c r="X930" s="55"/>
      <c r="Y930" s="53"/>
      <c r="Z930" s="183" t="str">
        <f>IFERROR(__xludf.DUMMYFUNCTION("QUERY('Volunteer Survey'!A929)"),"")</f>
        <v/>
      </c>
      <c r="AA930" s="183" t="str">
        <f>IFERROR(__xludf.DUMMYFUNCTION("QUERY('Volunteer Survey'!B929)"),"")</f>
        <v/>
      </c>
      <c r="AB930" s="183" t="str">
        <f>IFERROR(__xludf.DUMMYFUNCTION("QUERY('Volunteer Survey'!C929)"),"")</f>
        <v/>
      </c>
      <c r="AC930" s="183" t="str">
        <f>IFERROR(__xludf.DUMMYFUNCTION("QUERY('Volunteer Survey'!D929)"),"")</f>
        <v/>
      </c>
      <c r="AD930" s="183" t="str">
        <f>IFERROR(__xludf.DUMMYFUNCTION("QUERY('Volunteer Survey'!E929)"),"")</f>
        <v/>
      </c>
      <c r="AE930" s="183" t="str">
        <f>IFERROR(__xludf.DUMMYFUNCTION("QUERY('Volunteer Survey'!F929)"),"")</f>
        <v/>
      </c>
      <c r="AF930" s="183" t="str">
        <f>IFERROR(__xludf.DUMMYFUNCTION("QUERY('Volunteer Survey'!G929)"),"")</f>
        <v/>
      </c>
      <c r="AG930" s="183" t="str">
        <f>IFERROR(__xludf.DUMMYFUNCTION("QUERY('Volunteer Survey'!H929)"),"")</f>
        <v/>
      </c>
      <c r="AH930" s="183" t="str">
        <f>IFERROR(__xludf.DUMMYFUNCTION("QUERY('Volunteer Survey'!I929)"),"")</f>
        <v/>
      </c>
      <c r="AI930" s="183" t="str">
        <f>IFERROR(__xludf.DUMMYFUNCTION("QUERY('Volunteer Survey'!J929)"),"")</f>
        <v/>
      </c>
      <c r="AJ930" s="183" t="str">
        <f>IFERROR(__xludf.DUMMYFUNCTION("QUERY('Volunteer Survey'!K929)"),"")</f>
        <v/>
      </c>
      <c r="AK930" s="183" t="str">
        <f>IFERROR(__xludf.DUMMYFUNCTION("QUERY('Volunteer Survey'!L929)"),"")</f>
        <v/>
      </c>
      <c r="AL930" s="183" t="str">
        <f>IFERROR(__xludf.DUMMYFUNCTION("QUERY('Volunteer Survey'!M929)"),"")</f>
        <v/>
      </c>
      <c r="AM930" s="183" t="str">
        <f>IFERROR(__xludf.DUMMYFUNCTION("QUERY('Volunteer Survey'!N929)"),"")</f>
        <v/>
      </c>
      <c r="AN930" s="183" t="str">
        <f>IFERROR(__xludf.DUMMYFUNCTION("QUERY('Volunteer Survey'!O929)"),"")</f>
        <v/>
      </c>
      <c r="AO930" s="183" t="str">
        <f>IFERROR(__xludf.DUMMYFUNCTION("QUERY('Volunteer Survey'!P929)"),"")</f>
        <v/>
      </c>
    </row>
    <row r="931">
      <c r="A931" s="55"/>
      <c r="B931" s="55"/>
      <c r="C931" s="53"/>
      <c r="D931" s="55"/>
      <c r="E931" s="55"/>
      <c r="F931" s="55" t="b">
        <v>0</v>
      </c>
      <c r="G931" s="55"/>
      <c r="H931" s="53"/>
      <c r="I931" s="53"/>
      <c r="J931" s="55"/>
      <c r="K931" s="55"/>
      <c r="L931" s="55"/>
      <c r="M931" s="55"/>
      <c r="N931" s="55"/>
      <c r="O931" s="55" t="b">
        <v>0</v>
      </c>
      <c r="P931" s="55"/>
      <c r="Q931" s="55"/>
      <c r="R931" s="55"/>
      <c r="S931" s="55"/>
      <c r="T931" s="55"/>
      <c r="U931" s="64"/>
      <c r="V931" s="55"/>
      <c r="W931" s="64"/>
      <c r="X931" s="55"/>
      <c r="Y931" s="53"/>
      <c r="Z931" s="183" t="str">
        <f>IFERROR(__xludf.DUMMYFUNCTION("QUERY('Volunteer Survey'!A930)"),"")</f>
        <v/>
      </c>
      <c r="AA931" s="183" t="str">
        <f>IFERROR(__xludf.DUMMYFUNCTION("QUERY('Volunteer Survey'!B930)"),"")</f>
        <v/>
      </c>
      <c r="AB931" s="183" t="str">
        <f>IFERROR(__xludf.DUMMYFUNCTION("QUERY('Volunteer Survey'!C930)"),"")</f>
        <v/>
      </c>
      <c r="AC931" s="183" t="str">
        <f>IFERROR(__xludf.DUMMYFUNCTION("QUERY('Volunteer Survey'!D930)"),"")</f>
        <v/>
      </c>
      <c r="AD931" s="183" t="str">
        <f>IFERROR(__xludf.DUMMYFUNCTION("QUERY('Volunteer Survey'!E930)"),"")</f>
        <v/>
      </c>
      <c r="AE931" s="183" t="str">
        <f>IFERROR(__xludf.DUMMYFUNCTION("QUERY('Volunteer Survey'!F930)"),"")</f>
        <v/>
      </c>
      <c r="AF931" s="183" t="str">
        <f>IFERROR(__xludf.DUMMYFUNCTION("QUERY('Volunteer Survey'!G930)"),"")</f>
        <v/>
      </c>
      <c r="AG931" s="183" t="str">
        <f>IFERROR(__xludf.DUMMYFUNCTION("QUERY('Volunteer Survey'!H930)"),"")</f>
        <v/>
      </c>
      <c r="AH931" s="183" t="str">
        <f>IFERROR(__xludf.DUMMYFUNCTION("QUERY('Volunteer Survey'!I930)"),"")</f>
        <v/>
      </c>
      <c r="AI931" s="183" t="str">
        <f>IFERROR(__xludf.DUMMYFUNCTION("QUERY('Volunteer Survey'!J930)"),"")</f>
        <v/>
      </c>
      <c r="AJ931" s="183" t="str">
        <f>IFERROR(__xludf.DUMMYFUNCTION("QUERY('Volunteer Survey'!K930)"),"")</f>
        <v/>
      </c>
      <c r="AK931" s="183" t="str">
        <f>IFERROR(__xludf.DUMMYFUNCTION("QUERY('Volunteer Survey'!L930)"),"")</f>
        <v/>
      </c>
      <c r="AL931" s="183" t="str">
        <f>IFERROR(__xludf.DUMMYFUNCTION("QUERY('Volunteer Survey'!M930)"),"")</f>
        <v/>
      </c>
      <c r="AM931" s="183" t="str">
        <f>IFERROR(__xludf.DUMMYFUNCTION("QUERY('Volunteer Survey'!N930)"),"")</f>
        <v/>
      </c>
      <c r="AN931" s="183" t="str">
        <f>IFERROR(__xludf.DUMMYFUNCTION("QUERY('Volunteer Survey'!O930)"),"")</f>
        <v/>
      </c>
      <c r="AO931" s="183" t="str">
        <f>IFERROR(__xludf.DUMMYFUNCTION("QUERY('Volunteer Survey'!P930)"),"")</f>
        <v/>
      </c>
    </row>
    <row r="932">
      <c r="A932" s="55"/>
      <c r="B932" s="55"/>
      <c r="C932" s="53"/>
      <c r="D932" s="55"/>
      <c r="E932" s="55"/>
      <c r="F932" s="55" t="b">
        <v>0</v>
      </c>
      <c r="G932" s="55"/>
      <c r="H932" s="53"/>
      <c r="I932" s="53"/>
      <c r="J932" s="55"/>
      <c r="K932" s="55"/>
      <c r="L932" s="55"/>
      <c r="M932" s="55"/>
      <c r="N932" s="55"/>
      <c r="O932" s="55" t="b">
        <v>0</v>
      </c>
      <c r="P932" s="55"/>
      <c r="Q932" s="55"/>
      <c r="R932" s="55"/>
      <c r="S932" s="55"/>
      <c r="T932" s="55"/>
      <c r="U932" s="64"/>
      <c r="V932" s="55"/>
      <c r="W932" s="64"/>
      <c r="X932" s="55"/>
      <c r="Y932" s="53"/>
      <c r="Z932" s="183" t="str">
        <f>IFERROR(__xludf.DUMMYFUNCTION("QUERY('Volunteer Survey'!A931)"),"")</f>
        <v/>
      </c>
      <c r="AA932" s="183" t="str">
        <f>IFERROR(__xludf.DUMMYFUNCTION("QUERY('Volunteer Survey'!B931)"),"")</f>
        <v/>
      </c>
      <c r="AB932" s="183" t="str">
        <f>IFERROR(__xludf.DUMMYFUNCTION("QUERY('Volunteer Survey'!C931)"),"")</f>
        <v/>
      </c>
      <c r="AC932" s="183" t="str">
        <f>IFERROR(__xludf.DUMMYFUNCTION("QUERY('Volunteer Survey'!D931)"),"")</f>
        <v/>
      </c>
      <c r="AD932" s="183" t="str">
        <f>IFERROR(__xludf.DUMMYFUNCTION("QUERY('Volunteer Survey'!E931)"),"")</f>
        <v/>
      </c>
      <c r="AE932" s="183" t="str">
        <f>IFERROR(__xludf.DUMMYFUNCTION("QUERY('Volunteer Survey'!F931)"),"")</f>
        <v/>
      </c>
      <c r="AF932" s="183" t="str">
        <f>IFERROR(__xludf.DUMMYFUNCTION("QUERY('Volunteer Survey'!G931)"),"")</f>
        <v/>
      </c>
      <c r="AG932" s="183" t="str">
        <f>IFERROR(__xludf.DUMMYFUNCTION("QUERY('Volunteer Survey'!H931)"),"")</f>
        <v/>
      </c>
      <c r="AH932" s="183" t="str">
        <f>IFERROR(__xludf.DUMMYFUNCTION("QUERY('Volunteer Survey'!I931)"),"")</f>
        <v/>
      </c>
      <c r="AI932" s="183" t="str">
        <f>IFERROR(__xludf.DUMMYFUNCTION("QUERY('Volunteer Survey'!J931)"),"")</f>
        <v/>
      </c>
      <c r="AJ932" s="183" t="str">
        <f>IFERROR(__xludf.DUMMYFUNCTION("QUERY('Volunteer Survey'!K931)"),"")</f>
        <v/>
      </c>
      <c r="AK932" s="183" t="str">
        <f>IFERROR(__xludf.DUMMYFUNCTION("QUERY('Volunteer Survey'!L931)"),"")</f>
        <v/>
      </c>
      <c r="AL932" s="183" t="str">
        <f>IFERROR(__xludf.DUMMYFUNCTION("QUERY('Volunteer Survey'!M931)"),"")</f>
        <v/>
      </c>
      <c r="AM932" s="183" t="str">
        <f>IFERROR(__xludf.DUMMYFUNCTION("QUERY('Volunteer Survey'!N931)"),"")</f>
        <v/>
      </c>
      <c r="AN932" s="183" t="str">
        <f>IFERROR(__xludf.DUMMYFUNCTION("QUERY('Volunteer Survey'!O931)"),"")</f>
        <v/>
      </c>
      <c r="AO932" s="183" t="str">
        <f>IFERROR(__xludf.DUMMYFUNCTION("QUERY('Volunteer Survey'!P931)"),"")</f>
        <v/>
      </c>
    </row>
    <row r="933">
      <c r="A933" s="55"/>
      <c r="B933" s="55"/>
      <c r="C933" s="53"/>
      <c r="D933" s="55"/>
      <c r="E933" s="55"/>
      <c r="F933" s="55" t="b">
        <v>0</v>
      </c>
      <c r="G933" s="55"/>
      <c r="H933" s="53"/>
      <c r="I933" s="53"/>
      <c r="J933" s="55"/>
      <c r="K933" s="55"/>
      <c r="L933" s="55"/>
      <c r="M933" s="55"/>
      <c r="N933" s="55"/>
      <c r="O933" s="55" t="b">
        <v>0</v>
      </c>
      <c r="P933" s="55"/>
      <c r="Q933" s="55"/>
      <c r="R933" s="55"/>
      <c r="S933" s="55"/>
      <c r="T933" s="55"/>
      <c r="U933" s="64"/>
      <c r="V933" s="55"/>
      <c r="W933" s="64"/>
      <c r="X933" s="55"/>
      <c r="Y933" s="53"/>
      <c r="Z933" s="183" t="str">
        <f>IFERROR(__xludf.DUMMYFUNCTION("QUERY('Volunteer Survey'!A932)"),"")</f>
        <v/>
      </c>
      <c r="AA933" s="183" t="str">
        <f>IFERROR(__xludf.DUMMYFUNCTION("QUERY('Volunteer Survey'!B932)"),"")</f>
        <v/>
      </c>
      <c r="AB933" s="183" t="str">
        <f>IFERROR(__xludf.DUMMYFUNCTION("QUERY('Volunteer Survey'!C932)"),"")</f>
        <v/>
      </c>
      <c r="AC933" s="183" t="str">
        <f>IFERROR(__xludf.DUMMYFUNCTION("QUERY('Volunteer Survey'!D932)"),"")</f>
        <v/>
      </c>
      <c r="AD933" s="183" t="str">
        <f>IFERROR(__xludf.DUMMYFUNCTION("QUERY('Volunteer Survey'!E932)"),"")</f>
        <v/>
      </c>
      <c r="AE933" s="183" t="str">
        <f>IFERROR(__xludf.DUMMYFUNCTION("QUERY('Volunteer Survey'!F932)"),"")</f>
        <v/>
      </c>
      <c r="AF933" s="183" t="str">
        <f>IFERROR(__xludf.DUMMYFUNCTION("QUERY('Volunteer Survey'!G932)"),"")</f>
        <v/>
      </c>
      <c r="AG933" s="183" t="str">
        <f>IFERROR(__xludf.DUMMYFUNCTION("QUERY('Volunteer Survey'!H932)"),"")</f>
        <v/>
      </c>
      <c r="AH933" s="183" t="str">
        <f>IFERROR(__xludf.DUMMYFUNCTION("QUERY('Volunteer Survey'!I932)"),"")</f>
        <v/>
      </c>
      <c r="AI933" s="183" t="str">
        <f>IFERROR(__xludf.DUMMYFUNCTION("QUERY('Volunteer Survey'!J932)"),"")</f>
        <v/>
      </c>
      <c r="AJ933" s="183" t="str">
        <f>IFERROR(__xludf.DUMMYFUNCTION("QUERY('Volunteer Survey'!K932)"),"")</f>
        <v/>
      </c>
      <c r="AK933" s="183" t="str">
        <f>IFERROR(__xludf.DUMMYFUNCTION("QUERY('Volunteer Survey'!L932)"),"")</f>
        <v/>
      </c>
      <c r="AL933" s="183" t="str">
        <f>IFERROR(__xludf.DUMMYFUNCTION("QUERY('Volunteer Survey'!M932)"),"")</f>
        <v/>
      </c>
      <c r="AM933" s="183" t="str">
        <f>IFERROR(__xludf.DUMMYFUNCTION("QUERY('Volunteer Survey'!N932)"),"")</f>
        <v/>
      </c>
      <c r="AN933" s="183" t="str">
        <f>IFERROR(__xludf.DUMMYFUNCTION("QUERY('Volunteer Survey'!O932)"),"")</f>
        <v/>
      </c>
      <c r="AO933" s="183" t="str">
        <f>IFERROR(__xludf.DUMMYFUNCTION("QUERY('Volunteer Survey'!P932)"),"")</f>
        <v/>
      </c>
    </row>
    <row r="934">
      <c r="A934" s="55"/>
      <c r="B934" s="55"/>
      <c r="C934" s="53"/>
      <c r="D934" s="55"/>
      <c r="E934" s="55"/>
      <c r="F934" s="55" t="b">
        <v>0</v>
      </c>
      <c r="G934" s="55"/>
      <c r="H934" s="53"/>
      <c r="I934" s="53"/>
      <c r="J934" s="55"/>
      <c r="K934" s="55"/>
      <c r="L934" s="55"/>
      <c r="M934" s="55"/>
      <c r="N934" s="55"/>
      <c r="O934" s="55" t="b">
        <v>0</v>
      </c>
      <c r="P934" s="55"/>
      <c r="Q934" s="55"/>
      <c r="R934" s="55"/>
      <c r="S934" s="55"/>
      <c r="T934" s="55"/>
      <c r="U934" s="64"/>
      <c r="V934" s="55"/>
      <c r="W934" s="64"/>
      <c r="X934" s="55"/>
      <c r="Y934" s="53"/>
      <c r="Z934" s="183" t="str">
        <f>IFERROR(__xludf.DUMMYFUNCTION("QUERY('Volunteer Survey'!A933)"),"")</f>
        <v/>
      </c>
      <c r="AA934" s="183" t="str">
        <f>IFERROR(__xludf.DUMMYFUNCTION("QUERY('Volunteer Survey'!B933)"),"")</f>
        <v/>
      </c>
      <c r="AB934" s="183" t="str">
        <f>IFERROR(__xludf.DUMMYFUNCTION("QUERY('Volunteer Survey'!C933)"),"")</f>
        <v/>
      </c>
      <c r="AC934" s="183" t="str">
        <f>IFERROR(__xludf.DUMMYFUNCTION("QUERY('Volunteer Survey'!D933)"),"")</f>
        <v/>
      </c>
      <c r="AD934" s="183" t="str">
        <f>IFERROR(__xludf.DUMMYFUNCTION("QUERY('Volunteer Survey'!E933)"),"")</f>
        <v/>
      </c>
      <c r="AE934" s="183" t="str">
        <f>IFERROR(__xludf.DUMMYFUNCTION("QUERY('Volunteer Survey'!F933)"),"")</f>
        <v/>
      </c>
      <c r="AF934" s="183" t="str">
        <f>IFERROR(__xludf.DUMMYFUNCTION("QUERY('Volunteer Survey'!G933)"),"")</f>
        <v/>
      </c>
      <c r="AG934" s="183" t="str">
        <f>IFERROR(__xludf.DUMMYFUNCTION("QUERY('Volunteer Survey'!H933)"),"")</f>
        <v/>
      </c>
      <c r="AH934" s="183" t="str">
        <f>IFERROR(__xludf.DUMMYFUNCTION("QUERY('Volunteer Survey'!I933)"),"")</f>
        <v/>
      </c>
      <c r="AI934" s="183" t="str">
        <f>IFERROR(__xludf.DUMMYFUNCTION("QUERY('Volunteer Survey'!J933)"),"")</f>
        <v/>
      </c>
      <c r="AJ934" s="183" t="str">
        <f>IFERROR(__xludf.DUMMYFUNCTION("QUERY('Volunteer Survey'!K933)"),"")</f>
        <v/>
      </c>
      <c r="AK934" s="183" t="str">
        <f>IFERROR(__xludf.DUMMYFUNCTION("QUERY('Volunteer Survey'!L933)"),"")</f>
        <v/>
      </c>
      <c r="AL934" s="183" t="str">
        <f>IFERROR(__xludf.DUMMYFUNCTION("QUERY('Volunteer Survey'!M933)"),"")</f>
        <v/>
      </c>
      <c r="AM934" s="183" t="str">
        <f>IFERROR(__xludf.DUMMYFUNCTION("QUERY('Volunteer Survey'!N933)"),"")</f>
        <v/>
      </c>
      <c r="AN934" s="183" t="str">
        <f>IFERROR(__xludf.DUMMYFUNCTION("QUERY('Volunteer Survey'!O933)"),"")</f>
        <v/>
      </c>
      <c r="AO934" s="183" t="str">
        <f>IFERROR(__xludf.DUMMYFUNCTION("QUERY('Volunteer Survey'!P933)"),"")</f>
        <v/>
      </c>
    </row>
    <row r="935">
      <c r="A935" s="55"/>
      <c r="B935" s="55"/>
      <c r="C935" s="53"/>
      <c r="D935" s="55"/>
      <c r="E935" s="55"/>
      <c r="F935" s="55" t="b">
        <v>0</v>
      </c>
      <c r="G935" s="55"/>
      <c r="H935" s="53"/>
      <c r="I935" s="53"/>
      <c r="J935" s="55"/>
      <c r="K935" s="55"/>
      <c r="L935" s="55"/>
      <c r="M935" s="55"/>
      <c r="N935" s="55"/>
      <c r="O935" s="55" t="b">
        <v>0</v>
      </c>
      <c r="P935" s="55"/>
      <c r="Q935" s="55"/>
      <c r="R935" s="55"/>
      <c r="S935" s="55"/>
      <c r="T935" s="55"/>
      <c r="U935" s="64"/>
      <c r="V935" s="55"/>
      <c r="W935" s="64"/>
      <c r="X935" s="55"/>
      <c r="Y935" s="53"/>
      <c r="Z935" s="183" t="str">
        <f>IFERROR(__xludf.DUMMYFUNCTION("QUERY('Volunteer Survey'!A934)"),"")</f>
        <v/>
      </c>
      <c r="AA935" s="183" t="str">
        <f>IFERROR(__xludf.DUMMYFUNCTION("QUERY('Volunteer Survey'!B934)"),"")</f>
        <v/>
      </c>
      <c r="AB935" s="183" t="str">
        <f>IFERROR(__xludf.DUMMYFUNCTION("QUERY('Volunteer Survey'!C934)"),"")</f>
        <v/>
      </c>
      <c r="AC935" s="183" t="str">
        <f>IFERROR(__xludf.DUMMYFUNCTION("QUERY('Volunteer Survey'!D934)"),"")</f>
        <v/>
      </c>
      <c r="AD935" s="183" t="str">
        <f>IFERROR(__xludf.DUMMYFUNCTION("QUERY('Volunteer Survey'!E934)"),"")</f>
        <v/>
      </c>
      <c r="AE935" s="183" t="str">
        <f>IFERROR(__xludf.DUMMYFUNCTION("QUERY('Volunteer Survey'!F934)"),"")</f>
        <v/>
      </c>
      <c r="AF935" s="183" t="str">
        <f>IFERROR(__xludf.DUMMYFUNCTION("QUERY('Volunteer Survey'!G934)"),"")</f>
        <v/>
      </c>
      <c r="AG935" s="183" t="str">
        <f>IFERROR(__xludf.DUMMYFUNCTION("QUERY('Volunteer Survey'!H934)"),"")</f>
        <v/>
      </c>
      <c r="AH935" s="183" t="str">
        <f>IFERROR(__xludf.DUMMYFUNCTION("QUERY('Volunteer Survey'!I934)"),"")</f>
        <v/>
      </c>
      <c r="AI935" s="183" t="str">
        <f>IFERROR(__xludf.DUMMYFUNCTION("QUERY('Volunteer Survey'!J934)"),"")</f>
        <v/>
      </c>
      <c r="AJ935" s="183" t="str">
        <f>IFERROR(__xludf.DUMMYFUNCTION("QUERY('Volunteer Survey'!K934)"),"")</f>
        <v/>
      </c>
      <c r="AK935" s="183" t="str">
        <f>IFERROR(__xludf.DUMMYFUNCTION("QUERY('Volunteer Survey'!L934)"),"")</f>
        <v/>
      </c>
      <c r="AL935" s="183" t="str">
        <f>IFERROR(__xludf.DUMMYFUNCTION("QUERY('Volunteer Survey'!M934)"),"")</f>
        <v/>
      </c>
      <c r="AM935" s="183" t="str">
        <f>IFERROR(__xludf.DUMMYFUNCTION("QUERY('Volunteer Survey'!N934)"),"")</f>
        <v/>
      </c>
      <c r="AN935" s="183" t="str">
        <f>IFERROR(__xludf.DUMMYFUNCTION("QUERY('Volunteer Survey'!O934)"),"")</f>
        <v/>
      </c>
      <c r="AO935" s="183" t="str">
        <f>IFERROR(__xludf.DUMMYFUNCTION("QUERY('Volunteer Survey'!P934)"),"")</f>
        <v/>
      </c>
    </row>
    <row r="936">
      <c r="A936" s="55"/>
      <c r="B936" s="55"/>
      <c r="C936" s="53"/>
      <c r="D936" s="55"/>
      <c r="E936" s="55"/>
      <c r="F936" s="55" t="b">
        <v>0</v>
      </c>
      <c r="G936" s="55"/>
      <c r="H936" s="53"/>
      <c r="I936" s="53"/>
      <c r="J936" s="55"/>
      <c r="K936" s="55"/>
      <c r="L936" s="55"/>
      <c r="M936" s="55"/>
      <c r="N936" s="55"/>
      <c r="O936" s="55" t="b">
        <v>0</v>
      </c>
      <c r="P936" s="55"/>
      <c r="Q936" s="55"/>
      <c r="R936" s="55"/>
      <c r="S936" s="55"/>
      <c r="T936" s="55"/>
      <c r="U936" s="64"/>
      <c r="V936" s="55"/>
      <c r="W936" s="64"/>
      <c r="X936" s="55"/>
      <c r="Y936" s="53"/>
      <c r="Z936" s="183" t="str">
        <f>IFERROR(__xludf.DUMMYFUNCTION("QUERY('Volunteer Survey'!A935)"),"")</f>
        <v/>
      </c>
      <c r="AA936" s="183" t="str">
        <f>IFERROR(__xludf.DUMMYFUNCTION("QUERY('Volunteer Survey'!B935)"),"")</f>
        <v/>
      </c>
      <c r="AB936" s="183" t="str">
        <f>IFERROR(__xludf.DUMMYFUNCTION("QUERY('Volunteer Survey'!C935)"),"")</f>
        <v/>
      </c>
      <c r="AC936" s="183" t="str">
        <f>IFERROR(__xludf.DUMMYFUNCTION("QUERY('Volunteer Survey'!D935)"),"")</f>
        <v/>
      </c>
      <c r="AD936" s="183" t="str">
        <f>IFERROR(__xludf.DUMMYFUNCTION("QUERY('Volunteer Survey'!E935)"),"")</f>
        <v/>
      </c>
      <c r="AE936" s="183" t="str">
        <f>IFERROR(__xludf.DUMMYFUNCTION("QUERY('Volunteer Survey'!F935)"),"")</f>
        <v/>
      </c>
      <c r="AF936" s="183" t="str">
        <f>IFERROR(__xludf.DUMMYFUNCTION("QUERY('Volunteer Survey'!G935)"),"")</f>
        <v/>
      </c>
      <c r="AG936" s="183" t="str">
        <f>IFERROR(__xludf.DUMMYFUNCTION("QUERY('Volunteer Survey'!H935)"),"")</f>
        <v/>
      </c>
      <c r="AH936" s="183" t="str">
        <f>IFERROR(__xludf.DUMMYFUNCTION("QUERY('Volunteer Survey'!I935)"),"")</f>
        <v/>
      </c>
      <c r="AI936" s="183" t="str">
        <f>IFERROR(__xludf.DUMMYFUNCTION("QUERY('Volunteer Survey'!J935)"),"")</f>
        <v/>
      </c>
      <c r="AJ936" s="183" t="str">
        <f>IFERROR(__xludf.DUMMYFUNCTION("QUERY('Volunteer Survey'!K935)"),"")</f>
        <v/>
      </c>
      <c r="AK936" s="183" t="str">
        <f>IFERROR(__xludf.DUMMYFUNCTION("QUERY('Volunteer Survey'!L935)"),"")</f>
        <v/>
      </c>
      <c r="AL936" s="183" t="str">
        <f>IFERROR(__xludf.DUMMYFUNCTION("QUERY('Volunteer Survey'!M935)"),"")</f>
        <v/>
      </c>
      <c r="AM936" s="183" t="str">
        <f>IFERROR(__xludf.DUMMYFUNCTION("QUERY('Volunteer Survey'!N935)"),"")</f>
        <v/>
      </c>
      <c r="AN936" s="183" t="str">
        <f>IFERROR(__xludf.DUMMYFUNCTION("QUERY('Volunteer Survey'!O935)"),"")</f>
        <v/>
      </c>
      <c r="AO936" s="183" t="str">
        <f>IFERROR(__xludf.DUMMYFUNCTION("QUERY('Volunteer Survey'!P935)"),"")</f>
        <v/>
      </c>
    </row>
    <row r="937">
      <c r="A937" s="55"/>
      <c r="B937" s="55"/>
      <c r="C937" s="53"/>
      <c r="D937" s="55"/>
      <c r="E937" s="55"/>
      <c r="F937" s="55" t="b">
        <v>0</v>
      </c>
      <c r="G937" s="55"/>
      <c r="H937" s="53"/>
      <c r="I937" s="53"/>
      <c r="J937" s="55"/>
      <c r="K937" s="55"/>
      <c r="L937" s="55"/>
      <c r="M937" s="55"/>
      <c r="N937" s="55"/>
      <c r="O937" s="55" t="b">
        <v>0</v>
      </c>
      <c r="P937" s="55"/>
      <c r="Q937" s="55"/>
      <c r="R937" s="55"/>
      <c r="S937" s="55"/>
      <c r="T937" s="55"/>
      <c r="U937" s="64"/>
      <c r="V937" s="55"/>
      <c r="W937" s="64"/>
      <c r="X937" s="55"/>
      <c r="Y937" s="53"/>
      <c r="Z937" s="183" t="str">
        <f>IFERROR(__xludf.DUMMYFUNCTION("QUERY('Volunteer Survey'!A936)"),"")</f>
        <v/>
      </c>
      <c r="AA937" s="183" t="str">
        <f>IFERROR(__xludf.DUMMYFUNCTION("QUERY('Volunteer Survey'!B936)"),"")</f>
        <v/>
      </c>
      <c r="AB937" s="183" t="str">
        <f>IFERROR(__xludf.DUMMYFUNCTION("QUERY('Volunteer Survey'!C936)"),"")</f>
        <v/>
      </c>
      <c r="AC937" s="183" t="str">
        <f>IFERROR(__xludf.DUMMYFUNCTION("QUERY('Volunteer Survey'!D936)"),"")</f>
        <v/>
      </c>
      <c r="AD937" s="183" t="str">
        <f>IFERROR(__xludf.DUMMYFUNCTION("QUERY('Volunteer Survey'!E936)"),"")</f>
        <v/>
      </c>
      <c r="AE937" s="183" t="str">
        <f>IFERROR(__xludf.DUMMYFUNCTION("QUERY('Volunteer Survey'!F936)"),"")</f>
        <v/>
      </c>
      <c r="AF937" s="183" t="str">
        <f>IFERROR(__xludf.DUMMYFUNCTION("QUERY('Volunteer Survey'!G936)"),"")</f>
        <v/>
      </c>
      <c r="AG937" s="183" t="str">
        <f>IFERROR(__xludf.DUMMYFUNCTION("QUERY('Volunteer Survey'!H936)"),"")</f>
        <v/>
      </c>
      <c r="AH937" s="183" t="str">
        <f>IFERROR(__xludf.DUMMYFUNCTION("QUERY('Volunteer Survey'!I936)"),"")</f>
        <v/>
      </c>
      <c r="AI937" s="183" t="str">
        <f>IFERROR(__xludf.DUMMYFUNCTION("QUERY('Volunteer Survey'!J936)"),"")</f>
        <v/>
      </c>
      <c r="AJ937" s="183" t="str">
        <f>IFERROR(__xludf.DUMMYFUNCTION("QUERY('Volunteer Survey'!K936)"),"")</f>
        <v/>
      </c>
      <c r="AK937" s="183" t="str">
        <f>IFERROR(__xludf.DUMMYFUNCTION("QUERY('Volunteer Survey'!L936)"),"")</f>
        <v/>
      </c>
      <c r="AL937" s="183" t="str">
        <f>IFERROR(__xludf.DUMMYFUNCTION("QUERY('Volunteer Survey'!M936)"),"")</f>
        <v/>
      </c>
      <c r="AM937" s="183" t="str">
        <f>IFERROR(__xludf.DUMMYFUNCTION("QUERY('Volunteer Survey'!N936)"),"")</f>
        <v/>
      </c>
      <c r="AN937" s="183" t="str">
        <f>IFERROR(__xludf.DUMMYFUNCTION("QUERY('Volunteer Survey'!O936)"),"")</f>
        <v/>
      </c>
      <c r="AO937" s="183" t="str">
        <f>IFERROR(__xludf.DUMMYFUNCTION("QUERY('Volunteer Survey'!P936)"),"")</f>
        <v/>
      </c>
    </row>
    <row r="938">
      <c r="A938" s="55"/>
      <c r="B938" s="55"/>
      <c r="C938" s="53"/>
      <c r="D938" s="55"/>
      <c r="E938" s="55"/>
      <c r="F938" s="55" t="b">
        <v>0</v>
      </c>
      <c r="G938" s="55"/>
      <c r="H938" s="53"/>
      <c r="I938" s="53"/>
      <c r="J938" s="55"/>
      <c r="K938" s="55"/>
      <c r="L938" s="55"/>
      <c r="M938" s="55"/>
      <c r="N938" s="55"/>
      <c r="O938" s="55" t="b">
        <v>0</v>
      </c>
      <c r="P938" s="55"/>
      <c r="Q938" s="55"/>
      <c r="R938" s="55"/>
      <c r="S938" s="55"/>
      <c r="T938" s="55"/>
      <c r="U938" s="64"/>
      <c r="V938" s="55"/>
      <c r="W938" s="64"/>
      <c r="X938" s="55"/>
      <c r="Y938" s="53"/>
      <c r="Z938" s="183" t="str">
        <f>IFERROR(__xludf.DUMMYFUNCTION("QUERY('Volunteer Survey'!A937)"),"")</f>
        <v/>
      </c>
      <c r="AA938" s="183" t="str">
        <f>IFERROR(__xludf.DUMMYFUNCTION("QUERY('Volunteer Survey'!B937)"),"")</f>
        <v/>
      </c>
      <c r="AB938" s="183" t="str">
        <f>IFERROR(__xludf.DUMMYFUNCTION("QUERY('Volunteer Survey'!C937)"),"")</f>
        <v/>
      </c>
      <c r="AC938" s="183" t="str">
        <f>IFERROR(__xludf.DUMMYFUNCTION("QUERY('Volunteer Survey'!D937)"),"")</f>
        <v/>
      </c>
      <c r="AD938" s="183" t="str">
        <f>IFERROR(__xludf.DUMMYFUNCTION("QUERY('Volunteer Survey'!E937)"),"")</f>
        <v/>
      </c>
      <c r="AE938" s="183" t="str">
        <f>IFERROR(__xludf.DUMMYFUNCTION("QUERY('Volunteer Survey'!F937)"),"")</f>
        <v/>
      </c>
      <c r="AF938" s="183" t="str">
        <f>IFERROR(__xludf.DUMMYFUNCTION("QUERY('Volunteer Survey'!G937)"),"")</f>
        <v/>
      </c>
      <c r="AG938" s="183" t="str">
        <f>IFERROR(__xludf.DUMMYFUNCTION("QUERY('Volunteer Survey'!H937)"),"")</f>
        <v/>
      </c>
      <c r="AH938" s="183" t="str">
        <f>IFERROR(__xludf.DUMMYFUNCTION("QUERY('Volunteer Survey'!I937)"),"")</f>
        <v/>
      </c>
      <c r="AI938" s="183" t="str">
        <f>IFERROR(__xludf.DUMMYFUNCTION("QUERY('Volunteer Survey'!J937)"),"")</f>
        <v/>
      </c>
      <c r="AJ938" s="183" t="str">
        <f>IFERROR(__xludf.DUMMYFUNCTION("QUERY('Volunteer Survey'!K937)"),"")</f>
        <v/>
      </c>
      <c r="AK938" s="183" t="str">
        <f>IFERROR(__xludf.DUMMYFUNCTION("QUERY('Volunteer Survey'!L937)"),"")</f>
        <v/>
      </c>
      <c r="AL938" s="183" t="str">
        <f>IFERROR(__xludf.DUMMYFUNCTION("QUERY('Volunteer Survey'!M937)"),"")</f>
        <v/>
      </c>
      <c r="AM938" s="183" t="str">
        <f>IFERROR(__xludf.DUMMYFUNCTION("QUERY('Volunteer Survey'!N937)"),"")</f>
        <v/>
      </c>
      <c r="AN938" s="183" t="str">
        <f>IFERROR(__xludf.DUMMYFUNCTION("QUERY('Volunteer Survey'!O937)"),"")</f>
        <v/>
      </c>
      <c r="AO938" s="183" t="str">
        <f>IFERROR(__xludf.DUMMYFUNCTION("QUERY('Volunteer Survey'!P937)"),"")</f>
        <v/>
      </c>
    </row>
    <row r="939">
      <c r="A939" s="55"/>
      <c r="B939" s="55"/>
      <c r="C939" s="53"/>
      <c r="D939" s="55"/>
      <c r="E939" s="55"/>
      <c r="F939" s="55" t="b">
        <v>0</v>
      </c>
      <c r="G939" s="55"/>
      <c r="H939" s="53"/>
      <c r="I939" s="53"/>
      <c r="J939" s="55"/>
      <c r="K939" s="55"/>
      <c r="L939" s="55"/>
      <c r="M939" s="55"/>
      <c r="N939" s="55"/>
      <c r="O939" s="55" t="b">
        <v>0</v>
      </c>
      <c r="P939" s="55"/>
      <c r="Q939" s="55"/>
      <c r="R939" s="55"/>
      <c r="S939" s="55"/>
      <c r="T939" s="55"/>
      <c r="U939" s="64"/>
      <c r="V939" s="55"/>
      <c r="W939" s="64"/>
      <c r="X939" s="55"/>
      <c r="Y939" s="53"/>
      <c r="Z939" s="183" t="str">
        <f>IFERROR(__xludf.DUMMYFUNCTION("QUERY('Volunteer Survey'!A938)"),"")</f>
        <v/>
      </c>
      <c r="AA939" s="183" t="str">
        <f>IFERROR(__xludf.DUMMYFUNCTION("QUERY('Volunteer Survey'!B938)"),"")</f>
        <v/>
      </c>
      <c r="AB939" s="183" t="str">
        <f>IFERROR(__xludf.DUMMYFUNCTION("QUERY('Volunteer Survey'!C938)"),"")</f>
        <v/>
      </c>
      <c r="AC939" s="183" t="str">
        <f>IFERROR(__xludf.DUMMYFUNCTION("QUERY('Volunteer Survey'!D938)"),"")</f>
        <v/>
      </c>
      <c r="AD939" s="183" t="str">
        <f>IFERROR(__xludf.DUMMYFUNCTION("QUERY('Volunteer Survey'!E938)"),"")</f>
        <v/>
      </c>
      <c r="AE939" s="183" t="str">
        <f>IFERROR(__xludf.DUMMYFUNCTION("QUERY('Volunteer Survey'!F938)"),"")</f>
        <v/>
      </c>
      <c r="AF939" s="183" t="str">
        <f>IFERROR(__xludf.DUMMYFUNCTION("QUERY('Volunteer Survey'!G938)"),"")</f>
        <v/>
      </c>
      <c r="AG939" s="183" t="str">
        <f>IFERROR(__xludf.DUMMYFUNCTION("QUERY('Volunteer Survey'!H938)"),"")</f>
        <v/>
      </c>
      <c r="AH939" s="183" t="str">
        <f>IFERROR(__xludf.DUMMYFUNCTION("QUERY('Volunteer Survey'!I938)"),"")</f>
        <v/>
      </c>
      <c r="AI939" s="183" t="str">
        <f>IFERROR(__xludf.DUMMYFUNCTION("QUERY('Volunteer Survey'!J938)"),"")</f>
        <v/>
      </c>
      <c r="AJ939" s="183" t="str">
        <f>IFERROR(__xludf.DUMMYFUNCTION("QUERY('Volunteer Survey'!K938)"),"")</f>
        <v/>
      </c>
      <c r="AK939" s="183" t="str">
        <f>IFERROR(__xludf.DUMMYFUNCTION("QUERY('Volunteer Survey'!L938)"),"")</f>
        <v/>
      </c>
      <c r="AL939" s="183" t="str">
        <f>IFERROR(__xludf.DUMMYFUNCTION("QUERY('Volunteer Survey'!M938)"),"")</f>
        <v/>
      </c>
      <c r="AM939" s="183" t="str">
        <f>IFERROR(__xludf.DUMMYFUNCTION("QUERY('Volunteer Survey'!N938)"),"")</f>
        <v/>
      </c>
      <c r="AN939" s="183" t="str">
        <f>IFERROR(__xludf.DUMMYFUNCTION("QUERY('Volunteer Survey'!O938)"),"")</f>
        <v/>
      </c>
      <c r="AO939" s="183" t="str">
        <f>IFERROR(__xludf.DUMMYFUNCTION("QUERY('Volunteer Survey'!P938)"),"")</f>
        <v/>
      </c>
    </row>
    <row r="940">
      <c r="A940" s="55"/>
      <c r="B940" s="55"/>
      <c r="C940" s="53"/>
      <c r="D940" s="55"/>
      <c r="E940" s="55"/>
      <c r="F940" s="55" t="b">
        <v>0</v>
      </c>
      <c r="G940" s="55"/>
      <c r="H940" s="53"/>
      <c r="I940" s="53"/>
      <c r="J940" s="55"/>
      <c r="K940" s="55"/>
      <c r="L940" s="55"/>
      <c r="M940" s="55"/>
      <c r="N940" s="55"/>
      <c r="O940" s="55" t="b">
        <v>0</v>
      </c>
      <c r="P940" s="55"/>
      <c r="Q940" s="55"/>
      <c r="R940" s="55"/>
      <c r="S940" s="55"/>
      <c r="T940" s="55"/>
      <c r="U940" s="64"/>
      <c r="V940" s="55"/>
      <c r="W940" s="64"/>
      <c r="X940" s="55"/>
      <c r="Y940" s="53"/>
      <c r="Z940" s="183" t="str">
        <f>IFERROR(__xludf.DUMMYFUNCTION("QUERY('Volunteer Survey'!A939)"),"")</f>
        <v/>
      </c>
      <c r="AA940" s="183" t="str">
        <f>IFERROR(__xludf.DUMMYFUNCTION("QUERY('Volunteer Survey'!B939)"),"")</f>
        <v/>
      </c>
      <c r="AB940" s="183" t="str">
        <f>IFERROR(__xludf.DUMMYFUNCTION("QUERY('Volunteer Survey'!C939)"),"")</f>
        <v/>
      </c>
      <c r="AC940" s="183" t="str">
        <f>IFERROR(__xludf.DUMMYFUNCTION("QUERY('Volunteer Survey'!D939)"),"")</f>
        <v/>
      </c>
      <c r="AD940" s="183" t="str">
        <f>IFERROR(__xludf.DUMMYFUNCTION("QUERY('Volunteer Survey'!E939)"),"")</f>
        <v/>
      </c>
      <c r="AE940" s="183" t="str">
        <f>IFERROR(__xludf.DUMMYFUNCTION("QUERY('Volunteer Survey'!F939)"),"")</f>
        <v/>
      </c>
      <c r="AF940" s="183" t="str">
        <f>IFERROR(__xludf.DUMMYFUNCTION("QUERY('Volunteer Survey'!G939)"),"")</f>
        <v/>
      </c>
      <c r="AG940" s="183" t="str">
        <f>IFERROR(__xludf.DUMMYFUNCTION("QUERY('Volunteer Survey'!H939)"),"")</f>
        <v/>
      </c>
      <c r="AH940" s="183" t="str">
        <f>IFERROR(__xludf.DUMMYFUNCTION("QUERY('Volunteer Survey'!I939)"),"")</f>
        <v/>
      </c>
      <c r="AI940" s="183" t="str">
        <f>IFERROR(__xludf.DUMMYFUNCTION("QUERY('Volunteer Survey'!J939)"),"")</f>
        <v/>
      </c>
      <c r="AJ940" s="183" t="str">
        <f>IFERROR(__xludf.DUMMYFUNCTION("QUERY('Volunteer Survey'!K939)"),"")</f>
        <v/>
      </c>
      <c r="AK940" s="183" t="str">
        <f>IFERROR(__xludf.DUMMYFUNCTION("QUERY('Volunteer Survey'!L939)"),"")</f>
        <v/>
      </c>
      <c r="AL940" s="183" t="str">
        <f>IFERROR(__xludf.DUMMYFUNCTION("QUERY('Volunteer Survey'!M939)"),"")</f>
        <v/>
      </c>
      <c r="AM940" s="183" t="str">
        <f>IFERROR(__xludf.DUMMYFUNCTION("QUERY('Volunteer Survey'!N939)"),"")</f>
        <v/>
      </c>
      <c r="AN940" s="183" t="str">
        <f>IFERROR(__xludf.DUMMYFUNCTION("QUERY('Volunteer Survey'!O939)"),"")</f>
        <v/>
      </c>
      <c r="AO940" s="183" t="str">
        <f>IFERROR(__xludf.DUMMYFUNCTION("QUERY('Volunteer Survey'!P939)"),"")</f>
        <v/>
      </c>
    </row>
    <row r="941">
      <c r="A941" s="55"/>
      <c r="B941" s="55"/>
      <c r="C941" s="53"/>
      <c r="D941" s="55"/>
      <c r="E941" s="55"/>
      <c r="F941" s="55" t="b">
        <v>0</v>
      </c>
      <c r="G941" s="55"/>
      <c r="H941" s="53"/>
      <c r="I941" s="53"/>
      <c r="J941" s="55"/>
      <c r="K941" s="55"/>
      <c r="L941" s="55"/>
      <c r="M941" s="55"/>
      <c r="N941" s="55"/>
      <c r="O941" s="55" t="b">
        <v>0</v>
      </c>
      <c r="P941" s="55"/>
      <c r="Q941" s="55"/>
      <c r="R941" s="55"/>
      <c r="S941" s="55"/>
      <c r="T941" s="55"/>
      <c r="U941" s="64"/>
      <c r="V941" s="55"/>
      <c r="W941" s="64"/>
      <c r="X941" s="55"/>
      <c r="Y941" s="53"/>
      <c r="Z941" s="183" t="str">
        <f>IFERROR(__xludf.DUMMYFUNCTION("QUERY('Volunteer Survey'!A940)"),"")</f>
        <v/>
      </c>
      <c r="AA941" s="183" t="str">
        <f>IFERROR(__xludf.DUMMYFUNCTION("QUERY('Volunteer Survey'!B940)"),"")</f>
        <v/>
      </c>
      <c r="AB941" s="183" t="str">
        <f>IFERROR(__xludf.DUMMYFUNCTION("QUERY('Volunteer Survey'!C940)"),"")</f>
        <v/>
      </c>
      <c r="AC941" s="183" t="str">
        <f>IFERROR(__xludf.DUMMYFUNCTION("QUERY('Volunteer Survey'!D940)"),"")</f>
        <v/>
      </c>
      <c r="AD941" s="183" t="str">
        <f>IFERROR(__xludf.DUMMYFUNCTION("QUERY('Volunteer Survey'!E940)"),"")</f>
        <v/>
      </c>
      <c r="AE941" s="183" t="str">
        <f>IFERROR(__xludf.DUMMYFUNCTION("QUERY('Volunteer Survey'!F940)"),"")</f>
        <v/>
      </c>
      <c r="AF941" s="183" t="str">
        <f>IFERROR(__xludf.DUMMYFUNCTION("QUERY('Volunteer Survey'!G940)"),"")</f>
        <v/>
      </c>
      <c r="AG941" s="183" t="str">
        <f>IFERROR(__xludf.DUMMYFUNCTION("QUERY('Volunteer Survey'!H940)"),"")</f>
        <v/>
      </c>
      <c r="AH941" s="183" t="str">
        <f>IFERROR(__xludf.DUMMYFUNCTION("QUERY('Volunteer Survey'!I940)"),"")</f>
        <v/>
      </c>
      <c r="AI941" s="183" t="str">
        <f>IFERROR(__xludf.DUMMYFUNCTION("QUERY('Volunteer Survey'!J940)"),"")</f>
        <v/>
      </c>
      <c r="AJ941" s="183" t="str">
        <f>IFERROR(__xludf.DUMMYFUNCTION("QUERY('Volunteer Survey'!K940)"),"")</f>
        <v/>
      </c>
      <c r="AK941" s="183" t="str">
        <f>IFERROR(__xludf.DUMMYFUNCTION("QUERY('Volunteer Survey'!L940)"),"")</f>
        <v/>
      </c>
      <c r="AL941" s="183" t="str">
        <f>IFERROR(__xludf.DUMMYFUNCTION("QUERY('Volunteer Survey'!M940)"),"")</f>
        <v/>
      </c>
      <c r="AM941" s="183" t="str">
        <f>IFERROR(__xludf.DUMMYFUNCTION("QUERY('Volunteer Survey'!N940)"),"")</f>
        <v/>
      </c>
      <c r="AN941" s="183" t="str">
        <f>IFERROR(__xludf.DUMMYFUNCTION("QUERY('Volunteer Survey'!O940)"),"")</f>
        <v/>
      </c>
      <c r="AO941" s="183" t="str">
        <f>IFERROR(__xludf.DUMMYFUNCTION("QUERY('Volunteer Survey'!P940)"),"")</f>
        <v/>
      </c>
    </row>
    <row r="942">
      <c r="A942" s="55"/>
      <c r="B942" s="55"/>
      <c r="C942" s="53"/>
      <c r="D942" s="55"/>
      <c r="E942" s="55"/>
      <c r="F942" s="55" t="b">
        <v>0</v>
      </c>
      <c r="G942" s="55"/>
      <c r="H942" s="53"/>
      <c r="I942" s="53"/>
      <c r="J942" s="55"/>
      <c r="K942" s="55"/>
      <c r="L942" s="55"/>
      <c r="M942" s="55"/>
      <c r="N942" s="55"/>
      <c r="O942" s="55" t="b">
        <v>0</v>
      </c>
      <c r="P942" s="55"/>
      <c r="Q942" s="55"/>
      <c r="R942" s="55"/>
      <c r="S942" s="55"/>
      <c r="T942" s="55"/>
      <c r="U942" s="64"/>
      <c r="V942" s="55"/>
      <c r="W942" s="64"/>
      <c r="X942" s="55"/>
      <c r="Y942" s="53"/>
      <c r="Z942" s="183" t="str">
        <f>IFERROR(__xludf.DUMMYFUNCTION("QUERY('Volunteer Survey'!A941)"),"")</f>
        <v/>
      </c>
      <c r="AA942" s="183" t="str">
        <f>IFERROR(__xludf.DUMMYFUNCTION("QUERY('Volunteer Survey'!B941)"),"")</f>
        <v/>
      </c>
      <c r="AB942" s="183" t="str">
        <f>IFERROR(__xludf.DUMMYFUNCTION("QUERY('Volunteer Survey'!C941)"),"")</f>
        <v/>
      </c>
      <c r="AC942" s="183" t="str">
        <f>IFERROR(__xludf.DUMMYFUNCTION("QUERY('Volunteer Survey'!D941)"),"")</f>
        <v/>
      </c>
      <c r="AD942" s="183" t="str">
        <f>IFERROR(__xludf.DUMMYFUNCTION("QUERY('Volunteer Survey'!E941)"),"")</f>
        <v/>
      </c>
      <c r="AE942" s="183" t="str">
        <f>IFERROR(__xludf.DUMMYFUNCTION("QUERY('Volunteer Survey'!F941)"),"")</f>
        <v/>
      </c>
      <c r="AF942" s="183" t="str">
        <f>IFERROR(__xludf.DUMMYFUNCTION("QUERY('Volunteer Survey'!G941)"),"")</f>
        <v/>
      </c>
      <c r="AG942" s="183" t="str">
        <f>IFERROR(__xludf.DUMMYFUNCTION("QUERY('Volunteer Survey'!H941)"),"")</f>
        <v/>
      </c>
      <c r="AH942" s="183" t="str">
        <f>IFERROR(__xludf.DUMMYFUNCTION("QUERY('Volunteer Survey'!I941)"),"")</f>
        <v/>
      </c>
      <c r="AI942" s="183" t="str">
        <f>IFERROR(__xludf.DUMMYFUNCTION("QUERY('Volunteer Survey'!J941)"),"")</f>
        <v/>
      </c>
      <c r="AJ942" s="183" t="str">
        <f>IFERROR(__xludf.DUMMYFUNCTION("QUERY('Volunteer Survey'!K941)"),"")</f>
        <v/>
      </c>
      <c r="AK942" s="183" t="str">
        <f>IFERROR(__xludf.DUMMYFUNCTION("QUERY('Volunteer Survey'!L941)"),"")</f>
        <v/>
      </c>
      <c r="AL942" s="183" t="str">
        <f>IFERROR(__xludf.DUMMYFUNCTION("QUERY('Volunteer Survey'!M941)"),"")</f>
        <v/>
      </c>
      <c r="AM942" s="183" t="str">
        <f>IFERROR(__xludf.DUMMYFUNCTION("QUERY('Volunteer Survey'!N941)"),"")</f>
        <v/>
      </c>
      <c r="AN942" s="183" t="str">
        <f>IFERROR(__xludf.DUMMYFUNCTION("QUERY('Volunteer Survey'!O941)"),"")</f>
        <v/>
      </c>
      <c r="AO942" s="183" t="str">
        <f>IFERROR(__xludf.DUMMYFUNCTION("QUERY('Volunteer Survey'!P941)"),"")</f>
        <v/>
      </c>
    </row>
    <row r="943">
      <c r="A943" s="55"/>
      <c r="B943" s="55"/>
      <c r="C943" s="53"/>
      <c r="D943" s="55"/>
      <c r="E943" s="55"/>
      <c r="F943" s="55" t="b">
        <v>0</v>
      </c>
      <c r="G943" s="55"/>
      <c r="H943" s="53"/>
      <c r="I943" s="53"/>
      <c r="J943" s="55"/>
      <c r="K943" s="55"/>
      <c r="L943" s="55"/>
      <c r="M943" s="55"/>
      <c r="N943" s="55"/>
      <c r="O943" s="55" t="b">
        <v>0</v>
      </c>
      <c r="P943" s="55"/>
      <c r="Q943" s="55"/>
      <c r="R943" s="55"/>
      <c r="S943" s="55"/>
      <c r="T943" s="55"/>
      <c r="U943" s="64"/>
      <c r="V943" s="55"/>
      <c r="W943" s="64"/>
      <c r="X943" s="55"/>
      <c r="Y943" s="53"/>
      <c r="Z943" s="183" t="str">
        <f>IFERROR(__xludf.DUMMYFUNCTION("QUERY('Volunteer Survey'!A942)"),"")</f>
        <v/>
      </c>
      <c r="AA943" s="183" t="str">
        <f>IFERROR(__xludf.DUMMYFUNCTION("QUERY('Volunteer Survey'!B942)"),"")</f>
        <v/>
      </c>
      <c r="AB943" s="183" t="str">
        <f>IFERROR(__xludf.DUMMYFUNCTION("QUERY('Volunteer Survey'!C942)"),"")</f>
        <v/>
      </c>
      <c r="AC943" s="183" t="str">
        <f>IFERROR(__xludf.DUMMYFUNCTION("QUERY('Volunteer Survey'!D942)"),"")</f>
        <v/>
      </c>
      <c r="AD943" s="183" t="str">
        <f>IFERROR(__xludf.DUMMYFUNCTION("QUERY('Volunteer Survey'!E942)"),"")</f>
        <v/>
      </c>
      <c r="AE943" s="183" t="str">
        <f>IFERROR(__xludf.DUMMYFUNCTION("QUERY('Volunteer Survey'!F942)"),"")</f>
        <v/>
      </c>
      <c r="AF943" s="183" t="str">
        <f>IFERROR(__xludf.DUMMYFUNCTION("QUERY('Volunteer Survey'!G942)"),"")</f>
        <v/>
      </c>
      <c r="AG943" s="183" t="str">
        <f>IFERROR(__xludf.DUMMYFUNCTION("QUERY('Volunteer Survey'!H942)"),"")</f>
        <v/>
      </c>
      <c r="AH943" s="183" t="str">
        <f>IFERROR(__xludf.DUMMYFUNCTION("QUERY('Volunteer Survey'!I942)"),"")</f>
        <v/>
      </c>
      <c r="AI943" s="183" t="str">
        <f>IFERROR(__xludf.DUMMYFUNCTION("QUERY('Volunteer Survey'!J942)"),"")</f>
        <v/>
      </c>
      <c r="AJ943" s="183" t="str">
        <f>IFERROR(__xludf.DUMMYFUNCTION("QUERY('Volunteer Survey'!K942)"),"")</f>
        <v/>
      </c>
      <c r="AK943" s="183" t="str">
        <f>IFERROR(__xludf.DUMMYFUNCTION("QUERY('Volunteer Survey'!L942)"),"")</f>
        <v/>
      </c>
      <c r="AL943" s="183" t="str">
        <f>IFERROR(__xludf.DUMMYFUNCTION("QUERY('Volunteer Survey'!M942)"),"")</f>
        <v/>
      </c>
      <c r="AM943" s="183" t="str">
        <f>IFERROR(__xludf.DUMMYFUNCTION("QUERY('Volunteer Survey'!N942)"),"")</f>
        <v/>
      </c>
      <c r="AN943" s="183" t="str">
        <f>IFERROR(__xludf.DUMMYFUNCTION("QUERY('Volunteer Survey'!O942)"),"")</f>
        <v/>
      </c>
      <c r="AO943" s="183" t="str">
        <f>IFERROR(__xludf.DUMMYFUNCTION("QUERY('Volunteer Survey'!P942)"),"")</f>
        <v/>
      </c>
    </row>
    <row r="944">
      <c r="A944" s="55"/>
      <c r="B944" s="55"/>
      <c r="C944" s="53"/>
      <c r="D944" s="55"/>
      <c r="E944" s="55"/>
      <c r="F944" s="55" t="b">
        <v>0</v>
      </c>
      <c r="G944" s="55"/>
      <c r="H944" s="53"/>
      <c r="I944" s="53"/>
      <c r="J944" s="55"/>
      <c r="K944" s="55"/>
      <c r="L944" s="55"/>
      <c r="M944" s="55"/>
      <c r="N944" s="55"/>
      <c r="O944" s="55" t="b">
        <v>0</v>
      </c>
      <c r="P944" s="55"/>
      <c r="Q944" s="55"/>
      <c r="R944" s="55"/>
      <c r="S944" s="55"/>
      <c r="T944" s="55"/>
      <c r="U944" s="64"/>
      <c r="V944" s="55"/>
      <c r="W944" s="64"/>
      <c r="X944" s="55"/>
      <c r="Y944" s="53"/>
      <c r="Z944" s="183" t="str">
        <f>IFERROR(__xludf.DUMMYFUNCTION("QUERY('Volunteer Survey'!A943)"),"")</f>
        <v/>
      </c>
      <c r="AA944" s="183" t="str">
        <f>IFERROR(__xludf.DUMMYFUNCTION("QUERY('Volunteer Survey'!B943)"),"")</f>
        <v/>
      </c>
      <c r="AB944" s="183" t="str">
        <f>IFERROR(__xludf.DUMMYFUNCTION("QUERY('Volunteer Survey'!C943)"),"")</f>
        <v/>
      </c>
      <c r="AC944" s="183" t="str">
        <f>IFERROR(__xludf.DUMMYFUNCTION("QUERY('Volunteer Survey'!D943)"),"")</f>
        <v/>
      </c>
      <c r="AD944" s="183" t="str">
        <f>IFERROR(__xludf.DUMMYFUNCTION("QUERY('Volunteer Survey'!E943)"),"")</f>
        <v/>
      </c>
      <c r="AE944" s="183" t="str">
        <f>IFERROR(__xludf.DUMMYFUNCTION("QUERY('Volunteer Survey'!F943)"),"")</f>
        <v/>
      </c>
      <c r="AF944" s="183" t="str">
        <f>IFERROR(__xludf.DUMMYFUNCTION("QUERY('Volunteer Survey'!G943)"),"")</f>
        <v/>
      </c>
      <c r="AG944" s="183" t="str">
        <f>IFERROR(__xludf.DUMMYFUNCTION("QUERY('Volunteer Survey'!H943)"),"")</f>
        <v/>
      </c>
      <c r="AH944" s="183" t="str">
        <f>IFERROR(__xludf.DUMMYFUNCTION("QUERY('Volunteer Survey'!I943)"),"")</f>
        <v/>
      </c>
      <c r="AI944" s="183" t="str">
        <f>IFERROR(__xludf.DUMMYFUNCTION("QUERY('Volunteer Survey'!J943)"),"")</f>
        <v/>
      </c>
      <c r="AJ944" s="183" t="str">
        <f>IFERROR(__xludf.DUMMYFUNCTION("QUERY('Volunteer Survey'!K943)"),"")</f>
        <v/>
      </c>
      <c r="AK944" s="183" t="str">
        <f>IFERROR(__xludf.DUMMYFUNCTION("QUERY('Volunteer Survey'!L943)"),"")</f>
        <v/>
      </c>
      <c r="AL944" s="183" t="str">
        <f>IFERROR(__xludf.DUMMYFUNCTION("QUERY('Volunteer Survey'!M943)"),"")</f>
        <v/>
      </c>
      <c r="AM944" s="183" t="str">
        <f>IFERROR(__xludf.DUMMYFUNCTION("QUERY('Volunteer Survey'!N943)"),"")</f>
        <v/>
      </c>
      <c r="AN944" s="183" t="str">
        <f>IFERROR(__xludf.DUMMYFUNCTION("QUERY('Volunteer Survey'!O943)"),"")</f>
        <v/>
      </c>
      <c r="AO944" s="183" t="str">
        <f>IFERROR(__xludf.DUMMYFUNCTION("QUERY('Volunteer Survey'!P943)"),"")</f>
        <v/>
      </c>
    </row>
    <row r="945">
      <c r="A945" s="55"/>
      <c r="B945" s="55"/>
      <c r="C945" s="53"/>
      <c r="D945" s="55"/>
      <c r="E945" s="55"/>
      <c r="F945" s="55" t="b">
        <v>0</v>
      </c>
      <c r="G945" s="55"/>
      <c r="H945" s="53"/>
      <c r="I945" s="53"/>
      <c r="J945" s="55"/>
      <c r="K945" s="55"/>
      <c r="L945" s="55"/>
      <c r="M945" s="55"/>
      <c r="N945" s="55"/>
      <c r="O945" s="55" t="b">
        <v>0</v>
      </c>
      <c r="P945" s="55"/>
      <c r="Q945" s="55"/>
      <c r="R945" s="55"/>
      <c r="S945" s="55"/>
      <c r="T945" s="55"/>
      <c r="U945" s="64"/>
      <c r="V945" s="55"/>
      <c r="W945" s="64"/>
      <c r="X945" s="55"/>
      <c r="Y945" s="53"/>
      <c r="Z945" s="183" t="str">
        <f>IFERROR(__xludf.DUMMYFUNCTION("QUERY('Volunteer Survey'!A944)"),"")</f>
        <v/>
      </c>
      <c r="AA945" s="183" t="str">
        <f>IFERROR(__xludf.DUMMYFUNCTION("QUERY('Volunteer Survey'!B944)"),"")</f>
        <v/>
      </c>
      <c r="AB945" s="183" t="str">
        <f>IFERROR(__xludf.DUMMYFUNCTION("QUERY('Volunteer Survey'!C944)"),"")</f>
        <v/>
      </c>
      <c r="AC945" s="183" t="str">
        <f>IFERROR(__xludf.DUMMYFUNCTION("QUERY('Volunteer Survey'!D944)"),"")</f>
        <v/>
      </c>
      <c r="AD945" s="183" t="str">
        <f>IFERROR(__xludf.DUMMYFUNCTION("QUERY('Volunteer Survey'!E944)"),"")</f>
        <v/>
      </c>
      <c r="AE945" s="183" t="str">
        <f>IFERROR(__xludf.DUMMYFUNCTION("QUERY('Volunteer Survey'!F944)"),"")</f>
        <v/>
      </c>
      <c r="AF945" s="183" t="str">
        <f>IFERROR(__xludf.DUMMYFUNCTION("QUERY('Volunteer Survey'!G944)"),"")</f>
        <v/>
      </c>
      <c r="AG945" s="183" t="str">
        <f>IFERROR(__xludf.DUMMYFUNCTION("QUERY('Volunteer Survey'!H944)"),"")</f>
        <v/>
      </c>
      <c r="AH945" s="183" t="str">
        <f>IFERROR(__xludf.DUMMYFUNCTION("QUERY('Volunteer Survey'!I944)"),"")</f>
        <v/>
      </c>
      <c r="AI945" s="183" t="str">
        <f>IFERROR(__xludf.DUMMYFUNCTION("QUERY('Volunteer Survey'!J944)"),"")</f>
        <v/>
      </c>
      <c r="AJ945" s="183" t="str">
        <f>IFERROR(__xludf.DUMMYFUNCTION("QUERY('Volunteer Survey'!K944)"),"")</f>
        <v/>
      </c>
      <c r="AK945" s="183" t="str">
        <f>IFERROR(__xludf.DUMMYFUNCTION("QUERY('Volunteer Survey'!L944)"),"")</f>
        <v/>
      </c>
      <c r="AL945" s="183" t="str">
        <f>IFERROR(__xludf.DUMMYFUNCTION("QUERY('Volunteer Survey'!M944)"),"")</f>
        <v/>
      </c>
      <c r="AM945" s="183" t="str">
        <f>IFERROR(__xludf.DUMMYFUNCTION("QUERY('Volunteer Survey'!N944)"),"")</f>
        <v/>
      </c>
      <c r="AN945" s="183" t="str">
        <f>IFERROR(__xludf.DUMMYFUNCTION("QUERY('Volunteer Survey'!O944)"),"")</f>
        <v/>
      </c>
      <c r="AO945" s="183" t="str">
        <f>IFERROR(__xludf.DUMMYFUNCTION("QUERY('Volunteer Survey'!P944)"),"")</f>
        <v/>
      </c>
    </row>
    <row r="946">
      <c r="A946" s="55"/>
      <c r="B946" s="55"/>
      <c r="C946" s="53"/>
      <c r="D946" s="55"/>
      <c r="E946" s="55"/>
      <c r="F946" s="55" t="b">
        <v>0</v>
      </c>
      <c r="G946" s="55"/>
      <c r="H946" s="53"/>
      <c r="I946" s="53"/>
      <c r="J946" s="55"/>
      <c r="K946" s="55"/>
      <c r="L946" s="55"/>
      <c r="M946" s="55"/>
      <c r="N946" s="55"/>
      <c r="O946" s="55" t="b">
        <v>0</v>
      </c>
      <c r="P946" s="55"/>
      <c r="Q946" s="55"/>
      <c r="R946" s="55"/>
      <c r="S946" s="55"/>
      <c r="T946" s="55"/>
      <c r="U946" s="64"/>
      <c r="V946" s="55"/>
      <c r="W946" s="64"/>
      <c r="X946" s="55"/>
      <c r="Y946" s="53"/>
      <c r="Z946" s="183" t="str">
        <f>IFERROR(__xludf.DUMMYFUNCTION("QUERY('Volunteer Survey'!A945)"),"")</f>
        <v/>
      </c>
      <c r="AA946" s="183" t="str">
        <f>IFERROR(__xludf.DUMMYFUNCTION("QUERY('Volunteer Survey'!B945)"),"")</f>
        <v/>
      </c>
      <c r="AB946" s="183" t="str">
        <f>IFERROR(__xludf.DUMMYFUNCTION("QUERY('Volunteer Survey'!C945)"),"")</f>
        <v/>
      </c>
      <c r="AC946" s="183" t="str">
        <f>IFERROR(__xludf.DUMMYFUNCTION("QUERY('Volunteer Survey'!D945)"),"")</f>
        <v/>
      </c>
      <c r="AD946" s="183" t="str">
        <f>IFERROR(__xludf.DUMMYFUNCTION("QUERY('Volunteer Survey'!E945)"),"")</f>
        <v/>
      </c>
      <c r="AE946" s="183" t="str">
        <f>IFERROR(__xludf.DUMMYFUNCTION("QUERY('Volunteer Survey'!F945)"),"")</f>
        <v/>
      </c>
      <c r="AF946" s="183" t="str">
        <f>IFERROR(__xludf.DUMMYFUNCTION("QUERY('Volunteer Survey'!G945)"),"")</f>
        <v/>
      </c>
      <c r="AG946" s="183" t="str">
        <f>IFERROR(__xludf.DUMMYFUNCTION("QUERY('Volunteer Survey'!H945)"),"")</f>
        <v/>
      </c>
      <c r="AH946" s="183" t="str">
        <f>IFERROR(__xludf.DUMMYFUNCTION("QUERY('Volunteer Survey'!I945)"),"")</f>
        <v/>
      </c>
      <c r="AI946" s="183" t="str">
        <f>IFERROR(__xludf.DUMMYFUNCTION("QUERY('Volunteer Survey'!J945)"),"")</f>
        <v/>
      </c>
      <c r="AJ946" s="183" t="str">
        <f>IFERROR(__xludf.DUMMYFUNCTION("QUERY('Volunteer Survey'!K945)"),"")</f>
        <v/>
      </c>
      <c r="AK946" s="183" t="str">
        <f>IFERROR(__xludf.DUMMYFUNCTION("QUERY('Volunteer Survey'!L945)"),"")</f>
        <v/>
      </c>
      <c r="AL946" s="183" t="str">
        <f>IFERROR(__xludf.DUMMYFUNCTION("QUERY('Volunteer Survey'!M945)"),"")</f>
        <v/>
      </c>
      <c r="AM946" s="183" t="str">
        <f>IFERROR(__xludf.DUMMYFUNCTION("QUERY('Volunteer Survey'!N945)"),"")</f>
        <v/>
      </c>
      <c r="AN946" s="183" t="str">
        <f>IFERROR(__xludf.DUMMYFUNCTION("QUERY('Volunteer Survey'!O945)"),"")</f>
        <v/>
      </c>
      <c r="AO946" s="183" t="str">
        <f>IFERROR(__xludf.DUMMYFUNCTION("QUERY('Volunteer Survey'!P945)"),"")</f>
        <v/>
      </c>
    </row>
    <row r="947">
      <c r="A947" s="55"/>
      <c r="B947" s="55"/>
      <c r="C947" s="53"/>
      <c r="D947" s="55"/>
      <c r="E947" s="55"/>
      <c r="F947" s="55" t="b">
        <v>0</v>
      </c>
      <c r="G947" s="55"/>
      <c r="H947" s="53"/>
      <c r="I947" s="53"/>
      <c r="J947" s="55"/>
      <c r="K947" s="55"/>
      <c r="L947" s="55"/>
      <c r="M947" s="55"/>
      <c r="N947" s="55"/>
      <c r="O947" s="55" t="b">
        <v>0</v>
      </c>
      <c r="P947" s="55"/>
      <c r="Q947" s="55"/>
      <c r="R947" s="55"/>
      <c r="S947" s="55"/>
      <c r="T947" s="55"/>
      <c r="U947" s="64"/>
      <c r="V947" s="55"/>
      <c r="W947" s="64"/>
      <c r="X947" s="55"/>
      <c r="Y947" s="53"/>
      <c r="Z947" s="183" t="str">
        <f>IFERROR(__xludf.DUMMYFUNCTION("QUERY('Volunteer Survey'!A946)"),"")</f>
        <v/>
      </c>
      <c r="AA947" s="183" t="str">
        <f>IFERROR(__xludf.DUMMYFUNCTION("QUERY('Volunteer Survey'!B946)"),"")</f>
        <v/>
      </c>
      <c r="AB947" s="183" t="str">
        <f>IFERROR(__xludf.DUMMYFUNCTION("QUERY('Volunteer Survey'!C946)"),"")</f>
        <v/>
      </c>
      <c r="AC947" s="183" t="str">
        <f>IFERROR(__xludf.DUMMYFUNCTION("QUERY('Volunteer Survey'!D946)"),"")</f>
        <v/>
      </c>
      <c r="AD947" s="183" t="str">
        <f>IFERROR(__xludf.DUMMYFUNCTION("QUERY('Volunteer Survey'!E946)"),"")</f>
        <v/>
      </c>
      <c r="AE947" s="183" t="str">
        <f>IFERROR(__xludf.DUMMYFUNCTION("QUERY('Volunteer Survey'!F946)"),"")</f>
        <v/>
      </c>
      <c r="AF947" s="183" t="str">
        <f>IFERROR(__xludf.DUMMYFUNCTION("QUERY('Volunteer Survey'!G946)"),"")</f>
        <v/>
      </c>
      <c r="AG947" s="183" t="str">
        <f>IFERROR(__xludf.DUMMYFUNCTION("QUERY('Volunteer Survey'!H946)"),"")</f>
        <v/>
      </c>
      <c r="AH947" s="183" t="str">
        <f>IFERROR(__xludf.DUMMYFUNCTION("QUERY('Volunteer Survey'!I946)"),"")</f>
        <v/>
      </c>
      <c r="AI947" s="183" t="str">
        <f>IFERROR(__xludf.DUMMYFUNCTION("QUERY('Volunteer Survey'!J946)"),"")</f>
        <v/>
      </c>
      <c r="AJ947" s="183" t="str">
        <f>IFERROR(__xludf.DUMMYFUNCTION("QUERY('Volunteer Survey'!K946)"),"")</f>
        <v/>
      </c>
      <c r="AK947" s="183" t="str">
        <f>IFERROR(__xludf.DUMMYFUNCTION("QUERY('Volunteer Survey'!L946)"),"")</f>
        <v/>
      </c>
      <c r="AL947" s="183" t="str">
        <f>IFERROR(__xludf.DUMMYFUNCTION("QUERY('Volunteer Survey'!M946)"),"")</f>
        <v/>
      </c>
      <c r="AM947" s="183" t="str">
        <f>IFERROR(__xludf.DUMMYFUNCTION("QUERY('Volunteer Survey'!N946)"),"")</f>
        <v/>
      </c>
      <c r="AN947" s="183" t="str">
        <f>IFERROR(__xludf.DUMMYFUNCTION("QUERY('Volunteer Survey'!O946)"),"")</f>
        <v/>
      </c>
      <c r="AO947" s="183" t="str">
        <f>IFERROR(__xludf.DUMMYFUNCTION("QUERY('Volunteer Survey'!P946)"),"")</f>
        <v/>
      </c>
    </row>
    <row r="948">
      <c r="A948" s="55"/>
      <c r="B948" s="55"/>
      <c r="C948" s="53"/>
      <c r="D948" s="55"/>
      <c r="E948" s="55"/>
      <c r="F948" s="55" t="b">
        <v>0</v>
      </c>
      <c r="G948" s="55"/>
      <c r="H948" s="53"/>
      <c r="I948" s="53"/>
      <c r="J948" s="55"/>
      <c r="K948" s="55"/>
      <c r="L948" s="55"/>
      <c r="M948" s="55"/>
      <c r="N948" s="55"/>
      <c r="O948" s="55" t="b">
        <v>0</v>
      </c>
      <c r="P948" s="55"/>
      <c r="Q948" s="55"/>
      <c r="R948" s="55"/>
      <c r="S948" s="55"/>
      <c r="T948" s="55"/>
      <c r="U948" s="64"/>
      <c r="V948" s="55"/>
      <c r="W948" s="64"/>
      <c r="X948" s="55"/>
      <c r="Y948" s="53"/>
      <c r="Z948" s="183" t="str">
        <f>IFERROR(__xludf.DUMMYFUNCTION("QUERY('Volunteer Survey'!A947)"),"")</f>
        <v/>
      </c>
      <c r="AA948" s="183" t="str">
        <f>IFERROR(__xludf.DUMMYFUNCTION("QUERY('Volunteer Survey'!B947)"),"")</f>
        <v/>
      </c>
      <c r="AB948" s="183" t="str">
        <f>IFERROR(__xludf.DUMMYFUNCTION("QUERY('Volunteer Survey'!C947)"),"")</f>
        <v/>
      </c>
      <c r="AC948" s="183" t="str">
        <f>IFERROR(__xludf.DUMMYFUNCTION("QUERY('Volunteer Survey'!D947)"),"")</f>
        <v/>
      </c>
      <c r="AD948" s="183" t="str">
        <f>IFERROR(__xludf.DUMMYFUNCTION("QUERY('Volunteer Survey'!E947)"),"")</f>
        <v/>
      </c>
      <c r="AE948" s="183" t="str">
        <f>IFERROR(__xludf.DUMMYFUNCTION("QUERY('Volunteer Survey'!F947)"),"")</f>
        <v/>
      </c>
      <c r="AF948" s="183" t="str">
        <f>IFERROR(__xludf.DUMMYFUNCTION("QUERY('Volunteer Survey'!G947)"),"")</f>
        <v/>
      </c>
      <c r="AG948" s="183" t="str">
        <f>IFERROR(__xludf.DUMMYFUNCTION("QUERY('Volunteer Survey'!H947)"),"")</f>
        <v/>
      </c>
      <c r="AH948" s="183" t="str">
        <f>IFERROR(__xludf.DUMMYFUNCTION("QUERY('Volunteer Survey'!I947)"),"")</f>
        <v/>
      </c>
      <c r="AI948" s="183" t="str">
        <f>IFERROR(__xludf.DUMMYFUNCTION("QUERY('Volunteer Survey'!J947)"),"")</f>
        <v/>
      </c>
      <c r="AJ948" s="183" t="str">
        <f>IFERROR(__xludf.DUMMYFUNCTION("QUERY('Volunteer Survey'!K947)"),"")</f>
        <v/>
      </c>
      <c r="AK948" s="183" t="str">
        <f>IFERROR(__xludf.DUMMYFUNCTION("QUERY('Volunteer Survey'!L947)"),"")</f>
        <v/>
      </c>
      <c r="AL948" s="183" t="str">
        <f>IFERROR(__xludf.DUMMYFUNCTION("QUERY('Volunteer Survey'!M947)"),"")</f>
        <v/>
      </c>
      <c r="AM948" s="183" t="str">
        <f>IFERROR(__xludf.DUMMYFUNCTION("QUERY('Volunteer Survey'!N947)"),"")</f>
        <v/>
      </c>
      <c r="AN948" s="183" t="str">
        <f>IFERROR(__xludf.DUMMYFUNCTION("QUERY('Volunteer Survey'!O947)"),"")</f>
        <v/>
      </c>
      <c r="AO948" s="183" t="str">
        <f>IFERROR(__xludf.DUMMYFUNCTION("QUERY('Volunteer Survey'!P947)"),"")</f>
        <v/>
      </c>
    </row>
    <row r="949">
      <c r="A949" s="55"/>
      <c r="B949" s="55"/>
      <c r="C949" s="53"/>
      <c r="D949" s="55"/>
      <c r="E949" s="55"/>
      <c r="F949" s="55" t="b">
        <v>0</v>
      </c>
      <c r="G949" s="55"/>
      <c r="H949" s="53"/>
      <c r="I949" s="53"/>
      <c r="J949" s="55"/>
      <c r="K949" s="55"/>
      <c r="L949" s="55"/>
      <c r="M949" s="55"/>
      <c r="N949" s="55"/>
      <c r="O949" s="55" t="b">
        <v>0</v>
      </c>
      <c r="P949" s="55"/>
      <c r="Q949" s="55"/>
      <c r="R949" s="55"/>
      <c r="S949" s="55"/>
      <c r="T949" s="55"/>
      <c r="U949" s="64"/>
      <c r="V949" s="55"/>
      <c r="W949" s="64"/>
      <c r="X949" s="55"/>
      <c r="Y949" s="53"/>
      <c r="Z949" s="183" t="str">
        <f>IFERROR(__xludf.DUMMYFUNCTION("QUERY('Volunteer Survey'!A948)"),"")</f>
        <v/>
      </c>
      <c r="AA949" s="183" t="str">
        <f>IFERROR(__xludf.DUMMYFUNCTION("QUERY('Volunteer Survey'!B948)"),"")</f>
        <v/>
      </c>
      <c r="AB949" s="183" t="str">
        <f>IFERROR(__xludf.DUMMYFUNCTION("QUERY('Volunteer Survey'!C948)"),"")</f>
        <v/>
      </c>
      <c r="AC949" s="183" t="str">
        <f>IFERROR(__xludf.DUMMYFUNCTION("QUERY('Volunteer Survey'!D948)"),"")</f>
        <v/>
      </c>
      <c r="AD949" s="183" t="str">
        <f>IFERROR(__xludf.DUMMYFUNCTION("QUERY('Volunteer Survey'!E948)"),"")</f>
        <v/>
      </c>
      <c r="AE949" s="183" t="str">
        <f>IFERROR(__xludf.DUMMYFUNCTION("QUERY('Volunteer Survey'!F948)"),"")</f>
        <v/>
      </c>
      <c r="AF949" s="183" t="str">
        <f>IFERROR(__xludf.DUMMYFUNCTION("QUERY('Volunteer Survey'!G948)"),"")</f>
        <v/>
      </c>
      <c r="AG949" s="183" t="str">
        <f>IFERROR(__xludf.DUMMYFUNCTION("QUERY('Volunteer Survey'!H948)"),"")</f>
        <v/>
      </c>
      <c r="AH949" s="183" t="str">
        <f>IFERROR(__xludf.DUMMYFUNCTION("QUERY('Volunteer Survey'!I948)"),"")</f>
        <v/>
      </c>
      <c r="AI949" s="183" t="str">
        <f>IFERROR(__xludf.DUMMYFUNCTION("QUERY('Volunteer Survey'!J948)"),"")</f>
        <v/>
      </c>
      <c r="AJ949" s="183" t="str">
        <f>IFERROR(__xludf.DUMMYFUNCTION("QUERY('Volunteer Survey'!K948)"),"")</f>
        <v/>
      </c>
      <c r="AK949" s="183" t="str">
        <f>IFERROR(__xludf.DUMMYFUNCTION("QUERY('Volunteer Survey'!L948)"),"")</f>
        <v/>
      </c>
      <c r="AL949" s="183" t="str">
        <f>IFERROR(__xludf.DUMMYFUNCTION("QUERY('Volunteer Survey'!M948)"),"")</f>
        <v/>
      </c>
      <c r="AM949" s="183" t="str">
        <f>IFERROR(__xludf.DUMMYFUNCTION("QUERY('Volunteer Survey'!N948)"),"")</f>
        <v/>
      </c>
      <c r="AN949" s="183" t="str">
        <f>IFERROR(__xludf.DUMMYFUNCTION("QUERY('Volunteer Survey'!O948)"),"")</f>
        <v/>
      </c>
      <c r="AO949" s="183" t="str">
        <f>IFERROR(__xludf.DUMMYFUNCTION("QUERY('Volunteer Survey'!P948)"),"")</f>
        <v/>
      </c>
    </row>
    <row r="950">
      <c r="A950" s="55"/>
      <c r="B950" s="55"/>
      <c r="C950" s="53"/>
      <c r="D950" s="55"/>
      <c r="E950" s="55"/>
      <c r="F950" s="55" t="b">
        <v>0</v>
      </c>
      <c r="G950" s="55"/>
      <c r="H950" s="53"/>
      <c r="I950" s="53"/>
      <c r="J950" s="55"/>
      <c r="K950" s="55"/>
      <c r="L950" s="55"/>
      <c r="M950" s="55"/>
      <c r="N950" s="55"/>
      <c r="O950" s="55" t="b">
        <v>0</v>
      </c>
      <c r="P950" s="55"/>
      <c r="Q950" s="55"/>
      <c r="R950" s="55"/>
      <c r="S950" s="55"/>
      <c r="T950" s="55"/>
      <c r="U950" s="64"/>
      <c r="V950" s="55"/>
      <c r="W950" s="64"/>
      <c r="X950" s="55"/>
      <c r="Y950" s="53"/>
      <c r="Z950" s="183" t="str">
        <f>IFERROR(__xludf.DUMMYFUNCTION("QUERY('Volunteer Survey'!A949)"),"")</f>
        <v/>
      </c>
      <c r="AA950" s="183" t="str">
        <f>IFERROR(__xludf.DUMMYFUNCTION("QUERY('Volunteer Survey'!B949)"),"")</f>
        <v/>
      </c>
      <c r="AB950" s="183" t="str">
        <f>IFERROR(__xludf.DUMMYFUNCTION("QUERY('Volunteer Survey'!C949)"),"")</f>
        <v/>
      </c>
      <c r="AC950" s="183" t="str">
        <f>IFERROR(__xludf.DUMMYFUNCTION("QUERY('Volunteer Survey'!D949)"),"")</f>
        <v/>
      </c>
      <c r="AD950" s="183" t="str">
        <f>IFERROR(__xludf.DUMMYFUNCTION("QUERY('Volunteer Survey'!E949)"),"")</f>
        <v/>
      </c>
      <c r="AE950" s="183" t="str">
        <f>IFERROR(__xludf.DUMMYFUNCTION("QUERY('Volunteer Survey'!F949)"),"")</f>
        <v/>
      </c>
      <c r="AF950" s="183" t="str">
        <f>IFERROR(__xludf.DUMMYFUNCTION("QUERY('Volunteer Survey'!G949)"),"")</f>
        <v/>
      </c>
      <c r="AG950" s="183" t="str">
        <f>IFERROR(__xludf.DUMMYFUNCTION("QUERY('Volunteer Survey'!H949)"),"")</f>
        <v/>
      </c>
      <c r="AH950" s="183" t="str">
        <f>IFERROR(__xludf.DUMMYFUNCTION("QUERY('Volunteer Survey'!I949)"),"")</f>
        <v/>
      </c>
      <c r="AI950" s="183" t="str">
        <f>IFERROR(__xludf.DUMMYFUNCTION("QUERY('Volunteer Survey'!J949)"),"")</f>
        <v/>
      </c>
      <c r="AJ950" s="183" t="str">
        <f>IFERROR(__xludf.DUMMYFUNCTION("QUERY('Volunteer Survey'!K949)"),"")</f>
        <v/>
      </c>
      <c r="AK950" s="183" t="str">
        <f>IFERROR(__xludf.DUMMYFUNCTION("QUERY('Volunteer Survey'!L949)"),"")</f>
        <v/>
      </c>
      <c r="AL950" s="183" t="str">
        <f>IFERROR(__xludf.DUMMYFUNCTION("QUERY('Volunteer Survey'!M949)"),"")</f>
        <v/>
      </c>
      <c r="AM950" s="183" t="str">
        <f>IFERROR(__xludf.DUMMYFUNCTION("QUERY('Volunteer Survey'!N949)"),"")</f>
        <v/>
      </c>
      <c r="AN950" s="183" t="str">
        <f>IFERROR(__xludf.DUMMYFUNCTION("QUERY('Volunteer Survey'!O949)"),"")</f>
        <v/>
      </c>
      <c r="AO950" s="183" t="str">
        <f>IFERROR(__xludf.DUMMYFUNCTION("QUERY('Volunteer Survey'!P949)"),"")</f>
        <v/>
      </c>
    </row>
    <row r="951">
      <c r="A951" s="55"/>
      <c r="B951" s="55"/>
      <c r="C951" s="53"/>
      <c r="D951" s="55"/>
      <c r="E951" s="55"/>
      <c r="F951" s="55" t="b">
        <v>0</v>
      </c>
      <c r="G951" s="55"/>
      <c r="H951" s="53"/>
      <c r="I951" s="53"/>
      <c r="J951" s="55"/>
      <c r="K951" s="55"/>
      <c r="L951" s="55"/>
      <c r="M951" s="55"/>
      <c r="N951" s="55"/>
      <c r="O951" s="55" t="b">
        <v>0</v>
      </c>
      <c r="P951" s="55"/>
      <c r="Q951" s="55"/>
      <c r="R951" s="55"/>
      <c r="S951" s="55"/>
      <c r="T951" s="55"/>
      <c r="U951" s="64"/>
      <c r="V951" s="55"/>
      <c r="W951" s="64"/>
      <c r="X951" s="55"/>
      <c r="Y951" s="53"/>
      <c r="Z951" s="183" t="str">
        <f>IFERROR(__xludf.DUMMYFUNCTION("QUERY('Volunteer Survey'!A950)"),"")</f>
        <v/>
      </c>
      <c r="AA951" s="183" t="str">
        <f>IFERROR(__xludf.DUMMYFUNCTION("QUERY('Volunteer Survey'!B950)"),"")</f>
        <v/>
      </c>
      <c r="AB951" s="183" t="str">
        <f>IFERROR(__xludf.DUMMYFUNCTION("QUERY('Volunteer Survey'!C950)"),"")</f>
        <v/>
      </c>
      <c r="AC951" s="183" t="str">
        <f>IFERROR(__xludf.DUMMYFUNCTION("QUERY('Volunteer Survey'!D950)"),"")</f>
        <v/>
      </c>
      <c r="AD951" s="183" t="str">
        <f>IFERROR(__xludf.DUMMYFUNCTION("QUERY('Volunteer Survey'!E950)"),"")</f>
        <v/>
      </c>
      <c r="AE951" s="183" t="str">
        <f>IFERROR(__xludf.DUMMYFUNCTION("QUERY('Volunteer Survey'!F950)"),"")</f>
        <v/>
      </c>
      <c r="AF951" s="183" t="str">
        <f>IFERROR(__xludf.DUMMYFUNCTION("QUERY('Volunteer Survey'!G950)"),"")</f>
        <v/>
      </c>
      <c r="AG951" s="183" t="str">
        <f>IFERROR(__xludf.DUMMYFUNCTION("QUERY('Volunteer Survey'!H950)"),"")</f>
        <v/>
      </c>
      <c r="AH951" s="183" t="str">
        <f>IFERROR(__xludf.DUMMYFUNCTION("QUERY('Volunteer Survey'!I950)"),"")</f>
        <v/>
      </c>
      <c r="AI951" s="183" t="str">
        <f>IFERROR(__xludf.DUMMYFUNCTION("QUERY('Volunteer Survey'!J950)"),"")</f>
        <v/>
      </c>
      <c r="AJ951" s="183" t="str">
        <f>IFERROR(__xludf.DUMMYFUNCTION("QUERY('Volunteer Survey'!K950)"),"")</f>
        <v/>
      </c>
      <c r="AK951" s="183" t="str">
        <f>IFERROR(__xludf.DUMMYFUNCTION("QUERY('Volunteer Survey'!L950)"),"")</f>
        <v/>
      </c>
      <c r="AL951" s="183" t="str">
        <f>IFERROR(__xludf.DUMMYFUNCTION("QUERY('Volunteer Survey'!M950)"),"")</f>
        <v/>
      </c>
      <c r="AM951" s="183" t="str">
        <f>IFERROR(__xludf.DUMMYFUNCTION("QUERY('Volunteer Survey'!N950)"),"")</f>
        <v/>
      </c>
      <c r="AN951" s="183" t="str">
        <f>IFERROR(__xludf.DUMMYFUNCTION("QUERY('Volunteer Survey'!O950)"),"")</f>
        <v/>
      </c>
      <c r="AO951" s="183" t="str">
        <f>IFERROR(__xludf.DUMMYFUNCTION("QUERY('Volunteer Survey'!P950)"),"")</f>
        <v/>
      </c>
    </row>
    <row r="952">
      <c r="A952" s="55"/>
      <c r="B952" s="55"/>
      <c r="C952" s="53"/>
      <c r="D952" s="55"/>
      <c r="E952" s="55"/>
      <c r="F952" s="55" t="b">
        <v>0</v>
      </c>
      <c r="G952" s="55"/>
      <c r="H952" s="53"/>
      <c r="I952" s="53"/>
      <c r="J952" s="55"/>
      <c r="K952" s="55"/>
      <c r="L952" s="55"/>
      <c r="M952" s="55"/>
      <c r="N952" s="55"/>
      <c r="O952" s="55" t="b">
        <v>0</v>
      </c>
      <c r="P952" s="55"/>
      <c r="Q952" s="55"/>
      <c r="R952" s="55"/>
      <c r="S952" s="55"/>
      <c r="T952" s="55"/>
      <c r="U952" s="64"/>
      <c r="V952" s="55"/>
      <c r="W952" s="64"/>
      <c r="X952" s="55"/>
      <c r="Y952" s="53"/>
      <c r="Z952" s="183" t="str">
        <f>IFERROR(__xludf.DUMMYFUNCTION("QUERY('Volunteer Survey'!A951)"),"")</f>
        <v/>
      </c>
      <c r="AA952" s="183" t="str">
        <f>IFERROR(__xludf.DUMMYFUNCTION("QUERY('Volunteer Survey'!B951)"),"")</f>
        <v/>
      </c>
      <c r="AB952" s="183" t="str">
        <f>IFERROR(__xludf.DUMMYFUNCTION("QUERY('Volunteer Survey'!C951)"),"")</f>
        <v/>
      </c>
      <c r="AC952" s="183" t="str">
        <f>IFERROR(__xludf.DUMMYFUNCTION("QUERY('Volunteer Survey'!D951)"),"")</f>
        <v/>
      </c>
      <c r="AD952" s="183" t="str">
        <f>IFERROR(__xludf.DUMMYFUNCTION("QUERY('Volunteer Survey'!E951)"),"")</f>
        <v/>
      </c>
      <c r="AE952" s="183" t="str">
        <f>IFERROR(__xludf.DUMMYFUNCTION("QUERY('Volunteer Survey'!F951)"),"")</f>
        <v/>
      </c>
      <c r="AF952" s="183" t="str">
        <f>IFERROR(__xludf.DUMMYFUNCTION("QUERY('Volunteer Survey'!G951)"),"")</f>
        <v/>
      </c>
      <c r="AG952" s="183" t="str">
        <f>IFERROR(__xludf.DUMMYFUNCTION("QUERY('Volunteer Survey'!H951)"),"")</f>
        <v/>
      </c>
      <c r="AH952" s="183" t="str">
        <f>IFERROR(__xludf.DUMMYFUNCTION("QUERY('Volunteer Survey'!I951)"),"")</f>
        <v/>
      </c>
      <c r="AI952" s="183" t="str">
        <f>IFERROR(__xludf.DUMMYFUNCTION("QUERY('Volunteer Survey'!J951)"),"")</f>
        <v/>
      </c>
      <c r="AJ952" s="183" t="str">
        <f>IFERROR(__xludf.DUMMYFUNCTION("QUERY('Volunteer Survey'!K951)"),"")</f>
        <v/>
      </c>
      <c r="AK952" s="183" t="str">
        <f>IFERROR(__xludf.DUMMYFUNCTION("QUERY('Volunteer Survey'!L951)"),"")</f>
        <v/>
      </c>
      <c r="AL952" s="183" t="str">
        <f>IFERROR(__xludf.DUMMYFUNCTION("QUERY('Volunteer Survey'!M951)"),"")</f>
        <v/>
      </c>
      <c r="AM952" s="183" t="str">
        <f>IFERROR(__xludf.DUMMYFUNCTION("QUERY('Volunteer Survey'!N951)"),"")</f>
        <v/>
      </c>
      <c r="AN952" s="183" t="str">
        <f>IFERROR(__xludf.DUMMYFUNCTION("QUERY('Volunteer Survey'!O951)"),"")</f>
        <v/>
      </c>
      <c r="AO952" s="183" t="str">
        <f>IFERROR(__xludf.DUMMYFUNCTION("QUERY('Volunteer Survey'!P951)"),"")</f>
        <v/>
      </c>
    </row>
    <row r="953">
      <c r="A953" s="55"/>
      <c r="B953" s="55"/>
      <c r="C953" s="53"/>
      <c r="D953" s="55"/>
      <c r="E953" s="55"/>
      <c r="F953" s="55" t="b">
        <v>0</v>
      </c>
      <c r="G953" s="55"/>
      <c r="H953" s="53"/>
      <c r="I953" s="53"/>
      <c r="J953" s="55"/>
      <c r="K953" s="55"/>
      <c r="L953" s="55"/>
      <c r="M953" s="55"/>
      <c r="N953" s="55"/>
      <c r="O953" s="55" t="b">
        <v>0</v>
      </c>
      <c r="P953" s="55"/>
      <c r="Q953" s="55"/>
      <c r="R953" s="55"/>
      <c r="S953" s="55"/>
      <c r="T953" s="55"/>
      <c r="U953" s="64"/>
      <c r="V953" s="55"/>
      <c r="W953" s="64"/>
      <c r="X953" s="55"/>
      <c r="Y953" s="53"/>
      <c r="Z953" s="183" t="str">
        <f>IFERROR(__xludf.DUMMYFUNCTION("QUERY('Volunteer Survey'!A952)"),"")</f>
        <v/>
      </c>
      <c r="AA953" s="183" t="str">
        <f>IFERROR(__xludf.DUMMYFUNCTION("QUERY('Volunteer Survey'!B952)"),"")</f>
        <v/>
      </c>
      <c r="AB953" s="183" t="str">
        <f>IFERROR(__xludf.DUMMYFUNCTION("QUERY('Volunteer Survey'!C952)"),"")</f>
        <v/>
      </c>
      <c r="AC953" s="183" t="str">
        <f>IFERROR(__xludf.DUMMYFUNCTION("QUERY('Volunteer Survey'!D952)"),"")</f>
        <v/>
      </c>
      <c r="AD953" s="183" t="str">
        <f>IFERROR(__xludf.DUMMYFUNCTION("QUERY('Volunteer Survey'!E952)"),"")</f>
        <v/>
      </c>
      <c r="AE953" s="183" t="str">
        <f>IFERROR(__xludf.DUMMYFUNCTION("QUERY('Volunteer Survey'!F952)"),"")</f>
        <v/>
      </c>
      <c r="AF953" s="183" t="str">
        <f>IFERROR(__xludf.DUMMYFUNCTION("QUERY('Volunteer Survey'!G952)"),"")</f>
        <v/>
      </c>
      <c r="AG953" s="183" t="str">
        <f>IFERROR(__xludf.DUMMYFUNCTION("QUERY('Volunteer Survey'!H952)"),"")</f>
        <v/>
      </c>
      <c r="AH953" s="183" t="str">
        <f>IFERROR(__xludf.DUMMYFUNCTION("QUERY('Volunteer Survey'!I952)"),"")</f>
        <v/>
      </c>
      <c r="AI953" s="183" t="str">
        <f>IFERROR(__xludf.DUMMYFUNCTION("QUERY('Volunteer Survey'!J952)"),"")</f>
        <v/>
      </c>
      <c r="AJ953" s="183" t="str">
        <f>IFERROR(__xludf.DUMMYFUNCTION("QUERY('Volunteer Survey'!K952)"),"")</f>
        <v/>
      </c>
      <c r="AK953" s="183" t="str">
        <f>IFERROR(__xludf.DUMMYFUNCTION("QUERY('Volunteer Survey'!L952)"),"")</f>
        <v/>
      </c>
      <c r="AL953" s="183" t="str">
        <f>IFERROR(__xludf.DUMMYFUNCTION("QUERY('Volunteer Survey'!M952)"),"")</f>
        <v/>
      </c>
      <c r="AM953" s="183" t="str">
        <f>IFERROR(__xludf.DUMMYFUNCTION("QUERY('Volunteer Survey'!N952)"),"")</f>
        <v/>
      </c>
      <c r="AN953" s="183" t="str">
        <f>IFERROR(__xludf.DUMMYFUNCTION("QUERY('Volunteer Survey'!O952)"),"")</f>
        <v/>
      </c>
      <c r="AO953" s="183" t="str">
        <f>IFERROR(__xludf.DUMMYFUNCTION("QUERY('Volunteer Survey'!P952)"),"")</f>
        <v/>
      </c>
    </row>
    <row r="954">
      <c r="A954" s="55"/>
      <c r="B954" s="55"/>
      <c r="C954" s="53"/>
      <c r="D954" s="55"/>
      <c r="E954" s="55"/>
      <c r="F954" s="55" t="b">
        <v>0</v>
      </c>
      <c r="G954" s="55"/>
      <c r="H954" s="53"/>
      <c r="I954" s="53"/>
      <c r="J954" s="55"/>
      <c r="K954" s="55"/>
      <c r="L954" s="55"/>
      <c r="M954" s="55"/>
      <c r="N954" s="55"/>
      <c r="O954" s="55" t="b">
        <v>0</v>
      </c>
      <c r="P954" s="55"/>
      <c r="Q954" s="55"/>
      <c r="R954" s="55"/>
      <c r="S954" s="55"/>
      <c r="T954" s="55"/>
      <c r="U954" s="64"/>
      <c r="V954" s="55"/>
      <c r="W954" s="64"/>
      <c r="X954" s="55"/>
      <c r="Y954" s="53"/>
      <c r="Z954" s="183" t="str">
        <f>IFERROR(__xludf.DUMMYFUNCTION("QUERY('Volunteer Survey'!A953)"),"")</f>
        <v/>
      </c>
      <c r="AA954" s="183" t="str">
        <f>IFERROR(__xludf.DUMMYFUNCTION("QUERY('Volunteer Survey'!B953)"),"")</f>
        <v/>
      </c>
      <c r="AB954" s="183" t="str">
        <f>IFERROR(__xludf.DUMMYFUNCTION("QUERY('Volunteer Survey'!C953)"),"")</f>
        <v/>
      </c>
      <c r="AC954" s="183" t="str">
        <f>IFERROR(__xludf.DUMMYFUNCTION("QUERY('Volunteer Survey'!D953)"),"")</f>
        <v/>
      </c>
      <c r="AD954" s="183" t="str">
        <f>IFERROR(__xludf.DUMMYFUNCTION("QUERY('Volunteer Survey'!E953)"),"")</f>
        <v/>
      </c>
      <c r="AE954" s="183" t="str">
        <f>IFERROR(__xludf.DUMMYFUNCTION("QUERY('Volunteer Survey'!F953)"),"")</f>
        <v/>
      </c>
      <c r="AF954" s="183" t="str">
        <f>IFERROR(__xludf.DUMMYFUNCTION("QUERY('Volunteer Survey'!G953)"),"")</f>
        <v/>
      </c>
      <c r="AG954" s="183" t="str">
        <f>IFERROR(__xludf.DUMMYFUNCTION("QUERY('Volunteer Survey'!H953)"),"")</f>
        <v/>
      </c>
      <c r="AH954" s="183" t="str">
        <f>IFERROR(__xludf.DUMMYFUNCTION("QUERY('Volunteer Survey'!I953)"),"")</f>
        <v/>
      </c>
      <c r="AI954" s="183" t="str">
        <f>IFERROR(__xludf.DUMMYFUNCTION("QUERY('Volunteer Survey'!J953)"),"")</f>
        <v/>
      </c>
      <c r="AJ954" s="183" t="str">
        <f>IFERROR(__xludf.DUMMYFUNCTION("QUERY('Volunteer Survey'!K953)"),"")</f>
        <v/>
      </c>
      <c r="AK954" s="183" t="str">
        <f>IFERROR(__xludf.DUMMYFUNCTION("QUERY('Volunteer Survey'!L953)"),"")</f>
        <v/>
      </c>
      <c r="AL954" s="183" t="str">
        <f>IFERROR(__xludf.DUMMYFUNCTION("QUERY('Volunteer Survey'!M953)"),"")</f>
        <v/>
      </c>
      <c r="AM954" s="183" t="str">
        <f>IFERROR(__xludf.DUMMYFUNCTION("QUERY('Volunteer Survey'!N953)"),"")</f>
        <v/>
      </c>
      <c r="AN954" s="183" t="str">
        <f>IFERROR(__xludf.DUMMYFUNCTION("QUERY('Volunteer Survey'!O953)"),"")</f>
        <v/>
      </c>
      <c r="AO954" s="183" t="str">
        <f>IFERROR(__xludf.DUMMYFUNCTION("QUERY('Volunteer Survey'!P953)"),"")</f>
        <v/>
      </c>
    </row>
    <row r="955">
      <c r="A955" s="55"/>
      <c r="B955" s="55"/>
      <c r="C955" s="53"/>
      <c r="D955" s="55"/>
      <c r="E955" s="55"/>
      <c r="F955" s="55" t="b">
        <v>0</v>
      </c>
      <c r="G955" s="55"/>
      <c r="H955" s="53"/>
      <c r="I955" s="53"/>
      <c r="J955" s="55"/>
      <c r="K955" s="55"/>
      <c r="L955" s="55"/>
      <c r="M955" s="55"/>
      <c r="N955" s="55"/>
      <c r="O955" s="55" t="b">
        <v>0</v>
      </c>
      <c r="P955" s="55"/>
      <c r="Q955" s="55"/>
      <c r="R955" s="55"/>
      <c r="S955" s="55"/>
      <c r="T955" s="55"/>
      <c r="U955" s="64"/>
      <c r="V955" s="55"/>
      <c r="W955" s="64"/>
      <c r="X955" s="55"/>
      <c r="Y955" s="53"/>
      <c r="Z955" s="183" t="str">
        <f>IFERROR(__xludf.DUMMYFUNCTION("QUERY('Volunteer Survey'!A954)"),"")</f>
        <v/>
      </c>
      <c r="AA955" s="183" t="str">
        <f>IFERROR(__xludf.DUMMYFUNCTION("QUERY('Volunteer Survey'!B954)"),"")</f>
        <v/>
      </c>
      <c r="AB955" s="183" t="str">
        <f>IFERROR(__xludf.DUMMYFUNCTION("QUERY('Volunteer Survey'!C954)"),"")</f>
        <v/>
      </c>
      <c r="AC955" s="183" t="str">
        <f>IFERROR(__xludf.DUMMYFUNCTION("QUERY('Volunteer Survey'!D954)"),"")</f>
        <v/>
      </c>
      <c r="AD955" s="183" t="str">
        <f>IFERROR(__xludf.DUMMYFUNCTION("QUERY('Volunteer Survey'!E954)"),"")</f>
        <v/>
      </c>
      <c r="AE955" s="183" t="str">
        <f>IFERROR(__xludf.DUMMYFUNCTION("QUERY('Volunteer Survey'!F954)"),"")</f>
        <v/>
      </c>
      <c r="AF955" s="183" t="str">
        <f>IFERROR(__xludf.DUMMYFUNCTION("QUERY('Volunteer Survey'!G954)"),"")</f>
        <v/>
      </c>
      <c r="AG955" s="183" t="str">
        <f>IFERROR(__xludf.DUMMYFUNCTION("QUERY('Volunteer Survey'!H954)"),"")</f>
        <v/>
      </c>
      <c r="AH955" s="183" t="str">
        <f>IFERROR(__xludf.DUMMYFUNCTION("QUERY('Volunteer Survey'!I954)"),"")</f>
        <v/>
      </c>
      <c r="AI955" s="183" t="str">
        <f>IFERROR(__xludf.DUMMYFUNCTION("QUERY('Volunteer Survey'!J954)"),"")</f>
        <v/>
      </c>
      <c r="AJ955" s="183" t="str">
        <f>IFERROR(__xludf.DUMMYFUNCTION("QUERY('Volunteer Survey'!K954)"),"")</f>
        <v/>
      </c>
      <c r="AK955" s="183" t="str">
        <f>IFERROR(__xludf.DUMMYFUNCTION("QUERY('Volunteer Survey'!L954)"),"")</f>
        <v/>
      </c>
      <c r="AL955" s="183" t="str">
        <f>IFERROR(__xludf.DUMMYFUNCTION("QUERY('Volunteer Survey'!M954)"),"")</f>
        <v/>
      </c>
      <c r="AM955" s="183" t="str">
        <f>IFERROR(__xludf.DUMMYFUNCTION("QUERY('Volunteer Survey'!N954)"),"")</f>
        <v/>
      </c>
      <c r="AN955" s="183" t="str">
        <f>IFERROR(__xludf.DUMMYFUNCTION("QUERY('Volunteer Survey'!O954)"),"")</f>
        <v/>
      </c>
      <c r="AO955" s="183" t="str">
        <f>IFERROR(__xludf.DUMMYFUNCTION("QUERY('Volunteer Survey'!P954)"),"")</f>
        <v/>
      </c>
    </row>
    <row r="956">
      <c r="A956" s="55"/>
      <c r="B956" s="55"/>
      <c r="C956" s="53"/>
      <c r="D956" s="55"/>
      <c r="E956" s="55"/>
      <c r="F956" s="55" t="b">
        <v>0</v>
      </c>
      <c r="G956" s="55"/>
      <c r="H956" s="53"/>
      <c r="I956" s="53"/>
      <c r="J956" s="55"/>
      <c r="K956" s="55"/>
      <c r="L956" s="55"/>
      <c r="M956" s="55"/>
      <c r="N956" s="55"/>
      <c r="O956" s="55" t="b">
        <v>0</v>
      </c>
      <c r="P956" s="55"/>
      <c r="Q956" s="55"/>
      <c r="R956" s="55"/>
      <c r="S956" s="55"/>
      <c r="T956" s="55"/>
      <c r="U956" s="64"/>
      <c r="V956" s="55"/>
      <c r="W956" s="64"/>
      <c r="X956" s="55"/>
      <c r="Y956" s="53"/>
      <c r="Z956" s="183" t="str">
        <f>IFERROR(__xludf.DUMMYFUNCTION("QUERY('Volunteer Survey'!A955)"),"")</f>
        <v/>
      </c>
      <c r="AA956" s="183" t="str">
        <f>IFERROR(__xludf.DUMMYFUNCTION("QUERY('Volunteer Survey'!B955)"),"")</f>
        <v/>
      </c>
      <c r="AB956" s="183" t="str">
        <f>IFERROR(__xludf.DUMMYFUNCTION("QUERY('Volunteer Survey'!C955)"),"")</f>
        <v/>
      </c>
      <c r="AC956" s="183" t="str">
        <f>IFERROR(__xludf.DUMMYFUNCTION("QUERY('Volunteer Survey'!D955)"),"")</f>
        <v/>
      </c>
      <c r="AD956" s="183" t="str">
        <f>IFERROR(__xludf.DUMMYFUNCTION("QUERY('Volunteer Survey'!E955)"),"")</f>
        <v/>
      </c>
      <c r="AE956" s="183" t="str">
        <f>IFERROR(__xludf.DUMMYFUNCTION("QUERY('Volunteer Survey'!F955)"),"")</f>
        <v/>
      </c>
      <c r="AF956" s="183" t="str">
        <f>IFERROR(__xludf.DUMMYFUNCTION("QUERY('Volunteer Survey'!G955)"),"")</f>
        <v/>
      </c>
      <c r="AG956" s="183" t="str">
        <f>IFERROR(__xludf.DUMMYFUNCTION("QUERY('Volunteer Survey'!H955)"),"")</f>
        <v/>
      </c>
      <c r="AH956" s="183" t="str">
        <f>IFERROR(__xludf.DUMMYFUNCTION("QUERY('Volunteer Survey'!I955)"),"")</f>
        <v/>
      </c>
      <c r="AI956" s="183" t="str">
        <f>IFERROR(__xludf.DUMMYFUNCTION("QUERY('Volunteer Survey'!J955)"),"")</f>
        <v/>
      </c>
      <c r="AJ956" s="183" t="str">
        <f>IFERROR(__xludf.DUMMYFUNCTION("QUERY('Volunteer Survey'!K955)"),"")</f>
        <v/>
      </c>
      <c r="AK956" s="183" t="str">
        <f>IFERROR(__xludf.DUMMYFUNCTION("QUERY('Volunteer Survey'!L955)"),"")</f>
        <v/>
      </c>
      <c r="AL956" s="183" t="str">
        <f>IFERROR(__xludf.DUMMYFUNCTION("QUERY('Volunteer Survey'!M955)"),"")</f>
        <v/>
      </c>
      <c r="AM956" s="183" t="str">
        <f>IFERROR(__xludf.DUMMYFUNCTION("QUERY('Volunteer Survey'!N955)"),"")</f>
        <v/>
      </c>
      <c r="AN956" s="183" t="str">
        <f>IFERROR(__xludf.DUMMYFUNCTION("QUERY('Volunteer Survey'!O955)"),"")</f>
        <v/>
      </c>
      <c r="AO956" s="183" t="str">
        <f>IFERROR(__xludf.DUMMYFUNCTION("QUERY('Volunteer Survey'!P955)"),"")</f>
        <v/>
      </c>
    </row>
    <row r="957">
      <c r="A957" s="55"/>
      <c r="B957" s="55"/>
      <c r="C957" s="53"/>
      <c r="D957" s="55"/>
      <c r="E957" s="55"/>
      <c r="F957" s="55" t="b">
        <v>0</v>
      </c>
      <c r="G957" s="55"/>
      <c r="H957" s="53"/>
      <c r="I957" s="53"/>
      <c r="J957" s="55"/>
      <c r="K957" s="55"/>
      <c r="L957" s="55"/>
      <c r="M957" s="55"/>
      <c r="N957" s="55"/>
      <c r="O957" s="55" t="b">
        <v>0</v>
      </c>
      <c r="P957" s="55"/>
      <c r="Q957" s="55"/>
      <c r="R957" s="55"/>
      <c r="S957" s="55"/>
      <c r="T957" s="55"/>
      <c r="U957" s="64"/>
      <c r="V957" s="55"/>
      <c r="W957" s="64"/>
      <c r="X957" s="55"/>
      <c r="Y957" s="53"/>
      <c r="Z957" s="183" t="str">
        <f>IFERROR(__xludf.DUMMYFUNCTION("QUERY('Volunteer Survey'!A956)"),"")</f>
        <v/>
      </c>
      <c r="AA957" s="183" t="str">
        <f>IFERROR(__xludf.DUMMYFUNCTION("QUERY('Volunteer Survey'!B956)"),"")</f>
        <v/>
      </c>
      <c r="AB957" s="183" t="str">
        <f>IFERROR(__xludf.DUMMYFUNCTION("QUERY('Volunteer Survey'!C956)"),"")</f>
        <v/>
      </c>
      <c r="AC957" s="183" t="str">
        <f>IFERROR(__xludf.DUMMYFUNCTION("QUERY('Volunteer Survey'!D956)"),"")</f>
        <v/>
      </c>
      <c r="AD957" s="183" t="str">
        <f>IFERROR(__xludf.DUMMYFUNCTION("QUERY('Volunteer Survey'!E956)"),"")</f>
        <v/>
      </c>
      <c r="AE957" s="183" t="str">
        <f>IFERROR(__xludf.DUMMYFUNCTION("QUERY('Volunteer Survey'!F956)"),"")</f>
        <v/>
      </c>
      <c r="AF957" s="183" t="str">
        <f>IFERROR(__xludf.DUMMYFUNCTION("QUERY('Volunteer Survey'!G956)"),"")</f>
        <v/>
      </c>
      <c r="AG957" s="183" t="str">
        <f>IFERROR(__xludf.DUMMYFUNCTION("QUERY('Volunteer Survey'!H956)"),"")</f>
        <v/>
      </c>
      <c r="AH957" s="183" t="str">
        <f>IFERROR(__xludf.DUMMYFUNCTION("QUERY('Volunteer Survey'!I956)"),"")</f>
        <v/>
      </c>
      <c r="AI957" s="183" t="str">
        <f>IFERROR(__xludf.DUMMYFUNCTION("QUERY('Volunteer Survey'!J956)"),"")</f>
        <v/>
      </c>
      <c r="AJ957" s="183" t="str">
        <f>IFERROR(__xludf.DUMMYFUNCTION("QUERY('Volunteer Survey'!K956)"),"")</f>
        <v/>
      </c>
      <c r="AK957" s="183" t="str">
        <f>IFERROR(__xludf.DUMMYFUNCTION("QUERY('Volunteer Survey'!L956)"),"")</f>
        <v/>
      </c>
      <c r="AL957" s="183" t="str">
        <f>IFERROR(__xludf.DUMMYFUNCTION("QUERY('Volunteer Survey'!M956)"),"")</f>
        <v/>
      </c>
      <c r="AM957" s="183" t="str">
        <f>IFERROR(__xludf.DUMMYFUNCTION("QUERY('Volunteer Survey'!N956)"),"")</f>
        <v/>
      </c>
      <c r="AN957" s="183" t="str">
        <f>IFERROR(__xludf.DUMMYFUNCTION("QUERY('Volunteer Survey'!O956)"),"")</f>
        <v/>
      </c>
      <c r="AO957" s="183" t="str">
        <f>IFERROR(__xludf.DUMMYFUNCTION("QUERY('Volunteer Survey'!P956)"),"")</f>
        <v/>
      </c>
    </row>
    <row r="958">
      <c r="A958" s="55"/>
      <c r="B958" s="55"/>
      <c r="C958" s="53"/>
      <c r="D958" s="55"/>
      <c r="E958" s="55"/>
      <c r="F958" s="55" t="b">
        <v>0</v>
      </c>
      <c r="G958" s="55"/>
      <c r="H958" s="53"/>
      <c r="I958" s="53"/>
      <c r="J958" s="55"/>
      <c r="K958" s="55"/>
      <c r="L958" s="55"/>
      <c r="M958" s="55"/>
      <c r="N958" s="55"/>
      <c r="O958" s="55" t="b">
        <v>0</v>
      </c>
      <c r="P958" s="55"/>
      <c r="Q958" s="55"/>
      <c r="R958" s="55"/>
      <c r="S958" s="55"/>
      <c r="T958" s="55"/>
      <c r="U958" s="64"/>
      <c r="V958" s="55"/>
      <c r="W958" s="64"/>
      <c r="X958" s="55"/>
      <c r="Y958" s="53"/>
      <c r="Z958" s="183" t="str">
        <f>IFERROR(__xludf.DUMMYFUNCTION("QUERY('Volunteer Survey'!A957)"),"")</f>
        <v/>
      </c>
      <c r="AA958" s="183" t="str">
        <f>IFERROR(__xludf.DUMMYFUNCTION("QUERY('Volunteer Survey'!B957)"),"")</f>
        <v/>
      </c>
      <c r="AB958" s="183" t="str">
        <f>IFERROR(__xludf.DUMMYFUNCTION("QUERY('Volunteer Survey'!C957)"),"")</f>
        <v/>
      </c>
      <c r="AC958" s="183" t="str">
        <f>IFERROR(__xludf.DUMMYFUNCTION("QUERY('Volunteer Survey'!D957)"),"")</f>
        <v/>
      </c>
      <c r="AD958" s="183" t="str">
        <f>IFERROR(__xludf.DUMMYFUNCTION("QUERY('Volunteer Survey'!E957)"),"")</f>
        <v/>
      </c>
      <c r="AE958" s="183" t="str">
        <f>IFERROR(__xludf.DUMMYFUNCTION("QUERY('Volunteer Survey'!F957)"),"")</f>
        <v/>
      </c>
      <c r="AF958" s="183" t="str">
        <f>IFERROR(__xludf.DUMMYFUNCTION("QUERY('Volunteer Survey'!G957)"),"")</f>
        <v/>
      </c>
      <c r="AG958" s="183" t="str">
        <f>IFERROR(__xludf.DUMMYFUNCTION("QUERY('Volunteer Survey'!H957)"),"")</f>
        <v/>
      </c>
      <c r="AH958" s="183" t="str">
        <f>IFERROR(__xludf.DUMMYFUNCTION("QUERY('Volunteer Survey'!I957)"),"")</f>
        <v/>
      </c>
      <c r="AI958" s="183" t="str">
        <f>IFERROR(__xludf.DUMMYFUNCTION("QUERY('Volunteer Survey'!J957)"),"")</f>
        <v/>
      </c>
      <c r="AJ958" s="183" t="str">
        <f>IFERROR(__xludf.DUMMYFUNCTION("QUERY('Volunteer Survey'!K957)"),"")</f>
        <v/>
      </c>
      <c r="AK958" s="183" t="str">
        <f>IFERROR(__xludf.DUMMYFUNCTION("QUERY('Volunteer Survey'!L957)"),"")</f>
        <v/>
      </c>
      <c r="AL958" s="183" t="str">
        <f>IFERROR(__xludf.DUMMYFUNCTION("QUERY('Volunteer Survey'!M957)"),"")</f>
        <v/>
      </c>
      <c r="AM958" s="183" t="str">
        <f>IFERROR(__xludf.DUMMYFUNCTION("QUERY('Volunteer Survey'!N957)"),"")</f>
        <v/>
      </c>
      <c r="AN958" s="183" t="str">
        <f>IFERROR(__xludf.DUMMYFUNCTION("QUERY('Volunteer Survey'!O957)"),"")</f>
        <v/>
      </c>
      <c r="AO958" s="183" t="str">
        <f>IFERROR(__xludf.DUMMYFUNCTION("QUERY('Volunteer Survey'!P957)"),"")</f>
        <v/>
      </c>
    </row>
    <row r="959">
      <c r="A959" s="55"/>
      <c r="B959" s="55"/>
      <c r="C959" s="53"/>
      <c r="D959" s="55"/>
      <c r="E959" s="55"/>
      <c r="F959" s="55" t="b">
        <v>0</v>
      </c>
      <c r="G959" s="55"/>
      <c r="H959" s="53"/>
      <c r="I959" s="53"/>
      <c r="J959" s="55"/>
      <c r="K959" s="55"/>
      <c r="L959" s="55"/>
      <c r="M959" s="55"/>
      <c r="N959" s="55"/>
      <c r="O959" s="55" t="b">
        <v>0</v>
      </c>
      <c r="P959" s="55"/>
      <c r="Q959" s="55"/>
      <c r="R959" s="55"/>
      <c r="S959" s="55"/>
      <c r="T959" s="55"/>
      <c r="U959" s="64"/>
      <c r="V959" s="55"/>
      <c r="W959" s="64"/>
      <c r="X959" s="55"/>
      <c r="Y959" s="53"/>
      <c r="Z959" s="183" t="str">
        <f>IFERROR(__xludf.DUMMYFUNCTION("QUERY('Volunteer Survey'!A958)"),"")</f>
        <v/>
      </c>
      <c r="AA959" s="183" t="str">
        <f>IFERROR(__xludf.DUMMYFUNCTION("QUERY('Volunteer Survey'!B958)"),"")</f>
        <v/>
      </c>
      <c r="AB959" s="183" t="str">
        <f>IFERROR(__xludf.DUMMYFUNCTION("QUERY('Volunteer Survey'!C958)"),"")</f>
        <v/>
      </c>
      <c r="AC959" s="183" t="str">
        <f>IFERROR(__xludf.DUMMYFUNCTION("QUERY('Volunteer Survey'!D958)"),"")</f>
        <v/>
      </c>
      <c r="AD959" s="183" t="str">
        <f>IFERROR(__xludf.DUMMYFUNCTION("QUERY('Volunteer Survey'!E958)"),"")</f>
        <v/>
      </c>
      <c r="AE959" s="183" t="str">
        <f>IFERROR(__xludf.DUMMYFUNCTION("QUERY('Volunteer Survey'!F958)"),"")</f>
        <v/>
      </c>
      <c r="AF959" s="183" t="str">
        <f>IFERROR(__xludf.DUMMYFUNCTION("QUERY('Volunteer Survey'!G958)"),"")</f>
        <v/>
      </c>
      <c r="AG959" s="183" t="str">
        <f>IFERROR(__xludf.DUMMYFUNCTION("QUERY('Volunteer Survey'!H958)"),"")</f>
        <v/>
      </c>
      <c r="AH959" s="183" t="str">
        <f>IFERROR(__xludf.DUMMYFUNCTION("QUERY('Volunteer Survey'!I958)"),"")</f>
        <v/>
      </c>
      <c r="AI959" s="183" t="str">
        <f>IFERROR(__xludf.DUMMYFUNCTION("QUERY('Volunteer Survey'!J958)"),"")</f>
        <v/>
      </c>
      <c r="AJ959" s="183" t="str">
        <f>IFERROR(__xludf.DUMMYFUNCTION("QUERY('Volunteer Survey'!K958)"),"")</f>
        <v/>
      </c>
      <c r="AK959" s="183" t="str">
        <f>IFERROR(__xludf.DUMMYFUNCTION("QUERY('Volunteer Survey'!L958)"),"")</f>
        <v/>
      </c>
      <c r="AL959" s="183" t="str">
        <f>IFERROR(__xludf.DUMMYFUNCTION("QUERY('Volunteer Survey'!M958)"),"")</f>
        <v/>
      </c>
      <c r="AM959" s="183" t="str">
        <f>IFERROR(__xludf.DUMMYFUNCTION("QUERY('Volunteer Survey'!N958)"),"")</f>
        <v/>
      </c>
      <c r="AN959" s="183" t="str">
        <f>IFERROR(__xludf.DUMMYFUNCTION("QUERY('Volunteer Survey'!O958)"),"")</f>
        <v/>
      </c>
      <c r="AO959" s="183" t="str">
        <f>IFERROR(__xludf.DUMMYFUNCTION("QUERY('Volunteer Survey'!P958)"),"")</f>
        <v/>
      </c>
    </row>
    <row r="960">
      <c r="A960" s="55"/>
      <c r="B960" s="55"/>
      <c r="C960" s="53"/>
      <c r="D960" s="55"/>
      <c r="E960" s="55"/>
      <c r="F960" s="55" t="b">
        <v>0</v>
      </c>
      <c r="G960" s="55"/>
      <c r="H960" s="53"/>
      <c r="I960" s="53"/>
      <c r="J960" s="55"/>
      <c r="K960" s="55"/>
      <c r="L960" s="55"/>
      <c r="M960" s="55"/>
      <c r="N960" s="55"/>
      <c r="O960" s="55" t="b">
        <v>0</v>
      </c>
      <c r="P960" s="55"/>
      <c r="Q960" s="55"/>
      <c r="R960" s="55"/>
      <c r="S960" s="55"/>
      <c r="T960" s="55"/>
      <c r="U960" s="64"/>
      <c r="V960" s="55"/>
      <c r="W960" s="64"/>
      <c r="X960" s="55"/>
      <c r="Y960" s="53"/>
      <c r="Z960" s="183" t="str">
        <f>IFERROR(__xludf.DUMMYFUNCTION("QUERY('Volunteer Survey'!A959)"),"")</f>
        <v/>
      </c>
      <c r="AA960" s="183" t="str">
        <f>IFERROR(__xludf.DUMMYFUNCTION("QUERY('Volunteer Survey'!B959)"),"")</f>
        <v/>
      </c>
      <c r="AB960" s="183" t="str">
        <f>IFERROR(__xludf.DUMMYFUNCTION("QUERY('Volunteer Survey'!C959)"),"")</f>
        <v/>
      </c>
      <c r="AC960" s="183" t="str">
        <f>IFERROR(__xludf.DUMMYFUNCTION("QUERY('Volunteer Survey'!D959)"),"")</f>
        <v/>
      </c>
      <c r="AD960" s="183" t="str">
        <f>IFERROR(__xludf.DUMMYFUNCTION("QUERY('Volunteer Survey'!E959)"),"")</f>
        <v/>
      </c>
      <c r="AE960" s="183" t="str">
        <f>IFERROR(__xludf.DUMMYFUNCTION("QUERY('Volunteer Survey'!F959)"),"")</f>
        <v/>
      </c>
      <c r="AF960" s="183" t="str">
        <f>IFERROR(__xludf.DUMMYFUNCTION("QUERY('Volunteer Survey'!G959)"),"")</f>
        <v/>
      </c>
      <c r="AG960" s="183" t="str">
        <f>IFERROR(__xludf.DUMMYFUNCTION("QUERY('Volunteer Survey'!H959)"),"")</f>
        <v/>
      </c>
      <c r="AH960" s="183" t="str">
        <f>IFERROR(__xludf.DUMMYFUNCTION("QUERY('Volunteer Survey'!I959)"),"")</f>
        <v/>
      </c>
      <c r="AI960" s="183" t="str">
        <f>IFERROR(__xludf.DUMMYFUNCTION("QUERY('Volunteer Survey'!J959)"),"")</f>
        <v/>
      </c>
      <c r="AJ960" s="183" t="str">
        <f>IFERROR(__xludf.DUMMYFUNCTION("QUERY('Volunteer Survey'!K959)"),"")</f>
        <v/>
      </c>
      <c r="AK960" s="183" t="str">
        <f>IFERROR(__xludf.DUMMYFUNCTION("QUERY('Volunteer Survey'!L959)"),"")</f>
        <v/>
      </c>
      <c r="AL960" s="183" t="str">
        <f>IFERROR(__xludf.DUMMYFUNCTION("QUERY('Volunteer Survey'!M959)"),"")</f>
        <v/>
      </c>
      <c r="AM960" s="183" t="str">
        <f>IFERROR(__xludf.DUMMYFUNCTION("QUERY('Volunteer Survey'!N959)"),"")</f>
        <v/>
      </c>
      <c r="AN960" s="183" t="str">
        <f>IFERROR(__xludf.DUMMYFUNCTION("QUERY('Volunteer Survey'!O959)"),"")</f>
        <v/>
      </c>
      <c r="AO960" s="183" t="str">
        <f>IFERROR(__xludf.DUMMYFUNCTION("QUERY('Volunteer Survey'!P959)"),"")</f>
        <v/>
      </c>
    </row>
    <row r="961">
      <c r="A961" s="55"/>
      <c r="B961" s="55"/>
      <c r="C961" s="53"/>
      <c r="D961" s="55"/>
      <c r="E961" s="55"/>
      <c r="F961" s="55" t="b">
        <v>0</v>
      </c>
      <c r="G961" s="55"/>
      <c r="H961" s="53"/>
      <c r="I961" s="53"/>
      <c r="J961" s="55"/>
      <c r="K961" s="55"/>
      <c r="L961" s="55"/>
      <c r="M961" s="55"/>
      <c r="N961" s="55"/>
      <c r="O961" s="55" t="b">
        <v>0</v>
      </c>
      <c r="P961" s="55"/>
      <c r="Q961" s="55"/>
      <c r="R961" s="55"/>
      <c r="S961" s="55"/>
      <c r="T961" s="55"/>
      <c r="U961" s="64"/>
      <c r="V961" s="55"/>
      <c r="W961" s="64"/>
      <c r="X961" s="55"/>
      <c r="Y961" s="53"/>
      <c r="Z961" s="183" t="str">
        <f>IFERROR(__xludf.DUMMYFUNCTION("QUERY('Volunteer Survey'!A960)"),"")</f>
        <v/>
      </c>
      <c r="AA961" s="183" t="str">
        <f>IFERROR(__xludf.DUMMYFUNCTION("QUERY('Volunteer Survey'!B960)"),"")</f>
        <v/>
      </c>
      <c r="AB961" s="183" t="str">
        <f>IFERROR(__xludf.DUMMYFUNCTION("QUERY('Volunteer Survey'!C960)"),"")</f>
        <v/>
      </c>
      <c r="AC961" s="183" t="str">
        <f>IFERROR(__xludf.DUMMYFUNCTION("QUERY('Volunteer Survey'!D960)"),"")</f>
        <v/>
      </c>
      <c r="AD961" s="183" t="str">
        <f>IFERROR(__xludf.DUMMYFUNCTION("QUERY('Volunteer Survey'!E960)"),"")</f>
        <v/>
      </c>
      <c r="AE961" s="183" t="str">
        <f>IFERROR(__xludf.DUMMYFUNCTION("QUERY('Volunteer Survey'!F960)"),"")</f>
        <v/>
      </c>
      <c r="AF961" s="183" t="str">
        <f>IFERROR(__xludf.DUMMYFUNCTION("QUERY('Volunteer Survey'!G960)"),"")</f>
        <v/>
      </c>
      <c r="AG961" s="183" t="str">
        <f>IFERROR(__xludf.DUMMYFUNCTION("QUERY('Volunteer Survey'!H960)"),"")</f>
        <v/>
      </c>
      <c r="AH961" s="183" t="str">
        <f>IFERROR(__xludf.DUMMYFUNCTION("QUERY('Volunteer Survey'!I960)"),"")</f>
        <v/>
      </c>
      <c r="AI961" s="183" t="str">
        <f>IFERROR(__xludf.DUMMYFUNCTION("QUERY('Volunteer Survey'!J960)"),"")</f>
        <v/>
      </c>
      <c r="AJ961" s="183" t="str">
        <f>IFERROR(__xludf.DUMMYFUNCTION("QUERY('Volunteer Survey'!K960)"),"")</f>
        <v/>
      </c>
      <c r="AK961" s="183" t="str">
        <f>IFERROR(__xludf.DUMMYFUNCTION("QUERY('Volunteer Survey'!L960)"),"")</f>
        <v/>
      </c>
      <c r="AL961" s="183" t="str">
        <f>IFERROR(__xludf.DUMMYFUNCTION("QUERY('Volunteer Survey'!M960)"),"")</f>
        <v/>
      </c>
      <c r="AM961" s="183" t="str">
        <f>IFERROR(__xludf.DUMMYFUNCTION("QUERY('Volunteer Survey'!N960)"),"")</f>
        <v/>
      </c>
      <c r="AN961" s="183" t="str">
        <f>IFERROR(__xludf.DUMMYFUNCTION("QUERY('Volunteer Survey'!O960)"),"")</f>
        <v/>
      </c>
      <c r="AO961" s="183" t="str">
        <f>IFERROR(__xludf.DUMMYFUNCTION("QUERY('Volunteer Survey'!P960)"),"")</f>
        <v/>
      </c>
    </row>
    <row r="962">
      <c r="A962" s="55"/>
      <c r="B962" s="55"/>
      <c r="C962" s="53"/>
      <c r="D962" s="55"/>
      <c r="E962" s="55"/>
      <c r="F962" s="55" t="b">
        <v>0</v>
      </c>
      <c r="G962" s="55"/>
      <c r="H962" s="53"/>
      <c r="I962" s="53"/>
      <c r="J962" s="55"/>
      <c r="K962" s="55"/>
      <c r="L962" s="55"/>
      <c r="M962" s="55"/>
      <c r="N962" s="55"/>
      <c r="O962" s="55" t="b">
        <v>0</v>
      </c>
      <c r="P962" s="55"/>
      <c r="Q962" s="55"/>
      <c r="R962" s="55"/>
      <c r="S962" s="55"/>
      <c r="T962" s="55"/>
      <c r="U962" s="64"/>
      <c r="V962" s="55"/>
      <c r="W962" s="64"/>
      <c r="X962" s="55"/>
      <c r="Y962" s="53"/>
      <c r="Z962" s="183" t="str">
        <f>IFERROR(__xludf.DUMMYFUNCTION("QUERY('Volunteer Survey'!A961)"),"")</f>
        <v/>
      </c>
      <c r="AA962" s="183" t="str">
        <f>IFERROR(__xludf.DUMMYFUNCTION("QUERY('Volunteer Survey'!B961)"),"")</f>
        <v/>
      </c>
      <c r="AB962" s="183" t="str">
        <f>IFERROR(__xludf.DUMMYFUNCTION("QUERY('Volunteer Survey'!C961)"),"")</f>
        <v/>
      </c>
      <c r="AC962" s="183" t="str">
        <f>IFERROR(__xludf.DUMMYFUNCTION("QUERY('Volunteer Survey'!D961)"),"")</f>
        <v/>
      </c>
      <c r="AD962" s="183" t="str">
        <f>IFERROR(__xludf.DUMMYFUNCTION("QUERY('Volunteer Survey'!E961)"),"")</f>
        <v/>
      </c>
      <c r="AE962" s="183" t="str">
        <f>IFERROR(__xludf.DUMMYFUNCTION("QUERY('Volunteer Survey'!F961)"),"")</f>
        <v/>
      </c>
      <c r="AF962" s="183" t="str">
        <f>IFERROR(__xludf.DUMMYFUNCTION("QUERY('Volunteer Survey'!G961)"),"")</f>
        <v/>
      </c>
      <c r="AG962" s="183" t="str">
        <f>IFERROR(__xludf.DUMMYFUNCTION("QUERY('Volunteer Survey'!H961)"),"")</f>
        <v/>
      </c>
      <c r="AH962" s="183" t="str">
        <f>IFERROR(__xludf.DUMMYFUNCTION("QUERY('Volunteer Survey'!I961)"),"")</f>
        <v/>
      </c>
      <c r="AI962" s="183" t="str">
        <f>IFERROR(__xludf.DUMMYFUNCTION("QUERY('Volunteer Survey'!J961)"),"")</f>
        <v/>
      </c>
      <c r="AJ962" s="183" t="str">
        <f>IFERROR(__xludf.DUMMYFUNCTION("QUERY('Volunteer Survey'!K961)"),"")</f>
        <v/>
      </c>
      <c r="AK962" s="183" t="str">
        <f>IFERROR(__xludf.DUMMYFUNCTION("QUERY('Volunteer Survey'!L961)"),"")</f>
        <v/>
      </c>
      <c r="AL962" s="183" t="str">
        <f>IFERROR(__xludf.DUMMYFUNCTION("QUERY('Volunteer Survey'!M961)"),"")</f>
        <v/>
      </c>
      <c r="AM962" s="183" t="str">
        <f>IFERROR(__xludf.DUMMYFUNCTION("QUERY('Volunteer Survey'!N961)"),"")</f>
        <v/>
      </c>
      <c r="AN962" s="183" t="str">
        <f>IFERROR(__xludf.DUMMYFUNCTION("QUERY('Volunteer Survey'!O961)"),"")</f>
        <v/>
      </c>
      <c r="AO962" s="183" t="str">
        <f>IFERROR(__xludf.DUMMYFUNCTION("QUERY('Volunteer Survey'!P961)"),"")</f>
        <v/>
      </c>
    </row>
    <row r="963">
      <c r="A963" s="55"/>
      <c r="B963" s="55"/>
      <c r="C963" s="53"/>
      <c r="D963" s="55"/>
      <c r="E963" s="55"/>
      <c r="F963" s="55" t="b">
        <v>0</v>
      </c>
      <c r="G963" s="55"/>
      <c r="H963" s="53"/>
      <c r="I963" s="53"/>
      <c r="J963" s="55"/>
      <c r="K963" s="55"/>
      <c r="L963" s="55"/>
      <c r="M963" s="55"/>
      <c r="N963" s="55"/>
      <c r="O963" s="55" t="b">
        <v>0</v>
      </c>
      <c r="P963" s="55"/>
      <c r="Q963" s="55"/>
      <c r="R963" s="55"/>
      <c r="S963" s="55"/>
      <c r="T963" s="55"/>
      <c r="U963" s="64"/>
      <c r="V963" s="55"/>
      <c r="W963" s="64"/>
      <c r="X963" s="55"/>
      <c r="Y963" s="53"/>
      <c r="Z963" s="183" t="str">
        <f>IFERROR(__xludf.DUMMYFUNCTION("QUERY('Volunteer Survey'!A962)"),"")</f>
        <v/>
      </c>
      <c r="AA963" s="183" t="str">
        <f>IFERROR(__xludf.DUMMYFUNCTION("QUERY('Volunteer Survey'!B962)"),"")</f>
        <v/>
      </c>
      <c r="AB963" s="183" t="str">
        <f>IFERROR(__xludf.DUMMYFUNCTION("QUERY('Volunteer Survey'!C962)"),"")</f>
        <v/>
      </c>
      <c r="AC963" s="183" t="str">
        <f>IFERROR(__xludf.DUMMYFUNCTION("QUERY('Volunteer Survey'!D962)"),"")</f>
        <v/>
      </c>
      <c r="AD963" s="183" t="str">
        <f>IFERROR(__xludf.DUMMYFUNCTION("QUERY('Volunteer Survey'!E962)"),"")</f>
        <v/>
      </c>
      <c r="AE963" s="183" t="str">
        <f>IFERROR(__xludf.DUMMYFUNCTION("QUERY('Volunteer Survey'!F962)"),"")</f>
        <v/>
      </c>
      <c r="AF963" s="183" t="str">
        <f>IFERROR(__xludf.DUMMYFUNCTION("QUERY('Volunteer Survey'!G962)"),"")</f>
        <v/>
      </c>
      <c r="AG963" s="183" t="str">
        <f>IFERROR(__xludf.DUMMYFUNCTION("QUERY('Volunteer Survey'!H962)"),"")</f>
        <v/>
      </c>
      <c r="AH963" s="183" t="str">
        <f>IFERROR(__xludf.DUMMYFUNCTION("QUERY('Volunteer Survey'!I962)"),"")</f>
        <v/>
      </c>
      <c r="AI963" s="183" t="str">
        <f>IFERROR(__xludf.DUMMYFUNCTION("QUERY('Volunteer Survey'!J962)"),"")</f>
        <v/>
      </c>
      <c r="AJ963" s="183" t="str">
        <f>IFERROR(__xludf.DUMMYFUNCTION("QUERY('Volunteer Survey'!K962)"),"")</f>
        <v/>
      </c>
      <c r="AK963" s="183" t="str">
        <f>IFERROR(__xludf.DUMMYFUNCTION("QUERY('Volunteer Survey'!L962)"),"")</f>
        <v/>
      </c>
      <c r="AL963" s="183" t="str">
        <f>IFERROR(__xludf.DUMMYFUNCTION("QUERY('Volunteer Survey'!M962)"),"")</f>
        <v/>
      </c>
      <c r="AM963" s="183" t="str">
        <f>IFERROR(__xludf.DUMMYFUNCTION("QUERY('Volunteer Survey'!N962)"),"")</f>
        <v/>
      </c>
      <c r="AN963" s="183" t="str">
        <f>IFERROR(__xludf.DUMMYFUNCTION("QUERY('Volunteer Survey'!O962)"),"")</f>
        <v/>
      </c>
      <c r="AO963" s="183" t="str">
        <f>IFERROR(__xludf.DUMMYFUNCTION("QUERY('Volunteer Survey'!P962)"),"")</f>
        <v/>
      </c>
    </row>
    <row r="964">
      <c r="A964" s="55"/>
      <c r="B964" s="55"/>
      <c r="C964" s="53"/>
      <c r="D964" s="55"/>
      <c r="E964" s="55"/>
      <c r="F964" s="55" t="b">
        <v>0</v>
      </c>
      <c r="G964" s="55"/>
      <c r="H964" s="53"/>
      <c r="I964" s="53"/>
      <c r="J964" s="55"/>
      <c r="K964" s="55"/>
      <c r="L964" s="55"/>
      <c r="M964" s="55"/>
      <c r="N964" s="55"/>
      <c r="O964" s="55" t="b">
        <v>0</v>
      </c>
      <c r="P964" s="55"/>
      <c r="Q964" s="55"/>
      <c r="R964" s="55"/>
      <c r="S964" s="55"/>
      <c r="T964" s="55"/>
      <c r="U964" s="64"/>
      <c r="V964" s="55"/>
      <c r="W964" s="64"/>
      <c r="X964" s="55"/>
      <c r="Y964" s="53"/>
      <c r="Z964" s="183" t="str">
        <f>IFERROR(__xludf.DUMMYFUNCTION("QUERY('Volunteer Survey'!A963)"),"")</f>
        <v/>
      </c>
      <c r="AA964" s="183" t="str">
        <f>IFERROR(__xludf.DUMMYFUNCTION("QUERY('Volunteer Survey'!B963)"),"")</f>
        <v/>
      </c>
      <c r="AB964" s="183" t="str">
        <f>IFERROR(__xludf.DUMMYFUNCTION("QUERY('Volunteer Survey'!C963)"),"")</f>
        <v/>
      </c>
      <c r="AC964" s="183" t="str">
        <f>IFERROR(__xludf.DUMMYFUNCTION("QUERY('Volunteer Survey'!D963)"),"")</f>
        <v/>
      </c>
      <c r="AD964" s="183" t="str">
        <f>IFERROR(__xludf.DUMMYFUNCTION("QUERY('Volunteer Survey'!E963)"),"")</f>
        <v/>
      </c>
      <c r="AE964" s="183" t="str">
        <f>IFERROR(__xludf.DUMMYFUNCTION("QUERY('Volunteer Survey'!F963)"),"")</f>
        <v/>
      </c>
      <c r="AF964" s="183" t="str">
        <f>IFERROR(__xludf.DUMMYFUNCTION("QUERY('Volunteer Survey'!G963)"),"")</f>
        <v/>
      </c>
      <c r="AG964" s="183" t="str">
        <f>IFERROR(__xludf.DUMMYFUNCTION("QUERY('Volunteer Survey'!H963)"),"")</f>
        <v/>
      </c>
      <c r="AH964" s="183" t="str">
        <f>IFERROR(__xludf.DUMMYFUNCTION("QUERY('Volunteer Survey'!I963)"),"")</f>
        <v/>
      </c>
      <c r="AI964" s="183" t="str">
        <f>IFERROR(__xludf.DUMMYFUNCTION("QUERY('Volunteer Survey'!J963)"),"")</f>
        <v/>
      </c>
      <c r="AJ964" s="183" t="str">
        <f>IFERROR(__xludf.DUMMYFUNCTION("QUERY('Volunteer Survey'!K963)"),"")</f>
        <v/>
      </c>
      <c r="AK964" s="183" t="str">
        <f>IFERROR(__xludf.DUMMYFUNCTION("QUERY('Volunteer Survey'!L963)"),"")</f>
        <v/>
      </c>
      <c r="AL964" s="183" t="str">
        <f>IFERROR(__xludf.DUMMYFUNCTION("QUERY('Volunteer Survey'!M963)"),"")</f>
        <v/>
      </c>
      <c r="AM964" s="183" t="str">
        <f>IFERROR(__xludf.DUMMYFUNCTION("QUERY('Volunteer Survey'!N963)"),"")</f>
        <v/>
      </c>
      <c r="AN964" s="183" t="str">
        <f>IFERROR(__xludf.DUMMYFUNCTION("QUERY('Volunteer Survey'!O963)"),"")</f>
        <v/>
      </c>
      <c r="AO964" s="183" t="str">
        <f>IFERROR(__xludf.DUMMYFUNCTION("QUERY('Volunteer Survey'!P963)"),"")</f>
        <v/>
      </c>
    </row>
    <row r="965">
      <c r="A965" s="55"/>
      <c r="B965" s="55"/>
      <c r="C965" s="53"/>
      <c r="D965" s="55"/>
      <c r="E965" s="55"/>
      <c r="F965" s="55" t="b">
        <v>0</v>
      </c>
      <c r="G965" s="55"/>
      <c r="H965" s="53"/>
      <c r="I965" s="53"/>
      <c r="J965" s="55"/>
      <c r="K965" s="55"/>
      <c r="L965" s="55"/>
      <c r="M965" s="55"/>
      <c r="N965" s="55"/>
      <c r="O965" s="55" t="b">
        <v>0</v>
      </c>
      <c r="P965" s="55"/>
      <c r="Q965" s="55"/>
      <c r="R965" s="55"/>
      <c r="S965" s="55"/>
      <c r="T965" s="55"/>
      <c r="U965" s="64"/>
      <c r="V965" s="55"/>
      <c r="W965" s="64"/>
      <c r="X965" s="55"/>
      <c r="Y965" s="53"/>
      <c r="Z965" s="183" t="str">
        <f>IFERROR(__xludf.DUMMYFUNCTION("QUERY('Volunteer Survey'!A964)"),"")</f>
        <v/>
      </c>
      <c r="AA965" s="183" t="str">
        <f>IFERROR(__xludf.DUMMYFUNCTION("QUERY('Volunteer Survey'!B964)"),"")</f>
        <v/>
      </c>
      <c r="AB965" s="183" t="str">
        <f>IFERROR(__xludf.DUMMYFUNCTION("QUERY('Volunteer Survey'!C964)"),"")</f>
        <v/>
      </c>
      <c r="AC965" s="183" t="str">
        <f>IFERROR(__xludf.DUMMYFUNCTION("QUERY('Volunteer Survey'!D964)"),"")</f>
        <v/>
      </c>
      <c r="AD965" s="183" t="str">
        <f>IFERROR(__xludf.DUMMYFUNCTION("QUERY('Volunteer Survey'!E964)"),"")</f>
        <v/>
      </c>
      <c r="AE965" s="183" t="str">
        <f>IFERROR(__xludf.DUMMYFUNCTION("QUERY('Volunteer Survey'!F964)"),"")</f>
        <v/>
      </c>
      <c r="AF965" s="183" t="str">
        <f>IFERROR(__xludf.DUMMYFUNCTION("QUERY('Volunteer Survey'!G964)"),"")</f>
        <v/>
      </c>
      <c r="AG965" s="183" t="str">
        <f>IFERROR(__xludf.DUMMYFUNCTION("QUERY('Volunteer Survey'!H964)"),"")</f>
        <v/>
      </c>
      <c r="AH965" s="183" t="str">
        <f>IFERROR(__xludf.DUMMYFUNCTION("QUERY('Volunteer Survey'!I964)"),"")</f>
        <v/>
      </c>
      <c r="AI965" s="183" t="str">
        <f>IFERROR(__xludf.DUMMYFUNCTION("QUERY('Volunteer Survey'!J964)"),"")</f>
        <v/>
      </c>
      <c r="AJ965" s="183" t="str">
        <f>IFERROR(__xludf.DUMMYFUNCTION("QUERY('Volunteer Survey'!K964)"),"")</f>
        <v/>
      </c>
      <c r="AK965" s="183" t="str">
        <f>IFERROR(__xludf.DUMMYFUNCTION("QUERY('Volunteer Survey'!L964)"),"")</f>
        <v/>
      </c>
      <c r="AL965" s="183" t="str">
        <f>IFERROR(__xludf.DUMMYFUNCTION("QUERY('Volunteer Survey'!M964)"),"")</f>
        <v/>
      </c>
      <c r="AM965" s="183" t="str">
        <f>IFERROR(__xludf.DUMMYFUNCTION("QUERY('Volunteer Survey'!N964)"),"")</f>
        <v/>
      </c>
      <c r="AN965" s="183" t="str">
        <f>IFERROR(__xludf.DUMMYFUNCTION("QUERY('Volunteer Survey'!O964)"),"")</f>
        <v/>
      </c>
      <c r="AO965" s="183" t="str">
        <f>IFERROR(__xludf.DUMMYFUNCTION("QUERY('Volunteer Survey'!P964)"),"")</f>
        <v/>
      </c>
    </row>
    <row r="966">
      <c r="A966" s="55"/>
      <c r="B966" s="55"/>
      <c r="C966" s="53"/>
      <c r="D966" s="55"/>
      <c r="E966" s="55"/>
      <c r="F966" s="55" t="b">
        <v>0</v>
      </c>
      <c r="G966" s="55"/>
      <c r="H966" s="53"/>
      <c r="I966" s="53"/>
      <c r="J966" s="55"/>
      <c r="K966" s="55"/>
      <c r="L966" s="55"/>
      <c r="M966" s="55"/>
      <c r="N966" s="55"/>
      <c r="O966" s="55" t="b">
        <v>0</v>
      </c>
      <c r="P966" s="55"/>
      <c r="Q966" s="55"/>
      <c r="R966" s="55"/>
      <c r="S966" s="55"/>
      <c r="T966" s="55"/>
      <c r="U966" s="64"/>
      <c r="V966" s="55"/>
      <c r="W966" s="64"/>
      <c r="X966" s="55"/>
      <c r="Y966" s="53"/>
      <c r="Z966" s="183" t="str">
        <f>IFERROR(__xludf.DUMMYFUNCTION("QUERY('Volunteer Survey'!A965)"),"")</f>
        <v/>
      </c>
      <c r="AA966" s="183" t="str">
        <f>IFERROR(__xludf.DUMMYFUNCTION("QUERY('Volunteer Survey'!B965)"),"")</f>
        <v/>
      </c>
      <c r="AB966" s="183" t="str">
        <f>IFERROR(__xludf.DUMMYFUNCTION("QUERY('Volunteer Survey'!C965)"),"")</f>
        <v/>
      </c>
      <c r="AC966" s="183" t="str">
        <f>IFERROR(__xludf.DUMMYFUNCTION("QUERY('Volunteer Survey'!D965)"),"")</f>
        <v/>
      </c>
      <c r="AD966" s="183" t="str">
        <f>IFERROR(__xludf.DUMMYFUNCTION("QUERY('Volunteer Survey'!E965)"),"")</f>
        <v/>
      </c>
      <c r="AE966" s="183" t="str">
        <f>IFERROR(__xludf.DUMMYFUNCTION("QUERY('Volunteer Survey'!F965)"),"")</f>
        <v/>
      </c>
      <c r="AF966" s="183" t="str">
        <f>IFERROR(__xludf.DUMMYFUNCTION("QUERY('Volunteer Survey'!G965)"),"")</f>
        <v/>
      </c>
      <c r="AG966" s="183" t="str">
        <f>IFERROR(__xludf.DUMMYFUNCTION("QUERY('Volunteer Survey'!H965)"),"")</f>
        <v/>
      </c>
      <c r="AH966" s="183" t="str">
        <f>IFERROR(__xludf.DUMMYFUNCTION("QUERY('Volunteer Survey'!I965)"),"")</f>
        <v/>
      </c>
      <c r="AI966" s="183" t="str">
        <f>IFERROR(__xludf.DUMMYFUNCTION("QUERY('Volunteer Survey'!J965)"),"")</f>
        <v/>
      </c>
      <c r="AJ966" s="183" t="str">
        <f>IFERROR(__xludf.DUMMYFUNCTION("QUERY('Volunteer Survey'!K965)"),"")</f>
        <v/>
      </c>
      <c r="AK966" s="183" t="str">
        <f>IFERROR(__xludf.DUMMYFUNCTION("QUERY('Volunteer Survey'!L965)"),"")</f>
        <v/>
      </c>
      <c r="AL966" s="183" t="str">
        <f>IFERROR(__xludf.DUMMYFUNCTION("QUERY('Volunteer Survey'!M965)"),"")</f>
        <v/>
      </c>
      <c r="AM966" s="183" t="str">
        <f>IFERROR(__xludf.DUMMYFUNCTION("QUERY('Volunteer Survey'!N965)"),"")</f>
        <v/>
      </c>
      <c r="AN966" s="183" t="str">
        <f>IFERROR(__xludf.DUMMYFUNCTION("QUERY('Volunteer Survey'!O965)"),"")</f>
        <v/>
      </c>
      <c r="AO966" s="183" t="str">
        <f>IFERROR(__xludf.DUMMYFUNCTION("QUERY('Volunteer Survey'!P965)"),"")</f>
        <v/>
      </c>
    </row>
    <row r="967">
      <c r="A967" s="55"/>
      <c r="B967" s="55"/>
      <c r="C967" s="53"/>
      <c r="D967" s="55"/>
      <c r="E967" s="55"/>
      <c r="F967" s="55" t="b">
        <v>0</v>
      </c>
      <c r="G967" s="55"/>
      <c r="H967" s="53"/>
      <c r="I967" s="53"/>
      <c r="J967" s="55"/>
      <c r="K967" s="55"/>
      <c r="L967" s="55"/>
      <c r="M967" s="55"/>
      <c r="N967" s="55"/>
      <c r="O967" s="55" t="b">
        <v>0</v>
      </c>
      <c r="P967" s="55"/>
      <c r="Q967" s="55"/>
      <c r="R967" s="55"/>
      <c r="S967" s="55"/>
      <c r="T967" s="55"/>
      <c r="U967" s="64"/>
      <c r="V967" s="55"/>
      <c r="W967" s="64"/>
      <c r="X967" s="55"/>
      <c r="Y967" s="53"/>
      <c r="Z967" s="183" t="str">
        <f>IFERROR(__xludf.DUMMYFUNCTION("QUERY('Volunteer Survey'!A966)"),"")</f>
        <v/>
      </c>
      <c r="AA967" s="183" t="str">
        <f>IFERROR(__xludf.DUMMYFUNCTION("QUERY('Volunteer Survey'!B966)"),"")</f>
        <v/>
      </c>
      <c r="AB967" s="183" t="str">
        <f>IFERROR(__xludf.DUMMYFUNCTION("QUERY('Volunteer Survey'!C966)"),"")</f>
        <v/>
      </c>
      <c r="AC967" s="183" t="str">
        <f>IFERROR(__xludf.DUMMYFUNCTION("QUERY('Volunteer Survey'!D966)"),"")</f>
        <v/>
      </c>
      <c r="AD967" s="183" t="str">
        <f>IFERROR(__xludf.DUMMYFUNCTION("QUERY('Volunteer Survey'!E966)"),"")</f>
        <v/>
      </c>
      <c r="AE967" s="183" t="str">
        <f>IFERROR(__xludf.DUMMYFUNCTION("QUERY('Volunteer Survey'!F966)"),"")</f>
        <v/>
      </c>
      <c r="AF967" s="183" t="str">
        <f>IFERROR(__xludf.DUMMYFUNCTION("QUERY('Volunteer Survey'!G966)"),"")</f>
        <v/>
      </c>
      <c r="AG967" s="183" t="str">
        <f>IFERROR(__xludf.DUMMYFUNCTION("QUERY('Volunteer Survey'!H966)"),"")</f>
        <v/>
      </c>
      <c r="AH967" s="183" t="str">
        <f>IFERROR(__xludf.DUMMYFUNCTION("QUERY('Volunteer Survey'!I966)"),"")</f>
        <v/>
      </c>
      <c r="AI967" s="183" t="str">
        <f>IFERROR(__xludf.DUMMYFUNCTION("QUERY('Volunteer Survey'!J966)"),"")</f>
        <v/>
      </c>
      <c r="AJ967" s="183" t="str">
        <f>IFERROR(__xludf.DUMMYFUNCTION("QUERY('Volunteer Survey'!K966)"),"")</f>
        <v/>
      </c>
      <c r="AK967" s="183" t="str">
        <f>IFERROR(__xludf.DUMMYFUNCTION("QUERY('Volunteer Survey'!L966)"),"")</f>
        <v/>
      </c>
      <c r="AL967" s="183" t="str">
        <f>IFERROR(__xludf.DUMMYFUNCTION("QUERY('Volunteer Survey'!M966)"),"")</f>
        <v/>
      </c>
      <c r="AM967" s="183" t="str">
        <f>IFERROR(__xludf.DUMMYFUNCTION("QUERY('Volunteer Survey'!N966)"),"")</f>
        <v/>
      </c>
      <c r="AN967" s="183" t="str">
        <f>IFERROR(__xludf.DUMMYFUNCTION("QUERY('Volunteer Survey'!O966)"),"")</f>
        <v/>
      </c>
      <c r="AO967" s="183" t="str">
        <f>IFERROR(__xludf.DUMMYFUNCTION("QUERY('Volunteer Survey'!P966)"),"")</f>
        <v/>
      </c>
    </row>
    <row r="968">
      <c r="A968" s="55"/>
      <c r="B968" s="55"/>
      <c r="C968" s="53"/>
      <c r="D968" s="55"/>
      <c r="E968" s="55"/>
      <c r="F968" s="55" t="b">
        <v>0</v>
      </c>
      <c r="G968" s="55"/>
      <c r="H968" s="53"/>
      <c r="I968" s="53"/>
      <c r="J968" s="55"/>
      <c r="K968" s="55"/>
      <c r="L968" s="55"/>
      <c r="M968" s="55"/>
      <c r="N968" s="55"/>
      <c r="O968" s="55" t="b">
        <v>0</v>
      </c>
      <c r="P968" s="55"/>
      <c r="Q968" s="55"/>
      <c r="R968" s="55"/>
      <c r="S968" s="55"/>
      <c r="T968" s="55"/>
      <c r="U968" s="64"/>
      <c r="V968" s="55"/>
      <c r="W968" s="64"/>
      <c r="X968" s="55"/>
      <c r="Y968" s="53"/>
      <c r="Z968" s="183" t="str">
        <f>IFERROR(__xludf.DUMMYFUNCTION("QUERY('Volunteer Survey'!A967)"),"")</f>
        <v/>
      </c>
      <c r="AA968" s="183" t="str">
        <f>IFERROR(__xludf.DUMMYFUNCTION("QUERY('Volunteer Survey'!B967)"),"")</f>
        <v/>
      </c>
      <c r="AB968" s="183" t="str">
        <f>IFERROR(__xludf.DUMMYFUNCTION("QUERY('Volunteer Survey'!C967)"),"")</f>
        <v/>
      </c>
      <c r="AC968" s="183" t="str">
        <f>IFERROR(__xludf.DUMMYFUNCTION("QUERY('Volunteer Survey'!D967)"),"")</f>
        <v/>
      </c>
      <c r="AD968" s="183" t="str">
        <f>IFERROR(__xludf.DUMMYFUNCTION("QUERY('Volunteer Survey'!E967)"),"")</f>
        <v/>
      </c>
      <c r="AE968" s="183" t="str">
        <f>IFERROR(__xludf.DUMMYFUNCTION("QUERY('Volunteer Survey'!F967)"),"")</f>
        <v/>
      </c>
      <c r="AF968" s="183" t="str">
        <f>IFERROR(__xludf.DUMMYFUNCTION("QUERY('Volunteer Survey'!G967)"),"")</f>
        <v/>
      </c>
      <c r="AG968" s="183" t="str">
        <f>IFERROR(__xludf.DUMMYFUNCTION("QUERY('Volunteer Survey'!H967)"),"")</f>
        <v/>
      </c>
      <c r="AH968" s="183" t="str">
        <f>IFERROR(__xludf.DUMMYFUNCTION("QUERY('Volunteer Survey'!I967)"),"")</f>
        <v/>
      </c>
      <c r="AI968" s="183" t="str">
        <f>IFERROR(__xludf.DUMMYFUNCTION("QUERY('Volunteer Survey'!J967)"),"")</f>
        <v/>
      </c>
      <c r="AJ968" s="183" t="str">
        <f>IFERROR(__xludf.DUMMYFUNCTION("QUERY('Volunteer Survey'!K967)"),"")</f>
        <v/>
      </c>
      <c r="AK968" s="183" t="str">
        <f>IFERROR(__xludf.DUMMYFUNCTION("QUERY('Volunteer Survey'!L967)"),"")</f>
        <v/>
      </c>
      <c r="AL968" s="183" t="str">
        <f>IFERROR(__xludf.DUMMYFUNCTION("QUERY('Volunteer Survey'!M967)"),"")</f>
        <v/>
      </c>
      <c r="AM968" s="183" t="str">
        <f>IFERROR(__xludf.DUMMYFUNCTION("QUERY('Volunteer Survey'!N967)"),"")</f>
        <v/>
      </c>
      <c r="AN968" s="183" t="str">
        <f>IFERROR(__xludf.DUMMYFUNCTION("QUERY('Volunteer Survey'!O967)"),"")</f>
        <v/>
      </c>
      <c r="AO968" s="183" t="str">
        <f>IFERROR(__xludf.DUMMYFUNCTION("QUERY('Volunteer Survey'!P967)"),"")</f>
        <v/>
      </c>
    </row>
    <row r="969">
      <c r="A969" s="55"/>
      <c r="B969" s="55"/>
      <c r="C969" s="53"/>
      <c r="D969" s="55"/>
      <c r="E969" s="55"/>
      <c r="F969" s="55" t="b">
        <v>0</v>
      </c>
      <c r="G969" s="55"/>
      <c r="H969" s="53"/>
      <c r="I969" s="53"/>
      <c r="J969" s="55"/>
      <c r="K969" s="55"/>
      <c r="L969" s="55"/>
      <c r="M969" s="55"/>
      <c r="N969" s="55"/>
      <c r="O969" s="55" t="b">
        <v>0</v>
      </c>
      <c r="P969" s="55"/>
      <c r="Q969" s="55"/>
      <c r="R969" s="55"/>
      <c r="S969" s="55"/>
      <c r="T969" s="55"/>
      <c r="U969" s="64"/>
      <c r="V969" s="55"/>
      <c r="W969" s="64"/>
      <c r="X969" s="55"/>
      <c r="Y969" s="53"/>
      <c r="Z969" s="183" t="str">
        <f>IFERROR(__xludf.DUMMYFUNCTION("QUERY('Volunteer Survey'!A968)"),"")</f>
        <v/>
      </c>
      <c r="AA969" s="183" t="str">
        <f>IFERROR(__xludf.DUMMYFUNCTION("QUERY('Volunteer Survey'!B968)"),"")</f>
        <v/>
      </c>
      <c r="AB969" s="183" t="str">
        <f>IFERROR(__xludf.DUMMYFUNCTION("QUERY('Volunteer Survey'!C968)"),"")</f>
        <v/>
      </c>
      <c r="AC969" s="183" t="str">
        <f>IFERROR(__xludf.DUMMYFUNCTION("QUERY('Volunteer Survey'!D968)"),"")</f>
        <v/>
      </c>
      <c r="AD969" s="183" t="str">
        <f>IFERROR(__xludf.DUMMYFUNCTION("QUERY('Volunteer Survey'!E968)"),"")</f>
        <v/>
      </c>
      <c r="AE969" s="183" t="str">
        <f>IFERROR(__xludf.DUMMYFUNCTION("QUERY('Volunteer Survey'!F968)"),"")</f>
        <v/>
      </c>
      <c r="AF969" s="183" t="str">
        <f>IFERROR(__xludf.DUMMYFUNCTION("QUERY('Volunteer Survey'!G968)"),"")</f>
        <v/>
      </c>
      <c r="AG969" s="183" t="str">
        <f>IFERROR(__xludf.DUMMYFUNCTION("QUERY('Volunteer Survey'!H968)"),"")</f>
        <v/>
      </c>
      <c r="AH969" s="183" t="str">
        <f>IFERROR(__xludf.DUMMYFUNCTION("QUERY('Volunteer Survey'!I968)"),"")</f>
        <v/>
      </c>
      <c r="AI969" s="183" t="str">
        <f>IFERROR(__xludf.DUMMYFUNCTION("QUERY('Volunteer Survey'!J968)"),"")</f>
        <v/>
      </c>
      <c r="AJ969" s="183" t="str">
        <f>IFERROR(__xludf.DUMMYFUNCTION("QUERY('Volunteer Survey'!K968)"),"")</f>
        <v/>
      </c>
      <c r="AK969" s="183" t="str">
        <f>IFERROR(__xludf.DUMMYFUNCTION("QUERY('Volunteer Survey'!L968)"),"")</f>
        <v/>
      </c>
      <c r="AL969" s="183" t="str">
        <f>IFERROR(__xludf.DUMMYFUNCTION("QUERY('Volunteer Survey'!M968)"),"")</f>
        <v/>
      </c>
      <c r="AM969" s="183" t="str">
        <f>IFERROR(__xludf.DUMMYFUNCTION("QUERY('Volunteer Survey'!N968)"),"")</f>
        <v/>
      </c>
      <c r="AN969" s="183" t="str">
        <f>IFERROR(__xludf.DUMMYFUNCTION("QUERY('Volunteer Survey'!O968)"),"")</f>
        <v/>
      </c>
      <c r="AO969" s="183" t="str">
        <f>IFERROR(__xludf.DUMMYFUNCTION("QUERY('Volunteer Survey'!P968)"),"")</f>
        <v/>
      </c>
    </row>
    <row r="970">
      <c r="A970" s="55"/>
      <c r="B970" s="55"/>
      <c r="C970" s="53"/>
      <c r="D970" s="55"/>
      <c r="E970" s="55"/>
      <c r="F970" s="55" t="b">
        <v>0</v>
      </c>
      <c r="G970" s="55"/>
      <c r="H970" s="53"/>
      <c r="I970" s="53"/>
      <c r="J970" s="55"/>
      <c r="K970" s="55"/>
      <c r="L970" s="55"/>
      <c r="M970" s="55"/>
      <c r="N970" s="55"/>
      <c r="O970" s="55" t="b">
        <v>0</v>
      </c>
      <c r="P970" s="55"/>
      <c r="Q970" s="55"/>
      <c r="R970" s="55"/>
      <c r="S970" s="55"/>
      <c r="T970" s="55"/>
      <c r="U970" s="64"/>
      <c r="V970" s="55"/>
      <c r="W970" s="64"/>
      <c r="X970" s="55"/>
      <c r="Y970" s="53"/>
      <c r="Z970" s="183" t="str">
        <f>IFERROR(__xludf.DUMMYFUNCTION("QUERY('Volunteer Survey'!A969)"),"")</f>
        <v/>
      </c>
      <c r="AA970" s="183" t="str">
        <f>IFERROR(__xludf.DUMMYFUNCTION("QUERY('Volunteer Survey'!B969)"),"")</f>
        <v/>
      </c>
      <c r="AB970" s="183" t="str">
        <f>IFERROR(__xludf.DUMMYFUNCTION("QUERY('Volunteer Survey'!C969)"),"")</f>
        <v/>
      </c>
      <c r="AC970" s="183" t="str">
        <f>IFERROR(__xludf.DUMMYFUNCTION("QUERY('Volunteer Survey'!D969)"),"")</f>
        <v/>
      </c>
      <c r="AD970" s="183" t="str">
        <f>IFERROR(__xludf.DUMMYFUNCTION("QUERY('Volunteer Survey'!E969)"),"")</f>
        <v/>
      </c>
      <c r="AE970" s="183" t="str">
        <f>IFERROR(__xludf.DUMMYFUNCTION("QUERY('Volunteer Survey'!F969)"),"")</f>
        <v/>
      </c>
      <c r="AF970" s="183" t="str">
        <f>IFERROR(__xludf.DUMMYFUNCTION("QUERY('Volunteer Survey'!G969)"),"")</f>
        <v/>
      </c>
      <c r="AG970" s="183" t="str">
        <f>IFERROR(__xludf.DUMMYFUNCTION("QUERY('Volunteer Survey'!H969)"),"")</f>
        <v/>
      </c>
      <c r="AH970" s="183" t="str">
        <f>IFERROR(__xludf.DUMMYFUNCTION("QUERY('Volunteer Survey'!I969)"),"")</f>
        <v/>
      </c>
      <c r="AI970" s="183" t="str">
        <f>IFERROR(__xludf.DUMMYFUNCTION("QUERY('Volunteer Survey'!J969)"),"")</f>
        <v/>
      </c>
      <c r="AJ970" s="183" t="str">
        <f>IFERROR(__xludf.DUMMYFUNCTION("QUERY('Volunteer Survey'!K969)"),"")</f>
        <v/>
      </c>
      <c r="AK970" s="183" t="str">
        <f>IFERROR(__xludf.DUMMYFUNCTION("QUERY('Volunteer Survey'!L969)"),"")</f>
        <v/>
      </c>
      <c r="AL970" s="183" t="str">
        <f>IFERROR(__xludf.DUMMYFUNCTION("QUERY('Volunteer Survey'!M969)"),"")</f>
        <v/>
      </c>
      <c r="AM970" s="183" t="str">
        <f>IFERROR(__xludf.DUMMYFUNCTION("QUERY('Volunteer Survey'!N969)"),"")</f>
        <v/>
      </c>
      <c r="AN970" s="183" t="str">
        <f>IFERROR(__xludf.DUMMYFUNCTION("QUERY('Volunteer Survey'!O969)"),"")</f>
        <v/>
      </c>
      <c r="AO970" s="183" t="str">
        <f>IFERROR(__xludf.DUMMYFUNCTION("QUERY('Volunteer Survey'!P969)"),"")</f>
        <v/>
      </c>
    </row>
    <row r="971">
      <c r="A971" s="55"/>
      <c r="B971" s="55"/>
      <c r="C971" s="53"/>
      <c r="D971" s="55"/>
      <c r="E971" s="55"/>
      <c r="F971" s="55" t="b">
        <v>0</v>
      </c>
      <c r="G971" s="55"/>
      <c r="H971" s="53"/>
      <c r="I971" s="53"/>
      <c r="J971" s="55"/>
      <c r="K971" s="55"/>
      <c r="L971" s="55"/>
      <c r="M971" s="55"/>
      <c r="N971" s="55"/>
      <c r="O971" s="55" t="b">
        <v>0</v>
      </c>
      <c r="P971" s="55"/>
      <c r="Q971" s="55"/>
      <c r="R971" s="55"/>
      <c r="S971" s="55"/>
      <c r="T971" s="55"/>
      <c r="U971" s="64"/>
      <c r="V971" s="55"/>
      <c r="W971" s="64"/>
      <c r="X971" s="55"/>
      <c r="Y971" s="53"/>
      <c r="Z971" s="183" t="str">
        <f>IFERROR(__xludf.DUMMYFUNCTION("QUERY('Volunteer Survey'!A970)"),"")</f>
        <v/>
      </c>
      <c r="AA971" s="183" t="str">
        <f>IFERROR(__xludf.DUMMYFUNCTION("QUERY('Volunteer Survey'!B970)"),"")</f>
        <v/>
      </c>
      <c r="AB971" s="183" t="str">
        <f>IFERROR(__xludf.DUMMYFUNCTION("QUERY('Volunteer Survey'!C970)"),"")</f>
        <v/>
      </c>
      <c r="AC971" s="183" t="str">
        <f>IFERROR(__xludf.DUMMYFUNCTION("QUERY('Volunteer Survey'!D970)"),"")</f>
        <v/>
      </c>
      <c r="AD971" s="183" t="str">
        <f>IFERROR(__xludf.DUMMYFUNCTION("QUERY('Volunteer Survey'!E970)"),"")</f>
        <v/>
      </c>
      <c r="AE971" s="183" t="str">
        <f>IFERROR(__xludf.DUMMYFUNCTION("QUERY('Volunteer Survey'!F970)"),"")</f>
        <v/>
      </c>
      <c r="AF971" s="183" t="str">
        <f>IFERROR(__xludf.DUMMYFUNCTION("QUERY('Volunteer Survey'!G970)"),"")</f>
        <v/>
      </c>
      <c r="AG971" s="183" t="str">
        <f>IFERROR(__xludf.DUMMYFUNCTION("QUERY('Volunteer Survey'!H970)"),"")</f>
        <v/>
      </c>
      <c r="AH971" s="183" t="str">
        <f>IFERROR(__xludf.DUMMYFUNCTION("QUERY('Volunteer Survey'!I970)"),"")</f>
        <v/>
      </c>
      <c r="AI971" s="183" t="str">
        <f>IFERROR(__xludf.DUMMYFUNCTION("QUERY('Volunteer Survey'!J970)"),"")</f>
        <v/>
      </c>
      <c r="AJ971" s="183" t="str">
        <f>IFERROR(__xludf.DUMMYFUNCTION("QUERY('Volunteer Survey'!K970)"),"")</f>
        <v/>
      </c>
      <c r="AK971" s="183" t="str">
        <f>IFERROR(__xludf.DUMMYFUNCTION("QUERY('Volunteer Survey'!L970)"),"")</f>
        <v/>
      </c>
      <c r="AL971" s="183" t="str">
        <f>IFERROR(__xludf.DUMMYFUNCTION("QUERY('Volunteer Survey'!M970)"),"")</f>
        <v/>
      </c>
      <c r="AM971" s="183" t="str">
        <f>IFERROR(__xludf.DUMMYFUNCTION("QUERY('Volunteer Survey'!N970)"),"")</f>
        <v/>
      </c>
      <c r="AN971" s="183" t="str">
        <f>IFERROR(__xludf.DUMMYFUNCTION("QUERY('Volunteer Survey'!O970)"),"")</f>
        <v/>
      </c>
      <c r="AO971" s="183" t="str">
        <f>IFERROR(__xludf.DUMMYFUNCTION("QUERY('Volunteer Survey'!P970)"),"")</f>
        <v/>
      </c>
    </row>
    <row r="972">
      <c r="A972" s="55"/>
      <c r="B972" s="55"/>
      <c r="C972" s="53"/>
      <c r="D972" s="55"/>
      <c r="E972" s="55"/>
      <c r="F972" s="55" t="b">
        <v>0</v>
      </c>
      <c r="G972" s="55"/>
      <c r="H972" s="53"/>
      <c r="I972" s="53"/>
      <c r="J972" s="55"/>
      <c r="K972" s="55"/>
      <c r="L972" s="55"/>
      <c r="M972" s="55"/>
      <c r="N972" s="55"/>
      <c r="O972" s="55" t="b">
        <v>0</v>
      </c>
      <c r="P972" s="55"/>
      <c r="Q972" s="55"/>
      <c r="R972" s="55"/>
      <c r="S972" s="55"/>
      <c r="T972" s="55"/>
      <c r="U972" s="64"/>
      <c r="V972" s="55"/>
      <c r="W972" s="64"/>
      <c r="X972" s="55"/>
      <c r="Y972" s="53"/>
      <c r="Z972" s="183" t="str">
        <f>IFERROR(__xludf.DUMMYFUNCTION("QUERY('Volunteer Survey'!A971)"),"")</f>
        <v/>
      </c>
      <c r="AA972" s="183" t="str">
        <f>IFERROR(__xludf.DUMMYFUNCTION("QUERY('Volunteer Survey'!B971)"),"")</f>
        <v/>
      </c>
      <c r="AB972" s="183" t="str">
        <f>IFERROR(__xludf.DUMMYFUNCTION("QUERY('Volunteer Survey'!C971)"),"")</f>
        <v/>
      </c>
      <c r="AC972" s="183" t="str">
        <f>IFERROR(__xludf.DUMMYFUNCTION("QUERY('Volunteer Survey'!D971)"),"")</f>
        <v/>
      </c>
      <c r="AD972" s="183" t="str">
        <f>IFERROR(__xludf.DUMMYFUNCTION("QUERY('Volunteer Survey'!E971)"),"")</f>
        <v/>
      </c>
      <c r="AE972" s="183" t="str">
        <f>IFERROR(__xludf.DUMMYFUNCTION("QUERY('Volunteer Survey'!F971)"),"")</f>
        <v/>
      </c>
      <c r="AF972" s="183" t="str">
        <f>IFERROR(__xludf.DUMMYFUNCTION("QUERY('Volunteer Survey'!G971)"),"")</f>
        <v/>
      </c>
      <c r="AG972" s="183" t="str">
        <f>IFERROR(__xludf.DUMMYFUNCTION("QUERY('Volunteer Survey'!H971)"),"")</f>
        <v/>
      </c>
      <c r="AH972" s="183" t="str">
        <f>IFERROR(__xludf.DUMMYFUNCTION("QUERY('Volunteer Survey'!I971)"),"")</f>
        <v/>
      </c>
      <c r="AI972" s="183" t="str">
        <f>IFERROR(__xludf.DUMMYFUNCTION("QUERY('Volunteer Survey'!J971)"),"")</f>
        <v/>
      </c>
      <c r="AJ972" s="183" t="str">
        <f>IFERROR(__xludf.DUMMYFUNCTION("QUERY('Volunteer Survey'!K971)"),"")</f>
        <v/>
      </c>
      <c r="AK972" s="183" t="str">
        <f>IFERROR(__xludf.DUMMYFUNCTION("QUERY('Volunteer Survey'!L971)"),"")</f>
        <v/>
      </c>
      <c r="AL972" s="183" t="str">
        <f>IFERROR(__xludf.DUMMYFUNCTION("QUERY('Volunteer Survey'!M971)"),"")</f>
        <v/>
      </c>
      <c r="AM972" s="183" t="str">
        <f>IFERROR(__xludf.DUMMYFUNCTION("QUERY('Volunteer Survey'!N971)"),"")</f>
        <v/>
      </c>
      <c r="AN972" s="183" t="str">
        <f>IFERROR(__xludf.DUMMYFUNCTION("QUERY('Volunteer Survey'!O971)"),"")</f>
        <v/>
      </c>
      <c r="AO972" s="183" t="str">
        <f>IFERROR(__xludf.DUMMYFUNCTION("QUERY('Volunteer Survey'!P971)"),"")</f>
        <v/>
      </c>
    </row>
    <row r="973">
      <c r="A973" s="55"/>
      <c r="B973" s="55"/>
      <c r="C973" s="53"/>
      <c r="D973" s="55"/>
      <c r="E973" s="55"/>
      <c r="F973" s="55" t="b">
        <v>0</v>
      </c>
      <c r="G973" s="55"/>
      <c r="H973" s="53"/>
      <c r="I973" s="53"/>
      <c r="J973" s="55"/>
      <c r="K973" s="55"/>
      <c r="L973" s="55"/>
      <c r="M973" s="55"/>
      <c r="N973" s="55"/>
      <c r="O973" s="55" t="b">
        <v>0</v>
      </c>
      <c r="P973" s="55"/>
      <c r="Q973" s="55"/>
      <c r="R973" s="55"/>
      <c r="S973" s="55"/>
      <c r="T973" s="55"/>
      <c r="U973" s="64"/>
      <c r="V973" s="55"/>
      <c r="W973" s="64"/>
      <c r="X973" s="55"/>
      <c r="Y973" s="53"/>
      <c r="Z973" s="183" t="str">
        <f>IFERROR(__xludf.DUMMYFUNCTION("QUERY('Volunteer Survey'!A972)"),"")</f>
        <v/>
      </c>
      <c r="AA973" s="183" t="str">
        <f>IFERROR(__xludf.DUMMYFUNCTION("QUERY('Volunteer Survey'!B972)"),"")</f>
        <v/>
      </c>
      <c r="AB973" s="183" t="str">
        <f>IFERROR(__xludf.DUMMYFUNCTION("QUERY('Volunteer Survey'!C972)"),"")</f>
        <v/>
      </c>
      <c r="AC973" s="183" t="str">
        <f>IFERROR(__xludf.DUMMYFUNCTION("QUERY('Volunteer Survey'!D972)"),"")</f>
        <v/>
      </c>
      <c r="AD973" s="183" t="str">
        <f>IFERROR(__xludf.DUMMYFUNCTION("QUERY('Volunteer Survey'!E972)"),"")</f>
        <v/>
      </c>
      <c r="AE973" s="183" t="str">
        <f>IFERROR(__xludf.DUMMYFUNCTION("QUERY('Volunteer Survey'!F972)"),"")</f>
        <v/>
      </c>
      <c r="AF973" s="183" t="str">
        <f>IFERROR(__xludf.DUMMYFUNCTION("QUERY('Volunteer Survey'!G972)"),"")</f>
        <v/>
      </c>
      <c r="AG973" s="183" t="str">
        <f>IFERROR(__xludf.DUMMYFUNCTION("QUERY('Volunteer Survey'!H972)"),"")</f>
        <v/>
      </c>
      <c r="AH973" s="183" t="str">
        <f>IFERROR(__xludf.DUMMYFUNCTION("QUERY('Volunteer Survey'!I972)"),"")</f>
        <v/>
      </c>
      <c r="AI973" s="183" t="str">
        <f>IFERROR(__xludf.DUMMYFUNCTION("QUERY('Volunteer Survey'!J972)"),"")</f>
        <v/>
      </c>
      <c r="AJ973" s="183" t="str">
        <f>IFERROR(__xludf.DUMMYFUNCTION("QUERY('Volunteer Survey'!K972)"),"")</f>
        <v/>
      </c>
      <c r="AK973" s="183" t="str">
        <f>IFERROR(__xludf.DUMMYFUNCTION("QUERY('Volunteer Survey'!L972)"),"")</f>
        <v/>
      </c>
      <c r="AL973" s="183" t="str">
        <f>IFERROR(__xludf.DUMMYFUNCTION("QUERY('Volunteer Survey'!M972)"),"")</f>
        <v/>
      </c>
      <c r="AM973" s="183" t="str">
        <f>IFERROR(__xludf.DUMMYFUNCTION("QUERY('Volunteer Survey'!N972)"),"")</f>
        <v/>
      </c>
      <c r="AN973" s="183" t="str">
        <f>IFERROR(__xludf.DUMMYFUNCTION("QUERY('Volunteer Survey'!O972)"),"")</f>
        <v/>
      </c>
      <c r="AO973" s="183" t="str">
        <f>IFERROR(__xludf.DUMMYFUNCTION("QUERY('Volunteer Survey'!P972)"),"")</f>
        <v/>
      </c>
    </row>
    <row r="974">
      <c r="A974" s="55"/>
      <c r="B974" s="55"/>
      <c r="C974" s="53"/>
      <c r="D974" s="55"/>
      <c r="E974" s="55"/>
      <c r="F974" s="55" t="b">
        <v>0</v>
      </c>
      <c r="G974" s="55"/>
      <c r="H974" s="53"/>
      <c r="I974" s="53"/>
      <c r="J974" s="55"/>
      <c r="K974" s="55"/>
      <c r="L974" s="55"/>
      <c r="M974" s="55"/>
      <c r="N974" s="55"/>
      <c r="O974" s="55" t="b">
        <v>0</v>
      </c>
      <c r="P974" s="55"/>
      <c r="Q974" s="55"/>
      <c r="R974" s="55"/>
      <c r="S974" s="55"/>
      <c r="T974" s="55"/>
      <c r="U974" s="64"/>
      <c r="V974" s="55"/>
      <c r="W974" s="64"/>
      <c r="X974" s="55"/>
      <c r="Y974" s="53"/>
      <c r="Z974" s="183" t="str">
        <f>IFERROR(__xludf.DUMMYFUNCTION("QUERY('Volunteer Survey'!A973)"),"")</f>
        <v/>
      </c>
      <c r="AA974" s="183" t="str">
        <f>IFERROR(__xludf.DUMMYFUNCTION("QUERY('Volunteer Survey'!B973)"),"")</f>
        <v/>
      </c>
      <c r="AB974" s="183" t="str">
        <f>IFERROR(__xludf.DUMMYFUNCTION("QUERY('Volunteer Survey'!C973)"),"")</f>
        <v/>
      </c>
      <c r="AC974" s="183" t="str">
        <f>IFERROR(__xludf.DUMMYFUNCTION("QUERY('Volunteer Survey'!D973)"),"")</f>
        <v/>
      </c>
      <c r="AD974" s="183" t="str">
        <f>IFERROR(__xludf.DUMMYFUNCTION("QUERY('Volunteer Survey'!E973)"),"")</f>
        <v/>
      </c>
      <c r="AE974" s="183" t="str">
        <f>IFERROR(__xludf.DUMMYFUNCTION("QUERY('Volunteer Survey'!F973)"),"")</f>
        <v/>
      </c>
      <c r="AF974" s="183" t="str">
        <f>IFERROR(__xludf.DUMMYFUNCTION("QUERY('Volunteer Survey'!G973)"),"")</f>
        <v/>
      </c>
      <c r="AG974" s="183" t="str">
        <f>IFERROR(__xludf.DUMMYFUNCTION("QUERY('Volunteer Survey'!H973)"),"")</f>
        <v/>
      </c>
      <c r="AH974" s="183" t="str">
        <f>IFERROR(__xludf.DUMMYFUNCTION("QUERY('Volunteer Survey'!I973)"),"")</f>
        <v/>
      </c>
      <c r="AI974" s="183" t="str">
        <f>IFERROR(__xludf.DUMMYFUNCTION("QUERY('Volunteer Survey'!J973)"),"")</f>
        <v/>
      </c>
      <c r="AJ974" s="183" t="str">
        <f>IFERROR(__xludf.DUMMYFUNCTION("QUERY('Volunteer Survey'!K973)"),"")</f>
        <v/>
      </c>
      <c r="AK974" s="183" t="str">
        <f>IFERROR(__xludf.DUMMYFUNCTION("QUERY('Volunteer Survey'!L973)"),"")</f>
        <v/>
      </c>
      <c r="AL974" s="183" t="str">
        <f>IFERROR(__xludf.DUMMYFUNCTION("QUERY('Volunteer Survey'!M973)"),"")</f>
        <v/>
      </c>
      <c r="AM974" s="183" t="str">
        <f>IFERROR(__xludf.DUMMYFUNCTION("QUERY('Volunteer Survey'!N973)"),"")</f>
        <v/>
      </c>
      <c r="AN974" s="183" t="str">
        <f>IFERROR(__xludf.DUMMYFUNCTION("QUERY('Volunteer Survey'!O973)"),"")</f>
        <v/>
      </c>
      <c r="AO974" s="183" t="str">
        <f>IFERROR(__xludf.DUMMYFUNCTION("QUERY('Volunteer Survey'!P973)"),"")</f>
        <v/>
      </c>
    </row>
    <row r="975">
      <c r="A975" s="55"/>
      <c r="B975" s="55"/>
      <c r="C975" s="53"/>
      <c r="D975" s="55"/>
      <c r="E975" s="55"/>
      <c r="F975" s="55" t="b">
        <v>0</v>
      </c>
      <c r="G975" s="55"/>
      <c r="H975" s="53"/>
      <c r="I975" s="53"/>
      <c r="J975" s="55"/>
      <c r="K975" s="55"/>
      <c r="L975" s="55"/>
      <c r="M975" s="55"/>
      <c r="N975" s="55"/>
      <c r="O975" s="55" t="b">
        <v>0</v>
      </c>
      <c r="P975" s="55"/>
      <c r="Q975" s="55"/>
      <c r="R975" s="55"/>
      <c r="S975" s="55"/>
      <c r="T975" s="55"/>
      <c r="U975" s="64"/>
      <c r="V975" s="55"/>
      <c r="W975" s="64"/>
      <c r="X975" s="55"/>
      <c r="Y975" s="53"/>
      <c r="Z975" s="183" t="str">
        <f>IFERROR(__xludf.DUMMYFUNCTION("QUERY('Volunteer Survey'!A974)"),"")</f>
        <v/>
      </c>
      <c r="AA975" s="183" t="str">
        <f>IFERROR(__xludf.DUMMYFUNCTION("QUERY('Volunteer Survey'!B974)"),"")</f>
        <v/>
      </c>
      <c r="AB975" s="183" t="str">
        <f>IFERROR(__xludf.DUMMYFUNCTION("QUERY('Volunteer Survey'!C974)"),"")</f>
        <v/>
      </c>
      <c r="AC975" s="183" t="str">
        <f>IFERROR(__xludf.DUMMYFUNCTION("QUERY('Volunteer Survey'!D974)"),"")</f>
        <v/>
      </c>
      <c r="AD975" s="183" t="str">
        <f>IFERROR(__xludf.DUMMYFUNCTION("QUERY('Volunteer Survey'!E974)"),"")</f>
        <v/>
      </c>
      <c r="AE975" s="183" t="str">
        <f>IFERROR(__xludf.DUMMYFUNCTION("QUERY('Volunteer Survey'!F974)"),"")</f>
        <v/>
      </c>
      <c r="AF975" s="183" t="str">
        <f>IFERROR(__xludf.DUMMYFUNCTION("QUERY('Volunteer Survey'!G974)"),"")</f>
        <v/>
      </c>
      <c r="AG975" s="183" t="str">
        <f>IFERROR(__xludf.DUMMYFUNCTION("QUERY('Volunteer Survey'!H974)"),"")</f>
        <v/>
      </c>
      <c r="AH975" s="183" t="str">
        <f>IFERROR(__xludf.DUMMYFUNCTION("QUERY('Volunteer Survey'!I974)"),"")</f>
        <v/>
      </c>
      <c r="AI975" s="183" t="str">
        <f>IFERROR(__xludf.DUMMYFUNCTION("QUERY('Volunteer Survey'!J974)"),"")</f>
        <v/>
      </c>
      <c r="AJ975" s="183" t="str">
        <f>IFERROR(__xludf.DUMMYFUNCTION("QUERY('Volunteer Survey'!K974)"),"")</f>
        <v/>
      </c>
      <c r="AK975" s="183" t="str">
        <f>IFERROR(__xludf.DUMMYFUNCTION("QUERY('Volunteer Survey'!L974)"),"")</f>
        <v/>
      </c>
      <c r="AL975" s="183" t="str">
        <f>IFERROR(__xludf.DUMMYFUNCTION("QUERY('Volunteer Survey'!M974)"),"")</f>
        <v/>
      </c>
      <c r="AM975" s="183" t="str">
        <f>IFERROR(__xludf.DUMMYFUNCTION("QUERY('Volunteer Survey'!N974)"),"")</f>
        <v/>
      </c>
      <c r="AN975" s="183" t="str">
        <f>IFERROR(__xludf.DUMMYFUNCTION("QUERY('Volunteer Survey'!O974)"),"")</f>
        <v/>
      </c>
      <c r="AO975" s="183" t="str">
        <f>IFERROR(__xludf.DUMMYFUNCTION("QUERY('Volunteer Survey'!P974)"),"")</f>
        <v/>
      </c>
    </row>
    <row r="976">
      <c r="A976" s="55"/>
      <c r="B976" s="55"/>
      <c r="C976" s="53"/>
      <c r="D976" s="55"/>
      <c r="E976" s="55"/>
      <c r="F976" s="55" t="b">
        <v>0</v>
      </c>
      <c r="G976" s="55"/>
      <c r="H976" s="53"/>
      <c r="I976" s="53"/>
      <c r="J976" s="55"/>
      <c r="K976" s="55"/>
      <c r="L976" s="55"/>
      <c r="M976" s="55"/>
      <c r="N976" s="55"/>
      <c r="O976" s="55" t="b">
        <v>0</v>
      </c>
      <c r="P976" s="55"/>
      <c r="Q976" s="55"/>
      <c r="R976" s="55"/>
      <c r="S976" s="55"/>
      <c r="T976" s="55"/>
      <c r="U976" s="64"/>
      <c r="V976" s="55"/>
      <c r="W976" s="64"/>
      <c r="X976" s="55"/>
      <c r="Y976" s="53"/>
      <c r="Z976" s="183" t="str">
        <f>IFERROR(__xludf.DUMMYFUNCTION("QUERY('Volunteer Survey'!A975)"),"")</f>
        <v/>
      </c>
      <c r="AA976" s="183" t="str">
        <f>IFERROR(__xludf.DUMMYFUNCTION("QUERY('Volunteer Survey'!B975)"),"")</f>
        <v/>
      </c>
      <c r="AB976" s="183" t="str">
        <f>IFERROR(__xludf.DUMMYFUNCTION("QUERY('Volunteer Survey'!C975)"),"")</f>
        <v/>
      </c>
      <c r="AC976" s="183" t="str">
        <f>IFERROR(__xludf.DUMMYFUNCTION("QUERY('Volunteer Survey'!D975)"),"")</f>
        <v/>
      </c>
      <c r="AD976" s="183" t="str">
        <f>IFERROR(__xludf.DUMMYFUNCTION("QUERY('Volunteer Survey'!E975)"),"")</f>
        <v/>
      </c>
      <c r="AE976" s="183" t="str">
        <f>IFERROR(__xludf.DUMMYFUNCTION("QUERY('Volunteer Survey'!F975)"),"")</f>
        <v/>
      </c>
      <c r="AF976" s="183" t="str">
        <f>IFERROR(__xludf.DUMMYFUNCTION("QUERY('Volunteer Survey'!G975)"),"")</f>
        <v/>
      </c>
      <c r="AG976" s="183" t="str">
        <f>IFERROR(__xludf.DUMMYFUNCTION("QUERY('Volunteer Survey'!H975)"),"")</f>
        <v/>
      </c>
      <c r="AH976" s="183" t="str">
        <f>IFERROR(__xludf.DUMMYFUNCTION("QUERY('Volunteer Survey'!I975)"),"")</f>
        <v/>
      </c>
      <c r="AI976" s="183" t="str">
        <f>IFERROR(__xludf.DUMMYFUNCTION("QUERY('Volunteer Survey'!J975)"),"")</f>
        <v/>
      </c>
      <c r="AJ976" s="183" t="str">
        <f>IFERROR(__xludf.DUMMYFUNCTION("QUERY('Volunteer Survey'!K975)"),"")</f>
        <v/>
      </c>
      <c r="AK976" s="183" t="str">
        <f>IFERROR(__xludf.DUMMYFUNCTION("QUERY('Volunteer Survey'!L975)"),"")</f>
        <v/>
      </c>
      <c r="AL976" s="183" t="str">
        <f>IFERROR(__xludf.DUMMYFUNCTION("QUERY('Volunteer Survey'!M975)"),"")</f>
        <v/>
      </c>
      <c r="AM976" s="183" t="str">
        <f>IFERROR(__xludf.DUMMYFUNCTION("QUERY('Volunteer Survey'!N975)"),"")</f>
        <v/>
      </c>
      <c r="AN976" s="183" t="str">
        <f>IFERROR(__xludf.DUMMYFUNCTION("QUERY('Volunteer Survey'!O975)"),"")</f>
        <v/>
      </c>
      <c r="AO976" s="183" t="str">
        <f>IFERROR(__xludf.DUMMYFUNCTION("QUERY('Volunteer Survey'!P975)"),"")</f>
        <v/>
      </c>
    </row>
    <row r="977">
      <c r="A977" s="55"/>
      <c r="B977" s="55"/>
      <c r="C977" s="53"/>
      <c r="D977" s="55"/>
      <c r="E977" s="55"/>
      <c r="F977" s="55" t="b">
        <v>0</v>
      </c>
      <c r="G977" s="55"/>
      <c r="H977" s="53"/>
      <c r="I977" s="53"/>
      <c r="J977" s="55"/>
      <c r="K977" s="55"/>
      <c r="L977" s="55"/>
      <c r="M977" s="55"/>
      <c r="N977" s="55"/>
      <c r="O977" s="55" t="b">
        <v>0</v>
      </c>
      <c r="P977" s="55"/>
      <c r="Q977" s="55"/>
      <c r="R977" s="55"/>
      <c r="S977" s="55"/>
      <c r="T977" s="55"/>
      <c r="U977" s="64"/>
      <c r="V977" s="55"/>
      <c r="W977" s="64"/>
      <c r="X977" s="55"/>
      <c r="Y977" s="53"/>
      <c r="Z977" s="183" t="str">
        <f>IFERROR(__xludf.DUMMYFUNCTION("QUERY('Volunteer Survey'!A976)"),"")</f>
        <v/>
      </c>
      <c r="AA977" s="183" t="str">
        <f>IFERROR(__xludf.DUMMYFUNCTION("QUERY('Volunteer Survey'!B976)"),"")</f>
        <v/>
      </c>
      <c r="AB977" s="183" t="str">
        <f>IFERROR(__xludf.DUMMYFUNCTION("QUERY('Volunteer Survey'!C976)"),"")</f>
        <v/>
      </c>
      <c r="AC977" s="183" t="str">
        <f>IFERROR(__xludf.DUMMYFUNCTION("QUERY('Volunteer Survey'!D976)"),"")</f>
        <v/>
      </c>
      <c r="AD977" s="183" t="str">
        <f>IFERROR(__xludf.DUMMYFUNCTION("QUERY('Volunteer Survey'!E976)"),"")</f>
        <v/>
      </c>
      <c r="AE977" s="183" t="str">
        <f>IFERROR(__xludf.DUMMYFUNCTION("QUERY('Volunteer Survey'!F976)"),"")</f>
        <v/>
      </c>
      <c r="AF977" s="183" t="str">
        <f>IFERROR(__xludf.DUMMYFUNCTION("QUERY('Volunteer Survey'!G976)"),"")</f>
        <v/>
      </c>
      <c r="AG977" s="183" t="str">
        <f>IFERROR(__xludf.DUMMYFUNCTION("QUERY('Volunteer Survey'!H976)"),"")</f>
        <v/>
      </c>
      <c r="AH977" s="183" t="str">
        <f>IFERROR(__xludf.DUMMYFUNCTION("QUERY('Volunteer Survey'!I976)"),"")</f>
        <v/>
      </c>
      <c r="AI977" s="183" t="str">
        <f>IFERROR(__xludf.DUMMYFUNCTION("QUERY('Volunteer Survey'!J976)"),"")</f>
        <v/>
      </c>
      <c r="AJ977" s="183" t="str">
        <f>IFERROR(__xludf.DUMMYFUNCTION("QUERY('Volunteer Survey'!K976)"),"")</f>
        <v/>
      </c>
      <c r="AK977" s="183" t="str">
        <f>IFERROR(__xludf.DUMMYFUNCTION("QUERY('Volunteer Survey'!L976)"),"")</f>
        <v/>
      </c>
      <c r="AL977" s="183" t="str">
        <f>IFERROR(__xludf.DUMMYFUNCTION("QUERY('Volunteer Survey'!M976)"),"")</f>
        <v/>
      </c>
      <c r="AM977" s="183" t="str">
        <f>IFERROR(__xludf.DUMMYFUNCTION("QUERY('Volunteer Survey'!N976)"),"")</f>
        <v/>
      </c>
      <c r="AN977" s="183" t="str">
        <f>IFERROR(__xludf.DUMMYFUNCTION("QUERY('Volunteer Survey'!O976)"),"")</f>
        <v/>
      </c>
      <c r="AO977" s="183" t="str">
        <f>IFERROR(__xludf.DUMMYFUNCTION("QUERY('Volunteer Survey'!P976)"),"")</f>
        <v/>
      </c>
    </row>
    <row r="978">
      <c r="A978" s="55"/>
      <c r="B978" s="55"/>
      <c r="C978" s="53"/>
      <c r="D978" s="55"/>
      <c r="E978" s="55"/>
      <c r="F978" s="55" t="b">
        <v>0</v>
      </c>
      <c r="G978" s="55"/>
      <c r="H978" s="53"/>
      <c r="I978" s="53"/>
      <c r="J978" s="55"/>
      <c r="K978" s="55"/>
      <c r="L978" s="55"/>
      <c r="M978" s="55"/>
      <c r="N978" s="55"/>
      <c r="O978" s="55" t="b">
        <v>0</v>
      </c>
      <c r="P978" s="55"/>
      <c r="Q978" s="55"/>
      <c r="R978" s="55"/>
      <c r="S978" s="55"/>
      <c r="T978" s="55"/>
      <c r="U978" s="64"/>
      <c r="V978" s="55"/>
      <c r="W978" s="64"/>
      <c r="X978" s="55"/>
      <c r="Y978" s="53"/>
      <c r="Z978" s="183" t="str">
        <f>IFERROR(__xludf.DUMMYFUNCTION("QUERY('Volunteer Survey'!A977)"),"")</f>
        <v/>
      </c>
      <c r="AA978" s="183" t="str">
        <f>IFERROR(__xludf.DUMMYFUNCTION("QUERY('Volunteer Survey'!B977)"),"")</f>
        <v/>
      </c>
      <c r="AB978" s="183" t="str">
        <f>IFERROR(__xludf.DUMMYFUNCTION("QUERY('Volunteer Survey'!C977)"),"")</f>
        <v/>
      </c>
      <c r="AC978" s="183" t="str">
        <f>IFERROR(__xludf.DUMMYFUNCTION("QUERY('Volunteer Survey'!D977)"),"")</f>
        <v/>
      </c>
      <c r="AD978" s="183" t="str">
        <f>IFERROR(__xludf.DUMMYFUNCTION("QUERY('Volunteer Survey'!E977)"),"")</f>
        <v/>
      </c>
      <c r="AE978" s="183" t="str">
        <f>IFERROR(__xludf.DUMMYFUNCTION("QUERY('Volunteer Survey'!F977)"),"")</f>
        <v/>
      </c>
      <c r="AF978" s="183" t="str">
        <f>IFERROR(__xludf.DUMMYFUNCTION("QUERY('Volunteer Survey'!G977)"),"")</f>
        <v/>
      </c>
      <c r="AG978" s="183" t="str">
        <f>IFERROR(__xludf.DUMMYFUNCTION("QUERY('Volunteer Survey'!H977)"),"")</f>
        <v/>
      </c>
      <c r="AH978" s="183" t="str">
        <f>IFERROR(__xludf.DUMMYFUNCTION("QUERY('Volunteer Survey'!I977)"),"")</f>
        <v/>
      </c>
      <c r="AI978" s="183" t="str">
        <f>IFERROR(__xludf.DUMMYFUNCTION("QUERY('Volunteer Survey'!J977)"),"")</f>
        <v/>
      </c>
      <c r="AJ978" s="183" t="str">
        <f>IFERROR(__xludf.DUMMYFUNCTION("QUERY('Volunteer Survey'!K977)"),"")</f>
        <v/>
      </c>
      <c r="AK978" s="183" t="str">
        <f>IFERROR(__xludf.DUMMYFUNCTION("QUERY('Volunteer Survey'!L977)"),"")</f>
        <v/>
      </c>
      <c r="AL978" s="183" t="str">
        <f>IFERROR(__xludf.DUMMYFUNCTION("QUERY('Volunteer Survey'!M977)"),"")</f>
        <v/>
      </c>
      <c r="AM978" s="183" t="str">
        <f>IFERROR(__xludf.DUMMYFUNCTION("QUERY('Volunteer Survey'!N977)"),"")</f>
        <v/>
      </c>
      <c r="AN978" s="183" t="str">
        <f>IFERROR(__xludf.DUMMYFUNCTION("QUERY('Volunteer Survey'!O977)"),"")</f>
        <v/>
      </c>
      <c r="AO978" s="183" t="str">
        <f>IFERROR(__xludf.DUMMYFUNCTION("QUERY('Volunteer Survey'!P977)"),"")</f>
        <v/>
      </c>
    </row>
    <row r="979">
      <c r="A979" s="55"/>
      <c r="B979" s="55"/>
      <c r="C979" s="53"/>
      <c r="D979" s="55"/>
      <c r="E979" s="55"/>
      <c r="F979" s="55" t="b">
        <v>0</v>
      </c>
      <c r="G979" s="55"/>
      <c r="H979" s="53"/>
      <c r="I979" s="53"/>
      <c r="J979" s="55"/>
      <c r="K979" s="55"/>
      <c r="L979" s="55"/>
      <c r="M979" s="55"/>
      <c r="N979" s="55"/>
      <c r="O979" s="55" t="b">
        <v>0</v>
      </c>
      <c r="P979" s="55"/>
      <c r="Q979" s="55"/>
      <c r="R979" s="55"/>
      <c r="S979" s="55"/>
      <c r="T979" s="55"/>
      <c r="U979" s="64"/>
      <c r="V979" s="55"/>
      <c r="W979" s="64"/>
      <c r="X979" s="55"/>
      <c r="Y979" s="53"/>
      <c r="Z979" s="183" t="str">
        <f>IFERROR(__xludf.DUMMYFUNCTION("QUERY('Volunteer Survey'!A978)"),"")</f>
        <v/>
      </c>
      <c r="AA979" s="183" t="str">
        <f>IFERROR(__xludf.DUMMYFUNCTION("QUERY('Volunteer Survey'!B978)"),"")</f>
        <v/>
      </c>
      <c r="AB979" s="183" t="str">
        <f>IFERROR(__xludf.DUMMYFUNCTION("QUERY('Volunteer Survey'!C978)"),"")</f>
        <v/>
      </c>
      <c r="AC979" s="183" t="str">
        <f>IFERROR(__xludf.DUMMYFUNCTION("QUERY('Volunteer Survey'!D978)"),"")</f>
        <v/>
      </c>
      <c r="AD979" s="183" t="str">
        <f>IFERROR(__xludf.DUMMYFUNCTION("QUERY('Volunteer Survey'!E978)"),"")</f>
        <v/>
      </c>
      <c r="AE979" s="183" t="str">
        <f>IFERROR(__xludf.DUMMYFUNCTION("QUERY('Volunteer Survey'!F978)"),"")</f>
        <v/>
      </c>
      <c r="AF979" s="183" t="str">
        <f>IFERROR(__xludf.DUMMYFUNCTION("QUERY('Volunteer Survey'!G978)"),"")</f>
        <v/>
      </c>
      <c r="AG979" s="183" t="str">
        <f>IFERROR(__xludf.DUMMYFUNCTION("QUERY('Volunteer Survey'!H978)"),"")</f>
        <v/>
      </c>
      <c r="AH979" s="183" t="str">
        <f>IFERROR(__xludf.DUMMYFUNCTION("QUERY('Volunteer Survey'!I978)"),"")</f>
        <v/>
      </c>
      <c r="AI979" s="183" t="str">
        <f>IFERROR(__xludf.DUMMYFUNCTION("QUERY('Volunteer Survey'!J978)"),"")</f>
        <v/>
      </c>
      <c r="AJ979" s="183" t="str">
        <f>IFERROR(__xludf.DUMMYFUNCTION("QUERY('Volunteer Survey'!K978)"),"")</f>
        <v/>
      </c>
      <c r="AK979" s="183" t="str">
        <f>IFERROR(__xludf.DUMMYFUNCTION("QUERY('Volunteer Survey'!L978)"),"")</f>
        <v/>
      </c>
      <c r="AL979" s="183" t="str">
        <f>IFERROR(__xludf.DUMMYFUNCTION("QUERY('Volunteer Survey'!M978)"),"")</f>
        <v/>
      </c>
      <c r="AM979" s="183" t="str">
        <f>IFERROR(__xludf.DUMMYFUNCTION("QUERY('Volunteer Survey'!N978)"),"")</f>
        <v/>
      </c>
      <c r="AN979" s="183" t="str">
        <f>IFERROR(__xludf.DUMMYFUNCTION("QUERY('Volunteer Survey'!O978)"),"")</f>
        <v/>
      </c>
      <c r="AO979" s="183" t="str">
        <f>IFERROR(__xludf.DUMMYFUNCTION("QUERY('Volunteer Survey'!P978)"),"")</f>
        <v/>
      </c>
    </row>
    <row r="980">
      <c r="A980" s="55"/>
      <c r="B980" s="55"/>
      <c r="C980" s="53"/>
      <c r="D980" s="55"/>
      <c r="E980" s="55"/>
      <c r="F980" s="55" t="b">
        <v>0</v>
      </c>
      <c r="G980" s="55"/>
      <c r="H980" s="53"/>
      <c r="I980" s="53"/>
      <c r="J980" s="55"/>
      <c r="K980" s="55"/>
      <c r="L980" s="55"/>
      <c r="M980" s="55"/>
      <c r="N980" s="55"/>
      <c r="O980" s="55" t="b">
        <v>0</v>
      </c>
      <c r="P980" s="55"/>
      <c r="Q980" s="55"/>
      <c r="R980" s="55"/>
      <c r="S980" s="55"/>
      <c r="T980" s="55"/>
      <c r="U980" s="64"/>
      <c r="V980" s="55"/>
      <c r="W980" s="64"/>
      <c r="X980" s="55"/>
      <c r="Y980" s="53"/>
      <c r="Z980" s="183" t="str">
        <f>IFERROR(__xludf.DUMMYFUNCTION("QUERY('Volunteer Survey'!A979)"),"")</f>
        <v/>
      </c>
      <c r="AA980" s="183" t="str">
        <f>IFERROR(__xludf.DUMMYFUNCTION("QUERY('Volunteer Survey'!B979)"),"")</f>
        <v/>
      </c>
      <c r="AB980" s="183" t="str">
        <f>IFERROR(__xludf.DUMMYFUNCTION("QUERY('Volunteer Survey'!C979)"),"")</f>
        <v/>
      </c>
      <c r="AC980" s="183" t="str">
        <f>IFERROR(__xludf.DUMMYFUNCTION("QUERY('Volunteer Survey'!D979)"),"")</f>
        <v/>
      </c>
      <c r="AD980" s="183" t="str">
        <f>IFERROR(__xludf.DUMMYFUNCTION("QUERY('Volunteer Survey'!E979)"),"")</f>
        <v/>
      </c>
      <c r="AE980" s="183" t="str">
        <f>IFERROR(__xludf.DUMMYFUNCTION("QUERY('Volunteer Survey'!F979)"),"")</f>
        <v/>
      </c>
      <c r="AF980" s="183" t="str">
        <f>IFERROR(__xludf.DUMMYFUNCTION("QUERY('Volunteer Survey'!G979)"),"")</f>
        <v/>
      </c>
      <c r="AG980" s="183" t="str">
        <f>IFERROR(__xludf.DUMMYFUNCTION("QUERY('Volunteer Survey'!H979)"),"")</f>
        <v/>
      </c>
      <c r="AH980" s="183" t="str">
        <f>IFERROR(__xludf.DUMMYFUNCTION("QUERY('Volunteer Survey'!I979)"),"")</f>
        <v/>
      </c>
      <c r="AI980" s="183" t="str">
        <f>IFERROR(__xludf.DUMMYFUNCTION("QUERY('Volunteer Survey'!J979)"),"")</f>
        <v/>
      </c>
      <c r="AJ980" s="183" t="str">
        <f>IFERROR(__xludf.DUMMYFUNCTION("QUERY('Volunteer Survey'!K979)"),"")</f>
        <v/>
      </c>
      <c r="AK980" s="183" t="str">
        <f>IFERROR(__xludf.DUMMYFUNCTION("QUERY('Volunteer Survey'!L979)"),"")</f>
        <v/>
      </c>
      <c r="AL980" s="183" t="str">
        <f>IFERROR(__xludf.DUMMYFUNCTION("QUERY('Volunteer Survey'!M979)"),"")</f>
        <v/>
      </c>
      <c r="AM980" s="183" t="str">
        <f>IFERROR(__xludf.DUMMYFUNCTION("QUERY('Volunteer Survey'!N979)"),"")</f>
        <v/>
      </c>
      <c r="AN980" s="183" t="str">
        <f>IFERROR(__xludf.DUMMYFUNCTION("QUERY('Volunteer Survey'!O979)"),"")</f>
        <v/>
      </c>
      <c r="AO980" s="183" t="str">
        <f>IFERROR(__xludf.DUMMYFUNCTION("QUERY('Volunteer Survey'!P979)"),"")</f>
        <v/>
      </c>
    </row>
    <row r="981">
      <c r="A981" s="55"/>
      <c r="B981" s="55"/>
      <c r="C981" s="53"/>
      <c r="D981" s="55"/>
      <c r="E981" s="55"/>
      <c r="F981" s="55" t="b">
        <v>0</v>
      </c>
      <c r="G981" s="55"/>
      <c r="H981" s="53"/>
      <c r="I981" s="53"/>
      <c r="J981" s="55"/>
      <c r="K981" s="55"/>
      <c r="L981" s="55"/>
      <c r="M981" s="55"/>
      <c r="N981" s="55"/>
      <c r="O981" s="55" t="b">
        <v>0</v>
      </c>
      <c r="P981" s="55"/>
      <c r="Q981" s="55"/>
      <c r="R981" s="55"/>
      <c r="S981" s="55"/>
      <c r="T981" s="55"/>
      <c r="U981" s="64"/>
      <c r="V981" s="55"/>
      <c r="W981" s="64"/>
      <c r="X981" s="55"/>
      <c r="Y981" s="53"/>
      <c r="Z981" s="183" t="str">
        <f>IFERROR(__xludf.DUMMYFUNCTION("QUERY('Volunteer Survey'!A980)"),"")</f>
        <v/>
      </c>
      <c r="AA981" s="183" t="str">
        <f>IFERROR(__xludf.DUMMYFUNCTION("QUERY('Volunteer Survey'!B980)"),"")</f>
        <v/>
      </c>
      <c r="AB981" s="183" t="str">
        <f>IFERROR(__xludf.DUMMYFUNCTION("QUERY('Volunteer Survey'!C980)"),"")</f>
        <v/>
      </c>
      <c r="AC981" s="183" t="str">
        <f>IFERROR(__xludf.DUMMYFUNCTION("QUERY('Volunteer Survey'!D980)"),"")</f>
        <v/>
      </c>
      <c r="AD981" s="183" t="str">
        <f>IFERROR(__xludf.DUMMYFUNCTION("QUERY('Volunteer Survey'!E980)"),"")</f>
        <v/>
      </c>
      <c r="AE981" s="183" t="str">
        <f>IFERROR(__xludf.DUMMYFUNCTION("QUERY('Volunteer Survey'!F980)"),"")</f>
        <v/>
      </c>
      <c r="AF981" s="183" t="str">
        <f>IFERROR(__xludf.DUMMYFUNCTION("QUERY('Volunteer Survey'!G980)"),"")</f>
        <v/>
      </c>
      <c r="AG981" s="183" t="str">
        <f>IFERROR(__xludf.DUMMYFUNCTION("QUERY('Volunteer Survey'!H980)"),"")</f>
        <v/>
      </c>
      <c r="AH981" s="183" t="str">
        <f>IFERROR(__xludf.DUMMYFUNCTION("QUERY('Volunteer Survey'!I980)"),"")</f>
        <v/>
      </c>
      <c r="AI981" s="183" t="str">
        <f>IFERROR(__xludf.DUMMYFUNCTION("QUERY('Volunteer Survey'!J980)"),"")</f>
        <v/>
      </c>
      <c r="AJ981" s="183" t="str">
        <f>IFERROR(__xludf.DUMMYFUNCTION("QUERY('Volunteer Survey'!K980)"),"")</f>
        <v/>
      </c>
      <c r="AK981" s="183" t="str">
        <f>IFERROR(__xludf.DUMMYFUNCTION("QUERY('Volunteer Survey'!L980)"),"")</f>
        <v/>
      </c>
      <c r="AL981" s="183" t="str">
        <f>IFERROR(__xludf.DUMMYFUNCTION("QUERY('Volunteer Survey'!M980)"),"")</f>
        <v/>
      </c>
      <c r="AM981" s="183" t="str">
        <f>IFERROR(__xludf.DUMMYFUNCTION("QUERY('Volunteer Survey'!N980)"),"")</f>
        <v/>
      </c>
      <c r="AN981" s="183" t="str">
        <f>IFERROR(__xludf.DUMMYFUNCTION("QUERY('Volunteer Survey'!O980)"),"")</f>
        <v/>
      </c>
      <c r="AO981" s="183" t="str">
        <f>IFERROR(__xludf.DUMMYFUNCTION("QUERY('Volunteer Survey'!P980)"),"")</f>
        <v/>
      </c>
    </row>
    <row r="982">
      <c r="A982" s="55"/>
      <c r="B982" s="55"/>
      <c r="C982" s="53"/>
      <c r="D982" s="55"/>
      <c r="E982" s="55"/>
      <c r="F982" s="55" t="b">
        <v>0</v>
      </c>
      <c r="G982" s="55"/>
      <c r="H982" s="53"/>
      <c r="I982" s="53"/>
      <c r="J982" s="55"/>
      <c r="K982" s="55"/>
      <c r="L982" s="55"/>
      <c r="M982" s="55"/>
      <c r="N982" s="55"/>
      <c r="O982" s="55" t="b">
        <v>0</v>
      </c>
      <c r="P982" s="55"/>
      <c r="Q982" s="55"/>
      <c r="R982" s="55"/>
      <c r="S982" s="55"/>
      <c r="T982" s="55"/>
      <c r="U982" s="64"/>
      <c r="V982" s="55"/>
      <c r="W982" s="64"/>
      <c r="X982" s="55"/>
      <c r="Y982" s="53"/>
      <c r="Z982" s="183" t="str">
        <f>IFERROR(__xludf.DUMMYFUNCTION("QUERY('Volunteer Survey'!A981)"),"")</f>
        <v/>
      </c>
      <c r="AA982" s="183" t="str">
        <f>IFERROR(__xludf.DUMMYFUNCTION("QUERY('Volunteer Survey'!B981)"),"")</f>
        <v/>
      </c>
      <c r="AB982" s="183" t="str">
        <f>IFERROR(__xludf.DUMMYFUNCTION("QUERY('Volunteer Survey'!C981)"),"")</f>
        <v/>
      </c>
      <c r="AC982" s="183" t="str">
        <f>IFERROR(__xludf.DUMMYFUNCTION("QUERY('Volunteer Survey'!D981)"),"")</f>
        <v/>
      </c>
      <c r="AD982" s="183" t="str">
        <f>IFERROR(__xludf.DUMMYFUNCTION("QUERY('Volunteer Survey'!E981)"),"")</f>
        <v/>
      </c>
      <c r="AE982" s="183" t="str">
        <f>IFERROR(__xludf.DUMMYFUNCTION("QUERY('Volunteer Survey'!F981)"),"")</f>
        <v/>
      </c>
      <c r="AF982" s="183" t="str">
        <f>IFERROR(__xludf.DUMMYFUNCTION("QUERY('Volunteer Survey'!G981)"),"")</f>
        <v/>
      </c>
      <c r="AG982" s="183" t="str">
        <f>IFERROR(__xludf.DUMMYFUNCTION("QUERY('Volunteer Survey'!H981)"),"")</f>
        <v/>
      </c>
      <c r="AH982" s="183" t="str">
        <f>IFERROR(__xludf.DUMMYFUNCTION("QUERY('Volunteer Survey'!I981)"),"")</f>
        <v/>
      </c>
      <c r="AI982" s="183" t="str">
        <f>IFERROR(__xludf.DUMMYFUNCTION("QUERY('Volunteer Survey'!J981)"),"")</f>
        <v/>
      </c>
      <c r="AJ982" s="183" t="str">
        <f>IFERROR(__xludf.DUMMYFUNCTION("QUERY('Volunteer Survey'!K981)"),"")</f>
        <v/>
      </c>
      <c r="AK982" s="183" t="str">
        <f>IFERROR(__xludf.DUMMYFUNCTION("QUERY('Volunteer Survey'!L981)"),"")</f>
        <v/>
      </c>
      <c r="AL982" s="183" t="str">
        <f>IFERROR(__xludf.DUMMYFUNCTION("QUERY('Volunteer Survey'!M981)"),"")</f>
        <v/>
      </c>
      <c r="AM982" s="183" t="str">
        <f>IFERROR(__xludf.DUMMYFUNCTION("QUERY('Volunteer Survey'!N981)"),"")</f>
        <v/>
      </c>
      <c r="AN982" s="183" t="str">
        <f>IFERROR(__xludf.DUMMYFUNCTION("QUERY('Volunteer Survey'!O981)"),"")</f>
        <v/>
      </c>
      <c r="AO982" s="183" t="str">
        <f>IFERROR(__xludf.DUMMYFUNCTION("QUERY('Volunteer Survey'!P981)"),"")</f>
        <v/>
      </c>
    </row>
    <row r="983">
      <c r="A983" s="55"/>
      <c r="B983" s="55"/>
      <c r="C983" s="53"/>
      <c r="D983" s="55"/>
      <c r="E983" s="55"/>
      <c r="F983" s="55" t="b">
        <v>0</v>
      </c>
      <c r="G983" s="55"/>
      <c r="H983" s="53"/>
      <c r="I983" s="53"/>
      <c r="J983" s="55"/>
      <c r="K983" s="55"/>
      <c r="L983" s="55"/>
      <c r="M983" s="55"/>
      <c r="N983" s="55"/>
      <c r="O983" s="55" t="b">
        <v>0</v>
      </c>
      <c r="P983" s="55"/>
      <c r="Q983" s="55"/>
      <c r="R983" s="55"/>
      <c r="S983" s="55"/>
      <c r="T983" s="55"/>
      <c r="U983" s="64"/>
      <c r="V983" s="55"/>
      <c r="W983" s="64"/>
      <c r="X983" s="55"/>
      <c r="Y983" s="53"/>
      <c r="Z983" s="183" t="str">
        <f>IFERROR(__xludf.DUMMYFUNCTION("QUERY('Volunteer Survey'!A982)"),"")</f>
        <v/>
      </c>
      <c r="AA983" s="183" t="str">
        <f>IFERROR(__xludf.DUMMYFUNCTION("QUERY('Volunteer Survey'!B982)"),"")</f>
        <v/>
      </c>
      <c r="AB983" s="183" t="str">
        <f>IFERROR(__xludf.DUMMYFUNCTION("QUERY('Volunteer Survey'!C982)"),"")</f>
        <v/>
      </c>
      <c r="AC983" s="183" t="str">
        <f>IFERROR(__xludf.DUMMYFUNCTION("QUERY('Volunteer Survey'!D982)"),"")</f>
        <v/>
      </c>
      <c r="AD983" s="183" t="str">
        <f>IFERROR(__xludf.DUMMYFUNCTION("QUERY('Volunteer Survey'!E982)"),"")</f>
        <v/>
      </c>
      <c r="AE983" s="183" t="str">
        <f>IFERROR(__xludf.DUMMYFUNCTION("QUERY('Volunteer Survey'!F982)"),"")</f>
        <v/>
      </c>
      <c r="AF983" s="183" t="str">
        <f>IFERROR(__xludf.DUMMYFUNCTION("QUERY('Volunteer Survey'!G982)"),"")</f>
        <v/>
      </c>
      <c r="AG983" s="183" t="str">
        <f>IFERROR(__xludf.DUMMYFUNCTION("QUERY('Volunteer Survey'!H982)"),"")</f>
        <v/>
      </c>
      <c r="AH983" s="183" t="str">
        <f>IFERROR(__xludf.DUMMYFUNCTION("QUERY('Volunteer Survey'!I982)"),"")</f>
        <v/>
      </c>
      <c r="AI983" s="183" t="str">
        <f>IFERROR(__xludf.DUMMYFUNCTION("QUERY('Volunteer Survey'!J982)"),"")</f>
        <v/>
      </c>
      <c r="AJ983" s="183" t="str">
        <f>IFERROR(__xludf.DUMMYFUNCTION("QUERY('Volunteer Survey'!K982)"),"")</f>
        <v/>
      </c>
      <c r="AK983" s="183" t="str">
        <f>IFERROR(__xludf.DUMMYFUNCTION("QUERY('Volunteer Survey'!L982)"),"")</f>
        <v/>
      </c>
      <c r="AL983" s="183" t="str">
        <f>IFERROR(__xludf.DUMMYFUNCTION("QUERY('Volunteer Survey'!M982)"),"")</f>
        <v/>
      </c>
      <c r="AM983" s="183" t="str">
        <f>IFERROR(__xludf.DUMMYFUNCTION("QUERY('Volunteer Survey'!N982)"),"")</f>
        <v/>
      </c>
      <c r="AN983" s="183" t="str">
        <f>IFERROR(__xludf.DUMMYFUNCTION("QUERY('Volunteer Survey'!O982)"),"")</f>
        <v/>
      </c>
      <c r="AO983" s="183" t="str">
        <f>IFERROR(__xludf.DUMMYFUNCTION("QUERY('Volunteer Survey'!P982)"),"")</f>
        <v/>
      </c>
    </row>
    <row r="984">
      <c r="A984" s="55"/>
      <c r="B984" s="55"/>
      <c r="C984" s="53"/>
      <c r="D984" s="55"/>
      <c r="E984" s="55"/>
      <c r="F984" s="55" t="b">
        <v>0</v>
      </c>
      <c r="G984" s="55"/>
      <c r="H984" s="53"/>
      <c r="I984" s="53"/>
      <c r="J984" s="55"/>
      <c r="K984" s="55"/>
      <c r="L984" s="55"/>
      <c r="M984" s="55"/>
      <c r="N984" s="55"/>
      <c r="O984" s="55" t="b">
        <v>0</v>
      </c>
      <c r="P984" s="55"/>
      <c r="Q984" s="55"/>
      <c r="R984" s="55"/>
      <c r="S984" s="55"/>
      <c r="T984" s="55"/>
      <c r="U984" s="64"/>
      <c r="V984" s="55"/>
      <c r="W984" s="64"/>
      <c r="X984" s="55"/>
      <c r="Y984" s="53"/>
      <c r="Z984" s="183" t="str">
        <f>IFERROR(__xludf.DUMMYFUNCTION("QUERY('Volunteer Survey'!A983)"),"")</f>
        <v/>
      </c>
      <c r="AA984" s="183" t="str">
        <f>IFERROR(__xludf.DUMMYFUNCTION("QUERY('Volunteer Survey'!B983)"),"")</f>
        <v/>
      </c>
      <c r="AB984" s="183" t="str">
        <f>IFERROR(__xludf.DUMMYFUNCTION("QUERY('Volunteer Survey'!C983)"),"")</f>
        <v/>
      </c>
      <c r="AC984" s="183" t="str">
        <f>IFERROR(__xludf.DUMMYFUNCTION("QUERY('Volunteer Survey'!D983)"),"")</f>
        <v/>
      </c>
      <c r="AD984" s="183" t="str">
        <f>IFERROR(__xludf.DUMMYFUNCTION("QUERY('Volunteer Survey'!E983)"),"")</f>
        <v/>
      </c>
      <c r="AE984" s="183" t="str">
        <f>IFERROR(__xludf.DUMMYFUNCTION("QUERY('Volunteer Survey'!F983)"),"")</f>
        <v/>
      </c>
      <c r="AF984" s="183" t="str">
        <f>IFERROR(__xludf.DUMMYFUNCTION("QUERY('Volunteer Survey'!G983)"),"")</f>
        <v/>
      </c>
      <c r="AG984" s="183" t="str">
        <f>IFERROR(__xludf.DUMMYFUNCTION("QUERY('Volunteer Survey'!H983)"),"")</f>
        <v/>
      </c>
      <c r="AH984" s="183" t="str">
        <f>IFERROR(__xludf.DUMMYFUNCTION("QUERY('Volunteer Survey'!I983)"),"")</f>
        <v/>
      </c>
      <c r="AI984" s="183" t="str">
        <f>IFERROR(__xludf.DUMMYFUNCTION("QUERY('Volunteer Survey'!J983)"),"")</f>
        <v/>
      </c>
      <c r="AJ984" s="183" t="str">
        <f>IFERROR(__xludf.DUMMYFUNCTION("QUERY('Volunteer Survey'!K983)"),"")</f>
        <v/>
      </c>
      <c r="AK984" s="183" t="str">
        <f>IFERROR(__xludf.DUMMYFUNCTION("QUERY('Volunteer Survey'!L983)"),"")</f>
        <v/>
      </c>
      <c r="AL984" s="183" t="str">
        <f>IFERROR(__xludf.DUMMYFUNCTION("QUERY('Volunteer Survey'!M983)"),"")</f>
        <v/>
      </c>
      <c r="AM984" s="183" t="str">
        <f>IFERROR(__xludf.DUMMYFUNCTION("QUERY('Volunteer Survey'!N983)"),"")</f>
        <v/>
      </c>
      <c r="AN984" s="183" t="str">
        <f>IFERROR(__xludf.DUMMYFUNCTION("QUERY('Volunteer Survey'!O983)"),"")</f>
        <v/>
      </c>
      <c r="AO984" s="183" t="str">
        <f>IFERROR(__xludf.DUMMYFUNCTION("QUERY('Volunteer Survey'!P983)"),"")</f>
        <v/>
      </c>
    </row>
    <row r="985">
      <c r="A985" s="55"/>
      <c r="B985" s="55"/>
      <c r="C985" s="53"/>
      <c r="D985" s="55"/>
      <c r="E985" s="55"/>
      <c r="F985" s="55" t="b">
        <v>0</v>
      </c>
      <c r="G985" s="55"/>
      <c r="H985" s="53"/>
      <c r="I985" s="53"/>
      <c r="J985" s="55"/>
      <c r="K985" s="55"/>
      <c r="L985" s="55"/>
      <c r="M985" s="55"/>
      <c r="N985" s="55"/>
      <c r="O985" s="55" t="b">
        <v>0</v>
      </c>
      <c r="P985" s="55"/>
      <c r="Q985" s="55"/>
      <c r="R985" s="55"/>
      <c r="S985" s="55"/>
      <c r="T985" s="55"/>
      <c r="U985" s="64"/>
      <c r="V985" s="55"/>
      <c r="W985" s="64"/>
      <c r="X985" s="55"/>
      <c r="Y985" s="53"/>
      <c r="Z985" s="183" t="str">
        <f>IFERROR(__xludf.DUMMYFUNCTION("QUERY('Volunteer Survey'!A984)"),"")</f>
        <v/>
      </c>
      <c r="AA985" s="183" t="str">
        <f>IFERROR(__xludf.DUMMYFUNCTION("QUERY('Volunteer Survey'!B984)"),"")</f>
        <v/>
      </c>
      <c r="AB985" s="183" t="str">
        <f>IFERROR(__xludf.DUMMYFUNCTION("QUERY('Volunteer Survey'!C984)"),"")</f>
        <v/>
      </c>
      <c r="AC985" s="183" t="str">
        <f>IFERROR(__xludf.DUMMYFUNCTION("QUERY('Volunteer Survey'!D984)"),"")</f>
        <v/>
      </c>
      <c r="AD985" s="183" t="str">
        <f>IFERROR(__xludf.DUMMYFUNCTION("QUERY('Volunteer Survey'!E984)"),"")</f>
        <v/>
      </c>
      <c r="AE985" s="183" t="str">
        <f>IFERROR(__xludf.DUMMYFUNCTION("QUERY('Volunteer Survey'!F984)"),"")</f>
        <v/>
      </c>
      <c r="AF985" s="183" t="str">
        <f>IFERROR(__xludf.DUMMYFUNCTION("QUERY('Volunteer Survey'!G984)"),"")</f>
        <v/>
      </c>
      <c r="AG985" s="183" t="str">
        <f>IFERROR(__xludf.DUMMYFUNCTION("QUERY('Volunteer Survey'!H984)"),"")</f>
        <v/>
      </c>
      <c r="AH985" s="183" t="str">
        <f>IFERROR(__xludf.DUMMYFUNCTION("QUERY('Volunteer Survey'!I984)"),"")</f>
        <v/>
      </c>
      <c r="AI985" s="183" t="str">
        <f>IFERROR(__xludf.DUMMYFUNCTION("QUERY('Volunteer Survey'!J984)"),"")</f>
        <v/>
      </c>
      <c r="AJ985" s="183" t="str">
        <f>IFERROR(__xludf.DUMMYFUNCTION("QUERY('Volunteer Survey'!K984)"),"")</f>
        <v/>
      </c>
      <c r="AK985" s="183" t="str">
        <f>IFERROR(__xludf.DUMMYFUNCTION("QUERY('Volunteer Survey'!L984)"),"")</f>
        <v/>
      </c>
      <c r="AL985" s="183" t="str">
        <f>IFERROR(__xludf.DUMMYFUNCTION("QUERY('Volunteer Survey'!M984)"),"")</f>
        <v/>
      </c>
      <c r="AM985" s="183" t="str">
        <f>IFERROR(__xludf.DUMMYFUNCTION("QUERY('Volunteer Survey'!N984)"),"")</f>
        <v/>
      </c>
      <c r="AN985" s="183" t="str">
        <f>IFERROR(__xludf.DUMMYFUNCTION("QUERY('Volunteer Survey'!O984)"),"")</f>
        <v/>
      </c>
      <c r="AO985" s="183" t="str">
        <f>IFERROR(__xludf.DUMMYFUNCTION("QUERY('Volunteer Survey'!P984)"),"")</f>
        <v/>
      </c>
    </row>
    <row r="986">
      <c r="A986" s="55"/>
      <c r="B986" s="55"/>
      <c r="C986" s="53"/>
      <c r="D986" s="55"/>
      <c r="E986" s="55"/>
      <c r="F986" s="55" t="b">
        <v>0</v>
      </c>
      <c r="G986" s="55"/>
      <c r="H986" s="53"/>
      <c r="I986" s="53"/>
      <c r="J986" s="55"/>
      <c r="K986" s="55"/>
      <c r="L986" s="55"/>
      <c r="M986" s="55"/>
      <c r="N986" s="55"/>
      <c r="O986" s="55" t="b">
        <v>0</v>
      </c>
      <c r="P986" s="55"/>
      <c r="Q986" s="55"/>
      <c r="R986" s="55"/>
      <c r="S986" s="55"/>
      <c r="T986" s="55"/>
      <c r="U986" s="64"/>
      <c r="V986" s="55"/>
      <c r="W986" s="64"/>
      <c r="X986" s="55"/>
      <c r="Y986" s="53"/>
      <c r="Z986" s="183" t="str">
        <f>IFERROR(__xludf.DUMMYFUNCTION("QUERY('Volunteer Survey'!A985)"),"")</f>
        <v/>
      </c>
      <c r="AA986" s="183" t="str">
        <f>IFERROR(__xludf.DUMMYFUNCTION("QUERY('Volunteer Survey'!B985)"),"")</f>
        <v/>
      </c>
      <c r="AB986" s="183" t="str">
        <f>IFERROR(__xludf.DUMMYFUNCTION("QUERY('Volunteer Survey'!C985)"),"")</f>
        <v/>
      </c>
      <c r="AC986" s="183" t="str">
        <f>IFERROR(__xludf.DUMMYFUNCTION("QUERY('Volunteer Survey'!D985)"),"")</f>
        <v/>
      </c>
      <c r="AD986" s="183" t="str">
        <f>IFERROR(__xludf.DUMMYFUNCTION("QUERY('Volunteer Survey'!E985)"),"")</f>
        <v/>
      </c>
      <c r="AE986" s="183" t="str">
        <f>IFERROR(__xludf.DUMMYFUNCTION("QUERY('Volunteer Survey'!F985)"),"")</f>
        <v/>
      </c>
      <c r="AF986" s="183" t="str">
        <f>IFERROR(__xludf.DUMMYFUNCTION("QUERY('Volunteer Survey'!G985)"),"")</f>
        <v/>
      </c>
      <c r="AG986" s="183" t="str">
        <f>IFERROR(__xludf.DUMMYFUNCTION("QUERY('Volunteer Survey'!H985)"),"")</f>
        <v/>
      </c>
      <c r="AH986" s="183" t="str">
        <f>IFERROR(__xludf.DUMMYFUNCTION("QUERY('Volunteer Survey'!I985)"),"")</f>
        <v/>
      </c>
      <c r="AI986" s="183" t="str">
        <f>IFERROR(__xludf.DUMMYFUNCTION("QUERY('Volunteer Survey'!J985)"),"")</f>
        <v/>
      </c>
      <c r="AJ986" s="183" t="str">
        <f>IFERROR(__xludf.DUMMYFUNCTION("QUERY('Volunteer Survey'!K985)"),"")</f>
        <v/>
      </c>
      <c r="AK986" s="183" t="str">
        <f>IFERROR(__xludf.DUMMYFUNCTION("QUERY('Volunteer Survey'!L985)"),"")</f>
        <v/>
      </c>
      <c r="AL986" s="183" t="str">
        <f>IFERROR(__xludf.DUMMYFUNCTION("QUERY('Volunteer Survey'!M985)"),"")</f>
        <v/>
      </c>
      <c r="AM986" s="183" t="str">
        <f>IFERROR(__xludf.DUMMYFUNCTION("QUERY('Volunteer Survey'!N985)"),"")</f>
        <v/>
      </c>
      <c r="AN986" s="183" t="str">
        <f>IFERROR(__xludf.DUMMYFUNCTION("QUERY('Volunteer Survey'!O985)"),"")</f>
        <v/>
      </c>
      <c r="AO986" s="183" t="str">
        <f>IFERROR(__xludf.DUMMYFUNCTION("QUERY('Volunteer Survey'!P985)"),"")</f>
        <v/>
      </c>
    </row>
    <row r="987">
      <c r="A987" s="55"/>
      <c r="B987" s="55"/>
      <c r="C987" s="53"/>
      <c r="D987" s="55"/>
      <c r="E987" s="55"/>
      <c r="F987" s="55" t="b">
        <v>0</v>
      </c>
      <c r="G987" s="55"/>
      <c r="H987" s="53"/>
      <c r="I987" s="53"/>
      <c r="J987" s="55"/>
      <c r="K987" s="55"/>
      <c r="L987" s="55"/>
      <c r="M987" s="55"/>
      <c r="N987" s="55"/>
      <c r="O987" s="55" t="b">
        <v>0</v>
      </c>
      <c r="P987" s="55"/>
      <c r="Q987" s="55"/>
      <c r="R987" s="55"/>
      <c r="S987" s="55"/>
      <c r="T987" s="55"/>
      <c r="U987" s="64"/>
      <c r="V987" s="55"/>
      <c r="W987" s="64"/>
      <c r="X987" s="55"/>
      <c r="Y987" s="53"/>
      <c r="Z987" s="183" t="str">
        <f>IFERROR(__xludf.DUMMYFUNCTION("QUERY('Volunteer Survey'!A986)"),"")</f>
        <v/>
      </c>
      <c r="AA987" s="183" t="str">
        <f>IFERROR(__xludf.DUMMYFUNCTION("QUERY('Volunteer Survey'!B986)"),"")</f>
        <v/>
      </c>
      <c r="AB987" s="183" t="str">
        <f>IFERROR(__xludf.DUMMYFUNCTION("QUERY('Volunteer Survey'!C986)"),"")</f>
        <v/>
      </c>
      <c r="AC987" s="183" t="str">
        <f>IFERROR(__xludf.DUMMYFUNCTION("QUERY('Volunteer Survey'!D986)"),"")</f>
        <v/>
      </c>
      <c r="AD987" s="183" t="str">
        <f>IFERROR(__xludf.DUMMYFUNCTION("QUERY('Volunteer Survey'!E986)"),"")</f>
        <v/>
      </c>
      <c r="AE987" s="183" t="str">
        <f>IFERROR(__xludf.DUMMYFUNCTION("QUERY('Volunteer Survey'!F986)"),"")</f>
        <v/>
      </c>
      <c r="AF987" s="183" t="str">
        <f>IFERROR(__xludf.DUMMYFUNCTION("QUERY('Volunteer Survey'!G986)"),"")</f>
        <v/>
      </c>
      <c r="AG987" s="183" t="str">
        <f>IFERROR(__xludf.DUMMYFUNCTION("QUERY('Volunteer Survey'!H986)"),"")</f>
        <v/>
      </c>
      <c r="AH987" s="183" t="str">
        <f>IFERROR(__xludf.DUMMYFUNCTION("QUERY('Volunteer Survey'!I986)"),"")</f>
        <v/>
      </c>
      <c r="AI987" s="183" t="str">
        <f>IFERROR(__xludf.DUMMYFUNCTION("QUERY('Volunteer Survey'!J986)"),"")</f>
        <v/>
      </c>
      <c r="AJ987" s="183" t="str">
        <f>IFERROR(__xludf.DUMMYFUNCTION("QUERY('Volunteer Survey'!K986)"),"")</f>
        <v/>
      </c>
      <c r="AK987" s="183" t="str">
        <f>IFERROR(__xludf.DUMMYFUNCTION("QUERY('Volunteer Survey'!L986)"),"")</f>
        <v/>
      </c>
      <c r="AL987" s="183" t="str">
        <f>IFERROR(__xludf.DUMMYFUNCTION("QUERY('Volunteer Survey'!M986)"),"")</f>
        <v/>
      </c>
      <c r="AM987" s="183" t="str">
        <f>IFERROR(__xludf.DUMMYFUNCTION("QUERY('Volunteer Survey'!N986)"),"")</f>
        <v/>
      </c>
      <c r="AN987" s="183" t="str">
        <f>IFERROR(__xludf.DUMMYFUNCTION("QUERY('Volunteer Survey'!O986)"),"")</f>
        <v/>
      </c>
      <c r="AO987" s="183" t="str">
        <f>IFERROR(__xludf.DUMMYFUNCTION("QUERY('Volunteer Survey'!P986)"),"")</f>
        <v/>
      </c>
    </row>
    <row r="988">
      <c r="A988" s="55"/>
      <c r="B988" s="55"/>
      <c r="C988" s="53"/>
      <c r="D988" s="55"/>
      <c r="E988" s="55"/>
      <c r="F988" s="55" t="b">
        <v>0</v>
      </c>
      <c r="G988" s="55"/>
      <c r="H988" s="53"/>
      <c r="I988" s="53"/>
      <c r="J988" s="55"/>
      <c r="K988" s="55"/>
      <c r="L988" s="55"/>
      <c r="M988" s="55"/>
      <c r="N988" s="55"/>
      <c r="O988" s="55" t="b">
        <v>0</v>
      </c>
      <c r="P988" s="55"/>
      <c r="Q988" s="55"/>
      <c r="R988" s="55"/>
      <c r="S988" s="55"/>
      <c r="T988" s="55"/>
      <c r="U988" s="64"/>
      <c r="V988" s="55"/>
      <c r="W988" s="64"/>
      <c r="X988" s="55"/>
      <c r="Y988" s="53"/>
      <c r="Z988" s="183" t="str">
        <f>IFERROR(__xludf.DUMMYFUNCTION("QUERY('Volunteer Survey'!A987)"),"")</f>
        <v/>
      </c>
      <c r="AA988" s="183" t="str">
        <f>IFERROR(__xludf.DUMMYFUNCTION("QUERY('Volunteer Survey'!B987)"),"")</f>
        <v/>
      </c>
      <c r="AB988" s="183" t="str">
        <f>IFERROR(__xludf.DUMMYFUNCTION("QUERY('Volunteer Survey'!C987)"),"")</f>
        <v/>
      </c>
      <c r="AC988" s="183" t="str">
        <f>IFERROR(__xludf.DUMMYFUNCTION("QUERY('Volunteer Survey'!D987)"),"")</f>
        <v/>
      </c>
      <c r="AD988" s="183" t="str">
        <f>IFERROR(__xludf.DUMMYFUNCTION("QUERY('Volunteer Survey'!E987)"),"")</f>
        <v/>
      </c>
      <c r="AE988" s="183" t="str">
        <f>IFERROR(__xludf.DUMMYFUNCTION("QUERY('Volunteer Survey'!F987)"),"")</f>
        <v/>
      </c>
      <c r="AF988" s="183" t="str">
        <f>IFERROR(__xludf.DUMMYFUNCTION("QUERY('Volunteer Survey'!G987)"),"")</f>
        <v/>
      </c>
      <c r="AG988" s="183" t="str">
        <f>IFERROR(__xludf.DUMMYFUNCTION("QUERY('Volunteer Survey'!H987)"),"")</f>
        <v/>
      </c>
      <c r="AH988" s="183" t="str">
        <f>IFERROR(__xludf.DUMMYFUNCTION("QUERY('Volunteer Survey'!I987)"),"")</f>
        <v/>
      </c>
      <c r="AI988" s="183" t="str">
        <f>IFERROR(__xludf.DUMMYFUNCTION("QUERY('Volunteer Survey'!J987)"),"")</f>
        <v/>
      </c>
      <c r="AJ988" s="183" t="str">
        <f>IFERROR(__xludf.DUMMYFUNCTION("QUERY('Volunteer Survey'!K987)"),"")</f>
        <v/>
      </c>
      <c r="AK988" s="183" t="str">
        <f>IFERROR(__xludf.DUMMYFUNCTION("QUERY('Volunteer Survey'!L987)"),"")</f>
        <v/>
      </c>
      <c r="AL988" s="183" t="str">
        <f>IFERROR(__xludf.DUMMYFUNCTION("QUERY('Volunteer Survey'!M987)"),"")</f>
        <v/>
      </c>
      <c r="AM988" s="183" t="str">
        <f>IFERROR(__xludf.DUMMYFUNCTION("QUERY('Volunteer Survey'!N987)"),"")</f>
        <v/>
      </c>
      <c r="AN988" s="183" t="str">
        <f>IFERROR(__xludf.DUMMYFUNCTION("QUERY('Volunteer Survey'!O987)"),"")</f>
        <v/>
      </c>
      <c r="AO988" s="183" t="str">
        <f>IFERROR(__xludf.DUMMYFUNCTION("QUERY('Volunteer Survey'!P987)"),"")</f>
        <v/>
      </c>
    </row>
    <row r="989">
      <c r="A989" s="55"/>
      <c r="B989" s="55"/>
      <c r="C989" s="53"/>
      <c r="D989" s="55"/>
      <c r="E989" s="55"/>
      <c r="F989" s="55" t="b">
        <v>0</v>
      </c>
      <c r="G989" s="55"/>
      <c r="H989" s="53"/>
      <c r="I989" s="53"/>
      <c r="J989" s="55"/>
      <c r="K989" s="55"/>
      <c r="L989" s="55"/>
      <c r="M989" s="55"/>
      <c r="N989" s="55"/>
      <c r="O989" s="55" t="b">
        <v>0</v>
      </c>
      <c r="P989" s="55"/>
      <c r="Q989" s="55"/>
      <c r="R989" s="55"/>
      <c r="S989" s="55"/>
      <c r="T989" s="55"/>
      <c r="U989" s="64"/>
      <c r="V989" s="55"/>
      <c r="W989" s="64"/>
      <c r="X989" s="55"/>
      <c r="Y989" s="53"/>
      <c r="Z989" s="183" t="str">
        <f>IFERROR(__xludf.DUMMYFUNCTION("QUERY('Volunteer Survey'!A988)"),"")</f>
        <v/>
      </c>
      <c r="AA989" s="183" t="str">
        <f>IFERROR(__xludf.DUMMYFUNCTION("QUERY('Volunteer Survey'!B988)"),"")</f>
        <v/>
      </c>
      <c r="AB989" s="183" t="str">
        <f>IFERROR(__xludf.DUMMYFUNCTION("QUERY('Volunteer Survey'!C988)"),"")</f>
        <v/>
      </c>
      <c r="AC989" s="183" t="str">
        <f>IFERROR(__xludf.DUMMYFUNCTION("QUERY('Volunteer Survey'!D988)"),"")</f>
        <v/>
      </c>
      <c r="AD989" s="183" t="str">
        <f>IFERROR(__xludf.DUMMYFUNCTION("QUERY('Volunteer Survey'!E988)"),"")</f>
        <v/>
      </c>
      <c r="AE989" s="183" t="str">
        <f>IFERROR(__xludf.DUMMYFUNCTION("QUERY('Volunteer Survey'!F988)"),"")</f>
        <v/>
      </c>
      <c r="AF989" s="183" t="str">
        <f>IFERROR(__xludf.DUMMYFUNCTION("QUERY('Volunteer Survey'!G988)"),"")</f>
        <v/>
      </c>
      <c r="AG989" s="183" t="str">
        <f>IFERROR(__xludf.DUMMYFUNCTION("QUERY('Volunteer Survey'!H988)"),"")</f>
        <v/>
      </c>
      <c r="AH989" s="183" t="str">
        <f>IFERROR(__xludf.DUMMYFUNCTION("QUERY('Volunteer Survey'!I988)"),"")</f>
        <v/>
      </c>
      <c r="AI989" s="183" t="str">
        <f>IFERROR(__xludf.DUMMYFUNCTION("QUERY('Volunteer Survey'!J988)"),"")</f>
        <v/>
      </c>
      <c r="AJ989" s="183" t="str">
        <f>IFERROR(__xludf.DUMMYFUNCTION("QUERY('Volunteer Survey'!K988)"),"")</f>
        <v/>
      </c>
      <c r="AK989" s="183" t="str">
        <f>IFERROR(__xludf.DUMMYFUNCTION("QUERY('Volunteer Survey'!L988)"),"")</f>
        <v/>
      </c>
      <c r="AL989" s="183" t="str">
        <f>IFERROR(__xludf.DUMMYFUNCTION("QUERY('Volunteer Survey'!M988)"),"")</f>
        <v/>
      </c>
      <c r="AM989" s="183" t="str">
        <f>IFERROR(__xludf.DUMMYFUNCTION("QUERY('Volunteer Survey'!N988)"),"")</f>
        <v/>
      </c>
      <c r="AN989" s="183" t="str">
        <f>IFERROR(__xludf.DUMMYFUNCTION("QUERY('Volunteer Survey'!O988)"),"")</f>
        <v/>
      </c>
      <c r="AO989" s="183" t="str">
        <f>IFERROR(__xludf.DUMMYFUNCTION("QUERY('Volunteer Survey'!P988)"),"")</f>
        <v/>
      </c>
    </row>
  </sheetData>
  <mergeCells count="5">
    <mergeCell ref="B1:H1"/>
    <mergeCell ref="J1:K1"/>
    <mergeCell ref="L1:N1"/>
    <mergeCell ref="P1:T1"/>
    <mergeCell ref="W1:W2"/>
  </mergeCells>
  <conditionalFormatting sqref="B1:B222 B224:B989">
    <cfRule type="containsText" dxfId="0" priority="1" operator="containsText" text="Unassigned">
      <formula>NOT(ISERROR(SEARCH(("Unassigned"),(B1))))</formula>
    </cfRule>
  </conditionalFormatting>
  <dataValidations>
    <dataValidation type="list" allowBlank="1" sqref="I1:I222 I224:I989">
      <formula1>"Only,First,Second,Third,Archived"</formula1>
    </dataValidation>
    <dataValidation type="list" allowBlank="1" sqref="G3:G222 G224:G989">
      <formula1>"Actionability,Gene Disease Validity,Variant Pathogenicity,Dosage Sensitivity,Somatic Cancer,Baseline,NA"</formula1>
    </dataValidation>
    <dataValidation type="list" allowBlank="1" sqref="E3:F222 E224:F989">
      <formula1>"Yes,No"</formula1>
    </dataValidation>
    <dataValidation type="list" allowBlank="1" sqref="B3:B989">
      <formula1>"Assigned,Contacted,Follow up email,Declined,Unassigned,Unresponsive,Recontact Later"</formula1>
    </dataValidation>
  </dataValidations>
  <printOptions gridLines="1" horizontalCentered="1"/>
  <pageMargins bottom="0.75" footer="0.0" header="0.0" left="0.7" right="0.7" top="0.75"/>
  <pageSetup fitToHeight="0" cellComments="atEnd" orientation="landscape" pageOrder="overThenDown"/>
  <drawing r:id="rId1"/>
</worksheet>
</file>